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omments6.xml" ContentType="application/vnd.openxmlformats-officedocument.spreadsheetml.comments+xml"/>
  <Override PartName="/xl/drawings/drawing11.xml" ContentType="application/vnd.openxmlformats-officedocument.drawing+xml"/>
  <Override PartName="/xl/comments7.xml" ContentType="application/vnd.openxmlformats-officedocument.spreadsheetml.comments+xml"/>
  <Override PartName="/xl/drawings/drawing12.xml" ContentType="application/vnd.openxmlformats-officedocument.drawing+xml"/>
  <Override PartName="/xl/comments8.xml" ContentType="application/vnd.openxmlformats-officedocument.spreadsheetml.comments+xml"/>
  <Override PartName="/xl/drawings/drawing13.xml" ContentType="application/vnd.openxmlformats-officedocument.drawing+xml"/>
  <Override PartName="/xl/comments9.xml" ContentType="application/vnd.openxmlformats-officedocument.spreadsheetml.comments+xml"/>
  <Override PartName="/xl/drawings/drawing14.xml" ContentType="application/vnd.openxmlformats-officedocument.drawing+xml"/>
  <Override PartName="/xl/comments10.xml" ContentType="application/vnd.openxmlformats-officedocument.spreadsheetml.comments+xml"/>
  <Override PartName="/xl/drawings/drawing15.xml" ContentType="application/vnd.openxmlformats-officedocument.drawing+xml"/>
  <Override PartName="/xl/comments11.xml" ContentType="application/vnd.openxmlformats-officedocument.spreadsheetml.comments+xml"/>
  <Override PartName="/xl/drawings/drawing16.xml" ContentType="application/vnd.openxmlformats-officedocument.drawing+xml"/>
  <Override PartName="/xl/comments12.xml" ContentType="application/vnd.openxmlformats-officedocument.spreadsheetml.comments+xml"/>
  <Override PartName="/xl/drawings/drawing17.xml" ContentType="application/vnd.openxmlformats-officedocument.drawing+xml"/>
  <Override PartName="/xl/comments13.xml" ContentType="application/vnd.openxmlformats-officedocument.spreadsheetml.comments+xml"/>
  <Override PartName="/xl/drawings/drawing18.xml" ContentType="application/vnd.openxmlformats-officedocument.drawing+xml"/>
  <Override PartName="/xl/comments14.xml" ContentType="application/vnd.openxmlformats-officedocument.spreadsheetml.comments+xml"/>
  <Override PartName="/xl/drawings/drawing19.xml" ContentType="application/vnd.openxmlformats-officedocument.drawing+xml"/>
  <Override PartName="/xl/comments15.xml" ContentType="application/vnd.openxmlformats-officedocument.spreadsheetml.comments+xml"/>
  <Override PartName="/xl/drawings/drawing20.xml" ContentType="application/vnd.openxmlformats-officedocument.drawing+xml"/>
  <Override PartName="/xl/comments16.xml" ContentType="application/vnd.openxmlformats-officedocument.spreadsheetml.comments+xml"/>
  <Override PartName="/xl/drawings/drawing21.xml" ContentType="application/vnd.openxmlformats-officedocument.drawing+xml"/>
  <Override PartName="/xl/comments17.xml" ContentType="application/vnd.openxmlformats-officedocument.spreadsheetml.comments+xml"/>
  <Override PartName="/xl/drawings/drawing22.xml" ContentType="application/vnd.openxmlformats-officedocument.drawing+xml"/>
  <Override PartName="/xl/comments18.xml" ContentType="application/vnd.openxmlformats-officedocument.spreadsheetml.comments+xml"/>
  <Override PartName="/xl/drawings/drawing23.xml" ContentType="application/vnd.openxmlformats-officedocument.drawing+xml"/>
  <Override PartName="/xl/comments19.xml" ContentType="application/vnd.openxmlformats-officedocument.spreadsheetml.comments+xml"/>
  <Override PartName="/xl/drawings/drawing24.xml" ContentType="application/vnd.openxmlformats-officedocument.drawing+xml"/>
  <Override PartName="/xl/comments20.xml" ContentType="application/vnd.openxmlformats-officedocument.spreadsheetml.comments+xml"/>
  <Override PartName="/xl/drawings/drawing25.xml" ContentType="application/vnd.openxmlformats-officedocument.drawing+xml"/>
  <Override PartName="/xl/comments21.xml" ContentType="application/vnd.openxmlformats-officedocument.spreadsheetml.comments+xml"/>
  <Override PartName="/xl/drawings/drawing26.xml" ContentType="application/vnd.openxmlformats-officedocument.drawing+xml"/>
  <Override PartName="/xl/ctrlProps/ctrlProp2.xml" ContentType="application/vnd.ms-excel.controlproperties+xml"/>
  <Override PartName="/xl/comments2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 codeName="{26A90621-87C4-6C01-FD6A-EE6E7C14090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13_ncr:1_{10F67768-15F2-4B59-9CF0-B37BCFD851A3}" xr6:coauthVersionLast="47" xr6:coauthVersionMax="47" xr10:uidLastSave="{00000000-0000-0000-0000-000000000000}"/>
  <workbookProtection workbookAlgorithmName="SHA-512" workbookHashValue="SlbZtMr7QoqktVlFfO3wZX63I9jaso+v+PqkZO+FGvUrDYWD7tTcF2c0zSLi05ViAZoogxkVvG8t0YA02ZtfiA==" workbookSaltValue="Wvf/D73u1b05Wf2LMA6Bfw==" workbookSpinCount="100000" lockStructure="1"/>
  <bookViews>
    <workbookView showHorizontalScroll="0" showVerticalScroll="0" showSheetTabs="0" xWindow="-38520" yWindow="-90" windowWidth="38640" windowHeight="21120" tabRatio="796" activeTab="1" xr2:uid="{00000000-000D-0000-FFFF-FFFF00000000}"/>
  </bookViews>
  <sheets>
    <sheet name="Napoveda" sheetId="20" r:id="rId1"/>
    <sheet name="FORM" sheetId="10" r:id="rId2"/>
    <sheet name="MENU" sheetId="4" r:id="rId3"/>
    <sheet name="MENU-2" sheetId="65" r:id="rId4"/>
    <sheet name="AVT77" sheetId="77" r:id="rId5"/>
    <sheet name="AVT101" sheetId="1" r:id="rId6"/>
    <sheet name="AVT139" sheetId="66" r:id="rId7"/>
    <sheet name="AVT187" sheetId="67" r:id="rId8"/>
    <sheet name="AVT251" sheetId="68" r:id="rId9"/>
    <sheet name="AVT187In" sheetId="69" r:id="rId10"/>
    <sheet name="AVT101(vn-A)" sheetId="70" r:id="rId11"/>
    <sheet name="AVT139(vn-A)" sheetId="71" r:id="rId12"/>
    <sheet name="AVT187(vn-A)" sheetId="73" r:id="rId13"/>
    <sheet name="AVT187In(vn-A)" sheetId="76" r:id="rId14"/>
    <sheet name="AVT187(vn-S)" sheetId="74" r:id="rId15"/>
    <sheet name="AVT187In(vn-S)" sheetId="75" r:id="rId16"/>
    <sheet name="AVT-celny-101+187" sheetId="78" r:id="rId17"/>
    <sheet name="AVT-celny-139+187" sheetId="80" r:id="rId18"/>
    <sheet name="AVT-celny-2x187" sheetId="81" r:id="rId19"/>
    <sheet name="AVT-celny-2x187In" sheetId="82" r:id="rId20"/>
    <sheet name="potr-v101+187" sheetId="83" r:id="rId21"/>
    <sheet name="potr-v101+187-IL" sheetId="84" r:id="rId22"/>
    <sheet name="potr-o101+187" sheetId="85" r:id="rId23"/>
    <sheet name="potr-o101+187-IL" sheetId="86" r:id="rId24"/>
    <sheet name="potr-o187-IL" sheetId="87" r:id="rId25"/>
    <sheet name="---" sheetId="39" r:id="rId26"/>
    <sheet name="OBJ" sheetId="2" r:id="rId27"/>
    <sheet name="verze" sheetId="3" state="hidden" r:id="rId28"/>
    <sheet name="CENY" sheetId="7" state="hidden" r:id="rId29"/>
  </sheets>
  <definedNames>
    <definedName name="_xlnm._FilterDatabase" localSheetId="26" hidden="1">OBJ!$F$22:$F$381</definedName>
    <definedName name="_xlnm.Print_Area" localSheetId="2">MENU!$A$1:$AS$111</definedName>
    <definedName name="_xlnm.Print_Area" localSheetId="3">'MENU-2'!$A$1:$AS$52</definedName>
    <definedName name="_xlnm.Print_Area" localSheetId="26">OBJ!$A$4:$M$393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5" i="7" l="1"/>
  <c r="AF6" i="7"/>
  <c r="AF7" i="7"/>
  <c r="AF8" i="7"/>
  <c r="AF9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F25" i="7"/>
  <c r="AF26" i="7"/>
  <c r="AF27" i="7"/>
  <c r="AF28" i="7"/>
  <c r="AF29" i="7"/>
  <c r="AF30" i="7"/>
  <c r="AF31" i="7"/>
  <c r="AF32" i="7"/>
  <c r="AF33" i="7"/>
  <c r="AF34" i="7"/>
  <c r="AF35" i="7"/>
  <c r="AF36" i="7"/>
  <c r="AF37" i="7"/>
  <c r="AF38" i="7"/>
  <c r="AF39" i="7"/>
  <c r="AF40" i="7"/>
  <c r="AF41" i="7"/>
  <c r="AF42" i="7"/>
  <c r="AF43" i="7"/>
  <c r="AF44" i="7"/>
  <c r="AF45" i="7"/>
  <c r="AF46" i="7"/>
  <c r="AF47" i="7"/>
  <c r="AF48" i="7"/>
  <c r="AF49" i="7"/>
  <c r="AF50" i="7"/>
  <c r="AF51" i="7"/>
  <c r="AF52" i="7"/>
  <c r="AF53" i="7"/>
  <c r="AF54" i="7"/>
  <c r="AF55" i="7"/>
  <c r="AF56" i="7"/>
  <c r="AF57" i="7"/>
  <c r="AF58" i="7"/>
  <c r="AF59" i="7"/>
  <c r="AF60" i="7"/>
  <c r="AF61" i="7"/>
  <c r="AF62" i="7"/>
  <c r="AF63" i="7"/>
  <c r="AF64" i="7"/>
  <c r="AF65" i="7"/>
  <c r="AF66" i="7"/>
  <c r="AF67" i="7"/>
  <c r="AF68" i="7"/>
  <c r="AF69" i="7"/>
  <c r="AF70" i="7"/>
  <c r="AF71" i="7"/>
  <c r="AF72" i="7"/>
  <c r="AF73" i="7"/>
  <c r="AF74" i="7"/>
  <c r="AF75" i="7"/>
  <c r="AF76" i="7"/>
  <c r="AF77" i="7"/>
  <c r="AF78" i="7"/>
  <c r="AF79" i="7"/>
  <c r="AF80" i="7"/>
  <c r="AF81" i="7"/>
  <c r="AF82" i="7"/>
  <c r="AF83" i="7"/>
  <c r="AF84" i="7"/>
  <c r="AF85" i="7"/>
  <c r="AF86" i="7"/>
  <c r="AF87" i="7"/>
  <c r="AF88" i="7"/>
  <c r="AF89" i="7"/>
  <c r="AF90" i="7"/>
  <c r="AF91" i="7"/>
  <c r="AF92" i="7"/>
  <c r="AF93" i="7"/>
  <c r="AF94" i="7"/>
  <c r="AF95" i="7"/>
  <c r="AF96" i="7"/>
  <c r="AF97" i="7"/>
  <c r="AF98" i="7"/>
  <c r="AF99" i="7"/>
  <c r="AF100" i="7"/>
  <c r="AF101" i="7"/>
  <c r="AF102" i="7"/>
  <c r="AF103" i="7"/>
  <c r="AF104" i="7"/>
  <c r="AF105" i="7"/>
  <c r="AF106" i="7"/>
  <c r="AF107" i="7"/>
  <c r="AF108" i="7"/>
  <c r="AF109" i="7"/>
  <c r="AF110" i="7"/>
  <c r="AF111" i="7"/>
  <c r="AF112" i="7"/>
  <c r="AF113" i="7"/>
  <c r="AF114" i="7"/>
  <c r="AF115" i="7"/>
  <c r="AF116" i="7"/>
  <c r="AF117" i="7"/>
  <c r="AF118" i="7"/>
  <c r="AF119" i="7"/>
  <c r="AF120" i="7"/>
  <c r="AF121" i="7"/>
  <c r="AF122" i="7"/>
  <c r="AF123" i="7"/>
  <c r="AF124" i="7"/>
  <c r="AF125" i="7"/>
  <c r="AF126" i="7"/>
  <c r="AF127" i="7"/>
  <c r="AF128" i="7"/>
  <c r="AF129" i="7"/>
  <c r="AF130" i="7"/>
  <c r="AF131" i="7"/>
  <c r="AF132" i="7"/>
  <c r="AF133" i="7"/>
  <c r="AF134" i="7"/>
  <c r="AF135" i="7"/>
  <c r="AF136" i="7"/>
  <c r="AF137" i="7"/>
  <c r="AF138" i="7"/>
  <c r="AF139" i="7"/>
  <c r="AF140" i="7"/>
  <c r="AF141" i="7"/>
  <c r="AF142" i="7"/>
  <c r="AF143" i="7"/>
  <c r="AF144" i="7"/>
  <c r="AF145" i="7"/>
  <c r="AF146" i="7"/>
  <c r="AF147" i="7"/>
  <c r="AF148" i="7"/>
  <c r="AF149" i="7"/>
  <c r="AF150" i="7"/>
  <c r="AF151" i="7"/>
  <c r="AF152" i="7"/>
  <c r="AF153" i="7"/>
  <c r="AF154" i="7"/>
  <c r="AF155" i="7"/>
  <c r="AF156" i="7"/>
  <c r="AF157" i="7"/>
  <c r="AF158" i="7"/>
  <c r="AF159" i="7"/>
  <c r="AF160" i="7"/>
  <c r="AF161" i="7"/>
  <c r="AF162" i="7"/>
  <c r="AF163" i="7"/>
  <c r="AF164" i="7"/>
  <c r="AF165" i="7"/>
  <c r="AF166" i="7"/>
  <c r="AF167" i="7"/>
  <c r="AF168" i="7"/>
  <c r="AF169" i="7"/>
  <c r="AF170" i="7"/>
  <c r="AF171" i="7"/>
  <c r="AF172" i="7"/>
  <c r="AF173" i="7"/>
  <c r="AF174" i="7"/>
  <c r="AF175" i="7"/>
  <c r="AF176" i="7"/>
  <c r="AF177" i="7"/>
  <c r="AF178" i="7"/>
  <c r="AF179" i="7"/>
  <c r="AF180" i="7"/>
  <c r="AF181" i="7"/>
  <c r="AF182" i="7"/>
  <c r="AF183" i="7"/>
  <c r="AF184" i="7"/>
  <c r="AF185" i="7"/>
  <c r="AF186" i="7"/>
  <c r="AF187" i="7"/>
  <c r="AF188" i="7"/>
  <c r="AF189" i="7"/>
  <c r="AF190" i="7"/>
  <c r="AF191" i="7"/>
  <c r="AF192" i="7"/>
  <c r="AF193" i="7"/>
  <c r="AF194" i="7"/>
  <c r="AF195" i="7"/>
  <c r="AF196" i="7"/>
  <c r="AF197" i="7"/>
  <c r="AF198" i="7"/>
  <c r="AF199" i="7"/>
  <c r="AF200" i="7"/>
  <c r="AF201" i="7"/>
  <c r="AF202" i="7"/>
  <c r="AF203" i="7"/>
  <c r="AF204" i="7"/>
  <c r="AF205" i="7"/>
  <c r="AF206" i="7"/>
  <c r="AF207" i="7"/>
  <c r="AF208" i="7"/>
  <c r="AF209" i="7"/>
  <c r="AF210" i="7"/>
  <c r="AF211" i="7"/>
  <c r="AF212" i="7"/>
  <c r="AF213" i="7"/>
  <c r="AF214" i="7"/>
  <c r="AF215" i="7"/>
  <c r="AF216" i="7"/>
  <c r="AF217" i="7"/>
  <c r="AF218" i="7"/>
  <c r="AF219" i="7"/>
  <c r="AF220" i="7"/>
  <c r="AF221" i="7"/>
  <c r="AF222" i="7"/>
  <c r="AF223" i="7"/>
  <c r="AF224" i="7"/>
  <c r="AF225" i="7"/>
  <c r="AF226" i="7"/>
  <c r="AF227" i="7"/>
  <c r="AF228" i="7"/>
  <c r="AF229" i="7"/>
  <c r="AF230" i="7"/>
  <c r="AF231" i="7"/>
  <c r="AF232" i="7"/>
  <c r="AF233" i="7"/>
  <c r="AF234" i="7"/>
  <c r="AF235" i="7"/>
  <c r="AF236" i="7"/>
  <c r="AF237" i="7"/>
  <c r="AF238" i="7"/>
  <c r="AF239" i="7"/>
  <c r="AF240" i="7"/>
  <c r="AF241" i="7"/>
  <c r="AF242" i="7"/>
  <c r="AF243" i="7"/>
  <c r="AF244" i="7"/>
  <c r="AF245" i="7"/>
  <c r="AF246" i="7"/>
  <c r="AF247" i="7"/>
  <c r="AF248" i="7"/>
  <c r="AF249" i="7"/>
  <c r="AF250" i="7"/>
  <c r="AF251" i="7"/>
  <c r="AF252" i="7"/>
  <c r="AF253" i="7"/>
  <c r="AF254" i="7"/>
  <c r="AF255" i="7"/>
  <c r="AF256" i="7"/>
  <c r="AF257" i="7"/>
  <c r="AF258" i="7"/>
  <c r="AF259" i="7"/>
  <c r="AF260" i="7"/>
  <c r="AF261" i="7"/>
  <c r="AF262" i="7"/>
  <c r="AF263" i="7"/>
  <c r="AF264" i="7"/>
  <c r="AF265" i="7"/>
  <c r="AF266" i="7"/>
  <c r="AF267" i="7"/>
  <c r="AF268" i="7"/>
  <c r="AF269" i="7"/>
  <c r="AF270" i="7"/>
  <c r="AF271" i="7"/>
  <c r="AF272" i="7"/>
  <c r="AF273" i="7"/>
  <c r="AF274" i="7"/>
  <c r="AF275" i="7"/>
  <c r="AF276" i="7"/>
  <c r="AF277" i="7"/>
  <c r="AF278" i="7"/>
  <c r="AF279" i="7"/>
  <c r="AF280" i="7"/>
  <c r="AF281" i="7"/>
  <c r="AF282" i="7"/>
  <c r="AF283" i="7"/>
  <c r="AF284" i="7"/>
  <c r="AF285" i="7"/>
  <c r="AF286" i="7"/>
  <c r="AF287" i="7"/>
  <c r="AF288" i="7"/>
  <c r="AF289" i="7"/>
  <c r="AF290" i="7"/>
  <c r="AF291" i="7"/>
  <c r="AF292" i="7"/>
  <c r="AF293" i="7"/>
  <c r="AF294" i="7"/>
  <c r="AF295" i="7"/>
  <c r="AF296" i="7"/>
  <c r="AF297" i="7"/>
  <c r="AF298" i="7"/>
  <c r="AF299" i="7"/>
  <c r="AF300" i="7"/>
  <c r="AF301" i="7"/>
  <c r="AF302" i="7"/>
  <c r="AF303" i="7"/>
  <c r="AF304" i="7"/>
  <c r="AF305" i="7"/>
  <c r="AF306" i="7"/>
  <c r="AF307" i="7"/>
  <c r="AF308" i="7"/>
  <c r="AF309" i="7"/>
  <c r="AF310" i="7"/>
  <c r="AF311" i="7"/>
  <c r="AF312" i="7"/>
  <c r="AF313" i="7"/>
  <c r="AF314" i="7"/>
  <c r="AF315" i="7"/>
  <c r="AF316" i="7"/>
  <c r="AF317" i="7"/>
  <c r="AF318" i="7"/>
  <c r="AF319" i="7"/>
  <c r="AF320" i="7"/>
  <c r="AF321" i="7"/>
  <c r="AF322" i="7"/>
  <c r="AF323" i="7"/>
  <c r="AF324" i="7"/>
  <c r="AF325" i="7"/>
  <c r="AF326" i="7"/>
  <c r="AF327" i="7"/>
  <c r="AF328" i="7"/>
  <c r="AF329" i="7"/>
  <c r="AF330" i="7"/>
  <c r="AF331" i="7"/>
  <c r="AF332" i="7"/>
  <c r="AF333" i="7"/>
  <c r="AF334" i="7"/>
  <c r="AF335" i="7"/>
  <c r="AF336" i="7"/>
  <c r="AF337" i="7"/>
  <c r="AF338" i="7"/>
  <c r="AF339" i="7"/>
  <c r="AF340" i="7"/>
  <c r="AF341" i="7"/>
  <c r="AF342" i="7"/>
  <c r="AF343" i="7"/>
  <c r="AF344" i="7"/>
  <c r="AF345" i="7"/>
  <c r="AF346" i="7"/>
  <c r="AF347" i="7"/>
  <c r="AF348" i="7"/>
  <c r="AF349" i="7"/>
  <c r="AF350" i="7"/>
  <c r="AF351" i="7"/>
  <c r="AF352" i="7"/>
  <c r="AF353" i="7"/>
  <c r="AF354" i="7"/>
  <c r="AF355" i="7"/>
  <c r="AF356" i="7"/>
  <c r="AF357" i="7"/>
  <c r="AF358" i="7"/>
  <c r="AF359" i="7"/>
  <c r="AF360" i="7"/>
  <c r="AF361" i="7"/>
  <c r="AF362" i="7"/>
  <c r="AF363" i="7"/>
  <c r="AF364" i="7"/>
  <c r="AF365" i="7"/>
  <c r="AF366" i="7"/>
  <c r="AF367" i="7"/>
  <c r="AF368" i="7"/>
  <c r="AF369" i="7"/>
  <c r="AF370" i="7"/>
  <c r="AF371" i="7"/>
  <c r="AF372" i="7"/>
  <c r="AF373" i="7"/>
  <c r="AF374" i="7"/>
  <c r="AF375" i="7"/>
  <c r="AF376" i="7"/>
  <c r="AF377" i="7"/>
  <c r="AF378" i="7"/>
  <c r="AF379" i="7"/>
  <c r="AF380" i="7"/>
  <c r="AF381" i="7"/>
  <c r="AF382" i="7"/>
  <c r="AF383" i="7"/>
  <c r="AF384" i="7"/>
  <c r="AF385" i="7"/>
  <c r="AF386" i="7"/>
  <c r="AF387" i="7"/>
  <c r="AF388" i="7"/>
  <c r="AF389" i="7"/>
  <c r="AF390" i="7"/>
  <c r="AF391" i="7"/>
  <c r="AF392" i="7"/>
  <c r="AF393" i="7"/>
  <c r="AF394" i="7"/>
  <c r="AF395" i="7"/>
  <c r="AF396" i="7"/>
  <c r="AF397" i="7"/>
  <c r="AF398" i="7"/>
  <c r="AF399" i="7"/>
  <c r="AF400" i="7"/>
  <c r="AF401" i="7"/>
  <c r="AF402" i="7"/>
  <c r="AF403" i="7"/>
  <c r="AF404" i="7"/>
  <c r="AF405" i="7"/>
  <c r="AF406" i="7"/>
  <c r="AF407" i="7"/>
  <c r="AF408" i="7"/>
  <c r="AF409" i="7"/>
  <c r="AF410" i="7"/>
  <c r="AF411" i="7"/>
  <c r="AF412" i="7"/>
  <c r="AF413" i="7"/>
  <c r="AF414" i="7"/>
  <c r="AF415" i="7"/>
  <c r="AF416" i="7"/>
  <c r="AF417" i="7"/>
  <c r="AF418" i="7"/>
  <c r="AF419" i="7"/>
  <c r="AF420" i="7"/>
  <c r="AF421" i="7"/>
  <c r="AF422" i="7"/>
  <c r="AF423" i="7"/>
  <c r="AF424" i="7"/>
  <c r="AF425" i="7"/>
  <c r="AF426" i="7"/>
  <c r="AF427" i="7"/>
  <c r="AF428" i="7"/>
  <c r="AF429" i="7"/>
  <c r="AF430" i="7"/>
  <c r="AF431" i="7"/>
  <c r="AF432" i="7"/>
  <c r="AF433" i="7"/>
  <c r="AF434" i="7"/>
  <c r="AF435" i="7"/>
  <c r="AF436" i="7"/>
  <c r="AF437" i="7"/>
  <c r="AF438" i="7"/>
  <c r="AF439" i="7"/>
  <c r="AF440" i="7"/>
  <c r="AF441" i="7"/>
  <c r="AF442" i="7"/>
  <c r="AF443" i="7"/>
  <c r="AF444" i="7"/>
  <c r="AF445" i="7"/>
  <c r="AF446" i="7"/>
  <c r="AF447" i="7"/>
  <c r="AF448" i="7"/>
  <c r="AF449" i="7"/>
  <c r="AF450" i="7"/>
  <c r="AF451" i="7"/>
  <c r="AF452" i="7"/>
  <c r="AF453" i="7"/>
  <c r="AF454" i="7"/>
  <c r="AF455" i="7"/>
  <c r="AF456" i="7"/>
  <c r="AF457" i="7"/>
  <c r="AF458" i="7"/>
  <c r="AF459" i="7"/>
  <c r="AF460" i="7"/>
  <c r="AF461" i="7"/>
  <c r="AF462" i="7"/>
  <c r="AF463" i="7"/>
  <c r="AF464" i="7"/>
  <c r="AF465" i="7"/>
  <c r="AF466" i="7"/>
  <c r="AF467" i="7"/>
  <c r="AF468" i="7"/>
  <c r="AF469" i="7"/>
  <c r="AF470" i="7"/>
  <c r="AF471" i="7"/>
  <c r="AF472" i="7"/>
  <c r="AF473" i="7"/>
  <c r="AF474" i="7"/>
  <c r="AF475" i="7"/>
  <c r="AF476" i="7"/>
  <c r="AF477" i="7"/>
  <c r="AF478" i="7"/>
  <c r="AF479" i="7"/>
  <c r="AF480" i="7"/>
  <c r="AF481" i="7"/>
  <c r="AF482" i="7"/>
  <c r="AF483" i="7"/>
  <c r="AF484" i="7"/>
  <c r="AF485" i="7"/>
  <c r="AF486" i="7"/>
  <c r="AF487" i="7"/>
  <c r="AF488" i="7"/>
  <c r="AF489" i="7"/>
  <c r="AF490" i="7"/>
  <c r="AF491" i="7"/>
  <c r="AF492" i="7"/>
  <c r="AF493" i="7"/>
  <c r="AF494" i="7"/>
  <c r="AF495" i="7"/>
  <c r="AF496" i="7"/>
  <c r="AF497" i="7"/>
  <c r="AF498" i="7"/>
  <c r="AF499" i="7"/>
  <c r="AF500" i="7"/>
  <c r="AF501" i="7"/>
  <c r="AF502" i="7"/>
  <c r="AF503" i="7"/>
  <c r="AF504" i="7"/>
  <c r="AF505" i="7"/>
  <c r="AF506" i="7"/>
  <c r="AF507" i="7"/>
  <c r="AF508" i="7"/>
  <c r="AF509" i="7"/>
  <c r="AF510" i="7"/>
  <c r="AF511" i="7"/>
  <c r="AF512" i="7"/>
  <c r="AF513" i="7"/>
  <c r="AF514" i="7"/>
  <c r="AF515" i="7"/>
  <c r="AF516" i="7"/>
  <c r="AF517" i="7"/>
  <c r="AF518" i="7"/>
  <c r="AF519" i="7"/>
  <c r="AF520" i="7"/>
  <c r="AF521" i="7"/>
  <c r="AF522" i="7"/>
  <c r="AF523" i="7"/>
  <c r="AF524" i="7"/>
  <c r="AF525" i="7"/>
  <c r="AF526" i="7"/>
  <c r="AF527" i="7"/>
  <c r="AF528" i="7"/>
  <c r="AF529" i="7"/>
  <c r="AF530" i="7"/>
  <c r="AF531" i="7"/>
  <c r="AF532" i="7"/>
  <c r="AF533" i="7"/>
  <c r="AF534" i="7"/>
  <c r="AF535" i="7"/>
  <c r="AF536" i="7"/>
  <c r="AF537" i="7"/>
  <c r="AF538" i="7"/>
  <c r="AF539" i="7"/>
  <c r="AF540" i="7"/>
  <c r="AF541" i="7"/>
  <c r="AF542" i="7"/>
  <c r="AF543" i="7"/>
  <c r="AF544" i="7"/>
  <c r="AF545" i="7"/>
  <c r="AF546" i="7"/>
  <c r="AF547" i="7"/>
  <c r="AF548" i="7"/>
  <c r="AF549" i="7"/>
  <c r="AF550" i="7"/>
  <c r="AF551" i="7"/>
  <c r="AF552" i="7"/>
  <c r="AF553" i="7"/>
  <c r="AF554" i="7"/>
  <c r="AF555" i="7"/>
  <c r="AF556" i="7"/>
  <c r="AF557" i="7"/>
  <c r="AF558" i="7"/>
  <c r="AF559" i="7"/>
  <c r="AF560" i="7"/>
  <c r="AF561" i="7"/>
  <c r="AF562" i="7"/>
  <c r="AF563" i="7"/>
  <c r="AF564" i="7"/>
  <c r="AF565" i="7"/>
  <c r="AF566" i="7"/>
  <c r="AF567" i="7"/>
  <c r="AF568" i="7"/>
  <c r="AF569" i="7"/>
  <c r="AF570" i="7"/>
  <c r="AF571" i="7"/>
  <c r="AF572" i="7"/>
  <c r="AF573" i="7"/>
  <c r="AF574" i="7"/>
  <c r="AF575" i="7"/>
  <c r="AF576" i="7"/>
  <c r="AF577" i="7"/>
  <c r="AF578" i="7"/>
  <c r="AF579" i="7"/>
  <c r="AF580" i="7"/>
  <c r="AF581" i="7"/>
  <c r="AF582" i="7"/>
  <c r="AF583" i="7"/>
  <c r="AF584" i="7"/>
  <c r="AF585" i="7"/>
  <c r="AF586" i="7"/>
  <c r="AF587" i="7"/>
  <c r="AF588" i="7"/>
  <c r="AF589" i="7"/>
  <c r="AF590" i="7"/>
  <c r="AF591" i="7"/>
  <c r="AF592" i="7"/>
  <c r="AF593" i="7"/>
  <c r="AF594" i="7"/>
  <c r="AF595" i="7"/>
  <c r="AF596" i="7"/>
  <c r="AF597" i="7"/>
  <c r="AF598" i="7"/>
  <c r="AF599" i="7"/>
  <c r="AF600" i="7"/>
  <c r="AF601" i="7"/>
  <c r="AF602" i="7"/>
  <c r="AF603" i="7"/>
  <c r="AF604" i="7"/>
  <c r="AF605" i="7"/>
  <c r="AF606" i="7"/>
  <c r="AF607" i="7"/>
  <c r="AF608" i="7"/>
  <c r="AF609" i="7"/>
  <c r="AF610" i="7"/>
  <c r="AF611" i="7"/>
  <c r="AF612" i="7"/>
  <c r="AF613" i="7"/>
  <c r="AF614" i="7"/>
  <c r="AF615" i="7"/>
  <c r="AF616" i="7"/>
  <c r="AF617" i="7"/>
  <c r="AF618" i="7"/>
  <c r="AF619" i="7"/>
  <c r="AF620" i="7"/>
  <c r="AF621" i="7"/>
  <c r="AF622" i="7"/>
  <c r="AF623" i="7"/>
  <c r="AF624" i="7"/>
  <c r="AF625" i="7"/>
  <c r="AF626" i="7"/>
  <c r="AF627" i="7"/>
  <c r="AF628" i="7"/>
  <c r="AF629" i="7"/>
  <c r="AF630" i="7"/>
  <c r="AF631" i="7"/>
  <c r="AF632" i="7"/>
  <c r="AF633" i="7"/>
  <c r="AF634" i="7"/>
  <c r="AF635" i="7"/>
  <c r="AF636" i="7"/>
  <c r="AF637" i="7"/>
  <c r="AF638" i="7"/>
  <c r="AF639" i="7"/>
  <c r="AF640" i="7"/>
  <c r="AF641" i="7"/>
  <c r="AF642" i="7"/>
  <c r="AF643" i="7"/>
  <c r="AF644" i="7"/>
  <c r="AF645" i="7"/>
  <c r="AF646" i="7"/>
  <c r="AF647" i="7"/>
  <c r="AF648" i="7"/>
  <c r="AF649" i="7"/>
  <c r="AF650" i="7"/>
  <c r="AF651" i="7"/>
  <c r="AF652" i="7"/>
  <c r="AF653" i="7"/>
  <c r="AF654" i="7"/>
  <c r="AF655" i="7"/>
  <c r="AF656" i="7"/>
  <c r="AF657" i="7"/>
  <c r="AF658" i="7"/>
  <c r="AF659" i="7"/>
  <c r="AF660" i="7"/>
  <c r="AF661" i="7"/>
  <c r="AF662" i="7"/>
  <c r="AF663" i="7"/>
  <c r="AF664" i="7"/>
  <c r="AF665" i="7"/>
  <c r="AF666" i="7"/>
  <c r="AF667" i="7"/>
  <c r="AF668" i="7"/>
  <c r="AF669" i="7"/>
  <c r="AF670" i="7"/>
  <c r="AF671" i="7"/>
  <c r="AF672" i="7"/>
  <c r="AF673" i="7"/>
  <c r="AF674" i="7"/>
  <c r="AF675" i="7"/>
  <c r="AF676" i="7"/>
  <c r="AF677" i="7"/>
  <c r="AF678" i="7"/>
  <c r="AF679" i="7"/>
  <c r="AF680" i="7"/>
  <c r="AF681" i="7"/>
  <c r="AF682" i="7"/>
  <c r="AF683" i="7"/>
  <c r="AF684" i="7"/>
  <c r="AF685" i="7"/>
  <c r="AF686" i="7"/>
  <c r="AF687" i="7"/>
  <c r="AF688" i="7"/>
  <c r="AF689" i="7"/>
  <c r="AF690" i="7"/>
  <c r="AF691" i="7"/>
  <c r="AF692" i="7"/>
  <c r="AF693" i="7"/>
  <c r="AF694" i="7"/>
  <c r="AF695" i="7"/>
  <c r="AF696" i="7"/>
  <c r="AF697" i="7"/>
  <c r="AF698" i="7"/>
  <c r="AF699" i="7"/>
  <c r="AF700" i="7"/>
  <c r="AF701" i="7"/>
  <c r="AF702" i="7"/>
  <c r="AF703" i="7"/>
  <c r="AF704" i="7"/>
  <c r="AF705" i="7"/>
  <c r="AF706" i="7"/>
  <c r="AF707" i="7"/>
  <c r="AF708" i="7"/>
  <c r="AF709" i="7"/>
  <c r="AF710" i="7"/>
  <c r="AF711" i="7"/>
  <c r="AF712" i="7"/>
  <c r="AF713" i="7"/>
  <c r="AF714" i="7"/>
  <c r="AF715" i="7"/>
  <c r="AF716" i="7"/>
  <c r="AF717" i="7"/>
  <c r="AF718" i="7"/>
  <c r="AF719" i="7"/>
  <c r="AF720" i="7"/>
  <c r="AF721" i="7"/>
  <c r="AF722" i="7"/>
  <c r="AF723" i="7"/>
  <c r="AF724" i="7"/>
  <c r="AF725" i="7"/>
  <c r="AF726" i="7"/>
  <c r="AF727" i="7"/>
  <c r="AF728" i="7"/>
  <c r="AF729" i="7"/>
  <c r="AF730" i="7"/>
  <c r="AF731" i="7"/>
  <c r="AF732" i="7"/>
  <c r="AF733" i="7"/>
  <c r="AF734" i="7"/>
  <c r="AF735" i="7"/>
  <c r="AF736" i="7"/>
  <c r="AF737" i="7"/>
  <c r="AF738" i="7"/>
  <c r="AF739" i="7"/>
  <c r="AF740" i="7"/>
  <c r="AF741" i="7"/>
  <c r="AF742" i="7"/>
  <c r="AF743" i="7"/>
  <c r="AF744" i="7"/>
  <c r="AF745" i="7"/>
  <c r="AF746" i="7"/>
  <c r="AF747" i="7"/>
  <c r="AF748" i="7"/>
  <c r="AF749" i="7"/>
  <c r="AF750" i="7"/>
  <c r="AF751" i="7"/>
  <c r="AF752" i="7"/>
  <c r="AF753" i="7"/>
  <c r="AF754" i="7"/>
  <c r="AF755" i="7"/>
  <c r="AF756" i="7"/>
  <c r="AF757" i="7"/>
  <c r="AF758" i="7"/>
  <c r="AF759" i="7"/>
  <c r="AF760" i="7"/>
  <c r="AF761" i="7"/>
  <c r="AF762" i="7"/>
  <c r="AF763" i="7"/>
  <c r="AF764" i="7"/>
  <c r="AF765" i="7"/>
  <c r="AF766" i="7"/>
  <c r="AF767" i="7"/>
  <c r="AF768" i="7"/>
  <c r="AF769" i="7"/>
  <c r="AF770" i="7"/>
  <c r="AF771" i="7"/>
  <c r="AF772" i="7"/>
  <c r="AF773" i="7"/>
  <c r="AF774" i="7"/>
  <c r="AF775" i="7"/>
  <c r="AF776" i="7"/>
  <c r="AF777" i="7"/>
  <c r="AF778" i="7"/>
  <c r="AF779" i="7"/>
  <c r="AF780" i="7"/>
  <c r="AF781" i="7"/>
  <c r="AF782" i="7"/>
  <c r="AF783" i="7"/>
  <c r="AF784" i="7"/>
  <c r="AF785" i="7"/>
  <c r="AF786" i="7"/>
  <c r="AF787" i="7"/>
  <c r="AF788" i="7"/>
  <c r="AF789" i="7"/>
  <c r="AF790" i="7"/>
  <c r="AF791" i="7"/>
  <c r="AF792" i="7"/>
  <c r="AF793" i="7"/>
  <c r="AF794" i="7"/>
  <c r="AF795" i="7"/>
  <c r="AF796" i="7"/>
  <c r="AF797" i="7"/>
  <c r="AF798" i="7"/>
  <c r="AF799" i="7"/>
  <c r="AF800" i="7"/>
  <c r="AF801" i="7"/>
  <c r="AF802" i="7"/>
  <c r="AF803" i="7"/>
  <c r="AF804" i="7"/>
  <c r="AF805" i="7"/>
  <c r="AF806" i="7"/>
  <c r="AF807" i="7"/>
  <c r="AF808" i="7"/>
  <c r="AF809" i="7"/>
  <c r="AF810" i="7"/>
  <c r="AF811" i="7"/>
  <c r="AF812" i="7"/>
  <c r="AF813" i="7"/>
  <c r="AF814" i="7"/>
  <c r="AF815" i="7"/>
  <c r="AF816" i="7"/>
  <c r="AF817" i="7"/>
  <c r="AF818" i="7"/>
  <c r="AF819" i="7"/>
  <c r="AF820" i="7"/>
  <c r="AF821" i="7"/>
  <c r="AF822" i="7"/>
  <c r="AF823" i="7"/>
  <c r="AF824" i="7"/>
  <c r="AF825" i="7"/>
  <c r="AF826" i="7"/>
  <c r="AF827" i="7"/>
  <c r="AF828" i="7"/>
  <c r="AF829" i="7"/>
  <c r="AF830" i="7"/>
  <c r="AF831" i="7"/>
  <c r="AF832" i="7"/>
  <c r="AF833" i="7"/>
  <c r="AF834" i="7"/>
  <c r="AF835" i="7"/>
  <c r="AF836" i="7"/>
  <c r="AF837" i="7"/>
  <c r="AF838" i="7"/>
  <c r="AF839" i="7"/>
  <c r="AF840" i="7"/>
  <c r="AF841" i="7"/>
  <c r="AF842" i="7"/>
  <c r="AF843" i="7"/>
  <c r="AF844" i="7"/>
  <c r="AF845" i="7"/>
  <c r="AF846" i="7"/>
  <c r="AF847" i="7"/>
  <c r="AF848" i="7"/>
  <c r="AF849" i="7"/>
  <c r="AF850" i="7"/>
  <c r="AF851" i="7"/>
  <c r="AF852" i="7"/>
  <c r="AF853" i="7"/>
  <c r="AF854" i="7"/>
  <c r="AF855" i="7"/>
  <c r="AF856" i="7"/>
  <c r="AF857" i="7"/>
  <c r="AF858" i="7"/>
  <c r="AF859" i="7"/>
  <c r="AF860" i="7"/>
  <c r="AF861" i="7"/>
  <c r="AF862" i="7"/>
  <c r="AF863" i="7"/>
  <c r="AF864" i="7"/>
  <c r="AF865" i="7"/>
  <c r="AF866" i="7"/>
  <c r="AF867" i="7"/>
  <c r="AF868" i="7"/>
  <c r="AF869" i="7"/>
  <c r="AF870" i="7"/>
  <c r="AF871" i="7"/>
  <c r="AF872" i="7"/>
  <c r="AF873" i="7"/>
  <c r="AF874" i="7"/>
  <c r="AF875" i="7"/>
  <c r="AF876" i="7"/>
  <c r="AF877" i="7"/>
  <c r="AF878" i="7"/>
  <c r="AF879" i="7"/>
  <c r="AF880" i="7"/>
  <c r="AF881" i="7"/>
  <c r="AF882" i="7"/>
  <c r="AF883" i="7"/>
  <c r="AF884" i="7"/>
  <c r="AF885" i="7"/>
  <c r="AF886" i="7"/>
  <c r="AF887" i="7"/>
  <c r="AF888" i="7"/>
  <c r="AF889" i="7"/>
  <c r="AF890" i="7"/>
  <c r="AF891" i="7"/>
  <c r="AF892" i="7"/>
  <c r="AF893" i="7"/>
  <c r="AF894" i="7"/>
  <c r="AF895" i="7"/>
  <c r="AF896" i="7"/>
  <c r="AF897" i="7"/>
  <c r="AF898" i="7"/>
  <c r="AF899" i="7"/>
  <c r="AF900" i="7"/>
  <c r="AF901" i="7"/>
  <c r="AF902" i="7"/>
  <c r="AF903" i="7"/>
  <c r="AF904" i="7"/>
  <c r="AF905" i="7"/>
  <c r="AF906" i="7"/>
  <c r="AF907" i="7"/>
  <c r="AF908" i="7"/>
  <c r="AF909" i="7"/>
  <c r="AF910" i="7"/>
  <c r="AF911" i="7"/>
  <c r="AF912" i="7"/>
  <c r="AF913" i="7"/>
  <c r="AF914" i="7"/>
  <c r="AF915" i="7"/>
  <c r="AF916" i="7"/>
  <c r="AF917" i="7"/>
  <c r="AF918" i="7"/>
  <c r="AF919" i="7"/>
  <c r="AF920" i="7"/>
  <c r="AF921" i="7"/>
  <c r="AF922" i="7"/>
  <c r="AF923" i="7"/>
  <c r="AF924" i="7"/>
  <c r="AF925" i="7"/>
  <c r="AF926" i="7"/>
  <c r="AF927" i="7"/>
  <c r="AF928" i="7"/>
  <c r="AF929" i="7"/>
  <c r="AF930" i="7"/>
  <c r="AF931" i="7"/>
  <c r="AF932" i="7"/>
  <c r="AF933" i="7"/>
  <c r="AF934" i="7"/>
  <c r="AF935" i="7"/>
  <c r="AF936" i="7"/>
  <c r="AF937" i="7"/>
  <c r="AF938" i="7"/>
  <c r="AF939" i="7"/>
  <c r="AF940" i="7"/>
  <c r="AF941" i="7"/>
  <c r="AF942" i="7"/>
  <c r="AF943" i="7"/>
  <c r="AF944" i="7"/>
  <c r="AF945" i="7"/>
  <c r="AF946" i="7"/>
  <c r="AF947" i="7"/>
  <c r="AF948" i="7"/>
  <c r="AF949" i="7"/>
  <c r="AF950" i="7"/>
  <c r="AF951" i="7"/>
  <c r="AF952" i="7"/>
  <c r="AF953" i="7"/>
  <c r="AF954" i="7"/>
  <c r="AF955" i="7"/>
  <c r="AF956" i="7"/>
  <c r="AF957" i="7"/>
  <c r="AF958" i="7"/>
  <c r="AF959" i="7"/>
  <c r="AF960" i="7"/>
  <c r="AF961" i="7"/>
  <c r="AF962" i="7"/>
  <c r="AF963" i="7"/>
  <c r="AF964" i="7"/>
  <c r="AF965" i="7"/>
  <c r="AF966" i="7"/>
  <c r="AF967" i="7"/>
  <c r="AF968" i="7"/>
  <c r="AF969" i="7"/>
  <c r="AF970" i="7"/>
  <c r="AF971" i="7"/>
  <c r="AF972" i="7"/>
  <c r="AF973" i="7"/>
  <c r="AF974" i="7"/>
  <c r="AF975" i="7"/>
  <c r="AF976" i="7"/>
  <c r="AF977" i="7"/>
  <c r="AF978" i="7"/>
  <c r="AF979" i="7"/>
  <c r="AF980" i="7"/>
  <c r="AF981" i="7"/>
  <c r="AF982" i="7"/>
  <c r="AF983" i="7"/>
  <c r="AF984" i="7"/>
  <c r="AF985" i="7"/>
  <c r="AF986" i="7"/>
  <c r="AF987" i="7"/>
  <c r="AF988" i="7"/>
  <c r="AF989" i="7"/>
  <c r="AF990" i="7"/>
  <c r="AF991" i="7"/>
  <c r="AF992" i="7"/>
  <c r="AF993" i="7"/>
  <c r="AF994" i="7"/>
  <c r="AF995" i="7"/>
  <c r="AF996" i="7"/>
  <c r="AF997" i="7"/>
  <c r="AF998" i="7"/>
  <c r="AF999" i="7"/>
  <c r="AF1000" i="7"/>
  <c r="AF1001" i="7"/>
  <c r="AF1002" i="7"/>
  <c r="AF1003" i="7"/>
  <c r="AF1004" i="7"/>
  <c r="AF1005" i="7"/>
  <c r="AF1006" i="7"/>
  <c r="AF1007" i="7"/>
  <c r="AF1008" i="7"/>
  <c r="AF1009" i="7"/>
  <c r="AF1010" i="7"/>
  <c r="AF1011" i="7"/>
  <c r="AF1012" i="7"/>
  <c r="AF1013" i="7"/>
  <c r="AF1014" i="7"/>
  <c r="AF1015" i="7"/>
  <c r="AF1016" i="7"/>
  <c r="AF1017" i="7"/>
  <c r="AF1018" i="7"/>
  <c r="AF1019" i="7"/>
  <c r="AF1020" i="7"/>
  <c r="AF1021" i="7"/>
  <c r="AF1022" i="7"/>
  <c r="AF1023" i="7"/>
  <c r="AF1024" i="7"/>
  <c r="AF1025" i="7"/>
  <c r="AF1026" i="7"/>
  <c r="AF1027" i="7"/>
  <c r="AF1028" i="7"/>
  <c r="AF1029" i="7"/>
  <c r="AF1030" i="7"/>
  <c r="AF1031" i="7"/>
  <c r="AF1032" i="7"/>
  <c r="AF1033" i="7"/>
  <c r="AF1034" i="7"/>
  <c r="AF1035" i="7"/>
  <c r="AF1036" i="7"/>
  <c r="AF1037" i="7"/>
  <c r="AF1038" i="7"/>
  <c r="AF1039" i="7"/>
  <c r="AF1040" i="7"/>
  <c r="AF1041" i="7"/>
  <c r="AF1042" i="7"/>
  <c r="AF1043" i="7"/>
  <c r="AF1044" i="7"/>
  <c r="AF1045" i="7"/>
  <c r="AF1046" i="7"/>
  <c r="AF1047" i="7"/>
  <c r="AF1048" i="7"/>
  <c r="AF1049" i="7"/>
  <c r="AF1050" i="7"/>
  <c r="AF1051" i="7"/>
  <c r="AF1052" i="7"/>
  <c r="AF1053" i="7"/>
  <c r="AF1054" i="7"/>
  <c r="AF1055" i="7"/>
  <c r="AF1056" i="7"/>
  <c r="AF1057" i="7"/>
  <c r="AF1058" i="7"/>
  <c r="AF1059" i="7"/>
  <c r="AF1060" i="7"/>
  <c r="AF1061" i="7"/>
  <c r="AF1062" i="7"/>
  <c r="AF1063" i="7"/>
  <c r="AF1064" i="7"/>
  <c r="AF1065" i="7"/>
  <c r="AF1066" i="7"/>
  <c r="AF1067" i="7"/>
  <c r="AF1068" i="7"/>
  <c r="AF1069" i="7"/>
  <c r="AF1070" i="7"/>
  <c r="AF1071" i="7"/>
  <c r="AF1072" i="7"/>
  <c r="AF1073" i="7"/>
  <c r="AF1074" i="7"/>
  <c r="AF1075" i="7"/>
  <c r="AF1076" i="7"/>
  <c r="AF1077" i="7"/>
  <c r="AF1078" i="7"/>
  <c r="AF1079" i="7"/>
  <c r="AF1080" i="7"/>
  <c r="AF1081" i="7"/>
  <c r="AF1082" i="7"/>
  <c r="AF1083" i="7"/>
  <c r="AF1084" i="7"/>
  <c r="AF1085" i="7"/>
  <c r="AF1086" i="7"/>
  <c r="AF1087" i="7"/>
  <c r="AF1088" i="7"/>
  <c r="AF1089" i="7"/>
  <c r="AF1090" i="7"/>
  <c r="AF1091" i="7"/>
  <c r="AF1092" i="7"/>
  <c r="AF1093" i="7"/>
  <c r="AF1094" i="7"/>
  <c r="AF1095" i="7"/>
  <c r="AF1096" i="7"/>
  <c r="AF1097" i="7"/>
  <c r="AF1098" i="7"/>
  <c r="AF1099" i="7"/>
  <c r="AF1100" i="7"/>
  <c r="AF1101" i="7"/>
  <c r="AF1102" i="7"/>
  <c r="AF1103" i="7"/>
  <c r="AF1104" i="7"/>
  <c r="AF1105" i="7"/>
  <c r="AF1106" i="7"/>
  <c r="AF1107" i="7"/>
  <c r="AF1108" i="7"/>
  <c r="AF1109" i="7"/>
  <c r="AF1110" i="7"/>
  <c r="AF1111" i="7"/>
  <c r="AF1112" i="7"/>
  <c r="AF1113" i="7"/>
  <c r="AF1114" i="7"/>
  <c r="AF1115" i="7"/>
  <c r="AF1116" i="7"/>
  <c r="AF1117" i="7"/>
  <c r="AF1118" i="7"/>
  <c r="AF1119" i="7"/>
  <c r="AF1120" i="7"/>
  <c r="AF1121" i="7"/>
  <c r="AF1122" i="7"/>
  <c r="AF1123" i="7"/>
  <c r="AF1124" i="7"/>
  <c r="AF1125" i="7"/>
  <c r="AF1126" i="7"/>
  <c r="AF1127" i="7"/>
  <c r="AF1128" i="7"/>
  <c r="AF1129" i="7"/>
  <c r="AF1130" i="7"/>
  <c r="AF1131" i="7"/>
  <c r="AF1132" i="7"/>
  <c r="AF1133" i="7"/>
  <c r="AF1134" i="7"/>
  <c r="AF1135" i="7"/>
  <c r="AF1136" i="7"/>
  <c r="AF1137" i="7"/>
  <c r="AF1138" i="7"/>
  <c r="AF1139" i="7"/>
  <c r="AF1140" i="7"/>
  <c r="AF1141" i="7"/>
  <c r="AF1142" i="7"/>
  <c r="AF1143" i="7"/>
  <c r="AF1144" i="7"/>
  <c r="AF1145" i="7"/>
  <c r="AF1146" i="7"/>
  <c r="AF1147" i="7"/>
  <c r="AF1148" i="7"/>
  <c r="AF1149" i="7"/>
  <c r="AF1150" i="7"/>
  <c r="AF1151" i="7"/>
  <c r="AF1152" i="7"/>
  <c r="AF1153" i="7"/>
  <c r="AF1154" i="7"/>
  <c r="AF1155" i="7"/>
  <c r="AF1156" i="7"/>
  <c r="AF1157" i="7"/>
  <c r="AF1158" i="7"/>
  <c r="AF1159" i="7"/>
  <c r="AF1160" i="7"/>
  <c r="AF1161" i="7"/>
  <c r="AF1162" i="7"/>
  <c r="AF1163" i="7"/>
  <c r="AF1164" i="7"/>
  <c r="AF1165" i="7"/>
  <c r="AF1166" i="7"/>
  <c r="AF1167" i="7"/>
  <c r="AF1168" i="7"/>
  <c r="AF1169" i="7"/>
  <c r="AF1170" i="7"/>
  <c r="AF1171" i="7"/>
  <c r="AF1172" i="7"/>
  <c r="AF1173" i="7"/>
  <c r="AF1174" i="7"/>
  <c r="AF1175" i="7"/>
  <c r="AF1176" i="7"/>
  <c r="AF1177" i="7"/>
  <c r="AF1178" i="7"/>
  <c r="AF1179" i="7"/>
  <c r="AF1180" i="7"/>
  <c r="AF1181" i="7"/>
  <c r="AF1182" i="7"/>
  <c r="AF1183" i="7"/>
  <c r="AF1184" i="7"/>
  <c r="AF1185" i="7"/>
  <c r="AF1186" i="7"/>
  <c r="AF1187" i="7"/>
  <c r="AF1188" i="7"/>
  <c r="AF1189" i="7"/>
  <c r="AF1190" i="7"/>
  <c r="AF1191" i="7"/>
  <c r="AF1192" i="7"/>
  <c r="AF1193" i="7"/>
  <c r="AF1194" i="7"/>
  <c r="AF1195" i="7"/>
  <c r="AF1196" i="7"/>
  <c r="AF1197" i="7"/>
  <c r="AF1198" i="7"/>
  <c r="AF1199" i="7"/>
  <c r="AF1200" i="7"/>
  <c r="AF1201" i="7"/>
  <c r="AF1202" i="7"/>
  <c r="AF1203" i="7"/>
  <c r="AF1204" i="7"/>
  <c r="AF1205" i="7"/>
  <c r="AF1206" i="7"/>
  <c r="AF1207" i="7"/>
  <c r="AF1208" i="7"/>
  <c r="AF1209" i="7"/>
  <c r="AF1210" i="7"/>
  <c r="AF1211" i="7"/>
  <c r="AF1212" i="7"/>
  <c r="AF1213" i="7"/>
  <c r="AF1214" i="7"/>
  <c r="AF1215" i="7"/>
  <c r="AF1216" i="7"/>
  <c r="AF1217" i="7"/>
  <c r="AF1218" i="7"/>
  <c r="AF1219" i="7"/>
  <c r="AF1220" i="7"/>
  <c r="AF1221" i="7"/>
  <c r="AF1222" i="7"/>
  <c r="AF1223" i="7"/>
  <c r="AF1224" i="7"/>
  <c r="AF1225" i="7"/>
  <c r="AF1226" i="7"/>
  <c r="AF1227" i="7"/>
  <c r="AF1228" i="7"/>
  <c r="AF1229" i="7"/>
  <c r="AF1230" i="7"/>
  <c r="AF1231" i="7"/>
  <c r="AF1232" i="7"/>
  <c r="AF1233" i="7"/>
  <c r="AF1234" i="7"/>
  <c r="AF1235" i="7"/>
  <c r="AF1236" i="7"/>
  <c r="AF1237" i="7"/>
  <c r="AF1238" i="7"/>
  <c r="AF1239" i="7"/>
  <c r="AF1240" i="7"/>
  <c r="AF1241" i="7"/>
  <c r="AF1242" i="7"/>
  <c r="AF1243" i="7"/>
  <c r="AF1244" i="7"/>
  <c r="AF1245" i="7"/>
  <c r="AF1246" i="7"/>
  <c r="AF1247" i="7"/>
  <c r="AF1248" i="7"/>
  <c r="AF1249" i="7"/>
  <c r="AF1250" i="7"/>
  <c r="AF1251" i="7"/>
  <c r="AF1252" i="7"/>
  <c r="AF1253" i="7"/>
  <c r="AF1254" i="7"/>
  <c r="AF1255" i="7"/>
  <c r="AF1256" i="7"/>
  <c r="AF1257" i="7"/>
  <c r="AF1258" i="7"/>
  <c r="AF1259" i="7"/>
  <c r="AF1260" i="7"/>
  <c r="AF1261" i="7"/>
  <c r="AF1262" i="7"/>
  <c r="AF1263" i="7"/>
  <c r="AF1264" i="7"/>
  <c r="AF1265" i="7"/>
  <c r="AF1266" i="7"/>
  <c r="AF1267" i="7"/>
  <c r="AF1268" i="7"/>
  <c r="AF1269" i="7"/>
  <c r="AF1270" i="7"/>
  <c r="AF1271" i="7"/>
  <c r="AF1272" i="7"/>
  <c r="AF1273" i="7"/>
  <c r="AF1274" i="7"/>
  <c r="AF1275" i="7"/>
  <c r="AF1276" i="7"/>
  <c r="AF1277" i="7"/>
  <c r="AF1278" i="7"/>
  <c r="AF1279" i="7"/>
  <c r="AF1280" i="7"/>
  <c r="AF1281" i="7"/>
  <c r="AF1282" i="7"/>
  <c r="AF1283" i="7"/>
  <c r="AF1284" i="7"/>
  <c r="AF1285" i="7"/>
  <c r="AF1286" i="7"/>
  <c r="AF1287" i="7"/>
  <c r="AF1288" i="7"/>
  <c r="AF1289" i="7"/>
  <c r="AF1290" i="7"/>
  <c r="AF1291" i="7"/>
  <c r="AF1292" i="7"/>
  <c r="AF1293" i="7"/>
  <c r="AF1294" i="7"/>
  <c r="AF1295" i="7"/>
  <c r="AF1296" i="7"/>
  <c r="AF1297" i="7"/>
  <c r="AF1298" i="7"/>
  <c r="AF1299" i="7"/>
  <c r="AF1300" i="7"/>
  <c r="AF1301" i="7"/>
  <c r="AF1302" i="7"/>
  <c r="AF1303" i="7"/>
  <c r="AF1304" i="7"/>
  <c r="AF1305" i="7"/>
  <c r="AF1306" i="7"/>
  <c r="AF1307" i="7"/>
  <c r="AF1308" i="7"/>
  <c r="AF1309" i="7"/>
  <c r="AF1310" i="7"/>
  <c r="AF1311" i="7"/>
  <c r="AF1312" i="7"/>
  <c r="AF1313" i="7"/>
  <c r="AF1314" i="7"/>
  <c r="AF1315" i="7"/>
  <c r="AF1316" i="7"/>
  <c r="AF1317" i="7"/>
  <c r="AF1318" i="7"/>
  <c r="AF1319" i="7"/>
  <c r="AF1320" i="7"/>
  <c r="AF1321" i="7"/>
  <c r="AF1322" i="7"/>
  <c r="AF1323" i="7"/>
  <c r="AF1324" i="7"/>
  <c r="AF1325" i="7"/>
  <c r="AF1326" i="7"/>
  <c r="AF1327" i="7"/>
  <c r="AF1328" i="7"/>
  <c r="AF1329" i="7"/>
  <c r="AF1330" i="7"/>
  <c r="AF1331" i="7"/>
  <c r="AF1332" i="7"/>
  <c r="AF1333" i="7"/>
  <c r="AF1334" i="7"/>
  <c r="AF1335" i="7"/>
  <c r="AF1336" i="7"/>
  <c r="AF1337" i="7"/>
  <c r="AF1338" i="7"/>
  <c r="AF1339" i="7"/>
  <c r="AF1340" i="7"/>
  <c r="AF1341" i="7"/>
  <c r="AF1342" i="7"/>
  <c r="AF1343" i="7"/>
  <c r="AF1344" i="7"/>
  <c r="AF1345" i="7"/>
  <c r="AF1346" i="7"/>
  <c r="AF1347" i="7"/>
  <c r="AF1348" i="7"/>
  <c r="AF1349" i="7"/>
  <c r="AF1350" i="7"/>
  <c r="AF1351" i="7"/>
  <c r="AF1352" i="7"/>
  <c r="AF1353" i="7"/>
  <c r="AF1354" i="7"/>
  <c r="AF1355" i="7"/>
  <c r="AF1356" i="7"/>
  <c r="AF1357" i="7"/>
  <c r="AF1358" i="7"/>
  <c r="AF1359" i="7"/>
  <c r="AF1360" i="7"/>
  <c r="AF1361" i="7"/>
  <c r="AF1362" i="7"/>
  <c r="AF1363" i="7"/>
  <c r="AF1364" i="7"/>
  <c r="AF1365" i="7"/>
  <c r="AF1366" i="7"/>
  <c r="AF1367" i="7"/>
  <c r="AF1368" i="7"/>
  <c r="AF1369" i="7"/>
  <c r="AF1370" i="7"/>
  <c r="AF1371" i="7"/>
  <c r="AF1372" i="7"/>
  <c r="AF1373" i="7"/>
  <c r="AF1374" i="7"/>
  <c r="AF1375" i="7"/>
  <c r="AF1376" i="7"/>
  <c r="AF1377" i="7"/>
  <c r="AF1378" i="7"/>
  <c r="AF1379" i="7"/>
  <c r="AF1380" i="7"/>
  <c r="AF1381" i="7"/>
  <c r="AF1382" i="7"/>
  <c r="AF1383" i="7"/>
  <c r="AF1384" i="7"/>
  <c r="AF1385" i="7"/>
  <c r="AF1386" i="7"/>
  <c r="AF1387" i="7"/>
  <c r="AF1388" i="7"/>
  <c r="AF1389" i="7"/>
  <c r="AF1390" i="7"/>
  <c r="AF1391" i="7"/>
  <c r="AF1392" i="7"/>
  <c r="AF1393" i="7"/>
  <c r="AF1394" i="7"/>
  <c r="AF1395" i="7"/>
  <c r="AF1396" i="7"/>
  <c r="AF1397" i="7"/>
  <c r="AF1398" i="7"/>
  <c r="AF1399" i="7"/>
  <c r="AF1400" i="7"/>
  <c r="AF1401" i="7"/>
  <c r="AF1402" i="7"/>
  <c r="AF1403" i="7"/>
  <c r="AF1404" i="7"/>
  <c r="AF1405" i="7"/>
  <c r="AF1406" i="7"/>
  <c r="AF1407" i="7"/>
  <c r="AF1408" i="7"/>
  <c r="AF1409" i="7"/>
  <c r="AF1410" i="7"/>
  <c r="AF1411" i="7"/>
  <c r="AF1412" i="7"/>
  <c r="AF1413" i="7"/>
  <c r="AF1414" i="7"/>
  <c r="AF1415" i="7"/>
  <c r="AF1416" i="7"/>
  <c r="AF1417" i="7"/>
  <c r="AF1418" i="7"/>
  <c r="AF1419" i="7"/>
  <c r="AF1420" i="7"/>
  <c r="AF1421" i="7"/>
  <c r="AF1422" i="7"/>
  <c r="AF1423" i="7"/>
  <c r="AF1424" i="7"/>
  <c r="AF1425" i="7"/>
  <c r="AF1426" i="7"/>
  <c r="AF1427" i="7"/>
  <c r="AF1428" i="7"/>
  <c r="AF1429" i="7"/>
  <c r="AF1430" i="7"/>
  <c r="AF1431" i="7"/>
  <c r="AF1432" i="7"/>
  <c r="AF1433" i="7"/>
  <c r="AF1434" i="7"/>
  <c r="AF1435" i="7"/>
  <c r="AF1436" i="7"/>
  <c r="AF1437" i="7"/>
  <c r="AF1438" i="7"/>
  <c r="AF1439" i="7"/>
  <c r="AF1440" i="7"/>
  <c r="AF1441" i="7"/>
  <c r="AF1442" i="7"/>
  <c r="AF1443" i="7"/>
  <c r="AF1444" i="7"/>
  <c r="AF1445" i="7"/>
  <c r="AF1446" i="7"/>
  <c r="AF1447" i="7"/>
  <c r="AF1448" i="7"/>
  <c r="AF1449" i="7"/>
  <c r="AF1450" i="7"/>
  <c r="AF1451" i="7"/>
  <c r="AF1452" i="7"/>
  <c r="AF1453" i="7"/>
  <c r="AF1454" i="7"/>
  <c r="AF1455" i="7"/>
  <c r="AF1456" i="7"/>
  <c r="AF1457" i="7"/>
  <c r="AF1458" i="7"/>
  <c r="AF1459" i="7"/>
  <c r="AF1460" i="7"/>
  <c r="AF1461" i="7"/>
  <c r="AF1462" i="7"/>
  <c r="AF1463" i="7"/>
  <c r="AF1464" i="7"/>
  <c r="AF1465" i="7"/>
  <c r="AF1466" i="7"/>
  <c r="AF1467" i="7"/>
  <c r="AF1468" i="7"/>
  <c r="AF1469" i="7"/>
  <c r="AF1470" i="7"/>
  <c r="AF1471" i="7"/>
  <c r="AF1472" i="7"/>
  <c r="AF1473" i="7"/>
  <c r="AF1474" i="7"/>
  <c r="AF1475" i="7"/>
  <c r="AF1476" i="7"/>
  <c r="AF1477" i="7"/>
  <c r="AF1478" i="7"/>
  <c r="AF1479" i="7"/>
  <c r="AF1480" i="7"/>
  <c r="AF1481" i="7"/>
  <c r="AF1482" i="7"/>
  <c r="AF1483" i="7"/>
  <c r="AF1484" i="7"/>
  <c r="AF1485" i="7"/>
  <c r="AF1486" i="7"/>
  <c r="AF1487" i="7"/>
  <c r="AF1488" i="7"/>
  <c r="AF1489" i="7"/>
  <c r="AF1490" i="7"/>
  <c r="AF1491" i="7"/>
  <c r="AF1492" i="7"/>
  <c r="AF1493" i="7"/>
  <c r="AF1494" i="7"/>
  <c r="AF1495" i="7"/>
  <c r="AF1496" i="7"/>
  <c r="AF1497" i="7"/>
  <c r="AF1498" i="7"/>
  <c r="AF1499" i="7"/>
  <c r="AF1500" i="7"/>
  <c r="AF1501" i="7"/>
  <c r="AF1502" i="7"/>
  <c r="AF1503" i="7"/>
  <c r="AF1504" i="7"/>
  <c r="AF1505" i="7"/>
  <c r="AF1506" i="7"/>
  <c r="AF1507" i="7"/>
  <c r="AF1508" i="7"/>
  <c r="AF1509" i="7"/>
  <c r="AF1510" i="7"/>
  <c r="AF1511" i="7"/>
  <c r="AF1512" i="7"/>
  <c r="AF1513" i="7"/>
  <c r="AF1514" i="7"/>
  <c r="AF1515" i="7"/>
  <c r="AF1516" i="7"/>
  <c r="AF1517" i="7"/>
  <c r="AF1518" i="7"/>
  <c r="AF1519" i="7"/>
  <c r="AF1520" i="7"/>
  <c r="AF1521" i="7"/>
  <c r="AF1522" i="7"/>
  <c r="AF1523" i="7"/>
  <c r="AF1524" i="7"/>
  <c r="AF1525" i="7"/>
  <c r="AF1526" i="7"/>
  <c r="AF1527" i="7"/>
  <c r="AF1528" i="7"/>
  <c r="AF1529" i="7"/>
  <c r="AF1530" i="7"/>
  <c r="AF1531" i="7"/>
  <c r="AF1532" i="7"/>
  <c r="AF1533" i="7"/>
  <c r="AF1534" i="7"/>
  <c r="AF1535" i="7"/>
  <c r="AF1536" i="7"/>
  <c r="AF1537" i="7"/>
  <c r="AF1538" i="7"/>
  <c r="AF1539" i="7"/>
  <c r="AF1540" i="7"/>
  <c r="AF1541" i="7"/>
  <c r="AF1542" i="7"/>
  <c r="AF1543" i="7"/>
  <c r="AF1544" i="7"/>
  <c r="AF1545" i="7"/>
  <c r="AF1546" i="7"/>
  <c r="AF1547" i="7"/>
  <c r="AF1548" i="7"/>
  <c r="AF1549" i="7"/>
  <c r="AF1550" i="7"/>
  <c r="AF1551" i="7"/>
  <c r="AF1552" i="7"/>
  <c r="AF1553" i="7"/>
  <c r="AF1554" i="7"/>
  <c r="AF1555" i="7"/>
  <c r="AF1556" i="7"/>
  <c r="AF1557" i="7"/>
  <c r="AF1558" i="7"/>
  <c r="AF1559" i="7"/>
  <c r="AF1560" i="7"/>
  <c r="AF1561" i="7"/>
  <c r="AF1562" i="7"/>
  <c r="AF1563" i="7"/>
  <c r="AF1564" i="7"/>
  <c r="AF1565" i="7"/>
  <c r="AF1566" i="7"/>
  <c r="AF1567" i="7"/>
  <c r="AF1568" i="7"/>
  <c r="AF1569" i="7"/>
  <c r="AF1570" i="7"/>
  <c r="AF1571" i="7"/>
  <c r="AF1572" i="7"/>
  <c r="AF1573" i="7"/>
  <c r="AF1574" i="7"/>
  <c r="AF1575" i="7"/>
  <c r="AF1576" i="7"/>
  <c r="AF1577" i="7"/>
  <c r="AF1578" i="7"/>
  <c r="AF1579" i="7"/>
  <c r="AF1580" i="7"/>
  <c r="AF1581" i="7"/>
  <c r="AF1582" i="7"/>
  <c r="AF1583" i="7"/>
  <c r="AF1584" i="7"/>
  <c r="AF1585" i="7"/>
  <c r="AF1586" i="7"/>
  <c r="AF1587" i="7"/>
  <c r="AF1588" i="7"/>
  <c r="AF1589" i="7"/>
  <c r="AF1590" i="7"/>
  <c r="AF1591" i="7"/>
  <c r="AF1592" i="7"/>
  <c r="AF1593" i="7"/>
  <c r="AF1594" i="7"/>
  <c r="AF1595" i="7"/>
  <c r="AF1596" i="7"/>
  <c r="AF1597" i="7"/>
  <c r="AF1598" i="7"/>
  <c r="AF1599" i="7"/>
  <c r="AF1600" i="7"/>
  <c r="AF1601" i="7"/>
  <c r="AF1602" i="7"/>
  <c r="AF1603" i="7"/>
  <c r="AF1604" i="7"/>
  <c r="AF1605" i="7"/>
  <c r="AF1606" i="7"/>
  <c r="AF1607" i="7"/>
  <c r="AF1608" i="7"/>
  <c r="AF1609" i="7"/>
  <c r="AF1610" i="7"/>
  <c r="AF1611" i="7"/>
  <c r="AF1612" i="7"/>
  <c r="AF1613" i="7"/>
  <c r="AF1614" i="7"/>
  <c r="AF1615" i="7"/>
  <c r="AF1616" i="7"/>
  <c r="AF1617" i="7"/>
  <c r="AF1618" i="7"/>
  <c r="AF1619" i="7"/>
  <c r="AF1620" i="7"/>
  <c r="AF1621" i="7"/>
  <c r="AF1622" i="7"/>
  <c r="AF1623" i="7"/>
  <c r="AF1624" i="7"/>
  <c r="AF1625" i="7"/>
  <c r="AF1626" i="7"/>
  <c r="AF1627" i="7"/>
  <c r="AF1628" i="7"/>
  <c r="AF1629" i="7"/>
  <c r="AF1630" i="7"/>
  <c r="AF1631" i="7"/>
  <c r="AF1632" i="7"/>
  <c r="AF1633" i="7"/>
  <c r="AF1634" i="7"/>
  <c r="AF1635" i="7"/>
  <c r="AF1636" i="7"/>
  <c r="AF1637" i="7"/>
  <c r="AF1638" i="7"/>
  <c r="AF1639" i="7"/>
  <c r="AF1640" i="7"/>
  <c r="AF1641" i="7"/>
  <c r="AF1642" i="7"/>
  <c r="AF1643" i="7"/>
  <c r="AF1644" i="7"/>
  <c r="AF1645" i="7"/>
  <c r="AF1646" i="7"/>
  <c r="AF1647" i="7"/>
  <c r="AF1648" i="7"/>
  <c r="AF1649" i="7"/>
  <c r="AF1650" i="7"/>
  <c r="AF1651" i="7"/>
  <c r="AF1652" i="7"/>
  <c r="AF1653" i="7"/>
  <c r="AF1654" i="7"/>
  <c r="AF1655" i="7"/>
  <c r="AF1656" i="7"/>
  <c r="AF1657" i="7"/>
  <c r="AF1658" i="7"/>
  <c r="AF1659" i="7"/>
  <c r="AF1660" i="7"/>
  <c r="AF1661" i="7"/>
  <c r="AF1662" i="7"/>
  <c r="AF1663" i="7"/>
  <c r="AF1664" i="7"/>
  <c r="AF1665" i="7"/>
  <c r="AF1666" i="7"/>
  <c r="AF1667" i="7"/>
  <c r="AF1668" i="7"/>
  <c r="AF1669" i="7"/>
  <c r="AF1670" i="7"/>
  <c r="AF1671" i="7"/>
  <c r="AF1672" i="7"/>
  <c r="AF1673" i="7"/>
  <c r="AF1674" i="7"/>
  <c r="AF1675" i="7"/>
  <c r="AF1676" i="7"/>
  <c r="AF1677" i="7"/>
  <c r="AF1678" i="7"/>
  <c r="AF1679" i="7"/>
  <c r="AF1680" i="7"/>
  <c r="AF1681" i="7"/>
  <c r="AF1682" i="7"/>
  <c r="AF1683" i="7"/>
  <c r="AF1684" i="7"/>
  <c r="AF1685" i="7"/>
  <c r="AF1686" i="7"/>
  <c r="AF1687" i="7"/>
  <c r="AF1688" i="7"/>
  <c r="AF1689" i="7"/>
  <c r="AF1690" i="7"/>
  <c r="AF1691" i="7"/>
  <c r="AF1692" i="7"/>
  <c r="AF1693" i="7"/>
  <c r="AF1694" i="7"/>
  <c r="AF1695" i="7"/>
  <c r="AF1696" i="7"/>
  <c r="AF1697" i="7"/>
  <c r="AF1698" i="7"/>
  <c r="AF1699" i="7"/>
  <c r="AF1700" i="7"/>
  <c r="AF1701" i="7"/>
  <c r="AF1702" i="7"/>
  <c r="AF1703" i="7"/>
  <c r="AF1704" i="7"/>
  <c r="AF1705" i="7"/>
  <c r="AF1706" i="7"/>
  <c r="AF1707" i="7"/>
  <c r="AF1708" i="7"/>
  <c r="AF1709" i="7"/>
  <c r="AF1710" i="7"/>
  <c r="AF1711" i="7"/>
  <c r="AF1712" i="7"/>
  <c r="AF1713" i="7"/>
  <c r="AF1714" i="7"/>
  <c r="AF1715" i="7"/>
  <c r="AF1716" i="7"/>
  <c r="AF1717" i="7"/>
  <c r="AF1718" i="7"/>
  <c r="AF1719" i="7"/>
  <c r="AF1720" i="7"/>
  <c r="AF1721" i="7"/>
  <c r="AF1722" i="7"/>
  <c r="AF1723" i="7"/>
  <c r="AF1724" i="7"/>
  <c r="AF1725" i="7"/>
  <c r="AF1726" i="7"/>
  <c r="AF1727" i="7"/>
  <c r="AF1728" i="7"/>
  <c r="AF1729" i="7"/>
  <c r="AF1730" i="7"/>
  <c r="AF1731" i="7"/>
  <c r="AF1732" i="7"/>
  <c r="AF1733" i="7"/>
  <c r="AF1734" i="7"/>
  <c r="AF1735" i="7"/>
  <c r="AF1736" i="7"/>
  <c r="AF1737" i="7"/>
  <c r="AF1738" i="7"/>
  <c r="AF1739" i="7"/>
  <c r="AF1740" i="7"/>
  <c r="AF1741" i="7"/>
  <c r="AF1742" i="7"/>
  <c r="AF1743" i="7"/>
  <c r="AF1744" i="7"/>
  <c r="AF1745" i="7"/>
  <c r="AF1746" i="7"/>
  <c r="AF1747" i="7"/>
  <c r="AF1748" i="7"/>
  <c r="AF1749" i="7"/>
  <c r="AF1750" i="7"/>
  <c r="AF1751" i="7"/>
  <c r="AF1752" i="7"/>
  <c r="AF1753" i="7"/>
  <c r="AF1754" i="7"/>
  <c r="AF1755" i="7"/>
  <c r="AF1756" i="7"/>
  <c r="AF1757" i="7"/>
  <c r="AF1758" i="7"/>
  <c r="AF1759" i="7"/>
  <c r="AF1760" i="7"/>
  <c r="AF1761" i="7"/>
  <c r="AF1762" i="7"/>
  <c r="AF1763" i="7"/>
  <c r="AF1764" i="7"/>
  <c r="AF1765" i="7"/>
  <c r="AF1766" i="7"/>
  <c r="AF1767" i="7"/>
  <c r="AF1768" i="7"/>
  <c r="AF1769" i="7"/>
  <c r="AF1770" i="7"/>
  <c r="AF1771" i="7"/>
  <c r="AF1772" i="7"/>
  <c r="AF1773" i="7"/>
  <c r="AF1774" i="7"/>
  <c r="AF1775" i="7"/>
  <c r="AF1776" i="7"/>
  <c r="AF1777" i="7"/>
  <c r="AF1778" i="7"/>
  <c r="AF1779" i="7"/>
  <c r="AF1780" i="7"/>
  <c r="AF1781" i="7"/>
  <c r="AF1782" i="7"/>
  <c r="AF1783" i="7"/>
  <c r="AF1784" i="7"/>
  <c r="AF1785" i="7"/>
  <c r="AF1786" i="7"/>
  <c r="AF1787" i="7"/>
  <c r="AF1788" i="7"/>
  <c r="AF1789" i="7"/>
  <c r="AF1790" i="7"/>
  <c r="AF1791" i="7"/>
  <c r="AF1792" i="7"/>
  <c r="AF1793" i="7"/>
  <c r="AF1794" i="7"/>
  <c r="AF1795" i="7"/>
  <c r="AF1796" i="7"/>
  <c r="AF1797" i="7"/>
  <c r="AF1798" i="7"/>
  <c r="AF1799" i="7"/>
  <c r="AF1800" i="7"/>
  <c r="AF1801" i="7"/>
  <c r="AF1802" i="7"/>
  <c r="AF1803" i="7"/>
  <c r="AF1804" i="7"/>
  <c r="AF1805" i="7"/>
  <c r="AF1806" i="7"/>
  <c r="AF1807" i="7"/>
  <c r="AF1808" i="7"/>
  <c r="AF1809" i="7"/>
  <c r="AF1810" i="7"/>
  <c r="AF1811" i="7"/>
  <c r="AF1812" i="7"/>
  <c r="AF1813" i="7"/>
  <c r="AF1814" i="7"/>
  <c r="AF1815" i="7"/>
  <c r="AF1816" i="7"/>
  <c r="AF1817" i="7"/>
  <c r="AF1818" i="7"/>
  <c r="AF1819" i="7"/>
  <c r="AF1820" i="7"/>
  <c r="AF1821" i="7"/>
  <c r="AF1822" i="7"/>
  <c r="AF1823" i="7"/>
  <c r="AF1824" i="7"/>
  <c r="AF1825" i="7"/>
  <c r="AF1826" i="7"/>
  <c r="AF1827" i="7"/>
  <c r="AF1828" i="7"/>
  <c r="AF1829" i="7"/>
  <c r="AF1830" i="7"/>
  <c r="AF1831" i="7"/>
  <c r="AF1832" i="7"/>
  <c r="AF1833" i="7"/>
  <c r="AF1834" i="7"/>
  <c r="AF1835" i="7"/>
  <c r="AF1836" i="7"/>
  <c r="AF1837" i="7"/>
  <c r="AF1838" i="7"/>
  <c r="AF1839" i="7"/>
  <c r="AF1840" i="7"/>
  <c r="AF1841" i="7"/>
  <c r="AF1842" i="7"/>
  <c r="AF1843" i="7"/>
  <c r="AF1844" i="7"/>
  <c r="AF1845" i="7"/>
  <c r="AF1846" i="7"/>
  <c r="AF1847" i="7"/>
  <c r="AF1848" i="7"/>
  <c r="AF1849" i="7"/>
  <c r="AF1850" i="7"/>
  <c r="AF1851" i="7"/>
  <c r="AF1852" i="7"/>
  <c r="AF1853" i="7"/>
  <c r="AF1854" i="7"/>
  <c r="AF1855" i="7"/>
  <c r="AF1856" i="7"/>
  <c r="AF1857" i="7"/>
  <c r="AF1858" i="7"/>
  <c r="AF1859" i="7"/>
  <c r="AF1860" i="7"/>
  <c r="AF1861" i="7"/>
  <c r="AF1862" i="7"/>
  <c r="AF1863" i="7"/>
  <c r="AF1864" i="7"/>
  <c r="AF1865" i="7"/>
  <c r="AF1866" i="7"/>
  <c r="AF1867" i="7"/>
  <c r="AF1868" i="7"/>
  <c r="AF1869" i="7"/>
  <c r="AF1870" i="7"/>
  <c r="AF1871" i="7"/>
  <c r="AF1872" i="7"/>
  <c r="AF1873" i="7"/>
  <c r="AF1874" i="7"/>
  <c r="AF1875" i="7"/>
  <c r="AF1876" i="7"/>
  <c r="AF1877" i="7"/>
  <c r="AF1878" i="7"/>
  <c r="AF1879" i="7"/>
  <c r="AF1880" i="7"/>
  <c r="AF1881" i="7"/>
  <c r="AF1882" i="7"/>
  <c r="AF1883" i="7"/>
  <c r="AF1884" i="7"/>
  <c r="AF1885" i="7"/>
  <c r="AF1886" i="7"/>
  <c r="AF1887" i="7"/>
  <c r="AF1888" i="7"/>
  <c r="AF1889" i="7"/>
  <c r="AF1890" i="7"/>
  <c r="AF1891" i="7"/>
  <c r="AF1892" i="7"/>
  <c r="AF1893" i="7"/>
  <c r="AF1894" i="7"/>
  <c r="AF1895" i="7"/>
  <c r="AF1896" i="7"/>
  <c r="AF1897" i="7"/>
  <c r="AF1898" i="7"/>
  <c r="AF1899" i="7"/>
  <c r="AF1900" i="7"/>
  <c r="AF1901" i="7"/>
  <c r="AF1902" i="7"/>
  <c r="AF1903" i="7"/>
  <c r="AF1904" i="7"/>
  <c r="AF1905" i="7"/>
  <c r="AF1906" i="7"/>
  <c r="AF1907" i="7"/>
  <c r="AF1908" i="7"/>
  <c r="AF1909" i="7"/>
  <c r="AF1910" i="7"/>
  <c r="AF1911" i="7"/>
  <c r="AF1912" i="7"/>
  <c r="AF1913" i="7"/>
  <c r="AF1914" i="7"/>
  <c r="AF1915" i="7"/>
  <c r="AF1916" i="7"/>
  <c r="AF1917" i="7"/>
  <c r="AF1918" i="7"/>
  <c r="AF1919" i="7"/>
  <c r="AF1920" i="7"/>
  <c r="AF1921" i="7"/>
  <c r="AF1922" i="7"/>
  <c r="AF1923" i="7"/>
  <c r="AF1924" i="7"/>
  <c r="AF1925" i="7"/>
  <c r="AF1926" i="7"/>
  <c r="AF1927" i="7"/>
  <c r="AF1928" i="7"/>
  <c r="AF1929" i="7"/>
  <c r="AF1930" i="7"/>
  <c r="AF1931" i="7"/>
  <c r="AF1932" i="7"/>
  <c r="AF1933" i="7"/>
  <c r="AF1934" i="7"/>
  <c r="AF1935" i="7"/>
  <c r="AF1936" i="7"/>
  <c r="AF1937" i="7"/>
  <c r="AF1938" i="7"/>
  <c r="AF1939" i="7"/>
  <c r="AF1940" i="7"/>
  <c r="AF1941" i="7"/>
  <c r="AF1942" i="7"/>
  <c r="AF1943" i="7"/>
  <c r="AF1944" i="7"/>
  <c r="AF1945" i="7"/>
  <c r="AF1946" i="7"/>
  <c r="AF1947" i="7"/>
  <c r="AF1948" i="7"/>
  <c r="AF1949" i="7"/>
  <c r="AF1950" i="7"/>
  <c r="AF1951" i="7"/>
  <c r="AF1952" i="7"/>
  <c r="AF1953" i="7"/>
  <c r="AF1954" i="7"/>
  <c r="AF1955" i="7"/>
  <c r="AF1956" i="7"/>
  <c r="AF1957" i="7"/>
  <c r="AF1958" i="7"/>
  <c r="AF1959" i="7"/>
  <c r="AF1960" i="7"/>
  <c r="AF1961" i="7"/>
  <c r="AF1962" i="7"/>
  <c r="AF1963" i="7"/>
  <c r="AF1964" i="7"/>
  <c r="AF1965" i="7"/>
  <c r="AF1966" i="7"/>
  <c r="AF1967" i="7"/>
  <c r="AF1968" i="7"/>
  <c r="AF1969" i="7"/>
  <c r="AF1970" i="7"/>
  <c r="AF1971" i="7"/>
  <c r="AF1972" i="7"/>
  <c r="AF1973" i="7"/>
  <c r="AF1974" i="7"/>
  <c r="AF1975" i="7"/>
  <c r="AF1976" i="7"/>
  <c r="AF1977" i="7"/>
  <c r="AF1978" i="7"/>
  <c r="AF1979" i="7"/>
  <c r="AF1980" i="7"/>
  <c r="AF1981" i="7"/>
  <c r="AF1982" i="7"/>
  <c r="AF1983" i="7"/>
  <c r="AF1984" i="7"/>
  <c r="AF1985" i="7"/>
  <c r="AF1986" i="7"/>
  <c r="AF1987" i="7"/>
  <c r="AF1988" i="7"/>
  <c r="AF1989" i="7"/>
  <c r="AF1990" i="7"/>
  <c r="AF1991" i="7"/>
  <c r="AF1992" i="7"/>
  <c r="AF1993" i="7"/>
  <c r="AF1994" i="7"/>
  <c r="AF1995" i="7"/>
  <c r="AF1996" i="7"/>
  <c r="AF1997" i="7"/>
  <c r="AF1998" i="7"/>
  <c r="AF1999" i="7"/>
  <c r="AF2000" i="7"/>
  <c r="AF2001" i="7"/>
  <c r="AF2002" i="7"/>
  <c r="AF2003" i="7"/>
  <c r="AF2004" i="7"/>
  <c r="AF2005" i="7"/>
  <c r="AF2006" i="7"/>
  <c r="AF2007" i="7"/>
  <c r="AF2008" i="7"/>
  <c r="AF2009" i="7"/>
  <c r="AF2010" i="7"/>
  <c r="AF2011" i="7"/>
  <c r="AF2012" i="7"/>
  <c r="AF2013" i="7"/>
  <c r="AF2014" i="7"/>
  <c r="AF2015" i="7"/>
  <c r="AF2016" i="7"/>
  <c r="AF2017" i="7"/>
  <c r="AF2018" i="7"/>
  <c r="AF2019" i="7"/>
  <c r="AF2020" i="7"/>
  <c r="AF2021" i="7"/>
  <c r="AF2022" i="7"/>
  <c r="AF2023" i="7"/>
  <c r="AF2024" i="7"/>
  <c r="AF2025" i="7"/>
  <c r="AF2026" i="7"/>
  <c r="AF2027" i="7"/>
  <c r="AF2028" i="7"/>
  <c r="AF2029" i="7"/>
  <c r="AF2030" i="7"/>
  <c r="AF2031" i="7"/>
  <c r="AF2032" i="7"/>
  <c r="AF2033" i="7"/>
  <c r="AF2034" i="7"/>
  <c r="AF2035" i="7"/>
  <c r="AF2036" i="7"/>
  <c r="AF2037" i="7"/>
  <c r="AF2038" i="7"/>
  <c r="AF2039" i="7"/>
  <c r="AF2040" i="7"/>
  <c r="AF2041" i="7"/>
  <c r="AF2042" i="7"/>
  <c r="AF2043" i="7"/>
  <c r="AF2044" i="7"/>
  <c r="AF2045" i="7"/>
  <c r="AF2046" i="7"/>
  <c r="AF2047" i="7"/>
  <c r="AF2048" i="7"/>
  <c r="AF2049" i="7"/>
  <c r="AF2050" i="7"/>
  <c r="AF2051" i="7"/>
  <c r="AF2052" i="7"/>
  <c r="AF2053" i="7"/>
  <c r="AF2054" i="7"/>
  <c r="AF2055" i="7"/>
  <c r="AF2056" i="7"/>
  <c r="AF2057" i="7"/>
  <c r="AF2058" i="7"/>
  <c r="AF2059" i="7"/>
  <c r="AF2060" i="7"/>
  <c r="AF2061" i="7"/>
  <c r="AF2062" i="7"/>
  <c r="AF2063" i="7"/>
  <c r="AF2064" i="7"/>
  <c r="AF2065" i="7"/>
  <c r="AF2066" i="7"/>
  <c r="AF2067" i="7"/>
  <c r="AF2068" i="7"/>
  <c r="AF2069" i="7"/>
  <c r="AF2070" i="7"/>
  <c r="AF2071" i="7"/>
  <c r="AF2072" i="7"/>
  <c r="AF2073" i="7"/>
  <c r="AF2074" i="7"/>
  <c r="AF2075" i="7"/>
  <c r="AF2076" i="7"/>
  <c r="AF2077" i="7"/>
  <c r="AF2078" i="7"/>
  <c r="AF2079" i="7"/>
  <c r="AF2080" i="7"/>
  <c r="AF2081" i="7"/>
  <c r="AF2082" i="7"/>
  <c r="AF2083" i="7"/>
  <c r="AF2084" i="7"/>
  <c r="AF2085" i="7"/>
  <c r="AF2086" i="7"/>
  <c r="AF2087" i="7"/>
  <c r="AF2088" i="7"/>
  <c r="AF2089" i="7"/>
  <c r="AF2090" i="7"/>
  <c r="AF2091" i="7"/>
  <c r="AF2092" i="7"/>
  <c r="AF2093" i="7"/>
  <c r="AF2094" i="7"/>
  <c r="AF2095" i="7"/>
  <c r="AF2096" i="7"/>
  <c r="AF2097" i="7"/>
  <c r="AF2098" i="7"/>
  <c r="AF2099" i="7"/>
  <c r="AF2100" i="7"/>
  <c r="AF2101" i="7"/>
  <c r="AF2102" i="7"/>
  <c r="AF2103" i="7"/>
  <c r="AF2104" i="7"/>
  <c r="AF2105" i="7"/>
  <c r="AF2106" i="7"/>
  <c r="AF2107" i="7"/>
  <c r="AF2108" i="7"/>
  <c r="AF2109" i="7"/>
  <c r="AF2110" i="7"/>
  <c r="AF2111" i="7"/>
  <c r="AF2112" i="7"/>
  <c r="AF2113" i="7"/>
  <c r="AF2114" i="7"/>
  <c r="AF2115" i="7"/>
  <c r="AF2116" i="7"/>
  <c r="AF2117" i="7"/>
  <c r="AF2118" i="7"/>
  <c r="AF2119" i="7"/>
  <c r="AF2120" i="7"/>
  <c r="AF2121" i="7"/>
  <c r="AF2122" i="7"/>
  <c r="AF2123" i="7"/>
  <c r="AF2124" i="7"/>
  <c r="AF2125" i="7"/>
  <c r="AF2126" i="7"/>
  <c r="AF2127" i="7"/>
  <c r="AF2128" i="7"/>
  <c r="AF2129" i="7"/>
  <c r="AF2130" i="7"/>
  <c r="AF2131" i="7"/>
  <c r="AF2132" i="7"/>
  <c r="AF2133" i="7"/>
  <c r="AF2134" i="7"/>
  <c r="AF2135" i="7"/>
  <c r="AF2136" i="7"/>
  <c r="AF2137" i="7"/>
  <c r="AF2138" i="7"/>
  <c r="AF2139" i="7"/>
  <c r="AF2140" i="7"/>
  <c r="AF2141" i="7"/>
  <c r="AF2142" i="7"/>
  <c r="AF2143" i="7"/>
  <c r="AF2144" i="7"/>
  <c r="AF2145" i="7"/>
  <c r="AF2146" i="7"/>
  <c r="AF2147" i="7"/>
  <c r="AF2148" i="7"/>
  <c r="AF2149" i="7"/>
  <c r="AF2150" i="7"/>
  <c r="AF2151" i="7"/>
  <c r="AF2152" i="7"/>
  <c r="AF2153" i="7"/>
  <c r="AF2154" i="7"/>
  <c r="AF2155" i="7"/>
  <c r="AF2156" i="7"/>
  <c r="AF2157" i="7"/>
  <c r="AF2158" i="7"/>
  <c r="AF2159" i="7"/>
  <c r="AF2160" i="7"/>
  <c r="AF2161" i="7"/>
  <c r="AF2162" i="7"/>
  <c r="AF2163" i="7"/>
  <c r="AF2164" i="7"/>
  <c r="AF2165" i="7"/>
  <c r="AF2166" i="7"/>
  <c r="AF2167" i="7"/>
  <c r="AF2168" i="7"/>
  <c r="AF2169" i="7"/>
  <c r="AF2170" i="7"/>
  <c r="AF2171" i="7"/>
  <c r="AF2172" i="7"/>
  <c r="AF2173" i="7"/>
  <c r="AF2174" i="7"/>
  <c r="AF2175" i="7"/>
  <c r="AF2176" i="7"/>
  <c r="AF2177" i="7"/>
  <c r="AF2178" i="7"/>
  <c r="AF2179" i="7"/>
  <c r="AF2180" i="7"/>
  <c r="AF2181" i="7"/>
  <c r="AF2182" i="7"/>
  <c r="AF2183" i="7"/>
  <c r="AF2184" i="7"/>
  <c r="AF2185" i="7"/>
  <c r="AF2186" i="7"/>
  <c r="AF2187" i="7"/>
  <c r="AF2188" i="7"/>
  <c r="AF2189" i="7"/>
  <c r="AF2190" i="7"/>
  <c r="AF2191" i="7"/>
  <c r="AF2192" i="7"/>
  <c r="AF2193" i="7"/>
  <c r="AF2194" i="7"/>
  <c r="AF2195" i="7"/>
  <c r="AF2196" i="7"/>
  <c r="AF2197" i="7"/>
  <c r="AF2198" i="7"/>
  <c r="AF2199" i="7"/>
  <c r="AF2200" i="7"/>
  <c r="AF2201" i="7"/>
  <c r="AF2202" i="7"/>
  <c r="AF2203" i="7"/>
  <c r="AF2204" i="7"/>
  <c r="AF2205" i="7"/>
  <c r="AF2206" i="7"/>
  <c r="AF2207" i="7"/>
  <c r="AF2208" i="7"/>
  <c r="AF2209" i="7"/>
  <c r="AF2210" i="7"/>
  <c r="AF2211" i="7"/>
  <c r="AF2212" i="7"/>
  <c r="AF2213" i="7"/>
  <c r="AF2214" i="7"/>
  <c r="AF2215" i="7"/>
  <c r="AF2216" i="7"/>
  <c r="AF2217" i="7"/>
  <c r="AF2218" i="7"/>
  <c r="AF2219" i="7"/>
  <c r="AF2220" i="7"/>
  <c r="AF2221" i="7"/>
  <c r="AF2222" i="7"/>
  <c r="AF2223" i="7"/>
  <c r="AF2224" i="7"/>
  <c r="AF2225" i="7"/>
  <c r="AF2226" i="7"/>
  <c r="AF2227" i="7"/>
  <c r="AF2228" i="7"/>
  <c r="AF2229" i="7"/>
  <c r="AF2230" i="7"/>
  <c r="AF2231" i="7"/>
  <c r="AF2232" i="7"/>
  <c r="AF2233" i="7"/>
  <c r="AF2234" i="7"/>
  <c r="AF2235" i="7"/>
  <c r="AF2236" i="7"/>
  <c r="AF2237" i="7"/>
  <c r="AF2238" i="7"/>
  <c r="AF2239" i="7"/>
  <c r="AF2240" i="7"/>
  <c r="AF2241" i="7"/>
  <c r="AF2242" i="7"/>
  <c r="AF2243" i="7"/>
  <c r="AF2244" i="7"/>
  <c r="AF2245" i="7"/>
  <c r="AF2246" i="7"/>
  <c r="AF2247" i="7"/>
  <c r="AF2248" i="7"/>
  <c r="AF2249" i="7"/>
  <c r="AF2250" i="7"/>
  <c r="AF2251" i="7"/>
  <c r="AF2252" i="7"/>
  <c r="AF2253" i="7"/>
  <c r="AF2254" i="7"/>
  <c r="AF2255" i="7"/>
  <c r="AF2256" i="7"/>
  <c r="AF2257" i="7"/>
  <c r="AF2258" i="7"/>
  <c r="AF2259" i="7"/>
  <c r="AF2260" i="7"/>
  <c r="AF2261" i="7"/>
  <c r="AF2262" i="7"/>
  <c r="AF2263" i="7"/>
  <c r="AF2264" i="7"/>
  <c r="AF2265" i="7"/>
  <c r="AF2266" i="7"/>
  <c r="AF2267" i="7"/>
  <c r="AF2268" i="7"/>
  <c r="AF2269" i="7"/>
  <c r="AF2270" i="7"/>
  <c r="AF2271" i="7"/>
  <c r="AF2272" i="7"/>
  <c r="AF2273" i="7"/>
  <c r="AF2274" i="7"/>
  <c r="AF2275" i="7"/>
  <c r="AF2276" i="7"/>
  <c r="AF2277" i="7"/>
  <c r="AF2278" i="7"/>
  <c r="AF2279" i="7"/>
  <c r="AF2280" i="7"/>
  <c r="AF2281" i="7"/>
  <c r="AF2282" i="7"/>
  <c r="AF2283" i="7"/>
  <c r="AF2284" i="7"/>
  <c r="AF2285" i="7"/>
  <c r="AF2286" i="7"/>
  <c r="AF2287" i="7"/>
  <c r="AF2288" i="7"/>
  <c r="AF2289" i="7"/>
  <c r="AF2290" i="7"/>
  <c r="AF2291" i="7"/>
  <c r="AF2292" i="7"/>
  <c r="AF2293" i="7"/>
  <c r="AF2294" i="7"/>
  <c r="AF2295" i="7"/>
  <c r="AF2296" i="7"/>
  <c r="AF2297" i="7"/>
  <c r="AF2298" i="7"/>
  <c r="AF2299" i="7"/>
  <c r="AF2300" i="7"/>
  <c r="AF2301" i="7"/>
  <c r="AF2302" i="7"/>
  <c r="AF2303" i="7"/>
  <c r="AF2304" i="7"/>
  <c r="AF2305" i="7"/>
  <c r="AF2306" i="7"/>
  <c r="AF2307" i="7"/>
  <c r="AF2308" i="7"/>
  <c r="AF2309" i="7"/>
  <c r="AF2310" i="7"/>
  <c r="AF2311" i="7"/>
  <c r="AF2312" i="7"/>
  <c r="AF2313" i="7"/>
  <c r="AF2314" i="7"/>
  <c r="AF2315" i="7"/>
  <c r="AF2316" i="7"/>
  <c r="AF2317" i="7"/>
  <c r="AF2318" i="7"/>
  <c r="AF2319" i="7"/>
  <c r="AF2320" i="7"/>
  <c r="AF2321" i="7"/>
  <c r="AF2322" i="7"/>
  <c r="AF2323" i="7"/>
  <c r="AF2324" i="7"/>
  <c r="AF2325" i="7"/>
  <c r="AF2326" i="7"/>
  <c r="AF2327" i="7"/>
  <c r="AF2328" i="7"/>
  <c r="AF2329" i="7"/>
  <c r="AF2330" i="7"/>
  <c r="AF2331" i="7"/>
  <c r="AF2332" i="7"/>
  <c r="AF2333" i="7"/>
  <c r="AF2334" i="7"/>
  <c r="AF2335" i="7"/>
  <c r="AF2336" i="7"/>
  <c r="AF2337" i="7"/>
  <c r="AF2338" i="7"/>
  <c r="AF2339" i="7"/>
  <c r="AF2340" i="7"/>
  <c r="AF2341" i="7"/>
  <c r="AF2342" i="7"/>
  <c r="AF2343" i="7"/>
  <c r="AF2344" i="7"/>
  <c r="AF2345" i="7"/>
  <c r="AF2346" i="7"/>
  <c r="AF2347" i="7"/>
  <c r="AF2348" i="7"/>
  <c r="AF2349" i="7"/>
  <c r="AF2350" i="7"/>
  <c r="AF2351" i="7"/>
  <c r="AF2352" i="7"/>
  <c r="AF2353" i="7"/>
  <c r="AF2354" i="7"/>
  <c r="AF2355" i="7"/>
  <c r="AF2356" i="7"/>
  <c r="AF2357" i="7"/>
  <c r="AF2358" i="7"/>
  <c r="AF2359" i="7"/>
  <c r="AF2360" i="7"/>
  <c r="AF2361" i="7"/>
  <c r="AF2362" i="7"/>
  <c r="AF2363" i="7"/>
  <c r="AF2364" i="7"/>
  <c r="AF2365" i="7"/>
  <c r="AF2366" i="7"/>
  <c r="AF2367" i="7"/>
  <c r="AF2368" i="7"/>
  <c r="AF2369" i="7"/>
  <c r="AF2370" i="7"/>
  <c r="AF2371" i="7"/>
  <c r="AF2372" i="7"/>
  <c r="AF2373" i="7"/>
  <c r="AF2374" i="7"/>
  <c r="AF2375" i="7"/>
  <c r="AF2376" i="7"/>
  <c r="AF2377" i="7"/>
  <c r="AF2378" i="7"/>
  <c r="AF2379" i="7"/>
  <c r="AF2380" i="7"/>
  <c r="AF2381" i="7"/>
  <c r="AF2382" i="7"/>
  <c r="AF2383" i="7"/>
  <c r="AF2384" i="7"/>
  <c r="AF2385" i="7"/>
  <c r="AF2386" i="7"/>
  <c r="AF2387" i="7"/>
  <c r="AF2388" i="7"/>
  <c r="AF2389" i="7"/>
  <c r="AF2390" i="7"/>
  <c r="AF2391" i="7"/>
  <c r="AF2392" i="7"/>
  <c r="AF2393" i="7"/>
  <c r="AF2394" i="7"/>
  <c r="AF2395" i="7"/>
  <c r="AF2396" i="7"/>
  <c r="AF2397" i="7"/>
  <c r="AF2398" i="7"/>
  <c r="AF2399" i="7"/>
  <c r="AF2400" i="7"/>
  <c r="AF2401" i="7"/>
  <c r="AF2402" i="7"/>
  <c r="AF2403" i="7"/>
  <c r="AF2404" i="7"/>
  <c r="AF2405" i="7"/>
  <c r="AF2406" i="7"/>
  <c r="AF2407" i="7"/>
  <c r="AF2408" i="7"/>
  <c r="AF2409" i="7"/>
  <c r="AF2410" i="7"/>
  <c r="AF2411" i="7"/>
  <c r="AF2412" i="7"/>
  <c r="AF2413" i="7"/>
  <c r="AF2414" i="7"/>
  <c r="AF2415" i="7"/>
  <c r="AF2416" i="7"/>
  <c r="AF2417" i="7"/>
  <c r="AF2418" i="7"/>
  <c r="AF2419" i="7"/>
  <c r="AF2420" i="7"/>
  <c r="AF2421" i="7"/>
  <c r="AF2422" i="7"/>
  <c r="AF2423" i="7"/>
  <c r="AF2424" i="7"/>
  <c r="AF2425" i="7"/>
  <c r="AF2426" i="7"/>
  <c r="AF2427" i="7"/>
  <c r="AF2428" i="7"/>
  <c r="AF2429" i="7"/>
  <c r="AF2430" i="7"/>
  <c r="AF2431" i="7"/>
  <c r="AF2432" i="7"/>
  <c r="AF2433" i="7"/>
  <c r="AF2434" i="7"/>
  <c r="AF2435" i="7"/>
  <c r="AF2436" i="7"/>
  <c r="AF2437" i="7"/>
  <c r="AF2438" i="7"/>
  <c r="AF2439" i="7"/>
  <c r="AF2440" i="7"/>
  <c r="AF2441" i="7"/>
  <c r="AF2442" i="7"/>
  <c r="AF2443" i="7"/>
  <c r="AF2444" i="7"/>
  <c r="AF2445" i="7"/>
  <c r="AF2446" i="7"/>
  <c r="AF2447" i="7"/>
  <c r="AF2448" i="7"/>
  <c r="AF2449" i="7"/>
  <c r="AF2450" i="7"/>
  <c r="AF2451" i="7"/>
  <c r="AF2452" i="7"/>
  <c r="AF2453" i="7"/>
  <c r="AF2454" i="7"/>
  <c r="AF2455" i="7"/>
  <c r="AF2456" i="7"/>
  <c r="AF2457" i="7"/>
  <c r="AF2458" i="7"/>
  <c r="AF2459" i="7"/>
  <c r="AF2460" i="7"/>
  <c r="AF2461" i="7"/>
  <c r="AF2462" i="7"/>
  <c r="AF2463" i="7"/>
  <c r="AF2464" i="7"/>
  <c r="AF2465" i="7"/>
  <c r="AF2466" i="7"/>
  <c r="AF2467" i="7"/>
  <c r="AF2468" i="7"/>
  <c r="AF2469" i="7"/>
  <c r="AF2470" i="7"/>
  <c r="AF2471" i="7"/>
  <c r="AF2472" i="7"/>
  <c r="AF2473" i="7"/>
  <c r="AF2474" i="7"/>
  <c r="AF2475" i="7"/>
  <c r="AF2476" i="7"/>
  <c r="AF2477" i="7"/>
  <c r="AF2478" i="7"/>
  <c r="AF2479" i="7"/>
  <c r="AF2480" i="7"/>
  <c r="AF2481" i="7"/>
  <c r="AF2482" i="7"/>
  <c r="AF2483" i="7"/>
  <c r="AF2484" i="7"/>
  <c r="AF2485" i="7"/>
  <c r="AF2486" i="7"/>
  <c r="AF2487" i="7"/>
  <c r="AF2488" i="7"/>
  <c r="AF2489" i="7"/>
  <c r="AF2490" i="7"/>
  <c r="AF2491" i="7"/>
  <c r="AF2492" i="7"/>
  <c r="AF2493" i="7"/>
  <c r="AF2494" i="7"/>
  <c r="AF2495" i="7"/>
  <c r="AF2496" i="7"/>
  <c r="AF2497" i="7"/>
  <c r="AF2498" i="7"/>
  <c r="AF2499" i="7"/>
  <c r="AF2500" i="7"/>
  <c r="AF2501" i="7"/>
  <c r="AF2502" i="7"/>
  <c r="AF2503" i="7"/>
  <c r="AF2504" i="7"/>
  <c r="AF2505" i="7"/>
  <c r="AF2506" i="7"/>
  <c r="AF2507" i="7"/>
  <c r="AF2508" i="7"/>
  <c r="AF2509" i="7"/>
  <c r="AF2510" i="7"/>
  <c r="AF2511" i="7"/>
  <c r="AF2512" i="7"/>
  <c r="AF2513" i="7"/>
  <c r="AF2514" i="7"/>
  <c r="AF2515" i="7"/>
  <c r="AF2516" i="7"/>
  <c r="AF2517" i="7"/>
  <c r="AF2518" i="7"/>
  <c r="AF2519" i="7"/>
  <c r="AF2520" i="7"/>
  <c r="AF2521" i="7"/>
  <c r="AF2522" i="7"/>
  <c r="AF2523" i="7"/>
  <c r="AF2524" i="7"/>
  <c r="AF2525" i="7"/>
  <c r="AF2526" i="7"/>
  <c r="AF2527" i="7"/>
  <c r="AF2528" i="7"/>
  <c r="AF2529" i="7"/>
  <c r="AF2530" i="7"/>
  <c r="AF2531" i="7"/>
  <c r="AF2532" i="7"/>
  <c r="AF2533" i="7"/>
  <c r="AF2534" i="7"/>
  <c r="AF2535" i="7"/>
  <c r="AF2536" i="7"/>
  <c r="AF2537" i="7"/>
  <c r="AF2538" i="7"/>
  <c r="AF2539" i="7"/>
  <c r="AF2540" i="7"/>
  <c r="AF2541" i="7"/>
  <c r="AF2542" i="7"/>
  <c r="AF2543" i="7"/>
  <c r="AF2544" i="7"/>
  <c r="AF2545" i="7"/>
  <c r="AF2546" i="7"/>
  <c r="AF2547" i="7"/>
  <c r="AF2548" i="7"/>
  <c r="AF2549" i="7"/>
  <c r="AF2550" i="7"/>
  <c r="AF2551" i="7"/>
  <c r="AF2552" i="7"/>
  <c r="AF2553" i="7"/>
  <c r="AF2554" i="7"/>
  <c r="AF2555" i="7"/>
  <c r="AF2556" i="7"/>
  <c r="AF2557" i="7"/>
  <c r="AF2558" i="7"/>
  <c r="AF2559" i="7"/>
  <c r="AF2560" i="7"/>
  <c r="AF2561" i="7"/>
  <c r="AF2562" i="7"/>
  <c r="AF2563" i="7"/>
  <c r="AF2564" i="7"/>
  <c r="AF2565" i="7"/>
  <c r="AF2566" i="7"/>
  <c r="AF2567" i="7"/>
  <c r="AF2568" i="7"/>
  <c r="AF2569" i="7"/>
  <c r="AF2570" i="7"/>
  <c r="AF2571" i="7"/>
  <c r="AF2572" i="7"/>
  <c r="AF2573" i="7"/>
  <c r="AF2574" i="7"/>
  <c r="AF2575" i="7"/>
  <c r="AF2576" i="7"/>
  <c r="AF2577" i="7"/>
  <c r="AF2578" i="7"/>
  <c r="AF2579" i="7"/>
  <c r="AF2580" i="7"/>
  <c r="AF2581" i="7"/>
  <c r="AF2582" i="7"/>
  <c r="AF2583" i="7"/>
  <c r="AF2584" i="7"/>
  <c r="AF2585" i="7"/>
  <c r="AF2586" i="7"/>
  <c r="AF2587" i="7"/>
  <c r="AF2588" i="7"/>
  <c r="AF2589" i="7"/>
  <c r="AF2590" i="7"/>
  <c r="AF2591" i="7"/>
  <c r="AF2592" i="7"/>
  <c r="AF2593" i="7"/>
  <c r="AF2594" i="7"/>
  <c r="AF2595" i="7"/>
  <c r="AF2596" i="7"/>
  <c r="AF2597" i="7"/>
  <c r="AF2598" i="7"/>
  <c r="AF2599" i="7"/>
  <c r="AF2600" i="7"/>
  <c r="AF2601" i="7"/>
  <c r="AF2602" i="7"/>
  <c r="AF2603" i="7"/>
  <c r="AF2604" i="7"/>
  <c r="AF2605" i="7"/>
  <c r="AF2606" i="7"/>
  <c r="AF2607" i="7"/>
  <c r="AF2608" i="7"/>
  <c r="AF2609" i="7"/>
  <c r="AF2610" i="7"/>
  <c r="AF2611" i="7"/>
  <c r="AF2612" i="7"/>
  <c r="AF2613" i="7"/>
  <c r="AF2614" i="7"/>
  <c r="AF2615" i="7"/>
  <c r="AF2616" i="7"/>
  <c r="AF2617" i="7"/>
  <c r="AF2618" i="7"/>
  <c r="AF2619" i="7"/>
  <c r="AF2620" i="7"/>
  <c r="AF2621" i="7"/>
  <c r="AF2622" i="7"/>
  <c r="AF2623" i="7"/>
  <c r="AF2624" i="7"/>
  <c r="AF2625" i="7"/>
  <c r="AF2626" i="7"/>
  <c r="AF2627" i="7"/>
  <c r="AF2628" i="7"/>
  <c r="AF2629" i="7"/>
  <c r="AF2630" i="7"/>
  <c r="AF2631" i="7"/>
  <c r="AF2632" i="7"/>
  <c r="AF2633" i="7"/>
  <c r="AF2634" i="7"/>
  <c r="AF2635" i="7"/>
  <c r="AF2636" i="7"/>
  <c r="AF2637" i="7"/>
  <c r="AF2638" i="7"/>
  <c r="AF2639" i="7"/>
  <c r="AF2640" i="7"/>
  <c r="AF2641" i="7"/>
  <c r="AF2642" i="7"/>
  <c r="AF2643" i="7"/>
  <c r="AF2644" i="7"/>
  <c r="AF2645" i="7"/>
  <c r="AF2646" i="7"/>
  <c r="AF2647" i="7"/>
  <c r="AF2648" i="7"/>
  <c r="AF2649" i="7"/>
  <c r="AF2650" i="7"/>
  <c r="AF2651" i="7"/>
  <c r="AF2652" i="7"/>
  <c r="AF2653" i="7"/>
  <c r="AF2654" i="7"/>
  <c r="AF2655" i="7"/>
  <c r="AF2656" i="7"/>
  <c r="AF2657" i="7"/>
  <c r="AF2658" i="7"/>
  <c r="AF2659" i="7"/>
  <c r="AF2660" i="7"/>
  <c r="AF2661" i="7"/>
  <c r="AF2662" i="7"/>
  <c r="AF2663" i="7"/>
  <c r="AF2664" i="7"/>
  <c r="AF2665" i="7"/>
  <c r="AF2666" i="7"/>
  <c r="AF2667" i="7"/>
  <c r="AF2668" i="7"/>
  <c r="AF2669" i="7"/>
  <c r="AF2670" i="7"/>
  <c r="AF2671" i="7"/>
  <c r="AF2672" i="7"/>
  <c r="AF2673" i="7"/>
  <c r="AF2674" i="7"/>
  <c r="AF2675" i="7"/>
  <c r="AF2676" i="7"/>
  <c r="AF2677" i="7"/>
  <c r="AF2678" i="7"/>
  <c r="AF2679" i="7"/>
  <c r="AF2680" i="7"/>
  <c r="AF2681" i="7"/>
  <c r="AF2682" i="7"/>
  <c r="AF2683" i="7"/>
  <c r="AF2684" i="7"/>
  <c r="AF2685" i="7"/>
  <c r="AF2686" i="7"/>
  <c r="AF2687" i="7"/>
  <c r="AF2688" i="7"/>
  <c r="AF2689" i="7"/>
  <c r="AF2690" i="7"/>
  <c r="AF2691" i="7"/>
  <c r="AF2692" i="7"/>
  <c r="AF2693" i="7"/>
  <c r="AF2694" i="7"/>
  <c r="AF2695" i="7"/>
  <c r="AF2696" i="7"/>
  <c r="AF2697" i="7"/>
  <c r="AF2698" i="7"/>
  <c r="AF2699" i="7"/>
  <c r="AF2700" i="7"/>
  <c r="AF2701" i="7"/>
  <c r="AF2702" i="7"/>
  <c r="AF2703" i="7"/>
  <c r="AF2704" i="7"/>
  <c r="AF2705" i="7"/>
  <c r="AF2706" i="7"/>
  <c r="AF2707" i="7"/>
  <c r="AF2708" i="7"/>
  <c r="AF2709" i="7"/>
  <c r="AF2710" i="7"/>
  <c r="AF2711" i="7"/>
  <c r="AF2712" i="7"/>
  <c r="AF2713" i="7"/>
  <c r="AF2714" i="7"/>
  <c r="AF2715" i="7"/>
  <c r="AF2716" i="7"/>
  <c r="AF2717" i="7"/>
  <c r="AF2718" i="7"/>
  <c r="AF2719" i="7"/>
  <c r="AF2720" i="7"/>
  <c r="AF2721" i="7"/>
  <c r="AF2722" i="7"/>
  <c r="AF2723" i="7"/>
  <c r="AF2724" i="7"/>
  <c r="AF2725" i="7"/>
  <c r="AF2726" i="7"/>
  <c r="AF2727" i="7"/>
  <c r="AF2728" i="7"/>
  <c r="AF2729" i="7"/>
  <c r="AF2730" i="7"/>
  <c r="AF2731" i="7"/>
  <c r="AF2732" i="7"/>
  <c r="AF2733" i="7"/>
  <c r="AF2734" i="7"/>
  <c r="AF2735" i="7"/>
  <c r="AF2736" i="7"/>
  <c r="AF2737" i="7"/>
  <c r="AF2738" i="7"/>
  <c r="AF2739" i="7"/>
  <c r="AF2740" i="7"/>
  <c r="AF2741" i="7"/>
  <c r="AF2742" i="7"/>
  <c r="AF2743" i="7"/>
  <c r="AF2744" i="7"/>
  <c r="AF2745" i="7"/>
  <c r="AF2746" i="7"/>
  <c r="AF2747" i="7"/>
  <c r="AF2748" i="7"/>
  <c r="AF2749" i="7"/>
  <c r="AF2750" i="7"/>
  <c r="AF2751" i="7"/>
  <c r="AF2752" i="7"/>
  <c r="AF2753" i="7"/>
  <c r="AF2754" i="7"/>
  <c r="AF2755" i="7"/>
  <c r="AF2756" i="7"/>
  <c r="AF2757" i="7"/>
  <c r="AF2758" i="7"/>
  <c r="AF2759" i="7"/>
  <c r="AF2760" i="7"/>
  <c r="AF2761" i="7"/>
  <c r="AF2762" i="7"/>
  <c r="AF2763" i="7"/>
  <c r="AF2764" i="7"/>
  <c r="AF2765" i="7"/>
  <c r="AF2766" i="7"/>
  <c r="AF2767" i="7"/>
  <c r="AF2768" i="7"/>
  <c r="AF2769" i="7"/>
  <c r="AF2770" i="7"/>
  <c r="AF2771" i="7"/>
  <c r="AF2772" i="7"/>
  <c r="AF2773" i="7"/>
  <c r="AF2774" i="7"/>
  <c r="AF2775" i="7"/>
  <c r="AF2776" i="7"/>
  <c r="AF2777" i="7"/>
  <c r="AF2778" i="7"/>
  <c r="AF2779" i="7"/>
  <c r="AF2780" i="7"/>
  <c r="AF2781" i="7"/>
  <c r="AF2782" i="7"/>
  <c r="AF2783" i="7"/>
  <c r="AF2784" i="7"/>
  <c r="AF2785" i="7"/>
  <c r="AF2786" i="7"/>
  <c r="AF2787" i="7"/>
  <c r="AF2788" i="7"/>
  <c r="AF2789" i="7"/>
  <c r="AF2790" i="7"/>
  <c r="AF2791" i="7"/>
  <c r="AF2792" i="7"/>
  <c r="AF2793" i="7"/>
  <c r="AF2794" i="7"/>
  <c r="AF2795" i="7"/>
  <c r="AF2796" i="7"/>
  <c r="AF2797" i="7"/>
  <c r="AF2798" i="7"/>
  <c r="AF2799" i="7"/>
  <c r="AF2800" i="7"/>
  <c r="AF2801" i="7"/>
  <c r="AF2802" i="7"/>
  <c r="AF2803" i="7"/>
  <c r="AF2804" i="7"/>
  <c r="AF2805" i="7"/>
  <c r="AF2806" i="7"/>
  <c r="AF2807" i="7"/>
  <c r="AF2808" i="7"/>
  <c r="AF2809" i="7"/>
  <c r="AF2810" i="7"/>
  <c r="AF2811" i="7"/>
  <c r="AF2812" i="7"/>
  <c r="AF2813" i="7"/>
  <c r="AF2814" i="7"/>
  <c r="AF2815" i="7"/>
  <c r="AF2816" i="7"/>
  <c r="AF2817" i="7"/>
  <c r="AF2818" i="7"/>
  <c r="AF2819" i="7"/>
  <c r="AF2820" i="7"/>
  <c r="AF2821" i="7"/>
  <c r="AF2822" i="7"/>
  <c r="AF2823" i="7"/>
  <c r="AF2824" i="7"/>
  <c r="AF2825" i="7"/>
  <c r="AF2826" i="7"/>
  <c r="AF2827" i="7"/>
  <c r="AF2828" i="7"/>
  <c r="AF2829" i="7"/>
  <c r="AF2830" i="7"/>
  <c r="AF2831" i="7"/>
  <c r="AF2832" i="7"/>
  <c r="AF2833" i="7"/>
  <c r="AF2834" i="7"/>
  <c r="AF2835" i="7"/>
  <c r="AF2836" i="7"/>
  <c r="AF2837" i="7"/>
  <c r="AF2838" i="7"/>
  <c r="AF2839" i="7"/>
  <c r="AF2840" i="7"/>
  <c r="AF2841" i="7"/>
  <c r="AF2842" i="7"/>
  <c r="AF2843" i="7"/>
  <c r="AF2844" i="7"/>
  <c r="AF2845" i="7"/>
  <c r="AF2846" i="7"/>
  <c r="AF2847" i="7"/>
  <c r="AF2848" i="7"/>
  <c r="AF2849" i="7"/>
  <c r="AF2850" i="7"/>
  <c r="AF2851" i="7"/>
  <c r="AF2852" i="7"/>
  <c r="AF2853" i="7"/>
  <c r="AF2854" i="7"/>
  <c r="AF2855" i="7"/>
  <c r="AF2856" i="7"/>
  <c r="AF2857" i="7"/>
  <c r="AF2858" i="7"/>
  <c r="AF2859" i="7"/>
  <c r="AF2860" i="7"/>
  <c r="AF2861" i="7"/>
  <c r="AF2862" i="7"/>
  <c r="AF2863" i="7"/>
  <c r="AF2864" i="7"/>
  <c r="AF2865" i="7"/>
  <c r="AF2866" i="7"/>
  <c r="AF2867" i="7"/>
  <c r="AF2868" i="7"/>
  <c r="AF2869" i="7"/>
  <c r="AF2870" i="7"/>
  <c r="AF2871" i="7"/>
  <c r="AF2872" i="7"/>
  <c r="AF2873" i="7"/>
  <c r="AF2874" i="7"/>
  <c r="AF2875" i="7"/>
  <c r="AF2876" i="7"/>
  <c r="AF2877" i="7"/>
  <c r="AF2878" i="7"/>
  <c r="AF2879" i="7"/>
  <c r="AF2880" i="7"/>
  <c r="AF2881" i="7"/>
  <c r="AF2882" i="7"/>
  <c r="AF2883" i="7"/>
  <c r="AF2884" i="7"/>
  <c r="AF2885" i="7"/>
  <c r="AF2886" i="7"/>
  <c r="AF2887" i="7"/>
  <c r="AF2888" i="7"/>
  <c r="AF2889" i="7"/>
  <c r="AF2890" i="7"/>
  <c r="AF2891" i="7"/>
  <c r="AF2892" i="7"/>
  <c r="AF2893" i="7"/>
  <c r="AF2894" i="7"/>
  <c r="AF2895" i="7"/>
  <c r="AF2896" i="7"/>
  <c r="AF2897" i="7"/>
  <c r="AF2898" i="7"/>
  <c r="AF2899" i="7"/>
  <c r="AF2900" i="7"/>
  <c r="AF2901" i="7"/>
  <c r="AF2902" i="7"/>
  <c r="AF2903" i="7"/>
  <c r="AF2904" i="7"/>
  <c r="AF2905" i="7"/>
  <c r="AF2906" i="7"/>
  <c r="AF2907" i="7"/>
  <c r="AF2908" i="7"/>
  <c r="AF2909" i="7"/>
  <c r="AF2910" i="7"/>
  <c r="AF2911" i="7"/>
  <c r="AF2912" i="7"/>
  <c r="AF2913" i="7"/>
  <c r="AF2914" i="7"/>
  <c r="AF2915" i="7"/>
  <c r="AF2916" i="7"/>
  <c r="AF2917" i="7"/>
  <c r="AF2918" i="7"/>
  <c r="AF2919" i="7"/>
  <c r="AF2920" i="7"/>
  <c r="AF2921" i="7"/>
  <c r="AF2922" i="7"/>
  <c r="AF2923" i="7"/>
  <c r="AF2924" i="7"/>
  <c r="AF2925" i="7"/>
  <c r="AF2926" i="7"/>
  <c r="AF2927" i="7"/>
  <c r="AF2928" i="7"/>
  <c r="AF2929" i="7"/>
  <c r="AF2930" i="7"/>
  <c r="AF2931" i="7"/>
  <c r="AF2932" i="7"/>
  <c r="AF2933" i="7"/>
  <c r="AF2934" i="7"/>
  <c r="AF2935" i="7"/>
  <c r="AF2936" i="7"/>
  <c r="AF2937" i="7"/>
  <c r="AF2938" i="7"/>
  <c r="AF2939" i="7"/>
  <c r="AF2940" i="7"/>
  <c r="AF2941" i="7"/>
  <c r="AF2942" i="7"/>
  <c r="AF2943" i="7"/>
  <c r="AF2944" i="7"/>
  <c r="AF2945" i="7"/>
  <c r="AF2946" i="7"/>
  <c r="AF2947" i="7"/>
  <c r="AF2948" i="7"/>
  <c r="AF2949" i="7"/>
  <c r="AF2950" i="7"/>
  <c r="AF2951" i="7"/>
  <c r="AF2952" i="7"/>
  <c r="AF2953" i="7"/>
  <c r="AF2954" i="7"/>
  <c r="AF2955" i="7"/>
  <c r="AF2956" i="7"/>
  <c r="AF2957" i="7"/>
  <c r="AF2958" i="7"/>
  <c r="AF2959" i="7"/>
  <c r="AF2960" i="7"/>
  <c r="AF2961" i="7"/>
  <c r="AF2962" i="7"/>
  <c r="AF2963" i="7"/>
  <c r="AF2964" i="7"/>
  <c r="AF2965" i="7"/>
  <c r="AF2966" i="7"/>
  <c r="AF2967" i="7"/>
  <c r="AF2968" i="7"/>
  <c r="AF2969" i="7"/>
  <c r="AF2970" i="7"/>
  <c r="AF2971" i="7"/>
  <c r="AF2972" i="7"/>
  <c r="AF2973" i="7"/>
  <c r="AF2974" i="7"/>
  <c r="AF2975" i="7"/>
  <c r="AF2976" i="7"/>
  <c r="AF2977" i="7"/>
  <c r="AF2978" i="7"/>
  <c r="AF2979" i="7"/>
  <c r="AF2980" i="7"/>
  <c r="AF2981" i="7"/>
  <c r="AF2982" i="7"/>
  <c r="AF2983" i="7"/>
  <c r="AF2984" i="7"/>
  <c r="AF2985" i="7"/>
  <c r="AF2986" i="7"/>
  <c r="AF2987" i="7"/>
  <c r="AF2988" i="7"/>
  <c r="AF2989" i="7"/>
  <c r="AF2990" i="7"/>
  <c r="AF2991" i="7"/>
  <c r="AF2992" i="7"/>
  <c r="AF2993" i="7"/>
  <c r="AF2994" i="7"/>
  <c r="AF2995" i="7"/>
  <c r="AF2996" i="7"/>
  <c r="AF2997" i="7"/>
  <c r="AF2998" i="7"/>
  <c r="AF2999" i="7"/>
  <c r="AF3000" i="7"/>
  <c r="AF3001" i="7"/>
  <c r="AF3002" i="7"/>
  <c r="AF3003" i="7"/>
  <c r="AF3004" i="7"/>
  <c r="AF3005" i="7"/>
  <c r="AF3006" i="7"/>
  <c r="AF3007" i="7"/>
  <c r="AF3008" i="7"/>
  <c r="AF3009" i="7"/>
  <c r="AF3010" i="7"/>
  <c r="AF3011" i="7"/>
  <c r="AF3012" i="7"/>
  <c r="AF3013" i="7"/>
  <c r="AF3014" i="7"/>
  <c r="AF3015" i="7"/>
  <c r="AF3016" i="7"/>
  <c r="AF3017" i="7"/>
  <c r="AF3018" i="7"/>
  <c r="AF3019" i="7"/>
  <c r="AF3020" i="7"/>
  <c r="AF3021" i="7"/>
  <c r="AF3022" i="7"/>
  <c r="AF3023" i="7"/>
  <c r="AF3024" i="7"/>
  <c r="AF3025" i="7"/>
  <c r="AF3026" i="7"/>
  <c r="AF3027" i="7"/>
  <c r="AF3028" i="7"/>
  <c r="AF3029" i="7"/>
  <c r="AF3030" i="7"/>
  <c r="AF3031" i="7"/>
  <c r="AF3032" i="7"/>
  <c r="AF3033" i="7"/>
  <c r="AF3034" i="7"/>
  <c r="AF3035" i="7"/>
  <c r="AF3036" i="7"/>
  <c r="AF3037" i="7"/>
  <c r="AF3038" i="7"/>
  <c r="AF3039" i="7"/>
  <c r="AF3040" i="7"/>
  <c r="AF3041" i="7"/>
  <c r="AF3042" i="7"/>
  <c r="AF3043" i="7"/>
  <c r="AF3044" i="7"/>
  <c r="AF3045" i="7"/>
  <c r="AF3046" i="7"/>
  <c r="AF3047" i="7"/>
  <c r="AF3048" i="7"/>
  <c r="AF3049" i="7"/>
  <c r="AF3050" i="7"/>
  <c r="AF3051" i="7"/>
  <c r="AF3052" i="7"/>
  <c r="AF3053" i="7"/>
  <c r="AF3054" i="7"/>
  <c r="AF3055" i="7"/>
  <c r="AF3056" i="7"/>
  <c r="AF3057" i="7"/>
  <c r="AF3058" i="7"/>
  <c r="AF3059" i="7"/>
  <c r="AF3060" i="7"/>
  <c r="AF3061" i="7"/>
  <c r="AF3062" i="7"/>
  <c r="AF3063" i="7"/>
  <c r="AF3064" i="7"/>
  <c r="AF3065" i="7"/>
  <c r="AF3066" i="7"/>
  <c r="AF3067" i="7"/>
  <c r="AF3068" i="7"/>
  <c r="AF3069" i="7"/>
  <c r="AF3070" i="7"/>
  <c r="AF3071" i="7"/>
  <c r="AF3072" i="7"/>
  <c r="AF3073" i="7"/>
  <c r="AF3074" i="7"/>
  <c r="AF3075" i="7"/>
  <c r="AF3076" i="7"/>
  <c r="AF3077" i="7"/>
  <c r="AF3078" i="7"/>
  <c r="AF3079" i="7"/>
  <c r="AF3080" i="7"/>
  <c r="AF3081" i="7"/>
  <c r="AF3082" i="7"/>
  <c r="AF3083" i="7"/>
  <c r="AF3084" i="7"/>
  <c r="AF3085" i="7"/>
  <c r="AF3086" i="7"/>
  <c r="AF3087" i="7"/>
  <c r="AF3088" i="7"/>
  <c r="AF3089" i="7"/>
  <c r="AF3090" i="7"/>
  <c r="AF3091" i="7"/>
  <c r="AF3092" i="7"/>
  <c r="AF3093" i="7"/>
  <c r="AF3094" i="7"/>
  <c r="AF3095" i="7"/>
  <c r="AF3096" i="7"/>
  <c r="AF3097" i="7"/>
  <c r="AF3098" i="7"/>
  <c r="AF3099" i="7"/>
  <c r="AF3100" i="7"/>
  <c r="AF3101" i="7"/>
  <c r="AF3102" i="7"/>
  <c r="AF3103" i="7"/>
  <c r="AF3104" i="7"/>
  <c r="AF3105" i="7"/>
  <c r="AF3106" i="7"/>
  <c r="AF3107" i="7"/>
  <c r="AF3108" i="7"/>
  <c r="AF3109" i="7"/>
  <c r="AF3110" i="7"/>
  <c r="AF3111" i="7"/>
  <c r="AF3112" i="7"/>
  <c r="AF3113" i="7"/>
  <c r="AF3114" i="7"/>
  <c r="AF3115" i="7"/>
  <c r="AF3116" i="7"/>
  <c r="AF3117" i="7"/>
  <c r="AF3118" i="7"/>
  <c r="AF3119" i="7"/>
  <c r="AF3120" i="7"/>
  <c r="AF3121" i="7"/>
  <c r="AF3122" i="7"/>
  <c r="AF3123" i="7"/>
  <c r="AF3124" i="7"/>
  <c r="AF3125" i="7"/>
  <c r="AF3126" i="7"/>
  <c r="AF3127" i="7"/>
  <c r="AF3128" i="7"/>
  <c r="AF3129" i="7"/>
  <c r="AF3130" i="7"/>
  <c r="AF3131" i="7"/>
  <c r="AF3132" i="7"/>
  <c r="AF3133" i="7"/>
  <c r="AF3134" i="7"/>
  <c r="AF3135" i="7"/>
  <c r="AF3136" i="7"/>
  <c r="AF3137" i="7"/>
  <c r="AF3138" i="7"/>
  <c r="AF3139" i="7"/>
  <c r="AF3140" i="7"/>
  <c r="AF3141" i="7"/>
  <c r="AF3142" i="7"/>
  <c r="AF3143" i="7"/>
  <c r="AF3144" i="7"/>
  <c r="AF3145" i="7"/>
  <c r="AF3146" i="7"/>
  <c r="AF3147" i="7"/>
  <c r="AF3148" i="7"/>
  <c r="AF3149" i="7"/>
  <c r="AF3150" i="7"/>
  <c r="AF3151" i="7"/>
  <c r="AF3152" i="7"/>
  <c r="AF3153" i="7"/>
  <c r="AF3154" i="7"/>
  <c r="AF3155" i="7"/>
  <c r="AF3156" i="7"/>
  <c r="AF3157" i="7"/>
  <c r="AF3158" i="7"/>
  <c r="AF3159" i="7"/>
  <c r="AF3160" i="7"/>
  <c r="AF3161" i="7"/>
  <c r="AF3162" i="7"/>
  <c r="AF3163" i="7"/>
  <c r="AF3164" i="7"/>
  <c r="AF3165" i="7"/>
  <c r="AF3166" i="7"/>
  <c r="AF3167" i="7"/>
  <c r="AF3168" i="7"/>
  <c r="AF3169" i="7"/>
  <c r="AF3170" i="7"/>
  <c r="AF3171" i="7"/>
  <c r="AF3172" i="7"/>
  <c r="AF3173" i="7"/>
  <c r="AF3174" i="7"/>
  <c r="AF3175" i="7"/>
  <c r="AF3176" i="7"/>
  <c r="AF3177" i="7"/>
  <c r="AF3178" i="7"/>
  <c r="AF3179" i="7"/>
  <c r="AF3180" i="7"/>
  <c r="AF3181" i="7"/>
  <c r="AF3182" i="7"/>
  <c r="AF3183" i="7"/>
  <c r="AF3184" i="7"/>
  <c r="AF3185" i="7"/>
  <c r="AF3186" i="7"/>
  <c r="AF3187" i="7"/>
  <c r="AF3188" i="7"/>
  <c r="AF3189" i="7"/>
  <c r="AF3190" i="7"/>
  <c r="AF3191" i="7"/>
  <c r="AF3192" i="7"/>
  <c r="AF3193" i="7"/>
  <c r="AF3194" i="7"/>
  <c r="AF3195" i="7"/>
  <c r="AF3196" i="7"/>
  <c r="AF3197" i="7"/>
  <c r="AF3198" i="7"/>
  <c r="AF3199" i="7"/>
  <c r="AF3200" i="7"/>
  <c r="AF3201" i="7"/>
  <c r="AF3202" i="7"/>
  <c r="AF3203" i="7"/>
  <c r="AF3204" i="7"/>
  <c r="AF3205" i="7"/>
  <c r="AF3206" i="7"/>
  <c r="AF3207" i="7"/>
  <c r="AF3208" i="7"/>
  <c r="AF3209" i="7"/>
  <c r="AF3210" i="7"/>
  <c r="AF3211" i="7"/>
  <c r="AF3212" i="7"/>
  <c r="AF3213" i="7"/>
  <c r="AF3214" i="7"/>
  <c r="AF3215" i="7"/>
  <c r="AF3216" i="7"/>
  <c r="AF3217" i="7"/>
  <c r="AF3218" i="7"/>
  <c r="AF3219" i="7"/>
  <c r="AF3220" i="7"/>
  <c r="AF3221" i="7"/>
  <c r="AF3222" i="7"/>
  <c r="AF3223" i="7"/>
  <c r="AF3224" i="7"/>
  <c r="AF3225" i="7"/>
  <c r="AF3226" i="7"/>
  <c r="AF3227" i="7"/>
  <c r="AF3228" i="7"/>
  <c r="AF3229" i="7"/>
  <c r="AF3230" i="7"/>
  <c r="AF3231" i="7"/>
  <c r="AF3232" i="7"/>
  <c r="AF3233" i="7"/>
  <c r="AF3234" i="7"/>
  <c r="AF3235" i="7"/>
  <c r="AF3236" i="7"/>
  <c r="AF3237" i="7"/>
  <c r="AF3238" i="7"/>
  <c r="AF3239" i="7"/>
  <c r="AF3240" i="7"/>
  <c r="AF3241" i="7"/>
  <c r="AF3242" i="7"/>
  <c r="AF3243" i="7"/>
  <c r="AF3244" i="7"/>
  <c r="AF3245" i="7"/>
  <c r="AF3246" i="7"/>
  <c r="AF3247" i="7"/>
  <c r="AF3248" i="7"/>
  <c r="AF3249" i="7"/>
  <c r="AF3250" i="7"/>
  <c r="AF3251" i="7"/>
  <c r="AF3252" i="7"/>
  <c r="AF3253" i="7"/>
  <c r="AF3254" i="7"/>
  <c r="AF3255" i="7"/>
  <c r="AF3256" i="7"/>
  <c r="AF3257" i="7"/>
  <c r="AF3258" i="7"/>
  <c r="AF3259" i="7"/>
  <c r="AF3260" i="7"/>
  <c r="AF3261" i="7"/>
  <c r="AF3262" i="7"/>
  <c r="AF3263" i="7"/>
  <c r="AF3264" i="7"/>
  <c r="AF3265" i="7"/>
  <c r="AF3266" i="7"/>
  <c r="AF3267" i="7"/>
  <c r="AF3268" i="7"/>
  <c r="AF3269" i="7"/>
  <c r="AF3270" i="7"/>
  <c r="AF3271" i="7"/>
  <c r="AF3272" i="7"/>
  <c r="AF3273" i="7"/>
  <c r="AF3274" i="7"/>
  <c r="AF3275" i="7"/>
  <c r="AF3276" i="7"/>
  <c r="AF3277" i="7"/>
  <c r="AF3278" i="7"/>
  <c r="AF3279" i="7"/>
  <c r="AF3280" i="7"/>
  <c r="AF3281" i="7"/>
  <c r="AF3282" i="7"/>
  <c r="AF3283" i="7"/>
  <c r="AF3284" i="7"/>
  <c r="AF3285" i="7"/>
  <c r="AF3286" i="7"/>
  <c r="AF3287" i="7"/>
  <c r="AF3288" i="7"/>
  <c r="AF3289" i="7"/>
  <c r="AF3290" i="7"/>
  <c r="AF3291" i="7"/>
  <c r="AF3292" i="7"/>
  <c r="AF3293" i="7"/>
  <c r="AF3294" i="7"/>
  <c r="AF3295" i="7"/>
  <c r="AF3296" i="7"/>
  <c r="AF3297" i="7"/>
  <c r="AF3298" i="7"/>
  <c r="AF3299" i="7"/>
  <c r="AF3300" i="7"/>
  <c r="AF3301" i="7"/>
  <c r="AF3302" i="7"/>
  <c r="AF3303" i="7"/>
  <c r="AF3304" i="7"/>
  <c r="AF3305" i="7"/>
  <c r="AF3306" i="7"/>
  <c r="AF3307" i="7"/>
  <c r="AF3308" i="7"/>
  <c r="AF3309" i="7"/>
  <c r="AF3310" i="7"/>
  <c r="AF3311" i="7"/>
  <c r="AF3312" i="7"/>
  <c r="AF3313" i="7"/>
  <c r="AF3314" i="7"/>
  <c r="AF3315" i="7"/>
  <c r="AF3316" i="7"/>
  <c r="AF3317" i="7"/>
  <c r="AF3318" i="7"/>
  <c r="AF3319" i="7"/>
  <c r="AF3320" i="7"/>
  <c r="AF3321" i="7"/>
  <c r="AF3322" i="7"/>
  <c r="AF3323" i="7"/>
  <c r="AF3324" i="7"/>
  <c r="AF3325" i="7"/>
  <c r="AF3326" i="7"/>
  <c r="AF3327" i="7"/>
  <c r="AF3328" i="7"/>
  <c r="AF3329" i="7"/>
  <c r="AF3330" i="7"/>
  <c r="AF3331" i="7"/>
  <c r="AF3332" i="7"/>
  <c r="AF3333" i="7"/>
  <c r="AF3334" i="7"/>
  <c r="AF3335" i="7"/>
  <c r="AF3336" i="7"/>
  <c r="AF3337" i="7"/>
  <c r="AF3338" i="7"/>
  <c r="AF3339" i="7"/>
  <c r="AF3340" i="7"/>
  <c r="AF3341" i="7"/>
  <c r="AF3342" i="7"/>
  <c r="AF3343" i="7"/>
  <c r="AF3344" i="7"/>
  <c r="AF3345" i="7"/>
  <c r="AF3346" i="7"/>
  <c r="AF3347" i="7"/>
  <c r="AF3348" i="7"/>
  <c r="AF3349" i="7"/>
  <c r="AF3350" i="7"/>
  <c r="AF3351" i="7"/>
  <c r="AF3352" i="7"/>
  <c r="AF3353" i="7"/>
  <c r="AF3354" i="7"/>
  <c r="AF3355" i="7"/>
  <c r="AF3356" i="7"/>
  <c r="AF3357" i="7"/>
  <c r="AF3358" i="7"/>
  <c r="AF3359" i="7"/>
  <c r="AF3360" i="7"/>
  <c r="AF3361" i="7"/>
  <c r="AF3362" i="7"/>
  <c r="AF3363" i="7"/>
  <c r="AF3364" i="7"/>
  <c r="AF3365" i="7"/>
  <c r="AF3366" i="7"/>
  <c r="AF3367" i="7"/>
  <c r="AF3368" i="7"/>
  <c r="AF3369" i="7"/>
  <c r="AF3370" i="7"/>
  <c r="AF3371" i="7"/>
  <c r="AF3372" i="7"/>
  <c r="AF3373" i="7"/>
  <c r="AF3374" i="7"/>
  <c r="AF3375" i="7"/>
  <c r="AF3376" i="7"/>
  <c r="AF3377" i="7"/>
  <c r="AF3378" i="7"/>
  <c r="AF3379" i="7"/>
  <c r="AF3380" i="7"/>
  <c r="AF3381" i="7"/>
  <c r="AF3382" i="7"/>
  <c r="AF3383" i="7"/>
  <c r="AF3384" i="7"/>
  <c r="AF3385" i="7"/>
  <c r="AF3386" i="7"/>
  <c r="AF3387" i="7"/>
  <c r="AF3388" i="7"/>
  <c r="AF3389" i="7"/>
  <c r="AF3390" i="7"/>
  <c r="AF3391" i="7"/>
  <c r="AF3392" i="7"/>
  <c r="AF3393" i="7"/>
  <c r="AF3394" i="7"/>
  <c r="AF3395" i="7"/>
  <c r="AF3396" i="7"/>
  <c r="AF3397" i="7"/>
  <c r="AF3398" i="7"/>
  <c r="AF3399" i="7"/>
  <c r="AF3400" i="7"/>
  <c r="AF3401" i="7"/>
  <c r="AF3402" i="7"/>
  <c r="AF3403" i="7"/>
  <c r="AF3404" i="7"/>
  <c r="AF3405" i="7"/>
  <c r="AF3406" i="7"/>
  <c r="AF3407" i="7"/>
  <c r="AF3408" i="7"/>
  <c r="AF3409" i="7"/>
  <c r="AF3410" i="7"/>
  <c r="AF3411" i="7"/>
  <c r="AF3412" i="7"/>
  <c r="AF3413" i="7"/>
  <c r="AF3414" i="7"/>
  <c r="AF3415" i="7"/>
  <c r="AF3416" i="7"/>
  <c r="AF3417" i="7"/>
  <c r="AF3418" i="7"/>
  <c r="AF3419" i="7"/>
  <c r="AF3420" i="7"/>
  <c r="AF3421" i="7"/>
  <c r="AF3422" i="7"/>
  <c r="AF3423" i="7"/>
  <c r="AF3424" i="7"/>
  <c r="AF3425" i="7"/>
  <c r="AF3426" i="7"/>
  <c r="AF3427" i="7"/>
  <c r="AF3428" i="7"/>
  <c r="AF3429" i="7"/>
  <c r="AF3430" i="7"/>
  <c r="AF3431" i="7"/>
  <c r="AF3432" i="7"/>
  <c r="AF3433" i="7"/>
  <c r="AF3434" i="7"/>
  <c r="AF3435" i="7"/>
  <c r="AF3436" i="7"/>
  <c r="AF3437" i="7"/>
  <c r="AF3438" i="7"/>
  <c r="AF3439" i="7"/>
  <c r="AF3440" i="7"/>
  <c r="AF3441" i="7"/>
  <c r="AF3442" i="7"/>
  <c r="AF3443" i="7"/>
  <c r="AF3444" i="7"/>
  <c r="AF3445" i="7"/>
  <c r="AF3446" i="7"/>
  <c r="AF3447" i="7"/>
  <c r="AF3448" i="7"/>
  <c r="AF3449" i="7"/>
  <c r="AF3450" i="7"/>
  <c r="AF3451" i="7"/>
  <c r="AF3452" i="7"/>
  <c r="AF3453" i="7"/>
  <c r="AF3454" i="7"/>
  <c r="AF3455" i="7"/>
  <c r="AF3456" i="7"/>
  <c r="AF3457" i="7"/>
  <c r="AF3458" i="7"/>
  <c r="AF3459" i="7"/>
  <c r="AF3460" i="7"/>
  <c r="AF3461" i="7"/>
  <c r="AF3462" i="7"/>
  <c r="AF3463" i="7"/>
  <c r="AF3464" i="7"/>
  <c r="AF3465" i="7"/>
  <c r="AF3466" i="7"/>
  <c r="AF3467" i="7"/>
  <c r="AF3468" i="7"/>
  <c r="AF3469" i="7"/>
  <c r="AF3470" i="7"/>
  <c r="AF3471" i="7"/>
  <c r="AF3472" i="7"/>
  <c r="AF3473" i="7"/>
  <c r="AF3474" i="7"/>
  <c r="AF3475" i="7"/>
  <c r="AF3476" i="7"/>
  <c r="AF3477" i="7"/>
  <c r="AF3478" i="7"/>
  <c r="AF3479" i="7"/>
  <c r="AF3480" i="7"/>
  <c r="AF3481" i="7"/>
  <c r="AF3482" i="7"/>
  <c r="AF3483" i="7"/>
  <c r="AF3484" i="7"/>
  <c r="AF3485" i="7"/>
  <c r="AF3486" i="7"/>
  <c r="AF3487" i="7"/>
  <c r="AF3488" i="7"/>
  <c r="AF3489" i="7"/>
  <c r="AF3490" i="7"/>
  <c r="AF3491" i="7"/>
  <c r="AF3492" i="7"/>
  <c r="AF3493" i="7"/>
  <c r="AF3494" i="7"/>
  <c r="AF3495" i="7"/>
  <c r="AF3496" i="7"/>
  <c r="AF3497" i="7"/>
  <c r="AF3498" i="7"/>
  <c r="AF3499" i="7"/>
  <c r="AF3500" i="7"/>
  <c r="AF3501" i="7"/>
  <c r="AF3502" i="7"/>
  <c r="AF3503" i="7"/>
  <c r="AF3504" i="7"/>
  <c r="AF3505" i="7"/>
  <c r="AF3506" i="7"/>
  <c r="AF3507" i="7"/>
  <c r="AF3508" i="7"/>
  <c r="AF3509" i="7"/>
  <c r="AF3510" i="7"/>
  <c r="AF3511" i="7"/>
  <c r="AF3512" i="7"/>
  <c r="AF3513" i="7"/>
  <c r="AF3514" i="7"/>
  <c r="AF3515" i="7"/>
  <c r="AF3516" i="7"/>
  <c r="AF3517" i="7"/>
  <c r="AF3518" i="7"/>
  <c r="AF3519" i="7"/>
  <c r="AF3520" i="7"/>
  <c r="AF3521" i="7"/>
  <c r="AF3522" i="7"/>
  <c r="AF3523" i="7"/>
  <c r="AF3524" i="7"/>
  <c r="AF3525" i="7"/>
  <c r="AF3526" i="7"/>
  <c r="AF3527" i="7"/>
  <c r="AF3528" i="7"/>
  <c r="AF3529" i="7"/>
  <c r="AF3530" i="7"/>
  <c r="AF3531" i="7"/>
  <c r="AF3532" i="7"/>
  <c r="AF3533" i="7"/>
  <c r="AF3534" i="7"/>
  <c r="AF3535" i="7"/>
  <c r="AF3536" i="7"/>
  <c r="AF3537" i="7"/>
  <c r="AF3538" i="7"/>
  <c r="AF3539" i="7"/>
  <c r="AF3540" i="7"/>
  <c r="AF3541" i="7"/>
  <c r="AF3542" i="7"/>
  <c r="AF3543" i="7"/>
  <c r="AF3544" i="7"/>
  <c r="AF3545" i="7"/>
  <c r="AF3546" i="7"/>
  <c r="AF3547" i="7"/>
  <c r="AF3548" i="7"/>
  <c r="AF3549" i="7"/>
  <c r="AF3550" i="7"/>
  <c r="AF3551" i="7"/>
  <c r="AF3552" i="7"/>
  <c r="AF3553" i="7"/>
  <c r="AF3554" i="7"/>
  <c r="AF3555" i="7"/>
  <c r="AF3556" i="7"/>
  <c r="AF3557" i="7"/>
  <c r="AF3558" i="7"/>
  <c r="AF3559" i="7"/>
  <c r="AF3560" i="7"/>
  <c r="AF3561" i="7"/>
  <c r="AF3562" i="7"/>
  <c r="AF3563" i="7"/>
  <c r="AF3564" i="7"/>
  <c r="AF3565" i="7"/>
  <c r="AF3566" i="7"/>
  <c r="AF3567" i="7"/>
  <c r="AF3568" i="7"/>
  <c r="AF3569" i="7"/>
  <c r="AF3570" i="7"/>
  <c r="AF3571" i="7"/>
  <c r="AF3572" i="7"/>
  <c r="AF3573" i="7"/>
  <c r="AF3574" i="7"/>
  <c r="AF3575" i="7"/>
  <c r="AF3576" i="7"/>
  <c r="AF3577" i="7"/>
  <c r="AF3578" i="7"/>
  <c r="AF3579" i="7"/>
  <c r="AF3580" i="7"/>
  <c r="AF3581" i="7"/>
  <c r="AF3582" i="7"/>
  <c r="AF3583" i="7"/>
  <c r="AF3584" i="7"/>
  <c r="AF3585" i="7"/>
  <c r="AF3586" i="7"/>
  <c r="AF3587" i="7"/>
  <c r="AF3588" i="7"/>
  <c r="AF3589" i="7"/>
  <c r="AF3590" i="7"/>
  <c r="AF3591" i="7"/>
  <c r="AF3592" i="7"/>
  <c r="AF3593" i="7"/>
  <c r="AF3594" i="7"/>
  <c r="AF3595" i="7"/>
  <c r="AF3596" i="7"/>
  <c r="AF3597" i="7"/>
  <c r="AF3598" i="7"/>
  <c r="AF3599" i="7"/>
  <c r="AF3600" i="7"/>
  <c r="AF3601" i="7"/>
  <c r="AF3602" i="7"/>
  <c r="AF3603" i="7"/>
  <c r="AF3604" i="7"/>
  <c r="AF3605" i="7"/>
  <c r="AF3606" i="7"/>
  <c r="AF3607" i="7"/>
  <c r="AF3608" i="7"/>
  <c r="AF3609" i="7"/>
  <c r="AF3610" i="7"/>
  <c r="AF3611" i="7"/>
  <c r="AF3612" i="7"/>
  <c r="AF3613" i="7"/>
  <c r="AF3614" i="7"/>
  <c r="AF3615" i="7"/>
  <c r="AF3616" i="7"/>
  <c r="AF3617" i="7"/>
  <c r="AF3618" i="7"/>
  <c r="AF3619" i="7"/>
  <c r="AF3620" i="7"/>
  <c r="AF3621" i="7"/>
  <c r="AF3622" i="7"/>
  <c r="AF3623" i="7"/>
  <c r="AF3624" i="7"/>
  <c r="AF3625" i="7"/>
  <c r="AF3626" i="7"/>
  <c r="AF3627" i="7"/>
  <c r="AF3628" i="7"/>
  <c r="AF3629" i="7"/>
  <c r="AF3630" i="7"/>
  <c r="AF3631" i="7"/>
  <c r="AF3632" i="7"/>
  <c r="AF3633" i="7"/>
  <c r="AF3634" i="7"/>
  <c r="AF3635" i="7"/>
  <c r="AF3636" i="7"/>
  <c r="AF3637" i="7"/>
  <c r="AF3638" i="7"/>
  <c r="AF3639" i="7"/>
  <c r="AF3640" i="7"/>
  <c r="AF3641" i="7"/>
  <c r="AF3642" i="7"/>
  <c r="AF3643" i="7"/>
  <c r="AF3644" i="7"/>
  <c r="AF3645" i="7"/>
  <c r="AF3646" i="7"/>
  <c r="AF3647" i="7"/>
  <c r="AF3648" i="7"/>
  <c r="AF3649" i="7"/>
  <c r="AF3650" i="7"/>
  <c r="AF3651" i="7"/>
  <c r="AF3652" i="7"/>
  <c r="AF3653" i="7"/>
  <c r="AF3654" i="7"/>
  <c r="AF3655" i="7"/>
  <c r="AF3656" i="7"/>
  <c r="AF3657" i="7"/>
  <c r="AF3658" i="7"/>
  <c r="AF3659" i="7"/>
  <c r="AF3660" i="7"/>
  <c r="AF3661" i="7"/>
  <c r="AF3662" i="7"/>
  <c r="AF3663" i="7"/>
  <c r="AF3664" i="7"/>
  <c r="AF3665" i="7"/>
  <c r="AF3666" i="7"/>
  <c r="AF3667" i="7"/>
  <c r="AF3668" i="7"/>
  <c r="AF3669" i="7"/>
  <c r="AF3670" i="7"/>
  <c r="AF3671" i="7"/>
  <c r="AF3672" i="7"/>
  <c r="AF3673" i="7"/>
  <c r="AF3674" i="7"/>
  <c r="AF3675" i="7"/>
  <c r="AF3676" i="7"/>
  <c r="AF3677" i="7"/>
  <c r="AF3678" i="7"/>
  <c r="AF3679" i="7"/>
  <c r="AF3680" i="7"/>
  <c r="AF3681" i="7"/>
  <c r="AF3682" i="7"/>
  <c r="AF3683" i="7"/>
  <c r="AF3684" i="7"/>
  <c r="AF3685" i="7"/>
  <c r="AF3686" i="7"/>
  <c r="AF3687" i="7"/>
  <c r="AF3688" i="7"/>
  <c r="AF3689" i="7"/>
  <c r="AF3690" i="7"/>
  <c r="AF3691" i="7"/>
  <c r="AF3692" i="7"/>
  <c r="AF3693" i="7"/>
  <c r="AF3694" i="7"/>
  <c r="AF3695" i="7"/>
  <c r="AF3696" i="7"/>
  <c r="AF3697" i="7"/>
  <c r="AF3698" i="7"/>
  <c r="AF3699" i="7"/>
  <c r="AF3700" i="7"/>
  <c r="AF3701" i="7"/>
  <c r="AF3702" i="7"/>
  <c r="AF3703" i="7"/>
  <c r="AF3704" i="7"/>
  <c r="AF3705" i="7"/>
  <c r="AF3706" i="7"/>
  <c r="AF3707" i="7"/>
  <c r="AF3708" i="7"/>
  <c r="AF3709" i="7"/>
  <c r="AF3710" i="7"/>
  <c r="AF3711" i="7"/>
  <c r="AF3712" i="7"/>
  <c r="AF3713" i="7"/>
  <c r="AF3714" i="7"/>
  <c r="AF3715" i="7"/>
  <c r="AF3716" i="7"/>
  <c r="AF3717" i="7"/>
  <c r="AF3718" i="7"/>
  <c r="AF3719" i="7"/>
  <c r="AF3720" i="7"/>
  <c r="AF3721" i="7"/>
  <c r="AF3722" i="7"/>
  <c r="AF3723" i="7"/>
  <c r="AF3724" i="7"/>
  <c r="AF3725" i="7"/>
  <c r="AF3726" i="7"/>
  <c r="AF3727" i="7"/>
  <c r="AF3728" i="7"/>
  <c r="AF3729" i="7"/>
  <c r="AF3730" i="7"/>
  <c r="AF3731" i="7"/>
  <c r="AF3732" i="7"/>
  <c r="AF3733" i="7"/>
  <c r="AF3734" i="7"/>
  <c r="AF3735" i="7"/>
  <c r="AF3736" i="7"/>
  <c r="AF3737" i="7"/>
  <c r="AF3738" i="7"/>
  <c r="AF3739" i="7"/>
  <c r="AF3740" i="7"/>
  <c r="AF3741" i="7"/>
  <c r="AF3742" i="7"/>
  <c r="AF3743" i="7"/>
  <c r="AF3744" i="7"/>
  <c r="AF3745" i="7"/>
  <c r="AF3746" i="7"/>
  <c r="AF3747" i="7"/>
  <c r="AF3748" i="7"/>
  <c r="AF3749" i="7"/>
  <c r="AF3750" i="7"/>
  <c r="AF3751" i="7"/>
  <c r="AF3752" i="7"/>
  <c r="AF3753" i="7"/>
  <c r="AF3754" i="7"/>
  <c r="AF3755" i="7"/>
  <c r="AF3756" i="7"/>
  <c r="AF3757" i="7"/>
  <c r="AF3758" i="7"/>
  <c r="AF3759" i="7"/>
  <c r="AF3760" i="7"/>
  <c r="AF3761" i="7"/>
  <c r="AF3762" i="7"/>
  <c r="AF3763" i="7"/>
  <c r="AF3764" i="7"/>
  <c r="AF3765" i="7"/>
  <c r="AF3766" i="7"/>
  <c r="AF3767" i="7"/>
  <c r="AF3768" i="7"/>
  <c r="AF3769" i="7"/>
  <c r="AF3770" i="7"/>
  <c r="AF3771" i="7"/>
  <c r="AF3772" i="7"/>
  <c r="AF3773" i="7"/>
  <c r="AF3774" i="7"/>
  <c r="AF3775" i="7"/>
  <c r="AF3776" i="7"/>
  <c r="AF3777" i="7"/>
  <c r="AF3778" i="7"/>
  <c r="AF3779" i="7"/>
  <c r="AF3780" i="7"/>
  <c r="AF3781" i="7"/>
  <c r="AF3782" i="7"/>
  <c r="AF3783" i="7"/>
  <c r="AF3784" i="7"/>
  <c r="AF3785" i="7"/>
  <c r="AF3786" i="7"/>
  <c r="AF3787" i="7"/>
  <c r="AF3788" i="7"/>
  <c r="AF3789" i="7"/>
  <c r="AF3790" i="7"/>
  <c r="AF3791" i="7"/>
  <c r="AF3792" i="7"/>
  <c r="AF3793" i="7"/>
  <c r="AF3794" i="7"/>
  <c r="AF3795" i="7"/>
  <c r="AF3796" i="7"/>
  <c r="AF3797" i="7"/>
  <c r="AF3798" i="7"/>
  <c r="AF3799" i="7"/>
  <c r="AF3800" i="7"/>
  <c r="AF3801" i="7"/>
  <c r="AF3802" i="7"/>
  <c r="AF3803" i="7"/>
  <c r="AF3804" i="7"/>
  <c r="AF3805" i="7"/>
  <c r="AF3806" i="7"/>
  <c r="AF3807" i="7"/>
  <c r="AF3808" i="7"/>
  <c r="AF3809" i="7"/>
  <c r="AF3810" i="7"/>
  <c r="AF3811" i="7"/>
  <c r="AF3812" i="7"/>
  <c r="AF3813" i="7"/>
  <c r="AF3814" i="7"/>
  <c r="AF3815" i="7"/>
  <c r="AF3816" i="7"/>
  <c r="AF3817" i="7"/>
  <c r="AF3818" i="7"/>
  <c r="AF3819" i="7"/>
  <c r="AF3820" i="7"/>
  <c r="AF3821" i="7"/>
  <c r="AF3822" i="7"/>
  <c r="AF3823" i="7"/>
  <c r="AF3824" i="7"/>
  <c r="AF3825" i="7"/>
  <c r="AF3826" i="7"/>
  <c r="AF3827" i="7"/>
  <c r="AF3828" i="7"/>
  <c r="AF3829" i="7"/>
  <c r="AF3830" i="7"/>
  <c r="AF3831" i="7"/>
  <c r="AF3832" i="7"/>
  <c r="AF3833" i="7"/>
  <c r="AF3834" i="7"/>
  <c r="AF3835" i="7"/>
  <c r="AF3836" i="7"/>
  <c r="AF3837" i="7"/>
  <c r="AF3838" i="7"/>
  <c r="AF3839" i="7"/>
  <c r="AF3840" i="7"/>
  <c r="AF3841" i="7"/>
  <c r="AF3842" i="7"/>
  <c r="AF3843" i="7"/>
  <c r="AF3844" i="7"/>
  <c r="AF3845" i="7"/>
  <c r="AF3846" i="7"/>
  <c r="AF3847" i="7"/>
  <c r="AF3848" i="7"/>
  <c r="AF3849" i="7"/>
  <c r="AF3850" i="7"/>
  <c r="AF3851" i="7"/>
  <c r="AF3852" i="7"/>
  <c r="AF3853" i="7"/>
  <c r="AF3854" i="7"/>
  <c r="AF3855" i="7"/>
  <c r="AF3856" i="7"/>
  <c r="AF3857" i="7"/>
  <c r="AF3858" i="7"/>
  <c r="AF3859" i="7"/>
  <c r="AF3860" i="7"/>
  <c r="AF3861" i="7"/>
  <c r="AF3862" i="7"/>
  <c r="AF3863" i="7"/>
  <c r="AF3864" i="7"/>
  <c r="AF3865" i="7"/>
  <c r="AF3866" i="7"/>
  <c r="AF3867" i="7"/>
  <c r="AF3868" i="7"/>
  <c r="AF3869" i="7"/>
  <c r="AF3870" i="7"/>
  <c r="AF3871" i="7"/>
  <c r="AF3872" i="7"/>
  <c r="AF3873" i="7"/>
  <c r="AF3874" i="7"/>
  <c r="AF3875" i="7"/>
  <c r="AF3876" i="7"/>
  <c r="AF3877" i="7"/>
  <c r="AF3878" i="7"/>
  <c r="AF3879" i="7"/>
  <c r="AF3880" i="7"/>
  <c r="AF3881" i="7"/>
  <c r="AF3882" i="7"/>
  <c r="AF3883" i="7"/>
  <c r="AF3884" i="7"/>
  <c r="AF3885" i="7"/>
  <c r="AF3886" i="7"/>
  <c r="AF3887" i="7"/>
  <c r="AF3888" i="7"/>
  <c r="AF3889" i="7"/>
  <c r="AF3890" i="7"/>
  <c r="AF3891" i="7"/>
  <c r="AF3892" i="7"/>
  <c r="AF3893" i="7"/>
  <c r="AF3894" i="7"/>
  <c r="AF3895" i="7"/>
  <c r="AF3896" i="7"/>
  <c r="AF3897" i="7"/>
  <c r="AF3898" i="7"/>
  <c r="AF3899" i="7"/>
  <c r="AF3900" i="7"/>
  <c r="AF3901" i="7"/>
  <c r="AF3902" i="7"/>
  <c r="AF3903" i="7"/>
  <c r="AF3904" i="7"/>
  <c r="AF3905" i="7"/>
  <c r="AF3906" i="7"/>
  <c r="AF3907" i="7"/>
  <c r="AF3908" i="7"/>
  <c r="AF3909" i="7"/>
  <c r="AF3910" i="7"/>
  <c r="AF3911" i="7"/>
  <c r="AF3912" i="7"/>
  <c r="AF3913" i="7"/>
  <c r="AF3914" i="7"/>
  <c r="AF3915" i="7"/>
  <c r="AF3916" i="7"/>
  <c r="AF3917" i="7"/>
  <c r="AF3918" i="7"/>
  <c r="AF3919" i="7"/>
  <c r="AF3920" i="7"/>
  <c r="AF3921" i="7"/>
  <c r="AF3922" i="7"/>
  <c r="AF3923" i="7"/>
  <c r="AF3924" i="7"/>
  <c r="AF3925" i="7"/>
  <c r="AF3926" i="7"/>
  <c r="AF3927" i="7"/>
  <c r="AF3928" i="7"/>
  <c r="AF3929" i="7"/>
  <c r="AF3930" i="7"/>
  <c r="AF3931" i="7"/>
  <c r="AF3932" i="7"/>
  <c r="AF3933" i="7"/>
  <c r="AF3934" i="7"/>
  <c r="AF3935" i="7"/>
  <c r="AF3936" i="7"/>
  <c r="AF3937" i="7"/>
  <c r="AF3938" i="7"/>
  <c r="AF3939" i="7"/>
  <c r="AF3940" i="7"/>
  <c r="AF3941" i="7"/>
  <c r="AF3942" i="7"/>
  <c r="AF3943" i="7"/>
  <c r="AF3944" i="7"/>
  <c r="AF3945" i="7"/>
  <c r="AF3946" i="7"/>
  <c r="AF3947" i="7"/>
  <c r="AF3948" i="7"/>
  <c r="AF3949" i="7"/>
  <c r="AF3950" i="7"/>
  <c r="AF3951" i="7"/>
  <c r="AF3952" i="7"/>
  <c r="AF3953" i="7"/>
  <c r="AF3954" i="7"/>
  <c r="AF3955" i="7"/>
  <c r="AF3956" i="7"/>
  <c r="AF3957" i="7"/>
  <c r="AF3958" i="7"/>
  <c r="AF3959" i="7"/>
  <c r="AF3960" i="7"/>
  <c r="AF3961" i="7"/>
  <c r="AF3962" i="7"/>
  <c r="AF3963" i="7"/>
  <c r="AF3964" i="7"/>
  <c r="AF3965" i="7"/>
  <c r="AF3966" i="7"/>
  <c r="AF3967" i="7"/>
  <c r="AF3968" i="7"/>
  <c r="AF3969" i="7"/>
  <c r="AF3970" i="7"/>
  <c r="AF3971" i="7"/>
  <c r="AF3972" i="7"/>
  <c r="AF3973" i="7"/>
  <c r="AF3974" i="7"/>
  <c r="AF3975" i="7"/>
  <c r="AF3976" i="7"/>
  <c r="AF3977" i="7"/>
  <c r="AF3978" i="7"/>
  <c r="AF3979" i="7"/>
  <c r="AF3980" i="7"/>
  <c r="AF3981" i="7"/>
  <c r="AF3982" i="7"/>
  <c r="AF3983" i="7"/>
  <c r="AF3984" i="7"/>
  <c r="AF3985" i="7"/>
  <c r="AF3986" i="7"/>
  <c r="AF3987" i="7"/>
  <c r="AF3988" i="7"/>
  <c r="AF3989" i="7"/>
  <c r="AF3990" i="7"/>
  <c r="AF3991" i="7"/>
  <c r="AF3992" i="7"/>
  <c r="AF3993" i="7"/>
  <c r="AF3994" i="7"/>
  <c r="AF3995" i="7"/>
  <c r="AF3996" i="7"/>
  <c r="AF3997" i="7"/>
  <c r="AF3998" i="7"/>
  <c r="AF3999" i="7"/>
  <c r="AF4000" i="7"/>
  <c r="AF4001" i="7"/>
  <c r="AF4002" i="7"/>
  <c r="AF4003" i="7"/>
  <c r="AF4004" i="7"/>
  <c r="AF4005" i="7"/>
  <c r="AF4006" i="7"/>
  <c r="AF4007" i="7"/>
  <c r="AF4008" i="7"/>
  <c r="AF4009" i="7"/>
  <c r="AF4010" i="7"/>
  <c r="AF4011" i="7"/>
  <c r="AF4012" i="7"/>
  <c r="AF4013" i="7"/>
  <c r="AF4014" i="7"/>
  <c r="AF4015" i="7"/>
  <c r="AF4016" i="7"/>
  <c r="AF4017" i="7"/>
  <c r="AF4018" i="7"/>
  <c r="AF4019" i="7"/>
  <c r="AF4020" i="7"/>
  <c r="AF4021" i="7"/>
  <c r="AF4022" i="7"/>
  <c r="AF4023" i="7"/>
  <c r="AF4024" i="7"/>
  <c r="AF4025" i="7"/>
  <c r="AF4026" i="7"/>
  <c r="AF4027" i="7"/>
  <c r="AF4028" i="7"/>
  <c r="AF4029" i="7"/>
  <c r="AF4030" i="7"/>
  <c r="AF4031" i="7"/>
  <c r="AF4032" i="7"/>
  <c r="AF4033" i="7"/>
  <c r="AF4034" i="7"/>
  <c r="AF4035" i="7"/>
  <c r="AF4036" i="7"/>
  <c r="AF4037" i="7"/>
  <c r="AF4038" i="7"/>
  <c r="AF4039" i="7"/>
  <c r="AF4040" i="7"/>
  <c r="AF4041" i="7"/>
  <c r="AF4042" i="7"/>
  <c r="AF4043" i="7"/>
  <c r="AF4044" i="7"/>
  <c r="AF4045" i="7"/>
  <c r="AF4046" i="7"/>
  <c r="AF4047" i="7"/>
  <c r="AF4048" i="7"/>
  <c r="AF4049" i="7"/>
  <c r="AF4050" i="7"/>
  <c r="AF4051" i="7"/>
  <c r="AF4052" i="7"/>
  <c r="AF4053" i="7"/>
  <c r="AF4054" i="7"/>
  <c r="AF4055" i="7"/>
  <c r="AF4056" i="7"/>
  <c r="AF4057" i="7"/>
  <c r="AF4058" i="7"/>
  <c r="AF4059" i="7"/>
  <c r="AF4060" i="7"/>
  <c r="AF4061" i="7"/>
  <c r="AF4062" i="7"/>
  <c r="AF4063" i="7"/>
  <c r="AF4064" i="7"/>
  <c r="AF4065" i="7"/>
  <c r="AF4066" i="7"/>
  <c r="AF4067" i="7"/>
  <c r="AF4068" i="7"/>
  <c r="AF4069" i="7"/>
  <c r="AF4070" i="7"/>
  <c r="AF4071" i="7"/>
  <c r="AF4072" i="7"/>
  <c r="AF4073" i="7"/>
  <c r="AF4074" i="7"/>
  <c r="AF4075" i="7"/>
  <c r="AF4076" i="7"/>
  <c r="AF4077" i="7"/>
  <c r="AF4078" i="7"/>
  <c r="AF4079" i="7"/>
  <c r="AF4080" i="7"/>
  <c r="AF4081" i="7"/>
  <c r="AF4082" i="7"/>
  <c r="AF4083" i="7"/>
  <c r="AF4084" i="7"/>
  <c r="AF4085" i="7"/>
  <c r="AF4086" i="7"/>
  <c r="AF4087" i="7"/>
  <c r="AF4088" i="7"/>
  <c r="AF4089" i="7"/>
  <c r="AF4090" i="7"/>
  <c r="AF4091" i="7"/>
  <c r="AF4092" i="7"/>
  <c r="AF4093" i="7"/>
  <c r="AF4094" i="7"/>
  <c r="AF4095" i="7"/>
  <c r="AF4096" i="7"/>
  <c r="AF4097" i="7"/>
  <c r="AF4098" i="7"/>
  <c r="AF4099" i="7"/>
  <c r="AF4100" i="7"/>
  <c r="AF4101" i="7"/>
  <c r="AF4102" i="7"/>
  <c r="AF4103" i="7"/>
  <c r="AF4104" i="7"/>
  <c r="AF4105" i="7"/>
  <c r="AF4106" i="7"/>
  <c r="AF4107" i="7"/>
  <c r="AF4108" i="7"/>
  <c r="AF4109" i="7"/>
  <c r="AF4110" i="7"/>
  <c r="AF4111" i="7"/>
  <c r="AF4112" i="7"/>
  <c r="AF4113" i="7"/>
  <c r="AF4114" i="7"/>
  <c r="AF4115" i="7"/>
  <c r="AF4116" i="7"/>
  <c r="AF4117" i="7"/>
  <c r="AF4118" i="7"/>
  <c r="AF4119" i="7"/>
  <c r="AF4120" i="7"/>
  <c r="AF4121" i="7"/>
  <c r="AF4122" i="7"/>
  <c r="AF4123" i="7"/>
  <c r="AF4124" i="7"/>
  <c r="AF4125" i="7"/>
  <c r="AF4126" i="7"/>
  <c r="AF4127" i="7"/>
  <c r="AF4128" i="7"/>
  <c r="AF4129" i="7"/>
  <c r="AF4130" i="7"/>
  <c r="AF4131" i="7"/>
  <c r="AF4132" i="7"/>
  <c r="AF4133" i="7"/>
  <c r="AF4134" i="7"/>
  <c r="AF4135" i="7"/>
  <c r="AF4136" i="7"/>
  <c r="AF4137" i="7"/>
  <c r="AF4138" i="7"/>
  <c r="AF4139" i="7"/>
  <c r="AF4140" i="7"/>
  <c r="AF4141" i="7"/>
  <c r="AF4142" i="7"/>
  <c r="AF4143" i="7"/>
  <c r="AF4144" i="7"/>
  <c r="AF4145" i="7"/>
  <c r="AF4146" i="7"/>
  <c r="AF4147" i="7"/>
  <c r="AF4148" i="7"/>
  <c r="AF4149" i="7"/>
  <c r="AF4150" i="7"/>
  <c r="AF4151" i="7"/>
  <c r="AF4152" i="7"/>
  <c r="AF4153" i="7"/>
  <c r="AF4154" i="7"/>
  <c r="AF4155" i="7"/>
  <c r="AF4156" i="7"/>
  <c r="AF4157" i="7"/>
  <c r="AF4158" i="7"/>
  <c r="AF4159" i="7"/>
  <c r="AF4160" i="7"/>
  <c r="AF4161" i="7"/>
  <c r="AF4162" i="7"/>
  <c r="AF4163" i="7"/>
  <c r="AF4164" i="7"/>
  <c r="AF4165" i="7"/>
  <c r="AF4166" i="7"/>
  <c r="AF4167" i="7"/>
  <c r="AF4168" i="7"/>
  <c r="AF4169" i="7"/>
  <c r="AF4170" i="7"/>
  <c r="AF4171" i="7"/>
  <c r="AF4172" i="7"/>
  <c r="AF4173" i="7"/>
  <c r="AF4174" i="7"/>
  <c r="AF4175" i="7"/>
  <c r="AF4176" i="7"/>
  <c r="AF4177" i="7"/>
  <c r="AF4178" i="7"/>
  <c r="AF4179" i="7"/>
  <c r="AF4180" i="7"/>
  <c r="AF4181" i="7"/>
  <c r="AF4182" i="7"/>
  <c r="AF4183" i="7"/>
  <c r="AF4184" i="7"/>
  <c r="AF4185" i="7"/>
  <c r="AF4186" i="7"/>
  <c r="AF4187" i="7"/>
  <c r="AF4188" i="7"/>
  <c r="AF4189" i="7"/>
  <c r="AF4190" i="7"/>
  <c r="AF4191" i="7"/>
  <c r="AF4192" i="7"/>
  <c r="AF4193" i="7"/>
  <c r="AF4194" i="7"/>
  <c r="AF4195" i="7"/>
  <c r="AF4196" i="7"/>
  <c r="AF4197" i="7"/>
  <c r="AF4198" i="7"/>
  <c r="AF4199" i="7"/>
  <c r="AF4200" i="7"/>
  <c r="AF4201" i="7"/>
  <c r="AF4202" i="7"/>
  <c r="AF4203" i="7"/>
  <c r="AF4204" i="7"/>
  <c r="AF4205" i="7"/>
  <c r="AF4206" i="7"/>
  <c r="AF4207" i="7"/>
  <c r="AF4208" i="7"/>
  <c r="AF4209" i="7"/>
  <c r="AF4210" i="7"/>
  <c r="AF4211" i="7"/>
  <c r="AF4212" i="7"/>
  <c r="AF4213" i="7"/>
  <c r="AF4214" i="7"/>
  <c r="AF4215" i="7"/>
  <c r="AF4216" i="7"/>
  <c r="AF4217" i="7"/>
  <c r="AF4218" i="7"/>
  <c r="AF4219" i="7"/>
  <c r="AF4220" i="7"/>
  <c r="AF4221" i="7"/>
  <c r="AF4222" i="7"/>
  <c r="AF4223" i="7"/>
  <c r="AF4224" i="7"/>
  <c r="AF4225" i="7"/>
  <c r="AF4226" i="7"/>
  <c r="AF4227" i="7"/>
  <c r="AF4228" i="7"/>
  <c r="AF4229" i="7"/>
  <c r="AF4230" i="7"/>
  <c r="AF4231" i="7"/>
  <c r="AF4232" i="7"/>
  <c r="AF4233" i="7"/>
  <c r="AF4234" i="7"/>
  <c r="AF4235" i="7"/>
  <c r="AF4236" i="7"/>
  <c r="AF4237" i="7"/>
  <c r="AF4238" i="7"/>
  <c r="AF4239" i="7"/>
  <c r="AF4240" i="7"/>
  <c r="AF4241" i="7"/>
  <c r="AF4242" i="7"/>
  <c r="AF4243" i="7"/>
  <c r="AF4244" i="7"/>
  <c r="AF4245" i="7"/>
  <c r="AF4246" i="7"/>
  <c r="AF4247" i="7"/>
  <c r="AF4248" i="7"/>
  <c r="AF4249" i="7"/>
  <c r="AF4250" i="7"/>
  <c r="AF4251" i="7"/>
  <c r="AF4252" i="7"/>
  <c r="AF4253" i="7"/>
  <c r="AF4254" i="7"/>
  <c r="AF4255" i="7"/>
  <c r="AF4256" i="7"/>
  <c r="AF4257" i="7"/>
  <c r="AF4258" i="7"/>
  <c r="AF4259" i="7"/>
  <c r="AF4260" i="7"/>
  <c r="AF4261" i="7"/>
  <c r="AF4262" i="7"/>
  <c r="AF4263" i="7"/>
  <c r="AF4264" i="7"/>
  <c r="AF4265" i="7"/>
  <c r="AF4266" i="7"/>
  <c r="AF4267" i="7"/>
  <c r="AF4268" i="7"/>
  <c r="AF4269" i="7"/>
  <c r="AF4270" i="7"/>
  <c r="AF4271" i="7"/>
  <c r="AF4272" i="7"/>
  <c r="AF4273" i="7"/>
  <c r="AF4274" i="7"/>
  <c r="AF4275" i="7"/>
  <c r="AF4276" i="7"/>
  <c r="AF4277" i="7"/>
  <c r="AF4278" i="7"/>
  <c r="AF4279" i="7"/>
  <c r="AF4280" i="7"/>
  <c r="AF4281" i="7"/>
  <c r="AF4282" i="7"/>
  <c r="AF4283" i="7"/>
  <c r="AF4284" i="7"/>
  <c r="AF4285" i="7"/>
  <c r="AF4286" i="7"/>
  <c r="AF4287" i="7"/>
  <c r="AF4288" i="7"/>
  <c r="AF4289" i="7"/>
  <c r="AF4290" i="7"/>
  <c r="AF4291" i="7"/>
  <c r="AF4292" i="7"/>
  <c r="AF4293" i="7"/>
  <c r="AF4294" i="7"/>
  <c r="AF4295" i="7"/>
  <c r="AF4296" i="7"/>
  <c r="AF4297" i="7"/>
  <c r="AF4298" i="7"/>
  <c r="AF4299" i="7"/>
  <c r="AF4300" i="7"/>
  <c r="AF4301" i="7"/>
  <c r="AF4302" i="7"/>
  <c r="AF4303" i="7"/>
  <c r="AF4304" i="7"/>
  <c r="AF4305" i="7"/>
  <c r="AF4306" i="7"/>
  <c r="AF4307" i="7"/>
  <c r="AF4308" i="7"/>
  <c r="AF4309" i="7"/>
  <c r="AF4310" i="7"/>
  <c r="AF4311" i="7"/>
  <c r="AF4312" i="7"/>
  <c r="AF4313" i="7"/>
  <c r="AF4314" i="7"/>
  <c r="AF4315" i="7"/>
  <c r="AF4316" i="7"/>
  <c r="AF4317" i="7"/>
  <c r="AF4318" i="7"/>
  <c r="AF4319" i="7"/>
  <c r="AF4320" i="7"/>
  <c r="AF4321" i="7"/>
  <c r="AF4322" i="7"/>
  <c r="AF4323" i="7"/>
  <c r="AF4324" i="7"/>
  <c r="AF4325" i="7"/>
  <c r="AF4326" i="7"/>
  <c r="AF4327" i="7"/>
  <c r="AF4328" i="7"/>
  <c r="AF4329" i="7"/>
  <c r="AF4330" i="7"/>
  <c r="AF4331" i="7"/>
  <c r="AF4332" i="7"/>
  <c r="AF4333" i="7"/>
  <c r="AF4334" i="7"/>
  <c r="AF4335" i="7"/>
  <c r="AF4336" i="7"/>
  <c r="AF4337" i="7"/>
  <c r="AF4338" i="7"/>
  <c r="AF4339" i="7"/>
  <c r="AF4340" i="7"/>
  <c r="AF4341" i="7"/>
  <c r="AF4342" i="7"/>
  <c r="AF4343" i="7"/>
  <c r="AF4344" i="7"/>
  <c r="AF4345" i="7"/>
  <c r="AF4346" i="7"/>
  <c r="AF4347" i="7"/>
  <c r="AF4348" i="7"/>
  <c r="AF4349" i="7"/>
  <c r="AF4350" i="7"/>
  <c r="AF4351" i="7"/>
  <c r="AF4352" i="7"/>
  <c r="AF4353" i="7"/>
  <c r="AF4354" i="7"/>
  <c r="AF4355" i="7"/>
  <c r="AF4356" i="7"/>
  <c r="AF4357" i="7"/>
  <c r="AF4358" i="7"/>
  <c r="AF4359" i="7"/>
  <c r="AF4360" i="7"/>
  <c r="AF4361" i="7"/>
  <c r="AF4362" i="7"/>
  <c r="AF4363" i="7"/>
  <c r="AF4364" i="7"/>
  <c r="AF4365" i="7"/>
  <c r="AF4366" i="7"/>
  <c r="AF4367" i="7"/>
  <c r="AF4368" i="7"/>
  <c r="AF4369" i="7"/>
  <c r="AF4370" i="7"/>
  <c r="AF4371" i="7"/>
  <c r="AF4372" i="7"/>
  <c r="AF4373" i="7"/>
  <c r="AF4374" i="7"/>
  <c r="AF4375" i="7"/>
  <c r="AF4376" i="7"/>
  <c r="AF4377" i="7"/>
  <c r="AF4378" i="7"/>
  <c r="AF4379" i="7"/>
  <c r="AF4380" i="7"/>
  <c r="AF4381" i="7"/>
  <c r="AF4382" i="7"/>
  <c r="AF4383" i="7"/>
  <c r="AF4384" i="7"/>
  <c r="AF4385" i="7"/>
  <c r="AF4386" i="7"/>
  <c r="AF4387" i="7"/>
  <c r="AF4388" i="7"/>
  <c r="AF4389" i="7"/>
  <c r="AF4390" i="7"/>
  <c r="AF4391" i="7"/>
  <c r="AF4392" i="7"/>
  <c r="AF4393" i="7"/>
  <c r="AF4394" i="7"/>
  <c r="AF4395" i="7"/>
  <c r="AF4396" i="7"/>
  <c r="AF4397" i="7"/>
  <c r="AF4398" i="7"/>
  <c r="AF4399" i="7"/>
  <c r="AF4400" i="7"/>
  <c r="AF4401" i="7"/>
  <c r="AF4402" i="7"/>
  <c r="AF4403" i="7"/>
  <c r="AF4404" i="7"/>
  <c r="AF4405" i="7"/>
  <c r="AF4406" i="7"/>
  <c r="AF4407" i="7"/>
  <c r="AF4408" i="7"/>
  <c r="AF4409" i="7"/>
  <c r="AF4410" i="7"/>
  <c r="AF4411" i="7"/>
  <c r="AF4412" i="7"/>
  <c r="AF4413" i="7"/>
  <c r="AF4414" i="7"/>
  <c r="AF4415" i="7"/>
  <c r="AF4416" i="7"/>
  <c r="AF4417" i="7"/>
  <c r="AF4418" i="7"/>
  <c r="AF4419" i="7"/>
  <c r="AF4420" i="7"/>
  <c r="AF4421" i="7"/>
  <c r="AF4422" i="7"/>
  <c r="AF4423" i="7"/>
  <c r="AF4424" i="7"/>
  <c r="AF4425" i="7"/>
  <c r="AF4426" i="7"/>
  <c r="AF4427" i="7"/>
  <c r="AF4428" i="7"/>
  <c r="AF4429" i="7"/>
  <c r="AF4430" i="7"/>
  <c r="AF4431" i="7"/>
  <c r="AF4432" i="7"/>
  <c r="AF4433" i="7"/>
  <c r="AF4434" i="7"/>
  <c r="AF4435" i="7"/>
  <c r="AF4436" i="7"/>
  <c r="AF4437" i="7"/>
  <c r="AF4438" i="7"/>
  <c r="AF4439" i="7"/>
  <c r="AF4440" i="7"/>
  <c r="AF4441" i="7"/>
  <c r="AF4442" i="7"/>
  <c r="AF4443" i="7"/>
  <c r="AF4444" i="7"/>
  <c r="AF4445" i="7"/>
  <c r="AF4446" i="7"/>
  <c r="AF4447" i="7"/>
  <c r="AF4448" i="7"/>
  <c r="AF4449" i="7"/>
  <c r="AF4450" i="7"/>
  <c r="AF4451" i="7"/>
  <c r="AF4452" i="7"/>
  <c r="AF4453" i="7"/>
  <c r="AF4454" i="7"/>
  <c r="AF4455" i="7"/>
  <c r="AF4456" i="7"/>
  <c r="AF4457" i="7"/>
  <c r="AF4458" i="7"/>
  <c r="AF4459" i="7"/>
  <c r="AF4460" i="7"/>
  <c r="AF4461" i="7"/>
  <c r="AF4462" i="7"/>
  <c r="AF4463" i="7"/>
  <c r="AF4464" i="7"/>
  <c r="AF4465" i="7"/>
  <c r="AF4466" i="7"/>
  <c r="AF4467" i="7"/>
  <c r="AF4468" i="7"/>
  <c r="AF4469" i="7"/>
  <c r="AF4470" i="7"/>
  <c r="AF4471" i="7"/>
  <c r="AF4472" i="7"/>
  <c r="AF4473" i="7"/>
  <c r="AF4474" i="7"/>
  <c r="AF4475" i="7"/>
  <c r="AF4476" i="7"/>
  <c r="AF4477" i="7"/>
  <c r="AF4478" i="7"/>
  <c r="AF4479" i="7"/>
  <c r="AF4480" i="7"/>
  <c r="AF4481" i="7"/>
  <c r="AF4482" i="7"/>
  <c r="AF4483" i="7"/>
  <c r="AF4484" i="7"/>
  <c r="AF4485" i="7"/>
  <c r="AF4486" i="7"/>
  <c r="AF4487" i="7"/>
  <c r="AF4488" i="7"/>
  <c r="AF4489" i="7"/>
  <c r="AF4490" i="7"/>
  <c r="AF4491" i="7"/>
  <c r="AF4492" i="7"/>
  <c r="AF4493" i="7"/>
  <c r="AF4494" i="7"/>
  <c r="AF4495" i="7"/>
  <c r="AF4496" i="7"/>
  <c r="AF4497" i="7"/>
  <c r="AF4498" i="7"/>
  <c r="AF4499" i="7"/>
  <c r="AF4500" i="7"/>
  <c r="AF4501" i="7"/>
  <c r="AF4502" i="7"/>
  <c r="AF4503" i="7"/>
  <c r="AF4504" i="7"/>
  <c r="AF4505" i="7"/>
  <c r="AF4506" i="7"/>
  <c r="AF4507" i="7"/>
  <c r="AF4508" i="7"/>
  <c r="AF4509" i="7"/>
  <c r="AF4510" i="7"/>
  <c r="AF4511" i="7"/>
  <c r="AF4512" i="7"/>
  <c r="AF4513" i="7"/>
  <c r="AF4514" i="7"/>
  <c r="AF4515" i="7"/>
  <c r="AF4516" i="7"/>
  <c r="AF4517" i="7"/>
  <c r="AF4518" i="7"/>
  <c r="AF4519" i="7"/>
  <c r="AF4520" i="7"/>
  <c r="AF4521" i="7"/>
  <c r="AF4522" i="7"/>
  <c r="AF4523" i="7"/>
  <c r="AF4524" i="7"/>
  <c r="AF4525" i="7"/>
  <c r="AF4526" i="7"/>
  <c r="AF4527" i="7"/>
  <c r="AF4528" i="7"/>
  <c r="AF4529" i="7"/>
  <c r="AF4530" i="7"/>
  <c r="AF4531" i="7"/>
  <c r="AF4532" i="7"/>
  <c r="AF4533" i="7"/>
  <c r="AF4534" i="7"/>
  <c r="AF4535" i="7"/>
  <c r="AF4536" i="7"/>
  <c r="AF4537" i="7"/>
  <c r="AF4538" i="7"/>
  <c r="AF4539" i="7"/>
  <c r="AF4540" i="7"/>
  <c r="AF4541" i="7"/>
  <c r="AF4542" i="7"/>
  <c r="AF4543" i="7"/>
  <c r="AF4544" i="7"/>
  <c r="AF4545" i="7"/>
  <c r="AF4546" i="7"/>
  <c r="AF4547" i="7"/>
  <c r="AF4548" i="7"/>
  <c r="AF4549" i="7"/>
  <c r="AF4550" i="7"/>
  <c r="AF4551" i="7"/>
  <c r="AF4552" i="7"/>
  <c r="AF4553" i="7"/>
  <c r="AF4554" i="7"/>
  <c r="AF4555" i="7"/>
  <c r="AF4556" i="7"/>
  <c r="AF4557" i="7"/>
  <c r="AF4558" i="7"/>
  <c r="AF4559" i="7"/>
  <c r="AF4560" i="7"/>
  <c r="AF4561" i="7"/>
  <c r="AF4562" i="7"/>
  <c r="AF4563" i="7"/>
  <c r="AF4564" i="7"/>
  <c r="AF4565" i="7"/>
  <c r="AF4566" i="7"/>
  <c r="AF4567" i="7"/>
  <c r="AF4568" i="7"/>
  <c r="AF4569" i="7"/>
  <c r="AF4570" i="7"/>
  <c r="AF4571" i="7"/>
  <c r="AF4572" i="7"/>
  <c r="AF4573" i="7"/>
  <c r="AF4574" i="7"/>
  <c r="AF4575" i="7"/>
  <c r="AF4576" i="7"/>
  <c r="AF4577" i="7"/>
  <c r="AF4578" i="7"/>
  <c r="AF4579" i="7"/>
  <c r="AF4580" i="7"/>
  <c r="AF4581" i="7"/>
  <c r="AF4582" i="7"/>
  <c r="AF4583" i="7"/>
  <c r="AF4584" i="7"/>
  <c r="AF4585" i="7"/>
  <c r="AF4586" i="7"/>
  <c r="AF4587" i="7"/>
  <c r="AF4588" i="7"/>
  <c r="AF4589" i="7"/>
  <c r="AF4590" i="7"/>
  <c r="AF4591" i="7"/>
  <c r="AF4592" i="7"/>
  <c r="AF4593" i="7"/>
  <c r="AF4594" i="7"/>
  <c r="AF4595" i="7"/>
  <c r="AF4596" i="7"/>
  <c r="AF4597" i="7"/>
  <c r="AF4598" i="7"/>
  <c r="AF4599" i="7"/>
  <c r="AF4600" i="7"/>
  <c r="AF4601" i="7"/>
  <c r="AF4602" i="7"/>
  <c r="AF4603" i="7"/>
  <c r="AF4604" i="7"/>
  <c r="AF4605" i="7"/>
  <c r="AF4606" i="7"/>
  <c r="AF4607" i="7"/>
  <c r="AF4608" i="7"/>
  <c r="AF4609" i="7"/>
  <c r="AF4610" i="7"/>
  <c r="AF4611" i="7"/>
  <c r="AF4612" i="7"/>
  <c r="AF4613" i="7"/>
  <c r="AF4614" i="7"/>
  <c r="AF4615" i="7"/>
  <c r="AF4616" i="7"/>
  <c r="AF4617" i="7"/>
  <c r="AF4618" i="7"/>
  <c r="AF4619" i="7"/>
  <c r="AF4620" i="7"/>
  <c r="AF4621" i="7"/>
  <c r="AF4622" i="7"/>
  <c r="AF4623" i="7"/>
  <c r="AF4624" i="7"/>
  <c r="AF4625" i="7"/>
  <c r="AF4626" i="7"/>
  <c r="AF4627" i="7"/>
  <c r="AF4628" i="7"/>
  <c r="AF4629" i="7"/>
  <c r="AF4630" i="7"/>
  <c r="AF4631" i="7"/>
  <c r="AF4632" i="7"/>
  <c r="AF4633" i="7"/>
  <c r="AF4634" i="7"/>
  <c r="AF4635" i="7"/>
  <c r="AF4636" i="7"/>
  <c r="AF4637" i="7"/>
  <c r="AF4638" i="7"/>
  <c r="AF4639" i="7"/>
  <c r="AF4640" i="7"/>
  <c r="AF4641" i="7"/>
  <c r="AF4642" i="7"/>
  <c r="AF4643" i="7"/>
  <c r="AF4644" i="7"/>
  <c r="AF4645" i="7"/>
  <c r="AF4646" i="7"/>
  <c r="AF4647" i="7"/>
  <c r="AF4648" i="7"/>
  <c r="AF4649" i="7"/>
  <c r="AF4650" i="7"/>
  <c r="AF4651" i="7"/>
  <c r="AF4652" i="7"/>
  <c r="AF4653" i="7"/>
  <c r="AF4654" i="7"/>
  <c r="AF4655" i="7"/>
  <c r="AF4656" i="7"/>
  <c r="AF4657" i="7"/>
  <c r="AF4658" i="7"/>
  <c r="AF4659" i="7"/>
  <c r="AF4660" i="7"/>
  <c r="AF4661" i="7"/>
  <c r="AF4662" i="7"/>
  <c r="AF4663" i="7"/>
  <c r="AF4664" i="7"/>
  <c r="AF4665" i="7"/>
  <c r="AF4666" i="7"/>
  <c r="AF4667" i="7"/>
  <c r="AF4668" i="7"/>
  <c r="AF4669" i="7"/>
  <c r="AF4670" i="7"/>
  <c r="AF4671" i="7"/>
  <c r="AF4672" i="7"/>
  <c r="AF4673" i="7"/>
  <c r="AF4674" i="7"/>
  <c r="AF4675" i="7"/>
  <c r="AF4676" i="7"/>
  <c r="AF4677" i="7"/>
  <c r="AF4678" i="7"/>
  <c r="AF4679" i="7"/>
  <c r="AF4680" i="7"/>
  <c r="AF4681" i="7"/>
  <c r="AF4682" i="7"/>
  <c r="AF4683" i="7"/>
  <c r="AF4684" i="7"/>
  <c r="AF4685" i="7"/>
  <c r="AF4686" i="7"/>
  <c r="AF4687" i="7"/>
  <c r="AF4688" i="7"/>
  <c r="AF4689" i="7"/>
  <c r="AF4690" i="7"/>
  <c r="AF4691" i="7"/>
  <c r="AF4692" i="7"/>
  <c r="AF4693" i="7"/>
  <c r="AF4694" i="7"/>
  <c r="AF4695" i="7"/>
  <c r="AF4696" i="7"/>
  <c r="AF4697" i="7"/>
  <c r="AF4698" i="7"/>
  <c r="AF4699" i="7"/>
  <c r="AF4700" i="7"/>
  <c r="AF4701" i="7"/>
  <c r="AF4702" i="7"/>
  <c r="AF4703" i="7"/>
  <c r="AF4704" i="7"/>
  <c r="AF4705" i="7"/>
  <c r="AF4706" i="7"/>
  <c r="AF4707" i="7"/>
  <c r="AF4708" i="7"/>
  <c r="AF4709" i="7"/>
  <c r="AF4710" i="7"/>
  <c r="AF4711" i="7"/>
  <c r="AF4712" i="7"/>
  <c r="AF4713" i="7"/>
  <c r="AF4714" i="7"/>
  <c r="AF4715" i="7"/>
  <c r="AF4716" i="7"/>
  <c r="AF4717" i="7"/>
  <c r="AF4718" i="7"/>
  <c r="AF4719" i="7"/>
  <c r="AF4720" i="7"/>
  <c r="AF4721" i="7"/>
  <c r="AF4722" i="7"/>
  <c r="AF4723" i="7"/>
  <c r="AF4724" i="7"/>
  <c r="AF4725" i="7"/>
  <c r="AF4726" i="7"/>
  <c r="AF4727" i="7"/>
  <c r="AF4728" i="7"/>
  <c r="AF4729" i="7"/>
  <c r="AF4730" i="7"/>
  <c r="AF4731" i="7"/>
  <c r="AF4732" i="7"/>
  <c r="AF4733" i="7"/>
  <c r="AF4734" i="7"/>
  <c r="AF4735" i="7"/>
  <c r="AF4736" i="7"/>
  <c r="AF4737" i="7"/>
  <c r="AF4738" i="7"/>
  <c r="AF4739" i="7"/>
  <c r="AF4740" i="7"/>
  <c r="AF4741" i="7"/>
  <c r="AF4742" i="7"/>
  <c r="AF4743" i="7"/>
  <c r="AF4744" i="7"/>
  <c r="AF4745" i="7"/>
  <c r="AF4746" i="7"/>
  <c r="AF4747" i="7"/>
  <c r="AF4748" i="7"/>
  <c r="AF4749" i="7"/>
  <c r="AF4750" i="7"/>
  <c r="AF4751" i="7"/>
  <c r="AF4752" i="7"/>
  <c r="AF4753" i="7"/>
  <c r="AF4754" i="7"/>
  <c r="AF4755" i="7"/>
  <c r="AF4756" i="7"/>
  <c r="AF4757" i="7"/>
  <c r="AF4758" i="7"/>
  <c r="AF4759" i="7"/>
  <c r="AF4760" i="7"/>
  <c r="AF4761" i="7"/>
  <c r="AF4762" i="7"/>
  <c r="AF4763" i="7"/>
  <c r="AF4764" i="7"/>
  <c r="AF4765" i="7"/>
  <c r="AF4766" i="7"/>
  <c r="AF4767" i="7"/>
  <c r="AF4768" i="7"/>
  <c r="AF4769" i="7"/>
  <c r="AF4770" i="7"/>
  <c r="AF4771" i="7"/>
  <c r="AF4772" i="7"/>
  <c r="AF4773" i="7"/>
  <c r="AF4774" i="7"/>
  <c r="AF4775" i="7"/>
  <c r="AF4776" i="7"/>
  <c r="AF4777" i="7"/>
  <c r="AF4778" i="7"/>
  <c r="AF4779" i="7"/>
  <c r="AF4780" i="7"/>
  <c r="AF4781" i="7"/>
  <c r="AF4782" i="7"/>
  <c r="AF4783" i="7"/>
  <c r="AF4784" i="7"/>
  <c r="AF4785" i="7"/>
  <c r="AF4786" i="7"/>
  <c r="AF4787" i="7"/>
  <c r="AF4788" i="7"/>
  <c r="AF4789" i="7"/>
  <c r="AF4790" i="7"/>
  <c r="AF4791" i="7"/>
  <c r="AF4792" i="7"/>
  <c r="AF4793" i="7"/>
  <c r="AF4794" i="7"/>
  <c r="AF4795" i="7"/>
  <c r="AF4796" i="7"/>
  <c r="AF4797" i="7"/>
  <c r="AF4798" i="7"/>
  <c r="AF4799" i="7"/>
  <c r="AF4800" i="7"/>
  <c r="AF4801" i="7"/>
  <c r="AF4802" i="7"/>
  <c r="AF4803" i="7"/>
  <c r="AF4804" i="7"/>
  <c r="AF4805" i="7"/>
  <c r="AF4806" i="7"/>
  <c r="AF4807" i="7"/>
  <c r="AF4808" i="7"/>
  <c r="AF4809" i="7"/>
  <c r="AF4810" i="7"/>
  <c r="AF4811" i="7"/>
  <c r="AF4812" i="7"/>
  <c r="AF4813" i="7"/>
  <c r="AF4814" i="7"/>
  <c r="AF4815" i="7"/>
  <c r="AF4816" i="7"/>
  <c r="AF4817" i="7"/>
  <c r="AF4818" i="7"/>
  <c r="AF4819" i="7"/>
  <c r="AF4820" i="7"/>
  <c r="AF4821" i="7"/>
  <c r="AF4822" i="7"/>
  <c r="AF4823" i="7"/>
  <c r="AF4824" i="7"/>
  <c r="AF4825" i="7"/>
  <c r="AF4826" i="7"/>
  <c r="AF4827" i="7"/>
  <c r="AF4828" i="7"/>
  <c r="AF4829" i="7"/>
  <c r="AF4830" i="7"/>
  <c r="AF4831" i="7"/>
  <c r="AF4832" i="7"/>
  <c r="AF4833" i="7"/>
  <c r="AF4834" i="7"/>
  <c r="AF4835" i="7"/>
  <c r="AF4836" i="7"/>
  <c r="AF4837" i="7"/>
  <c r="AF4838" i="7"/>
  <c r="AF4839" i="7"/>
  <c r="AF4840" i="7"/>
  <c r="AF4841" i="7"/>
  <c r="AF4842" i="7"/>
  <c r="AF4843" i="7"/>
  <c r="AF4844" i="7"/>
  <c r="AF4845" i="7"/>
  <c r="AF4846" i="7"/>
  <c r="AF4847" i="7"/>
  <c r="AF4848" i="7"/>
  <c r="AF4849" i="7"/>
  <c r="AF4850" i="7"/>
  <c r="AF4851" i="7"/>
  <c r="AF4852" i="7"/>
  <c r="AF4853" i="7"/>
  <c r="AF4854" i="7"/>
  <c r="AF4855" i="7"/>
  <c r="AF4856" i="7"/>
  <c r="AF4857" i="7"/>
  <c r="AF4858" i="7"/>
  <c r="AF4859" i="7"/>
  <c r="AF4860" i="7"/>
  <c r="AF4861" i="7"/>
  <c r="AF4862" i="7"/>
  <c r="AF4863" i="7"/>
  <c r="AF4864" i="7"/>
  <c r="AF4865" i="7"/>
  <c r="AF4866" i="7"/>
  <c r="AF4867" i="7"/>
  <c r="AF4868" i="7"/>
  <c r="AF4869" i="7"/>
  <c r="AF4870" i="7"/>
  <c r="AF4871" i="7"/>
  <c r="AF4872" i="7"/>
  <c r="AF4873" i="7"/>
  <c r="AF4874" i="7"/>
  <c r="AF4875" i="7"/>
  <c r="AF4876" i="7"/>
  <c r="AF4877" i="7"/>
  <c r="AF4878" i="7"/>
  <c r="AF4879" i="7"/>
  <c r="AF4880" i="7"/>
  <c r="AF4881" i="7"/>
  <c r="AF4882" i="7"/>
  <c r="AF4883" i="7"/>
  <c r="AF4884" i="7"/>
  <c r="AF4885" i="7"/>
  <c r="AF4886" i="7"/>
  <c r="AF4887" i="7"/>
  <c r="AF4888" i="7"/>
  <c r="AF4889" i="7"/>
  <c r="AF4890" i="7"/>
  <c r="AF4891" i="7"/>
  <c r="AF4892" i="7"/>
  <c r="AF4893" i="7"/>
  <c r="AF4894" i="7"/>
  <c r="AF4895" i="7"/>
  <c r="AF4896" i="7"/>
  <c r="AF4897" i="7"/>
  <c r="AF4898" i="7"/>
  <c r="AF4899" i="7"/>
  <c r="AF4900" i="7"/>
  <c r="AF4901" i="7"/>
  <c r="AF4902" i="7"/>
  <c r="AF4903" i="7"/>
  <c r="AF4904" i="7"/>
  <c r="AF4905" i="7"/>
  <c r="AF4906" i="7"/>
  <c r="AF4907" i="7"/>
  <c r="AF4908" i="7"/>
  <c r="AF4909" i="7"/>
  <c r="AF4910" i="7"/>
  <c r="AF4911" i="7"/>
  <c r="AF4912" i="7"/>
  <c r="AF4913" i="7"/>
  <c r="AF4914" i="7"/>
  <c r="AF4915" i="7"/>
  <c r="AF4916" i="7"/>
  <c r="AF4917" i="7"/>
  <c r="AF4918" i="7"/>
  <c r="AF4919" i="7"/>
  <c r="AF4920" i="7"/>
  <c r="AF4921" i="7"/>
  <c r="AF4922" i="7"/>
  <c r="AF4923" i="7"/>
  <c r="AF4924" i="7"/>
  <c r="AF4925" i="7"/>
  <c r="AF4926" i="7"/>
  <c r="AF4927" i="7"/>
  <c r="AF4928" i="7"/>
  <c r="AF4929" i="7"/>
  <c r="AF4930" i="7"/>
  <c r="AF4931" i="7"/>
  <c r="AF4932" i="7"/>
  <c r="AF4933" i="7"/>
  <c r="AF4934" i="7"/>
  <c r="AF4935" i="7"/>
  <c r="AF4936" i="7"/>
  <c r="AF4937" i="7"/>
  <c r="AF4938" i="7"/>
  <c r="AF4939" i="7"/>
  <c r="AF4940" i="7"/>
  <c r="AF4941" i="7"/>
  <c r="AF4942" i="7"/>
  <c r="AF4943" i="7"/>
  <c r="AF4944" i="7"/>
  <c r="AF4945" i="7"/>
  <c r="AF4946" i="7"/>
  <c r="AF4947" i="7"/>
  <c r="AF4948" i="7"/>
  <c r="AF4949" i="7"/>
  <c r="AF4950" i="7"/>
  <c r="AF4951" i="7"/>
  <c r="AF4952" i="7"/>
  <c r="AF4953" i="7"/>
  <c r="AF4954" i="7"/>
  <c r="AF4955" i="7"/>
  <c r="AF4956" i="7"/>
  <c r="AF4957" i="7"/>
  <c r="AF4958" i="7"/>
  <c r="AF4959" i="7"/>
  <c r="AF4960" i="7"/>
  <c r="AF4961" i="7"/>
  <c r="AF4962" i="7"/>
  <c r="AF4963" i="7"/>
  <c r="AF4964" i="7"/>
  <c r="AF4965" i="7"/>
  <c r="AF4966" i="7"/>
  <c r="AF4967" i="7"/>
  <c r="AF4968" i="7"/>
  <c r="AF4969" i="7"/>
  <c r="AF4970" i="7"/>
  <c r="AF4971" i="7"/>
  <c r="AF4972" i="7"/>
  <c r="AF4973" i="7"/>
  <c r="AF4974" i="7"/>
  <c r="AF4975" i="7"/>
  <c r="AF4976" i="7"/>
  <c r="AF4977" i="7"/>
  <c r="AF4978" i="7"/>
  <c r="AF4979" i="7"/>
  <c r="AF4980" i="7"/>
  <c r="AF4981" i="7"/>
  <c r="AF4982" i="7"/>
  <c r="AF4983" i="7"/>
  <c r="AF4984" i="7"/>
  <c r="AF4985" i="7"/>
  <c r="AF4986" i="7"/>
  <c r="AF4987" i="7"/>
  <c r="AF4988" i="7"/>
  <c r="AF4989" i="7"/>
  <c r="AF4990" i="7"/>
  <c r="AF4991" i="7"/>
  <c r="AF4992" i="7"/>
  <c r="AF4993" i="7"/>
  <c r="AF4994" i="7"/>
  <c r="AF4995" i="7"/>
  <c r="AF4996" i="7"/>
  <c r="AF4997" i="7"/>
  <c r="AF4998" i="7"/>
  <c r="AF4999" i="7"/>
  <c r="AF5000" i="7"/>
  <c r="AF5001" i="7"/>
  <c r="AF5002" i="7"/>
  <c r="AF5003" i="7"/>
  <c r="AF5004" i="7"/>
  <c r="AF5005" i="7"/>
  <c r="AF5006" i="7"/>
  <c r="AF5007" i="7"/>
  <c r="AF5008" i="7"/>
  <c r="AF5009" i="7"/>
  <c r="AF5010" i="7"/>
  <c r="AF5011" i="7"/>
  <c r="AF5012" i="7"/>
  <c r="AF5013" i="7"/>
  <c r="AF5014" i="7"/>
  <c r="AF5015" i="7"/>
  <c r="AF5016" i="7"/>
  <c r="AF5017" i="7"/>
  <c r="AF5018" i="7"/>
  <c r="AF5019" i="7"/>
  <c r="AF5020" i="7"/>
  <c r="AF5021" i="7"/>
  <c r="AF5022" i="7"/>
  <c r="AF5023" i="7"/>
  <c r="AF5024" i="7"/>
  <c r="AF5025" i="7"/>
  <c r="AF5026" i="7"/>
  <c r="AF5027" i="7"/>
  <c r="AF5028" i="7"/>
  <c r="AF5029" i="7"/>
  <c r="AF5030" i="7"/>
  <c r="AF5031" i="7"/>
  <c r="AF5032" i="7"/>
  <c r="AF5033" i="7"/>
  <c r="AF5034" i="7"/>
  <c r="AF5035" i="7"/>
  <c r="AF5036" i="7"/>
  <c r="AF5037" i="7"/>
  <c r="AF5038" i="7"/>
  <c r="AF5039" i="7"/>
  <c r="AF5040" i="7"/>
  <c r="AF5041" i="7"/>
  <c r="AF5042" i="7"/>
  <c r="AF5043" i="7"/>
  <c r="AF5044" i="7"/>
  <c r="AF5045" i="7"/>
  <c r="AF5046" i="7"/>
  <c r="AF5047" i="7"/>
  <c r="AF5048" i="7"/>
  <c r="AF5049" i="7"/>
  <c r="AF5050" i="7"/>
  <c r="AF5051" i="7"/>
  <c r="AF5052" i="7"/>
  <c r="AF5053" i="7"/>
  <c r="AF5054" i="7"/>
  <c r="AF5055" i="7"/>
  <c r="AF5056" i="7"/>
  <c r="AF5057" i="7"/>
  <c r="AF5058" i="7"/>
  <c r="AF5059" i="7"/>
  <c r="AF5060" i="7"/>
  <c r="AF5061" i="7"/>
  <c r="AF5062" i="7"/>
  <c r="AF5063" i="7"/>
  <c r="AF5064" i="7"/>
  <c r="AF5065" i="7"/>
  <c r="AF5066" i="7"/>
  <c r="AF5067" i="7"/>
  <c r="AF5068" i="7"/>
  <c r="AF5069" i="7"/>
  <c r="AF5070" i="7"/>
  <c r="AF5071" i="7"/>
  <c r="AF5072" i="7"/>
  <c r="AF5073" i="7"/>
  <c r="AF5074" i="7"/>
  <c r="AF5075" i="7"/>
  <c r="AF5076" i="7"/>
  <c r="AF5077" i="7"/>
  <c r="AF5078" i="7"/>
  <c r="AF5079" i="7"/>
  <c r="AF5080" i="7"/>
  <c r="AF5081" i="7"/>
  <c r="AF5082" i="7"/>
  <c r="AF5083" i="7"/>
  <c r="AF5084" i="7"/>
  <c r="AF5085" i="7"/>
  <c r="AF5086" i="7"/>
  <c r="AF5087" i="7"/>
  <c r="AF5088" i="7"/>
  <c r="AF5089" i="7"/>
  <c r="AF5090" i="7"/>
  <c r="AF5091" i="7"/>
  <c r="AF5092" i="7"/>
  <c r="AF5093" i="7"/>
  <c r="AF5094" i="7"/>
  <c r="AF5095" i="7"/>
  <c r="AF5096" i="7"/>
  <c r="AF5097" i="7"/>
  <c r="AF5098" i="7"/>
  <c r="AF5099" i="7"/>
  <c r="AF5100" i="7"/>
  <c r="AF5101" i="7"/>
  <c r="AF5102" i="7"/>
  <c r="AF5103" i="7"/>
  <c r="AF5104" i="7"/>
  <c r="AF5105" i="7"/>
  <c r="AF5106" i="7"/>
  <c r="AF5107" i="7"/>
  <c r="AF5108" i="7"/>
  <c r="AF5109" i="7"/>
  <c r="AF5110" i="7"/>
  <c r="AF5111" i="7"/>
  <c r="AF5112" i="7"/>
  <c r="AF5113" i="7"/>
  <c r="AF5114" i="7"/>
  <c r="AF5115" i="7"/>
  <c r="AF5116" i="7"/>
  <c r="AF5117" i="7"/>
  <c r="AF5118" i="7"/>
  <c r="AF5119" i="7"/>
  <c r="AF5120" i="7"/>
  <c r="AF5121" i="7"/>
  <c r="AF5122" i="7"/>
  <c r="AF5123" i="7"/>
  <c r="AF5124" i="7"/>
  <c r="AF5125" i="7"/>
  <c r="AF5126" i="7"/>
  <c r="AF5127" i="7"/>
  <c r="AF5128" i="7"/>
  <c r="AF5129" i="7"/>
  <c r="AF5130" i="7"/>
  <c r="AF5131" i="7"/>
  <c r="AF5132" i="7"/>
  <c r="AF5133" i="7"/>
  <c r="AF5134" i="7"/>
  <c r="AF5135" i="7"/>
  <c r="AF5136" i="7"/>
  <c r="AF5137" i="7"/>
  <c r="AF5138" i="7"/>
  <c r="AF5139" i="7"/>
  <c r="AF5140" i="7"/>
  <c r="AF5141" i="7"/>
  <c r="AF5142" i="7"/>
  <c r="AF5143" i="7"/>
  <c r="AF5144" i="7"/>
  <c r="AF5145" i="7"/>
  <c r="AF5146" i="7"/>
  <c r="AF5147" i="7"/>
  <c r="AF5148" i="7"/>
  <c r="AF5149" i="7"/>
  <c r="AF5150" i="7"/>
  <c r="AF5151" i="7"/>
  <c r="AF5152" i="7"/>
  <c r="AF5153" i="7"/>
  <c r="AF5154" i="7"/>
  <c r="AF5155" i="7"/>
  <c r="AF5156" i="7"/>
  <c r="AF5157" i="7"/>
  <c r="AF5158" i="7"/>
  <c r="AF5159" i="7"/>
  <c r="AF5160" i="7"/>
  <c r="AF5161" i="7"/>
  <c r="AF5162" i="7"/>
  <c r="AF5163" i="7"/>
  <c r="AF5164" i="7"/>
  <c r="AF5165" i="7"/>
  <c r="AF5166" i="7"/>
  <c r="AF5167" i="7"/>
  <c r="AF5168" i="7"/>
  <c r="AF5169" i="7"/>
  <c r="AF5170" i="7"/>
  <c r="AF5171" i="7"/>
  <c r="AF5172" i="7"/>
  <c r="AF5173" i="7"/>
  <c r="AF5174" i="7"/>
  <c r="AF5175" i="7"/>
  <c r="AF5176" i="7"/>
  <c r="AF5177" i="7"/>
  <c r="AF5178" i="7"/>
  <c r="AF5179" i="7"/>
  <c r="AF5180" i="7"/>
  <c r="AF5181" i="7"/>
  <c r="AF5182" i="7"/>
  <c r="AF5183" i="7"/>
  <c r="AF5184" i="7"/>
  <c r="AF5185" i="7"/>
  <c r="AF5186" i="7"/>
  <c r="AF5187" i="7"/>
  <c r="AF5188" i="7"/>
  <c r="AF5189" i="7"/>
  <c r="AF5190" i="7"/>
  <c r="AF5191" i="7"/>
  <c r="AF5192" i="7"/>
  <c r="AF5193" i="7"/>
  <c r="AF5194" i="7"/>
  <c r="AF5195" i="7"/>
  <c r="AF5196" i="7"/>
  <c r="AF5197" i="7"/>
  <c r="AF5198" i="7"/>
  <c r="AF5199" i="7"/>
  <c r="AF5200" i="7"/>
  <c r="AF5201" i="7"/>
  <c r="AF5202" i="7"/>
  <c r="AF5203" i="7"/>
  <c r="AF5204" i="7"/>
  <c r="AF5205" i="7"/>
  <c r="AF5206" i="7"/>
  <c r="AF5207" i="7"/>
  <c r="AF5208" i="7"/>
  <c r="AF5209" i="7"/>
  <c r="AF5210" i="7"/>
  <c r="AF5211" i="7"/>
  <c r="AF5212" i="7"/>
  <c r="AF5213" i="7"/>
  <c r="AF5214" i="7"/>
  <c r="AF5215" i="7"/>
  <c r="AF5216" i="7"/>
  <c r="AF5217" i="7"/>
  <c r="AF5218" i="7"/>
  <c r="AF5219" i="7"/>
  <c r="AF5220" i="7"/>
  <c r="AF5221" i="7"/>
  <c r="AF5222" i="7"/>
  <c r="AF5223" i="7"/>
  <c r="AF5224" i="7"/>
  <c r="AF5225" i="7"/>
  <c r="AF5226" i="7"/>
  <c r="AF5227" i="7"/>
  <c r="AF5228" i="7"/>
  <c r="AF5229" i="7"/>
  <c r="AF5230" i="7"/>
  <c r="AF5231" i="7"/>
  <c r="AF5232" i="7"/>
  <c r="AF5233" i="7"/>
  <c r="AF5234" i="7"/>
  <c r="AF5235" i="7"/>
  <c r="AF5236" i="7"/>
  <c r="AF5237" i="7"/>
  <c r="AF5238" i="7"/>
  <c r="AF5239" i="7"/>
  <c r="AF5240" i="7"/>
  <c r="AF5241" i="7"/>
  <c r="AF5242" i="7"/>
  <c r="AF5243" i="7"/>
  <c r="AF5244" i="7"/>
  <c r="AF5245" i="7"/>
  <c r="AF5246" i="7"/>
  <c r="AF5247" i="7"/>
  <c r="AF5248" i="7"/>
  <c r="AF5249" i="7"/>
  <c r="AF5250" i="7"/>
  <c r="AF5251" i="7"/>
  <c r="AF5252" i="7"/>
  <c r="AF5253" i="7"/>
  <c r="AF5254" i="7"/>
  <c r="AF5255" i="7"/>
  <c r="AF5256" i="7"/>
  <c r="AF5257" i="7"/>
  <c r="AF5258" i="7"/>
  <c r="AF5259" i="7"/>
  <c r="AF5260" i="7"/>
  <c r="AF5261" i="7"/>
  <c r="AF5262" i="7"/>
  <c r="AF5263" i="7"/>
  <c r="AF5264" i="7"/>
  <c r="AF5265" i="7"/>
  <c r="AF5266" i="7"/>
  <c r="AF5267" i="7"/>
  <c r="AF5268" i="7"/>
  <c r="AF5269" i="7"/>
  <c r="AF5270" i="7"/>
  <c r="AF5271" i="7"/>
  <c r="AF5272" i="7"/>
  <c r="AF5273" i="7"/>
  <c r="AF5274" i="7"/>
  <c r="AF5275" i="7"/>
  <c r="AF5276" i="7"/>
  <c r="AF5277" i="7"/>
  <c r="AF5278" i="7"/>
  <c r="AF5279" i="7"/>
  <c r="AF5280" i="7"/>
  <c r="AF5281" i="7"/>
  <c r="AF5282" i="7"/>
  <c r="AF5283" i="7"/>
  <c r="AF5284" i="7"/>
  <c r="AF5285" i="7"/>
  <c r="AF5286" i="7"/>
  <c r="AF5287" i="7"/>
  <c r="AF5288" i="7"/>
  <c r="AF5289" i="7"/>
  <c r="AF5290" i="7"/>
  <c r="AF5291" i="7"/>
  <c r="AF5292" i="7"/>
  <c r="AF5293" i="7"/>
  <c r="AF5294" i="7"/>
  <c r="AF5295" i="7"/>
  <c r="AF5296" i="7"/>
  <c r="AF5297" i="7"/>
  <c r="AF5298" i="7"/>
  <c r="AF5299" i="7"/>
  <c r="AF5300" i="7"/>
  <c r="AF5301" i="7"/>
  <c r="AF5302" i="7"/>
  <c r="AF5303" i="7"/>
  <c r="AF5304" i="7"/>
  <c r="AF5305" i="7"/>
  <c r="AF5306" i="7"/>
  <c r="AF5307" i="7"/>
  <c r="AF5308" i="7"/>
  <c r="AF5309" i="7"/>
  <c r="AF5310" i="7"/>
  <c r="AF5311" i="7"/>
  <c r="AF5312" i="7"/>
  <c r="AF5313" i="7"/>
  <c r="AF5314" i="7"/>
  <c r="AF5315" i="7"/>
  <c r="AF5316" i="7"/>
  <c r="AF5317" i="7"/>
  <c r="AF5318" i="7"/>
  <c r="AF5319" i="7"/>
  <c r="AF5320" i="7"/>
  <c r="AF5321" i="7"/>
  <c r="AF5322" i="7"/>
  <c r="AF5323" i="7"/>
  <c r="AF5324" i="7"/>
  <c r="AF5325" i="7"/>
  <c r="AF5326" i="7"/>
  <c r="AF5327" i="7"/>
  <c r="AF5328" i="7"/>
  <c r="AF5329" i="7"/>
  <c r="AF5330" i="7"/>
  <c r="AF5331" i="7"/>
  <c r="AF5332" i="7"/>
  <c r="AF5333" i="7"/>
  <c r="AF5334" i="7"/>
  <c r="AF5335" i="7"/>
  <c r="AF5336" i="7"/>
  <c r="AF5337" i="7"/>
  <c r="AF5338" i="7"/>
  <c r="AF5339" i="7"/>
  <c r="AF5340" i="7"/>
  <c r="AF5341" i="7"/>
  <c r="AF5342" i="7"/>
  <c r="AF5343" i="7"/>
  <c r="AF5344" i="7"/>
  <c r="AF5345" i="7"/>
  <c r="AF5346" i="7"/>
  <c r="AF5347" i="7"/>
  <c r="AF5348" i="7"/>
  <c r="AF5349" i="7"/>
  <c r="AF5350" i="7"/>
  <c r="AF5351" i="7"/>
  <c r="AF5352" i="7"/>
  <c r="AF5353" i="7"/>
  <c r="AF5354" i="7"/>
  <c r="AF5355" i="7"/>
  <c r="AF5356" i="7"/>
  <c r="AF5357" i="7"/>
  <c r="AF5358" i="7"/>
  <c r="AF5359" i="7"/>
  <c r="AF5360" i="7"/>
  <c r="AF5361" i="7"/>
  <c r="AF5362" i="7"/>
  <c r="AF5363" i="7"/>
  <c r="AF5364" i="7"/>
  <c r="AF5365" i="7"/>
  <c r="AF5366" i="7"/>
  <c r="AF5367" i="7"/>
  <c r="AF5368" i="7"/>
  <c r="AF5369" i="7"/>
  <c r="AF5370" i="7"/>
  <c r="AF5371" i="7"/>
  <c r="AF5372" i="7"/>
  <c r="AF5373" i="7"/>
  <c r="AF5374" i="7"/>
  <c r="AF5375" i="7"/>
  <c r="AF5376" i="7"/>
  <c r="AF5377" i="7"/>
  <c r="AF5378" i="7"/>
  <c r="AF5379" i="7"/>
  <c r="AF5380" i="7"/>
  <c r="AF5381" i="7"/>
  <c r="AF5382" i="7"/>
  <c r="AF5383" i="7"/>
  <c r="AF5384" i="7"/>
  <c r="AF5385" i="7"/>
  <c r="AF5386" i="7"/>
  <c r="AF5387" i="7"/>
  <c r="AF5388" i="7"/>
  <c r="AF5389" i="7"/>
  <c r="AF5390" i="7"/>
  <c r="AF5391" i="7"/>
  <c r="AF5392" i="7"/>
  <c r="AF5393" i="7"/>
  <c r="AF5394" i="7"/>
  <c r="AF5395" i="7"/>
  <c r="AF5396" i="7"/>
  <c r="AF5397" i="7"/>
  <c r="AF5398" i="7"/>
  <c r="AF5399" i="7"/>
  <c r="AF5400" i="7"/>
  <c r="AF5401" i="7"/>
  <c r="AF5402" i="7"/>
  <c r="AF5403" i="7"/>
  <c r="AF5404" i="7"/>
  <c r="AF5405" i="7"/>
  <c r="AF5406" i="7"/>
  <c r="AF5407" i="7"/>
  <c r="AF5408" i="7"/>
  <c r="AF5409" i="7"/>
  <c r="AF5410" i="7"/>
  <c r="AF5411" i="7"/>
  <c r="AF5412" i="7"/>
  <c r="AF5413" i="7"/>
  <c r="AF5414" i="7"/>
  <c r="AF5415" i="7"/>
  <c r="AF5416" i="7"/>
  <c r="AF5417" i="7"/>
  <c r="AF5418" i="7"/>
  <c r="AF5419" i="7"/>
  <c r="AF5420" i="7"/>
  <c r="AF5421" i="7"/>
  <c r="AF5422" i="7"/>
  <c r="AF5423" i="7"/>
  <c r="AF5424" i="7"/>
  <c r="AF5425" i="7"/>
  <c r="AF5426" i="7"/>
  <c r="AF5427" i="7"/>
  <c r="AF5428" i="7"/>
  <c r="AF5429" i="7"/>
  <c r="AF5430" i="7"/>
  <c r="AF5431" i="7"/>
  <c r="AF5432" i="7"/>
  <c r="AF5433" i="7"/>
  <c r="AF5434" i="7"/>
  <c r="AF5435" i="7"/>
  <c r="AF5436" i="7"/>
  <c r="AF5437" i="7"/>
  <c r="AF5438" i="7"/>
  <c r="AF5439" i="7"/>
  <c r="AF5440" i="7"/>
  <c r="AF5441" i="7"/>
  <c r="AF5442" i="7"/>
  <c r="AF5443" i="7"/>
  <c r="AF5444" i="7"/>
  <c r="AF5445" i="7"/>
  <c r="AF5446" i="7"/>
  <c r="AF5447" i="7"/>
  <c r="AF5448" i="7"/>
  <c r="AF5449" i="7"/>
  <c r="AF5450" i="7"/>
  <c r="AF5451" i="7"/>
  <c r="AF5452" i="7"/>
  <c r="AF5453" i="7"/>
  <c r="AF5454" i="7"/>
  <c r="AF5455" i="7"/>
  <c r="AF5456" i="7"/>
  <c r="AF5457" i="7"/>
  <c r="AF5458" i="7"/>
  <c r="AF5459" i="7"/>
  <c r="AF5460" i="7"/>
  <c r="AF5461" i="7"/>
  <c r="AF5462" i="7"/>
  <c r="AF5463" i="7"/>
  <c r="AF5464" i="7"/>
  <c r="AF5465" i="7"/>
  <c r="AF5466" i="7"/>
  <c r="AF5467" i="7"/>
  <c r="AF5468" i="7"/>
  <c r="AF5469" i="7"/>
  <c r="AF5470" i="7"/>
  <c r="AF5471" i="7"/>
  <c r="AF5472" i="7"/>
  <c r="AF5473" i="7"/>
  <c r="AF5474" i="7"/>
  <c r="AF5475" i="7"/>
  <c r="AF5476" i="7"/>
  <c r="AF5477" i="7"/>
  <c r="AF5478" i="7"/>
  <c r="AF5479" i="7"/>
  <c r="AF5480" i="7"/>
  <c r="AF5481" i="7"/>
  <c r="AF5482" i="7"/>
  <c r="AF5483" i="7"/>
  <c r="AF5484" i="7"/>
  <c r="AF5485" i="7"/>
  <c r="AF5486" i="7"/>
  <c r="AF5487" i="7"/>
  <c r="AF5488" i="7"/>
  <c r="AF5489" i="7"/>
  <c r="AF5490" i="7"/>
  <c r="AF5491" i="7"/>
  <c r="AF5492" i="7"/>
  <c r="AF5493" i="7"/>
  <c r="AF5494" i="7"/>
  <c r="AF5495" i="7"/>
  <c r="AF5496" i="7"/>
  <c r="AF5497" i="7"/>
  <c r="AF5498" i="7"/>
  <c r="AF5499" i="7"/>
  <c r="AF5500" i="7"/>
  <c r="AF5501" i="7"/>
  <c r="AF5502" i="7"/>
  <c r="AF5503" i="7"/>
  <c r="AF5504" i="7"/>
  <c r="AF5505" i="7"/>
  <c r="AF5506" i="7"/>
  <c r="AF5507" i="7"/>
  <c r="AF5508" i="7"/>
  <c r="AF5509" i="7"/>
  <c r="AF5510" i="7"/>
  <c r="AF5511" i="7"/>
  <c r="AF5512" i="7"/>
  <c r="AF5513" i="7"/>
  <c r="AF5514" i="7"/>
  <c r="AF5515" i="7"/>
  <c r="AF5516" i="7"/>
  <c r="AF5517" i="7"/>
  <c r="AF5518" i="7"/>
  <c r="AF5519" i="7"/>
  <c r="AF5520" i="7"/>
  <c r="AF5521" i="7"/>
  <c r="AF5522" i="7"/>
  <c r="AF5523" i="7"/>
  <c r="AF5524" i="7"/>
  <c r="AF5525" i="7"/>
  <c r="AF5526" i="7"/>
  <c r="AF5527" i="7"/>
  <c r="AF5528" i="7"/>
  <c r="AF5529" i="7"/>
  <c r="AF5530" i="7"/>
  <c r="AF5531" i="7"/>
  <c r="AF5532" i="7"/>
  <c r="AF5533" i="7"/>
  <c r="AF5534" i="7"/>
  <c r="AF5535" i="7"/>
  <c r="AF5536" i="7"/>
  <c r="AF5537" i="7"/>
  <c r="AF5538" i="7"/>
  <c r="AF5539" i="7"/>
  <c r="AF5540" i="7"/>
  <c r="AF5541" i="7"/>
  <c r="AF5542" i="7"/>
  <c r="AF5543" i="7"/>
  <c r="AF5544" i="7"/>
  <c r="AF5545" i="7"/>
  <c r="AF5546" i="7"/>
  <c r="AF5547" i="7"/>
  <c r="AF5548" i="7"/>
  <c r="AF5549" i="7"/>
  <c r="AF5550" i="7"/>
  <c r="AF5551" i="7"/>
  <c r="AF5552" i="7"/>
  <c r="AF5553" i="7"/>
  <c r="AF5554" i="7"/>
  <c r="AF5555" i="7"/>
  <c r="AF5556" i="7"/>
  <c r="AF5557" i="7"/>
  <c r="AF5558" i="7"/>
  <c r="AF5559" i="7"/>
  <c r="AF5560" i="7"/>
  <c r="AF5561" i="7"/>
  <c r="AF5562" i="7"/>
  <c r="AF5563" i="7"/>
  <c r="AF5564" i="7"/>
  <c r="AF5565" i="7"/>
  <c r="AF5566" i="7"/>
  <c r="AF5567" i="7"/>
  <c r="AF5568" i="7"/>
  <c r="AF5569" i="7"/>
  <c r="AF5570" i="7"/>
  <c r="AF5571" i="7"/>
  <c r="AF5572" i="7"/>
  <c r="AF5573" i="7"/>
  <c r="AF5574" i="7"/>
  <c r="AF5575" i="7"/>
  <c r="AF5576" i="7"/>
  <c r="AF5577" i="7"/>
  <c r="AF5578" i="7"/>
  <c r="AF5579" i="7"/>
  <c r="AF5580" i="7"/>
  <c r="AF5581" i="7"/>
  <c r="AF5582" i="7"/>
  <c r="AF5583" i="7"/>
  <c r="AF5584" i="7"/>
  <c r="AF5585" i="7"/>
  <c r="AF5586" i="7"/>
  <c r="AF5587" i="7"/>
  <c r="AF5588" i="7"/>
  <c r="AF5589" i="7"/>
  <c r="AF5590" i="7"/>
  <c r="AF5591" i="7"/>
  <c r="AF5592" i="7"/>
  <c r="AF5593" i="7"/>
  <c r="AF5594" i="7"/>
  <c r="AF5595" i="7"/>
  <c r="AF5596" i="7"/>
  <c r="AF5597" i="7"/>
  <c r="AF5598" i="7"/>
  <c r="AF5599" i="7"/>
  <c r="AF5600" i="7"/>
  <c r="AF5601" i="7"/>
  <c r="AF5602" i="7"/>
  <c r="AF5603" i="7"/>
  <c r="AF5604" i="7"/>
  <c r="AF5605" i="7"/>
  <c r="AF5606" i="7"/>
  <c r="AF5607" i="7"/>
  <c r="AF5608" i="7"/>
  <c r="AF5609" i="7"/>
  <c r="AF5610" i="7"/>
  <c r="AF5611" i="7"/>
  <c r="AF5612" i="7"/>
  <c r="AF5613" i="7"/>
  <c r="AF5614" i="7"/>
  <c r="AF5615" i="7"/>
  <c r="AF5616" i="7"/>
  <c r="AF5617" i="7"/>
  <c r="AF5618" i="7"/>
  <c r="AF5619" i="7"/>
  <c r="AF5620" i="7"/>
  <c r="AF5621" i="7"/>
  <c r="AF5622" i="7"/>
  <c r="AF5623" i="7"/>
  <c r="AF5624" i="7"/>
  <c r="AF5625" i="7"/>
  <c r="AF5626" i="7"/>
  <c r="AF5627" i="7"/>
  <c r="AF5628" i="7"/>
  <c r="AF5629" i="7"/>
  <c r="AF5630" i="7"/>
  <c r="AF5631" i="7"/>
  <c r="AF5632" i="7"/>
  <c r="AF5633" i="7"/>
  <c r="AF5634" i="7"/>
  <c r="AF5635" i="7"/>
  <c r="AF5636" i="7"/>
  <c r="AF5637" i="7"/>
  <c r="AF5638" i="7"/>
  <c r="AF5639" i="7"/>
  <c r="AF5640" i="7"/>
  <c r="AF5641" i="7"/>
  <c r="AF5642" i="7"/>
  <c r="AF5643" i="7"/>
  <c r="AF5644" i="7"/>
  <c r="AF5645" i="7"/>
  <c r="AF5646" i="7"/>
  <c r="AF5647" i="7"/>
  <c r="AF5648" i="7"/>
  <c r="AF5649" i="7"/>
  <c r="AF5650" i="7"/>
  <c r="AF5651" i="7"/>
  <c r="AF5652" i="7"/>
  <c r="AF5653" i="7"/>
  <c r="AF5654" i="7"/>
  <c r="AF5655" i="7"/>
  <c r="AF5656" i="7"/>
  <c r="AF5657" i="7"/>
  <c r="AF5658" i="7"/>
  <c r="AF5659" i="7"/>
  <c r="AF5660" i="7"/>
  <c r="AF5661" i="7"/>
  <c r="AF5662" i="7"/>
  <c r="AF5663" i="7"/>
  <c r="AF5664" i="7"/>
  <c r="AF5665" i="7"/>
  <c r="AF5666" i="7"/>
  <c r="AF5667" i="7"/>
  <c r="AF5668" i="7"/>
  <c r="AF5669" i="7"/>
  <c r="AF5670" i="7"/>
  <c r="AF5671" i="7"/>
  <c r="AF5672" i="7"/>
  <c r="AF5673" i="7"/>
  <c r="AF5674" i="7"/>
  <c r="AF5675" i="7"/>
  <c r="AF5676" i="7"/>
  <c r="AF5677" i="7"/>
  <c r="AF5678" i="7"/>
  <c r="AF5679" i="7"/>
  <c r="AF5680" i="7"/>
  <c r="AF5681" i="7"/>
  <c r="AF5682" i="7"/>
  <c r="AF5683" i="7"/>
  <c r="AF5684" i="7"/>
  <c r="AF5685" i="7"/>
  <c r="AF5686" i="7"/>
  <c r="AF5687" i="7"/>
  <c r="AF5688" i="7"/>
  <c r="AF5689" i="7"/>
  <c r="AF5690" i="7"/>
  <c r="AF5691" i="7"/>
  <c r="AF5692" i="7"/>
  <c r="AF5693" i="7"/>
  <c r="AF5694" i="7"/>
  <c r="AF5695" i="7"/>
  <c r="AF5696" i="7"/>
  <c r="AF5697" i="7"/>
  <c r="AF5698" i="7"/>
  <c r="AF5699" i="7"/>
  <c r="AF5700" i="7"/>
  <c r="AF5701" i="7"/>
  <c r="AF5702" i="7"/>
  <c r="AF5703" i="7"/>
  <c r="AF5704" i="7"/>
  <c r="AF5705" i="7"/>
  <c r="AF5706" i="7"/>
  <c r="AF5707" i="7"/>
  <c r="AF5708" i="7"/>
  <c r="AF5709" i="7"/>
  <c r="AF5710" i="7"/>
  <c r="AF5711" i="7"/>
  <c r="AF5712" i="7"/>
  <c r="AF5713" i="7"/>
  <c r="AF5714" i="7"/>
  <c r="AF5715" i="7"/>
  <c r="AF5716" i="7"/>
  <c r="AF5717" i="7"/>
  <c r="AF5718" i="7"/>
  <c r="AF5719" i="7"/>
  <c r="AF5720" i="7"/>
  <c r="AF5721" i="7"/>
  <c r="AF5722" i="7"/>
  <c r="AF5723" i="7"/>
  <c r="AF5724" i="7"/>
  <c r="AF5725" i="7"/>
  <c r="AF5726" i="7"/>
  <c r="AF5727" i="7"/>
  <c r="AF5728" i="7"/>
  <c r="AF5729" i="7"/>
  <c r="AF5730" i="7"/>
  <c r="AF5731" i="7"/>
  <c r="AF5732" i="7"/>
  <c r="AF5733" i="7"/>
  <c r="AF5734" i="7"/>
  <c r="AF5735" i="7"/>
  <c r="AF5736" i="7"/>
  <c r="AF5737" i="7"/>
  <c r="AF5738" i="7"/>
  <c r="AF5739" i="7"/>
  <c r="AF5740" i="7"/>
  <c r="AF5741" i="7"/>
  <c r="AF5742" i="7"/>
  <c r="AF5743" i="7"/>
  <c r="AF5744" i="7"/>
  <c r="AF5745" i="7"/>
  <c r="AF5746" i="7"/>
  <c r="AF5747" i="7"/>
  <c r="AF5748" i="7"/>
  <c r="AF5749" i="7"/>
  <c r="AF5750" i="7"/>
  <c r="AF5751" i="7"/>
  <c r="AF5752" i="7"/>
  <c r="AF5753" i="7"/>
  <c r="AF5754" i="7"/>
  <c r="AF5755" i="7"/>
  <c r="AF5756" i="7"/>
  <c r="AF5757" i="7"/>
  <c r="AF5758" i="7"/>
  <c r="AF5759" i="7"/>
  <c r="AF5760" i="7"/>
  <c r="AF5761" i="7"/>
  <c r="AF5762" i="7"/>
  <c r="AF5763" i="7"/>
  <c r="AF5764" i="7"/>
  <c r="AF5765" i="7"/>
  <c r="AF5766" i="7"/>
  <c r="AF5767" i="7"/>
  <c r="AF5768" i="7"/>
  <c r="AF5769" i="7"/>
  <c r="AF5770" i="7"/>
  <c r="AF5771" i="7"/>
  <c r="AF5772" i="7"/>
  <c r="AF5773" i="7"/>
  <c r="AF5774" i="7"/>
  <c r="AF5775" i="7"/>
  <c r="AF5776" i="7"/>
  <c r="AF5777" i="7"/>
  <c r="AF5778" i="7"/>
  <c r="AF5779" i="7"/>
  <c r="AF5780" i="7"/>
  <c r="AF5781" i="7"/>
  <c r="AF5782" i="7"/>
  <c r="AF5783" i="7"/>
  <c r="AF5784" i="7"/>
  <c r="AF5785" i="7"/>
  <c r="AF5786" i="7"/>
  <c r="AF5787" i="7"/>
  <c r="AF5788" i="7"/>
  <c r="AF5789" i="7"/>
  <c r="AF5790" i="7"/>
  <c r="AF5791" i="7"/>
  <c r="AF5792" i="7"/>
  <c r="AF5793" i="7"/>
  <c r="AF5794" i="7"/>
  <c r="AF5795" i="7"/>
  <c r="AF5796" i="7"/>
  <c r="AF5797" i="7"/>
  <c r="AF5798" i="7"/>
  <c r="AF5799" i="7"/>
  <c r="AF5800" i="7"/>
  <c r="AF5801" i="7"/>
  <c r="AF5802" i="7"/>
  <c r="AF5803" i="7"/>
  <c r="AF5804" i="7"/>
  <c r="AF5805" i="7"/>
  <c r="AF5806" i="7"/>
  <c r="AF5807" i="7"/>
  <c r="AF5808" i="7"/>
  <c r="AF5809" i="7"/>
  <c r="AF5810" i="7"/>
  <c r="AF5811" i="7"/>
  <c r="AF5812" i="7"/>
  <c r="AF5813" i="7"/>
  <c r="AF5814" i="7"/>
  <c r="AF5815" i="7"/>
  <c r="AF5816" i="7"/>
  <c r="AF5817" i="7"/>
  <c r="AF5818" i="7"/>
  <c r="AF5819" i="7"/>
  <c r="AF5820" i="7"/>
  <c r="AF5821" i="7"/>
  <c r="AF5822" i="7"/>
  <c r="AF5823" i="7"/>
  <c r="AF5824" i="7"/>
  <c r="AF5825" i="7"/>
  <c r="AF5826" i="7"/>
  <c r="AF5827" i="7"/>
  <c r="AF5828" i="7"/>
  <c r="AF5829" i="7"/>
  <c r="AF5830" i="7"/>
  <c r="AF5831" i="7"/>
  <c r="AF5832" i="7"/>
  <c r="AF5833" i="7"/>
  <c r="AF5834" i="7"/>
  <c r="AF5835" i="7"/>
  <c r="AF5836" i="7"/>
  <c r="AF5837" i="7"/>
  <c r="AF5838" i="7"/>
  <c r="AF5839" i="7"/>
  <c r="AF5840" i="7"/>
  <c r="AF5841" i="7"/>
  <c r="AF5842" i="7"/>
  <c r="AF5843" i="7"/>
  <c r="AF5844" i="7"/>
  <c r="AF5845" i="7"/>
  <c r="AF5846" i="7"/>
  <c r="AF5847" i="7"/>
  <c r="AF5848" i="7"/>
  <c r="AF5849" i="7"/>
  <c r="AF5850" i="7"/>
  <c r="AF5851" i="7"/>
  <c r="AF5852" i="7"/>
  <c r="AF5853" i="7"/>
  <c r="AF5854" i="7"/>
  <c r="AF5855" i="7"/>
  <c r="AF5856" i="7"/>
  <c r="AF5857" i="7"/>
  <c r="AF5858" i="7"/>
  <c r="AF5859" i="7"/>
  <c r="AF5860" i="7"/>
  <c r="AF5861" i="7"/>
  <c r="AF5862" i="7"/>
  <c r="AF5863" i="7"/>
  <c r="AF5864" i="7"/>
  <c r="AF5865" i="7"/>
  <c r="AF5866" i="7"/>
  <c r="AF5867" i="7"/>
  <c r="AF5868" i="7"/>
  <c r="AF5869" i="7"/>
  <c r="AF5870" i="7"/>
  <c r="AF5871" i="7"/>
  <c r="AF5872" i="7"/>
  <c r="AF5873" i="7"/>
  <c r="AF5874" i="7"/>
  <c r="AF5875" i="7"/>
  <c r="AF5876" i="7"/>
  <c r="AF5877" i="7"/>
  <c r="AF5878" i="7"/>
  <c r="AF5879" i="7"/>
  <c r="AF5880" i="7"/>
  <c r="AF5881" i="7"/>
  <c r="AF5882" i="7"/>
  <c r="AF5883" i="7"/>
  <c r="AF5884" i="7"/>
  <c r="AF5885" i="7"/>
  <c r="AF5886" i="7"/>
  <c r="AF5887" i="7"/>
  <c r="AF5888" i="7"/>
  <c r="AF5889" i="7"/>
  <c r="AF5890" i="7"/>
  <c r="AF5891" i="7"/>
  <c r="AF5892" i="7"/>
  <c r="AF5893" i="7"/>
  <c r="AF5894" i="7"/>
  <c r="AF5895" i="7"/>
  <c r="AF5896" i="7"/>
  <c r="AF5897" i="7"/>
  <c r="AF5898" i="7"/>
  <c r="AF5899" i="7"/>
  <c r="AF5900" i="7"/>
  <c r="AF5901" i="7"/>
  <c r="AF5902" i="7"/>
  <c r="AF5903" i="7"/>
  <c r="AF5904" i="7"/>
  <c r="AF5905" i="7"/>
  <c r="AF5906" i="7"/>
  <c r="AF5907" i="7"/>
  <c r="AF5908" i="7"/>
  <c r="AF5909" i="7"/>
  <c r="AF5910" i="7"/>
  <c r="AF5911" i="7"/>
  <c r="AF5912" i="7"/>
  <c r="AF5913" i="7"/>
  <c r="AF5914" i="7"/>
  <c r="AF5915" i="7"/>
  <c r="AF5916" i="7"/>
  <c r="AF5917" i="7"/>
  <c r="AF5918" i="7"/>
  <c r="AF5919" i="7"/>
  <c r="AF5920" i="7"/>
  <c r="AF5921" i="7"/>
  <c r="AF5922" i="7"/>
  <c r="AF5923" i="7"/>
  <c r="AF5924" i="7"/>
  <c r="AF5925" i="7"/>
  <c r="AF5926" i="7"/>
  <c r="AF5927" i="7"/>
  <c r="AF5928" i="7"/>
  <c r="AF5929" i="7"/>
  <c r="AF5930" i="7"/>
  <c r="AF5931" i="7"/>
  <c r="AF5932" i="7"/>
  <c r="AF5933" i="7"/>
  <c r="AF5934" i="7"/>
  <c r="AF5935" i="7"/>
  <c r="AF5936" i="7"/>
  <c r="AF5937" i="7"/>
  <c r="AF5938" i="7"/>
  <c r="AF5939" i="7"/>
  <c r="AF5940" i="7"/>
  <c r="AF5941" i="7"/>
  <c r="AF5942" i="7"/>
  <c r="AF5943" i="7"/>
  <c r="AF5944" i="7"/>
  <c r="AF5945" i="7"/>
  <c r="AF5946" i="7"/>
  <c r="AF5947" i="7"/>
  <c r="AF5948" i="7"/>
  <c r="AF5949" i="7"/>
  <c r="AF5950" i="7"/>
  <c r="AF5951" i="7"/>
  <c r="AF5952" i="7"/>
  <c r="AF5953" i="7"/>
  <c r="AF5954" i="7"/>
  <c r="AF5955" i="7"/>
  <c r="AF5956" i="7"/>
  <c r="AF5957" i="7"/>
  <c r="AF5958" i="7"/>
  <c r="AF5959" i="7"/>
  <c r="AF5960" i="7"/>
  <c r="AF5961" i="7"/>
  <c r="AF5962" i="7"/>
  <c r="AF5963" i="7"/>
  <c r="AF5964" i="7"/>
  <c r="AF5965" i="7"/>
  <c r="AF5966" i="7"/>
  <c r="AF5967" i="7"/>
  <c r="AF5968" i="7"/>
  <c r="AF5969" i="7"/>
  <c r="AF5970" i="7"/>
  <c r="AF5971" i="7"/>
  <c r="AF5972" i="7"/>
  <c r="AF5973" i="7"/>
  <c r="AF5974" i="7"/>
  <c r="AF5975" i="7"/>
  <c r="AF5976" i="7"/>
  <c r="AF5977" i="7"/>
  <c r="AF5978" i="7"/>
  <c r="AF5979" i="7"/>
  <c r="AF5980" i="7"/>
  <c r="AF5981" i="7"/>
  <c r="AF5982" i="7"/>
  <c r="AF5983" i="7"/>
  <c r="AF5984" i="7"/>
  <c r="AF5985" i="7"/>
  <c r="AF5986" i="7"/>
  <c r="AF5987" i="7"/>
  <c r="AF5988" i="7"/>
  <c r="AF5989" i="7"/>
  <c r="AF5990" i="7"/>
  <c r="AF5991" i="7"/>
  <c r="AF5992" i="7"/>
  <c r="AF5993" i="7"/>
  <c r="AF5994" i="7"/>
  <c r="AF5995" i="7"/>
  <c r="AF5996" i="7"/>
  <c r="AF5997" i="7"/>
  <c r="AF5998" i="7"/>
  <c r="AF5999" i="7"/>
  <c r="AF6000" i="7"/>
  <c r="AF6001" i="7"/>
  <c r="AF6002" i="7"/>
  <c r="AF6003" i="7"/>
  <c r="AF6004" i="7"/>
  <c r="AF6005" i="7"/>
  <c r="AF6006" i="7"/>
  <c r="AF6007" i="7"/>
  <c r="AF6008" i="7"/>
  <c r="AF6009" i="7"/>
  <c r="AF6010" i="7"/>
  <c r="AF6011" i="7"/>
  <c r="AF6012" i="7"/>
  <c r="AF6013" i="7"/>
  <c r="AF6014" i="7"/>
  <c r="AF6015" i="7"/>
  <c r="AF6016" i="7"/>
  <c r="AF6017" i="7"/>
  <c r="AF6018" i="7"/>
  <c r="AF6019" i="7"/>
  <c r="AF6020" i="7"/>
  <c r="AF6021" i="7"/>
  <c r="AF6022" i="7"/>
  <c r="AF6023" i="7"/>
  <c r="AF6024" i="7"/>
  <c r="AF6025" i="7"/>
  <c r="AF6026" i="7"/>
  <c r="AF6027" i="7"/>
  <c r="AF6028" i="7"/>
  <c r="AF6029" i="7"/>
  <c r="AF6030" i="7"/>
  <c r="AF6031" i="7"/>
  <c r="AF6032" i="7"/>
  <c r="AF6033" i="7"/>
  <c r="AF6034" i="7"/>
  <c r="AF6035" i="7"/>
  <c r="AF6036" i="7"/>
  <c r="AF6037" i="7"/>
  <c r="AF6038" i="7"/>
  <c r="AF6039" i="7"/>
  <c r="AF6040" i="7"/>
  <c r="AF6041" i="7"/>
  <c r="AF6042" i="7"/>
  <c r="AF6043" i="7"/>
  <c r="AF6044" i="7"/>
  <c r="AF6045" i="7"/>
  <c r="AF6046" i="7"/>
  <c r="AF6047" i="7"/>
  <c r="AF6048" i="7"/>
  <c r="AF6049" i="7"/>
  <c r="AF6050" i="7"/>
  <c r="AF6051" i="7"/>
  <c r="AF6052" i="7"/>
  <c r="AF6053" i="7"/>
  <c r="AF6054" i="7"/>
  <c r="AF6055" i="7"/>
  <c r="AF6056" i="7"/>
  <c r="AF6057" i="7"/>
  <c r="AF6058" i="7"/>
  <c r="AF6059" i="7"/>
  <c r="AF6060" i="7"/>
  <c r="AF6061" i="7"/>
  <c r="AF6062" i="7"/>
  <c r="AF6063" i="7"/>
  <c r="AF6064" i="7"/>
  <c r="AF6065" i="7"/>
  <c r="AF6066" i="7"/>
  <c r="AF6067" i="7"/>
  <c r="AF6068" i="7"/>
  <c r="AF6069" i="7"/>
  <c r="AF6070" i="7"/>
  <c r="AF6071" i="7"/>
  <c r="AF6072" i="7"/>
  <c r="AF6073" i="7"/>
  <c r="AF6074" i="7"/>
  <c r="AF6075" i="7"/>
  <c r="AF6076" i="7"/>
  <c r="AF6077" i="7"/>
  <c r="AF6078" i="7"/>
  <c r="AF6079" i="7"/>
  <c r="AF6080" i="7"/>
  <c r="AF6081" i="7"/>
  <c r="AF6082" i="7"/>
  <c r="AF6083" i="7"/>
  <c r="AF6084" i="7"/>
  <c r="AF6085" i="7"/>
  <c r="AF6086" i="7"/>
  <c r="AF6087" i="7"/>
  <c r="AF6088" i="7"/>
  <c r="AF6089" i="7"/>
  <c r="AF6090" i="7"/>
  <c r="AF6091" i="7"/>
  <c r="AF6092" i="7"/>
  <c r="AF6093" i="7"/>
  <c r="AF6094" i="7"/>
  <c r="AF6095" i="7"/>
  <c r="AF6096" i="7"/>
  <c r="AF6097" i="7"/>
  <c r="AF6098" i="7"/>
  <c r="AF6099" i="7"/>
  <c r="AF6100" i="7"/>
  <c r="AF6101" i="7"/>
  <c r="AF6102" i="7"/>
  <c r="AF6103" i="7"/>
  <c r="AF6104" i="7"/>
  <c r="AF6105" i="7"/>
  <c r="AF6106" i="7"/>
  <c r="AF6107" i="7"/>
  <c r="AF6108" i="7"/>
  <c r="AF6109" i="7"/>
  <c r="AF6110" i="7"/>
  <c r="AF6111" i="7"/>
  <c r="AF6112" i="7"/>
  <c r="AF6113" i="7"/>
  <c r="AF6114" i="7"/>
  <c r="AF6115" i="7"/>
  <c r="AF6116" i="7"/>
  <c r="AF6117" i="7"/>
  <c r="AF6118" i="7"/>
  <c r="AF6119" i="7"/>
  <c r="AF6120" i="7"/>
  <c r="AF6121" i="7"/>
  <c r="AF6122" i="7"/>
  <c r="AF6123" i="7"/>
  <c r="AF6124" i="7"/>
  <c r="AF6125" i="7"/>
  <c r="AF6126" i="7"/>
  <c r="AF6127" i="7"/>
  <c r="AF6128" i="7"/>
  <c r="AF6129" i="7"/>
  <c r="AF6130" i="7"/>
  <c r="AF6131" i="7"/>
  <c r="AF6132" i="7"/>
  <c r="AF6133" i="7"/>
  <c r="AF6134" i="7"/>
  <c r="AF6135" i="7"/>
  <c r="AF6136" i="7"/>
  <c r="AF6137" i="7"/>
  <c r="AF6138" i="7"/>
  <c r="AF6139" i="7"/>
  <c r="AF6140" i="7"/>
  <c r="AF6141" i="7"/>
  <c r="AF6142" i="7"/>
  <c r="AF6143" i="7"/>
  <c r="AF6144" i="7"/>
  <c r="AF6145" i="7"/>
  <c r="AF6146" i="7"/>
  <c r="AF6147" i="7"/>
  <c r="AF6148" i="7"/>
  <c r="AF6149" i="7"/>
  <c r="AF6150" i="7"/>
  <c r="AF6151" i="7"/>
  <c r="AF6152" i="7"/>
  <c r="AF6153" i="7"/>
  <c r="AF6154" i="7"/>
  <c r="AF6155" i="7"/>
  <c r="AF6156" i="7"/>
  <c r="AF6157" i="7"/>
  <c r="AF6158" i="7"/>
  <c r="AF6159" i="7"/>
  <c r="AF6160" i="7"/>
  <c r="AF6161" i="7"/>
  <c r="AF6162" i="7"/>
  <c r="AF6163" i="7"/>
  <c r="AF6164" i="7"/>
  <c r="AF6165" i="7"/>
  <c r="AF6166" i="7"/>
  <c r="AF6167" i="7"/>
  <c r="AF6168" i="7"/>
  <c r="AF6169" i="7"/>
  <c r="AF6170" i="7"/>
  <c r="AF6171" i="7"/>
  <c r="AF6172" i="7"/>
  <c r="AF6173" i="7"/>
  <c r="AF6174" i="7"/>
  <c r="AF6175" i="7"/>
  <c r="AF6176" i="7"/>
  <c r="AF6177" i="7"/>
  <c r="AF6178" i="7"/>
  <c r="AF6179" i="7"/>
  <c r="AF6180" i="7"/>
  <c r="AF6181" i="7"/>
  <c r="AF6182" i="7"/>
  <c r="AF6183" i="7"/>
  <c r="AF6184" i="7"/>
  <c r="AF6185" i="7"/>
  <c r="AF6186" i="7"/>
  <c r="AF6187" i="7"/>
  <c r="AF6188" i="7"/>
  <c r="AF6189" i="7"/>
  <c r="AF6190" i="7"/>
  <c r="AF6191" i="7"/>
  <c r="AF6192" i="7"/>
  <c r="AF6193" i="7"/>
  <c r="AF6194" i="7"/>
  <c r="AF6195" i="7"/>
  <c r="AF6196" i="7"/>
  <c r="AF6197" i="7"/>
  <c r="AF6198" i="7"/>
  <c r="AF6199" i="7"/>
  <c r="AF6200" i="7"/>
  <c r="AF6201" i="7"/>
  <c r="AF6202" i="7"/>
  <c r="AF6203" i="7"/>
  <c r="AF6204" i="7"/>
  <c r="AF6205" i="7"/>
  <c r="AF6206" i="7"/>
  <c r="AF6207" i="7"/>
  <c r="AF6208" i="7"/>
  <c r="AF6209" i="7"/>
  <c r="AF6210" i="7"/>
  <c r="AF6211" i="7"/>
  <c r="AF6212" i="7"/>
  <c r="AF6213" i="7"/>
  <c r="AF6214" i="7"/>
  <c r="AF6215" i="7"/>
  <c r="AF6216" i="7"/>
  <c r="AF6217" i="7"/>
  <c r="AF6218" i="7"/>
  <c r="AF6219" i="7"/>
  <c r="AF6220" i="7"/>
  <c r="AF6221" i="7"/>
  <c r="AF6222" i="7"/>
  <c r="AF6223" i="7"/>
  <c r="AF6224" i="7"/>
  <c r="AF6225" i="7"/>
  <c r="AF6226" i="7"/>
  <c r="AF6227" i="7"/>
  <c r="AF6228" i="7"/>
  <c r="AF6229" i="7"/>
  <c r="AF6230" i="7"/>
  <c r="AF6231" i="7"/>
  <c r="AF6232" i="7"/>
  <c r="AF6233" i="7"/>
  <c r="AF6234" i="7"/>
  <c r="AF6235" i="7"/>
  <c r="AF6236" i="7"/>
  <c r="AF6237" i="7"/>
  <c r="AF6238" i="7"/>
  <c r="AF6239" i="7"/>
  <c r="AF6240" i="7"/>
  <c r="AF6241" i="7"/>
  <c r="AF6242" i="7"/>
  <c r="AF6243" i="7"/>
  <c r="AF6244" i="7"/>
  <c r="AF6245" i="7"/>
  <c r="AF6246" i="7"/>
  <c r="AF6247" i="7"/>
  <c r="AF6248" i="7"/>
  <c r="AF6249" i="7"/>
  <c r="AF6250" i="7"/>
  <c r="AF6251" i="7"/>
  <c r="AF6252" i="7"/>
  <c r="AF6253" i="7"/>
  <c r="AF6254" i="7"/>
  <c r="AF6255" i="7"/>
  <c r="AF6256" i="7"/>
  <c r="AF6257" i="7"/>
  <c r="AF6258" i="7"/>
  <c r="AF6259" i="7"/>
  <c r="AF6260" i="7"/>
  <c r="AF6261" i="7"/>
  <c r="AF6262" i="7"/>
  <c r="AF6263" i="7"/>
  <c r="AF6264" i="7"/>
  <c r="AF6265" i="7"/>
  <c r="AF6266" i="7"/>
  <c r="AF6267" i="7"/>
  <c r="AF6268" i="7"/>
  <c r="AF6269" i="7"/>
  <c r="AF6270" i="7"/>
  <c r="AF6271" i="7"/>
  <c r="AF6272" i="7"/>
  <c r="AF6273" i="7"/>
  <c r="AF6274" i="7"/>
  <c r="AF6275" i="7"/>
  <c r="AF6276" i="7"/>
  <c r="AF6277" i="7"/>
  <c r="AF6278" i="7"/>
  <c r="AF6279" i="7"/>
  <c r="AF6280" i="7"/>
  <c r="AF6281" i="7"/>
  <c r="AF6282" i="7"/>
  <c r="AF6283" i="7"/>
  <c r="AF6284" i="7"/>
  <c r="AF6285" i="7"/>
  <c r="AF6286" i="7"/>
  <c r="AF6287" i="7"/>
  <c r="AF6288" i="7"/>
  <c r="AF6289" i="7"/>
  <c r="AF6290" i="7"/>
  <c r="AF6291" i="7"/>
  <c r="AF6292" i="7"/>
  <c r="AF6293" i="7"/>
  <c r="AF6294" i="7"/>
  <c r="AF6295" i="7"/>
  <c r="AF6296" i="7"/>
  <c r="AF6297" i="7"/>
  <c r="AF6298" i="7"/>
  <c r="AF6299" i="7"/>
  <c r="AF6300" i="7"/>
  <c r="AF6301" i="7"/>
  <c r="AF6302" i="7"/>
  <c r="AF6303" i="7"/>
  <c r="AF6304" i="7"/>
  <c r="AF6305" i="7"/>
  <c r="AF6306" i="7"/>
  <c r="AF6307" i="7"/>
  <c r="AF6308" i="7"/>
  <c r="AF6309" i="7"/>
  <c r="AF6310" i="7"/>
  <c r="AF6311" i="7"/>
  <c r="AF6312" i="7"/>
  <c r="AF6313" i="7"/>
  <c r="AF6314" i="7"/>
  <c r="AF6315" i="7"/>
  <c r="AF6316" i="7"/>
  <c r="AF6317" i="7"/>
  <c r="AF6318" i="7"/>
  <c r="AF6319" i="7"/>
  <c r="AF6320" i="7"/>
  <c r="AF6321" i="7"/>
  <c r="AF6322" i="7"/>
  <c r="AF6323" i="7"/>
  <c r="AF6324" i="7"/>
  <c r="AF6325" i="7"/>
  <c r="AF6326" i="7"/>
  <c r="AF6327" i="7"/>
  <c r="AF6328" i="7"/>
  <c r="AF6329" i="7"/>
  <c r="AF6330" i="7"/>
  <c r="AF6331" i="7"/>
  <c r="AF6332" i="7"/>
  <c r="AF6333" i="7"/>
  <c r="AF6334" i="7"/>
  <c r="AF6335" i="7"/>
  <c r="AF6336" i="7"/>
  <c r="AF6337" i="7"/>
  <c r="AF6338" i="7"/>
  <c r="AF6339" i="7"/>
  <c r="AF6340" i="7"/>
  <c r="AF6341" i="7"/>
  <c r="AF6342" i="7"/>
  <c r="AF6343" i="7"/>
  <c r="AF6344" i="7"/>
  <c r="AF6345" i="7"/>
  <c r="AF6346" i="7"/>
  <c r="AF6347" i="7"/>
  <c r="AF6348" i="7"/>
  <c r="AF6349" i="7"/>
  <c r="AF6350" i="7"/>
  <c r="AF6351" i="7"/>
  <c r="AF6352" i="7"/>
  <c r="AF6353" i="7"/>
  <c r="AF6354" i="7"/>
  <c r="AF6355" i="7"/>
  <c r="AF6356" i="7"/>
  <c r="AF6357" i="7"/>
  <c r="AF6358" i="7"/>
  <c r="AF6359" i="7"/>
  <c r="AF6360" i="7"/>
  <c r="AF6361" i="7"/>
  <c r="AF6362" i="7"/>
  <c r="AF6363" i="7"/>
  <c r="AF6364" i="7"/>
  <c r="AF6365" i="7"/>
  <c r="AF6366" i="7"/>
  <c r="AF6367" i="7"/>
  <c r="AF6368" i="7"/>
  <c r="AF6369" i="7"/>
  <c r="AF6370" i="7"/>
  <c r="AF6371" i="7"/>
  <c r="AF6372" i="7"/>
  <c r="AF6373" i="7"/>
  <c r="AF6374" i="7"/>
  <c r="AF6375" i="7"/>
  <c r="AF6376" i="7"/>
  <c r="AF6377" i="7"/>
  <c r="AF6378" i="7"/>
  <c r="AF6379" i="7"/>
  <c r="AF6380" i="7"/>
  <c r="AF6381" i="7"/>
  <c r="AF6382" i="7"/>
  <c r="AF6383" i="7"/>
  <c r="AF6384" i="7"/>
  <c r="AF6385" i="7"/>
  <c r="AF6386" i="7"/>
  <c r="AF6387" i="7"/>
  <c r="AF6388" i="7"/>
  <c r="AF6389" i="7"/>
  <c r="AF6390" i="7"/>
  <c r="AF6391" i="7"/>
  <c r="AF6392" i="7"/>
  <c r="AF6393" i="7"/>
  <c r="AF6394" i="7"/>
  <c r="AF6395" i="7"/>
  <c r="AF6396" i="7"/>
  <c r="AF6397" i="7"/>
  <c r="AF6398" i="7"/>
  <c r="AF6399" i="7"/>
  <c r="AF6400" i="7"/>
  <c r="AF6401" i="7"/>
  <c r="AF6402" i="7"/>
  <c r="AF6403" i="7"/>
  <c r="AF6404" i="7"/>
  <c r="AF6405" i="7"/>
  <c r="AF6406" i="7"/>
  <c r="AF6407" i="7"/>
  <c r="AF6408" i="7"/>
  <c r="AF6409" i="7"/>
  <c r="AF6410" i="7"/>
  <c r="AF6411" i="7"/>
  <c r="AF6412" i="7"/>
  <c r="AF6413" i="7"/>
  <c r="AF6414" i="7"/>
  <c r="AF6415" i="7"/>
  <c r="AF6416" i="7"/>
  <c r="AF6417" i="7"/>
  <c r="AF6418" i="7"/>
  <c r="AF6419" i="7"/>
  <c r="AF6420" i="7"/>
  <c r="AF6421" i="7"/>
  <c r="AF6422" i="7"/>
  <c r="AF6423" i="7"/>
  <c r="AF6424" i="7"/>
  <c r="AF6425" i="7"/>
  <c r="AF6426" i="7"/>
  <c r="AF6427" i="7"/>
  <c r="AF6428" i="7"/>
  <c r="AF6429" i="7"/>
  <c r="AF6430" i="7"/>
  <c r="AF6431" i="7"/>
  <c r="AF6432" i="7"/>
  <c r="AF6433" i="7"/>
  <c r="AF6434" i="7"/>
  <c r="AF6435" i="7"/>
  <c r="AF6436" i="7"/>
  <c r="AF6437" i="7"/>
  <c r="AF6438" i="7"/>
  <c r="AF6439" i="7"/>
  <c r="AF6440" i="7"/>
  <c r="AF6441" i="7"/>
  <c r="AF6442" i="7"/>
  <c r="AF6443" i="7"/>
  <c r="AF6444" i="7"/>
  <c r="AF6445" i="7"/>
  <c r="AF6446" i="7"/>
  <c r="AF6447" i="7"/>
  <c r="AF6448" i="7"/>
  <c r="AF6449" i="7"/>
  <c r="AF6450" i="7"/>
  <c r="AF6451" i="7"/>
  <c r="AF6452" i="7"/>
  <c r="AF6453" i="7"/>
  <c r="AF6454" i="7"/>
  <c r="AF6455" i="7"/>
  <c r="AF6456" i="7"/>
  <c r="AF6457" i="7"/>
  <c r="AF6458" i="7"/>
  <c r="AF6459" i="7"/>
  <c r="AF6460" i="7"/>
  <c r="AF6461" i="7"/>
  <c r="AF6462" i="7"/>
  <c r="AF6463" i="7"/>
  <c r="AF6464" i="7"/>
  <c r="AF6465" i="7"/>
  <c r="AF6466" i="7"/>
  <c r="AF6467" i="7"/>
  <c r="AF6468" i="7"/>
  <c r="AF6469" i="7"/>
  <c r="AF6470" i="7"/>
  <c r="AF6471" i="7"/>
  <c r="AF6472" i="7"/>
  <c r="AF6473" i="7"/>
  <c r="AF6474" i="7"/>
  <c r="AF6475" i="7"/>
  <c r="AF6476" i="7"/>
  <c r="AF6477" i="7"/>
  <c r="AF6478" i="7"/>
  <c r="AF6479" i="7"/>
  <c r="AF6480" i="7"/>
  <c r="AF6481" i="7"/>
  <c r="AF6482" i="7"/>
  <c r="AF6483" i="7"/>
  <c r="AF6484" i="7"/>
  <c r="AF6485" i="7"/>
  <c r="AF6486" i="7"/>
  <c r="AF6487" i="7"/>
  <c r="AF6488" i="7"/>
  <c r="AF6489" i="7"/>
  <c r="AF6490" i="7"/>
  <c r="AF6491" i="7"/>
  <c r="AF6492" i="7"/>
  <c r="AF6493" i="7"/>
  <c r="AF6494" i="7"/>
  <c r="AF6495" i="7"/>
  <c r="AF6496" i="7"/>
  <c r="AF6497" i="7"/>
  <c r="AF6498" i="7"/>
  <c r="AF6499" i="7"/>
  <c r="AF6500" i="7"/>
  <c r="AF6501" i="7"/>
  <c r="AF6502" i="7"/>
  <c r="AF6503" i="7"/>
  <c r="AF6504" i="7"/>
  <c r="AF6505" i="7"/>
  <c r="AF6506" i="7"/>
  <c r="AF6507" i="7"/>
  <c r="AF6508" i="7"/>
  <c r="AF6509" i="7"/>
  <c r="AF6510" i="7"/>
  <c r="AF6511" i="7"/>
  <c r="AF6512" i="7"/>
  <c r="AF6513" i="7"/>
  <c r="AF6514" i="7"/>
  <c r="AF6515" i="7"/>
  <c r="AF6516" i="7"/>
  <c r="AF6517" i="7"/>
  <c r="AF6518" i="7"/>
  <c r="AF6519" i="7"/>
  <c r="AF6520" i="7"/>
  <c r="AF6521" i="7"/>
  <c r="AF6522" i="7"/>
  <c r="AF6523" i="7"/>
  <c r="AF6524" i="7"/>
  <c r="AF6525" i="7"/>
  <c r="AF6526" i="7"/>
  <c r="AF6527" i="7"/>
  <c r="AF6528" i="7"/>
  <c r="AF6529" i="7"/>
  <c r="AF6530" i="7"/>
  <c r="AF6531" i="7"/>
  <c r="AF6532" i="7"/>
  <c r="AF6533" i="7"/>
  <c r="AF6534" i="7"/>
  <c r="AF6535" i="7"/>
  <c r="AF6536" i="7"/>
  <c r="AF6537" i="7"/>
  <c r="AF6538" i="7"/>
  <c r="AF6539" i="7"/>
  <c r="AF6540" i="7"/>
  <c r="AF6541" i="7"/>
  <c r="AF6542" i="7"/>
  <c r="AF6543" i="7"/>
  <c r="AF6544" i="7"/>
  <c r="AF6545" i="7"/>
  <c r="AF6546" i="7"/>
  <c r="AF6547" i="7"/>
  <c r="AF6548" i="7"/>
  <c r="AF6549" i="7"/>
  <c r="AF6550" i="7"/>
  <c r="AF6551" i="7"/>
  <c r="AF6552" i="7"/>
  <c r="AF6553" i="7"/>
  <c r="AF6554" i="7"/>
  <c r="AF6555" i="7"/>
  <c r="AF6556" i="7"/>
  <c r="AF6557" i="7"/>
  <c r="AF6558" i="7"/>
  <c r="AF6559" i="7"/>
  <c r="AF6560" i="7"/>
  <c r="AF6561" i="7"/>
  <c r="AF6562" i="7"/>
  <c r="AF6563" i="7"/>
  <c r="AF6564" i="7"/>
  <c r="AF6565" i="7"/>
  <c r="AF6566" i="7"/>
  <c r="AF6567" i="7"/>
  <c r="AF6568" i="7"/>
  <c r="AF6569" i="7"/>
  <c r="AF6570" i="7"/>
  <c r="AF6571" i="7"/>
  <c r="AF6572" i="7"/>
  <c r="AF6573" i="7"/>
  <c r="AF6574" i="7"/>
  <c r="AF6575" i="7"/>
  <c r="AF6576" i="7"/>
  <c r="AF6577" i="7"/>
  <c r="AF6578" i="7"/>
  <c r="AF6579" i="7"/>
  <c r="AF6580" i="7"/>
  <c r="AF6581" i="7"/>
  <c r="AF6582" i="7"/>
  <c r="AF6583" i="7"/>
  <c r="AF6584" i="7"/>
  <c r="AF6585" i="7"/>
  <c r="AF6586" i="7"/>
  <c r="AF6587" i="7"/>
  <c r="AF6588" i="7"/>
  <c r="AF6589" i="7"/>
  <c r="AF6590" i="7"/>
  <c r="AF6591" i="7"/>
  <c r="AF6592" i="7"/>
  <c r="AF6593" i="7"/>
  <c r="AF6594" i="7"/>
  <c r="AF6595" i="7"/>
  <c r="AF6596" i="7"/>
  <c r="AF6597" i="7"/>
  <c r="AF6598" i="7"/>
  <c r="AF6599" i="7"/>
  <c r="AF6600" i="7"/>
  <c r="AF6601" i="7"/>
  <c r="AF6602" i="7"/>
  <c r="AF6603" i="7"/>
  <c r="AF6604" i="7"/>
  <c r="AF6605" i="7"/>
  <c r="AF6606" i="7"/>
  <c r="AF6607" i="7"/>
  <c r="AF6608" i="7"/>
  <c r="AF6609" i="7"/>
  <c r="AF6610" i="7"/>
  <c r="AF6611" i="7"/>
  <c r="AF6612" i="7"/>
  <c r="AF6613" i="7"/>
  <c r="AF6614" i="7"/>
  <c r="AF6615" i="7"/>
  <c r="AF6616" i="7"/>
  <c r="AF6617" i="7"/>
  <c r="AF6618" i="7"/>
  <c r="AF6619" i="7"/>
  <c r="AF6620" i="7"/>
  <c r="AF6621" i="7"/>
  <c r="AF6622" i="7"/>
  <c r="AF6623" i="7"/>
  <c r="AF6624" i="7"/>
  <c r="AF6625" i="7"/>
  <c r="AF6626" i="7"/>
  <c r="AF6627" i="7"/>
  <c r="AF6628" i="7"/>
  <c r="AF6629" i="7"/>
  <c r="AF6630" i="7"/>
  <c r="AF6631" i="7"/>
  <c r="AF6632" i="7"/>
  <c r="AF6633" i="7"/>
  <c r="AF6634" i="7"/>
  <c r="AF6635" i="7"/>
  <c r="AF6636" i="7"/>
  <c r="AF6637" i="7"/>
  <c r="AF6638" i="7"/>
  <c r="AF6639" i="7"/>
  <c r="AF6640" i="7"/>
  <c r="AF6641" i="7"/>
  <c r="AF6642" i="7"/>
  <c r="AF6643" i="7"/>
  <c r="AF6644" i="7"/>
  <c r="AF6645" i="7"/>
  <c r="AF6646" i="7"/>
  <c r="AF6647" i="7"/>
  <c r="AF6648" i="7"/>
  <c r="AF6649" i="7"/>
  <c r="AF6650" i="7"/>
  <c r="AF6651" i="7"/>
  <c r="AF6652" i="7"/>
  <c r="AF6653" i="7"/>
  <c r="AF6654" i="7"/>
  <c r="AF6655" i="7"/>
  <c r="AF6656" i="7"/>
  <c r="AF6657" i="7"/>
  <c r="AF6658" i="7"/>
  <c r="AF6659" i="7"/>
  <c r="AF6660" i="7"/>
  <c r="AF6661" i="7"/>
  <c r="AF6662" i="7"/>
  <c r="AF6663" i="7"/>
  <c r="AF6664" i="7"/>
  <c r="AF6665" i="7"/>
  <c r="AF6666" i="7"/>
  <c r="AF6667" i="7"/>
  <c r="AF6668" i="7"/>
  <c r="AF6669" i="7"/>
  <c r="AF6670" i="7"/>
  <c r="AF6671" i="7"/>
  <c r="AF6672" i="7"/>
  <c r="AF6673" i="7"/>
  <c r="AF6674" i="7"/>
  <c r="AF6675" i="7"/>
  <c r="AF6676" i="7"/>
  <c r="AF6677" i="7"/>
  <c r="AF6678" i="7"/>
  <c r="AF6679" i="7"/>
  <c r="AF6680" i="7"/>
  <c r="AF6681" i="7"/>
  <c r="AF6682" i="7"/>
  <c r="AF6683" i="7"/>
  <c r="AF6684" i="7"/>
  <c r="AF6685" i="7"/>
  <c r="AF6686" i="7"/>
  <c r="AF6687" i="7"/>
  <c r="AF6688" i="7"/>
  <c r="AF6689" i="7"/>
  <c r="AF6690" i="7"/>
  <c r="AF6691" i="7"/>
  <c r="AF6692" i="7"/>
  <c r="AF6693" i="7"/>
  <c r="AF6694" i="7"/>
  <c r="AF6695" i="7"/>
  <c r="AF6696" i="7"/>
  <c r="AF6697" i="7"/>
  <c r="AF6698" i="7"/>
  <c r="AF6699" i="7"/>
  <c r="AF6700" i="7"/>
  <c r="AF6701" i="7"/>
  <c r="AF6702" i="7"/>
  <c r="AF6703" i="7"/>
  <c r="AF6704" i="7"/>
  <c r="AF6705" i="7"/>
  <c r="AF6706" i="7"/>
  <c r="AF6707" i="7"/>
  <c r="AF6708" i="7"/>
  <c r="AF6709" i="7"/>
  <c r="AF6710" i="7"/>
  <c r="AF6711" i="7"/>
  <c r="AF6712" i="7"/>
  <c r="AF6713" i="7"/>
  <c r="AF6714" i="7"/>
  <c r="AF6715" i="7"/>
  <c r="AF6716" i="7"/>
  <c r="AF6717" i="7"/>
  <c r="AF6718" i="7"/>
  <c r="AF6719" i="7"/>
  <c r="AF6720" i="7"/>
  <c r="AF6721" i="7"/>
  <c r="AF6722" i="7"/>
  <c r="AF6723" i="7"/>
  <c r="AF6724" i="7"/>
  <c r="AF6725" i="7"/>
  <c r="AF6726" i="7"/>
  <c r="AF6727" i="7"/>
  <c r="AF6728" i="7"/>
  <c r="AF6729" i="7"/>
  <c r="AF6730" i="7"/>
  <c r="AF6731" i="7"/>
  <c r="AF6732" i="7"/>
  <c r="AF6733" i="7"/>
  <c r="AF6734" i="7"/>
  <c r="AF6735" i="7"/>
  <c r="AF6736" i="7"/>
  <c r="AF6737" i="7"/>
  <c r="AF6738" i="7"/>
  <c r="AF6739" i="7"/>
  <c r="AF6740" i="7"/>
  <c r="AF6741" i="7"/>
  <c r="AF6742" i="7"/>
  <c r="AF6743" i="7"/>
  <c r="AF6744" i="7"/>
  <c r="AF6745" i="7"/>
  <c r="AF6746" i="7"/>
  <c r="AF6747" i="7"/>
  <c r="AF6748" i="7"/>
  <c r="AF6749" i="7"/>
  <c r="AF6750" i="7"/>
  <c r="AF6751" i="7"/>
  <c r="AF6752" i="7"/>
  <c r="AF6753" i="7"/>
  <c r="AF6754" i="7"/>
  <c r="AF6755" i="7"/>
  <c r="AF6756" i="7"/>
  <c r="AF6757" i="7"/>
  <c r="AF6758" i="7"/>
  <c r="AF6759" i="7"/>
  <c r="AF6760" i="7"/>
  <c r="AF6761" i="7"/>
  <c r="AF6762" i="7"/>
  <c r="AF6763" i="7"/>
  <c r="AF6764" i="7"/>
  <c r="AF6765" i="7"/>
  <c r="AF6766" i="7"/>
  <c r="AF6767" i="7"/>
  <c r="AF6768" i="7"/>
  <c r="AF6769" i="7"/>
  <c r="AF6770" i="7"/>
  <c r="AF6771" i="7"/>
  <c r="AF6772" i="7"/>
  <c r="AF6773" i="7"/>
  <c r="AF6774" i="7"/>
  <c r="AF6775" i="7"/>
  <c r="AF6776" i="7"/>
  <c r="AF6777" i="7"/>
  <c r="AF6778" i="7"/>
  <c r="AF6779" i="7"/>
  <c r="AF6780" i="7"/>
  <c r="AF6781" i="7"/>
  <c r="AF6782" i="7"/>
  <c r="AF6783" i="7"/>
  <c r="AF6784" i="7"/>
  <c r="AF6785" i="7"/>
  <c r="AF6786" i="7"/>
  <c r="AF6787" i="7"/>
  <c r="AF6788" i="7"/>
  <c r="AF6789" i="7"/>
  <c r="AF6790" i="7"/>
  <c r="AF6791" i="7"/>
  <c r="AF6792" i="7"/>
  <c r="AF6793" i="7"/>
  <c r="AF6794" i="7"/>
  <c r="AF6795" i="7"/>
  <c r="AF6796" i="7"/>
  <c r="AF6797" i="7"/>
  <c r="AF6798" i="7"/>
  <c r="AF6799" i="7"/>
  <c r="AF6800" i="7"/>
  <c r="AF6801" i="7"/>
  <c r="AF6802" i="7"/>
  <c r="AF6803" i="7"/>
  <c r="AF6804" i="7"/>
  <c r="AF6805" i="7"/>
  <c r="AF6806" i="7"/>
  <c r="AF6807" i="7"/>
  <c r="AF6808" i="7"/>
  <c r="AF6809" i="7"/>
  <c r="AF6810" i="7"/>
  <c r="AF6811" i="7"/>
  <c r="AF6812" i="7"/>
  <c r="AF6813" i="7"/>
  <c r="AF6814" i="7"/>
  <c r="AF6815" i="7"/>
  <c r="AF6816" i="7"/>
  <c r="AF6817" i="7"/>
  <c r="AF6818" i="7"/>
  <c r="AF6819" i="7"/>
  <c r="AF6820" i="7"/>
  <c r="AF6821" i="7"/>
  <c r="AF6822" i="7"/>
  <c r="AF6823" i="7"/>
  <c r="AF6824" i="7"/>
  <c r="AF6825" i="7"/>
  <c r="AF6826" i="7"/>
  <c r="AF6827" i="7"/>
  <c r="AF6828" i="7"/>
  <c r="AF6829" i="7"/>
  <c r="AF6830" i="7"/>
  <c r="AF6831" i="7"/>
  <c r="AF6832" i="7"/>
  <c r="AF6833" i="7"/>
  <c r="AF6834" i="7"/>
  <c r="AF6835" i="7"/>
  <c r="AF6836" i="7"/>
  <c r="AF6837" i="7"/>
  <c r="AF6838" i="7"/>
  <c r="AF6839" i="7"/>
  <c r="AF6840" i="7"/>
  <c r="AF6841" i="7"/>
  <c r="AF6842" i="7"/>
  <c r="AF6843" i="7"/>
  <c r="AF6844" i="7"/>
  <c r="AF6845" i="7"/>
  <c r="AF6846" i="7"/>
  <c r="AF6847" i="7"/>
  <c r="AF6848" i="7"/>
  <c r="AF6849" i="7"/>
  <c r="AF6850" i="7"/>
  <c r="AF6851" i="7"/>
  <c r="AF6852" i="7"/>
  <c r="AF6853" i="7"/>
  <c r="AF6854" i="7"/>
  <c r="AF6855" i="7"/>
  <c r="AF6856" i="7"/>
  <c r="AF6857" i="7"/>
  <c r="AF6858" i="7"/>
  <c r="AF6859" i="7"/>
  <c r="AF6860" i="7"/>
  <c r="AF6861" i="7"/>
  <c r="AF6862" i="7"/>
  <c r="AF6863" i="7"/>
  <c r="AF6864" i="7"/>
  <c r="AF6865" i="7"/>
  <c r="AF6866" i="7"/>
  <c r="AF6867" i="7"/>
  <c r="AF6868" i="7"/>
  <c r="AF6869" i="7"/>
  <c r="AF6870" i="7"/>
  <c r="AF6871" i="7"/>
  <c r="AF6872" i="7"/>
  <c r="AF6873" i="7"/>
  <c r="AF6874" i="7"/>
  <c r="AF6875" i="7"/>
  <c r="AF6876" i="7"/>
  <c r="AF6877" i="7"/>
  <c r="AF6878" i="7"/>
  <c r="AF6879" i="7"/>
  <c r="AF6880" i="7"/>
  <c r="AF6881" i="7"/>
  <c r="AF6882" i="7"/>
  <c r="AF6883" i="7"/>
  <c r="AF6884" i="7"/>
  <c r="AF6885" i="7"/>
  <c r="AF6886" i="7"/>
  <c r="AF6887" i="7"/>
  <c r="AF6888" i="7"/>
  <c r="AF6889" i="7"/>
  <c r="AF6890" i="7"/>
  <c r="AF6891" i="7"/>
  <c r="AF6892" i="7"/>
  <c r="AF6893" i="7"/>
  <c r="AF6894" i="7"/>
  <c r="AF6895" i="7"/>
  <c r="AF6896" i="7"/>
  <c r="AF6897" i="7"/>
  <c r="AF6898" i="7"/>
  <c r="AF6899" i="7"/>
  <c r="AF6900" i="7"/>
  <c r="AF6901" i="7"/>
  <c r="AF6902" i="7"/>
  <c r="AF6903" i="7"/>
  <c r="AF6904" i="7"/>
  <c r="AF6905" i="7"/>
  <c r="AF6906" i="7"/>
  <c r="AF6907" i="7"/>
  <c r="AF6908" i="7"/>
  <c r="AF6909" i="7"/>
  <c r="AF6910" i="7"/>
  <c r="AF6911" i="7"/>
  <c r="AF6912" i="7"/>
  <c r="AF6913" i="7"/>
  <c r="AF6914" i="7"/>
  <c r="AF6915" i="7"/>
  <c r="AF6916" i="7"/>
  <c r="AF6917" i="7"/>
  <c r="AF6918" i="7"/>
  <c r="AF6919" i="7"/>
  <c r="AF6920" i="7"/>
  <c r="AF6921" i="7"/>
  <c r="AF6922" i="7"/>
  <c r="AF6923" i="7"/>
  <c r="AF6924" i="7"/>
  <c r="AF6925" i="7"/>
  <c r="AF6926" i="7"/>
  <c r="AF6927" i="7"/>
  <c r="AF6928" i="7"/>
  <c r="AF6929" i="7"/>
  <c r="AF6930" i="7"/>
  <c r="AF6931" i="7"/>
  <c r="AF6932" i="7"/>
  <c r="AF6933" i="7"/>
  <c r="AF6934" i="7"/>
  <c r="AF6935" i="7"/>
  <c r="AF6936" i="7"/>
  <c r="AF6937" i="7"/>
  <c r="AF6938" i="7"/>
  <c r="AF6939" i="7"/>
  <c r="AF6940" i="7"/>
  <c r="AF6941" i="7"/>
  <c r="AF6942" i="7"/>
  <c r="AF6943" i="7"/>
  <c r="AF6944" i="7"/>
  <c r="AF6945" i="7"/>
  <c r="AF6946" i="7"/>
  <c r="AF6947" i="7"/>
  <c r="AF6948" i="7"/>
  <c r="AF6949" i="7"/>
  <c r="AF6950" i="7"/>
  <c r="AF6951" i="7"/>
  <c r="AF6952" i="7"/>
  <c r="AF6953" i="7"/>
  <c r="AF6954" i="7"/>
  <c r="AF6955" i="7"/>
  <c r="AF6956" i="7"/>
  <c r="AF6957" i="7"/>
  <c r="AF6958" i="7"/>
  <c r="AF6959" i="7"/>
  <c r="AF6960" i="7"/>
  <c r="AF6961" i="7"/>
  <c r="AF6962" i="7"/>
  <c r="AF6963" i="7"/>
  <c r="AF6964" i="7"/>
  <c r="AF6965" i="7"/>
  <c r="AF6966" i="7"/>
  <c r="AF6967" i="7"/>
  <c r="AF6968" i="7"/>
  <c r="AF6969" i="7"/>
  <c r="AF6970" i="7"/>
  <c r="AF6971" i="7"/>
  <c r="AF6972" i="7"/>
  <c r="AF6973" i="7"/>
  <c r="AF6974" i="7"/>
  <c r="AF6975" i="7"/>
  <c r="AF6976" i="7"/>
  <c r="AF6977" i="7"/>
  <c r="AF6978" i="7"/>
  <c r="AF6979" i="7"/>
  <c r="AF6980" i="7"/>
  <c r="AF6981" i="7"/>
  <c r="AF6982" i="7"/>
  <c r="AF6983" i="7"/>
  <c r="AF6984" i="7"/>
  <c r="AF6985" i="7"/>
  <c r="AF6986" i="7"/>
  <c r="AF6987" i="7"/>
  <c r="AF6988" i="7"/>
  <c r="AF6989" i="7"/>
  <c r="AF6990" i="7"/>
  <c r="AF6991" i="7"/>
  <c r="AF6992" i="7"/>
  <c r="AF6993" i="7"/>
  <c r="AF6994" i="7"/>
  <c r="AF6995" i="7"/>
  <c r="AF6996" i="7"/>
  <c r="AF6997" i="7"/>
  <c r="AF6998" i="7"/>
  <c r="AF6999" i="7"/>
  <c r="AF7000" i="7"/>
  <c r="AF7001" i="7"/>
  <c r="AF7002" i="7"/>
  <c r="AF7003" i="7"/>
  <c r="AF7004" i="7"/>
  <c r="AF7005" i="7"/>
  <c r="AF7006" i="7"/>
  <c r="AF7007" i="7"/>
  <c r="AF7008" i="7"/>
  <c r="AF7009" i="7"/>
  <c r="AF7010" i="7"/>
  <c r="AF7011" i="7"/>
  <c r="AF7012" i="7"/>
  <c r="AF7013" i="7"/>
  <c r="AF7014" i="7"/>
  <c r="AF7015" i="7"/>
  <c r="AF7016" i="7"/>
  <c r="AF7017" i="7"/>
  <c r="AF7018" i="7"/>
  <c r="AF7019" i="7"/>
  <c r="AF7020" i="7"/>
  <c r="AF7021" i="7"/>
  <c r="AF7022" i="7"/>
  <c r="AF7023" i="7"/>
  <c r="AF7024" i="7"/>
  <c r="AF7025" i="7"/>
  <c r="AF7026" i="7"/>
  <c r="AF7027" i="7"/>
  <c r="AF7028" i="7"/>
  <c r="AF7029" i="7"/>
  <c r="AF7030" i="7"/>
  <c r="AF7031" i="7"/>
  <c r="AF7032" i="7"/>
  <c r="AF7033" i="7"/>
  <c r="AF7034" i="7"/>
  <c r="AF7035" i="7"/>
  <c r="AF7036" i="7"/>
  <c r="AF7037" i="7"/>
  <c r="AF7038" i="7"/>
  <c r="AF7039" i="7"/>
  <c r="AF7040" i="7"/>
  <c r="AF7041" i="7"/>
  <c r="AF7042" i="7"/>
  <c r="AF7043" i="7"/>
  <c r="AF7044" i="7"/>
  <c r="AF7045" i="7"/>
  <c r="AF7046" i="7"/>
  <c r="AF7047" i="7"/>
  <c r="AF7048" i="7"/>
  <c r="AF7049" i="7"/>
  <c r="AF7050" i="7"/>
  <c r="AF7051" i="7"/>
  <c r="AF7052" i="7"/>
  <c r="AF7053" i="7"/>
  <c r="AF7054" i="7"/>
  <c r="AF7055" i="7"/>
  <c r="AF7056" i="7"/>
  <c r="AF7057" i="7"/>
  <c r="AF7058" i="7"/>
  <c r="AF7059" i="7"/>
  <c r="AF7060" i="7"/>
  <c r="AF7061" i="7"/>
  <c r="AF7062" i="7"/>
  <c r="AF7063" i="7"/>
  <c r="AF7064" i="7"/>
  <c r="AF7065" i="7"/>
  <c r="AF7066" i="7"/>
  <c r="AF7067" i="7"/>
  <c r="AF7068" i="7"/>
  <c r="AF7069" i="7"/>
  <c r="AF7070" i="7"/>
  <c r="AF7071" i="7"/>
  <c r="AF7072" i="7"/>
  <c r="AF7073" i="7"/>
  <c r="AF7074" i="7"/>
  <c r="AF7075" i="7"/>
  <c r="AF7076" i="7"/>
  <c r="AF7077" i="7"/>
  <c r="AF7078" i="7"/>
  <c r="AF7079" i="7"/>
  <c r="AF7080" i="7"/>
  <c r="AF7081" i="7"/>
  <c r="AF7082" i="7"/>
  <c r="AF7083" i="7"/>
  <c r="AF7084" i="7"/>
  <c r="AF7085" i="7"/>
  <c r="AF7086" i="7"/>
  <c r="AF7087" i="7"/>
  <c r="AF7088" i="7"/>
  <c r="AF7089" i="7"/>
  <c r="AF7090" i="7"/>
  <c r="AF7091" i="7"/>
  <c r="AF7092" i="7"/>
  <c r="AF7093" i="7"/>
  <c r="AF7094" i="7"/>
  <c r="AF7095" i="7"/>
  <c r="AF7096" i="7"/>
  <c r="AF7097" i="7"/>
  <c r="AF7098" i="7"/>
  <c r="AF7099" i="7"/>
  <c r="AF7100" i="7"/>
  <c r="AF7101" i="7"/>
  <c r="AF7102" i="7"/>
  <c r="AF7103" i="7"/>
  <c r="AF7104" i="7"/>
  <c r="AF7105" i="7"/>
  <c r="AF7106" i="7"/>
  <c r="AF7107" i="7"/>
  <c r="AF7108" i="7"/>
  <c r="AF7109" i="7"/>
  <c r="AF7110" i="7"/>
  <c r="AF7111" i="7"/>
  <c r="AF7112" i="7"/>
  <c r="AF7113" i="7"/>
  <c r="AF7114" i="7"/>
  <c r="AF7115" i="7"/>
  <c r="AF7116" i="7"/>
  <c r="AF7117" i="7"/>
  <c r="AF7118" i="7"/>
  <c r="AF7119" i="7"/>
  <c r="AF7120" i="7"/>
  <c r="AF7121" i="7"/>
  <c r="AF7122" i="7"/>
  <c r="AF7123" i="7"/>
  <c r="AF7124" i="7"/>
  <c r="AF7125" i="7"/>
  <c r="AF7126" i="7"/>
  <c r="AF7127" i="7"/>
  <c r="AF7128" i="7"/>
  <c r="AF7129" i="7"/>
  <c r="AF7130" i="7"/>
  <c r="AF7131" i="7"/>
  <c r="AF7132" i="7"/>
  <c r="AF7133" i="7"/>
  <c r="AF7134" i="7"/>
  <c r="AF7135" i="7"/>
  <c r="AF7136" i="7"/>
  <c r="AF7137" i="7"/>
  <c r="AF7138" i="7"/>
  <c r="AF7139" i="7"/>
  <c r="AF7140" i="7"/>
  <c r="AF7141" i="7"/>
  <c r="AF7142" i="7"/>
  <c r="AF7143" i="7"/>
  <c r="AF7144" i="7"/>
  <c r="AF7145" i="7"/>
  <c r="AF7146" i="7"/>
  <c r="AF7147" i="7"/>
  <c r="AF7148" i="7"/>
  <c r="AF7149" i="7"/>
  <c r="AF7150" i="7"/>
  <c r="AF7151" i="7"/>
  <c r="AF7152" i="7"/>
  <c r="AF7153" i="7"/>
  <c r="AF7154" i="7"/>
  <c r="AF7155" i="7"/>
  <c r="AF7156" i="7"/>
  <c r="AF7157" i="7"/>
  <c r="AF7158" i="7"/>
  <c r="AF7159" i="7"/>
  <c r="AF7160" i="7"/>
  <c r="AF7161" i="7"/>
  <c r="AF7162" i="7"/>
  <c r="AF7163" i="7"/>
  <c r="AF7164" i="7"/>
  <c r="AF7165" i="7"/>
  <c r="AF7166" i="7"/>
  <c r="AF7167" i="7"/>
  <c r="AF7168" i="7"/>
  <c r="AF7169" i="7"/>
  <c r="AF7170" i="7"/>
  <c r="AF7171" i="7"/>
  <c r="AF7172" i="7"/>
  <c r="AF7173" i="7"/>
  <c r="AF7174" i="7"/>
  <c r="AF7175" i="7"/>
  <c r="AF7176" i="7"/>
  <c r="AF7177" i="7"/>
  <c r="AF7178" i="7"/>
  <c r="AF7179" i="7"/>
  <c r="AF7180" i="7"/>
  <c r="AF7181" i="7"/>
  <c r="AF7182" i="7"/>
  <c r="AF7183" i="7"/>
  <c r="AF7184" i="7"/>
  <c r="AF7185" i="7"/>
  <c r="AF7186" i="7"/>
  <c r="AF7187" i="7"/>
  <c r="AF7188" i="7"/>
  <c r="AF7189" i="7"/>
  <c r="AF7190" i="7"/>
  <c r="AF7191" i="7"/>
  <c r="AF7192" i="7"/>
  <c r="AF7193" i="7"/>
  <c r="AF7194" i="7"/>
  <c r="AF7195" i="7"/>
  <c r="AF7196" i="7"/>
  <c r="AF7197" i="7"/>
  <c r="AF7198" i="7"/>
  <c r="AF7199" i="7"/>
  <c r="AF7200" i="7"/>
  <c r="AF7201" i="7"/>
  <c r="AF7202" i="7"/>
  <c r="AF7203" i="7"/>
  <c r="AF7204" i="7"/>
  <c r="AF7205" i="7"/>
  <c r="AF7206" i="7"/>
  <c r="AF7207" i="7"/>
  <c r="AF7208" i="7"/>
  <c r="AF7209" i="7"/>
  <c r="AF7210" i="7"/>
  <c r="AF7211" i="7"/>
  <c r="AF7212" i="7"/>
  <c r="AF7213" i="7"/>
  <c r="AF7214" i="7"/>
  <c r="AF7215" i="7"/>
  <c r="AF7216" i="7"/>
  <c r="AF7217" i="7"/>
  <c r="AF7218" i="7"/>
  <c r="AF7219" i="7"/>
  <c r="AF7220" i="7"/>
  <c r="AF7221" i="7"/>
  <c r="AF7222" i="7"/>
  <c r="AF7223" i="7"/>
  <c r="AF7224" i="7"/>
  <c r="AF7225" i="7"/>
  <c r="AF7226" i="7"/>
  <c r="AF7227" i="7"/>
  <c r="AF7228" i="7"/>
  <c r="AF7229" i="7"/>
  <c r="AF7230" i="7"/>
  <c r="AF7231" i="7"/>
  <c r="AF7232" i="7"/>
  <c r="AF7233" i="7"/>
  <c r="AF7234" i="7"/>
  <c r="AF7235" i="7"/>
  <c r="AF7236" i="7"/>
  <c r="AF7237" i="7"/>
  <c r="AF7238" i="7"/>
  <c r="AF7239" i="7"/>
  <c r="AF7240" i="7"/>
  <c r="AF7241" i="7"/>
  <c r="AF7242" i="7"/>
  <c r="AF7243" i="7"/>
  <c r="AF7244" i="7"/>
  <c r="AF7245" i="7"/>
  <c r="AF7246" i="7"/>
  <c r="AF7247" i="7"/>
  <c r="AF7248" i="7"/>
  <c r="AF7249" i="7"/>
  <c r="AF7250" i="7"/>
  <c r="AF7251" i="7"/>
  <c r="AF7252" i="7"/>
  <c r="AF7253" i="7"/>
  <c r="AF7254" i="7"/>
  <c r="AF7255" i="7"/>
  <c r="AF7256" i="7"/>
  <c r="AF7257" i="7"/>
  <c r="AF7258" i="7"/>
  <c r="AF7259" i="7"/>
  <c r="AF7260" i="7"/>
  <c r="AF7261" i="7"/>
  <c r="AF7262" i="7"/>
  <c r="AF7263" i="7"/>
  <c r="AF7264" i="7"/>
  <c r="AF7265" i="7"/>
  <c r="AF7266" i="7"/>
  <c r="AF7267" i="7"/>
  <c r="AF7268" i="7"/>
  <c r="AF7269" i="7"/>
  <c r="AF7270" i="7"/>
  <c r="AF7271" i="7"/>
  <c r="AF7272" i="7"/>
  <c r="AF7273" i="7"/>
  <c r="AF7274" i="7"/>
  <c r="AF7275" i="7"/>
  <c r="AF7276" i="7"/>
  <c r="AF7277" i="7"/>
  <c r="AF7278" i="7"/>
  <c r="AF7279" i="7"/>
  <c r="AF7280" i="7"/>
  <c r="AF7281" i="7"/>
  <c r="AF7282" i="7"/>
  <c r="AF7283" i="7"/>
  <c r="AF7284" i="7"/>
  <c r="AF7285" i="7"/>
  <c r="AF7286" i="7"/>
  <c r="AF7287" i="7"/>
  <c r="AF7288" i="7"/>
  <c r="AF7289" i="7"/>
  <c r="AF7290" i="7"/>
  <c r="AF7291" i="7"/>
  <c r="AF7292" i="7"/>
  <c r="AF7293" i="7"/>
  <c r="AF7294" i="7"/>
  <c r="AF7295" i="7"/>
  <c r="AF7296" i="7"/>
  <c r="AF7297" i="7"/>
  <c r="AF7298" i="7"/>
  <c r="AF7299" i="7"/>
  <c r="AF7300" i="7"/>
  <c r="AF7301" i="7"/>
  <c r="AF7302" i="7"/>
  <c r="AF7303" i="7"/>
  <c r="AF7304" i="7"/>
  <c r="AF7305" i="7"/>
  <c r="AF7306" i="7"/>
  <c r="AF7307" i="7"/>
  <c r="AF7308" i="7"/>
  <c r="AF7309" i="7"/>
  <c r="AF7310" i="7"/>
  <c r="AF7311" i="7"/>
  <c r="AF7312" i="7"/>
  <c r="AF7313" i="7"/>
  <c r="AF7314" i="7"/>
  <c r="AF7315" i="7"/>
  <c r="AF7316" i="7"/>
  <c r="AF7317" i="7"/>
  <c r="AF7318" i="7"/>
  <c r="AF7319" i="7"/>
  <c r="AF7320" i="7"/>
  <c r="AF7321" i="7"/>
  <c r="AF7322" i="7"/>
  <c r="AF7323" i="7"/>
  <c r="AF7324" i="7"/>
  <c r="AF7325" i="7"/>
  <c r="AF7326" i="7"/>
  <c r="AF7327" i="7"/>
  <c r="AF7328" i="7"/>
  <c r="AF7329" i="7"/>
  <c r="AF7330" i="7"/>
  <c r="AF7331" i="7"/>
  <c r="AF7332" i="7"/>
  <c r="AF7333" i="7"/>
  <c r="AF7334" i="7"/>
  <c r="AF7335" i="7"/>
  <c r="AF7336" i="7"/>
  <c r="AF7337" i="7"/>
  <c r="AF7338" i="7"/>
  <c r="AF7339" i="7"/>
  <c r="AF7340" i="7"/>
  <c r="AF7341" i="7"/>
  <c r="AF7342" i="7"/>
  <c r="AF7343" i="7"/>
  <c r="AF7344" i="7"/>
  <c r="AF7345" i="7"/>
  <c r="AF7346" i="7"/>
  <c r="AF7347" i="7"/>
  <c r="AF7348" i="7"/>
  <c r="AF7349" i="7"/>
  <c r="AF7350" i="7"/>
  <c r="AF7351" i="7"/>
  <c r="AF7352" i="7"/>
  <c r="AF7353" i="7"/>
  <c r="AF7354" i="7"/>
  <c r="AF7355" i="7"/>
  <c r="AF7356" i="7"/>
  <c r="AF7357" i="7"/>
  <c r="AF7358" i="7"/>
  <c r="AF7359" i="7"/>
  <c r="AF7360" i="7"/>
  <c r="AF7361" i="7"/>
  <c r="AF7362" i="7"/>
  <c r="AF7363" i="7"/>
  <c r="AF7364" i="7"/>
  <c r="AF7365" i="7"/>
  <c r="AF7366" i="7"/>
  <c r="AF7367" i="7"/>
  <c r="AF7368" i="7"/>
  <c r="AF7369" i="7"/>
  <c r="AF7370" i="7"/>
  <c r="AF7371" i="7"/>
  <c r="AF7372" i="7"/>
  <c r="AF7373" i="7"/>
  <c r="AF7374" i="7"/>
  <c r="AF7375" i="7"/>
  <c r="AF7376" i="7"/>
  <c r="AF7377" i="7"/>
  <c r="AF7378" i="7"/>
  <c r="AF7379" i="7"/>
  <c r="AF7380" i="7"/>
  <c r="AF7381" i="7"/>
  <c r="AF7382" i="7"/>
  <c r="AF7383" i="7"/>
  <c r="AF7384" i="7"/>
  <c r="AF7385" i="7"/>
  <c r="AF7386" i="7"/>
  <c r="AF7387" i="7"/>
  <c r="AF7388" i="7"/>
  <c r="AF7389" i="7"/>
  <c r="AF7390" i="7"/>
  <c r="AF7391" i="7"/>
  <c r="AF7392" i="7"/>
  <c r="AF7393" i="7"/>
  <c r="AF7394" i="7"/>
  <c r="AF7395" i="7"/>
  <c r="AF7396" i="7"/>
  <c r="AF7397" i="7"/>
  <c r="AF7398" i="7"/>
  <c r="AF7399" i="7"/>
  <c r="AF7400" i="7"/>
  <c r="AF7401" i="7"/>
  <c r="AF7402" i="7"/>
  <c r="AF7403" i="7"/>
  <c r="AF7404" i="7"/>
  <c r="AF7405" i="7"/>
  <c r="AF7406" i="7"/>
  <c r="AF7407" i="7"/>
  <c r="AF7408" i="7"/>
  <c r="AF7409" i="7"/>
  <c r="AF7410" i="7"/>
  <c r="AF7411" i="7"/>
  <c r="AF7412" i="7"/>
  <c r="AF7413" i="7"/>
  <c r="AF7414" i="7"/>
  <c r="AF7415" i="7"/>
  <c r="AF7416" i="7"/>
  <c r="AF7417" i="7"/>
  <c r="AF7418" i="7"/>
  <c r="AF7419" i="7"/>
  <c r="AF7420" i="7"/>
  <c r="AF7421" i="7"/>
  <c r="AF7422" i="7"/>
  <c r="AF7423" i="7"/>
  <c r="AF7424" i="7"/>
  <c r="AF7425" i="7"/>
  <c r="AF7426" i="7"/>
  <c r="AF7427" i="7"/>
  <c r="AF7428" i="7"/>
  <c r="AF7429" i="7"/>
  <c r="AF7430" i="7"/>
  <c r="AF7431" i="7"/>
  <c r="AF7432" i="7"/>
  <c r="AF7433" i="7"/>
  <c r="AF7434" i="7"/>
  <c r="AF7435" i="7"/>
  <c r="AF7436" i="7"/>
  <c r="AF7437" i="7"/>
  <c r="AF7438" i="7"/>
  <c r="AF7439" i="7"/>
  <c r="AF7440" i="7"/>
  <c r="AF7441" i="7"/>
  <c r="AF7442" i="7"/>
  <c r="AF7443" i="7"/>
  <c r="AF7444" i="7"/>
  <c r="AF7445" i="7"/>
  <c r="AF7446" i="7"/>
  <c r="AF7447" i="7"/>
  <c r="AF7448" i="7"/>
  <c r="AF7449" i="7"/>
  <c r="AF7450" i="7"/>
  <c r="AF7451" i="7"/>
  <c r="AF7452" i="7"/>
  <c r="AF7453" i="7"/>
  <c r="AF7454" i="7"/>
  <c r="AF7455" i="7"/>
  <c r="AF7456" i="7"/>
  <c r="AF7457" i="7"/>
  <c r="AF7458" i="7"/>
  <c r="AF7459" i="7"/>
  <c r="AF7460" i="7"/>
  <c r="AF7461" i="7"/>
  <c r="AF7462" i="7"/>
  <c r="AF7463" i="7"/>
  <c r="AF7464" i="7"/>
  <c r="AF7465" i="7"/>
  <c r="AF7466" i="7"/>
  <c r="AF7467" i="7"/>
  <c r="AF7468" i="7"/>
  <c r="AF7469" i="7"/>
  <c r="AF7470" i="7"/>
  <c r="AF7471" i="7"/>
  <c r="AF7472" i="7"/>
  <c r="AF7473" i="7"/>
  <c r="AF7474" i="7"/>
  <c r="AF7475" i="7"/>
  <c r="AF7476" i="7"/>
  <c r="AF7477" i="7"/>
  <c r="AF7478" i="7"/>
  <c r="AF7479" i="7"/>
  <c r="AF7480" i="7"/>
  <c r="AF7481" i="7"/>
  <c r="AF7482" i="7"/>
  <c r="AF7483" i="7"/>
  <c r="AF7484" i="7"/>
  <c r="AF7485" i="7"/>
  <c r="AF7486" i="7"/>
  <c r="AF7487" i="7"/>
  <c r="AF7488" i="7"/>
  <c r="AF7489" i="7"/>
  <c r="AF7490" i="7"/>
  <c r="AF7491" i="7"/>
  <c r="AF7492" i="7"/>
  <c r="AF7493" i="7"/>
  <c r="AF7494" i="7"/>
  <c r="AF7495" i="7"/>
  <c r="AF7496" i="7"/>
  <c r="AF7497" i="7"/>
  <c r="AF7498" i="7"/>
  <c r="AF7499" i="7"/>
  <c r="AF7500" i="7"/>
  <c r="AF7501" i="7"/>
  <c r="AF7502" i="7"/>
  <c r="AF7503" i="7"/>
  <c r="AF7504" i="7"/>
  <c r="AF7505" i="7"/>
  <c r="AF7506" i="7"/>
  <c r="AF7507" i="7"/>
  <c r="AF7508" i="7"/>
  <c r="AF7509" i="7"/>
  <c r="AF7510" i="7"/>
  <c r="AF7511" i="7"/>
  <c r="AF7512" i="7"/>
  <c r="AF7513" i="7"/>
  <c r="AF7514" i="7"/>
  <c r="AF7515" i="7"/>
  <c r="AF7516" i="7"/>
  <c r="AF7517" i="7"/>
  <c r="AF7518" i="7"/>
  <c r="AF7519" i="7"/>
  <c r="AF7520" i="7"/>
  <c r="AF7521" i="7"/>
  <c r="AF7522" i="7"/>
  <c r="AF7523" i="7"/>
  <c r="AF7524" i="7"/>
  <c r="AF7525" i="7"/>
  <c r="AF7526" i="7"/>
  <c r="AF7527" i="7"/>
  <c r="AF7528" i="7"/>
  <c r="AF7529" i="7"/>
  <c r="AF7530" i="7"/>
  <c r="AF7531" i="7"/>
  <c r="AF7532" i="7"/>
  <c r="AF7533" i="7"/>
  <c r="AF7534" i="7"/>
  <c r="AF7535" i="7"/>
  <c r="AF7536" i="7"/>
  <c r="AF7537" i="7"/>
  <c r="AF7538" i="7"/>
  <c r="AF7539" i="7"/>
  <c r="AF7540" i="7"/>
  <c r="AF7541" i="7"/>
  <c r="AF7542" i="7"/>
  <c r="AF7543" i="7"/>
  <c r="AF7544" i="7"/>
  <c r="AF7545" i="7"/>
  <c r="AF7546" i="7"/>
  <c r="AF7547" i="7"/>
  <c r="AF7548" i="7"/>
  <c r="AF7549" i="7"/>
  <c r="AF7550" i="7"/>
  <c r="AF7551" i="7"/>
  <c r="AF7552" i="7"/>
  <c r="AF7553" i="7"/>
  <c r="AF7554" i="7"/>
  <c r="AF7555" i="7"/>
  <c r="AF7556" i="7"/>
  <c r="AF7557" i="7"/>
  <c r="AF7558" i="7"/>
  <c r="AF7559" i="7"/>
  <c r="AF7560" i="7"/>
  <c r="AF7561" i="7"/>
  <c r="AF7562" i="7"/>
  <c r="AF7563" i="7"/>
  <c r="AF7564" i="7"/>
  <c r="AF7565" i="7"/>
  <c r="AF7566" i="7"/>
  <c r="AF7567" i="7"/>
  <c r="AF7568" i="7"/>
  <c r="AF7569" i="7"/>
  <c r="AF7570" i="7"/>
  <c r="AF7571" i="7"/>
  <c r="AF7572" i="7"/>
  <c r="AF7573" i="7"/>
  <c r="AF7574" i="7"/>
  <c r="AF7575" i="7"/>
  <c r="AF7576" i="7"/>
  <c r="AF7577" i="7"/>
  <c r="AF7578" i="7"/>
  <c r="AF7579" i="7"/>
  <c r="AF7580" i="7"/>
  <c r="AF7581" i="7"/>
  <c r="AF7582" i="7"/>
  <c r="AF7583" i="7"/>
  <c r="AF7584" i="7"/>
  <c r="AF7585" i="7"/>
  <c r="AF7586" i="7"/>
  <c r="AF7587" i="7"/>
  <c r="AF7588" i="7"/>
  <c r="AF7589" i="7"/>
  <c r="AF7590" i="7"/>
  <c r="AF7591" i="7"/>
  <c r="AF7592" i="7"/>
  <c r="AF7593" i="7"/>
  <c r="AF7594" i="7"/>
  <c r="AF7595" i="7"/>
  <c r="AF7596" i="7"/>
  <c r="AF7597" i="7"/>
  <c r="AF7598" i="7"/>
  <c r="AF7599" i="7"/>
  <c r="AF7600" i="7"/>
  <c r="AF7601" i="7"/>
  <c r="AF7602" i="7"/>
  <c r="AF7603" i="7"/>
  <c r="AF7604" i="7"/>
  <c r="AF7605" i="7"/>
  <c r="AF7606" i="7"/>
  <c r="AF7607" i="7"/>
  <c r="AF7608" i="7"/>
  <c r="AF7609" i="7"/>
  <c r="AF7610" i="7"/>
  <c r="AF7611" i="7"/>
  <c r="AF7612" i="7"/>
  <c r="AF7613" i="7"/>
  <c r="AF7614" i="7"/>
  <c r="AF7615" i="7"/>
  <c r="AF7616" i="7"/>
  <c r="AF7617" i="7"/>
  <c r="AF7618" i="7"/>
  <c r="AF7619" i="7"/>
  <c r="AF7620" i="7"/>
  <c r="AF7621" i="7"/>
  <c r="AF7622" i="7"/>
  <c r="AF7623" i="7"/>
  <c r="AF7624" i="7"/>
  <c r="AF7625" i="7"/>
  <c r="AF7626" i="7"/>
  <c r="AF7627" i="7"/>
  <c r="AF7628" i="7"/>
  <c r="AF7629" i="7"/>
  <c r="AF7630" i="7"/>
  <c r="AF7631" i="7"/>
  <c r="AF7632" i="7"/>
  <c r="AF7633" i="7"/>
  <c r="AF7634" i="7"/>
  <c r="AF7635" i="7"/>
  <c r="AF7636" i="7"/>
  <c r="AF7637" i="7"/>
  <c r="AF7638" i="7"/>
  <c r="AF7639" i="7"/>
  <c r="AF7640" i="7"/>
  <c r="AF7641" i="7"/>
  <c r="AF7642" i="7"/>
  <c r="AF7643" i="7"/>
  <c r="AF7644" i="7"/>
  <c r="AF7645" i="7"/>
  <c r="AF7646" i="7"/>
  <c r="AF7647" i="7"/>
  <c r="AF7648" i="7"/>
  <c r="AF7649" i="7"/>
  <c r="AF7650" i="7"/>
  <c r="AF7651" i="7"/>
  <c r="AF7652" i="7"/>
  <c r="AF7653" i="7"/>
  <c r="AF7654" i="7"/>
  <c r="AF7655" i="7"/>
  <c r="AF7656" i="7"/>
  <c r="AF7657" i="7"/>
  <c r="AF7658" i="7"/>
  <c r="AF7659" i="7"/>
  <c r="AF7660" i="7"/>
  <c r="AF7661" i="7"/>
  <c r="AF7662" i="7"/>
  <c r="AF7663" i="7"/>
  <c r="AF7664" i="7"/>
  <c r="AF7665" i="7"/>
  <c r="AF7666" i="7"/>
  <c r="AF7667" i="7"/>
  <c r="AF7668" i="7"/>
  <c r="AF7669" i="7"/>
  <c r="AF7670" i="7"/>
  <c r="AF7671" i="7"/>
  <c r="AF7672" i="7"/>
  <c r="AF7673" i="7"/>
  <c r="AF7674" i="7"/>
  <c r="AF7675" i="7"/>
  <c r="AF7676" i="7"/>
  <c r="AF7677" i="7"/>
  <c r="AF7678" i="7"/>
  <c r="AF7679" i="7"/>
  <c r="AF7680" i="7"/>
  <c r="AF7681" i="7"/>
  <c r="AF7682" i="7"/>
  <c r="AF7683" i="7"/>
  <c r="AF7684" i="7"/>
  <c r="AF7685" i="7"/>
  <c r="AF7686" i="7"/>
  <c r="AF7687" i="7"/>
  <c r="AF7688" i="7"/>
  <c r="AF7689" i="7"/>
  <c r="AF7690" i="7"/>
  <c r="AF7691" i="7"/>
  <c r="AF7692" i="7"/>
  <c r="AF7693" i="7"/>
  <c r="AF7694" i="7"/>
  <c r="AF7695" i="7"/>
  <c r="AF7696" i="7"/>
  <c r="AF7697" i="7"/>
  <c r="AF7698" i="7"/>
  <c r="AF7699" i="7"/>
  <c r="AF7700" i="7"/>
  <c r="AF7701" i="7"/>
  <c r="AF7702" i="7"/>
  <c r="AF7703" i="7"/>
  <c r="AF7704" i="7"/>
  <c r="AF7705" i="7"/>
  <c r="AF7706" i="7"/>
  <c r="AF7707" i="7"/>
  <c r="AF7708" i="7"/>
  <c r="AF7709" i="7"/>
  <c r="AF7710" i="7"/>
  <c r="AF7711" i="7"/>
  <c r="AF7712" i="7"/>
  <c r="AF7713" i="7"/>
  <c r="AF7714" i="7"/>
  <c r="AF7715" i="7"/>
  <c r="AF7716" i="7"/>
  <c r="AF7717" i="7"/>
  <c r="AF7718" i="7"/>
  <c r="AF7719" i="7"/>
  <c r="AF7720" i="7"/>
  <c r="AF7721" i="7"/>
  <c r="AF7722" i="7"/>
  <c r="AF7723" i="7"/>
  <c r="AF7724" i="7"/>
  <c r="AF7725" i="7"/>
  <c r="AF7726" i="7"/>
  <c r="AF7727" i="7"/>
  <c r="AF7728" i="7"/>
  <c r="AF7729" i="7"/>
  <c r="AF7730" i="7"/>
  <c r="AF7731" i="7"/>
  <c r="AF7732" i="7"/>
  <c r="AF7733" i="7"/>
  <c r="AF7734" i="7"/>
  <c r="AF7735" i="7"/>
  <c r="AF7736" i="7"/>
  <c r="AF7737" i="7"/>
  <c r="AF7738" i="7"/>
  <c r="AF7739" i="7"/>
  <c r="AF7740" i="7"/>
  <c r="AF7741" i="7"/>
  <c r="AF7742" i="7"/>
  <c r="AF7743" i="7"/>
  <c r="AF7744" i="7"/>
  <c r="AF7745" i="7"/>
  <c r="AF7746" i="7"/>
  <c r="AF7747" i="7"/>
  <c r="AF7748" i="7"/>
  <c r="AF7749" i="7"/>
  <c r="AF7750" i="7"/>
  <c r="AF7751" i="7"/>
  <c r="AF7752" i="7"/>
  <c r="AF7753" i="7"/>
  <c r="AF7754" i="7"/>
  <c r="AF7755" i="7"/>
  <c r="AF7756" i="7"/>
  <c r="AF7757" i="7"/>
  <c r="AF7758" i="7"/>
  <c r="AF7759" i="7"/>
  <c r="AF7760" i="7"/>
  <c r="AF7761" i="7"/>
  <c r="AF7762" i="7"/>
  <c r="AF7763" i="7"/>
  <c r="AF7764" i="7"/>
  <c r="AF7765" i="7"/>
  <c r="AF7766" i="7"/>
  <c r="AF7767" i="7"/>
  <c r="AF7768" i="7"/>
  <c r="AF7769" i="7"/>
  <c r="AF7770" i="7"/>
  <c r="AF7771" i="7"/>
  <c r="AF7772" i="7"/>
  <c r="AF7773" i="7"/>
  <c r="AF7774" i="7"/>
  <c r="AF7775" i="7"/>
  <c r="AF7776" i="7"/>
  <c r="AF7777" i="7"/>
  <c r="AF7778" i="7"/>
  <c r="AF7779" i="7"/>
  <c r="AF7780" i="7"/>
  <c r="AF7781" i="7"/>
  <c r="AF7782" i="7"/>
  <c r="AF7783" i="7"/>
  <c r="AF7784" i="7"/>
  <c r="AF7785" i="7"/>
  <c r="AF7786" i="7"/>
  <c r="AF7787" i="7"/>
  <c r="AF7788" i="7"/>
  <c r="AF7789" i="7"/>
  <c r="AF7790" i="7"/>
  <c r="AF7791" i="7"/>
  <c r="AF7792" i="7"/>
  <c r="AF7793" i="7"/>
  <c r="AF7794" i="7"/>
  <c r="AF7795" i="7"/>
  <c r="AF7796" i="7"/>
  <c r="AF7797" i="7"/>
  <c r="AF7798" i="7"/>
  <c r="AF7799" i="7"/>
  <c r="AF7800" i="7"/>
  <c r="AF7801" i="7"/>
  <c r="AF7802" i="7"/>
  <c r="AF7803" i="7"/>
  <c r="AF7804" i="7"/>
  <c r="AF7805" i="7"/>
  <c r="AF7806" i="7"/>
  <c r="AF7807" i="7"/>
  <c r="AF7808" i="7"/>
  <c r="AF7809" i="7"/>
  <c r="AF7810" i="7"/>
  <c r="AF7811" i="7"/>
  <c r="AF7812" i="7"/>
  <c r="AF7813" i="7"/>
  <c r="AF7814" i="7"/>
  <c r="AF7815" i="7"/>
  <c r="AF7816" i="7"/>
  <c r="AF7817" i="7"/>
  <c r="AF7818" i="7"/>
  <c r="AF7819" i="7"/>
  <c r="AF7820" i="7"/>
  <c r="AF7821" i="7"/>
  <c r="AF7822" i="7"/>
  <c r="AF7823" i="7"/>
  <c r="AF7824" i="7"/>
  <c r="AF7825" i="7"/>
  <c r="AF7826" i="7"/>
  <c r="AF7827" i="7"/>
  <c r="AF7828" i="7"/>
  <c r="AF7829" i="7"/>
  <c r="AF7830" i="7"/>
  <c r="AF7831" i="7"/>
  <c r="AF7832" i="7"/>
  <c r="AF7833" i="7"/>
  <c r="AF7834" i="7"/>
  <c r="AF7835" i="7"/>
  <c r="AF7836" i="7"/>
  <c r="AF7837" i="7"/>
  <c r="AF7838" i="7"/>
  <c r="AF7839" i="7"/>
  <c r="AF7840" i="7"/>
  <c r="AF7841" i="7"/>
  <c r="AF7842" i="7"/>
  <c r="AF7843" i="7"/>
  <c r="AF7844" i="7"/>
  <c r="AF7845" i="7"/>
  <c r="AF7846" i="7"/>
  <c r="AF7847" i="7"/>
  <c r="AF7848" i="7"/>
  <c r="AF7849" i="7"/>
  <c r="AF7850" i="7"/>
  <c r="AF7851" i="7"/>
  <c r="AF7852" i="7"/>
  <c r="AF7853" i="7"/>
  <c r="AF7854" i="7"/>
  <c r="AF7855" i="7"/>
  <c r="AF7856" i="7"/>
  <c r="AF7857" i="7"/>
  <c r="AF7858" i="7"/>
  <c r="AF7859" i="7"/>
  <c r="AF7860" i="7"/>
  <c r="AF7861" i="7"/>
  <c r="AF7862" i="7"/>
  <c r="AF7863" i="7"/>
  <c r="AF7864" i="7"/>
  <c r="AF7865" i="7"/>
  <c r="AF7866" i="7"/>
  <c r="AF7867" i="7"/>
  <c r="AF7868" i="7"/>
  <c r="AF7869" i="7"/>
  <c r="AF7870" i="7"/>
  <c r="AF7871" i="7"/>
  <c r="AF7872" i="7"/>
  <c r="AF7873" i="7"/>
  <c r="AF7874" i="7"/>
  <c r="AF7875" i="7"/>
  <c r="AF7876" i="7"/>
  <c r="AF7877" i="7"/>
  <c r="AF7878" i="7"/>
  <c r="AF7879" i="7"/>
  <c r="AF7880" i="7"/>
  <c r="AF7881" i="7"/>
  <c r="AF7882" i="7"/>
  <c r="AF7883" i="7"/>
  <c r="AF7884" i="7"/>
  <c r="AF7885" i="7"/>
  <c r="AF7886" i="7"/>
  <c r="AF7887" i="7"/>
  <c r="AF7888" i="7"/>
  <c r="AF7889" i="7"/>
  <c r="AF7890" i="7"/>
  <c r="AF7891" i="7"/>
  <c r="AF7892" i="7"/>
  <c r="AF7893" i="7"/>
  <c r="AF7894" i="7"/>
  <c r="AF7895" i="7"/>
  <c r="AF7896" i="7"/>
  <c r="AF7897" i="7"/>
  <c r="AF7898" i="7"/>
  <c r="AF7899" i="7"/>
  <c r="AF7900" i="7"/>
  <c r="AF7901" i="7"/>
  <c r="AF7902" i="7"/>
  <c r="AF7903" i="7"/>
  <c r="AF7904" i="7"/>
  <c r="AF7905" i="7"/>
  <c r="AF7906" i="7"/>
  <c r="AF7907" i="7"/>
  <c r="AF7908" i="7"/>
  <c r="AF7909" i="7"/>
  <c r="AF7910" i="7"/>
  <c r="AF7911" i="7"/>
  <c r="AF7912" i="7"/>
  <c r="AF7913" i="7"/>
  <c r="AF7914" i="7"/>
  <c r="AF7915" i="7"/>
  <c r="AF7916" i="7"/>
  <c r="AF7917" i="7"/>
  <c r="AF7918" i="7"/>
  <c r="AF7919" i="7"/>
  <c r="AF7920" i="7"/>
  <c r="AF7921" i="7"/>
  <c r="AF7922" i="7"/>
  <c r="AF7923" i="7"/>
  <c r="AF7924" i="7"/>
  <c r="AF7925" i="7"/>
  <c r="AF7926" i="7"/>
  <c r="AF7927" i="7"/>
  <c r="AF7928" i="7"/>
  <c r="AF7929" i="7"/>
  <c r="AF7930" i="7"/>
  <c r="AF7931" i="7"/>
  <c r="AF7932" i="7"/>
  <c r="AF7933" i="7"/>
  <c r="AF7934" i="7"/>
  <c r="AF7935" i="7"/>
  <c r="AF7936" i="7"/>
  <c r="AF7937" i="7"/>
  <c r="AF7938" i="7"/>
  <c r="AF7939" i="7"/>
  <c r="AF7940" i="7"/>
  <c r="AF7941" i="7"/>
  <c r="AF7942" i="7"/>
  <c r="AF7943" i="7"/>
  <c r="AF7944" i="7"/>
  <c r="AF7945" i="7"/>
  <c r="AF7946" i="7"/>
  <c r="AF7947" i="7"/>
  <c r="AF7948" i="7"/>
  <c r="AF7949" i="7"/>
  <c r="AF7950" i="7"/>
  <c r="AF7951" i="7"/>
  <c r="AF7952" i="7"/>
  <c r="AF7953" i="7"/>
  <c r="AF7954" i="7"/>
  <c r="AF7955" i="7"/>
  <c r="AF7956" i="7"/>
  <c r="AF7957" i="7"/>
  <c r="AF7958" i="7"/>
  <c r="AF7959" i="7"/>
  <c r="AF7960" i="7"/>
  <c r="AF7961" i="7"/>
  <c r="AF7962" i="7"/>
  <c r="AF7963" i="7"/>
  <c r="AF7964" i="7"/>
  <c r="AF7965" i="7"/>
  <c r="AF7966" i="7"/>
  <c r="AF7967" i="7"/>
  <c r="AF7968" i="7"/>
  <c r="AF7969" i="7"/>
  <c r="AF7970" i="7"/>
  <c r="AF7971" i="7"/>
  <c r="AF7972" i="7"/>
  <c r="AF7973" i="7"/>
  <c r="AF7974" i="7"/>
  <c r="AF7975" i="7"/>
  <c r="AF7976" i="7"/>
  <c r="AF7977" i="7"/>
  <c r="AF7978" i="7"/>
  <c r="AF7979" i="7"/>
  <c r="AF7980" i="7"/>
  <c r="AF7981" i="7"/>
  <c r="AF7982" i="7"/>
  <c r="AF7983" i="7"/>
  <c r="AF7984" i="7"/>
  <c r="AF7985" i="7"/>
  <c r="AF7986" i="7"/>
  <c r="AF7987" i="7"/>
  <c r="AF7988" i="7"/>
  <c r="AF7989" i="7"/>
  <c r="AF7990" i="7"/>
  <c r="AF7991" i="7"/>
  <c r="AF7992" i="7"/>
  <c r="AF7993" i="7"/>
  <c r="AF7994" i="7"/>
  <c r="AF7995" i="7"/>
  <c r="AF7996" i="7"/>
  <c r="AF7997" i="7"/>
  <c r="AF7998" i="7"/>
  <c r="AF7999" i="7"/>
  <c r="AF8000" i="7"/>
  <c r="AF8001" i="7"/>
  <c r="AF8002" i="7"/>
  <c r="AF8003" i="7"/>
  <c r="AF8004" i="7"/>
  <c r="AF8005" i="7"/>
  <c r="AF8006" i="7"/>
  <c r="AF8007" i="7"/>
  <c r="AF8008" i="7"/>
  <c r="AF8009" i="7"/>
  <c r="AF8010" i="7"/>
  <c r="AF8011" i="7"/>
  <c r="AF8012" i="7"/>
  <c r="AF8013" i="7"/>
  <c r="AF8014" i="7"/>
  <c r="AF8015" i="7"/>
  <c r="AF8016" i="7"/>
  <c r="AF8017" i="7"/>
  <c r="AF8018" i="7"/>
  <c r="AF8019" i="7"/>
  <c r="AF8020" i="7"/>
  <c r="AF8021" i="7"/>
  <c r="AF8022" i="7"/>
  <c r="AF8023" i="7"/>
  <c r="AF8024" i="7"/>
  <c r="AF8025" i="7"/>
  <c r="AF8026" i="7"/>
  <c r="AF8027" i="7"/>
  <c r="AF8028" i="7"/>
  <c r="AF8029" i="7"/>
  <c r="AF8030" i="7"/>
  <c r="AF8031" i="7"/>
  <c r="AF8032" i="7"/>
  <c r="AF8033" i="7"/>
  <c r="AF8034" i="7"/>
  <c r="AF8035" i="7"/>
  <c r="AF8036" i="7"/>
  <c r="AF8037" i="7"/>
  <c r="AF8038" i="7"/>
  <c r="AF8039" i="7"/>
  <c r="AF8040" i="7"/>
  <c r="AF8041" i="7"/>
  <c r="AF8042" i="7"/>
  <c r="AF8043" i="7"/>
  <c r="AF8044" i="7"/>
  <c r="AF8045" i="7"/>
  <c r="AF8046" i="7"/>
  <c r="AF8047" i="7"/>
  <c r="AF8048" i="7"/>
  <c r="AF8049" i="7"/>
  <c r="AF8050" i="7"/>
  <c r="AF8051" i="7"/>
  <c r="AF8052" i="7"/>
  <c r="AF8053" i="7"/>
  <c r="AF8054" i="7"/>
  <c r="AF8055" i="7"/>
  <c r="AF8056" i="7"/>
  <c r="AF8057" i="7"/>
  <c r="AF8058" i="7"/>
  <c r="AF8059" i="7"/>
  <c r="AF8060" i="7"/>
  <c r="AF8061" i="7"/>
  <c r="AF8062" i="7"/>
  <c r="AF8063" i="7"/>
  <c r="AF8064" i="7"/>
  <c r="AF8065" i="7"/>
  <c r="AF8066" i="7"/>
  <c r="AF8067" i="7"/>
  <c r="AF8068" i="7"/>
  <c r="AF8069" i="7"/>
  <c r="AF8070" i="7"/>
  <c r="AF8071" i="7"/>
  <c r="AF8072" i="7"/>
  <c r="AF8073" i="7"/>
  <c r="AF8074" i="7"/>
  <c r="AF8075" i="7"/>
  <c r="AF8076" i="7"/>
  <c r="AF8077" i="7"/>
  <c r="AF8078" i="7"/>
  <c r="AF8079" i="7"/>
  <c r="AF8080" i="7"/>
  <c r="AF8081" i="7"/>
  <c r="AF8082" i="7"/>
  <c r="AF8083" i="7"/>
  <c r="AF8084" i="7"/>
  <c r="AF8085" i="7"/>
  <c r="AF8086" i="7"/>
  <c r="AF8087" i="7"/>
  <c r="AF8088" i="7"/>
  <c r="AF8089" i="7"/>
  <c r="AF8090" i="7"/>
  <c r="AF8091" i="7"/>
  <c r="AF8092" i="7"/>
  <c r="AF8093" i="7"/>
  <c r="AF8094" i="7"/>
  <c r="AF8095" i="7"/>
  <c r="AF8096" i="7"/>
  <c r="AF8097" i="7"/>
  <c r="AF8098" i="7"/>
  <c r="AF8099" i="7"/>
  <c r="AF8100" i="7"/>
  <c r="AF8101" i="7"/>
  <c r="AF8102" i="7"/>
  <c r="AF8103" i="7"/>
  <c r="AF8104" i="7"/>
  <c r="AF8105" i="7"/>
  <c r="AF8106" i="7"/>
  <c r="AF8107" i="7"/>
  <c r="AF8108" i="7"/>
  <c r="AF8109" i="7"/>
  <c r="AF8110" i="7"/>
  <c r="AF8111" i="7"/>
  <c r="AF8112" i="7"/>
  <c r="AF8113" i="7"/>
  <c r="AF8114" i="7"/>
  <c r="AF8115" i="7"/>
  <c r="AF8116" i="7"/>
  <c r="AF8117" i="7"/>
  <c r="AF8118" i="7"/>
  <c r="AF8119" i="7"/>
  <c r="AF8120" i="7"/>
  <c r="AF8121" i="7"/>
  <c r="AF8122" i="7"/>
  <c r="AF8123" i="7"/>
  <c r="AF8124" i="7"/>
  <c r="AF8125" i="7"/>
  <c r="AF8126" i="7"/>
  <c r="AF8127" i="7"/>
  <c r="AF8128" i="7"/>
  <c r="AF8129" i="7"/>
  <c r="AF8130" i="7"/>
  <c r="AF8131" i="7"/>
  <c r="AF8132" i="7"/>
  <c r="AF8133" i="7"/>
  <c r="AF8134" i="7"/>
  <c r="AF8135" i="7"/>
  <c r="AF8136" i="7"/>
  <c r="AF8137" i="7"/>
  <c r="AF8138" i="7"/>
  <c r="AF8139" i="7"/>
  <c r="AF8140" i="7"/>
  <c r="AF8141" i="7"/>
  <c r="AF8142" i="7"/>
  <c r="AF8143" i="7"/>
  <c r="AF8144" i="7"/>
  <c r="AF8145" i="7"/>
  <c r="AF8146" i="7"/>
  <c r="AF8147" i="7"/>
  <c r="AF8148" i="7"/>
  <c r="AF8149" i="7"/>
  <c r="AF8150" i="7"/>
  <c r="AF8151" i="7"/>
  <c r="AF8152" i="7"/>
  <c r="AF8153" i="7"/>
  <c r="AF8154" i="7"/>
  <c r="AF8155" i="7"/>
  <c r="AF8156" i="7"/>
  <c r="AF8157" i="7"/>
  <c r="AF8158" i="7"/>
  <c r="AF8159" i="7"/>
  <c r="AF8160" i="7"/>
  <c r="AF8161" i="7"/>
  <c r="AF8162" i="7"/>
  <c r="AF8163" i="7"/>
  <c r="AF8164" i="7"/>
  <c r="AF8165" i="7"/>
  <c r="AF8166" i="7"/>
  <c r="AF8167" i="7"/>
  <c r="AF8168" i="7"/>
  <c r="AF8169" i="7"/>
  <c r="AF8170" i="7"/>
  <c r="AF8171" i="7"/>
  <c r="AF8172" i="7"/>
  <c r="AF8173" i="7"/>
  <c r="AF8174" i="7"/>
  <c r="AF8175" i="7"/>
  <c r="AF8176" i="7"/>
  <c r="AF8177" i="7"/>
  <c r="AF8178" i="7"/>
  <c r="AF8179" i="7"/>
  <c r="AF8180" i="7"/>
  <c r="AF8181" i="7"/>
  <c r="AF8182" i="7"/>
  <c r="AF8183" i="7"/>
  <c r="AF8184" i="7"/>
  <c r="AF8185" i="7"/>
  <c r="AF8186" i="7"/>
  <c r="AF8187" i="7"/>
  <c r="AF8188" i="7"/>
  <c r="AF8189" i="7"/>
  <c r="AF8190" i="7"/>
  <c r="AF8191" i="7"/>
  <c r="AF8192" i="7"/>
  <c r="AF8193" i="7"/>
  <c r="AF8194" i="7"/>
  <c r="AF8195" i="7"/>
  <c r="AF8196" i="7"/>
  <c r="AF8197" i="7"/>
  <c r="AF8198" i="7"/>
  <c r="AF8199" i="7"/>
  <c r="AF8200" i="7"/>
  <c r="AF8201" i="7"/>
  <c r="AF8202" i="7"/>
  <c r="AF8203" i="7"/>
  <c r="AF8204" i="7"/>
  <c r="AF8205" i="7"/>
  <c r="AF8206" i="7"/>
  <c r="AF8207" i="7"/>
  <c r="AF8208" i="7"/>
  <c r="AF8209" i="7"/>
  <c r="AF8210" i="7"/>
  <c r="AF8211" i="7"/>
  <c r="AF8212" i="7"/>
  <c r="AF8213" i="7"/>
  <c r="AF8214" i="7"/>
  <c r="AF8215" i="7"/>
  <c r="AF8216" i="7"/>
  <c r="AF8217" i="7"/>
  <c r="AF8218" i="7"/>
  <c r="AF8219" i="7"/>
  <c r="AF8220" i="7"/>
  <c r="AF8221" i="7"/>
  <c r="AF8222" i="7"/>
  <c r="AF8223" i="7"/>
  <c r="AF8224" i="7"/>
  <c r="AF8225" i="7"/>
  <c r="AF8226" i="7"/>
  <c r="AF8227" i="7"/>
  <c r="AF8228" i="7"/>
  <c r="AF8229" i="7"/>
  <c r="AF8230" i="7"/>
  <c r="AF8231" i="7"/>
  <c r="AF8232" i="7"/>
  <c r="AF8233" i="7"/>
  <c r="AF8234" i="7"/>
  <c r="AF8235" i="7"/>
  <c r="AF8236" i="7"/>
  <c r="AF8237" i="7"/>
  <c r="AF8238" i="7"/>
  <c r="AF8239" i="7"/>
  <c r="AF8240" i="7"/>
  <c r="AF8241" i="7"/>
  <c r="AF8242" i="7"/>
  <c r="AF8243" i="7"/>
  <c r="AF8244" i="7"/>
  <c r="AF8245" i="7"/>
  <c r="AF8246" i="7"/>
  <c r="AF8247" i="7"/>
  <c r="AF8248" i="7"/>
  <c r="AF8249" i="7"/>
  <c r="AF8250" i="7"/>
  <c r="AF8251" i="7"/>
  <c r="AF8252" i="7"/>
  <c r="AF8253" i="7"/>
  <c r="AF8254" i="7"/>
  <c r="AF8255" i="7"/>
  <c r="AF8256" i="7"/>
  <c r="AF8257" i="7"/>
  <c r="AF8258" i="7"/>
  <c r="AF8259" i="7"/>
  <c r="AF8260" i="7"/>
  <c r="AF8261" i="7"/>
  <c r="AF8262" i="7"/>
  <c r="AF8263" i="7"/>
  <c r="AF8264" i="7"/>
  <c r="AF8265" i="7"/>
  <c r="AF8266" i="7"/>
  <c r="AF8267" i="7"/>
  <c r="AF8268" i="7"/>
  <c r="AF8269" i="7"/>
  <c r="AF8270" i="7"/>
  <c r="AF8271" i="7"/>
  <c r="AF8272" i="7"/>
  <c r="AF8273" i="7"/>
  <c r="AF8274" i="7"/>
  <c r="AF8275" i="7"/>
  <c r="AF8276" i="7"/>
  <c r="AF8277" i="7"/>
  <c r="AF8278" i="7"/>
  <c r="AF8279" i="7"/>
  <c r="AF8280" i="7"/>
  <c r="AF8281" i="7"/>
  <c r="AF8282" i="7"/>
  <c r="AF8283" i="7"/>
  <c r="AF8284" i="7"/>
  <c r="AF8285" i="7"/>
  <c r="AF8286" i="7"/>
  <c r="AF8287" i="7"/>
  <c r="AF8288" i="7"/>
  <c r="AF8289" i="7"/>
  <c r="AF8290" i="7"/>
  <c r="AF8291" i="7"/>
  <c r="AF8292" i="7"/>
  <c r="AF8293" i="7"/>
  <c r="AF8294" i="7"/>
  <c r="AF8295" i="7"/>
  <c r="AF8296" i="7"/>
  <c r="AF8297" i="7"/>
  <c r="AF8298" i="7"/>
  <c r="AF8299" i="7"/>
  <c r="AF8300" i="7"/>
  <c r="AF8301" i="7"/>
  <c r="AF8302" i="7"/>
  <c r="AF8303" i="7"/>
  <c r="AF8304" i="7"/>
  <c r="AF8305" i="7"/>
  <c r="AF8306" i="7"/>
  <c r="AF8307" i="7"/>
  <c r="AF8308" i="7"/>
  <c r="AF8309" i="7"/>
  <c r="AF8310" i="7"/>
  <c r="AF8311" i="7"/>
  <c r="AF8312" i="7"/>
  <c r="AF8313" i="7"/>
  <c r="AF8314" i="7"/>
  <c r="AF8315" i="7"/>
  <c r="AF8316" i="7"/>
  <c r="AF8317" i="7"/>
  <c r="AF8318" i="7"/>
  <c r="AF8319" i="7"/>
  <c r="AF8320" i="7"/>
  <c r="AF8321" i="7"/>
  <c r="AF8322" i="7"/>
  <c r="AF8323" i="7"/>
  <c r="AF8324" i="7"/>
  <c r="AF8325" i="7"/>
  <c r="AF8326" i="7"/>
  <c r="AF8327" i="7"/>
  <c r="AF8328" i="7"/>
  <c r="AF8329" i="7"/>
  <c r="AF8330" i="7"/>
  <c r="AF8331" i="7"/>
  <c r="AF8332" i="7"/>
  <c r="AF8333" i="7"/>
  <c r="AF8334" i="7"/>
  <c r="AF8335" i="7"/>
  <c r="AF8336" i="7"/>
  <c r="AF8337" i="7"/>
  <c r="AF8338" i="7"/>
  <c r="AF8339" i="7"/>
  <c r="AF8340" i="7"/>
  <c r="AF8341" i="7"/>
  <c r="AF8342" i="7"/>
  <c r="AF8343" i="7"/>
  <c r="AF8344" i="7"/>
  <c r="AF8345" i="7"/>
  <c r="AF8346" i="7"/>
  <c r="AF8347" i="7"/>
  <c r="AF8348" i="7"/>
  <c r="AF8349" i="7"/>
  <c r="AF8350" i="7"/>
  <c r="AF8351" i="7"/>
  <c r="AF8352" i="7"/>
  <c r="AF8353" i="7"/>
  <c r="AF8354" i="7"/>
  <c r="AF8355" i="7"/>
  <c r="AF8356" i="7"/>
  <c r="AF8357" i="7"/>
  <c r="AF8358" i="7"/>
  <c r="AF8359" i="7"/>
  <c r="AF8360" i="7"/>
  <c r="AF8361" i="7"/>
  <c r="AF8362" i="7"/>
  <c r="AF8363" i="7"/>
  <c r="AF8364" i="7"/>
  <c r="AF8365" i="7"/>
  <c r="AF8366" i="7"/>
  <c r="AF8367" i="7"/>
  <c r="AF8368" i="7"/>
  <c r="AF8369" i="7"/>
  <c r="AF8370" i="7"/>
  <c r="AF8371" i="7"/>
  <c r="AF8372" i="7"/>
  <c r="AF8373" i="7"/>
  <c r="AF8374" i="7"/>
  <c r="AF8375" i="7"/>
  <c r="AF8376" i="7"/>
  <c r="AF8377" i="7"/>
  <c r="AF8378" i="7"/>
  <c r="AF8379" i="7"/>
  <c r="AF8380" i="7"/>
  <c r="AF8381" i="7"/>
  <c r="AF8382" i="7"/>
  <c r="AF8383" i="7"/>
  <c r="AF8384" i="7"/>
  <c r="AF8385" i="7"/>
  <c r="AF8386" i="7"/>
  <c r="AF8387" i="7"/>
  <c r="AF8388" i="7"/>
  <c r="AF8389" i="7"/>
  <c r="AF8390" i="7"/>
  <c r="AF8391" i="7"/>
  <c r="AF8392" i="7"/>
  <c r="AF8393" i="7"/>
  <c r="AF8394" i="7"/>
  <c r="AF8395" i="7"/>
  <c r="AF8396" i="7"/>
  <c r="AF8397" i="7"/>
  <c r="AF8398" i="7"/>
  <c r="AF8399" i="7"/>
  <c r="AF8400" i="7"/>
  <c r="AF8401" i="7"/>
  <c r="AF8402" i="7"/>
  <c r="AF8403" i="7"/>
  <c r="AF8404" i="7"/>
  <c r="AF8405" i="7"/>
  <c r="AF8406" i="7"/>
  <c r="AF8407" i="7"/>
  <c r="AF8408" i="7"/>
  <c r="AF8409" i="7"/>
  <c r="AF8410" i="7"/>
  <c r="AF8411" i="7"/>
  <c r="AF8412" i="7"/>
  <c r="AF8413" i="7"/>
  <c r="AF8414" i="7"/>
  <c r="AF8415" i="7"/>
  <c r="AF8416" i="7"/>
  <c r="AF8417" i="7"/>
  <c r="AF8418" i="7"/>
  <c r="AF8419" i="7"/>
  <c r="AF8420" i="7"/>
  <c r="AF8421" i="7"/>
  <c r="AF8422" i="7"/>
  <c r="AF8423" i="7"/>
  <c r="AF8424" i="7"/>
  <c r="AF8425" i="7"/>
  <c r="AF8426" i="7"/>
  <c r="AF8427" i="7"/>
  <c r="AF8428" i="7"/>
  <c r="AF8429" i="7"/>
  <c r="AF8430" i="7"/>
  <c r="AF8431" i="7"/>
  <c r="AF8432" i="7"/>
  <c r="AF8433" i="7"/>
  <c r="AF8434" i="7"/>
  <c r="AF8435" i="7"/>
  <c r="AF8436" i="7"/>
  <c r="AF8437" i="7"/>
  <c r="AF8438" i="7"/>
  <c r="AF8439" i="7"/>
  <c r="AF8440" i="7"/>
  <c r="AF8441" i="7"/>
  <c r="AF8442" i="7"/>
  <c r="AF8443" i="7"/>
  <c r="AF8444" i="7"/>
  <c r="AF8445" i="7"/>
  <c r="AF8446" i="7"/>
  <c r="AF8447" i="7"/>
  <c r="AF8448" i="7"/>
  <c r="AF8449" i="7"/>
  <c r="AF8450" i="7"/>
  <c r="AF8451" i="7"/>
  <c r="AF8452" i="7"/>
  <c r="AF8453" i="7"/>
  <c r="AF8454" i="7"/>
  <c r="AF8455" i="7"/>
  <c r="AF8456" i="7"/>
  <c r="AF8457" i="7"/>
  <c r="AF8458" i="7"/>
  <c r="AF8459" i="7"/>
  <c r="AF8460" i="7"/>
  <c r="AF8461" i="7"/>
  <c r="AF8462" i="7"/>
  <c r="AF8463" i="7"/>
  <c r="AF8464" i="7"/>
  <c r="AF8465" i="7"/>
  <c r="AF8466" i="7"/>
  <c r="AF8467" i="7"/>
  <c r="AF8468" i="7"/>
  <c r="AF8469" i="7"/>
  <c r="AF8470" i="7"/>
  <c r="AF8471" i="7"/>
  <c r="AF8472" i="7"/>
  <c r="AF8473" i="7"/>
  <c r="AF8474" i="7"/>
  <c r="AF8475" i="7"/>
  <c r="AF8476" i="7"/>
  <c r="AF8477" i="7"/>
  <c r="AF8478" i="7"/>
  <c r="AF8479" i="7"/>
  <c r="AF8480" i="7"/>
  <c r="AF8481" i="7"/>
  <c r="AF8482" i="7"/>
  <c r="AF8483" i="7"/>
  <c r="AF8484" i="7"/>
  <c r="AF8485" i="7"/>
  <c r="AF8486" i="7"/>
  <c r="AF8487" i="7"/>
  <c r="AF8488" i="7"/>
  <c r="AF8489" i="7"/>
  <c r="AF8490" i="7"/>
  <c r="AF8491" i="7"/>
  <c r="AF8492" i="7"/>
  <c r="AF8493" i="7"/>
  <c r="AF8494" i="7"/>
  <c r="AF8495" i="7"/>
  <c r="AF8496" i="7"/>
  <c r="AF8497" i="7"/>
  <c r="AF8498" i="7"/>
  <c r="AF8499" i="7"/>
  <c r="AF8500" i="7"/>
  <c r="AF8501" i="7"/>
  <c r="AF8502" i="7"/>
  <c r="AF8503" i="7"/>
  <c r="AF8504" i="7"/>
  <c r="AF8505" i="7"/>
  <c r="AF8506" i="7"/>
  <c r="AF8507" i="7"/>
  <c r="AF8508" i="7"/>
  <c r="AF8509" i="7"/>
  <c r="AF8510" i="7"/>
  <c r="AF8511" i="7"/>
  <c r="AF8512" i="7"/>
  <c r="AF8513" i="7"/>
  <c r="AF8514" i="7"/>
  <c r="AF8515" i="7"/>
  <c r="AF8516" i="7"/>
  <c r="AF8517" i="7"/>
  <c r="AF8518" i="7"/>
  <c r="AF8519" i="7"/>
  <c r="AF8520" i="7"/>
  <c r="AF8521" i="7"/>
  <c r="AF8522" i="7"/>
  <c r="AF8523" i="7"/>
  <c r="AF8524" i="7"/>
  <c r="AF8525" i="7"/>
  <c r="AF8526" i="7"/>
  <c r="AF8527" i="7"/>
  <c r="AF8528" i="7"/>
  <c r="AF8529" i="7"/>
  <c r="AF8530" i="7"/>
  <c r="AF8531" i="7"/>
  <c r="AF8532" i="7"/>
  <c r="AF8533" i="7"/>
  <c r="AF8534" i="7"/>
  <c r="AF8535" i="7"/>
  <c r="AF8536" i="7"/>
  <c r="AF8537" i="7"/>
  <c r="AF8538" i="7"/>
  <c r="AF8539" i="7"/>
  <c r="AF8540" i="7"/>
  <c r="AF8541" i="7"/>
  <c r="AF8542" i="7"/>
  <c r="AF8543" i="7"/>
  <c r="AF8544" i="7"/>
  <c r="AF8545" i="7"/>
  <c r="AF8546" i="7"/>
  <c r="AF8547" i="7"/>
  <c r="AF8548" i="7"/>
  <c r="AF8549" i="7"/>
  <c r="AF8550" i="7"/>
  <c r="AF8551" i="7"/>
  <c r="AF8552" i="7"/>
  <c r="AF8553" i="7"/>
  <c r="AF8554" i="7"/>
  <c r="AF8555" i="7"/>
  <c r="AF8556" i="7"/>
  <c r="AF8557" i="7"/>
  <c r="AF8558" i="7"/>
  <c r="AF8559" i="7"/>
  <c r="AF8560" i="7"/>
  <c r="AF8561" i="7"/>
  <c r="AF8562" i="7"/>
  <c r="AF8563" i="7"/>
  <c r="AF8564" i="7"/>
  <c r="AF8565" i="7"/>
  <c r="AF8566" i="7"/>
  <c r="AF8567" i="7"/>
  <c r="AF8568" i="7"/>
  <c r="AF8569" i="7"/>
  <c r="AF8570" i="7"/>
  <c r="AF8571" i="7"/>
  <c r="AF8572" i="7"/>
  <c r="AF8573" i="7"/>
  <c r="AF8574" i="7"/>
  <c r="AF8575" i="7"/>
  <c r="AF8576" i="7"/>
  <c r="AF8577" i="7"/>
  <c r="AF8578" i="7"/>
  <c r="AF8579" i="7"/>
  <c r="AF8580" i="7"/>
  <c r="AF8581" i="7"/>
  <c r="AF8582" i="7"/>
  <c r="AF8583" i="7"/>
  <c r="AF8584" i="7"/>
  <c r="AF8585" i="7"/>
  <c r="AF8586" i="7"/>
  <c r="AF8587" i="7"/>
  <c r="AF8588" i="7"/>
  <c r="AF8589" i="7"/>
  <c r="AF8590" i="7"/>
  <c r="AF8591" i="7"/>
  <c r="AF8592" i="7"/>
  <c r="AF8593" i="7"/>
  <c r="AF8594" i="7"/>
  <c r="AF8595" i="7"/>
  <c r="AF8596" i="7"/>
  <c r="AF8597" i="7"/>
  <c r="AF8598" i="7"/>
  <c r="AF8599" i="7"/>
  <c r="AF8600" i="7"/>
  <c r="AF8601" i="7"/>
  <c r="AF8602" i="7"/>
  <c r="AF8603" i="7"/>
  <c r="AF8604" i="7"/>
  <c r="AF8605" i="7"/>
  <c r="AF8606" i="7"/>
  <c r="AF8607" i="7"/>
  <c r="AF8608" i="7"/>
  <c r="AF8609" i="7"/>
  <c r="AF8610" i="7"/>
  <c r="AF8611" i="7"/>
  <c r="AF8612" i="7"/>
  <c r="AF8613" i="7"/>
  <c r="AF8614" i="7"/>
  <c r="AF8615" i="7"/>
  <c r="AF8616" i="7"/>
  <c r="AF8617" i="7"/>
  <c r="AF8618" i="7"/>
  <c r="AF8619" i="7"/>
  <c r="AF8620" i="7"/>
  <c r="AF8621" i="7"/>
  <c r="AF8622" i="7"/>
  <c r="AF8623" i="7"/>
  <c r="AF8624" i="7"/>
  <c r="AF8625" i="7"/>
  <c r="AF8626" i="7"/>
  <c r="AF8627" i="7"/>
  <c r="AF8628" i="7"/>
  <c r="AF8629" i="7"/>
  <c r="AF8630" i="7"/>
  <c r="AF8631" i="7"/>
  <c r="AF8632" i="7"/>
  <c r="AF8633" i="7"/>
  <c r="AF8634" i="7"/>
  <c r="AF8635" i="7"/>
  <c r="AF8636" i="7"/>
  <c r="AF8637" i="7"/>
  <c r="AF8638" i="7"/>
  <c r="AF8639" i="7"/>
  <c r="AF8640" i="7"/>
  <c r="AF8641" i="7"/>
  <c r="AF8642" i="7"/>
  <c r="AF8643" i="7"/>
  <c r="AF8644" i="7"/>
  <c r="AF8645" i="7"/>
  <c r="AF8646" i="7"/>
  <c r="AF8647" i="7"/>
  <c r="AF8648" i="7"/>
  <c r="AF8649" i="7"/>
  <c r="AF8650" i="7"/>
  <c r="AF8651" i="7"/>
  <c r="AF8652" i="7"/>
  <c r="AF8653" i="7"/>
  <c r="AF8654" i="7"/>
  <c r="AF8655" i="7"/>
  <c r="AF8656" i="7"/>
  <c r="AF8657" i="7"/>
  <c r="AF8658" i="7"/>
  <c r="AF8659" i="7"/>
  <c r="AF8660" i="7"/>
  <c r="AF8661" i="7"/>
  <c r="AF8662" i="7"/>
  <c r="AF8663" i="7"/>
  <c r="AF8664" i="7"/>
  <c r="AF8665" i="7"/>
  <c r="AF8666" i="7"/>
  <c r="AF8667" i="7"/>
  <c r="AF8668" i="7"/>
  <c r="AF8669" i="7"/>
  <c r="AF8670" i="7"/>
  <c r="AF8671" i="7"/>
  <c r="AF8672" i="7"/>
  <c r="AF8673" i="7"/>
  <c r="AF8674" i="7"/>
  <c r="AF8675" i="7"/>
  <c r="AF8676" i="7"/>
  <c r="AF8677" i="7"/>
  <c r="AF8678" i="7"/>
  <c r="AF8679" i="7"/>
  <c r="AF8680" i="7"/>
  <c r="AF8681" i="7"/>
  <c r="AF8682" i="7"/>
  <c r="AF8683" i="7"/>
  <c r="AF8684" i="7"/>
  <c r="AF8685" i="7"/>
  <c r="AF8686" i="7"/>
  <c r="AF8687" i="7"/>
  <c r="AF8688" i="7"/>
  <c r="AF8689" i="7"/>
  <c r="AF8690" i="7"/>
  <c r="AF8691" i="7"/>
  <c r="AF8692" i="7"/>
  <c r="AF8693" i="7"/>
  <c r="AF8694" i="7"/>
  <c r="AF8695" i="7"/>
  <c r="AF8696" i="7"/>
  <c r="AF8697" i="7"/>
  <c r="AF8698" i="7"/>
  <c r="AF8699" i="7"/>
  <c r="AF8700" i="7"/>
  <c r="AF8701" i="7"/>
  <c r="AF8702" i="7"/>
  <c r="AF8703" i="7"/>
  <c r="AF8704" i="7"/>
  <c r="AF8705" i="7"/>
  <c r="AF8706" i="7"/>
  <c r="AF8707" i="7"/>
  <c r="AF8708" i="7"/>
  <c r="AF8709" i="7"/>
  <c r="AF8710" i="7"/>
  <c r="AF8711" i="7"/>
  <c r="AF8712" i="7"/>
  <c r="AF8713" i="7"/>
  <c r="AF8714" i="7"/>
  <c r="AF8715" i="7"/>
  <c r="AF8716" i="7"/>
  <c r="AF8717" i="7"/>
  <c r="AF8718" i="7"/>
  <c r="AF8719" i="7"/>
  <c r="AF8720" i="7"/>
  <c r="AF8721" i="7"/>
  <c r="AF8722" i="7"/>
  <c r="AF8723" i="7"/>
  <c r="AF8724" i="7"/>
  <c r="AF8725" i="7"/>
  <c r="AF8726" i="7"/>
  <c r="AF8727" i="7"/>
  <c r="AF8728" i="7"/>
  <c r="AF8729" i="7"/>
  <c r="AF8730" i="7"/>
  <c r="AF8731" i="7"/>
  <c r="AF8732" i="7"/>
  <c r="AF8733" i="7"/>
  <c r="AF8734" i="7"/>
  <c r="AF8735" i="7"/>
  <c r="AF8736" i="7"/>
  <c r="AF8737" i="7"/>
  <c r="AF8738" i="7"/>
  <c r="AF8739" i="7"/>
  <c r="AF8740" i="7"/>
  <c r="AF8741" i="7"/>
  <c r="AF8742" i="7"/>
  <c r="AF8743" i="7"/>
  <c r="AF8744" i="7"/>
  <c r="AF8745" i="7"/>
  <c r="AF8746" i="7"/>
  <c r="AF8747" i="7"/>
  <c r="AF8748" i="7"/>
  <c r="AF8749" i="7"/>
  <c r="AF8750" i="7"/>
  <c r="AF8751" i="7"/>
  <c r="AF8752" i="7"/>
  <c r="AF8753" i="7"/>
  <c r="AF8754" i="7"/>
  <c r="AF8755" i="7"/>
  <c r="AF8756" i="7"/>
  <c r="AF8757" i="7"/>
  <c r="AF8758" i="7"/>
  <c r="AF8759" i="7"/>
  <c r="AF8760" i="7"/>
  <c r="AF8761" i="7"/>
  <c r="AF8762" i="7"/>
  <c r="AF8763" i="7"/>
  <c r="AF8764" i="7"/>
  <c r="AF8765" i="7"/>
  <c r="AF8766" i="7"/>
  <c r="AF8767" i="7"/>
  <c r="AF8768" i="7"/>
  <c r="AF8769" i="7"/>
  <c r="AF8770" i="7"/>
  <c r="AF8771" i="7"/>
  <c r="AF8772" i="7"/>
  <c r="AF8773" i="7"/>
  <c r="AF8774" i="7"/>
  <c r="AF8775" i="7"/>
  <c r="AF8776" i="7"/>
  <c r="AF8777" i="7"/>
  <c r="AF8778" i="7"/>
  <c r="AF8779" i="7"/>
  <c r="AF8780" i="7"/>
  <c r="AF8781" i="7"/>
  <c r="AF8782" i="7"/>
  <c r="AF8783" i="7"/>
  <c r="AF8784" i="7"/>
  <c r="AF8785" i="7"/>
  <c r="AF8786" i="7"/>
  <c r="AF8787" i="7"/>
  <c r="AF8788" i="7"/>
  <c r="AF8789" i="7"/>
  <c r="AF8790" i="7"/>
  <c r="AF8791" i="7"/>
  <c r="AF8792" i="7"/>
  <c r="AF8793" i="7"/>
  <c r="AF8794" i="7"/>
  <c r="AF8795" i="7"/>
  <c r="AF8796" i="7"/>
  <c r="AF8797" i="7"/>
  <c r="AF8798" i="7"/>
  <c r="AF8799" i="7"/>
  <c r="AF8800" i="7"/>
  <c r="AF8801" i="7"/>
  <c r="AF8802" i="7"/>
  <c r="AF8803" i="7"/>
  <c r="AF8804" i="7"/>
  <c r="AF8805" i="7"/>
  <c r="AF8806" i="7"/>
  <c r="AF8807" i="7"/>
  <c r="AF8808" i="7"/>
  <c r="AF8809" i="7"/>
  <c r="AF8810" i="7"/>
  <c r="AF8811" i="7"/>
  <c r="AF8812" i="7"/>
  <c r="AF8813" i="7"/>
  <c r="AF8814" i="7"/>
  <c r="AF8815" i="7"/>
  <c r="AF8816" i="7"/>
  <c r="AF8817" i="7"/>
  <c r="AF8818" i="7"/>
  <c r="AF8819" i="7"/>
  <c r="AF8820" i="7"/>
  <c r="AF8821" i="7"/>
  <c r="AF8822" i="7"/>
  <c r="AF8823" i="7"/>
  <c r="AF8824" i="7"/>
  <c r="AF8825" i="7"/>
  <c r="AF8826" i="7"/>
  <c r="AF8827" i="7"/>
  <c r="AF8828" i="7"/>
  <c r="AF8829" i="7"/>
  <c r="AF8830" i="7"/>
  <c r="AF8831" i="7"/>
  <c r="AF8832" i="7"/>
  <c r="AF8833" i="7"/>
  <c r="AF8834" i="7"/>
  <c r="AF8835" i="7"/>
  <c r="AF8836" i="7"/>
  <c r="AF8837" i="7"/>
  <c r="AF8838" i="7"/>
  <c r="AF8839" i="7"/>
  <c r="AF8840" i="7"/>
  <c r="AF8841" i="7"/>
  <c r="AF8842" i="7"/>
  <c r="AF8843" i="7"/>
  <c r="AF8844" i="7"/>
  <c r="AF8845" i="7"/>
  <c r="AF8846" i="7"/>
  <c r="AF8847" i="7"/>
  <c r="AF8848" i="7"/>
  <c r="AF8849" i="7"/>
  <c r="AF8850" i="7"/>
  <c r="AF8851" i="7"/>
  <c r="AF8852" i="7"/>
  <c r="AF8853" i="7"/>
  <c r="AF8854" i="7"/>
  <c r="AF8855" i="7"/>
  <c r="AF8856" i="7"/>
  <c r="AF8857" i="7"/>
  <c r="AF8858" i="7"/>
  <c r="AF8859" i="7"/>
  <c r="AF8860" i="7"/>
  <c r="AF8861" i="7"/>
  <c r="AF8862" i="7"/>
  <c r="AF8863" i="7"/>
  <c r="AF8864" i="7"/>
  <c r="AF8865" i="7"/>
  <c r="AF8866" i="7"/>
  <c r="AF8867" i="7"/>
  <c r="AF8868" i="7"/>
  <c r="AF8869" i="7"/>
  <c r="AF8870" i="7"/>
  <c r="AF8871" i="7"/>
  <c r="AF8872" i="7"/>
  <c r="AF8873" i="7"/>
  <c r="AF8874" i="7"/>
  <c r="AF8875" i="7"/>
  <c r="AF8876" i="7"/>
  <c r="AF8877" i="7"/>
  <c r="AF8878" i="7"/>
  <c r="AF8879" i="7"/>
  <c r="AF8880" i="7"/>
  <c r="AF8881" i="7"/>
  <c r="AF8882" i="7"/>
  <c r="AF8883" i="7"/>
  <c r="AF8884" i="7"/>
  <c r="AF8885" i="7"/>
  <c r="AF8886" i="7"/>
  <c r="AF8887" i="7"/>
  <c r="AF8888" i="7"/>
  <c r="AF8889" i="7"/>
  <c r="AF8890" i="7"/>
  <c r="AF8891" i="7"/>
  <c r="AF8892" i="7"/>
  <c r="AF8893" i="7"/>
  <c r="AF8894" i="7"/>
  <c r="AF8895" i="7"/>
  <c r="AF8896" i="7"/>
  <c r="AF8897" i="7"/>
  <c r="AF8898" i="7"/>
  <c r="AF8899" i="7"/>
  <c r="AF8900" i="7"/>
  <c r="AF8901" i="7"/>
  <c r="AF8902" i="7"/>
  <c r="AF8903" i="7"/>
  <c r="AF8904" i="7"/>
  <c r="AF8905" i="7"/>
  <c r="AF8906" i="7"/>
  <c r="AF8907" i="7"/>
  <c r="AF8908" i="7"/>
  <c r="AF8909" i="7"/>
  <c r="AF8910" i="7"/>
  <c r="AF8911" i="7"/>
  <c r="AF8912" i="7"/>
  <c r="AF8913" i="7"/>
  <c r="AF8914" i="7"/>
  <c r="AF8915" i="7"/>
  <c r="AF8916" i="7"/>
  <c r="AF8917" i="7"/>
  <c r="AF8918" i="7"/>
  <c r="AF8919" i="7"/>
  <c r="AF8920" i="7"/>
  <c r="AF8921" i="7"/>
  <c r="AF8922" i="7"/>
  <c r="AF8923" i="7"/>
  <c r="AF8924" i="7"/>
  <c r="AF8925" i="7"/>
  <c r="AF8926" i="7"/>
  <c r="AF8927" i="7"/>
  <c r="AF8928" i="7"/>
  <c r="AF8929" i="7"/>
  <c r="AF8930" i="7"/>
  <c r="AF8931" i="7"/>
  <c r="AF8932" i="7"/>
  <c r="AF8933" i="7"/>
  <c r="AF8934" i="7"/>
  <c r="AF8935" i="7"/>
  <c r="AF8936" i="7"/>
  <c r="AF8937" i="7"/>
  <c r="AF8938" i="7"/>
  <c r="AF8939" i="7"/>
  <c r="AF8940" i="7"/>
  <c r="AF8941" i="7"/>
  <c r="AF8942" i="7"/>
  <c r="AF8943" i="7"/>
  <c r="AF8944" i="7"/>
  <c r="AF8945" i="7"/>
  <c r="AF8946" i="7"/>
  <c r="AF8947" i="7"/>
  <c r="AF8948" i="7"/>
  <c r="AF8949" i="7"/>
  <c r="AF8950" i="7"/>
  <c r="AF8951" i="7"/>
  <c r="AF8952" i="7"/>
  <c r="AF8953" i="7"/>
  <c r="AF8954" i="7"/>
  <c r="AF8955" i="7"/>
  <c r="AF8956" i="7"/>
  <c r="AF8957" i="7"/>
  <c r="AF8958" i="7"/>
  <c r="AF8959" i="7"/>
  <c r="AF8960" i="7"/>
  <c r="AF8961" i="7"/>
  <c r="AF8962" i="7"/>
  <c r="AF8963" i="7"/>
  <c r="AF8964" i="7"/>
  <c r="AF8965" i="7"/>
  <c r="AF8966" i="7"/>
  <c r="AF8967" i="7"/>
  <c r="AF8968" i="7"/>
  <c r="AF8969" i="7"/>
  <c r="AF8970" i="7"/>
  <c r="AF8971" i="7"/>
  <c r="AF8972" i="7"/>
  <c r="AF8973" i="7"/>
  <c r="AF8974" i="7"/>
  <c r="AF8975" i="7"/>
  <c r="AF8976" i="7"/>
  <c r="AF8977" i="7"/>
  <c r="AF8978" i="7"/>
  <c r="AF8979" i="7"/>
  <c r="AF8980" i="7"/>
  <c r="AF8981" i="7"/>
  <c r="AF8982" i="7"/>
  <c r="AF8983" i="7"/>
  <c r="AF8984" i="7"/>
  <c r="AF8985" i="7"/>
  <c r="AF8986" i="7"/>
  <c r="AF8987" i="7"/>
  <c r="AF8988" i="7"/>
  <c r="AF8989" i="7"/>
  <c r="AF8990" i="7"/>
  <c r="AF8991" i="7"/>
  <c r="AF8992" i="7"/>
  <c r="AF8993" i="7"/>
  <c r="AF8994" i="7"/>
  <c r="AF8995" i="7"/>
  <c r="AF8996" i="7"/>
  <c r="AF8997" i="7"/>
  <c r="AF8998" i="7"/>
  <c r="AF8999" i="7"/>
  <c r="AF9000" i="7"/>
  <c r="AF9001" i="7"/>
  <c r="AF9002" i="7"/>
  <c r="AF9003" i="7"/>
  <c r="AF9004" i="7"/>
  <c r="AF9005" i="7"/>
  <c r="AF9006" i="7"/>
  <c r="AF9007" i="7"/>
  <c r="AF9008" i="7"/>
  <c r="AF9009" i="7"/>
  <c r="AF9010" i="7"/>
  <c r="AF9011" i="7"/>
  <c r="AF9012" i="7"/>
  <c r="AF9013" i="7"/>
  <c r="AF9014" i="7"/>
  <c r="AF9015" i="7"/>
  <c r="AF9016" i="7"/>
  <c r="AF9017" i="7"/>
  <c r="AF9018" i="7"/>
  <c r="AF9019" i="7"/>
  <c r="AF9020" i="7"/>
  <c r="AF9021" i="7"/>
  <c r="AF9022" i="7"/>
  <c r="AF9023" i="7"/>
  <c r="AF9024" i="7"/>
  <c r="AF9025" i="7"/>
  <c r="AF9026" i="7"/>
  <c r="AF9027" i="7"/>
  <c r="AF9028" i="7"/>
  <c r="AF9029" i="7"/>
  <c r="AF9030" i="7"/>
  <c r="AF9031" i="7"/>
  <c r="AF9032" i="7"/>
  <c r="AF9033" i="7"/>
  <c r="AF9034" i="7"/>
  <c r="AF9035" i="7"/>
  <c r="AF9036" i="7"/>
  <c r="AF9037" i="7"/>
  <c r="AF9038" i="7"/>
  <c r="AF9039" i="7"/>
  <c r="AF9040" i="7"/>
  <c r="AF9041" i="7"/>
  <c r="AF9042" i="7"/>
  <c r="AF9043" i="7"/>
  <c r="AF9044" i="7"/>
  <c r="AF9045" i="7"/>
  <c r="AF9046" i="7"/>
  <c r="AF9047" i="7"/>
  <c r="AF9048" i="7"/>
  <c r="AF9049" i="7"/>
  <c r="AF9050" i="7"/>
  <c r="AF9051" i="7"/>
  <c r="AF9052" i="7"/>
  <c r="AF9053" i="7"/>
  <c r="AF9054" i="7"/>
  <c r="AF9055" i="7"/>
  <c r="AF9056" i="7"/>
  <c r="AF9057" i="7"/>
  <c r="AF9058" i="7"/>
  <c r="AF9059" i="7"/>
  <c r="AF9060" i="7"/>
  <c r="AF9061" i="7"/>
  <c r="AF9062" i="7"/>
  <c r="AF9063" i="7"/>
  <c r="AF9064" i="7"/>
  <c r="AF9065" i="7"/>
  <c r="AF9066" i="7"/>
  <c r="AF9067" i="7"/>
  <c r="AF9068" i="7"/>
  <c r="AF9069" i="7"/>
  <c r="AF9070" i="7"/>
  <c r="AF9071" i="7"/>
  <c r="AF9072" i="7"/>
  <c r="AF9073" i="7"/>
  <c r="AF9074" i="7"/>
  <c r="AF9075" i="7"/>
  <c r="AF9076" i="7"/>
  <c r="AF9077" i="7"/>
  <c r="AF9078" i="7"/>
  <c r="AF9079" i="7"/>
  <c r="AF9080" i="7"/>
  <c r="AF9081" i="7"/>
  <c r="AF9082" i="7"/>
  <c r="AF9083" i="7"/>
  <c r="AF9084" i="7"/>
  <c r="AF9085" i="7"/>
  <c r="AF9086" i="7"/>
  <c r="AF9087" i="7"/>
  <c r="AF9088" i="7"/>
  <c r="AF9089" i="7"/>
  <c r="AF9090" i="7"/>
  <c r="AF9091" i="7"/>
  <c r="AF9092" i="7"/>
  <c r="AF9093" i="7"/>
  <c r="AF9094" i="7"/>
  <c r="AF9095" i="7"/>
  <c r="AF9096" i="7"/>
  <c r="AF9097" i="7"/>
  <c r="AF9098" i="7"/>
  <c r="AF9099" i="7"/>
  <c r="AF9100" i="7"/>
  <c r="AF9101" i="7"/>
  <c r="AF9102" i="7"/>
  <c r="AF9103" i="7"/>
  <c r="AF9104" i="7"/>
  <c r="AF9105" i="7"/>
  <c r="AF9106" i="7"/>
  <c r="AF9107" i="7"/>
  <c r="AF9108" i="7"/>
  <c r="AF9109" i="7"/>
  <c r="AF9110" i="7"/>
  <c r="AF9111" i="7"/>
  <c r="AF9112" i="7"/>
  <c r="AF9113" i="7"/>
  <c r="AF9114" i="7"/>
  <c r="AF9115" i="7"/>
  <c r="AF9116" i="7"/>
  <c r="AF9117" i="7"/>
  <c r="AF9118" i="7"/>
  <c r="AF9119" i="7"/>
  <c r="AF9120" i="7"/>
  <c r="AF9121" i="7"/>
  <c r="AF9122" i="7"/>
  <c r="AF9123" i="7"/>
  <c r="AF9124" i="7"/>
  <c r="AF9125" i="7"/>
  <c r="AF9126" i="7"/>
  <c r="AF9127" i="7"/>
  <c r="AF9128" i="7"/>
  <c r="AF9129" i="7"/>
  <c r="AF9130" i="7"/>
  <c r="AF9131" i="7"/>
  <c r="AF9132" i="7"/>
  <c r="AF9133" i="7"/>
  <c r="AF9134" i="7"/>
  <c r="AF9135" i="7"/>
  <c r="AF9136" i="7"/>
  <c r="AF9137" i="7"/>
  <c r="AF9138" i="7"/>
  <c r="AF9139" i="7"/>
  <c r="AF9140" i="7"/>
  <c r="AF9141" i="7"/>
  <c r="AF9142" i="7"/>
  <c r="AF9143" i="7"/>
  <c r="AF9144" i="7"/>
  <c r="AF9145" i="7"/>
  <c r="AF9146" i="7"/>
  <c r="AF9147" i="7"/>
  <c r="AF9148" i="7"/>
  <c r="AF9149" i="7"/>
  <c r="AF9150" i="7"/>
  <c r="AF9151" i="7"/>
  <c r="AF9152" i="7"/>
  <c r="AF9153" i="7"/>
  <c r="AF9154" i="7"/>
  <c r="AF9155" i="7"/>
  <c r="AF9156" i="7"/>
  <c r="AF9157" i="7"/>
  <c r="AF9158" i="7"/>
  <c r="AF9159" i="7"/>
  <c r="AF9160" i="7"/>
  <c r="AF9161" i="7"/>
  <c r="AF9162" i="7"/>
  <c r="AF9163" i="7"/>
  <c r="AF9164" i="7"/>
  <c r="AF9165" i="7"/>
  <c r="AF9166" i="7"/>
  <c r="AF9167" i="7"/>
  <c r="AF9168" i="7"/>
  <c r="AF9169" i="7"/>
  <c r="AF9170" i="7"/>
  <c r="AF9171" i="7"/>
  <c r="AF9172" i="7"/>
  <c r="AF9173" i="7"/>
  <c r="AF9174" i="7"/>
  <c r="AF9175" i="7"/>
  <c r="AF9176" i="7"/>
  <c r="AF9177" i="7"/>
  <c r="AF9178" i="7"/>
  <c r="AF9179" i="7"/>
  <c r="AF9180" i="7"/>
  <c r="AF9181" i="7"/>
  <c r="AF9182" i="7"/>
  <c r="AF9183" i="7"/>
  <c r="AF9184" i="7"/>
  <c r="AF9185" i="7"/>
  <c r="AF9186" i="7"/>
  <c r="AF9187" i="7"/>
  <c r="AF9188" i="7"/>
  <c r="AF9189" i="7"/>
  <c r="AF9190" i="7"/>
  <c r="AF9191" i="7"/>
  <c r="AF9192" i="7"/>
  <c r="AF9193" i="7"/>
  <c r="AF9194" i="7"/>
  <c r="AF9195" i="7"/>
  <c r="AF9196" i="7"/>
  <c r="AF9197" i="7"/>
  <c r="AF9198" i="7"/>
  <c r="AF9199" i="7"/>
  <c r="AF9200" i="7"/>
  <c r="AF9201" i="7"/>
  <c r="AF9202" i="7"/>
  <c r="AF9203" i="7"/>
  <c r="AF9204" i="7"/>
  <c r="AF9205" i="7"/>
  <c r="AF9206" i="7"/>
  <c r="AF9207" i="7"/>
  <c r="AF9208" i="7"/>
  <c r="AF9209" i="7"/>
  <c r="AF9210" i="7"/>
  <c r="AF9211" i="7"/>
  <c r="AF9212" i="7"/>
  <c r="AF9213" i="7"/>
  <c r="AF9214" i="7"/>
  <c r="AF9215" i="7"/>
  <c r="AF9216" i="7"/>
  <c r="AF9217" i="7"/>
  <c r="AF9218" i="7"/>
  <c r="AF9219" i="7"/>
  <c r="AF9220" i="7"/>
  <c r="AF9221" i="7"/>
  <c r="AF9222" i="7"/>
  <c r="AF9223" i="7"/>
  <c r="AF9224" i="7"/>
  <c r="AF9225" i="7"/>
  <c r="AF9226" i="7"/>
  <c r="AF9227" i="7"/>
  <c r="AF9228" i="7"/>
  <c r="AF9229" i="7"/>
  <c r="AF9230" i="7"/>
  <c r="AF9231" i="7"/>
  <c r="AF9232" i="7"/>
  <c r="AF9233" i="7"/>
  <c r="AF9234" i="7"/>
  <c r="AF9235" i="7"/>
  <c r="AF9236" i="7"/>
  <c r="AF9237" i="7"/>
  <c r="AF9238" i="7"/>
  <c r="AF9239" i="7"/>
  <c r="AF9240" i="7"/>
  <c r="AF9241" i="7"/>
  <c r="AF9242" i="7"/>
  <c r="AF9243" i="7"/>
  <c r="AF9244" i="7"/>
  <c r="AF9245" i="7"/>
  <c r="AF9246" i="7"/>
  <c r="AF9247" i="7"/>
  <c r="AF9248" i="7"/>
  <c r="AF9249" i="7"/>
  <c r="AF9250" i="7"/>
  <c r="AF9251" i="7"/>
  <c r="AF9252" i="7"/>
  <c r="AF9253" i="7"/>
  <c r="AF9254" i="7"/>
  <c r="AF9255" i="7"/>
  <c r="AF9256" i="7"/>
  <c r="AF9257" i="7"/>
  <c r="AF9258" i="7"/>
  <c r="AF9259" i="7"/>
  <c r="AF9260" i="7"/>
  <c r="AF9261" i="7"/>
  <c r="AF9262" i="7"/>
  <c r="AF9263" i="7"/>
  <c r="AF9264" i="7"/>
  <c r="AF9265" i="7"/>
  <c r="AF9266" i="7"/>
  <c r="AF9267" i="7"/>
  <c r="AF9268" i="7"/>
  <c r="AF9269" i="7"/>
  <c r="AF9270" i="7"/>
  <c r="AF9271" i="7"/>
  <c r="AF9272" i="7"/>
  <c r="AF9273" i="7"/>
  <c r="AF9274" i="7"/>
  <c r="AF9275" i="7"/>
  <c r="AF9276" i="7"/>
  <c r="AF9277" i="7"/>
  <c r="AF9278" i="7"/>
  <c r="AF9279" i="7"/>
  <c r="AF9280" i="7"/>
  <c r="AF9281" i="7"/>
  <c r="AF9282" i="7"/>
  <c r="AF9283" i="7"/>
  <c r="AF9284" i="7"/>
  <c r="AF9285" i="7"/>
  <c r="AF9286" i="7"/>
  <c r="AF9287" i="7"/>
  <c r="AF9288" i="7"/>
  <c r="AF9289" i="7"/>
  <c r="AF9290" i="7"/>
  <c r="AF9291" i="7"/>
  <c r="AF9292" i="7"/>
  <c r="AF9293" i="7"/>
  <c r="AF9294" i="7"/>
  <c r="AF9295" i="7"/>
  <c r="AF9296" i="7"/>
  <c r="AF9297" i="7"/>
  <c r="AF9298" i="7"/>
  <c r="AF9299" i="7"/>
  <c r="AF9300" i="7"/>
  <c r="AF9301" i="7"/>
  <c r="AF9302" i="7"/>
  <c r="AF9303" i="7"/>
  <c r="AF9304" i="7"/>
  <c r="AF9305" i="7"/>
  <c r="AF9306" i="7"/>
  <c r="AF9307" i="7"/>
  <c r="AF9308" i="7"/>
  <c r="AF9309" i="7"/>
  <c r="AF9310" i="7"/>
  <c r="AF9311" i="7"/>
  <c r="AF9312" i="7"/>
  <c r="AF9313" i="7"/>
  <c r="AF9314" i="7"/>
  <c r="AF9315" i="7"/>
  <c r="AF9316" i="7"/>
  <c r="AF9317" i="7"/>
  <c r="AF9318" i="7"/>
  <c r="AF9319" i="7"/>
  <c r="AF9320" i="7"/>
  <c r="AF9321" i="7"/>
  <c r="AF9322" i="7"/>
  <c r="AF9323" i="7"/>
  <c r="AF9324" i="7"/>
  <c r="AF9325" i="7"/>
  <c r="AF9326" i="7"/>
  <c r="AF9327" i="7"/>
  <c r="AF9328" i="7"/>
  <c r="AF9329" i="7"/>
  <c r="AF9330" i="7"/>
  <c r="AF9331" i="7"/>
  <c r="AF9332" i="7"/>
  <c r="AF9333" i="7"/>
  <c r="AF9334" i="7"/>
  <c r="AF9335" i="7"/>
  <c r="AF9336" i="7"/>
  <c r="AF9337" i="7"/>
  <c r="AF9338" i="7"/>
  <c r="AF9339" i="7"/>
  <c r="AF9340" i="7"/>
  <c r="AF9341" i="7"/>
  <c r="AF9342" i="7"/>
  <c r="AF9343" i="7"/>
  <c r="AF9344" i="7"/>
  <c r="AF9345" i="7"/>
  <c r="AF9346" i="7"/>
  <c r="AF9347" i="7"/>
  <c r="AF9348" i="7"/>
  <c r="AF9349" i="7"/>
  <c r="AF9350" i="7"/>
  <c r="AF9351" i="7"/>
  <c r="AF9352" i="7"/>
  <c r="AF9353" i="7"/>
  <c r="AF9354" i="7"/>
  <c r="AF9355" i="7"/>
  <c r="AF9356" i="7"/>
  <c r="AF9357" i="7"/>
  <c r="AF9358" i="7"/>
  <c r="AF9359" i="7"/>
  <c r="AF9360" i="7"/>
  <c r="AF9361" i="7"/>
  <c r="AF9362" i="7"/>
  <c r="AF9363" i="7"/>
  <c r="AF9364" i="7"/>
  <c r="AF9365" i="7"/>
  <c r="AF9366" i="7"/>
  <c r="AF9367" i="7"/>
  <c r="AF9368" i="7"/>
  <c r="AF9369" i="7"/>
  <c r="AF9370" i="7"/>
  <c r="AF9371" i="7"/>
  <c r="AF9372" i="7"/>
  <c r="AF9373" i="7"/>
  <c r="AF9374" i="7"/>
  <c r="AF9375" i="7"/>
  <c r="AF9376" i="7"/>
  <c r="AF9377" i="7"/>
  <c r="AF9378" i="7"/>
  <c r="AF9379" i="7"/>
  <c r="AF9380" i="7"/>
  <c r="AF9381" i="7"/>
  <c r="AF9382" i="7"/>
  <c r="AF9383" i="7"/>
  <c r="AF9384" i="7"/>
  <c r="AF9385" i="7"/>
  <c r="AF9386" i="7"/>
  <c r="AF9387" i="7"/>
  <c r="AF9388" i="7"/>
  <c r="AF9389" i="7"/>
  <c r="AF9390" i="7"/>
  <c r="AF9391" i="7"/>
  <c r="AF9392" i="7"/>
  <c r="AF9393" i="7"/>
  <c r="AF9394" i="7"/>
  <c r="AF9395" i="7"/>
  <c r="AF9396" i="7"/>
  <c r="AF9397" i="7"/>
  <c r="AF9398" i="7"/>
  <c r="AF9399" i="7"/>
  <c r="AF9400" i="7"/>
  <c r="AF9401" i="7"/>
  <c r="AF9402" i="7"/>
  <c r="AF9403" i="7"/>
  <c r="AF9404" i="7"/>
  <c r="AF9405" i="7"/>
  <c r="AF9406" i="7"/>
  <c r="AF9407" i="7"/>
  <c r="AF9408" i="7"/>
  <c r="AF9409" i="7"/>
  <c r="AF9410" i="7"/>
  <c r="AF9411" i="7"/>
  <c r="AF9412" i="7"/>
  <c r="AF9413" i="7"/>
  <c r="AF9414" i="7"/>
  <c r="AF9415" i="7"/>
  <c r="AF9416" i="7"/>
  <c r="AF9417" i="7"/>
  <c r="AF9418" i="7"/>
  <c r="AF9419" i="7"/>
  <c r="AF9420" i="7"/>
  <c r="AF9421" i="7"/>
  <c r="AF9422" i="7"/>
  <c r="AF9423" i="7"/>
  <c r="AF9424" i="7"/>
  <c r="AF9425" i="7"/>
  <c r="AF9426" i="7"/>
  <c r="AF9427" i="7"/>
  <c r="AF9428" i="7"/>
  <c r="AF9429" i="7"/>
  <c r="AF9430" i="7"/>
  <c r="AF9431" i="7"/>
  <c r="AF9432" i="7"/>
  <c r="AF9433" i="7"/>
  <c r="AF9434" i="7"/>
  <c r="AF9435" i="7"/>
  <c r="AF9436" i="7"/>
  <c r="AF9437" i="7"/>
  <c r="AF9438" i="7"/>
  <c r="AF9439" i="7"/>
  <c r="AF9440" i="7"/>
  <c r="AF9441" i="7"/>
  <c r="AF9442" i="7"/>
  <c r="AF9443" i="7"/>
  <c r="AF9444" i="7"/>
  <c r="AF9445" i="7"/>
  <c r="AF9446" i="7"/>
  <c r="AF9447" i="7"/>
  <c r="AF9448" i="7"/>
  <c r="AF9449" i="7"/>
  <c r="AF9450" i="7"/>
  <c r="AF9451" i="7"/>
  <c r="AF9452" i="7"/>
  <c r="AF9453" i="7"/>
  <c r="AF9454" i="7"/>
  <c r="AF9455" i="7"/>
  <c r="AF9456" i="7"/>
  <c r="AF9457" i="7"/>
  <c r="AF9458" i="7"/>
  <c r="AF9459" i="7"/>
  <c r="AF9460" i="7"/>
  <c r="AF9461" i="7"/>
  <c r="AF9462" i="7"/>
  <c r="AF9463" i="7"/>
  <c r="AF9464" i="7"/>
  <c r="AF9465" i="7"/>
  <c r="AF9466" i="7"/>
  <c r="AF9467" i="7"/>
  <c r="AF9468" i="7"/>
  <c r="AF9469" i="7"/>
  <c r="AF9470" i="7"/>
  <c r="AF9471" i="7"/>
  <c r="AF9472" i="7"/>
  <c r="AF9473" i="7"/>
  <c r="AF9474" i="7"/>
  <c r="AF9475" i="7"/>
  <c r="AF9476" i="7"/>
  <c r="AF9477" i="7"/>
  <c r="AF9478" i="7"/>
  <c r="AF9479" i="7"/>
  <c r="AF9480" i="7"/>
  <c r="AF9481" i="7"/>
  <c r="AF9482" i="7"/>
  <c r="AF9483" i="7"/>
  <c r="AF9484" i="7"/>
  <c r="AF9485" i="7"/>
  <c r="AF9486" i="7"/>
  <c r="AF9487" i="7"/>
  <c r="AF9488" i="7"/>
  <c r="AF9489" i="7"/>
  <c r="AF9490" i="7"/>
  <c r="AF9491" i="7"/>
  <c r="AF9492" i="7"/>
  <c r="AF9493" i="7"/>
  <c r="AF9494" i="7"/>
  <c r="AF9495" i="7"/>
  <c r="AF9496" i="7"/>
  <c r="AF9497" i="7"/>
  <c r="AF9498" i="7"/>
  <c r="AF9499" i="7"/>
  <c r="AF9500" i="7"/>
  <c r="AF9501" i="7"/>
  <c r="AF9502" i="7"/>
  <c r="AF9503" i="7"/>
  <c r="AF9504" i="7"/>
  <c r="AF9505" i="7"/>
  <c r="AF9506" i="7"/>
  <c r="AF9507" i="7"/>
  <c r="AF9508" i="7"/>
  <c r="AF9509" i="7"/>
  <c r="AF9510" i="7"/>
  <c r="AF9511" i="7"/>
  <c r="AF9512" i="7"/>
  <c r="AF9513" i="7"/>
  <c r="AF9514" i="7"/>
  <c r="AF9515" i="7"/>
  <c r="AF9516" i="7"/>
  <c r="AF9517" i="7"/>
  <c r="AF9518" i="7"/>
  <c r="AF9519" i="7"/>
  <c r="AF9520" i="7"/>
  <c r="AF9521" i="7"/>
  <c r="AF9522" i="7"/>
  <c r="AF9523" i="7"/>
  <c r="AF9524" i="7"/>
  <c r="AF9525" i="7"/>
  <c r="AF9526" i="7"/>
  <c r="AF9527" i="7"/>
  <c r="AF9528" i="7"/>
  <c r="AF9529" i="7"/>
  <c r="AF9530" i="7"/>
  <c r="AF9531" i="7"/>
  <c r="AF9532" i="7"/>
  <c r="AF9533" i="7"/>
  <c r="AF9534" i="7"/>
  <c r="AF9535" i="7"/>
  <c r="AF9536" i="7"/>
  <c r="AF9537" i="7"/>
  <c r="AF9538" i="7"/>
  <c r="AF9539" i="7"/>
  <c r="AF9540" i="7"/>
  <c r="AF9541" i="7"/>
  <c r="AF9542" i="7"/>
  <c r="AF9543" i="7"/>
  <c r="AF9544" i="7"/>
  <c r="AF9545" i="7"/>
  <c r="AF9546" i="7"/>
  <c r="AF9547" i="7"/>
  <c r="AF9548" i="7"/>
  <c r="AF9549" i="7"/>
  <c r="AF9550" i="7"/>
  <c r="AF9551" i="7"/>
  <c r="AF9552" i="7"/>
  <c r="AF9553" i="7"/>
  <c r="AF9554" i="7"/>
  <c r="AF9555" i="7"/>
  <c r="AF9556" i="7"/>
  <c r="AF9557" i="7"/>
  <c r="AF9558" i="7"/>
  <c r="AF9559" i="7"/>
  <c r="AF9560" i="7"/>
  <c r="AF9561" i="7"/>
  <c r="AF9562" i="7"/>
  <c r="AF9563" i="7"/>
  <c r="AF9564" i="7"/>
  <c r="AF9565" i="7"/>
  <c r="AF9566" i="7"/>
  <c r="AF9567" i="7"/>
  <c r="AF9568" i="7"/>
  <c r="AF9569" i="7"/>
  <c r="AF9570" i="7"/>
  <c r="AF9571" i="7"/>
  <c r="AF9572" i="7"/>
  <c r="AF9573" i="7"/>
  <c r="AF9574" i="7"/>
  <c r="AF9575" i="7"/>
  <c r="AF9576" i="7"/>
  <c r="AF9577" i="7"/>
  <c r="AF9578" i="7"/>
  <c r="AF9579" i="7"/>
  <c r="AF9580" i="7"/>
  <c r="AF9581" i="7"/>
  <c r="AF9582" i="7"/>
  <c r="AF9583" i="7"/>
  <c r="AF9584" i="7"/>
  <c r="AF9585" i="7"/>
  <c r="AF9586" i="7"/>
  <c r="AF9587" i="7"/>
  <c r="AF9588" i="7"/>
  <c r="AF9589" i="7"/>
  <c r="AF9590" i="7"/>
  <c r="AF9591" i="7"/>
  <c r="AF9592" i="7"/>
  <c r="AF9593" i="7"/>
  <c r="AF9594" i="7"/>
  <c r="AF9595" i="7"/>
  <c r="AF9596" i="7"/>
  <c r="AF9597" i="7"/>
  <c r="AF9598" i="7"/>
  <c r="AF9599" i="7"/>
  <c r="AF9600" i="7"/>
  <c r="AF9601" i="7"/>
  <c r="AF9602" i="7"/>
  <c r="AF9603" i="7"/>
  <c r="AF9604" i="7"/>
  <c r="AF9605" i="7"/>
  <c r="AF9606" i="7"/>
  <c r="AF9607" i="7"/>
  <c r="AF9608" i="7"/>
  <c r="AF9609" i="7"/>
  <c r="AF9610" i="7"/>
  <c r="AF9611" i="7"/>
  <c r="AF9612" i="7"/>
  <c r="AF9613" i="7"/>
  <c r="AF9614" i="7"/>
  <c r="AF9615" i="7"/>
  <c r="AF9616" i="7"/>
  <c r="AF9617" i="7"/>
  <c r="AF9618" i="7"/>
  <c r="AF9619" i="7"/>
  <c r="AF9620" i="7"/>
  <c r="AF9621" i="7"/>
  <c r="AF9622" i="7"/>
  <c r="AF9623" i="7"/>
  <c r="AF9624" i="7"/>
  <c r="AF9625" i="7"/>
  <c r="AF9626" i="7"/>
  <c r="AF9627" i="7"/>
  <c r="AF9628" i="7"/>
  <c r="AF9629" i="7"/>
  <c r="AF9630" i="7"/>
  <c r="AF9631" i="7"/>
  <c r="AF9632" i="7"/>
  <c r="AF9633" i="7"/>
  <c r="AF9634" i="7"/>
  <c r="AF9635" i="7"/>
  <c r="AF9636" i="7"/>
  <c r="AF9637" i="7"/>
  <c r="AF9638" i="7"/>
  <c r="AF9639" i="7"/>
  <c r="AF9640" i="7"/>
  <c r="AF9641" i="7"/>
  <c r="AF9642" i="7"/>
  <c r="AF9643" i="7"/>
  <c r="AF9644" i="7"/>
  <c r="AF9645" i="7"/>
  <c r="AF9646" i="7"/>
  <c r="AF9647" i="7"/>
  <c r="AF9648" i="7"/>
  <c r="AF9649" i="7"/>
  <c r="AF9650" i="7"/>
  <c r="AF9651" i="7"/>
  <c r="AF9652" i="7"/>
  <c r="AF9653" i="7"/>
  <c r="AF9654" i="7"/>
  <c r="AF9655" i="7"/>
  <c r="AF9656" i="7"/>
  <c r="AF9657" i="7"/>
  <c r="AF9658" i="7"/>
  <c r="AF9659" i="7"/>
  <c r="AF9660" i="7"/>
  <c r="AF9661" i="7"/>
  <c r="AF9662" i="7"/>
  <c r="AF9663" i="7"/>
  <c r="AF9664" i="7"/>
  <c r="AF9665" i="7"/>
  <c r="AF9666" i="7"/>
  <c r="AF9667" i="7"/>
  <c r="AF9668" i="7"/>
  <c r="AF9669" i="7"/>
  <c r="AF9670" i="7"/>
  <c r="AF9671" i="7"/>
  <c r="AF9672" i="7"/>
  <c r="AF9673" i="7"/>
  <c r="AF9674" i="7"/>
  <c r="AF9675" i="7"/>
  <c r="AF9676" i="7"/>
  <c r="AF9677" i="7"/>
  <c r="AF9678" i="7"/>
  <c r="AF9679" i="7"/>
  <c r="AF9680" i="7"/>
  <c r="AF9681" i="7"/>
  <c r="AF9682" i="7"/>
  <c r="AF9683" i="7"/>
  <c r="AF9684" i="7"/>
  <c r="AF9685" i="7"/>
  <c r="AF9686" i="7"/>
  <c r="AF9687" i="7"/>
  <c r="AF9688" i="7"/>
  <c r="AF9689" i="7"/>
  <c r="AF9690" i="7"/>
  <c r="AF9691" i="7"/>
  <c r="AF9692" i="7"/>
  <c r="AF9693" i="7"/>
  <c r="AF9694" i="7"/>
  <c r="AF9695" i="7"/>
  <c r="AF9696" i="7"/>
  <c r="AF9697" i="7"/>
  <c r="AF9698" i="7"/>
  <c r="AF9699" i="7"/>
  <c r="AF9700" i="7"/>
  <c r="AF9701" i="7"/>
  <c r="AF9702" i="7"/>
  <c r="AF9703" i="7"/>
  <c r="AF9704" i="7"/>
  <c r="AF9705" i="7"/>
  <c r="AF9706" i="7"/>
  <c r="AF9707" i="7"/>
  <c r="AF9708" i="7"/>
  <c r="AF9709" i="7"/>
  <c r="AF9710" i="7"/>
  <c r="AF9711" i="7"/>
  <c r="AF9712" i="7"/>
  <c r="AF9713" i="7"/>
  <c r="AF9714" i="7"/>
  <c r="AF9715" i="7"/>
  <c r="AF9716" i="7"/>
  <c r="AF9717" i="7"/>
  <c r="AF9718" i="7"/>
  <c r="AF9719" i="7"/>
  <c r="AF9720" i="7"/>
  <c r="AF9721" i="7"/>
  <c r="AF9722" i="7"/>
  <c r="AF9723" i="7"/>
  <c r="AF9724" i="7"/>
  <c r="AF9725" i="7"/>
  <c r="AF9726" i="7"/>
  <c r="AF9727" i="7"/>
  <c r="AF9728" i="7"/>
  <c r="AF9729" i="7"/>
  <c r="AF9730" i="7"/>
  <c r="AF9731" i="7"/>
  <c r="AF9732" i="7"/>
  <c r="AF9733" i="7"/>
  <c r="AF9734" i="7"/>
  <c r="AF9735" i="7"/>
  <c r="AF9736" i="7"/>
  <c r="AF9737" i="7"/>
  <c r="AF9738" i="7"/>
  <c r="AF9739" i="7"/>
  <c r="AF9740" i="7"/>
  <c r="AF9741" i="7"/>
  <c r="AF9742" i="7"/>
  <c r="AF9743" i="7"/>
  <c r="AF9744" i="7"/>
  <c r="AF9745" i="7"/>
  <c r="AF9746" i="7"/>
  <c r="AF9747" i="7"/>
  <c r="AF9748" i="7"/>
  <c r="AF9749" i="7"/>
  <c r="AF9750" i="7"/>
  <c r="AF9751" i="7"/>
  <c r="AF9752" i="7"/>
  <c r="AF9753" i="7"/>
  <c r="AF9754" i="7"/>
  <c r="AF9755" i="7"/>
  <c r="AF9756" i="7"/>
  <c r="AF9757" i="7"/>
  <c r="AF9758" i="7"/>
  <c r="AF9759" i="7"/>
  <c r="AF9760" i="7"/>
  <c r="AF9761" i="7"/>
  <c r="AF9762" i="7"/>
  <c r="AF9763" i="7"/>
  <c r="AF9764" i="7"/>
  <c r="AF9765" i="7"/>
  <c r="AF9766" i="7"/>
  <c r="AF9767" i="7"/>
  <c r="AF9768" i="7"/>
  <c r="AF9769" i="7"/>
  <c r="AF9770" i="7"/>
  <c r="AF9771" i="7"/>
  <c r="AF9772" i="7"/>
  <c r="AF9773" i="7"/>
  <c r="AF9774" i="7"/>
  <c r="AF9775" i="7"/>
  <c r="AF9776" i="7"/>
  <c r="AF9777" i="7"/>
  <c r="AF9778" i="7"/>
  <c r="AF9779" i="7"/>
  <c r="AF9780" i="7"/>
  <c r="AF9781" i="7"/>
  <c r="AF9782" i="7"/>
  <c r="AF9783" i="7"/>
  <c r="AF9784" i="7"/>
  <c r="AF9785" i="7"/>
  <c r="AF9786" i="7"/>
  <c r="AF9787" i="7"/>
  <c r="AF9788" i="7"/>
  <c r="AF9789" i="7"/>
  <c r="AF9790" i="7"/>
  <c r="AF9791" i="7"/>
  <c r="AF9792" i="7"/>
  <c r="AF9793" i="7"/>
  <c r="AF9794" i="7"/>
  <c r="AF9795" i="7"/>
  <c r="AF9796" i="7"/>
  <c r="AF9797" i="7"/>
  <c r="AF9798" i="7"/>
  <c r="AF9799" i="7"/>
  <c r="AF9800" i="7"/>
  <c r="AF9801" i="7"/>
  <c r="AF9802" i="7"/>
  <c r="AF9803" i="7"/>
  <c r="AF9804" i="7"/>
  <c r="AF9805" i="7"/>
  <c r="AF9806" i="7"/>
  <c r="AF9807" i="7"/>
  <c r="AF9808" i="7"/>
  <c r="AF9809" i="7"/>
  <c r="AF9810" i="7"/>
  <c r="AF9811" i="7"/>
  <c r="AF9812" i="7"/>
  <c r="AF9813" i="7"/>
  <c r="AF9814" i="7"/>
  <c r="AF9815" i="7"/>
  <c r="AF9816" i="7"/>
  <c r="AF9817" i="7"/>
  <c r="AF9818" i="7"/>
  <c r="AF9819" i="7"/>
  <c r="AF9820" i="7"/>
  <c r="AF9821" i="7"/>
  <c r="AF9822" i="7"/>
  <c r="AF9823" i="7"/>
  <c r="AF9824" i="7"/>
  <c r="AF9825" i="7"/>
  <c r="AF9826" i="7"/>
  <c r="AF9827" i="7"/>
  <c r="AF9828" i="7"/>
  <c r="AF9829" i="7"/>
  <c r="AF9830" i="7"/>
  <c r="AF9831" i="7"/>
  <c r="AF9832" i="7"/>
  <c r="AF9833" i="7"/>
  <c r="AF9834" i="7"/>
  <c r="AF9835" i="7"/>
  <c r="AF9836" i="7"/>
  <c r="AF9837" i="7"/>
  <c r="AF9838" i="7"/>
  <c r="AF9839" i="7"/>
  <c r="AF9840" i="7"/>
  <c r="AF9841" i="7"/>
  <c r="AF9842" i="7"/>
  <c r="AF9843" i="7"/>
  <c r="AF9844" i="7"/>
  <c r="AF9845" i="7"/>
  <c r="AF9846" i="7"/>
  <c r="AF9847" i="7"/>
  <c r="AF9848" i="7"/>
  <c r="AF9849" i="7"/>
  <c r="AF9850" i="7"/>
  <c r="AF9851" i="7"/>
  <c r="AF9852" i="7"/>
  <c r="AF9853" i="7"/>
  <c r="AF9854" i="7"/>
  <c r="AF9855" i="7"/>
  <c r="AF9856" i="7"/>
  <c r="AF9857" i="7"/>
  <c r="AF9858" i="7"/>
  <c r="AF9859" i="7"/>
  <c r="AF9860" i="7"/>
  <c r="AF9861" i="7"/>
  <c r="AF9862" i="7"/>
  <c r="AF9863" i="7"/>
  <c r="AF9864" i="7"/>
  <c r="AF9865" i="7"/>
  <c r="AF9866" i="7"/>
  <c r="AF9867" i="7"/>
  <c r="AF9868" i="7"/>
  <c r="AF9869" i="7"/>
  <c r="AF9870" i="7"/>
  <c r="AF9871" i="7"/>
  <c r="AF9872" i="7"/>
  <c r="AF9873" i="7"/>
  <c r="AF9874" i="7"/>
  <c r="AF9875" i="7"/>
  <c r="AF9876" i="7"/>
  <c r="AF9877" i="7"/>
  <c r="AF9878" i="7"/>
  <c r="AF9879" i="7"/>
  <c r="AF9880" i="7"/>
  <c r="AF9881" i="7"/>
  <c r="AF9882" i="7"/>
  <c r="AF9883" i="7"/>
  <c r="AF9884" i="7"/>
  <c r="AF9885" i="7"/>
  <c r="AF9886" i="7"/>
  <c r="AF9887" i="7"/>
  <c r="AF9888" i="7"/>
  <c r="AF9889" i="7"/>
  <c r="AF9890" i="7"/>
  <c r="AF9891" i="7"/>
  <c r="AF9892" i="7"/>
  <c r="AF9893" i="7"/>
  <c r="AF9894" i="7"/>
  <c r="AF9895" i="7"/>
  <c r="AF9896" i="7"/>
  <c r="AF9897" i="7"/>
  <c r="AF9898" i="7"/>
  <c r="AF9899" i="7"/>
  <c r="AF9900" i="7"/>
  <c r="AF9901" i="7"/>
  <c r="AF9902" i="7"/>
  <c r="AF9903" i="7"/>
  <c r="AF9904" i="7"/>
  <c r="AF9905" i="7"/>
  <c r="AF9906" i="7"/>
  <c r="AF9907" i="7"/>
  <c r="AF9908" i="7"/>
  <c r="AF9909" i="7"/>
  <c r="AF9910" i="7"/>
  <c r="AF9911" i="7"/>
  <c r="AF9912" i="7"/>
  <c r="AF9913" i="7"/>
  <c r="AF9914" i="7"/>
  <c r="AF9915" i="7"/>
  <c r="AF9916" i="7"/>
  <c r="AF9917" i="7"/>
  <c r="AF9918" i="7"/>
  <c r="AF9919" i="7"/>
  <c r="AF9920" i="7"/>
  <c r="AF9921" i="7"/>
  <c r="AF9922" i="7"/>
  <c r="AF9923" i="7"/>
  <c r="AF9924" i="7"/>
  <c r="AF9925" i="7"/>
  <c r="AF9926" i="7"/>
  <c r="AF9927" i="7"/>
  <c r="AF9928" i="7"/>
  <c r="AF9929" i="7"/>
  <c r="AF9930" i="7"/>
  <c r="AF9931" i="7"/>
  <c r="AF9932" i="7"/>
  <c r="AF9933" i="7"/>
  <c r="AF9934" i="7"/>
  <c r="AF9935" i="7"/>
  <c r="AF9936" i="7"/>
  <c r="AF9937" i="7"/>
  <c r="AF9938" i="7"/>
  <c r="AF9939" i="7"/>
  <c r="AF9940" i="7"/>
  <c r="AF9941" i="7"/>
  <c r="AF9942" i="7"/>
  <c r="AF9943" i="7"/>
  <c r="AF9944" i="7"/>
  <c r="AF9945" i="7"/>
  <c r="AF9946" i="7"/>
  <c r="AF9947" i="7"/>
  <c r="AF9948" i="7"/>
  <c r="AF9949" i="7"/>
  <c r="AF9950" i="7"/>
  <c r="AF9951" i="7"/>
  <c r="AF9952" i="7"/>
  <c r="AF9953" i="7"/>
  <c r="AF9954" i="7"/>
  <c r="AF9955" i="7"/>
  <c r="AF9956" i="7"/>
  <c r="AF9957" i="7"/>
  <c r="AF9958" i="7"/>
  <c r="AF9959" i="7"/>
  <c r="AF9960" i="7"/>
  <c r="AF9961" i="7"/>
  <c r="AF9962" i="7"/>
  <c r="AF9963" i="7"/>
  <c r="AF9964" i="7"/>
  <c r="AF9965" i="7"/>
  <c r="AF9966" i="7"/>
  <c r="AF9967" i="7"/>
  <c r="AF9968" i="7"/>
  <c r="AF9969" i="7"/>
  <c r="AF9970" i="7"/>
  <c r="AF9971" i="7"/>
  <c r="AF9972" i="7"/>
  <c r="AF9973" i="7"/>
  <c r="AF9974" i="7"/>
  <c r="AF9975" i="7"/>
  <c r="AF9976" i="7"/>
  <c r="AF9977" i="7"/>
  <c r="AF9978" i="7"/>
  <c r="AF9979" i="7"/>
  <c r="AF9980" i="7"/>
  <c r="AF9981" i="7"/>
  <c r="AF9982" i="7"/>
  <c r="AF9983" i="7"/>
  <c r="AF9984" i="7"/>
  <c r="AF9985" i="7"/>
  <c r="AF9986" i="7"/>
  <c r="AF9987" i="7"/>
  <c r="AF9988" i="7"/>
  <c r="AF9989" i="7"/>
  <c r="AF9990" i="7"/>
  <c r="AF9991" i="7"/>
  <c r="AF9992" i="7"/>
  <c r="AF9993" i="7"/>
  <c r="AF9994" i="7"/>
  <c r="AF9995" i="7"/>
  <c r="AF9996" i="7"/>
  <c r="AF9997" i="7"/>
  <c r="AF9998" i="7"/>
  <c r="AF9999" i="7"/>
  <c r="AF10000" i="7"/>
  <c r="AF10001" i="7"/>
  <c r="AF10002" i="7"/>
  <c r="AF10003" i="7"/>
  <c r="AF10004" i="7"/>
  <c r="AF10005" i="7"/>
  <c r="AF10006" i="7"/>
  <c r="AF10007" i="7"/>
  <c r="AF10008" i="7"/>
  <c r="AF10009" i="7"/>
  <c r="AF10010" i="7"/>
  <c r="AF10011" i="7"/>
  <c r="AF10012" i="7"/>
  <c r="AF10013" i="7"/>
  <c r="AF10014" i="7"/>
  <c r="AF10015" i="7"/>
  <c r="AF10016" i="7"/>
  <c r="AF10017" i="7"/>
  <c r="AF10018" i="7"/>
  <c r="AF10019" i="7"/>
  <c r="AF10020" i="7"/>
  <c r="AF10021" i="7"/>
  <c r="AF10022" i="7"/>
  <c r="AF10023" i="7"/>
  <c r="AF10024" i="7"/>
  <c r="AF10025" i="7"/>
  <c r="AF10026" i="7"/>
  <c r="AF10027" i="7"/>
  <c r="AF10028" i="7"/>
  <c r="AF10029" i="7"/>
  <c r="AF10030" i="7"/>
  <c r="AF10031" i="7"/>
  <c r="AF10032" i="7"/>
  <c r="AF10033" i="7"/>
  <c r="AF10034" i="7"/>
  <c r="AF10035" i="7"/>
  <c r="AF10036" i="7"/>
  <c r="AF10037" i="7"/>
  <c r="AF10038" i="7"/>
  <c r="AF10039" i="7"/>
  <c r="AF10040" i="7"/>
  <c r="AF10041" i="7"/>
  <c r="AF10042" i="7"/>
  <c r="AF10043" i="7"/>
  <c r="AF10044" i="7"/>
  <c r="AF10045" i="7"/>
  <c r="AF10046" i="7"/>
  <c r="AF10047" i="7"/>
  <c r="AF10048" i="7"/>
  <c r="AF10049" i="7"/>
  <c r="AF10050" i="7"/>
  <c r="AF10051" i="7"/>
  <c r="AF10052" i="7"/>
  <c r="AF10053" i="7"/>
  <c r="AF10054" i="7"/>
  <c r="AF10055" i="7"/>
  <c r="AF10056" i="7"/>
  <c r="AF10057" i="7"/>
  <c r="AF10058" i="7"/>
  <c r="AF10059" i="7"/>
  <c r="AF10060" i="7"/>
  <c r="AF10061" i="7"/>
  <c r="AF10062" i="7"/>
  <c r="AF10063" i="7"/>
  <c r="AF10064" i="7"/>
  <c r="AF10065" i="7"/>
  <c r="AF10066" i="7"/>
  <c r="AF10067" i="7"/>
  <c r="AF10068" i="7"/>
  <c r="AF10069" i="7"/>
  <c r="AF10070" i="7"/>
  <c r="AF10071" i="7"/>
  <c r="AF10072" i="7"/>
  <c r="AF10073" i="7"/>
  <c r="AF10074" i="7"/>
  <c r="AF10075" i="7"/>
  <c r="AF10076" i="7"/>
  <c r="AF10077" i="7"/>
  <c r="AF10078" i="7"/>
  <c r="AF10079" i="7"/>
  <c r="AF10080" i="7"/>
  <c r="AF10081" i="7"/>
  <c r="AF10082" i="7"/>
  <c r="AF10083" i="7"/>
  <c r="AF10084" i="7"/>
  <c r="AF10085" i="7"/>
  <c r="AF10086" i="7"/>
  <c r="AF10087" i="7"/>
  <c r="AF10088" i="7"/>
  <c r="AF10089" i="7"/>
  <c r="AF10090" i="7"/>
  <c r="AF10091" i="7"/>
  <c r="AF10092" i="7"/>
  <c r="AF10093" i="7"/>
  <c r="AF10094" i="7"/>
  <c r="AF10095" i="7"/>
  <c r="AF10096" i="7"/>
  <c r="AF10097" i="7"/>
  <c r="AF10098" i="7"/>
  <c r="AF10099" i="7"/>
  <c r="AF10100" i="7"/>
  <c r="AF10101" i="7"/>
  <c r="AF10102" i="7"/>
  <c r="AF10103" i="7"/>
  <c r="AF10104" i="7"/>
  <c r="AF10105" i="7"/>
  <c r="AF10106" i="7"/>
  <c r="AF10107" i="7"/>
  <c r="AF10108" i="7"/>
  <c r="AF10109" i="7"/>
  <c r="AF10110" i="7"/>
  <c r="AF10111" i="7"/>
  <c r="AF10112" i="7"/>
  <c r="AF10113" i="7"/>
  <c r="AF10114" i="7"/>
  <c r="AF10115" i="7"/>
  <c r="AF10116" i="7"/>
  <c r="AF10117" i="7"/>
  <c r="AF10118" i="7"/>
  <c r="AF10119" i="7"/>
  <c r="AF10120" i="7"/>
  <c r="AF10121" i="7"/>
  <c r="AF10122" i="7"/>
  <c r="AF10123" i="7"/>
  <c r="AF10124" i="7"/>
  <c r="AF10125" i="7"/>
  <c r="AF10126" i="7"/>
  <c r="AF10127" i="7"/>
  <c r="AF10128" i="7"/>
  <c r="AF10129" i="7"/>
  <c r="AF10130" i="7"/>
  <c r="AF10131" i="7"/>
  <c r="AF10132" i="7"/>
  <c r="AF10133" i="7"/>
  <c r="AF10134" i="7"/>
  <c r="AF10135" i="7"/>
  <c r="AF10136" i="7"/>
  <c r="AF10137" i="7"/>
  <c r="AF10138" i="7"/>
  <c r="AF10139" i="7"/>
  <c r="AF10140" i="7"/>
  <c r="AF10141" i="7"/>
  <c r="AF10142" i="7"/>
  <c r="AF10143" i="7"/>
  <c r="AF10144" i="7"/>
  <c r="AF10145" i="7"/>
  <c r="AF10146" i="7"/>
  <c r="AF10147" i="7"/>
  <c r="AF10148" i="7"/>
  <c r="AF10149" i="7"/>
  <c r="AF10150" i="7"/>
  <c r="AF10151" i="7"/>
  <c r="AF10152" i="7"/>
  <c r="AF10153" i="7"/>
  <c r="AF10154" i="7"/>
  <c r="AF10155" i="7"/>
  <c r="AF10156" i="7"/>
  <c r="AF10157" i="7"/>
  <c r="AF10158" i="7"/>
  <c r="AF10159" i="7"/>
  <c r="AF10160" i="7"/>
  <c r="AF10161" i="7"/>
  <c r="AF10162" i="7"/>
  <c r="AF10163" i="7"/>
  <c r="AF10164" i="7"/>
  <c r="AF10165" i="7"/>
  <c r="AF10166" i="7"/>
  <c r="AF10167" i="7"/>
  <c r="AF10168" i="7"/>
  <c r="AF10169" i="7"/>
  <c r="AF10170" i="7"/>
  <c r="AF10171" i="7"/>
  <c r="AF10172" i="7"/>
  <c r="AF10173" i="7"/>
  <c r="AF10174" i="7"/>
  <c r="AF10175" i="7"/>
  <c r="AF10176" i="7"/>
  <c r="AF10177" i="7"/>
  <c r="AF10178" i="7"/>
  <c r="AF10179" i="7"/>
  <c r="AF10180" i="7"/>
  <c r="AF10181" i="7"/>
  <c r="AF10182" i="7"/>
  <c r="AF10183" i="7"/>
  <c r="AF10184" i="7"/>
  <c r="AF10185" i="7"/>
  <c r="AF10186" i="7"/>
  <c r="AF10187" i="7"/>
  <c r="AF10188" i="7"/>
  <c r="AF10189" i="7"/>
  <c r="AF10190" i="7"/>
  <c r="AF10191" i="7"/>
  <c r="AF10192" i="7"/>
  <c r="AF10193" i="7"/>
  <c r="AF10194" i="7"/>
  <c r="AF10195" i="7"/>
  <c r="AF10196" i="7"/>
  <c r="AF10197" i="7"/>
  <c r="AF10198" i="7"/>
  <c r="AF10199" i="7"/>
  <c r="AF10200" i="7"/>
  <c r="AF10201" i="7"/>
  <c r="AF10202" i="7"/>
  <c r="AF10203" i="7"/>
  <c r="AF10204" i="7"/>
  <c r="AF10205" i="7"/>
  <c r="AF10206" i="7"/>
  <c r="AF10207" i="7"/>
  <c r="AF10208" i="7"/>
  <c r="AF10209" i="7"/>
  <c r="AF10210" i="7"/>
  <c r="AF10211" i="7"/>
  <c r="AF10212" i="7"/>
  <c r="AF10213" i="7"/>
  <c r="AF10214" i="7"/>
  <c r="AF10215" i="7"/>
  <c r="AF10216" i="7"/>
  <c r="AF10217" i="7"/>
  <c r="AF10218" i="7"/>
  <c r="AF10219" i="7"/>
  <c r="AF10220" i="7"/>
  <c r="AF10221" i="7"/>
  <c r="AF10222" i="7"/>
  <c r="AF10223" i="7"/>
  <c r="AF10224" i="7"/>
  <c r="AF10225" i="7"/>
  <c r="AF10226" i="7"/>
  <c r="AF10227" i="7"/>
  <c r="AF10228" i="7"/>
  <c r="AF10229" i="7"/>
  <c r="AF10230" i="7"/>
  <c r="AF10231" i="7"/>
  <c r="AF10232" i="7"/>
  <c r="AF10233" i="7"/>
  <c r="AF10234" i="7"/>
  <c r="AF10235" i="7"/>
  <c r="AF10236" i="7"/>
  <c r="AF10237" i="7"/>
  <c r="AF10238" i="7"/>
  <c r="AF10239" i="7"/>
  <c r="AF10240" i="7"/>
  <c r="AF10241" i="7"/>
  <c r="AF10242" i="7"/>
  <c r="AF10243" i="7"/>
  <c r="AF10244" i="7"/>
  <c r="AF10245" i="7"/>
  <c r="AF10246" i="7"/>
  <c r="AF10247" i="7"/>
  <c r="AF10248" i="7"/>
  <c r="AF10249" i="7"/>
  <c r="AF10250" i="7"/>
  <c r="AF10251" i="7"/>
  <c r="AF10252" i="7"/>
  <c r="AF10253" i="7"/>
  <c r="AF10254" i="7"/>
  <c r="AF10255" i="7"/>
  <c r="AF10256" i="7"/>
  <c r="AF10257" i="7"/>
  <c r="AF10258" i="7"/>
  <c r="AF10259" i="7"/>
  <c r="AF4" i="7"/>
  <c r="G49" i="7"/>
  <c r="G190" i="7"/>
  <c r="G191" i="7"/>
  <c r="G203" i="7"/>
  <c r="G208" i="7"/>
  <c r="G209" i="7"/>
  <c r="G226" i="7"/>
  <c r="G227" i="7"/>
  <c r="G239" i="7"/>
  <c r="G257" i="7"/>
  <c r="G281" i="7"/>
  <c r="G317" i="7"/>
  <c r="G323" i="7"/>
  <c r="G337" i="7"/>
  <c r="G342" i="7"/>
  <c r="G361" i="7"/>
  <c r="G409" i="7"/>
  <c r="G426" i="7"/>
  <c r="G438" i="7"/>
  <c r="G450" i="7"/>
  <c r="G501" i="7"/>
  <c r="G532" i="7"/>
  <c r="G544" i="7"/>
  <c r="G548" i="7"/>
  <c r="G552" i="7"/>
  <c r="G553" i="7"/>
  <c r="G577" i="7"/>
  <c r="G578" i="7"/>
  <c r="G579" i="7"/>
  <c r="G580" i="7"/>
  <c r="G581" i="7"/>
  <c r="G585" i="7"/>
  <c r="G586" i="7"/>
  <c r="G587" i="7"/>
  <c r="G588" i="7"/>
  <c r="G589" i="7"/>
  <c r="G590" i="7"/>
  <c r="G591" i="7"/>
  <c r="G592" i="7"/>
  <c r="G597" i="7"/>
  <c r="G598" i="7"/>
  <c r="G599" i="7"/>
  <c r="G600" i="7"/>
  <c r="G602" i="7"/>
  <c r="G606" i="7"/>
  <c r="G607" i="7"/>
  <c r="G612" i="7"/>
  <c r="G613" i="7"/>
  <c r="G614" i="7"/>
  <c r="G615" i="7"/>
  <c r="G627" i="7"/>
  <c r="G628" i="7"/>
  <c r="G632" i="7"/>
  <c r="G635" i="7"/>
  <c r="G642" i="7"/>
  <c r="G647" i="7"/>
  <c r="G649" i="7"/>
  <c r="G650" i="7"/>
  <c r="G652" i="7"/>
  <c r="G660" i="7"/>
  <c r="G666" i="7"/>
  <c r="G682" i="7"/>
  <c r="G690" i="7"/>
  <c r="G702" i="7"/>
  <c r="G713" i="7"/>
  <c r="G720" i="7"/>
  <c r="G721" i="7"/>
  <c r="G727" i="7"/>
  <c r="G734" i="7"/>
  <c r="G743" i="7"/>
  <c r="G744" i="7"/>
  <c r="G745" i="7"/>
  <c r="G746" i="7"/>
  <c r="G747" i="7"/>
  <c r="G748" i="7"/>
  <c r="G749" i="7"/>
  <c r="G750" i="7"/>
  <c r="G751" i="7"/>
  <c r="G752" i="7"/>
  <c r="G753" i="7"/>
  <c r="G754" i="7"/>
  <c r="G755" i="7"/>
  <c r="G756" i="7"/>
  <c r="G757" i="7"/>
  <c r="G758" i="7"/>
  <c r="G759" i="7"/>
  <c r="G760" i="7"/>
  <c r="G761" i="7"/>
  <c r="G762" i="7"/>
  <c r="G763" i="7"/>
  <c r="G764" i="7"/>
  <c r="G765" i="7"/>
  <c r="G766" i="7"/>
  <c r="G767" i="7"/>
  <c r="G768" i="7"/>
  <c r="G769" i="7"/>
  <c r="G770" i="7"/>
  <c r="G771" i="7"/>
  <c r="G772" i="7"/>
  <c r="G773" i="7"/>
  <c r="G774" i="7"/>
  <c r="G775" i="7"/>
  <c r="G776" i="7"/>
  <c r="G777" i="7"/>
  <c r="G778" i="7"/>
  <c r="G779" i="7"/>
  <c r="G780" i="7"/>
  <c r="G781" i="7"/>
  <c r="G782" i="7"/>
  <c r="G783" i="7"/>
  <c r="G784" i="7"/>
  <c r="G785" i="7"/>
  <c r="G786" i="7"/>
  <c r="G787" i="7"/>
  <c r="G788" i="7"/>
  <c r="G789" i="7"/>
  <c r="G790" i="7"/>
  <c r="G791" i="7"/>
  <c r="G792" i="7"/>
  <c r="G793" i="7"/>
  <c r="G794" i="7"/>
  <c r="G795" i="7"/>
  <c r="G796" i="7"/>
  <c r="G797" i="7"/>
  <c r="G798" i="7"/>
  <c r="G799" i="7"/>
  <c r="G800" i="7"/>
  <c r="G801" i="7"/>
  <c r="G802" i="7"/>
  <c r="G803" i="7"/>
  <c r="G804" i="7"/>
  <c r="G805" i="7"/>
  <c r="G806" i="7"/>
  <c r="G807" i="7"/>
  <c r="G808" i="7"/>
  <c r="G809" i="7"/>
  <c r="G810" i="7"/>
  <c r="G811" i="7"/>
  <c r="G812" i="7"/>
  <c r="G813" i="7"/>
  <c r="G814" i="7"/>
  <c r="G815" i="7"/>
  <c r="G816" i="7"/>
  <c r="G817" i="7"/>
  <c r="G818" i="7"/>
  <c r="G819" i="7"/>
  <c r="G820" i="7"/>
  <c r="G821" i="7"/>
  <c r="G822" i="7"/>
  <c r="G823" i="7"/>
  <c r="G824" i="7"/>
  <c r="G825" i="7"/>
  <c r="G826" i="7"/>
  <c r="G827" i="7"/>
  <c r="G828" i="7"/>
  <c r="G829" i="7"/>
  <c r="G830" i="7"/>
  <c r="G831" i="7"/>
  <c r="G832" i="7"/>
  <c r="G833" i="7"/>
  <c r="G834" i="7"/>
  <c r="G835" i="7"/>
  <c r="G836" i="7"/>
  <c r="G837" i="7"/>
  <c r="G838" i="7"/>
  <c r="G839" i="7"/>
  <c r="G840" i="7"/>
  <c r="G841" i="7"/>
  <c r="G842" i="7"/>
  <c r="G843" i="7"/>
  <c r="G844" i="7"/>
  <c r="G845" i="7"/>
  <c r="G846" i="7"/>
  <c r="G847" i="7"/>
  <c r="G848" i="7"/>
  <c r="G849" i="7"/>
  <c r="G850" i="7"/>
  <c r="G851" i="7"/>
  <c r="G852" i="7"/>
  <c r="G853" i="7"/>
  <c r="G854" i="7"/>
  <c r="G855" i="7"/>
  <c r="G856" i="7"/>
  <c r="G857" i="7"/>
  <c r="G858" i="7"/>
  <c r="G859" i="7"/>
  <c r="G860" i="7"/>
  <c r="G861" i="7"/>
  <c r="G862" i="7"/>
  <c r="G863" i="7"/>
  <c r="G864" i="7"/>
  <c r="G865" i="7"/>
  <c r="G866" i="7"/>
  <c r="G867" i="7"/>
  <c r="G868" i="7"/>
  <c r="G869" i="7"/>
  <c r="G870" i="7"/>
  <c r="G871" i="7"/>
  <c r="G872" i="7"/>
  <c r="G873" i="7"/>
  <c r="G874" i="7"/>
  <c r="G875" i="7"/>
  <c r="G876" i="7"/>
  <c r="G877" i="7"/>
  <c r="G878" i="7"/>
  <c r="G879" i="7"/>
  <c r="G880" i="7"/>
  <c r="G881" i="7"/>
  <c r="G882" i="7"/>
  <c r="G883" i="7"/>
  <c r="G884" i="7"/>
  <c r="G885" i="7"/>
  <c r="G886" i="7"/>
  <c r="G887" i="7"/>
  <c r="G888" i="7"/>
  <c r="G889" i="7"/>
  <c r="G890" i="7"/>
  <c r="G891" i="7"/>
  <c r="G892" i="7"/>
  <c r="G893" i="7"/>
  <c r="G894" i="7"/>
  <c r="G895" i="7"/>
  <c r="G896" i="7"/>
  <c r="G897" i="7"/>
  <c r="G898" i="7"/>
  <c r="G899" i="7"/>
  <c r="G900" i="7"/>
  <c r="G901" i="7"/>
  <c r="G902" i="7"/>
  <c r="G903" i="7"/>
  <c r="G904" i="7"/>
  <c r="G905" i="7"/>
  <c r="G906" i="7"/>
  <c r="G907" i="7"/>
  <c r="G908" i="7"/>
  <c r="G909" i="7"/>
  <c r="G910" i="7"/>
  <c r="G911" i="7"/>
  <c r="G912" i="7"/>
  <c r="G913" i="7"/>
  <c r="G914" i="7"/>
  <c r="G915" i="7"/>
  <c r="G916" i="7"/>
  <c r="G917" i="7"/>
  <c r="G918" i="7"/>
  <c r="G919" i="7"/>
  <c r="G920" i="7"/>
  <c r="G921" i="7"/>
  <c r="G922" i="7"/>
  <c r="G923" i="7"/>
  <c r="G924" i="7"/>
  <c r="G925" i="7"/>
  <c r="G926" i="7"/>
  <c r="G927" i="7"/>
  <c r="G928" i="7"/>
  <c r="G929" i="7"/>
  <c r="G930" i="7"/>
  <c r="G931" i="7"/>
  <c r="G932" i="7"/>
  <c r="G933" i="7"/>
  <c r="G934" i="7"/>
  <c r="G935" i="7"/>
  <c r="G936" i="7"/>
  <c r="G937" i="7"/>
  <c r="G938" i="7"/>
  <c r="G939" i="7"/>
  <c r="G940" i="7"/>
  <c r="G941" i="7"/>
  <c r="G942" i="7"/>
  <c r="G943" i="7"/>
  <c r="G944" i="7"/>
  <c r="G945" i="7"/>
  <c r="G946" i="7"/>
  <c r="G947" i="7"/>
  <c r="G948" i="7"/>
  <c r="G949" i="7"/>
  <c r="G950" i="7"/>
  <c r="G951" i="7"/>
  <c r="G952" i="7"/>
  <c r="G953" i="7"/>
  <c r="G954" i="7"/>
  <c r="G955" i="7"/>
  <c r="G956" i="7"/>
  <c r="G957" i="7"/>
  <c r="G958" i="7"/>
  <c r="G959" i="7"/>
  <c r="G960" i="7"/>
  <c r="G961" i="7"/>
  <c r="G962" i="7"/>
  <c r="G963" i="7"/>
  <c r="G964" i="7"/>
  <c r="G965" i="7"/>
  <c r="G966" i="7"/>
  <c r="G967" i="7"/>
  <c r="G968" i="7"/>
  <c r="G969" i="7"/>
  <c r="G970" i="7"/>
  <c r="G971" i="7"/>
  <c r="G972" i="7"/>
  <c r="G973" i="7"/>
  <c r="G974" i="7"/>
  <c r="G975" i="7"/>
  <c r="G976" i="7"/>
  <c r="G977" i="7"/>
  <c r="G978" i="7"/>
  <c r="G979" i="7"/>
  <c r="G980" i="7"/>
  <c r="G981" i="7"/>
  <c r="G982" i="7"/>
  <c r="G983" i="7"/>
  <c r="G984" i="7"/>
  <c r="G985" i="7"/>
  <c r="G986" i="7"/>
  <c r="G987" i="7"/>
  <c r="G988" i="7"/>
  <c r="G989" i="7"/>
  <c r="G990" i="7"/>
  <c r="G991" i="7"/>
  <c r="G992" i="7"/>
  <c r="G993" i="7"/>
  <c r="G994" i="7"/>
  <c r="G995" i="7"/>
  <c r="G996" i="7"/>
  <c r="G997" i="7"/>
  <c r="G998" i="7"/>
  <c r="G999" i="7"/>
  <c r="G1000" i="7"/>
  <c r="G1001" i="7"/>
  <c r="G1002" i="7"/>
  <c r="G1003" i="7"/>
  <c r="G1004" i="7"/>
  <c r="G1005" i="7"/>
  <c r="G1006" i="7"/>
  <c r="G1007" i="7"/>
  <c r="G1008" i="7"/>
  <c r="G1009" i="7"/>
  <c r="G1010" i="7"/>
  <c r="G1011" i="7"/>
  <c r="G1012" i="7"/>
  <c r="G1013" i="7"/>
  <c r="G1014" i="7"/>
  <c r="G1015" i="7"/>
  <c r="G1016" i="7"/>
  <c r="G1017" i="7"/>
  <c r="G1018" i="7"/>
  <c r="G1019" i="7"/>
  <c r="G1020" i="7"/>
  <c r="G1021" i="7"/>
  <c r="G1022" i="7"/>
  <c r="G1023" i="7"/>
  <c r="G1024" i="7"/>
  <c r="G1025" i="7"/>
  <c r="G1026" i="7"/>
  <c r="G1027" i="7"/>
  <c r="G1028" i="7"/>
  <c r="G1029" i="7"/>
  <c r="G1030" i="7"/>
  <c r="G1031" i="7"/>
  <c r="G1032" i="7"/>
  <c r="G1033" i="7"/>
  <c r="G1034" i="7"/>
  <c r="G1035" i="7"/>
  <c r="G1036" i="7"/>
  <c r="G1037" i="7"/>
  <c r="G1038" i="7"/>
  <c r="G1039" i="7"/>
  <c r="G1040" i="7"/>
  <c r="G1041" i="7"/>
  <c r="G1042" i="7"/>
  <c r="G1043" i="7"/>
  <c r="G1044" i="7"/>
  <c r="G1045" i="7"/>
  <c r="G1046" i="7"/>
  <c r="G1047" i="7"/>
  <c r="G12" i="7"/>
  <c r="G603" i="7"/>
  <c r="G604" i="7"/>
  <c r="G23" i="7"/>
  <c r="G1052" i="7"/>
  <c r="G1053" i="7"/>
  <c r="G1049" i="7"/>
  <c r="G1050" i="7"/>
  <c r="G1051" i="7"/>
  <c r="G665" i="7"/>
  <c r="G664" i="7"/>
  <c r="G24" i="7"/>
  <c r="G25" i="7"/>
  <c r="G26" i="7"/>
  <c r="G27" i="7"/>
  <c r="G28" i="7"/>
  <c r="G29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192" i="7"/>
  <c r="G193" i="7"/>
  <c r="G194" i="7"/>
  <c r="G195" i="7"/>
  <c r="G196" i="7"/>
  <c r="G197" i="7"/>
  <c r="G198" i="7"/>
  <c r="G199" i="7"/>
  <c r="G200" i="7"/>
  <c r="G201" i="7"/>
  <c r="G202" i="7"/>
  <c r="G204" i="7"/>
  <c r="G205" i="7"/>
  <c r="G206" i="7"/>
  <c r="G207" i="7"/>
  <c r="G274" i="7"/>
  <c r="G275" i="7"/>
  <c r="G276" i="7"/>
  <c r="G277" i="7"/>
  <c r="G278" i="7"/>
  <c r="G279" i="7"/>
  <c r="G280" i="7"/>
  <c r="G282" i="7"/>
  <c r="G283" i="7"/>
  <c r="G284" i="7"/>
  <c r="G285" i="7"/>
  <c r="G286" i="7"/>
  <c r="G287" i="7"/>
  <c r="G288" i="7"/>
  <c r="G289" i="7"/>
  <c r="G290" i="7"/>
  <c r="G291" i="7"/>
  <c r="G352" i="7"/>
  <c r="G353" i="7"/>
  <c r="G354" i="7"/>
  <c r="G355" i="7"/>
  <c r="G356" i="7"/>
  <c r="G357" i="7"/>
  <c r="G358" i="7"/>
  <c r="G359" i="7"/>
  <c r="G360" i="7"/>
  <c r="G362" i="7"/>
  <c r="G363" i="7"/>
  <c r="G364" i="7"/>
  <c r="G365" i="7"/>
  <c r="G32" i="7"/>
  <c r="G33" i="7"/>
  <c r="G34" i="7"/>
  <c r="G35" i="7"/>
  <c r="G36" i="7"/>
  <c r="G37" i="7"/>
  <c r="G38" i="7"/>
  <c r="G39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66" i="7"/>
  <c r="G367" i="7"/>
  <c r="G368" i="7"/>
  <c r="G369" i="7"/>
  <c r="G370" i="7"/>
  <c r="G371" i="7"/>
  <c r="G372" i="7"/>
  <c r="G373" i="7"/>
  <c r="G374" i="7"/>
  <c r="G375" i="7"/>
  <c r="G376" i="7"/>
  <c r="G377" i="7"/>
  <c r="G378" i="7"/>
  <c r="G379" i="7"/>
  <c r="G40" i="7"/>
  <c r="G41" i="7"/>
  <c r="G42" i="7"/>
  <c r="G43" i="7"/>
  <c r="G44" i="7"/>
  <c r="G45" i="7"/>
  <c r="G46" i="7"/>
  <c r="G47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228" i="7"/>
  <c r="G229" i="7"/>
  <c r="G230" i="7"/>
  <c r="G231" i="7"/>
  <c r="G232" i="7"/>
  <c r="G233" i="7"/>
  <c r="G234" i="7"/>
  <c r="G235" i="7"/>
  <c r="G236" i="7"/>
  <c r="G237" i="7"/>
  <c r="G238" i="7"/>
  <c r="G240" i="7"/>
  <c r="G241" i="7"/>
  <c r="G242" i="7"/>
  <c r="G243" i="7"/>
  <c r="G310" i="7"/>
  <c r="G311" i="7"/>
  <c r="G312" i="7"/>
  <c r="G313" i="7"/>
  <c r="G314" i="7"/>
  <c r="G315" i="7"/>
  <c r="G316" i="7"/>
  <c r="G318" i="7"/>
  <c r="G319" i="7"/>
  <c r="G320" i="7"/>
  <c r="G321" i="7"/>
  <c r="G322" i="7"/>
  <c r="G324" i="7"/>
  <c r="G325" i="7"/>
  <c r="G326" i="7"/>
  <c r="G327" i="7"/>
  <c r="G380" i="7"/>
  <c r="G381" i="7"/>
  <c r="G382" i="7"/>
  <c r="G383" i="7"/>
  <c r="G384" i="7"/>
  <c r="G385" i="7"/>
  <c r="G386" i="7"/>
  <c r="G387" i="7"/>
  <c r="G388" i="7"/>
  <c r="G389" i="7"/>
  <c r="G390" i="7"/>
  <c r="G391" i="7"/>
  <c r="G392" i="7"/>
  <c r="G393" i="7"/>
  <c r="G30" i="7"/>
  <c r="G31" i="7"/>
  <c r="G519" i="7"/>
  <c r="G520" i="7"/>
  <c r="G521" i="7"/>
  <c r="G522" i="7"/>
  <c r="G523" i="7"/>
  <c r="G524" i="7"/>
  <c r="G525" i="7"/>
  <c r="G526" i="7"/>
  <c r="G527" i="7"/>
  <c r="G528" i="7"/>
  <c r="G529" i="7"/>
  <c r="G530" i="7"/>
  <c r="G531" i="7"/>
  <c r="G533" i="7"/>
  <c r="G534" i="7"/>
  <c r="G535" i="7"/>
  <c r="G536" i="7"/>
  <c r="G537" i="7"/>
  <c r="G538" i="7"/>
  <c r="G539" i="7"/>
  <c r="G540" i="7"/>
  <c r="G541" i="7"/>
  <c r="G542" i="7"/>
  <c r="G543" i="7"/>
  <c r="G545" i="7"/>
  <c r="G546" i="7"/>
  <c r="G547" i="7"/>
  <c r="G549" i="7"/>
  <c r="G550" i="7"/>
  <c r="G551" i="7"/>
  <c r="G554" i="7"/>
  <c r="G555" i="7"/>
  <c r="G48" i="7"/>
  <c r="G160" i="7"/>
  <c r="G161" i="7"/>
  <c r="G328" i="7"/>
  <c r="G329" i="7"/>
  <c r="G688" i="7"/>
  <c r="G689" i="7"/>
  <c r="G691" i="7"/>
  <c r="G692" i="7"/>
  <c r="G693" i="7"/>
  <c r="G694" i="7"/>
  <c r="G695" i="7"/>
  <c r="G696" i="7"/>
  <c r="G697" i="7"/>
  <c r="G698" i="7"/>
  <c r="G699" i="7"/>
  <c r="G700" i="7"/>
  <c r="G701" i="7"/>
  <c r="G703" i="7"/>
  <c r="G680" i="7"/>
  <c r="G681" i="7"/>
  <c r="G683" i="7"/>
  <c r="G685" i="7"/>
  <c r="G687" i="7"/>
  <c r="G717" i="7"/>
  <c r="G718" i="7"/>
  <c r="G719" i="7"/>
  <c r="G722" i="7"/>
  <c r="G723" i="7"/>
  <c r="G724" i="7"/>
  <c r="G725" i="7"/>
  <c r="G726" i="7"/>
  <c r="G728" i="7"/>
  <c r="G729" i="7"/>
  <c r="G730" i="7"/>
  <c r="G731" i="7"/>
  <c r="G732" i="7"/>
  <c r="G709" i="7"/>
  <c r="G710" i="7"/>
  <c r="G711" i="7"/>
  <c r="G712" i="7"/>
  <c r="G715" i="7"/>
  <c r="G716" i="7"/>
  <c r="G673" i="7"/>
  <c r="G674" i="7"/>
  <c r="G675" i="7"/>
  <c r="G676" i="7"/>
  <c r="G677" i="7"/>
  <c r="G678" i="7"/>
  <c r="G670" i="7"/>
  <c r="G671" i="7"/>
  <c r="G672" i="7"/>
  <c r="G420" i="7"/>
  <c r="G421" i="7"/>
  <c r="G422" i="7"/>
  <c r="G423" i="7"/>
  <c r="G424" i="7"/>
  <c r="G425" i="7"/>
  <c r="G427" i="7"/>
  <c r="G428" i="7"/>
  <c r="G429" i="7"/>
  <c r="G430" i="7"/>
  <c r="G431" i="7"/>
  <c r="G432" i="7"/>
  <c r="G433" i="7"/>
  <c r="G434" i="7"/>
  <c r="G435" i="7"/>
  <c r="G436" i="7"/>
  <c r="G437" i="7"/>
  <c r="G439" i="7"/>
  <c r="G440" i="7"/>
  <c r="G441" i="7"/>
  <c r="G442" i="7"/>
  <c r="G443" i="7"/>
  <c r="G444" i="7"/>
  <c r="G445" i="7"/>
  <c r="G446" i="7"/>
  <c r="G447" i="7"/>
  <c r="G448" i="7"/>
  <c r="G449" i="7"/>
  <c r="G451" i="7"/>
  <c r="G452" i="7"/>
  <c r="G453" i="7"/>
  <c r="G454" i="7"/>
  <c r="G455" i="7"/>
  <c r="G456" i="7"/>
  <c r="G457" i="7"/>
  <c r="G458" i="7"/>
  <c r="G459" i="7"/>
  <c r="G460" i="7"/>
  <c r="G461" i="7"/>
  <c r="G462" i="7"/>
  <c r="G463" i="7"/>
  <c r="G466" i="7"/>
  <c r="G467" i="7"/>
  <c r="G468" i="7"/>
  <c r="G469" i="7"/>
  <c r="G470" i="7"/>
  <c r="G471" i="7"/>
  <c r="G472" i="7"/>
  <c r="G473" i="7"/>
  <c r="G474" i="7"/>
  <c r="G475" i="7"/>
  <c r="G476" i="7"/>
  <c r="G477" i="7"/>
  <c r="G478" i="7"/>
  <c r="G479" i="7"/>
  <c r="G480" i="7"/>
  <c r="G481" i="7"/>
  <c r="G482" i="7"/>
  <c r="G483" i="7"/>
  <c r="G484" i="7"/>
  <c r="G485" i="7"/>
  <c r="G486" i="7"/>
  <c r="G491" i="7"/>
  <c r="G492" i="7"/>
  <c r="G493" i="7"/>
  <c r="G494" i="7"/>
  <c r="G495" i="7"/>
  <c r="G496" i="7"/>
  <c r="G497" i="7"/>
  <c r="G498" i="7"/>
  <c r="G499" i="7"/>
  <c r="G487" i="7"/>
  <c r="G557" i="7"/>
  <c r="G558" i="7"/>
  <c r="G559" i="7"/>
  <c r="G560" i="7"/>
  <c r="G503" i="7"/>
  <c r="G504" i="7"/>
  <c r="G505" i="7"/>
  <c r="G506" i="7"/>
  <c r="G507" i="7"/>
  <c r="G508" i="7"/>
  <c r="G500" i="7"/>
  <c r="G502" i="7"/>
  <c r="G78" i="7"/>
  <c r="G561" i="7"/>
  <c r="G562" i="7"/>
  <c r="G563" i="7"/>
  <c r="G488" i="7"/>
  <c r="G489" i="7"/>
  <c r="G490" i="7"/>
  <c r="G244" i="7"/>
  <c r="G245" i="7"/>
  <c r="G396" i="7"/>
  <c r="G397" i="7"/>
  <c r="G661" i="7"/>
  <c r="G662" i="7"/>
  <c r="G663" i="7"/>
  <c r="G705" i="7"/>
  <c r="G706" i="7"/>
  <c r="G707" i="7"/>
  <c r="G667" i="7"/>
  <c r="G464" i="7"/>
  <c r="G564" i="7"/>
  <c r="G565" i="7"/>
  <c r="G566" i="7"/>
  <c r="G605" i="7"/>
  <c r="G668" i="7"/>
  <c r="G569" i="7"/>
  <c r="G570" i="7"/>
  <c r="G571" i="7"/>
  <c r="G572" i="7"/>
  <c r="G573" i="7"/>
  <c r="G574" i="7"/>
  <c r="G575" i="7"/>
  <c r="G582" i="7"/>
  <c r="G583" i="7"/>
  <c r="G584" i="7"/>
  <c r="G593" i="7"/>
  <c r="G594" i="7"/>
  <c r="G595" i="7"/>
  <c r="G596" i="7"/>
  <c r="G616" i="7"/>
  <c r="G617" i="7"/>
  <c r="G609" i="7"/>
  <c r="G610" i="7"/>
  <c r="G611" i="7"/>
  <c r="G629" i="7"/>
  <c r="G630" i="7"/>
  <c r="G631" i="7"/>
  <c r="G633" i="7"/>
  <c r="G634" i="7"/>
  <c r="G636" i="7"/>
  <c r="G637" i="7"/>
  <c r="G638" i="7"/>
  <c r="G639" i="7"/>
  <c r="G640" i="7"/>
  <c r="G641" i="7"/>
  <c r="G619" i="7"/>
  <c r="G620" i="7"/>
  <c r="G621" i="7"/>
  <c r="G622" i="7"/>
  <c r="G623" i="7"/>
  <c r="G626" i="7"/>
  <c r="G651" i="7"/>
  <c r="G653" i="7"/>
  <c r="G654" i="7"/>
  <c r="G655" i="7"/>
  <c r="G656" i="7"/>
  <c r="G657" i="7"/>
  <c r="G658" i="7"/>
  <c r="G645" i="7"/>
  <c r="G646" i="7"/>
  <c r="G648" i="7"/>
  <c r="G567" i="7"/>
  <c r="G510" i="7"/>
  <c r="G511" i="7"/>
  <c r="G512" i="7"/>
  <c r="G513" i="7"/>
  <c r="G514" i="7"/>
  <c r="G515" i="7"/>
  <c r="G516" i="7"/>
  <c r="G517" i="7"/>
  <c r="G518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399" i="7"/>
  <c r="G400" i="7"/>
  <c r="G401" i="7"/>
  <c r="G402" i="7"/>
  <c r="G403" i="7"/>
  <c r="G404" i="7"/>
  <c r="G405" i="7"/>
  <c r="G406" i="7"/>
  <c r="G407" i="7"/>
  <c r="G408" i="7"/>
  <c r="G410" i="7"/>
  <c r="G411" i="7"/>
  <c r="G412" i="7"/>
  <c r="G413" i="7"/>
  <c r="G414" i="7"/>
  <c r="G415" i="7"/>
  <c r="G416" i="7"/>
  <c r="G417" i="7"/>
  <c r="G418" i="7"/>
  <c r="G419" i="7"/>
  <c r="G11" i="7"/>
  <c r="G13" i="7"/>
  <c r="G14" i="7"/>
  <c r="G51" i="7"/>
  <c r="G52" i="7"/>
  <c r="G53" i="7"/>
  <c r="G54" i="7"/>
  <c r="G55" i="7"/>
  <c r="G56" i="7"/>
  <c r="G57" i="7"/>
  <c r="G58" i="7"/>
  <c r="G59" i="7"/>
  <c r="G163" i="7"/>
  <c r="G164" i="7"/>
  <c r="G165" i="7"/>
  <c r="G166" i="7"/>
  <c r="G167" i="7"/>
  <c r="G168" i="7"/>
  <c r="G169" i="7"/>
  <c r="G170" i="7"/>
  <c r="G171" i="7"/>
  <c r="G247" i="7"/>
  <c r="G248" i="7"/>
  <c r="G249" i="7"/>
  <c r="G250" i="7"/>
  <c r="G251" i="7"/>
  <c r="G252" i="7"/>
  <c r="G253" i="7"/>
  <c r="G254" i="7"/>
  <c r="G255" i="7"/>
  <c r="G331" i="7"/>
  <c r="G332" i="7"/>
  <c r="G333" i="7"/>
  <c r="G334" i="7"/>
  <c r="G335" i="7"/>
  <c r="G336" i="7"/>
  <c r="G15" i="7"/>
  <c r="G16" i="7"/>
  <c r="G17" i="7"/>
  <c r="G18" i="7"/>
  <c r="G60" i="7"/>
  <c r="G61" i="7"/>
  <c r="G62" i="7"/>
  <c r="G63" i="7"/>
  <c r="G64" i="7"/>
  <c r="G66" i="7"/>
  <c r="G67" i="7"/>
  <c r="G68" i="7"/>
  <c r="G172" i="7"/>
  <c r="G173" i="7"/>
  <c r="G174" i="7"/>
  <c r="G175" i="7"/>
  <c r="G176" i="7"/>
  <c r="G177" i="7"/>
  <c r="G178" i="7"/>
  <c r="G179" i="7"/>
  <c r="G180" i="7"/>
  <c r="G256" i="7"/>
  <c r="G258" i="7"/>
  <c r="G259" i="7"/>
  <c r="G260" i="7"/>
  <c r="G261" i="7"/>
  <c r="G262" i="7"/>
  <c r="G263" i="7"/>
  <c r="G264" i="7"/>
  <c r="G338" i="7"/>
  <c r="G339" i="7"/>
  <c r="G340" i="7"/>
  <c r="G341" i="7"/>
  <c r="G343" i="7"/>
  <c r="G344" i="7"/>
  <c r="G19" i="7"/>
  <c r="G20" i="7"/>
  <c r="G21" i="7"/>
  <c r="G22" i="7"/>
  <c r="G69" i="7"/>
  <c r="G70" i="7"/>
  <c r="G71" i="7"/>
  <c r="G72" i="7"/>
  <c r="G73" i="7"/>
  <c r="G74" i="7"/>
  <c r="G75" i="7"/>
  <c r="G76" i="7"/>
  <c r="G77" i="7"/>
  <c r="G181" i="7"/>
  <c r="G182" i="7"/>
  <c r="G183" i="7"/>
  <c r="G184" i="7"/>
  <c r="G185" i="7"/>
  <c r="G186" i="7"/>
  <c r="G187" i="7"/>
  <c r="G188" i="7"/>
  <c r="G189" i="7"/>
  <c r="G265" i="7"/>
  <c r="G266" i="7"/>
  <c r="G267" i="7"/>
  <c r="G268" i="7"/>
  <c r="G269" i="7"/>
  <c r="G270" i="7"/>
  <c r="G271" i="7"/>
  <c r="G272" i="7"/>
  <c r="G273" i="7"/>
  <c r="G345" i="7"/>
  <c r="G346" i="7"/>
  <c r="G347" i="7"/>
  <c r="G348" i="7"/>
  <c r="G349" i="7"/>
  <c r="G350" i="7"/>
  <c r="G351" i="7"/>
  <c r="G684" i="7"/>
  <c r="G686" i="7"/>
  <c r="G714" i="7"/>
  <c r="G624" i="7"/>
  <c r="G625" i="7"/>
  <c r="G644" i="7"/>
  <c r="G65" i="7"/>
  <c r="G394" i="7"/>
  <c r="G395" i="7"/>
  <c r="AY107" i="85" l="1"/>
  <c r="AY85" i="83" l="1"/>
  <c r="AY84" i="83"/>
  <c r="AY41" i="82"/>
  <c r="AY49" i="81"/>
  <c r="AY50" i="80"/>
  <c r="AY59" i="78"/>
  <c r="BD107" i="71" l="1"/>
  <c r="BD106" i="71"/>
  <c r="BE106" i="71" s="1"/>
  <c r="BD86" i="71"/>
  <c r="BF86" i="71" s="1"/>
  <c r="BD85" i="71"/>
  <c r="BD79" i="71"/>
  <c r="BF79" i="71" s="1"/>
  <c r="BD78" i="71"/>
  <c r="BD70" i="71"/>
  <c r="BD69" i="71"/>
  <c r="BE69" i="71" s="1"/>
  <c r="BD45" i="71"/>
  <c r="BD44" i="71"/>
  <c r="BE44" i="71" s="1"/>
  <c r="BD38" i="71"/>
  <c r="BD37" i="71"/>
  <c r="BE37" i="71" s="1"/>
  <c r="BH35" i="71"/>
  <c r="BH27" i="71"/>
  <c r="BH25" i="71"/>
  <c r="BH24" i="71"/>
  <c r="BH21" i="71"/>
  <c r="AY94" i="71"/>
  <c r="AY76" i="71"/>
  <c r="AY67" i="71"/>
  <c r="BH107" i="71" s="1"/>
  <c r="AU67" i="71"/>
  <c r="AW67" i="71" s="1"/>
  <c r="AY54" i="71"/>
  <c r="BH86" i="71" s="1"/>
  <c r="AU54" i="71"/>
  <c r="AW54" i="71" s="1"/>
  <c r="AY50" i="71"/>
  <c r="BH78" i="71" s="1"/>
  <c r="AU50" i="71"/>
  <c r="AY42" i="71"/>
  <c r="BH70" i="71" s="1"/>
  <c r="AU42" i="71"/>
  <c r="AY29" i="71"/>
  <c r="BH44" i="71" s="1"/>
  <c r="AU29" i="71"/>
  <c r="AY25" i="71"/>
  <c r="BH37" i="71" s="1"/>
  <c r="AU25" i="71"/>
  <c r="AW25" i="71" s="1"/>
  <c r="AY13" i="71"/>
  <c r="BH22" i="71" s="1"/>
  <c r="AY5" i="71"/>
  <c r="BH5" i="71" s="1"/>
  <c r="AY64" i="69"/>
  <c r="AY48" i="66"/>
  <c r="AY64" i="68"/>
  <c r="BD107" i="66"/>
  <c r="BD106" i="66"/>
  <c r="BE106" i="66" s="1"/>
  <c r="BD86" i="66"/>
  <c r="BF86" i="66" s="1"/>
  <c r="BD85" i="66"/>
  <c r="BE85" i="66" s="1"/>
  <c r="BD79" i="66"/>
  <c r="BF79" i="66" s="1"/>
  <c r="BD78" i="66"/>
  <c r="BE78" i="66" s="1"/>
  <c r="BD70" i="66"/>
  <c r="BD69" i="66"/>
  <c r="BE69" i="66" s="1"/>
  <c r="BD45" i="66"/>
  <c r="BD44" i="66"/>
  <c r="BE44" i="66" s="1"/>
  <c r="BD38" i="66"/>
  <c r="BD37" i="66"/>
  <c r="BE37" i="66" s="1"/>
  <c r="BH35" i="66"/>
  <c r="BH27" i="66"/>
  <c r="BI26" i="66"/>
  <c r="BK26" i="66"/>
  <c r="AY78" i="66"/>
  <c r="AY76" i="66"/>
  <c r="AY67" i="66"/>
  <c r="BH106" i="66" s="1"/>
  <c r="AU67" i="66"/>
  <c r="AY54" i="66"/>
  <c r="BH85" i="66" s="1"/>
  <c r="AU54" i="66"/>
  <c r="AW54" i="66" s="1"/>
  <c r="AY50" i="66"/>
  <c r="BH79" i="66" s="1"/>
  <c r="AU50" i="66"/>
  <c r="AV50" i="66" s="1"/>
  <c r="AY42" i="66"/>
  <c r="BH70" i="66" s="1"/>
  <c r="AU42" i="66"/>
  <c r="AW42" i="66" s="1"/>
  <c r="AY29" i="66"/>
  <c r="BH44" i="66" s="1"/>
  <c r="AU29" i="66"/>
  <c r="AY25" i="66"/>
  <c r="BH38" i="66" s="1"/>
  <c r="AU25" i="66"/>
  <c r="AW25" i="66" s="1"/>
  <c r="AY13" i="66"/>
  <c r="AY5" i="66"/>
  <c r="BH6" i="66" s="1"/>
  <c r="L243" i="7"/>
  <c r="L242" i="7"/>
  <c r="L227" i="7"/>
  <c r="L226" i="7"/>
  <c r="L225" i="7"/>
  <c r="L224" i="7"/>
  <c r="L209" i="7"/>
  <c r="L208" i="7"/>
  <c r="L207" i="7"/>
  <c r="L206" i="7"/>
  <c r="L191" i="7"/>
  <c r="L190" i="7"/>
  <c r="L395" i="7"/>
  <c r="L394" i="7"/>
  <c r="AY78" i="67"/>
  <c r="AY78" i="1"/>
  <c r="AY46" i="77"/>
  <c r="L189" i="7"/>
  <c r="L181" i="7"/>
  <c r="L180" i="7"/>
  <c r="L172" i="7"/>
  <c r="L171" i="7"/>
  <c r="L163" i="7"/>
  <c r="BH79" i="71" l="1"/>
  <c r="BH38" i="71"/>
  <c r="BH78" i="66"/>
  <c r="BH69" i="71"/>
  <c r="BH106" i="71"/>
  <c r="BH85" i="71"/>
  <c r="BH45" i="71"/>
  <c r="BF44" i="71"/>
  <c r="BF106" i="71"/>
  <c r="BE107" i="71"/>
  <c r="BF107" i="71"/>
  <c r="BE85" i="71"/>
  <c r="BF85" i="71"/>
  <c r="BE86" i="71"/>
  <c r="BE78" i="71"/>
  <c r="BF78" i="71"/>
  <c r="BE79" i="71"/>
  <c r="BF69" i="71"/>
  <c r="BE70" i="71"/>
  <c r="BF70" i="71"/>
  <c r="BF45" i="71"/>
  <c r="BE45" i="71"/>
  <c r="BF37" i="71"/>
  <c r="BE38" i="71"/>
  <c r="BF38" i="71"/>
  <c r="AV67" i="71"/>
  <c r="AV54" i="71"/>
  <c r="AV50" i="71"/>
  <c r="AW50" i="71"/>
  <c r="AV42" i="71"/>
  <c r="AW42" i="71"/>
  <c r="AV29" i="71"/>
  <c r="AW29" i="71"/>
  <c r="AV25" i="71"/>
  <c r="BH6" i="71"/>
  <c r="BH107" i="66"/>
  <c r="BH69" i="66"/>
  <c r="BH86" i="66"/>
  <c r="BH37" i="66"/>
  <c r="BE86" i="66"/>
  <c r="BF44" i="66"/>
  <c r="BE79" i="66"/>
  <c r="BH45" i="66"/>
  <c r="BF106" i="66"/>
  <c r="BE107" i="66"/>
  <c r="BF107" i="66"/>
  <c r="BF85" i="66"/>
  <c r="BF78" i="66"/>
  <c r="BF69" i="66"/>
  <c r="BE70" i="66"/>
  <c r="BF70" i="66"/>
  <c r="BE45" i="66"/>
  <c r="BF45" i="66"/>
  <c r="BF37" i="66"/>
  <c r="BE38" i="66"/>
  <c r="BF38" i="66"/>
  <c r="AW50" i="66"/>
  <c r="AW29" i="66"/>
  <c r="BH5" i="66"/>
  <c r="AV29" i="66"/>
  <c r="AV54" i="66"/>
  <c r="AV67" i="66"/>
  <c r="AW67" i="66"/>
  <c r="AV42" i="66"/>
  <c r="AV25" i="66"/>
  <c r="BH22" i="66"/>
  <c r="BH21" i="66"/>
  <c r="AY98" i="87" l="1"/>
  <c r="AY97" i="87"/>
  <c r="BH150" i="87" s="1"/>
  <c r="AY96" i="87"/>
  <c r="BH149" i="87" s="1"/>
  <c r="AY95" i="87"/>
  <c r="BH148" i="87" s="1"/>
  <c r="AY94" i="87"/>
  <c r="BH147" i="87" s="1"/>
  <c r="AY93" i="87"/>
  <c r="BH146" i="87" s="1"/>
  <c r="AY92" i="87"/>
  <c r="BH145" i="87" s="1"/>
  <c r="AY91" i="87"/>
  <c r="BH144" i="87" s="1"/>
  <c r="AW103" i="87"/>
  <c r="AI87" i="87"/>
  <c r="AI82" i="87" s="1"/>
  <c r="AG87" i="87"/>
  <c r="AG82" i="87" s="1"/>
  <c r="AE87" i="87"/>
  <c r="AE82" i="87" s="1"/>
  <c r="AC87" i="87"/>
  <c r="AC82" i="87" s="1"/>
  <c r="U87" i="87"/>
  <c r="U81" i="87" s="1"/>
  <c r="S87" i="87"/>
  <c r="S82" i="87" s="1"/>
  <c r="Q87" i="87"/>
  <c r="Q82" i="87" s="1"/>
  <c r="O87" i="87"/>
  <c r="O82" i="87" s="1"/>
  <c r="BD99" i="4"/>
  <c r="BF101" i="4" s="1"/>
  <c r="BI162" i="87"/>
  <c r="BI160" i="87"/>
  <c r="BI159" i="87"/>
  <c r="BB155" i="87"/>
  <c r="AZ155" i="87"/>
  <c r="BK151" i="87"/>
  <c r="BI151" i="87"/>
  <c r="BK141" i="87"/>
  <c r="BI141" i="87"/>
  <c r="BB146" i="87"/>
  <c r="AZ146" i="87"/>
  <c r="BK140" i="87"/>
  <c r="BI140" i="87"/>
  <c r="BB145" i="87"/>
  <c r="AZ145" i="87"/>
  <c r="BB144" i="87"/>
  <c r="AZ144" i="87"/>
  <c r="BK138" i="87"/>
  <c r="BI138" i="87"/>
  <c r="BB143" i="87"/>
  <c r="AZ143" i="87"/>
  <c r="BI137" i="87"/>
  <c r="BB142" i="87"/>
  <c r="AZ142" i="87"/>
  <c r="BK136" i="87"/>
  <c r="BI136" i="87"/>
  <c r="BB141" i="87"/>
  <c r="AZ141" i="87"/>
  <c r="BI135" i="87"/>
  <c r="BB140" i="87"/>
  <c r="AZ140" i="87"/>
  <c r="BI134" i="87"/>
  <c r="BB139" i="87"/>
  <c r="AZ139" i="87"/>
  <c r="BI133" i="87"/>
  <c r="BB138" i="87"/>
  <c r="AZ138" i="87"/>
  <c r="BI132" i="87"/>
  <c r="BB137" i="87"/>
  <c r="AZ137" i="87"/>
  <c r="BI131" i="87"/>
  <c r="BB136" i="87"/>
  <c r="AZ136" i="87"/>
  <c r="BI130" i="87"/>
  <c r="BB135" i="87"/>
  <c r="AZ135" i="87"/>
  <c r="BI129" i="87"/>
  <c r="BB134" i="87"/>
  <c r="AZ134" i="87"/>
  <c r="BI128" i="87"/>
  <c r="BB133" i="87"/>
  <c r="AZ133" i="87"/>
  <c r="BI127" i="87"/>
  <c r="BB132" i="87"/>
  <c r="AZ132" i="87"/>
  <c r="BI126" i="87"/>
  <c r="BB131" i="87"/>
  <c r="AZ131" i="87"/>
  <c r="BI125" i="87"/>
  <c r="BB130" i="87"/>
  <c r="AZ130" i="87"/>
  <c r="BI124" i="87"/>
  <c r="BB129" i="87"/>
  <c r="AZ129" i="87"/>
  <c r="BI123" i="87"/>
  <c r="BB128" i="87"/>
  <c r="AZ128" i="87"/>
  <c r="BI122" i="87"/>
  <c r="BB127" i="87"/>
  <c r="AZ127" i="87"/>
  <c r="BI121" i="87"/>
  <c r="BB126" i="87"/>
  <c r="AZ126" i="87"/>
  <c r="BI120" i="87"/>
  <c r="BB125" i="87"/>
  <c r="AZ125" i="87"/>
  <c r="BK119" i="87"/>
  <c r="BI119" i="87"/>
  <c r="BB124" i="87"/>
  <c r="AZ124" i="87"/>
  <c r="BI118" i="87"/>
  <c r="BB123" i="87"/>
  <c r="AZ123" i="87"/>
  <c r="BI117" i="87"/>
  <c r="BB122" i="87"/>
  <c r="AZ122" i="87"/>
  <c r="BI116" i="87"/>
  <c r="BB121" i="87"/>
  <c r="AZ121" i="87"/>
  <c r="BK115" i="87"/>
  <c r="BI115" i="87"/>
  <c r="BB120" i="87"/>
  <c r="AZ120" i="87"/>
  <c r="BB119" i="87"/>
  <c r="AZ119" i="87"/>
  <c r="BB118" i="87"/>
  <c r="AZ118" i="87"/>
  <c r="BB117" i="87"/>
  <c r="AZ117" i="87"/>
  <c r="AZ116" i="87"/>
  <c r="AZ114" i="87"/>
  <c r="AZ113" i="87"/>
  <c r="BI106" i="87"/>
  <c r="BB111" i="87"/>
  <c r="AZ111" i="87"/>
  <c r="BI105" i="87"/>
  <c r="BB110" i="87"/>
  <c r="AZ110" i="87"/>
  <c r="BI104" i="87"/>
  <c r="BB109" i="87"/>
  <c r="AZ109" i="87"/>
  <c r="BI103" i="87"/>
  <c r="BB108" i="87"/>
  <c r="AZ108" i="87"/>
  <c r="BI102" i="87"/>
  <c r="BB107" i="87"/>
  <c r="AZ107" i="87"/>
  <c r="BI101" i="87"/>
  <c r="BB106" i="87"/>
  <c r="AZ106" i="87"/>
  <c r="BI100" i="87"/>
  <c r="BB105" i="87"/>
  <c r="AZ105" i="87"/>
  <c r="BI99" i="87"/>
  <c r="BB104" i="87"/>
  <c r="AZ104" i="87"/>
  <c r="BK98" i="87"/>
  <c r="BI98" i="87"/>
  <c r="BB103" i="87"/>
  <c r="AZ103" i="87"/>
  <c r="BI97" i="87"/>
  <c r="BB102" i="87"/>
  <c r="AZ102" i="87"/>
  <c r="BI96" i="87"/>
  <c r="BB101" i="87"/>
  <c r="AZ101" i="87"/>
  <c r="BI95" i="87"/>
  <c r="BB100" i="87"/>
  <c r="AZ100" i="87"/>
  <c r="BI94" i="87"/>
  <c r="BB99" i="87"/>
  <c r="AZ99" i="87"/>
  <c r="BI93" i="87"/>
  <c r="BI92" i="87"/>
  <c r="BK91" i="87"/>
  <c r="BI91" i="87"/>
  <c r="BI90" i="87"/>
  <c r="BI89" i="87"/>
  <c r="BI88" i="87"/>
  <c r="BB88" i="87"/>
  <c r="AZ88" i="87"/>
  <c r="BI87" i="87"/>
  <c r="BI86" i="87"/>
  <c r="BB86" i="87"/>
  <c r="AZ86" i="87"/>
  <c r="BK85" i="87"/>
  <c r="BI85" i="87"/>
  <c r="AW85" i="87"/>
  <c r="AV85" i="87"/>
  <c r="AW84" i="87"/>
  <c r="AV84" i="87"/>
  <c r="BB83" i="87"/>
  <c r="AZ83" i="87"/>
  <c r="AZ82" i="87"/>
  <c r="BB81" i="87"/>
  <c r="AZ81" i="87"/>
  <c r="AZ80" i="87"/>
  <c r="AZ79" i="87"/>
  <c r="AZ78" i="87"/>
  <c r="AZ77" i="87"/>
  <c r="AZ76" i="87"/>
  <c r="AZ75" i="87"/>
  <c r="BK74" i="87"/>
  <c r="BI74" i="87"/>
  <c r="AZ74" i="87"/>
  <c r="AZ73" i="87"/>
  <c r="BB72" i="87"/>
  <c r="AZ72" i="87"/>
  <c r="AZ71" i="87"/>
  <c r="AZ70" i="87"/>
  <c r="AZ69" i="87"/>
  <c r="BB68" i="87"/>
  <c r="AZ68" i="87"/>
  <c r="BI65" i="87"/>
  <c r="BI64" i="87"/>
  <c r="BI63" i="87"/>
  <c r="AZ63" i="87"/>
  <c r="BI62" i="87"/>
  <c r="AZ62" i="87"/>
  <c r="BI61" i="87"/>
  <c r="AZ61" i="87"/>
  <c r="BI60" i="87"/>
  <c r="AZ60" i="87"/>
  <c r="BI59" i="87"/>
  <c r="BB59" i="87"/>
  <c r="AZ59" i="87"/>
  <c r="BI58" i="87"/>
  <c r="AZ58" i="87"/>
  <c r="BK57" i="87"/>
  <c r="BI57" i="87"/>
  <c r="AZ57" i="87"/>
  <c r="BI56" i="87"/>
  <c r="AZ56" i="87"/>
  <c r="BI55" i="87"/>
  <c r="BB55" i="87"/>
  <c r="AZ55" i="87"/>
  <c r="BI54" i="87"/>
  <c r="AZ54" i="87"/>
  <c r="BI53" i="87"/>
  <c r="AZ53" i="87"/>
  <c r="BI52" i="87"/>
  <c r="AZ52" i="87"/>
  <c r="BI51" i="87"/>
  <c r="AZ51" i="87"/>
  <c r="BK50" i="87"/>
  <c r="BI50" i="87"/>
  <c r="AZ50" i="87"/>
  <c r="BB49" i="87"/>
  <c r="AZ49" i="87"/>
  <c r="BI44" i="87"/>
  <c r="BI43" i="87"/>
  <c r="BB43" i="87"/>
  <c r="AZ43" i="87"/>
  <c r="BI42" i="87"/>
  <c r="BI41" i="87"/>
  <c r="BK40" i="87"/>
  <c r="BI40" i="87"/>
  <c r="BF38" i="87"/>
  <c r="BE38" i="87"/>
  <c r="AZ38" i="87"/>
  <c r="BF37" i="87"/>
  <c r="BE37" i="87"/>
  <c r="AZ37" i="87"/>
  <c r="AZ36" i="87"/>
  <c r="AZ35" i="87"/>
  <c r="BK34" i="87"/>
  <c r="BI34" i="87"/>
  <c r="BB34" i="87"/>
  <c r="AZ34" i="87"/>
  <c r="AZ33" i="87"/>
  <c r="AZ32" i="87"/>
  <c r="AZ31" i="87"/>
  <c r="BB30" i="87"/>
  <c r="AZ30" i="87"/>
  <c r="AZ24" i="87"/>
  <c r="BI23" i="87"/>
  <c r="AZ23" i="87"/>
  <c r="AZ22" i="87"/>
  <c r="AZ21" i="87"/>
  <c r="BB20" i="87"/>
  <c r="AZ20" i="87"/>
  <c r="O17" i="87"/>
  <c r="J13" i="87"/>
  <c r="BI12" i="87"/>
  <c r="BI11" i="87"/>
  <c r="F11" i="87"/>
  <c r="BI10" i="87"/>
  <c r="F10" i="87"/>
  <c r="BI9" i="87"/>
  <c r="BI8" i="87"/>
  <c r="AZ8" i="87"/>
  <c r="F8" i="87"/>
  <c r="BI7" i="87"/>
  <c r="AZ7" i="87"/>
  <c r="F7" i="87"/>
  <c r="BI6" i="87"/>
  <c r="AZ6" i="87"/>
  <c r="BI5" i="87"/>
  <c r="AZ5" i="87"/>
  <c r="AY4" i="87"/>
  <c r="AY3" i="87"/>
  <c r="AY90" i="87" s="1"/>
  <c r="AY2" i="87"/>
  <c r="AY1" i="87"/>
  <c r="BI159" i="86"/>
  <c r="BI157" i="86"/>
  <c r="BI156" i="86"/>
  <c r="AZ111" i="86"/>
  <c r="AZ109" i="86"/>
  <c r="AZ108" i="86"/>
  <c r="AZ113" i="85"/>
  <c r="AZ112" i="85"/>
  <c r="AZ111" i="85"/>
  <c r="AZ109" i="85"/>
  <c r="AZ108" i="85"/>
  <c r="AZ106" i="85"/>
  <c r="AZ105" i="85"/>
  <c r="BB141" i="85"/>
  <c r="AZ141" i="85"/>
  <c r="BB140" i="85"/>
  <c r="AZ140" i="85"/>
  <c r="BB139" i="85"/>
  <c r="AZ139" i="85"/>
  <c r="BB138" i="85"/>
  <c r="AZ138" i="85"/>
  <c r="BB137" i="85"/>
  <c r="AZ137" i="85"/>
  <c r="BB136" i="85"/>
  <c r="AZ136" i="85"/>
  <c r="BB135" i="85"/>
  <c r="AZ135" i="85"/>
  <c r="BB134" i="85"/>
  <c r="AZ134" i="85"/>
  <c r="BB133" i="85"/>
  <c r="AZ133" i="85"/>
  <c r="BB132" i="85"/>
  <c r="AZ132" i="85"/>
  <c r="BB131" i="85"/>
  <c r="AZ131" i="85"/>
  <c r="BB130" i="85"/>
  <c r="AZ130" i="85"/>
  <c r="BB129" i="85"/>
  <c r="AZ129" i="85"/>
  <c r="BB128" i="85"/>
  <c r="AZ128" i="85"/>
  <c r="BB127" i="85"/>
  <c r="AZ127" i="85"/>
  <c r="BB126" i="85"/>
  <c r="AZ126" i="85"/>
  <c r="BB125" i="85"/>
  <c r="AZ125" i="85"/>
  <c r="BB124" i="85"/>
  <c r="AZ124" i="85"/>
  <c r="BB123" i="85"/>
  <c r="AZ123" i="85"/>
  <c r="BB122" i="85"/>
  <c r="AZ122" i="85"/>
  <c r="BB121" i="85"/>
  <c r="AZ121" i="85"/>
  <c r="BB120" i="85"/>
  <c r="AZ120" i="85"/>
  <c r="BB119" i="85"/>
  <c r="AZ119" i="85"/>
  <c r="BB118" i="85"/>
  <c r="AZ118" i="85"/>
  <c r="BB117" i="85"/>
  <c r="AZ117" i="85"/>
  <c r="BB116" i="85"/>
  <c r="AZ116" i="85"/>
  <c r="BB115" i="85"/>
  <c r="AZ115" i="85"/>
  <c r="BB114" i="85"/>
  <c r="AZ114" i="85"/>
  <c r="BI159" i="85"/>
  <c r="BI157" i="85"/>
  <c r="BI156" i="85"/>
  <c r="BB113" i="85"/>
  <c r="BB112" i="85"/>
  <c r="AB99" i="4"/>
  <c r="AD101" i="4" s="1"/>
  <c r="AB90" i="4"/>
  <c r="AD92" i="4" s="1"/>
  <c r="M99" i="4"/>
  <c r="O101" i="4" s="1"/>
  <c r="BB150" i="86"/>
  <c r="AZ150" i="86"/>
  <c r="BK148" i="86"/>
  <c r="BI148" i="86"/>
  <c r="BK144" i="86"/>
  <c r="BI144" i="86"/>
  <c r="BK141" i="86"/>
  <c r="BI141" i="86"/>
  <c r="BB141" i="86"/>
  <c r="AZ141" i="86"/>
  <c r="BK140" i="86"/>
  <c r="BI140" i="86"/>
  <c r="BB140" i="86"/>
  <c r="AZ140" i="86"/>
  <c r="BB139" i="86"/>
  <c r="AZ139" i="86"/>
  <c r="BK138" i="86"/>
  <c r="BI138" i="86"/>
  <c r="BB138" i="86"/>
  <c r="AZ138" i="86"/>
  <c r="BI137" i="86"/>
  <c r="BB137" i="86"/>
  <c r="AZ137" i="86"/>
  <c r="BK136" i="86"/>
  <c r="BI136" i="86"/>
  <c r="BB136" i="86"/>
  <c r="AZ136" i="86"/>
  <c r="BI135" i="86"/>
  <c r="BB135" i="86"/>
  <c r="AZ135" i="86"/>
  <c r="BI134" i="86"/>
  <c r="BB134" i="86"/>
  <c r="AZ134" i="86"/>
  <c r="BI133" i="86"/>
  <c r="BB133" i="86"/>
  <c r="AZ133" i="86"/>
  <c r="BI132" i="86"/>
  <c r="BB132" i="86"/>
  <c r="AZ132" i="86"/>
  <c r="BI131" i="86"/>
  <c r="BB131" i="86"/>
  <c r="AZ131" i="86"/>
  <c r="BI130" i="86"/>
  <c r="BB130" i="86"/>
  <c r="AZ130" i="86"/>
  <c r="BI129" i="86"/>
  <c r="BB129" i="86"/>
  <c r="AZ129" i="86"/>
  <c r="BI128" i="86"/>
  <c r="BB128" i="86"/>
  <c r="AZ128" i="86"/>
  <c r="BI127" i="86"/>
  <c r="BB127" i="86"/>
  <c r="AZ127" i="86"/>
  <c r="BI126" i="86"/>
  <c r="BB126" i="86"/>
  <c r="AZ126" i="86"/>
  <c r="BI125" i="86"/>
  <c r="BB125" i="86"/>
  <c r="AZ125" i="86"/>
  <c r="BI124" i="86"/>
  <c r="BB124" i="86"/>
  <c r="AZ124" i="86"/>
  <c r="BI123" i="86"/>
  <c r="BB123" i="86"/>
  <c r="AZ123" i="86"/>
  <c r="BI122" i="86"/>
  <c r="BB122" i="86"/>
  <c r="AZ122" i="86"/>
  <c r="BI121" i="86"/>
  <c r="BB121" i="86"/>
  <c r="AZ121" i="86"/>
  <c r="BI120" i="86"/>
  <c r="BB120" i="86"/>
  <c r="AZ120" i="86"/>
  <c r="BK119" i="86"/>
  <c r="BI119" i="86"/>
  <c r="BB119" i="86"/>
  <c r="AZ119" i="86"/>
  <c r="BI118" i="86"/>
  <c r="BB118" i="86"/>
  <c r="AZ118" i="86"/>
  <c r="BI117" i="86"/>
  <c r="BB117" i="86"/>
  <c r="AZ117" i="86"/>
  <c r="BI116" i="86"/>
  <c r="BB116" i="86"/>
  <c r="AZ116" i="86"/>
  <c r="BK115" i="86"/>
  <c r="BI115" i="86"/>
  <c r="BB115" i="86"/>
  <c r="AZ115" i="86"/>
  <c r="BB114" i="86"/>
  <c r="AZ114" i="86"/>
  <c r="BB113" i="86"/>
  <c r="AZ113" i="86"/>
  <c r="BB112" i="86"/>
  <c r="AZ112" i="86"/>
  <c r="BI106" i="86"/>
  <c r="BB106" i="86"/>
  <c r="AZ106" i="86"/>
  <c r="BI105" i="86"/>
  <c r="BB105" i="86"/>
  <c r="AZ105" i="86"/>
  <c r="BI104" i="86"/>
  <c r="BB104" i="86"/>
  <c r="AZ104" i="86"/>
  <c r="BI103" i="86"/>
  <c r="BB103" i="86"/>
  <c r="AZ103" i="86"/>
  <c r="BI102" i="86"/>
  <c r="BB102" i="86"/>
  <c r="AZ102" i="86"/>
  <c r="BI101" i="86"/>
  <c r="BB101" i="86"/>
  <c r="AZ101" i="86"/>
  <c r="BI100" i="86"/>
  <c r="BB100" i="86"/>
  <c r="AZ100" i="86"/>
  <c r="BI99" i="86"/>
  <c r="BB99" i="86"/>
  <c r="AZ99" i="86"/>
  <c r="BK98" i="86"/>
  <c r="BI98" i="86"/>
  <c r="BB98" i="86"/>
  <c r="AZ98" i="86"/>
  <c r="BI97" i="86"/>
  <c r="BB97" i="86"/>
  <c r="AZ97" i="86"/>
  <c r="BI96" i="86"/>
  <c r="BB96" i="86"/>
  <c r="AZ96" i="86"/>
  <c r="BI95" i="86"/>
  <c r="BB95" i="86"/>
  <c r="AZ95" i="86"/>
  <c r="BI94" i="86"/>
  <c r="BB94" i="86"/>
  <c r="AZ94" i="86"/>
  <c r="BI93" i="86"/>
  <c r="BI92" i="86"/>
  <c r="BK91" i="86"/>
  <c r="BI91" i="86"/>
  <c r="BI90" i="86"/>
  <c r="BI89" i="86"/>
  <c r="BB89" i="86"/>
  <c r="AZ89" i="86"/>
  <c r="BI88" i="86"/>
  <c r="BB88" i="86"/>
  <c r="AZ88" i="86"/>
  <c r="BI87" i="86"/>
  <c r="BI86" i="86"/>
  <c r="BB86" i="86"/>
  <c r="AZ86" i="86"/>
  <c r="AI86" i="86"/>
  <c r="AG86" i="86"/>
  <c r="AE86" i="86"/>
  <c r="AC86" i="86"/>
  <c r="AA86" i="86"/>
  <c r="AA80" i="86" s="1"/>
  <c r="Y86" i="86"/>
  <c r="W86" i="86"/>
  <c r="U86" i="86"/>
  <c r="S86" i="86"/>
  <c r="Q86" i="86"/>
  <c r="O86" i="86"/>
  <c r="BK85" i="86"/>
  <c r="BI85" i="86"/>
  <c r="AW85" i="86"/>
  <c r="AV85" i="86"/>
  <c r="AW84" i="86"/>
  <c r="AV84" i="86"/>
  <c r="BB83" i="86"/>
  <c r="AZ83" i="86"/>
  <c r="AZ82" i="86"/>
  <c r="BB81" i="86"/>
  <c r="AZ81" i="86"/>
  <c r="AZ80" i="86"/>
  <c r="AZ79" i="86"/>
  <c r="AZ78" i="86"/>
  <c r="AZ77" i="86"/>
  <c r="AZ76" i="86"/>
  <c r="AZ75" i="86"/>
  <c r="BK74" i="86"/>
  <c r="BI74" i="86"/>
  <c r="AZ74" i="86"/>
  <c r="AZ73" i="86"/>
  <c r="BB72" i="86"/>
  <c r="AZ72" i="86"/>
  <c r="AZ71" i="86"/>
  <c r="AZ70" i="86"/>
  <c r="AZ69" i="86"/>
  <c r="BB68" i="86"/>
  <c r="AZ68" i="86"/>
  <c r="BI65" i="86"/>
  <c r="BI64" i="86"/>
  <c r="BI63" i="86"/>
  <c r="AZ63" i="86"/>
  <c r="BI62" i="86"/>
  <c r="AZ62" i="86"/>
  <c r="BI61" i="86"/>
  <c r="AZ61" i="86"/>
  <c r="BI60" i="86"/>
  <c r="AZ60" i="86"/>
  <c r="BI59" i="86"/>
  <c r="BB59" i="86"/>
  <c r="AZ59" i="86"/>
  <c r="BI58" i="86"/>
  <c r="AZ58" i="86"/>
  <c r="BK57" i="86"/>
  <c r="BI57" i="86"/>
  <c r="AZ57" i="86"/>
  <c r="BI56" i="86"/>
  <c r="AZ56" i="86"/>
  <c r="BI55" i="86"/>
  <c r="BB55" i="86"/>
  <c r="AZ55" i="86"/>
  <c r="BI54" i="86"/>
  <c r="AZ54" i="86"/>
  <c r="BI53" i="86"/>
  <c r="AZ53" i="86"/>
  <c r="BI52" i="86"/>
  <c r="AZ52" i="86"/>
  <c r="BI51" i="86"/>
  <c r="AZ51" i="86"/>
  <c r="BK50" i="86"/>
  <c r="BI50" i="86"/>
  <c r="AZ50" i="86"/>
  <c r="BB49" i="86"/>
  <c r="AZ49" i="86"/>
  <c r="BI44" i="86"/>
  <c r="BI43" i="86"/>
  <c r="BB43" i="86"/>
  <c r="AZ43" i="86"/>
  <c r="BI42" i="86"/>
  <c r="BI41" i="86"/>
  <c r="BK40" i="86"/>
  <c r="BI40" i="86"/>
  <c r="BF38" i="86"/>
  <c r="BE38" i="86"/>
  <c r="AZ38" i="86"/>
  <c r="BF37" i="86"/>
  <c r="BE37" i="86"/>
  <c r="AZ37" i="86"/>
  <c r="AZ36" i="86"/>
  <c r="AZ35" i="86"/>
  <c r="BK34" i="86"/>
  <c r="BI34" i="86"/>
  <c r="BB34" i="86"/>
  <c r="AZ34" i="86"/>
  <c r="AZ33" i="86"/>
  <c r="AZ32" i="86"/>
  <c r="AZ31" i="86"/>
  <c r="BB30" i="86"/>
  <c r="AZ30" i="86"/>
  <c r="AZ24" i="86"/>
  <c r="BI23" i="86"/>
  <c r="AZ23" i="86"/>
  <c r="AZ22" i="86"/>
  <c r="AZ21" i="86"/>
  <c r="BB20" i="86"/>
  <c r="AZ20" i="86"/>
  <c r="O17" i="86"/>
  <c r="AY13" i="86"/>
  <c r="J13" i="86"/>
  <c r="BI12" i="86"/>
  <c r="BI11" i="86"/>
  <c r="F11" i="86"/>
  <c r="BI10" i="86"/>
  <c r="F10" i="86"/>
  <c r="BI9" i="86"/>
  <c r="BI8" i="86"/>
  <c r="AZ8" i="86"/>
  <c r="F8" i="86"/>
  <c r="BI7" i="86"/>
  <c r="AZ7" i="86"/>
  <c r="F7" i="86"/>
  <c r="BI6" i="86"/>
  <c r="AZ6" i="86"/>
  <c r="BI5" i="86"/>
  <c r="AZ5" i="86"/>
  <c r="AY4" i="86"/>
  <c r="AY3" i="86"/>
  <c r="AY2" i="86"/>
  <c r="AY1" i="86"/>
  <c r="BB150" i="85"/>
  <c r="AZ150" i="85"/>
  <c r="BK148" i="85"/>
  <c r="BI148" i="85"/>
  <c r="BK144" i="85"/>
  <c r="BI144" i="85"/>
  <c r="BK141" i="85"/>
  <c r="BI141" i="85"/>
  <c r="BK140" i="85"/>
  <c r="BI140" i="85"/>
  <c r="BK138" i="85"/>
  <c r="BI138" i="85"/>
  <c r="BI137" i="85"/>
  <c r="BK136" i="85"/>
  <c r="BI136" i="85"/>
  <c r="BI135" i="85"/>
  <c r="BI134" i="85"/>
  <c r="BI133" i="85"/>
  <c r="BI132" i="85"/>
  <c r="BI131" i="85"/>
  <c r="BI130" i="85"/>
  <c r="BI129" i="85"/>
  <c r="BI128" i="85"/>
  <c r="BI127" i="85"/>
  <c r="BI126" i="85"/>
  <c r="BI125" i="85"/>
  <c r="BI124" i="85"/>
  <c r="BI123" i="85"/>
  <c r="BI122" i="85"/>
  <c r="BI121" i="85"/>
  <c r="BI120" i="85"/>
  <c r="BK119" i="85"/>
  <c r="BI119" i="85"/>
  <c r="BI118" i="85"/>
  <c r="BI117" i="85"/>
  <c r="BI116" i="85"/>
  <c r="BK115" i="85"/>
  <c r="BI115" i="85"/>
  <c r="BI106" i="85"/>
  <c r="BB106" i="85"/>
  <c r="BI105" i="85"/>
  <c r="BB105" i="85"/>
  <c r="BI104" i="85"/>
  <c r="BB104" i="85"/>
  <c r="AZ104" i="85"/>
  <c r="BI103" i="85"/>
  <c r="BB103" i="85"/>
  <c r="AZ103" i="85"/>
  <c r="BI102" i="85"/>
  <c r="BB102" i="85"/>
  <c r="AZ102" i="85"/>
  <c r="BI101" i="85"/>
  <c r="BB101" i="85"/>
  <c r="AZ101" i="85"/>
  <c r="BI100" i="85"/>
  <c r="BB100" i="85"/>
  <c r="AZ100" i="85"/>
  <c r="BI99" i="85"/>
  <c r="BB99" i="85"/>
  <c r="AZ99" i="85"/>
  <c r="BK98" i="85"/>
  <c r="BI98" i="85"/>
  <c r="BB98" i="85"/>
  <c r="AZ98" i="85"/>
  <c r="BI97" i="85"/>
  <c r="BB97" i="85"/>
  <c r="AZ97" i="85"/>
  <c r="BI96" i="85"/>
  <c r="BB96" i="85"/>
  <c r="AZ96" i="85"/>
  <c r="BI95" i="85"/>
  <c r="BB95" i="85"/>
  <c r="AZ95" i="85"/>
  <c r="BI94" i="85"/>
  <c r="BB94" i="85"/>
  <c r="AZ94" i="85"/>
  <c r="BI93" i="85"/>
  <c r="BI92" i="85"/>
  <c r="BK91" i="85"/>
  <c r="BI91" i="85"/>
  <c r="BI90" i="85"/>
  <c r="BI89" i="85"/>
  <c r="BB89" i="85"/>
  <c r="AZ89" i="85"/>
  <c r="BI88" i="85"/>
  <c r="BB88" i="85"/>
  <c r="AZ88" i="85"/>
  <c r="BI87" i="85"/>
  <c r="BI86" i="85"/>
  <c r="BB86" i="85"/>
  <c r="AZ86" i="85"/>
  <c r="AI86" i="85"/>
  <c r="AG86" i="85"/>
  <c r="AE86" i="85"/>
  <c r="AE80" i="85" s="1"/>
  <c r="AC86" i="85"/>
  <c r="AA86" i="85"/>
  <c r="Y86" i="85"/>
  <c r="W86" i="85"/>
  <c r="U86" i="85"/>
  <c r="S86" i="85"/>
  <c r="S82" i="85" s="1"/>
  <c r="Q86" i="85"/>
  <c r="O86" i="85"/>
  <c r="BK85" i="85"/>
  <c r="BI85" i="85"/>
  <c r="AW85" i="85"/>
  <c r="AV85" i="85"/>
  <c r="AW84" i="85"/>
  <c r="AV84" i="85"/>
  <c r="BB83" i="85"/>
  <c r="AZ83" i="85"/>
  <c r="AZ82" i="85"/>
  <c r="BB81" i="85"/>
  <c r="AZ81" i="85"/>
  <c r="AZ80" i="85"/>
  <c r="AZ79" i="85"/>
  <c r="AZ78" i="85"/>
  <c r="AZ77" i="85"/>
  <c r="AZ76" i="85"/>
  <c r="AZ75" i="85"/>
  <c r="BK74" i="85"/>
  <c r="BI74" i="85"/>
  <c r="AZ74" i="85"/>
  <c r="AZ73" i="85"/>
  <c r="BB72" i="85"/>
  <c r="AZ72" i="85"/>
  <c r="AZ71" i="85"/>
  <c r="AZ70" i="85"/>
  <c r="AZ69" i="85"/>
  <c r="BB68" i="85"/>
  <c r="AZ68" i="85"/>
  <c r="BI65" i="85"/>
  <c r="BI64" i="85"/>
  <c r="BI63" i="85"/>
  <c r="AZ63" i="85"/>
  <c r="BI62" i="85"/>
  <c r="AZ62" i="85"/>
  <c r="BI61" i="85"/>
  <c r="AZ61" i="85"/>
  <c r="BI60" i="85"/>
  <c r="AZ60" i="85"/>
  <c r="BI59" i="85"/>
  <c r="BB59" i="85"/>
  <c r="AZ59" i="85"/>
  <c r="BI58" i="85"/>
  <c r="AZ58" i="85"/>
  <c r="BK57" i="85"/>
  <c r="BI57" i="85"/>
  <c r="AZ57" i="85"/>
  <c r="BI56" i="85"/>
  <c r="AZ56" i="85"/>
  <c r="BI55" i="85"/>
  <c r="BB55" i="85"/>
  <c r="AZ55" i="85"/>
  <c r="BI54" i="85"/>
  <c r="AZ54" i="85"/>
  <c r="BI53" i="85"/>
  <c r="AZ53" i="85"/>
  <c r="BI52" i="85"/>
  <c r="AZ52" i="85"/>
  <c r="BI51" i="85"/>
  <c r="AZ51" i="85"/>
  <c r="BK50" i="85"/>
  <c r="BI50" i="85"/>
  <c r="AZ50" i="85"/>
  <c r="BB49" i="85"/>
  <c r="AZ49" i="85"/>
  <c r="BI44" i="85"/>
  <c r="BI43" i="85"/>
  <c r="BB43" i="85"/>
  <c r="AZ43" i="85"/>
  <c r="BI42" i="85"/>
  <c r="BI41" i="85"/>
  <c r="BK40" i="85"/>
  <c r="BI40" i="85"/>
  <c r="BF38" i="85"/>
  <c r="BE38" i="85"/>
  <c r="AZ38" i="85"/>
  <c r="BF37" i="85"/>
  <c r="BE37" i="85"/>
  <c r="AZ37" i="85"/>
  <c r="AZ36" i="85"/>
  <c r="AZ35" i="85"/>
  <c r="BK34" i="85"/>
  <c r="BI34" i="85"/>
  <c r="BB34" i="85"/>
  <c r="AZ34" i="85"/>
  <c r="AZ33" i="85"/>
  <c r="AZ32" i="85"/>
  <c r="AZ31" i="85"/>
  <c r="BB30" i="85"/>
  <c r="AZ30" i="85"/>
  <c r="AZ24" i="85"/>
  <c r="BI23" i="85"/>
  <c r="AZ23" i="85"/>
  <c r="AZ22" i="85"/>
  <c r="AZ21" i="85"/>
  <c r="BB20" i="85"/>
  <c r="AZ20" i="85"/>
  <c r="O17" i="85"/>
  <c r="J13" i="85"/>
  <c r="BI12" i="85"/>
  <c r="BI11" i="85"/>
  <c r="F11" i="85"/>
  <c r="BI10" i="85"/>
  <c r="F10" i="85"/>
  <c r="BI9" i="85"/>
  <c r="BI8" i="85"/>
  <c r="AZ8" i="85"/>
  <c r="F8" i="85"/>
  <c r="BI7" i="85"/>
  <c r="AZ7" i="85"/>
  <c r="F7" i="85"/>
  <c r="BI6" i="85"/>
  <c r="AZ6" i="85"/>
  <c r="BI5" i="85"/>
  <c r="AZ5" i="85"/>
  <c r="AY4" i="85"/>
  <c r="AY19" i="85" s="1"/>
  <c r="AY3" i="85"/>
  <c r="AY2" i="85"/>
  <c r="AY1" i="85"/>
  <c r="S82" i="86" l="1"/>
  <c r="AY46" i="86"/>
  <c r="AY45" i="86"/>
  <c r="AY44" i="86"/>
  <c r="AY40" i="86"/>
  <c r="AY64" i="86"/>
  <c r="AY42" i="86"/>
  <c r="AY39" i="86"/>
  <c r="AY67" i="86"/>
  <c r="AY65" i="86"/>
  <c r="AY47" i="86"/>
  <c r="AY41" i="86"/>
  <c r="AY66" i="86"/>
  <c r="AY65" i="87"/>
  <c r="AY64" i="87"/>
  <c r="AY47" i="87"/>
  <c r="AY46" i="87"/>
  <c r="AY67" i="87"/>
  <c r="AY45" i="87"/>
  <c r="AY44" i="87"/>
  <c r="AY66" i="87"/>
  <c r="AY42" i="87"/>
  <c r="AY40" i="87"/>
  <c r="AY41" i="87"/>
  <c r="AY39" i="87"/>
  <c r="AY11" i="86"/>
  <c r="BH18" i="86" s="1"/>
  <c r="AY64" i="85"/>
  <c r="AY46" i="85"/>
  <c r="AY45" i="85"/>
  <c r="AY66" i="85"/>
  <c r="AY44" i="85"/>
  <c r="BH75" i="85" s="1"/>
  <c r="AY39" i="85"/>
  <c r="AY42" i="85"/>
  <c r="AY67" i="85"/>
  <c r="AY47" i="85"/>
  <c r="AY41" i="85"/>
  <c r="BH70" i="85" s="1"/>
  <c r="AY40" i="85"/>
  <c r="AY65" i="85"/>
  <c r="AE82" i="86"/>
  <c r="AY107" i="86"/>
  <c r="AY110" i="86" s="1"/>
  <c r="BH158" i="86" s="1"/>
  <c r="AY10" i="86"/>
  <c r="BH15" i="86" s="1"/>
  <c r="AE82" i="85"/>
  <c r="BH143" i="87"/>
  <c r="AE81" i="87"/>
  <c r="AY112" i="87"/>
  <c r="AI81" i="87"/>
  <c r="U82" i="87"/>
  <c r="Q81" i="87"/>
  <c r="O81" i="87"/>
  <c r="AC81" i="87"/>
  <c r="S81" i="87"/>
  <c r="AG81" i="87"/>
  <c r="AZ11" i="87"/>
  <c r="BI22" i="87"/>
  <c r="AW101" i="87"/>
  <c r="BH38" i="87"/>
  <c r="AY19" i="87"/>
  <c r="AY18" i="87"/>
  <c r="AY16" i="87"/>
  <c r="AY17" i="87"/>
  <c r="AY15" i="87"/>
  <c r="BI19" i="87"/>
  <c r="AZ12" i="87"/>
  <c r="AZ26" i="87"/>
  <c r="BI18" i="87"/>
  <c r="BI20" i="87"/>
  <c r="AZ25" i="87"/>
  <c r="AU103" i="87"/>
  <c r="AU101" i="87"/>
  <c r="BI47" i="87"/>
  <c r="BI45" i="87"/>
  <c r="BH37" i="87"/>
  <c r="AZ28" i="87"/>
  <c r="BI49" i="87"/>
  <c r="BI48" i="87"/>
  <c r="AY48" i="87"/>
  <c r="AZ29" i="87"/>
  <c r="AZ27" i="87"/>
  <c r="BI46" i="87"/>
  <c r="BH35" i="87"/>
  <c r="BH36" i="87"/>
  <c r="AZ13" i="87"/>
  <c r="BI17" i="87"/>
  <c r="BH39" i="87"/>
  <c r="BI21" i="87"/>
  <c r="AY13" i="85"/>
  <c r="BH21" i="85" s="1"/>
  <c r="AY9" i="86"/>
  <c r="AU96" i="86"/>
  <c r="Q81" i="86"/>
  <c r="AC79" i="86"/>
  <c r="U79" i="86"/>
  <c r="Y81" i="86"/>
  <c r="AA79" i="86"/>
  <c r="Q79" i="86"/>
  <c r="BH47" i="86"/>
  <c r="BH45" i="86"/>
  <c r="BH37" i="86"/>
  <c r="AU98" i="86"/>
  <c r="AI81" i="86"/>
  <c r="S81" i="86"/>
  <c r="AE79" i="86"/>
  <c r="O79" i="86"/>
  <c r="BH49" i="86"/>
  <c r="BH48" i="86"/>
  <c r="BH39" i="86"/>
  <c r="AY91" i="86"/>
  <c r="AG81" i="86"/>
  <c r="O81" i="86"/>
  <c r="Y79" i="86"/>
  <c r="AY48" i="86"/>
  <c r="AE81" i="86"/>
  <c r="AI79" i="86"/>
  <c r="W79" i="86"/>
  <c r="BH46" i="86"/>
  <c r="BH35" i="86"/>
  <c r="BH36" i="86"/>
  <c r="AY18" i="86"/>
  <c r="S79" i="86"/>
  <c r="W81" i="86"/>
  <c r="AY12" i="86"/>
  <c r="AG79" i="86"/>
  <c r="BH17" i="86"/>
  <c r="BH22" i="86"/>
  <c r="BH21" i="86"/>
  <c r="AY17" i="86"/>
  <c r="AE80" i="86"/>
  <c r="O82" i="86"/>
  <c r="AG82" i="86"/>
  <c r="Q80" i="86"/>
  <c r="AG80" i="86"/>
  <c r="AW98" i="86"/>
  <c r="AC80" i="86"/>
  <c r="U80" i="86"/>
  <c r="Q82" i="86"/>
  <c r="AI80" i="86"/>
  <c r="Y80" i="86"/>
  <c r="O80" i="86"/>
  <c r="AW96" i="86"/>
  <c r="W82" i="86"/>
  <c r="W80" i="86"/>
  <c r="BH38" i="86"/>
  <c r="AY19" i="86"/>
  <c r="AY15" i="86"/>
  <c r="AY16" i="86"/>
  <c r="S80" i="86"/>
  <c r="Y82" i="86"/>
  <c r="AA82" i="86"/>
  <c r="AA81" i="86"/>
  <c r="AI82" i="86"/>
  <c r="AY93" i="86"/>
  <c r="U82" i="86"/>
  <c r="U81" i="86"/>
  <c r="AC82" i="86"/>
  <c r="AC81" i="86"/>
  <c r="BH32" i="85"/>
  <c r="BH33" i="85"/>
  <c r="AY15" i="85"/>
  <c r="BH35" i="85"/>
  <c r="Y81" i="85"/>
  <c r="O81" i="85"/>
  <c r="AI79" i="85"/>
  <c r="AA79" i="85"/>
  <c r="S79" i="85"/>
  <c r="AU98" i="85"/>
  <c r="AC79" i="85"/>
  <c r="Q79" i="85"/>
  <c r="AU96" i="85"/>
  <c r="W81" i="85"/>
  <c r="Y79" i="85"/>
  <c r="O79" i="85"/>
  <c r="AY91" i="85"/>
  <c r="Q81" i="85"/>
  <c r="AG79" i="85"/>
  <c r="BH48" i="85"/>
  <c r="AY48" i="85"/>
  <c r="BH46" i="85"/>
  <c r="BH45" i="85"/>
  <c r="BH39" i="85"/>
  <c r="AY11" i="85"/>
  <c r="AG81" i="85"/>
  <c r="AE79" i="85"/>
  <c r="BH47" i="85"/>
  <c r="AE81" i="85"/>
  <c r="W79" i="85"/>
  <c r="BH49" i="85"/>
  <c r="BH36" i="85"/>
  <c r="AY18" i="85"/>
  <c r="AY12" i="85"/>
  <c r="U79" i="85"/>
  <c r="S81" i="85"/>
  <c r="AY9" i="85"/>
  <c r="AY10" i="85"/>
  <c r="BH37" i="85"/>
  <c r="BH38" i="85"/>
  <c r="O80" i="85"/>
  <c r="AA82" i="85"/>
  <c r="AA81" i="85"/>
  <c r="AI82" i="85"/>
  <c r="AI81" i="85"/>
  <c r="AW98" i="85"/>
  <c r="AC80" i="85"/>
  <c r="U80" i="85"/>
  <c r="AW96" i="85"/>
  <c r="AY93" i="85"/>
  <c r="Y82" i="85"/>
  <c r="O82" i="85"/>
  <c r="AG80" i="85"/>
  <c r="W80" i="85"/>
  <c r="Y80" i="85"/>
  <c r="W82" i="85"/>
  <c r="AI80" i="85"/>
  <c r="S80" i="85"/>
  <c r="AY17" i="85"/>
  <c r="Q80" i="85"/>
  <c r="AG82" i="85"/>
  <c r="AY16" i="85"/>
  <c r="AA80" i="85"/>
  <c r="Q82" i="85"/>
  <c r="U82" i="85"/>
  <c r="U81" i="85"/>
  <c r="AC82" i="85"/>
  <c r="AC81" i="85"/>
  <c r="BK159" i="84"/>
  <c r="BI159" i="84"/>
  <c r="BK158" i="84"/>
  <c r="BI158" i="84"/>
  <c r="BK157" i="84"/>
  <c r="BI157" i="84"/>
  <c r="BB150" i="84"/>
  <c r="AZ150" i="84"/>
  <c r="BK148" i="84"/>
  <c r="BI148" i="84"/>
  <c r="BK144" i="84"/>
  <c r="BI144" i="84"/>
  <c r="BK141" i="84"/>
  <c r="BI141" i="84"/>
  <c r="BB141" i="84"/>
  <c r="AZ141" i="84"/>
  <c r="BK140" i="84"/>
  <c r="BI140" i="84"/>
  <c r="BB140" i="84"/>
  <c r="AZ140" i="84"/>
  <c r="BB139" i="84"/>
  <c r="AZ139" i="84"/>
  <c r="BK138" i="84"/>
  <c r="BI138" i="84"/>
  <c r="BB138" i="84"/>
  <c r="AZ138" i="84"/>
  <c r="BI137" i="84"/>
  <c r="BB137" i="84"/>
  <c r="AZ137" i="84"/>
  <c r="BK136" i="84"/>
  <c r="BI136" i="84"/>
  <c r="BB136" i="84"/>
  <c r="AZ136" i="84"/>
  <c r="BI135" i="84"/>
  <c r="BB135" i="84"/>
  <c r="AZ135" i="84"/>
  <c r="BI134" i="84"/>
  <c r="BB134" i="84"/>
  <c r="AZ134" i="84"/>
  <c r="BI133" i="84"/>
  <c r="BB133" i="84"/>
  <c r="AZ133" i="84"/>
  <c r="BI132" i="84"/>
  <c r="BB132" i="84"/>
  <c r="AZ132" i="84"/>
  <c r="BI131" i="84"/>
  <c r="BB131" i="84"/>
  <c r="AZ131" i="84"/>
  <c r="BI130" i="84"/>
  <c r="BB130" i="84"/>
  <c r="AZ130" i="84"/>
  <c r="BI129" i="84"/>
  <c r="BB129" i="84"/>
  <c r="AZ129" i="84"/>
  <c r="BI128" i="84"/>
  <c r="BB128" i="84"/>
  <c r="AZ128" i="84"/>
  <c r="BI127" i="84"/>
  <c r="BB127" i="84"/>
  <c r="AZ127" i="84"/>
  <c r="BI126" i="84"/>
  <c r="BB126" i="84"/>
  <c r="AZ126" i="84"/>
  <c r="BI125" i="84"/>
  <c r="BB125" i="84"/>
  <c r="AZ125" i="84"/>
  <c r="BI124" i="84"/>
  <c r="BB124" i="84"/>
  <c r="AZ124" i="84"/>
  <c r="BI123" i="84"/>
  <c r="BB123" i="84"/>
  <c r="AZ123" i="84"/>
  <c r="BI122" i="84"/>
  <c r="BB122" i="84"/>
  <c r="AZ122" i="84"/>
  <c r="BI121" i="84"/>
  <c r="BB121" i="84"/>
  <c r="AZ121" i="84"/>
  <c r="BI120" i="84"/>
  <c r="BB120" i="84"/>
  <c r="AZ120" i="84"/>
  <c r="BK119" i="84"/>
  <c r="BI119" i="84"/>
  <c r="BB119" i="84"/>
  <c r="AZ119" i="84"/>
  <c r="BI118" i="84"/>
  <c r="BB118" i="84"/>
  <c r="AZ118" i="84"/>
  <c r="BI117" i="84"/>
  <c r="BB117" i="84"/>
  <c r="AZ117" i="84"/>
  <c r="BI116" i="84"/>
  <c r="BB116" i="84"/>
  <c r="AZ116" i="84"/>
  <c r="BK115" i="84"/>
  <c r="BI115" i="84"/>
  <c r="BB115" i="84"/>
  <c r="AZ115" i="84"/>
  <c r="BB114" i="84"/>
  <c r="AZ114" i="84"/>
  <c r="BB113" i="84"/>
  <c r="AZ113" i="84"/>
  <c r="BB112" i="84"/>
  <c r="AZ112" i="84"/>
  <c r="BB111" i="84"/>
  <c r="AZ111" i="84"/>
  <c r="BB110" i="84"/>
  <c r="AZ110" i="84"/>
  <c r="BB109" i="84"/>
  <c r="AZ109" i="84"/>
  <c r="BB108" i="84"/>
  <c r="AZ108" i="84"/>
  <c r="BB107" i="84"/>
  <c r="AZ107" i="84"/>
  <c r="BI106" i="84"/>
  <c r="BB106" i="84"/>
  <c r="AZ106" i="84"/>
  <c r="BI105" i="84"/>
  <c r="BB105" i="84"/>
  <c r="AZ105" i="84"/>
  <c r="BI104" i="84"/>
  <c r="BB104" i="84"/>
  <c r="AZ104" i="84"/>
  <c r="BI103" i="84"/>
  <c r="BB103" i="84"/>
  <c r="AZ103" i="84"/>
  <c r="BI102" i="84"/>
  <c r="BB102" i="84"/>
  <c r="AZ102" i="84"/>
  <c r="BI101" i="84"/>
  <c r="BB101" i="84"/>
  <c r="AZ101" i="84"/>
  <c r="BI100" i="84"/>
  <c r="BB100" i="84"/>
  <c r="AZ100" i="84"/>
  <c r="BI99" i="84"/>
  <c r="BB99" i="84"/>
  <c r="AZ99" i="84"/>
  <c r="BK98" i="84"/>
  <c r="BI98" i="84"/>
  <c r="BB98" i="84"/>
  <c r="AZ98" i="84"/>
  <c r="BI97" i="84"/>
  <c r="BB97" i="84"/>
  <c r="AZ97" i="84"/>
  <c r="BI96" i="84"/>
  <c r="BB96" i="84"/>
  <c r="AZ96" i="84"/>
  <c r="BI95" i="84"/>
  <c r="BB95" i="84"/>
  <c r="AZ95" i="84"/>
  <c r="BI94" i="84"/>
  <c r="BB94" i="84"/>
  <c r="AZ94" i="84"/>
  <c r="BI93" i="84"/>
  <c r="BI92" i="84"/>
  <c r="BK91" i="84"/>
  <c r="BI91" i="84"/>
  <c r="BI90" i="84"/>
  <c r="BI89" i="84"/>
  <c r="BB89" i="84"/>
  <c r="AZ89" i="84"/>
  <c r="BI88" i="84"/>
  <c r="BB88" i="84"/>
  <c r="AZ88" i="84"/>
  <c r="BI87" i="84"/>
  <c r="BI86" i="84"/>
  <c r="BB86" i="84"/>
  <c r="AZ86" i="84"/>
  <c r="AI86" i="84"/>
  <c r="AG86" i="84"/>
  <c r="AE86" i="84"/>
  <c r="AC86" i="84"/>
  <c r="AA86" i="84"/>
  <c r="Y86" i="84"/>
  <c r="W86" i="84"/>
  <c r="U86" i="84"/>
  <c r="S86" i="84"/>
  <c r="S81" i="84" s="1"/>
  <c r="Q86" i="84"/>
  <c r="O86" i="84"/>
  <c r="O80" i="84" s="1"/>
  <c r="BK85" i="84"/>
  <c r="BI85" i="84"/>
  <c r="BB83" i="84"/>
  <c r="AZ83" i="84"/>
  <c r="AZ82" i="84"/>
  <c r="BB81" i="84"/>
  <c r="AZ81" i="84"/>
  <c r="AZ80" i="84"/>
  <c r="AZ79" i="84"/>
  <c r="AZ78" i="84"/>
  <c r="AZ77" i="84"/>
  <c r="AZ76" i="84"/>
  <c r="AZ75" i="84"/>
  <c r="BK74" i="84"/>
  <c r="BI74" i="84"/>
  <c r="AZ74" i="84"/>
  <c r="AZ73" i="84"/>
  <c r="BB72" i="84"/>
  <c r="AZ72" i="84"/>
  <c r="AZ71" i="84"/>
  <c r="AZ70" i="84"/>
  <c r="AZ69" i="84"/>
  <c r="BB68" i="84"/>
  <c r="AZ68" i="84"/>
  <c r="BI65" i="84"/>
  <c r="BI64" i="84"/>
  <c r="BI63" i="84"/>
  <c r="AZ63" i="84"/>
  <c r="BI62" i="84"/>
  <c r="AZ62" i="84"/>
  <c r="BI61" i="84"/>
  <c r="AZ61" i="84"/>
  <c r="BI60" i="84"/>
  <c r="AZ60" i="84"/>
  <c r="BI59" i="84"/>
  <c r="BB59" i="84"/>
  <c r="AZ59" i="84"/>
  <c r="BI58" i="84"/>
  <c r="AZ58" i="84"/>
  <c r="BK57" i="84"/>
  <c r="BI57" i="84"/>
  <c r="AZ57" i="84"/>
  <c r="BI56" i="84"/>
  <c r="AZ56" i="84"/>
  <c r="BI55" i="84"/>
  <c r="BB55" i="84"/>
  <c r="AZ55" i="84"/>
  <c r="BI54" i="84"/>
  <c r="AZ54" i="84"/>
  <c r="BI53" i="84"/>
  <c r="AZ53" i="84"/>
  <c r="BI52" i="84"/>
  <c r="AZ52" i="84"/>
  <c r="BI51" i="84"/>
  <c r="AZ51" i="84"/>
  <c r="BK50" i="84"/>
  <c r="BI50" i="84"/>
  <c r="AZ50" i="84"/>
  <c r="BB49" i="84"/>
  <c r="AZ49" i="84"/>
  <c r="BI44" i="84"/>
  <c r="BI43" i="84"/>
  <c r="BB43" i="84"/>
  <c r="AZ43" i="84"/>
  <c r="BI42" i="84"/>
  <c r="BI41" i="84"/>
  <c r="BK40" i="84"/>
  <c r="BI40" i="84"/>
  <c r="BF38" i="84"/>
  <c r="BE38" i="84"/>
  <c r="AZ38" i="84"/>
  <c r="BF37" i="84"/>
  <c r="BE37" i="84"/>
  <c r="AZ37" i="84"/>
  <c r="AZ36" i="84"/>
  <c r="AZ35" i="84"/>
  <c r="BK34" i="84"/>
  <c r="BI34" i="84"/>
  <c r="BB34" i="84"/>
  <c r="AZ34" i="84"/>
  <c r="AZ33" i="84"/>
  <c r="AZ32" i="84"/>
  <c r="AZ31" i="84"/>
  <c r="BB30" i="84"/>
  <c r="AZ30" i="84"/>
  <c r="AZ24" i="84"/>
  <c r="BI23" i="84"/>
  <c r="AZ23" i="84"/>
  <c r="AZ22" i="84"/>
  <c r="AZ21" i="84"/>
  <c r="BB20" i="84"/>
  <c r="AZ20" i="84"/>
  <c r="AY19" i="84"/>
  <c r="O17" i="84"/>
  <c r="AY13" i="84"/>
  <c r="J13" i="84"/>
  <c r="BI12" i="84"/>
  <c r="BI11" i="84"/>
  <c r="F11" i="84"/>
  <c r="BI10" i="84"/>
  <c r="F10" i="84"/>
  <c r="BI9" i="84"/>
  <c r="BI8" i="84"/>
  <c r="AZ8" i="84"/>
  <c r="F8" i="84"/>
  <c r="BI7" i="84"/>
  <c r="AZ7" i="84"/>
  <c r="F7" i="84"/>
  <c r="BI6" i="84"/>
  <c r="AZ6" i="84"/>
  <c r="BI5" i="84"/>
  <c r="AZ5" i="84"/>
  <c r="AY4" i="84"/>
  <c r="BH36" i="84" s="1"/>
  <c r="AY3" i="84"/>
  <c r="AY2" i="84"/>
  <c r="AY1" i="84"/>
  <c r="AY12" i="84" s="1"/>
  <c r="BI23" i="83"/>
  <c r="M90" i="4"/>
  <c r="O92" i="4" s="1"/>
  <c r="BK148" i="83"/>
  <c r="BK144" i="83"/>
  <c r="BK141" i="83"/>
  <c r="BK140" i="83"/>
  <c r="BK138" i="83"/>
  <c r="BK136" i="83"/>
  <c r="AE80" i="84" l="1"/>
  <c r="BH71" i="85"/>
  <c r="BH16" i="86"/>
  <c r="AY39" i="84"/>
  <c r="BH67" i="84" s="1"/>
  <c r="AY41" i="84"/>
  <c r="BH35" i="84"/>
  <c r="AY10" i="84"/>
  <c r="BH15" i="84" s="1"/>
  <c r="AY46" i="84"/>
  <c r="BH79" i="84" s="1"/>
  <c r="BH155" i="86"/>
  <c r="BH38" i="84"/>
  <c r="BH152" i="84" s="1"/>
  <c r="AY91" i="84"/>
  <c r="BH146" i="84" s="1"/>
  <c r="BH49" i="84"/>
  <c r="BH46" i="84"/>
  <c r="BH48" i="84"/>
  <c r="BH45" i="84"/>
  <c r="BH47" i="84"/>
  <c r="BH37" i="84"/>
  <c r="BH22" i="85"/>
  <c r="AA82" i="84"/>
  <c r="S82" i="84"/>
  <c r="BI16" i="87"/>
  <c r="AZ10" i="87"/>
  <c r="BH72" i="87"/>
  <c r="BH73" i="87"/>
  <c r="BH76" i="87"/>
  <c r="BH75" i="87"/>
  <c r="BH24" i="87"/>
  <c r="BH25" i="87"/>
  <c r="BH32" i="87"/>
  <c r="BH33" i="87"/>
  <c r="BH108" i="87"/>
  <c r="BH107" i="87"/>
  <c r="BH81" i="87"/>
  <c r="BH82" i="87"/>
  <c r="BH112" i="87"/>
  <c r="BH111" i="87"/>
  <c r="BH84" i="87"/>
  <c r="BH83" i="87"/>
  <c r="BH29" i="87"/>
  <c r="BH28" i="87"/>
  <c r="AW107" i="87"/>
  <c r="BH80" i="87"/>
  <c r="BH79" i="87"/>
  <c r="BH70" i="87"/>
  <c r="BH71" i="87"/>
  <c r="BH109" i="87"/>
  <c r="BH110" i="87"/>
  <c r="AU104" i="87"/>
  <c r="AU105" i="87" s="1"/>
  <c r="BH27" i="87"/>
  <c r="BH26" i="87"/>
  <c r="AW104" i="87"/>
  <c r="BH69" i="87"/>
  <c r="BH68" i="87"/>
  <c r="AY147" i="87"/>
  <c r="AZ9" i="87"/>
  <c r="AY151" i="87"/>
  <c r="BH67" i="87"/>
  <c r="BH66" i="87"/>
  <c r="BH114" i="87"/>
  <c r="BH113" i="87"/>
  <c r="BH155" i="87"/>
  <c r="BH158" i="87"/>
  <c r="AY115" i="87"/>
  <c r="AU107" i="87"/>
  <c r="AR88" i="87"/>
  <c r="BH77" i="87"/>
  <c r="BH78" i="87"/>
  <c r="BH31" i="87"/>
  <c r="BH30" i="87"/>
  <c r="BH76" i="85"/>
  <c r="BH24" i="86"/>
  <c r="BH25" i="86"/>
  <c r="AW102" i="86"/>
  <c r="AY92" i="86" s="1"/>
  <c r="BH71" i="86"/>
  <c r="BH70" i="86"/>
  <c r="BH108" i="86"/>
  <c r="BH107" i="86"/>
  <c r="BH152" i="86"/>
  <c r="BH33" i="86"/>
  <c r="BH32" i="86"/>
  <c r="AW99" i="86"/>
  <c r="AW100" i="86" s="1"/>
  <c r="BH29" i="86"/>
  <c r="BH28" i="86"/>
  <c r="BH80" i="86"/>
  <c r="BH79" i="86"/>
  <c r="AY146" i="86"/>
  <c r="BH67" i="86"/>
  <c r="BH66" i="86"/>
  <c r="BH109" i="86"/>
  <c r="BH110" i="86"/>
  <c r="BH83" i="86"/>
  <c r="BH84" i="86"/>
  <c r="BH145" i="86"/>
  <c r="BH146" i="86"/>
  <c r="AY142" i="86"/>
  <c r="BH14" i="86"/>
  <c r="BH13" i="86"/>
  <c r="BH147" i="86"/>
  <c r="BH69" i="86"/>
  <c r="BH68" i="86"/>
  <c r="BH19" i="86"/>
  <c r="BH20" i="86"/>
  <c r="BH77" i="86"/>
  <c r="BH78" i="86"/>
  <c r="BH72" i="86"/>
  <c r="BH73" i="86"/>
  <c r="BH76" i="86"/>
  <c r="BH75" i="86"/>
  <c r="AU102" i="86"/>
  <c r="AY90" i="86" s="1"/>
  <c r="AU99" i="86"/>
  <c r="AU100" i="86" s="1"/>
  <c r="BH27" i="86"/>
  <c r="BH26" i="86"/>
  <c r="BH31" i="86"/>
  <c r="BH30" i="86"/>
  <c r="BH113" i="86"/>
  <c r="BH114" i="86"/>
  <c r="BH81" i="86"/>
  <c r="BH82" i="86"/>
  <c r="BH112" i="86"/>
  <c r="BH111" i="86"/>
  <c r="BH26" i="85"/>
  <c r="BH27" i="85"/>
  <c r="AY142" i="85"/>
  <c r="BH13" i="85"/>
  <c r="BH14" i="85"/>
  <c r="AY146" i="85"/>
  <c r="BH66" i="85"/>
  <c r="BH67" i="85"/>
  <c r="BH107" i="85"/>
  <c r="BH108" i="85"/>
  <c r="BH82" i="85"/>
  <c r="BH81" i="85"/>
  <c r="BH17" i="85"/>
  <c r="BH18" i="85"/>
  <c r="BH147" i="85"/>
  <c r="AW102" i="85"/>
  <c r="BH152" i="85"/>
  <c r="BH19" i="85"/>
  <c r="BH20" i="85"/>
  <c r="BH30" i="85"/>
  <c r="BH31" i="85"/>
  <c r="BH109" i="85"/>
  <c r="BH110" i="85"/>
  <c r="BH79" i="85"/>
  <c r="BH80" i="85"/>
  <c r="BH114" i="85"/>
  <c r="BH113" i="85"/>
  <c r="BH83" i="85"/>
  <c r="BH84" i="85"/>
  <c r="BH145" i="85"/>
  <c r="BH146" i="85"/>
  <c r="AU99" i="85"/>
  <c r="AU100" i="85" s="1"/>
  <c r="AU102" i="85"/>
  <c r="AY90" i="85" s="1"/>
  <c r="AW99" i="85"/>
  <c r="AW100" i="85" s="1"/>
  <c r="AY92" i="85"/>
  <c r="BH16" i="85"/>
  <c r="BH15" i="85"/>
  <c r="BH111" i="85"/>
  <c r="BH112" i="85"/>
  <c r="BH68" i="85"/>
  <c r="BH69" i="85"/>
  <c r="BH25" i="85"/>
  <c r="BH24" i="85"/>
  <c r="BH28" i="85"/>
  <c r="BH29" i="85"/>
  <c r="BH72" i="85"/>
  <c r="BH73" i="85"/>
  <c r="BH78" i="85"/>
  <c r="BH77" i="85"/>
  <c r="BH66" i="84"/>
  <c r="AZ143" i="84"/>
  <c r="AZ145" i="84"/>
  <c r="AZ144" i="84"/>
  <c r="BH19" i="84"/>
  <c r="BH20" i="84"/>
  <c r="BH21" i="84"/>
  <c r="BH32" i="84"/>
  <c r="BH33" i="84"/>
  <c r="BH22" i="84"/>
  <c r="W79" i="84"/>
  <c r="AE81" i="84"/>
  <c r="AY18" i="84"/>
  <c r="AC79" i="84"/>
  <c r="Q80" i="84"/>
  <c r="Q81" i="84"/>
  <c r="AG81" i="84"/>
  <c r="AY66" i="84"/>
  <c r="AW98" i="84"/>
  <c r="AC80" i="84"/>
  <c r="U80" i="84"/>
  <c r="AW96" i="84"/>
  <c r="AY93" i="84"/>
  <c r="Y82" i="84"/>
  <c r="O82" i="84"/>
  <c r="AG80" i="84"/>
  <c r="W80" i="84"/>
  <c r="W82" i="84"/>
  <c r="AI80" i="84"/>
  <c r="S80" i="84"/>
  <c r="AY17" i="84"/>
  <c r="Q79" i="84"/>
  <c r="AE79" i="84"/>
  <c r="Y80" i="84"/>
  <c r="AE82" i="84"/>
  <c r="BH71" i="84"/>
  <c r="BH70" i="84"/>
  <c r="AU98" i="84"/>
  <c r="Y81" i="84"/>
  <c r="O81" i="84"/>
  <c r="AI79" i="84"/>
  <c r="AA79" i="84"/>
  <c r="S79" i="84"/>
  <c r="W81" i="84"/>
  <c r="Y79" i="84"/>
  <c r="O79" i="84"/>
  <c r="AU96" i="84"/>
  <c r="AY67" i="84"/>
  <c r="AY47" i="84"/>
  <c r="AY45" i="84"/>
  <c r="AY40" i="84"/>
  <c r="AY64" i="84"/>
  <c r="AY44" i="84"/>
  <c r="AY9" i="84"/>
  <c r="AY15" i="84"/>
  <c r="AY11" i="84"/>
  <c r="AY16" i="84"/>
  <c r="BH39" i="84"/>
  <c r="AY42" i="84"/>
  <c r="AY48" i="84"/>
  <c r="AY65" i="84"/>
  <c r="U79" i="84"/>
  <c r="AG79" i="84"/>
  <c r="AA80" i="84"/>
  <c r="AA81" i="84"/>
  <c r="Q82" i="84"/>
  <c r="AG82" i="84"/>
  <c r="AI82" i="84"/>
  <c r="AI81" i="84"/>
  <c r="U82" i="84"/>
  <c r="U81" i="84"/>
  <c r="AC82" i="84"/>
  <c r="AC81" i="84"/>
  <c r="BH80" i="84" l="1"/>
  <c r="BH16" i="84"/>
  <c r="AY89" i="87"/>
  <c r="BH142" i="87" s="1"/>
  <c r="AW105" i="87"/>
  <c r="AU110" i="87" s="1"/>
  <c r="BI15" i="87"/>
  <c r="BH154" i="87"/>
  <c r="BI13" i="87"/>
  <c r="BH152" i="87"/>
  <c r="BH161" i="87"/>
  <c r="BH156" i="87"/>
  <c r="BI14" i="87"/>
  <c r="AY146" i="84"/>
  <c r="AR88" i="86"/>
  <c r="AR88" i="85"/>
  <c r="BH142" i="86"/>
  <c r="BH143" i="86"/>
  <c r="BH149" i="86"/>
  <c r="BH153" i="86"/>
  <c r="BH151" i="86"/>
  <c r="BH142" i="85"/>
  <c r="BH151" i="85"/>
  <c r="BH149" i="85"/>
  <c r="BH143" i="85"/>
  <c r="BH153" i="85"/>
  <c r="BH83" i="84"/>
  <c r="BH84" i="84"/>
  <c r="BH68" i="84"/>
  <c r="BH69" i="84"/>
  <c r="AU102" i="84"/>
  <c r="BH29" i="84"/>
  <c r="BH28" i="84"/>
  <c r="BH147" i="84"/>
  <c r="AW102" i="84"/>
  <c r="AY92" i="84" s="1"/>
  <c r="BH27" i="84"/>
  <c r="BH26" i="84"/>
  <c r="AY142" i="84"/>
  <c r="BH13" i="84"/>
  <c r="BH14" i="84"/>
  <c r="BH78" i="84"/>
  <c r="BH77" i="84"/>
  <c r="AY90" i="84"/>
  <c r="AU99" i="84"/>
  <c r="AU100" i="84" s="1"/>
  <c r="AW99" i="84"/>
  <c r="AW100" i="84" s="1"/>
  <c r="BH109" i="84"/>
  <c r="BH110" i="84"/>
  <c r="BH17" i="84"/>
  <c r="BH18" i="84"/>
  <c r="BH76" i="84"/>
  <c r="BH75" i="84"/>
  <c r="BH82" i="84"/>
  <c r="BH81" i="84"/>
  <c r="BH111" i="84"/>
  <c r="BH112" i="84"/>
  <c r="BH145" i="84"/>
  <c r="BH73" i="84"/>
  <c r="BH72" i="84"/>
  <c r="BH25" i="84"/>
  <c r="BH24" i="84"/>
  <c r="BH107" i="84"/>
  <c r="BH108" i="84"/>
  <c r="BH114" i="84"/>
  <c r="BH113" i="84"/>
  <c r="BH30" i="84"/>
  <c r="BH31" i="84"/>
  <c r="BF38" i="83"/>
  <c r="BE38" i="83"/>
  <c r="BF37" i="83"/>
  <c r="BE37" i="83"/>
  <c r="AY4" i="83"/>
  <c r="AY3" i="83"/>
  <c r="AY2" i="83"/>
  <c r="AY1" i="83"/>
  <c r="BH151" i="84" l="1"/>
  <c r="AR88" i="84"/>
  <c r="BH143" i="84"/>
  <c r="BH149" i="84"/>
  <c r="BH153" i="84"/>
  <c r="BH142" i="84"/>
  <c r="BH49" i="83"/>
  <c r="BH45" i="83"/>
  <c r="BH46" i="83"/>
  <c r="BH48" i="83"/>
  <c r="BH47" i="83"/>
  <c r="BH35" i="83"/>
  <c r="BH38" i="83"/>
  <c r="AW98" i="83"/>
  <c r="AW96" i="83"/>
  <c r="BH36" i="83"/>
  <c r="BH39" i="83"/>
  <c r="BH37" i="83"/>
  <c r="AU96" i="83"/>
  <c r="AU98" i="83"/>
  <c r="AY91" i="83"/>
  <c r="BH146" i="83" s="1"/>
  <c r="AY93" i="83"/>
  <c r="BH147" i="83" s="1"/>
  <c r="AY40" i="83"/>
  <c r="AY66" i="83"/>
  <c r="AY48" i="83"/>
  <c r="AY47" i="83"/>
  <c r="AY41" i="83"/>
  <c r="AY67" i="83"/>
  <c r="AY45" i="83"/>
  <c r="AY42" i="83"/>
  <c r="AY65" i="83"/>
  <c r="AY46" i="83"/>
  <c r="AY39" i="83"/>
  <c r="AY64" i="83"/>
  <c r="AY44" i="83"/>
  <c r="AY11" i="83"/>
  <c r="AY19" i="83"/>
  <c r="BH33" i="83" s="1"/>
  <c r="AY13" i="83"/>
  <c r="AY16" i="83"/>
  <c r="BH27" i="83" s="1"/>
  <c r="AY12" i="83"/>
  <c r="AY9" i="83"/>
  <c r="AY17" i="83"/>
  <c r="BH29" i="83" s="1"/>
  <c r="AY18" i="83"/>
  <c r="AY15" i="83"/>
  <c r="BH25" i="83" s="1"/>
  <c r="AY10" i="83"/>
  <c r="BH152" i="83" l="1"/>
  <c r="BH145" i="83"/>
  <c r="AY142" i="83"/>
  <c r="AW99" i="83"/>
  <c r="AW100" i="83" s="1"/>
  <c r="BH26" i="83"/>
  <c r="BH32" i="83"/>
  <c r="BH24" i="83"/>
  <c r="BH28" i="83"/>
  <c r="BH30" i="83"/>
  <c r="BH31" i="83"/>
  <c r="BK159" i="83"/>
  <c r="BI159" i="83"/>
  <c r="BK158" i="83"/>
  <c r="BI158" i="83"/>
  <c r="BK157" i="83"/>
  <c r="BI157" i="83"/>
  <c r="BB150" i="83"/>
  <c r="AZ150" i="83"/>
  <c r="BI148" i="83"/>
  <c r="BB141" i="83"/>
  <c r="AZ141" i="83"/>
  <c r="BB140" i="83"/>
  <c r="AZ140" i="83"/>
  <c r="BB139" i="83"/>
  <c r="AZ139" i="83"/>
  <c r="BI144" i="83"/>
  <c r="BB138" i="83"/>
  <c r="AZ138" i="83"/>
  <c r="BB137" i="83"/>
  <c r="AZ137" i="83"/>
  <c r="BI141" i="83"/>
  <c r="BB136" i="83"/>
  <c r="AZ136" i="83"/>
  <c r="BI140" i="83"/>
  <c r="BB135" i="83"/>
  <c r="AZ135" i="83"/>
  <c r="BB134" i="83"/>
  <c r="AZ134" i="83"/>
  <c r="BI138" i="83"/>
  <c r="BB133" i="83"/>
  <c r="AZ133" i="83"/>
  <c r="BB132" i="83"/>
  <c r="AZ132" i="83"/>
  <c r="BI136" i="83"/>
  <c r="BB131" i="83"/>
  <c r="AZ131" i="83"/>
  <c r="BB130" i="83"/>
  <c r="AZ130" i="83"/>
  <c r="BB129" i="83"/>
  <c r="AZ129" i="83"/>
  <c r="BB128" i="83"/>
  <c r="AZ128" i="83"/>
  <c r="BB127" i="83"/>
  <c r="AZ127" i="83"/>
  <c r="BB126" i="83"/>
  <c r="AZ126" i="83"/>
  <c r="BB125" i="83"/>
  <c r="AZ125" i="83"/>
  <c r="BB124" i="83"/>
  <c r="AZ124" i="83"/>
  <c r="BB123" i="83"/>
  <c r="AZ123" i="83"/>
  <c r="BB122" i="83"/>
  <c r="AZ122" i="83"/>
  <c r="BB121" i="83"/>
  <c r="AZ121" i="83"/>
  <c r="BB120" i="83"/>
  <c r="AZ120" i="83"/>
  <c r="BB119" i="83"/>
  <c r="AZ119" i="83"/>
  <c r="BB118" i="83"/>
  <c r="AZ118" i="83"/>
  <c r="BB117" i="83"/>
  <c r="AZ117" i="83"/>
  <c r="BB116" i="83"/>
  <c r="AZ116" i="83"/>
  <c r="BB115" i="83"/>
  <c r="AZ115" i="83"/>
  <c r="BK119" i="83"/>
  <c r="BI119" i="83"/>
  <c r="BB114" i="83"/>
  <c r="AZ114" i="83"/>
  <c r="BB113" i="83"/>
  <c r="AZ113" i="83"/>
  <c r="BB112" i="83"/>
  <c r="AZ112" i="83"/>
  <c r="BB111" i="83"/>
  <c r="AZ111" i="83"/>
  <c r="BK115" i="83"/>
  <c r="BI115" i="83"/>
  <c r="BB110" i="83"/>
  <c r="AZ110" i="83"/>
  <c r="BB109" i="83"/>
  <c r="AZ109" i="83"/>
  <c r="BB108" i="83"/>
  <c r="AZ108" i="83"/>
  <c r="BB107" i="83"/>
  <c r="AZ107" i="83"/>
  <c r="BB106" i="83"/>
  <c r="AZ106" i="83"/>
  <c r="BB105" i="83"/>
  <c r="AZ105" i="83"/>
  <c r="BB104" i="83"/>
  <c r="AZ104" i="83"/>
  <c r="BB103" i="83"/>
  <c r="AZ103" i="83"/>
  <c r="BB102" i="83"/>
  <c r="AZ102" i="83"/>
  <c r="BB101" i="83"/>
  <c r="AZ101" i="83"/>
  <c r="BB100" i="83"/>
  <c r="AZ100" i="83"/>
  <c r="BB99" i="83"/>
  <c r="AZ99" i="83"/>
  <c r="BB98" i="83"/>
  <c r="AZ98" i="83"/>
  <c r="BB97" i="83"/>
  <c r="AZ97" i="83"/>
  <c r="BB96" i="83"/>
  <c r="AZ96" i="83"/>
  <c r="BB95" i="83"/>
  <c r="AZ95" i="83"/>
  <c r="BB94" i="83"/>
  <c r="AZ94" i="83"/>
  <c r="AI86" i="83"/>
  <c r="AG86" i="83"/>
  <c r="AE86" i="83"/>
  <c r="AC86" i="83"/>
  <c r="AA86" i="83"/>
  <c r="Y86" i="83"/>
  <c r="W86" i="83"/>
  <c r="U86" i="83"/>
  <c r="S86" i="83"/>
  <c r="Q86" i="83"/>
  <c r="O86" i="83"/>
  <c r="BK98" i="83"/>
  <c r="BI98" i="83"/>
  <c r="BB89" i="83"/>
  <c r="AZ89" i="83"/>
  <c r="BB88" i="83"/>
  <c r="AZ88" i="83"/>
  <c r="BB86" i="83"/>
  <c r="AZ86" i="83"/>
  <c r="BK91" i="83"/>
  <c r="BI91" i="83"/>
  <c r="BB83" i="83"/>
  <c r="AZ83" i="83"/>
  <c r="BB81" i="83"/>
  <c r="AZ81" i="83"/>
  <c r="BK85" i="83"/>
  <c r="BI85" i="83"/>
  <c r="BB72" i="83"/>
  <c r="AZ72" i="83"/>
  <c r="BB68" i="83"/>
  <c r="AZ68" i="83"/>
  <c r="BK74" i="83"/>
  <c r="BI74" i="83"/>
  <c r="BH111" i="83"/>
  <c r="BH107" i="83"/>
  <c r="BB59" i="83"/>
  <c r="AZ59" i="83"/>
  <c r="BB55" i="83"/>
  <c r="AZ55" i="83"/>
  <c r="BK57" i="83"/>
  <c r="BI57" i="83"/>
  <c r="BB49" i="83"/>
  <c r="AZ49" i="83"/>
  <c r="BH81" i="83"/>
  <c r="BB43" i="83"/>
  <c r="AZ43" i="83"/>
  <c r="BK50" i="83"/>
  <c r="BI50" i="83"/>
  <c r="BH72" i="83"/>
  <c r="BH69" i="83"/>
  <c r="BH67" i="83"/>
  <c r="BI62" i="83"/>
  <c r="BI60" i="83"/>
  <c r="BI43" i="83"/>
  <c r="BB34" i="83"/>
  <c r="AZ34" i="83"/>
  <c r="BK40" i="83"/>
  <c r="BI40" i="83"/>
  <c r="AZ31" i="83"/>
  <c r="BB30" i="83"/>
  <c r="AZ30" i="83"/>
  <c r="BK34" i="83"/>
  <c r="BI34" i="83"/>
  <c r="O17" i="83"/>
  <c r="BB20" i="83"/>
  <c r="AZ20" i="83"/>
  <c r="BH21" i="83"/>
  <c r="J13" i="83"/>
  <c r="BH20" i="83"/>
  <c r="BH17" i="83"/>
  <c r="F11" i="83"/>
  <c r="F10" i="83"/>
  <c r="BH13" i="83"/>
  <c r="F8" i="83"/>
  <c r="BI10" i="83"/>
  <c r="F7" i="83"/>
  <c r="O82" i="83" l="1"/>
  <c r="O81" i="83"/>
  <c r="W82" i="83"/>
  <c r="W81" i="83"/>
  <c r="AE82" i="83"/>
  <c r="AE81" i="83"/>
  <c r="Q82" i="83"/>
  <c r="Q81" i="83"/>
  <c r="Y82" i="83"/>
  <c r="Y81" i="83"/>
  <c r="AG82" i="83"/>
  <c r="AG81" i="83"/>
  <c r="S81" i="83"/>
  <c r="S82" i="83"/>
  <c r="AA81" i="83"/>
  <c r="AA82" i="83"/>
  <c r="AI81" i="83"/>
  <c r="AI82" i="83"/>
  <c r="U81" i="83"/>
  <c r="U82" i="83"/>
  <c r="AC81" i="83"/>
  <c r="AC82" i="83"/>
  <c r="S79" i="83"/>
  <c r="S80" i="83"/>
  <c r="AA79" i="83"/>
  <c r="AA80" i="83"/>
  <c r="AI80" i="83"/>
  <c r="AI79" i="83"/>
  <c r="U79" i="83"/>
  <c r="U80" i="83"/>
  <c r="AC79" i="83"/>
  <c r="AC80" i="83"/>
  <c r="O80" i="83"/>
  <c r="O79" i="83"/>
  <c r="W80" i="83"/>
  <c r="W79" i="83"/>
  <c r="AE79" i="83"/>
  <c r="AE80" i="83"/>
  <c r="Q80" i="83"/>
  <c r="Q79" i="83"/>
  <c r="Y80" i="83"/>
  <c r="Y79" i="83"/>
  <c r="AG80" i="83"/>
  <c r="AG79" i="83"/>
  <c r="BH68" i="83"/>
  <c r="BH14" i="83"/>
  <c r="BH73" i="83"/>
  <c r="BI65" i="83"/>
  <c r="BH18" i="83"/>
  <c r="BH16" i="83"/>
  <c r="BH15" i="83"/>
  <c r="AU99" i="83"/>
  <c r="AZ62" i="83"/>
  <c r="BI9" i="83"/>
  <c r="BI6" i="83"/>
  <c r="BI7" i="83"/>
  <c r="BI5" i="83"/>
  <c r="BI11" i="83"/>
  <c r="BI86" i="83"/>
  <c r="AZ57" i="83"/>
  <c r="BI102" i="83"/>
  <c r="AZ61" i="83"/>
  <c r="BI12" i="83"/>
  <c r="AZ37" i="83"/>
  <c r="BH77" i="83"/>
  <c r="BH78" i="83"/>
  <c r="BI90" i="83"/>
  <c r="BI135" i="83"/>
  <c r="AZ8" i="83"/>
  <c r="BH22" i="83"/>
  <c r="BI58" i="83"/>
  <c r="AZ35" i="83"/>
  <c r="AZ36" i="83"/>
  <c r="AZ38" i="83"/>
  <c r="BI54" i="83"/>
  <c r="AZ50" i="83"/>
  <c r="BI59" i="83"/>
  <c r="AZ54" i="83"/>
  <c r="BH66" i="83"/>
  <c r="BH82" i="83"/>
  <c r="AZ73" i="83"/>
  <c r="AZ79" i="83"/>
  <c r="AZ78" i="83"/>
  <c r="AZ76" i="83"/>
  <c r="AZ74" i="83"/>
  <c r="BI116" i="83"/>
  <c r="AZ80" i="83"/>
  <c r="AZ69" i="83"/>
  <c r="AZ21" i="83"/>
  <c r="AY146" i="83"/>
  <c r="BI51" i="83"/>
  <c r="AZ56" i="83"/>
  <c r="AZ71" i="83"/>
  <c r="BI8" i="83"/>
  <c r="BI44" i="83"/>
  <c r="BH75" i="83"/>
  <c r="BH76" i="83"/>
  <c r="BI53" i="83"/>
  <c r="BH84" i="83"/>
  <c r="BI88" i="83"/>
  <c r="BI89" i="83"/>
  <c r="AZ53" i="83"/>
  <c r="BI63" i="83"/>
  <c r="BH70" i="83"/>
  <c r="BH83" i="83"/>
  <c r="AZ32" i="83"/>
  <c r="BI55" i="83"/>
  <c r="AZ33" i="83"/>
  <c r="BH80" i="83"/>
  <c r="BH79" i="83"/>
  <c r="BI87" i="83"/>
  <c r="AZ51" i="83"/>
  <c r="AZ63" i="83"/>
  <c r="AZ6" i="83"/>
  <c r="AZ7" i="83"/>
  <c r="AZ23" i="83"/>
  <c r="BI41" i="83"/>
  <c r="AZ5" i="83"/>
  <c r="AZ22" i="83"/>
  <c r="AZ24" i="83"/>
  <c r="BH19" i="83"/>
  <c r="BI42" i="83"/>
  <c r="BI52" i="83"/>
  <c r="BI56" i="83"/>
  <c r="AZ52" i="83"/>
  <c r="BI61" i="83"/>
  <c r="BI93" i="83"/>
  <c r="BI95" i="83"/>
  <c r="BI94" i="83"/>
  <c r="AZ58" i="83"/>
  <c r="BI99" i="83"/>
  <c r="AZ60" i="83"/>
  <c r="BI105" i="83"/>
  <c r="BH71" i="83"/>
  <c r="BI117" i="83"/>
  <c r="AZ70" i="83"/>
  <c r="BI96" i="83"/>
  <c r="BI97" i="83"/>
  <c r="BH114" i="83"/>
  <c r="BH113" i="83"/>
  <c r="BI123" i="83"/>
  <c r="BI126" i="83"/>
  <c r="BI129" i="83"/>
  <c r="BI128" i="83"/>
  <c r="AZ77" i="83"/>
  <c r="BI131" i="83"/>
  <c r="BI133" i="83"/>
  <c r="BI132" i="83"/>
  <c r="BI137" i="83"/>
  <c r="AZ82" i="83"/>
  <c r="BH110" i="83"/>
  <c r="BH109" i="83"/>
  <c r="BI121" i="83"/>
  <c r="BI120" i="83"/>
  <c r="BI118" i="83"/>
  <c r="BI125" i="83"/>
  <c r="BI124" i="83"/>
  <c r="AZ75" i="83"/>
  <c r="BI92" i="83"/>
  <c r="BI103" i="83"/>
  <c r="BI104" i="83"/>
  <c r="BH108" i="83"/>
  <c r="BH112" i="83"/>
  <c r="BI122" i="83"/>
  <c r="BI130" i="83"/>
  <c r="BI134" i="83"/>
  <c r="N192" i="2"/>
  <c r="F192" i="2" s="1"/>
  <c r="BH151" i="83" l="1"/>
  <c r="AU102" i="83"/>
  <c r="AY90" i="83" s="1"/>
  <c r="AW102" i="83"/>
  <c r="AY92" i="83" s="1"/>
  <c r="BH143" i="83" s="1"/>
  <c r="AU100" i="83"/>
  <c r="AR88" i="83" s="1"/>
  <c r="BI106" i="83"/>
  <c r="BI100" i="83"/>
  <c r="BI127" i="83"/>
  <c r="BH149" i="83"/>
  <c r="BH153" i="83"/>
  <c r="BI64" i="83"/>
  <c r="BI101" i="83"/>
  <c r="E212" i="3"/>
  <c r="E211" i="3"/>
  <c r="E210" i="3"/>
  <c r="E209" i="3"/>
  <c r="E208" i="3"/>
  <c r="E207" i="3"/>
  <c r="F383" i="2" l="1"/>
  <c r="C387" i="2"/>
  <c r="BH142" i="83"/>
  <c r="E13" i="3"/>
  <c r="B2" i="87" l="1"/>
  <c r="B67" i="85"/>
  <c r="B67" i="87"/>
  <c r="B2" i="86"/>
  <c r="B2" i="85"/>
  <c r="B67" i="86"/>
  <c r="B67" i="84"/>
  <c r="B2" i="84"/>
  <c r="B2" i="83"/>
  <c r="B67" i="83"/>
  <c r="Q7" i="2"/>
  <c r="T7" i="2"/>
  <c r="Y7" i="2"/>
  <c r="Y8" i="2"/>
  <c r="Y9" i="2"/>
  <c r="Y10" i="2"/>
  <c r="N208" i="2"/>
  <c r="F208" i="2" s="1"/>
  <c r="I208" i="2" s="1"/>
  <c r="N289" i="2"/>
  <c r="F289" i="2" s="1"/>
  <c r="I289" i="2" s="1"/>
  <c r="N290" i="2"/>
  <c r="F290" i="2" s="1"/>
  <c r="I290" i="2" s="1"/>
  <c r="N291" i="2"/>
  <c r="F291" i="2" s="1"/>
  <c r="I291" i="2" s="1"/>
  <c r="N292" i="2"/>
  <c r="F292" i="2" s="1"/>
  <c r="I292" i="2" s="1"/>
  <c r="N359" i="2"/>
  <c r="N366" i="2"/>
  <c r="N368" i="2"/>
  <c r="N369" i="2"/>
  <c r="N371" i="2"/>
  <c r="N372" i="2"/>
  <c r="N373" i="2"/>
  <c r="N374" i="2"/>
  <c r="N375" i="2"/>
  <c r="N376" i="2"/>
  <c r="N377" i="2"/>
  <c r="N378" i="2"/>
  <c r="N379" i="2"/>
  <c r="N380" i="2"/>
  <c r="N381" i="2"/>
  <c r="B365" i="2"/>
  <c r="B364" i="2"/>
  <c r="AU130" i="67" s="1"/>
  <c r="AV130" i="67" s="1"/>
  <c r="B363" i="2"/>
  <c r="AU109" i="76" s="1"/>
  <c r="B362" i="2"/>
  <c r="AU128" i="1" s="1"/>
  <c r="AV128" i="1" s="1"/>
  <c r="B361" i="2"/>
  <c r="AU104" i="78" s="1"/>
  <c r="B360" i="2"/>
  <c r="D360" i="2" s="1"/>
  <c r="E364" i="2"/>
  <c r="BD105" i="68"/>
  <c r="BF105" i="68" s="1"/>
  <c r="BD130" i="1"/>
  <c r="AU127" i="71"/>
  <c r="AW127" i="71" s="1"/>
  <c r="AU103" i="69"/>
  <c r="AV103" i="69" s="1"/>
  <c r="AU73" i="77"/>
  <c r="AW73" i="77" s="1"/>
  <c r="BD137" i="70"/>
  <c r="BE137" i="70" s="1"/>
  <c r="AU128" i="71"/>
  <c r="AU110" i="76"/>
  <c r="AW110" i="76" s="1"/>
  <c r="BD109" i="76"/>
  <c r="BE109" i="76" s="1"/>
  <c r="AU116" i="75"/>
  <c r="AW116" i="75" s="1"/>
  <c r="AU105" i="78"/>
  <c r="AW105" i="78" s="1"/>
  <c r="AU91" i="80"/>
  <c r="AU85" i="81"/>
  <c r="AW85" i="81" s="1"/>
  <c r="AU73" i="82"/>
  <c r="AV73" i="82" s="1"/>
  <c r="BD72" i="77"/>
  <c r="BF72" i="77" s="1"/>
  <c r="BD102" i="69"/>
  <c r="BF102" i="69" s="1"/>
  <c r="BD134" i="71"/>
  <c r="BE134" i="71" s="1"/>
  <c r="BD108" i="76"/>
  <c r="BE108" i="76" s="1"/>
  <c r="BD114" i="75"/>
  <c r="BD89" i="80"/>
  <c r="BE89" i="80" s="1"/>
  <c r="BD71" i="82"/>
  <c r="BE71" i="82" s="1"/>
  <c r="C360" i="2"/>
  <c r="L360" i="2"/>
  <c r="AU70" i="77"/>
  <c r="AU74" i="77"/>
  <c r="AW74" i="77" s="1"/>
  <c r="AU129" i="1"/>
  <c r="AV129" i="1" s="1"/>
  <c r="BD70" i="77"/>
  <c r="BD74" i="77"/>
  <c r="BE74" i="77" s="1"/>
  <c r="BD128" i="66"/>
  <c r="BE128" i="66" s="1"/>
  <c r="BD130" i="67"/>
  <c r="BD103" i="68"/>
  <c r="BF103" i="68" s="1"/>
  <c r="BD104" i="69"/>
  <c r="BF104" i="69" s="1"/>
  <c r="AU135" i="70"/>
  <c r="AW135" i="70" s="1"/>
  <c r="BD134" i="70"/>
  <c r="BD136" i="71"/>
  <c r="BE136" i="71" s="1"/>
  <c r="AU135" i="73"/>
  <c r="AV135" i="73" s="1"/>
  <c r="BD134" i="73"/>
  <c r="BE134" i="73" s="1"/>
  <c r="BD110" i="76"/>
  <c r="BD140" i="74"/>
  <c r="BF140" i="74" s="1"/>
  <c r="BD116" i="75"/>
  <c r="BE116" i="75" s="1"/>
  <c r="BD105" i="78"/>
  <c r="BF105" i="78" s="1"/>
  <c r="BD91" i="80"/>
  <c r="AU86" i="81"/>
  <c r="AV86" i="81" s="1"/>
  <c r="BD85" i="81"/>
  <c r="BF85" i="81" s="1"/>
  <c r="BD73" i="82"/>
  <c r="BE73" i="82" s="1"/>
  <c r="AU72" i="77"/>
  <c r="E360" i="2"/>
  <c r="C362" i="2"/>
  <c r="L363" i="2"/>
  <c r="AU130" i="1"/>
  <c r="BD129" i="1"/>
  <c r="BE129" i="1" s="1"/>
  <c r="AU122" i="66"/>
  <c r="AV122" i="66" s="1"/>
  <c r="BD129" i="66"/>
  <c r="BE129" i="66" s="1"/>
  <c r="AU128" i="67"/>
  <c r="BD131" i="67"/>
  <c r="AU105" i="68"/>
  <c r="AV105" i="68" s="1"/>
  <c r="BD104" i="68"/>
  <c r="BF104" i="68" s="1"/>
  <c r="AU102" i="69"/>
  <c r="BD101" i="69"/>
  <c r="AU136" i="70"/>
  <c r="AV136" i="70" s="1"/>
  <c r="BD135" i="70"/>
  <c r="BE135" i="70" s="1"/>
  <c r="AU126" i="71"/>
  <c r="AU136" i="73"/>
  <c r="BD135" i="73"/>
  <c r="BF135" i="73" s="1"/>
  <c r="AU108" i="76"/>
  <c r="AV108" i="76" s="1"/>
  <c r="AU142" i="74"/>
  <c r="BD141" i="74"/>
  <c r="BF141" i="74" s="1"/>
  <c r="AU114" i="75"/>
  <c r="AV114" i="75" s="1"/>
  <c r="AU107" i="78"/>
  <c r="AV107" i="78" s="1"/>
  <c r="BD106" i="78"/>
  <c r="AU89" i="80"/>
  <c r="AV89" i="80" s="1"/>
  <c r="AU87" i="81"/>
  <c r="AW87" i="81" s="1"/>
  <c r="BD86" i="81"/>
  <c r="BF86" i="81" s="1"/>
  <c r="AU71" i="82"/>
  <c r="E362" i="2"/>
  <c r="K362" i="2"/>
  <c r="D363" i="2"/>
  <c r="C364" i="2"/>
  <c r="D362" i="2"/>
  <c r="E363" i="2"/>
  <c r="D364" i="2"/>
  <c r="K364" i="2"/>
  <c r="L364" i="2"/>
  <c r="BH74" i="77"/>
  <c r="BH73" i="82"/>
  <c r="AZ75" i="82"/>
  <c r="BB75" i="82"/>
  <c r="AZ76" i="82"/>
  <c r="BB76" i="82"/>
  <c r="AZ77" i="82"/>
  <c r="BB77" i="82"/>
  <c r="AZ78" i="82"/>
  <c r="BB78" i="82"/>
  <c r="BH87" i="81"/>
  <c r="BH91" i="80"/>
  <c r="BH107" i="78"/>
  <c r="B190" i="2"/>
  <c r="D190" i="2" s="1"/>
  <c r="B140" i="2"/>
  <c r="E140" i="2" s="1"/>
  <c r="B109" i="2"/>
  <c r="E109" i="2" s="1"/>
  <c r="B68" i="2"/>
  <c r="D68" i="2" s="1"/>
  <c r="BH104" i="69"/>
  <c r="BB107" i="68"/>
  <c r="AZ107" i="68"/>
  <c r="BH105" i="68"/>
  <c r="BH130" i="67"/>
  <c r="BH130" i="66"/>
  <c r="BH130" i="1"/>
  <c r="L607" i="7"/>
  <c r="L606" i="7"/>
  <c r="L605" i="7"/>
  <c r="L604" i="7"/>
  <c r="L603" i="7"/>
  <c r="AY48" i="74"/>
  <c r="BH76" i="74" s="1"/>
  <c r="BH21" i="75"/>
  <c r="BH25" i="74"/>
  <c r="BH21" i="76"/>
  <c r="BH25" i="73"/>
  <c r="BH25" i="70"/>
  <c r="BH21" i="69"/>
  <c r="BH22" i="68"/>
  <c r="BH25" i="67"/>
  <c r="BH25" i="66"/>
  <c r="BH25" i="1"/>
  <c r="BH15" i="77"/>
  <c r="BH71" i="77" s="1"/>
  <c r="BD79" i="4"/>
  <c r="AY35" i="80"/>
  <c r="BH59" i="80" s="1"/>
  <c r="BH35" i="80"/>
  <c r="BH43" i="78"/>
  <c r="BH44" i="78" s="1"/>
  <c r="AY19" i="82"/>
  <c r="BH29" i="82" s="1"/>
  <c r="AY18" i="82"/>
  <c r="BH28" i="82" s="1"/>
  <c r="AY17" i="82"/>
  <c r="BH27" i="82" s="1"/>
  <c r="AY16" i="82"/>
  <c r="BH26" i="82" s="1"/>
  <c r="AY15" i="82"/>
  <c r="BH25" i="82" s="1"/>
  <c r="AY14" i="82"/>
  <c r="BH24" i="82" s="1"/>
  <c r="AY13" i="82"/>
  <c r="BH23" i="82" s="1"/>
  <c r="BB82" i="82"/>
  <c r="AZ82" i="82"/>
  <c r="BB81" i="82"/>
  <c r="AZ81" i="82"/>
  <c r="BB80" i="82"/>
  <c r="AZ80" i="82"/>
  <c r="BB79" i="82"/>
  <c r="AZ79" i="82"/>
  <c r="BK82" i="82"/>
  <c r="BI82" i="82"/>
  <c r="BK81" i="82"/>
  <c r="BI81" i="82"/>
  <c r="BK80" i="82"/>
  <c r="BI80" i="82"/>
  <c r="BK79" i="82"/>
  <c r="BI79" i="82"/>
  <c r="BK69" i="82"/>
  <c r="BI69" i="82"/>
  <c r="BK67" i="82"/>
  <c r="BI67" i="82"/>
  <c r="BB69" i="82"/>
  <c r="AZ69" i="82"/>
  <c r="BB68" i="82"/>
  <c r="AZ68" i="82"/>
  <c r="BB67" i="82"/>
  <c r="AZ67" i="82"/>
  <c r="BB66" i="82"/>
  <c r="AZ66" i="82"/>
  <c r="BB65" i="82"/>
  <c r="AZ65" i="82"/>
  <c r="BB64" i="82"/>
  <c r="AZ64" i="82"/>
  <c r="BB63" i="82"/>
  <c r="AZ63" i="82"/>
  <c r="BB62" i="82"/>
  <c r="AZ62" i="82"/>
  <c r="BB61" i="82"/>
  <c r="AZ61" i="82"/>
  <c r="BB60" i="82"/>
  <c r="AZ60" i="82"/>
  <c r="BB59" i="82"/>
  <c r="AZ59" i="82"/>
  <c r="BB58" i="82"/>
  <c r="AZ58" i="82"/>
  <c r="BB57" i="82"/>
  <c r="AZ57" i="82"/>
  <c r="BK54" i="82"/>
  <c r="BI54" i="82"/>
  <c r="BB56" i="82"/>
  <c r="AZ56" i="82"/>
  <c r="BB55" i="82"/>
  <c r="AZ55" i="82"/>
  <c r="BB54" i="82"/>
  <c r="AZ54" i="82"/>
  <c r="BB53" i="82"/>
  <c r="AZ53" i="82"/>
  <c r="BB52" i="82"/>
  <c r="AZ52" i="82"/>
  <c r="BB51" i="82"/>
  <c r="AZ51" i="82"/>
  <c r="BB50" i="82"/>
  <c r="AZ50" i="82"/>
  <c r="BB49" i="82"/>
  <c r="AZ49" i="82"/>
  <c r="BB48" i="82"/>
  <c r="AZ48" i="82"/>
  <c r="BB47" i="82"/>
  <c r="AZ47" i="82"/>
  <c r="BB46" i="82"/>
  <c r="AZ46" i="82"/>
  <c r="BK43" i="82"/>
  <c r="BI43" i="82"/>
  <c r="BB45" i="82"/>
  <c r="AZ45" i="82"/>
  <c r="BB44" i="82"/>
  <c r="AZ44" i="82"/>
  <c r="BB42" i="82"/>
  <c r="AZ42" i="82"/>
  <c r="BB40" i="82"/>
  <c r="AZ40" i="82"/>
  <c r="AY39" i="82"/>
  <c r="BH66" i="82" s="1"/>
  <c r="AY38" i="82"/>
  <c r="BH64" i="82" s="1"/>
  <c r="AY37" i="82"/>
  <c r="BH61" i="82" s="1"/>
  <c r="AY36" i="82"/>
  <c r="BH59" i="82" s="1"/>
  <c r="AY35" i="82"/>
  <c r="BH57" i="82" s="1"/>
  <c r="AY34" i="82"/>
  <c r="BH55" i="82" s="1"/>
  <c r="BB33" i="82"/>
  <c r="AZ33" i="82"/>
  <c r="AY32" i="82"/>
  <c r="BH52" i="82" s="1"/>
  <c r="AY31" i="82"/>
  <c r="BH51" i="82" s="1"/>
  <c r="BK30" i="82"/>
  <c r="BI30" i="82"/>
  <c r="AY30" i="82"/>
  <c r="BH48" i="82" s="1"/>
  <c r="AY29" i="82"/>
  <c r="BH46" i="82" s="1"/>
  <c r="AY28" i="82"/>
  <c r="BH44" i="82" s="1"/>
  <c r="BB27" i="82"/>
  <c r="AZ27" i="82"/>
  <c r="AY26" i="82"/>
  <c r="BH41" i="82" s="1"/>
  <c r="AY25" i="82"/>
  <c r="BH39" i="82" s="1"/>
  <c r="AY24" i="82"/>
  <c r="BH38" i="82" s="1"/>
  <c r="AY23" i="82"/>
  <c r="BH36" i="82" s="1"/>
  <c r="AY22" i="82"/>
  <c r="BH33" i="82" s="1"/>
  <c r="AY21" i="82"/>
  <c r="BH32" i="82" s="1"/>
  <c r="BK22" i="82"/>
  <c r="BI22" i="82"/>
  <c r="BH21" i="82"/>
  <c r="BH20" i="82"/>
  <c r="BB20" i="82"/>
  <c r="AZ20" i="82"/>
  <c r="BK19" i="82"/>
  <c r="BI19" i="82"/>
  <c r="O17" i="82"/>
  <c r="BB12" i="82"/>
  <c r="AZ12" i="82"/>
  <c r="AY11" i="82"/>
  <c r="BH17" i="82" s="1"/>
  <c r="J13" i="82"/>
  <c r="AY10" i="82"/>
  <c r="BH15" i="82" s="1"/>
  <c r="AY9" i="82"/>
  <c r="BH13" i="82" s="1"/>
  <c r="F11" i="82"/>
  <c r="AY8" i="82"/>
  <c r="BH11" i="82" s="1"/>
  <c r="F10" i="82"/>
  <c r="AY7" i="82"/>
  <c r="BH9" i="82" s="1"/>
  <c r="AY6" i="82"/>
  <c r="BH8" i="82" s="1"/>
  <c r="F8" i="82"/>
  <c r="AY5" i="82"/>
  <c r="BH6" i="82" s="1"/>
  <c r="F7" i="82"/>
  <c r="AP79" i="4"/>
  <c r="AB79" i="4"/>
  <c r="M79" i="4"/>
  <c r="AY13" i="81"/>
  <c r="BH22" i="81" s="1"/>
  <c r="AY12" i="81"/>
  <c r="BH20" i="81" s="1"/>
  <c r="AY11" i="81"/>
  <c r="BH17" i="81" s="1"/>
  <c r="AY10" i="81"/>
  <c r="BH16" i="81" s="1"/>
  <c r="AY9" i="81"/>
  <c r="BH13" i="81" s="1"/>
  <c r="AY8" i="81"/>
  <c r="BH12" i="81" s="1"/>
  <c r="AY7" i="81"/>
  <c r="BH10" i="81" s="1"/>
  <c r="AY6" i="81"/>
  <c r="BH8" i="81" s="1"/>
  <c r="AY5" i="81"/>
  <c r="BH5" i="81" s="1"/>
  <c r="BB91" i="81"/>
  <c r="AZ91" i="81"/>
  <c r="BB90" i="81"/>
  <c r="AZ90" i="81"/>
  <c r="BK91" i="81"/>
  <c r="BI91" i="81"/>
  <c r="BK90" i="81"/>
  <c r="BI90" i="81"/>
  <c r="BK83" i="81"/>
  <c r="BI83" i="81"/>
  <c r="BK81" i="81"/>
  <c r="BI81" i="81"/>
  <c r="BB83" i="81"/>
  <c r="AZ83" i="81"/>
  <c r="BB82" i="81"/>
  <c r="AZ82" i="81"/>
  <c r="BB81" i="81"/>
  <c r="AZ81" i="81"/>
  <c r="BB80" i="81"/>
  <c r="AZ80" i="81"/>
  <c r="BB79" i="81"/>
  <c r="AZ79" i="81"/>
  <c r="BB78" i="81"/>
  <c r="AZ78" i="81"/>
  <c r="BB77" i="81"/>
  <c r="AZ77" i="81"/>
  <c r="BB76" i="81"/>
  <c r="AZ76" i="81"/>
  <c r="BB75" i="81"/>
  <c r="AZ75" i="81"/>
  <c r="BB74" i="81"/>
  <c r="AZ74" i="81"/>
  <c r="BK64" i="81"/>
  <c r="BI64" i="81"/>
  <c r="BB73" i="81"/>
  <c r="AZ73" i="81"/>
  <c r="BB72" i="81"/>
  <c r="AZ72" i="81"/>
  <c r="BB71" i="81"/>
  <c r="AZ71" i="81"/>
  <c r="BB70" i="81"/>
  <c r="AZ70" i="81"/>
  <c r="BB69" i="81"/>
  <c r="AZ69" i="81"/>
  <c r="BB68" i="81"/>
  <c r="AZ68" i="81"/>
  <c r="BB67" i="81"/>
  <c r="AZ67" i="81"/>
  <c r="BB66" i="81"/>
  <c r="AZ66" i="81"/>
  <c r="BB65" i="81"/>
  <c r="AZ65" i="81"/>
  <c r="BB64" i="81"/>
  <c r="AZ64" i="81"/>
  <c r="BB63" i="81"/>
  <c r="AZ63" i="81"/>
  <c r="BK53" i="81"/>
  <c r="BI53" i="81"/>
  <c r="BB62" i="81"/>
  <c r="AZ62" i="81"/>
  <c r="BB61" i="81"/>
  <c r="AZ61" i="81"/>
  <c r="BB60" i="81"/>
  <c r="AZ60" i="81"/>
  <c r="BB59" i="81"/>
  <c r="AZ59" i="81"/>
  <c r="BB58" i="81"/>
  <c r="AZ58" i="81"/>
  <c r="BB57" i="81"/>
  <c r="AZ57" i="81"/>
  <c r="BB56" i="81"/>
  <c r="AZ56" i="81"/>
  <c r="BB55" i="81"/>
  <c r="AZ55" i="81"/>
  <c r="BB54" i="81"/>
  <c r="AZ54" i="81"/>
  <c r="BB53" i="81"/>
  <c r="AZ53" i="81"/>
  <c r="BB52" i="81"/>
  <c r="AZ52" i="81"/>
  <c r="BB50" i="81"/>
  <c r="AZ50" i="81"/>
  <c r="BB48" i="81"/>
  <c r="AZ48" i="81"/>
  <c r="AY47" i="81"/>
  <c r="AY46" i="81"/>
  <c r="BH78" i="81" s="1"/>
  <c r="BK36" i="81"/>
  <c r="BI36" i="81"/>
  <c r="AY45" i="81"/>
  <c r="BH76" i="81" s="1"/>
  <c r="BH35" i="81"/>
  <c r="AY44" i="81"/>
  <c r="BH73" i="81" s="1"/>
  <c r="BH34" i="81"/>
  <c r="AY43" i="81"/>
  <c r="BH72" i="81" s="1"/>
  <c r="BH33" i="81"/>
  <c r="AY42" i="81"/>
  <c r="BH69" i="81" s="1"/>
  <c r="BH32" i="81"/>
  <c r="AY41" i="81"/>
  <c r="BH67" i="81" s="1"/>
  <c r="BH31" i="81"/>
  <c r="AY40" i="81"/>
  <c r="BH66" i="81" s="1"/>
  <c r="BH30" i="81"/>
  <c r="BB39" i="81"/>
  <c r="AZ39" i="81"/>
  <c r="BH29" i="81"/>
  <c r="AY38" i="81"/>
  <c r="BH62" i="81" s="1"/>
  <c r="BH28" i="81"/>
  <c r="AY37" i="81"/>
  <c r="BH60" i="81" s="1"/>
  <c r="BH27" i="81"/>
  <c r="AY36" i="81"/>
  <c r="BH58" i="81" s="1"/>
  <c r="BK26" i="81"/>
  <c r="BI26" i="81"/>
  <c r="AY35" i="81"/>
  <c r="BH57" i="81" s="1"/>
  <c r="BH25" i="81"/>
  <c r="AY34" i="81"/>
  <c r="BH54" i="81" s="1"/>
  <c r="BH24" i="81"/>
  <c r="BB33" i="81"/>
  <c r="AZ33" i="81"/>
  <c r="BK23" i="81"/>
  <c r="BI23" i="81"/>
  <c r="AY32" i="81"/>
  <c r="BH52" i="81" s="1"/>
  <c r="AY31" i="81"/>
  <c r="BH49" i="81" s="1"/>
  <c r="AY30" i="81"/>
  <c r="BH47" i="81" s="1"/>
  <c r="AY29" i="81"/>
  <c r="BH45" i="81" s="1"/>
  <c r="AY28" i="81"/>
  <c r="BH44" i="81" s="1"/>
  <c r="AY27" i="81"/>
  <c r="BH42" i="81" s="1"/>
  <c r="AY26" i="81"/>
  <c r="BH40" i="81" s="1"/>
  <c r="AY25" i="81"/>
  <c r="BH37" i="81" s="1"/>
  <c r="BB24" i="81"/>
  <c r="AZ24" i="81"/>
  <c r="BB14" i="81"/>
  <c r="AZ14" i="81"/>
  <c r="O17" i="81"/>
  <c r="J13" i="81"/>
  <c r="F11" i="81"/>
  <c r="F10" i="81"/>
  <c r="F8" i="81"/>
  <c r="F7" i="81"/>
  <c r="BK96" i="80"/>
  <c r="BK95" i="80"/>
  <c r="BK94" i="80"/>
  <c r="BK93" i="80"/>
  <c r="BK87" i="80"/>
  <c r="BK85" i="80"/>
  <c r="BI96" i="80"/>
  <c r="BI95" i="80"/>
  <c r="BI94" i="80"/>
  <c r="BI93" i="80"/>
  <c r="BI87" i="80"/>
  <c r="BI85" i="80"/>
  <c r="BB96" i="80"/>
  <c r="AZ96" i="80"/>
  <c r="BB95" i="80"/>
  <c r="AZ95" i="80"/>
  <c r="BB94" i="80"/>
  <c r="AZ94" i="80"/>
  <c r="BB87" i="80"/>
  <c r="AZ87" i="80"/>
  <c r="BB86" i="80"/>
  <c r="AZ86" i="80"/>
  <c r="BB85" i="80"/>
  <c r="AZ85" i="80"/>
  <c r="BB84" i="80"/>
  <c r="AZ84" i="80"/>
  <c r="BB83" i="80"/>
  <c r="AZ83" i="80"/>
  <c r="BB82" i="80"/>
  <c r="AZ82" i="80"/>
  <c r="BB81" i="80"/>
  <c r="AZ81" i="80"/>
  <c r="BB80" i="80"/>
  <c r="AZ80" i="80"/>
  <c r="BB79" i="80"/>
  <c r="AZ79" i="80"/>
  <c r="BB78" i="80"/>
  <c r="AZ78" i="80"/>
  <c r="BB77" i="80"/>
  <c r="AZ77" i="80"/>
  <c r="BB76" i="80"/>
  <c r="AZ76" i="80"/>
  <c r="BK70" i="80"/>
  <c r="BI70" i="80"/>
  <c r="BB75" i="80"/>
  <c r="AZ75" i="80"/>
  <c r="BB74" i="80"/>
  <c r="AZ74" i="80"/>
  <c r="BB73" i="80"/>
  <c r="AZ73" i="80"/>
  <c r="BB72" i="80"/>
  <c r="AZ72" i="80"/>
  <c r="BB71" i="80"/>
  <c r="AZ71" i="80"/>
  <c r="BB70" i="80"/>
  <c r="AZ70" i="80"/>
  <c r="BB69" i="80"/>
  <c r="AZ69" i="80"/>
  <c r="BB68" i="80"/>
  <c r="AZ68" i="80"/>
  <c r="BB67" i="80"/>
  <c r="AZ67" i="80"/>
  <c r="BB66" i="80"/>
  <c r="AZ66" i="80"/>
  <c r="BB65" i="80"/>
  <c r="AZ65" i="80"/>
  <c r="BK61" i="80"/>
  <c r="BI61" i="80"/>
  <c r="BB64" i="80"/>
  <c r="AZ64" i="80"/>
  <c r="BB63" i="80"/>
  <c r="AZ63" i="80"/>
  <c r="BB62" i="80"/>
  <c r="AZ62" i="80"/>
  <c r="BB61" i="80"/>
  <c r="AZ61" i="80"/>
  <c r="BB60" i="80"/>
  <c r="AZ60" i="80"/>
  <c r="BB59" i="80"/>
  <c r="AZ59" i="80"/>
  <c r="BB58" i="80"/>
  <c r="AZ58" i="80"/>
  <c r="BB57" i="80"/>
  <c r="AZ57" i="80"/>
  <c r="BB56" i="80"/>
  <c r="AZ56" i="80"/>
  <c r="BB55" i="80"/>
  <c r="AZ55" i="80"/>
  <c r="BB54" i="80"/>
  <c r="AZ54" i="80"/>
  <c r="BB52" i="80"/>
  <c r="AZ52" i="80"/>
  <c r="BB49" i="80"/>
  <c r="AZ49" i="80"/>
  <c r="AY48" i="80"/>
  <c r="BH83" i="80" s="1"/>
  <c r="AY47" i="80"/>
  <c r="BH82" i="80" s="1"/>
  <c r="BK46" i="80"/>
  <c r="BI46" i="80"/>
  <c r="AY46" i="80"/>
  <c r="BH80" i="80" s="1"/>
  <c r="AY45" i="80"/>
  <c r="BH78" i="80" s="1"/>
  <c r="BH45" i="80"/>
  <c r="AY44" i="80"/>
  <c r="BH76" i="80" s="1"/>
  <c r="BH44" i="80"/>
  <c r="AY43" i="80"/>
  <c r="BH74" i="80" s="1"/>
  <c r="BH43" i="80"/>
  <c r="AY42" i="80"/>
  <c r="BH72" i="80" s="1"/>
  <c r="BH42" i="80"/>
  <c r="BH41" i="80"/>
  <c r="BB41" i="80"/>
  <c r="AZ41" i="80"/>
  <c r="BH40" i="80"/>
  <c r="BH39" i="80"/>
  <c r="AY40" i="80"/>
  <c r="BH69" i="80" s="1"/>
  <c r="AY39" i="80"/>
  <c r="BH66" i="80" s="1"/>
  <c r="BK38" i="80"/>
  <c r="BI38" i="80"/>
  <c r="AY38" i="80"/>
  <c r="BH65" i="80" s="1"/>
  <c r="BH37" i="80"/>
  <c r="AY37" i="80"/>
  <c r="BH62" i="80" s="1"/>
  <c r="BB36" i="80"/>
  <c r="AZ36" i="80"/>
  <c r="BK34" i="80"/>
  <c r="BI34" i="80"/>
  <c r="AY34" i="80"/>
  <c r="BH58" i="80" s="1"/>
  <c r="AY33" i="80"/>
  <c r="BH55" i="80" s="1"/>
  <c r="AY32" i="80"/>
  <c r="BH54" i="80" s="1"/>
  <c r="AY31" i="80"/>
  <c r="BH52" i="80" s="1"/>
  <c r="AY30" i="80"/>
  <c r="BH49" i="80" s="1"/>
  <c r="AY29" i="80"/>
  <c r="BH48" i="80" s="1"/>
  <c r="BB28" i="80"/>
  <c r="AZ28" i="80"/>
  <c r="BB20" i="80"/>
  <c r="AZ20" i="80"/>
  <c r="BK19" i="80"/>
  <c r="BI19" i="80"/>
  <c r="O17" i="80"/>
  <c r="J13" i="80"/>
  <c r="AY11" i="80"/>
  <c r="BH18" i="80" s="1"/>
  <c r="BH33" i="80" s="1"/>
  <c r="AY10" i="80"/>
  <c r="BH16" i="80" s="1"/>
  <c r="BH31" i="80" s="1"/>
  <c r="F11" i="80"/>
  <c r="AY9" i="80"/>
  <c r="BH14" i="80" s="1"/>
  <c r="BH29" i="80" s="1"/>
  <c r="F10" i="80"/>
  <c r="AY8" i="80"/>
  <c r="AY16" i="80" s="1"/>
  <c r="AY7" i="80"/>
  <c r="BH10" i="80" s="1"/>
  <c r="F8" i="80"/>
  <c r="AY6" i="80"/>
  <c r="BH8" i="80" s="1"/>
  <c r="BH23" i="80" s="1"/>
  <c r="F7" i="80"/>
  <c r="AY5" i="80"/>
  <c r="BH5" i="80" s="1"/>
  <c r="BH20" i="80" s="1"/>
  <c r="B2" i="80"/>
  <c r="BH55" i="78"/>
  <c r="BH54" i="78"/>
  <c r="BH53" i="78"/>
  <c r="BH52" i="78"/>
  <c r="BH51" i="78"/>
  <c r="BH50" i="78"/>
  <c r="BH49" i="78"/>
  <c r="BH48" i="78"/>
  <c r="BH47" i="78"/>
  <c r="BH45" i="78"/>
  <c r="AY57" i="78"/>
  <c r="BH99" i="78" s="1"/>
  <c r="AY56" i="78"/>
  <c r="BH98" i="78" s="1"/>
  <c r="AY55" i="78"/>
  <c r="BH96" i="78" s="1"/>
  <c r="AY54" i="78"/>
  <c r="BH93" i="78" s="1"/>
  <c r="AY53" i="78"/>
  <c r="BH91" i="78" s="1"/>
  <c r="AY52" i="78"/>
  <c r="BH90" i="78" s="1"/>
  <c r="AY51" i="78"/>
  <c r="BH87" i="78" s="1"/>
  <c r="AY50" i="78"/>
  <c r="BH86" i="78" s="1"/>
  <c r="AY42" i="78"/>
  <c r="BH72" i="78" s="1"/>
  <c r="AY41" i="78"/>
  <c r="BH70" i="78" s="1"/>
  <c r="AY40" i="78"/>
  <c r="BH68" i="78" s="1"/>
  <c r="AY39" i="78"/>
  <c r="AY38" i="78"/>
  <c r="BH63" i="78" s="1"/>
  <c r="AY37" i="78"/>
  <c r="BH61" i="78" s="1"/>
  <c r="AY36" i="78"/>
  <c r="BH60" i="78" s="1"/>
  <c r="AY35" i="78"/>
  <c r="BH58" i="78" s="1"/>
  <c r="AY12" i="78"/>
  <c r="AY22" i="78" s="1"/>
  <c r="AY11" i="78"/>
  <c r="AY21" i="78" s="1"/>
  <c r="AY10" i="78"/>
  <c r="BH16" i="78" s="1"/>
  <c r="BH35" i="78" s="1"/>
  <c r="AY9" i="78"/>
  <c r="BH14" i="78" s="1"/>
  <c r="BH33" i="78" s="1"/>
  <c r="AY8" i="78"/>
  <c r="BH11" i="78" s="1"/>
  <c r="BH30" i="78" s="1"/>
  <c r="AY7" i="78"/>
  <c r="AY17" i="78" s="1"/>
  <c r="AY6" i="78"/>
  <c r="BH8" i="78" s="1"/>
  <c r="AY5" i="78"/>
  <c r="AY15" i="78" s="1"/>
  <c r="BK42" i="78"/>
  <c r="BI42" i="78"/>
  <c r="BK23" i="78"/>
  <c r="BI23" i="78"/>
  <c r="BB117" i="78"/>
  <c r="BB116" i="78"/>
  <c r="BB115" i="78"/>
  <c r="BB114" i="78"/>
  <c r="BB113" i="78"/>
  <c r="BB103" i="78"/>
  <c r="BB102" i="78"/>
  <c r="BB101" i="78"/>
  <c r="BB100" i="78"/>
  <c r="BB99" i="78"/>
  <c r="BB98" i="78"/>
  <c r="BB97" i="78"/>
  <c r="BB96" i="78"/>
  <c r="BB95" i="78"/>
  <c r="BB94" i="78"/>
  <c r="BB93" i="78"/>
  <c r="BB92" i="78"/>
  <c r="BB91" i="78"/>
  <c r="BB90" i="78"/>
  <c r="BB89" i="78"/>
  <c r="BB88" i="78"/>
  <c r="BB87" i="78"/>
  <c r="BB86" i="78"/>
  <c r="BB85" i="78"/>
  <c r="BB84" i="78"/>
  <c r="BB83" i="78"/>
  <c r="BB82" i="78"/>
  <c r="BB81" i="78"/>
  <c r="BB80" i="78"/>
  <c r="BB79" i="78"/>
  <c r="BB78" i="78"/>
  <c r="BB77" i="78"/>
  <c r="BB76" i="78"/>
  <c r="BB75" i="78"/>
  <c r="BB74" i="78"/>
  <c r="BB73" i="78"/>
  <c r="BB72" i="78"/>
  <c r="BB71" i="78"/>
  <c r="BB70" i="78"/>
  <c r="BB69" i="78"/>
  <c r="BB68" i="78"/>
  <c r="BB67" i="78"/>
  <c r="BB66" i="78"/>
  <c r="BB65" i="78"/>
  <c r="BB64" i="78"/>
  <c r="BB63" i="78"/>
  <c r="BB61" i="78"/>
  <c r="BB58" i="78"/>
  <c r="BB49" i="78"/>
  <c r="BB43" i="78"/>
  <c r="BB34" i="78"/>
  <c r="BB24" i="78"/>
  <c r="BB14" i="78"/>
  <c r="AZ117" i="78"/>
  <c r="AZ116" i="78"/>
  <c r="AZ115" i="78"/>
  <c r="AZ114" i="78"/>
  <c r="AZ113" i="78"/>
  <c r="AZ103" i="78"/>
  <c r="AZ102" i="78"/>
  <c r="AZ101" i="78"/>
  <c r="AZ100" i="78"/>
  <c r="AZ99" i="78"/>
  <c r="AZ98" i="78"/>
  <c r="AZ97" i="78"/>
  <c r="AZ96" i="78"/>
  <c r="AZ95" i="78"/>
  <c r="AZ94" i="78"/>
  <c r="AZ93" i="78"/>
  <c r="AZ92" i="78"/>
  <c r="AZ91" i="78"/>
  <c r="AZ90" i="78"/>
  <c r="AZ89" i="78"/>
  <c r="AZ88" i="78"/>
  <c r="AZ87" i="78"/>
  <c r="AZ86" i="78"/>
  <c r="AZ85" i="78"/>
  <c r="AZ84" i="78"/>
  <c r="AZ83" i="78"/>
  <c r="AZ82" i="78"/>
  <c r="AZ81" i="78"/>
  <c r="AZ80" i="78"/>
  <c r="AZ79" i="78"/>
  <c r="AZ78" i="78"/>
  <c r="AZ77" i="78"/>
  <c r="AZ76" i="78"/>
  <c r="AZ75" i="78"/>
  <c r="AZ74" i="78"/>
  <c r="AZ73" i="78"/>
  <c r="AZ72" i="78"/>
  <c r="AZ71" i="78"/>
  <c r="AZ70" i="78"/>
  <c r="AZ69" i="78"/>
  <c r="AZ68" i="78"/>
  <c r="AZ67" i="78"/>
  <c r="AZ66" i="78"/>
  <c r="AZ65" i="78"/>
  <c r="AZ64" i="78"/>
  <c r="AZ63" i="78"/>
  <c r="AZ61" i="78"/>
  <c r="AZ58" i="78"/>
  <c r="AZ49" i="78"/>
  <c r="AZ43" i="78"/>
  <c r="AZ34" i="78"/>
  <c r="AZ24" i="78"/>
  <c r="AZ14" i="78"/>
  <c r="BK117" i="78"/>
  <c r="BI117" i="78"/>
  <c r="BK116" i="78"/>
  <c r="BI116" i="78"/>
  <c r="BK115" i="78"/>
  <c r="BI115" i="78"/>
  <c r="BK114" i="78"/>
  <c r="BI114" i="78"/>
  <c r="BK113" i="78"/>
  <c r="BI113" i="78"/>
  <c r="BK103" i="78"/>
  <c r="BI103" i="78"/>
  <c r="BK101" i="78"/>
  <c r="BI101" i="78"/>
  <c r="BK84" i="78"/>
  <c r="BI84" i="78"/>
  <c r="BK73" i="78"/>
  <c r="BI73" i="78"/>
  <c r="AY48" i="78"/>
  <c r="BH82" i="78" s="1"/>
  <c r="AY47" i="78"/>
  <c r="BH81" i="78" s="1"/>
  <c r="AY46" i="78"/>
  <c r="BH78" i="78" s="1"/>
  <c r="AY45" i="78"/>
  <c r="BH77" i="78" s="1"/>
  <c r="AY44" i="78"/>
  <c r="BH75" i="78" s="1"/>
  <c r="BK56" i="78"/>
  <c r="BI56" i="78"/>
  <c r="BK46" i="78"/>
  <c r="BI46" i="78"/>
  <c r="O17" i="78"/>
  <c r="AY13" i="78"/>
  <c r="BH22" i="78" s="1"/>
  <c r="BH41" i="78" s="1"/>
  <c r="J13" i="78"/>
  <c r="F11" i="78"/>
  <c r="F10" i="78"/>
  <c r="F8" i="78"/>
  <c r="F7" i="78"/>
  <c r="E138" i="3"/>
  <c r="BH20" i="76"/>
  <c r="BH110" i="76" s="1"/>
  <c r="AZ12" i="80"/>
  <c r="BB12" i="80"/>
  <c r="BI78" i="77"/>
  <c r="BI77" i="77"/>
  <c r="BI76" i="77"/>
  <c r="BI69" i="77"/>
  <c r="BI67" i="77"/>
  <c r="BI65" i="77"/>
  <c r="BI56" i="77"/>
  <c r="BI52" i="77"/>
  <c r="BI43" i="77"/>
  <c r="BI37" i="77"/>
  <c r="BI30" i="77"/>
  <c r="BI21" i="77"/>
  <c r="BI16" i="77"/>
  <c r="BI13" i="77"/>
  <c r="AZ78" i="77"/>
  <c r="AZ77" i="77"/>
  <c r="AZ76" i="77"/>
  <c r="AZ69" i="77"/>
  <c r="AZ68" i="77"/>
  <c r="AZ67" i="77"/>
  <c r="AZ66" i="77"/>
  <c r="AZ65" i="77"/>
  <c r="AZ64" i="77"/>
  <c r="AZ63" i="77"/>
  <c r="AZ62" i="77"/>
  <c r="AZ61" i="77"/>
  <c r="AZ60" i="77"/>
  <c r="AZ59" i="77"/>
  <c r="AZ58" i="77"/>
  <c r="AZ57" i="77"/>
  <c r="AZ56" i="77"/>
  <c r="AZ55" i="77"/>
  <c r="AZ54" i="77"/>
  <c r="AZ53" i="77"/>
  <c r="AZ52" i="77"/>
  <c r="AZ51" i="77"/>
  <c r="AZ50" i="77"/>
  <c r="AZ49" i="77"/>
  <c r="AZ47" i="77"/>
  <c r="AZ45" i="77"/>
  <c r="AZ43" i="77"/>
  <c r="AZ38" i="77"/>
  <c r="AZ34" i="77"/>
  <c r="AZ29" i="77"/>
  <c r="AZ23" i="77"/>
  <c r="AZ19" i="77"/>
  <c r="AZ14" i="77"/>
  <c r="AZ9" i="77"/>
  <c r="BH20" i="77"/>
  <c r="BH19" i="77"/>
  <c r="BH18" i="77"/>
  <c r="BH17" i="77"/>
  <c r="AY8" i="77"/>
  <c r="BH11" i="77" s="1"/>
  <c r="AY7" i="77"/>
  <c r="BH10" i="77" s="1"/>
  <c r="AY6" i="77"/>
  <c r="BH7" i="77" s="1"/>
  <c r="AY5" i="77"/>
  <c r="BH5" i="77" s="1"/>
  <c r="M68" i="4"/>
  <c r="BK78" i="77"/>
  <c r="BK77" i="77"/>
  <c r="BK76" i="77"/>
  <c r="BB78" i="77"/>
  <c r="BB77" i="77"/>
  <c r="BB76" i="77"/>
  <c r="BK69" i="77"/>
  <c r="BK67" i="77"/>
  <c r="BK65" i="77"/>
  <c r="BK52" i="77"/>
  <c r="BB69" i="77"/>
  <c r="BB68" i="77"/>
  <c r="BB67" i="77"/>
  <c r="BB66" i="77"/>
  <c r="BB65" i="77"/>
  <c r="BB64" i="77"/>
  <c r="BB63" i="77"/>
  <c r="BB62" i="77"/>
  <c r="BB61" i="77"/>
  <c r="BB60" i="77"/>
  <c r="BB59" i="77"/>
  <c r="BK43" i="77"/>
  <c r="BB58" i="77"/>
  <c r="BB57" i="77"/>
  <c r="BB56" i="77"/>
  <c r="BB55" i="77"/>
  <c r="BB54" i="77"/>
  <c r="BB53" i="77"/>
  <c r="BB52" i="77"/>
  <c r="BB51" i="77"/>
  <c r="BB50" i="77"/>
  <c r="BB49" i="77"/>
  <c r="BB47" i="77"/>
  <c r="BB45" i="77"/>
  <c r="AY44" i="77"/>
  <c r="BH66" i="77" s="1"/>
  <c r="BB43" i="77"/>
  <c r="AY42" i="77"/>
  <c r="BH63" i="77" s="1"/>
  <c r="AY41" i="77"/>
  <c r="BH62" i="77" s="1"/>
  <c r="BK37" i="77"/>
  <c r="AY40" i="77"/>
  <c r="BH60" i="77" s="1"/>
  <c r="AY39" i="77"/>
  <c r="BH58" i="77" s="1"/>
  <c r="BB38" i="77"/>
  <c r="AY37" i="77"/>
  <c r="BH55" i="77" s="1"/>
  <c r="AY36" i="77"/>
  <c r="BH54" i="77" s="1"/>
  <c r="AY35" i="77"/>
  <c r="BH53" i="77" s="1"/>
  <c r="BB34" i="77"/>
  <c r="BK30" i="77"/>
  <c r="AY33" i="77"/>
  <c r="BH50" i="77" s="1"/>
  <c r="AY32" i="77"/>
  <c r="BH48" i="77" s="1"/>
  <c r="AY31" i="77"/>
  <c r="BH47" i="77" s="1"/>
  <c r="AY30" i="77"/>
  <c r="BH45" i="77" s="1"/>
  <c r="AY28" i="77"/>
  <c r="BH42" i="77" s="1"/>
  <c r="AY27" i="77"/>
  <c r="BH41" i="77" s="1"/>
  <c r="AY26" i="77"/>
  <c r="BH40" i="77" s="1"/>
  <c r="AY25" i="77"/>
  <c r="BH39" i="77" s="1"/>
  <c r="AY24" i="77"/>
  <c r="BH38" i="77" s="1"/>
  <c r="BB23" i="77"/>
  <c r="AY22" i="77"/>
  <c r="BH36" i="77" s="1"/>
  <c r="AY21" i="77"/>
  <c r="BH34" i="77" s="1"/>
  <c r="AY20" i="77"/>
  <c r="BH32" i="77" s="1"/>
  <c r="AY18" i="77"/>
  <c r="BH29" i="77" s="1"/>
  <c r="AY17" i="77"/>
  <c r="BH26" i="77" s="1"/>
  <c r="AY16" i="77"/>
  <c r="BH25" i="77" s="1"/>
  <c r="AY15" i="77"/>
  <c r="BH23" i="77" s="1"/>
  <c r="BK16" i="77"/>
  <c r="BH14" i="77"/>
  <c r="BK13" i="77"/>
  <c r="O17" i="77"/>
  <c r="J13" i="77"/>
  <c r="F11" i="77"/>
  <c r="F10" i="77"/>
  <c r="F8" i="77"/>
  <c r="F7" i="77"/>
  <c r="AP39" i="4"/>
  <c r="AR41" i="4" s="1"/>
  <c r="BI103" i="76"/>
  <c r="BB86" i="76"/>
  <c r="BB85" i="76"/>
  <c r="AZ95" i="76"/>
  <c r="AZ94" i="76"/>
  <c r="AZ93" i="76"/>
  <c r="AZ92" i="76"/>
  <c r="AZ91" i="76"/>
  <c r="AZ90" i="76"/>
  <c r="AZ89" i="76"/>
  <c r="AU89" i="76"/>
  <c r="AZ88" i="76"/>
  <c r="AZ87" i="76"/>
  <c r="AU87" i="76"/>
  <c r="AY83" i="76" s="1"/>
  <c r="BH102" i="76" s="1"/>
  <c r="AZ86" i="76"/>
  <c r="AZ85" i="76"/>
  <c r="AY84" i="76"/>
  <c r="BH104" i="76" s="1"/>
  <c r="AI85" i="76"/>
  <c r="AI81" i="76" s="1"/>
  <c r="AG85" i="76"/>
  <c r="AG81" i="76" s="1"/>
  <c r="AE85" i="76"/>
  <c r="AE80" i="76" s="1"/>
  <c r="AC85" i="76"/>
  <c r="AC79" i="76" s="1"/>
  <c r="AA85" i="76"/>
  <c r="AA80" i="76" s="1"/>
  <c r="Y85" i="76"/>
  <c r="Y80" i="76" s="1"/>
  <c r="W85" i="76"/>
  <c r="W81" i="76" s="1"/>
  <c r="U85" i="76"/>
  <c r="U79" i="76" s="1"/>
  <c r="S85" i="76"/>
  <c r="S81" i="76" s="1"/>
  <c r="Q85" i="76"/>
  <c r="Q81" i="76" s="1"/>
  <c r="O85" i="76"/>
  <c r="O81" i="76" s="1"/>
  <c r="BK115" i="76"/>
  <c r="BI115" i="76"/>
  <c r="BB115" i="76"/>
  <c r="AZ115" i="76"/>
  <c r="BK114" i="76"/>
  <c r="BI114" i="76"/>
  <c r="BB114" i="76"/>
  <c r="AZ114" i="76"/>
  <c r="BK113" i="76"/>
  <c r="BI113" i="76"/>
  <c r="BB113" i="76"/>
  <c r="AZ113" i="76"/>
  <c r="BK112" i="76"/>
  <c r="BI112" i="76"/>
  <c r="BB112" i="76"/>
  <c r="AZ112" i="76"/>
  <c r="BB106" i="76"/>
  <c r="AZ106" i="76"/>
  <c r="BB105" i="76"/>
  <c r="AZ105" i="76"/>
  <c r="BB104" i="76"/>
  <c r="AZ104" i="76"/>
  <c r="BB103" i="76"/>
  <c r="AZ103" i="76"/>
  <c r="BB102" i="76"/>
  <c r="AZ102" i="76"/>
  <c r="BK101" i="76"/>
  <c r="BI101" i="76"/>
  <c r="BB101" i="76"/>
  <c r="AZ101" i="76"/>
  <c r="BK100" i="76"/>
  <c r="BI100" i="76"/>
  <c r="BB100" i="76"/>
  <c r="AZ100" i="76"/>
  <c r="BB99" i="76"/>
  <c r="AZ99" i="76"/>
  <c r="BK98" i="76"/>
  <c r="BI98" i="76"/>
  <c r="BB98" i="76"/>
  <c r="AZ98" i="76"/>
  <c r="BB97" i="76"/>
  <c r="AZ97" i="76"/>
  <c r="AU97" i="76"/>
  <c r="AU98" i="76" s="1"/>
  <c r="AU99" i="76" s="1"/>
  <c r="BK96" i="76"/>
  <c r="BI96" i="76"/>
  <c r="BB96" i="76"/>
  <c r="AZ96" i="76"/>
  <c r="BB95" i="76"/>
  <c r="BB94" i="76"/>
  <c r="BK83" i="76"/>
  <c r="BI83" i="76"/>
  <c r="BB82" i="76"/>
  <c r="AZ82" i="76"/>
  <c r="BB81" i="76"/>
  <c r="AZ81" i="76"/>
  <c r="BB80" i="76"/>
  <c r="AZ80" i="76"/>
  <c r="BK79" i="76"/>
  <c r="BI79" i="76"/>
  <c r="BB79" i="76"/>
  <c r="AZ79" i="76"/>
  <c r="BB78" i="76"/>
  <c r="AZ78" i="76"/>
  <c r="BB77" i="76"/>
  <c r="AZ77" i="76"/>
  <c r="BB76" i="76"/>
  <c r="AZ76" i="76"/>
  <c r="BB75" i="76"/>
  <c r="AZ75" i="76"/>
  <c r="BB74" i="76"/>
  <c r="AZ74" i="76"/>
  <c r="BB73" i="76"/>
  <c r="AZ73" i="76"/>
  <c r="BB72" i="76"/>
  <c r="AZ72" i="76"/>
  <c r="BB71" i="76"/>
  <c r="AZ71" i="76"/>
  <c r="BB70" i="76"/>
  <c r="AZ70" i="76"/>
  <c r="BB69" i="76"/>
  <c r="AZ69" i="76"/>
  <c r="BB68" i="76"/>
  <c r="AZ68" i="76"/>
  <c r="BB67" i="76"/>
  <c r="AZ67" i="76"/>
  <c r="BK66" i="76"/>
  <c r="BI66" i="76"/>
  <c r="BB65" i="76"/>
  <c r="AZ65" i="76"/>
  <c r="AW64" i="76"/>
  <c r="AV64" i="76"/>
  <c r="BK63" i="76"/>
  <c r="BI63" i="76"/>
  <c r="BB63" i="76"/>
  <c r="AZ63" i="76"/>
  <c r="AY62" i="76"/>
  <c r="BH97" i="76" s="1"/>
  <c r="BB61" i="76"/>
  <c r="AZ61" i="76"/>
  <c r="AY60" i="76"/>
  <c r="BH95" i="76" s="1"/>
  <c r="AY59" i="76"/>
  <c r="BH93" i="76" s="1"/>
  <c r="AY58" i="76"/>
  <c r="BH90" i="76" s="1"/>
  <c r="BK57" i="76"/>
  <c r="BI57" i="76"/>
  <c r="AY57" i="76"/>
  <c r="BH89" i="76" s="1"/>
  <c r="AY56" i="76"/>
  <c r="BH86" i="76" s="1"/>
  <c r="AY55" i="76"/>
  <c r="BH85" i="76" s="1"/>
  <c r="BB54" i="76"/>
  <c r="AZ54" i="76"/>
  <c r="AY53" i="76"/>
  <c r="BH82" i="76" s="1"/>
  <c r="AY52" i="76"/>
  <c r="BH81" i="76" s="1"/>
  <c r="AY51" i="76"/>
  <c r="BH80" i="76" s="1"/>
  <c r="BB50" i="76"/>
  <c r="AZ50" i="76"/>
  <c r="AY49" i="76"/>
  <c r="BH77" i="76" s="1"/>
  <c r="AY48" i="76"/>
  <c r="BH75" i="76" s="1"/>
  <c r="AY47" i="76"/>
  <c r="BK46" i="76"/>
  <c r="BI46" i="76"/>
  <c r="AY46" i="76"/>
  <c r="BH72" i="76" s="1"/>
  <c r="AY45" i="76"/>
  <c r="BH70" i="76" s="1"/>
  <c r="AY44" i="76"/>
  <c r="BH68" i="76" s="1"/>
  <c r="BB43" i="76"/>
  <c r="AZ43" i="76"/>
  <c r="AY42" i="76"/>
  <c r="BH64" i="76" s="1"/>
  <c r="BB41" i="76"/>
  <c r="AZ41" i="76"/>
  <c r="AY39" i="76"/>
  <c r="BH61" i="76" s="1"/>
  <c r="AY38" i="76"/>
  <c r="BH60" i="76" s="1"/>
  <c r="AY37" i="76"/>
  <c r="BH59" i="76" s="1"/>
  <c r="AY36" i="76"/>
  <c r="BH58" i="76" s="1"/>
  <c r="BB35" i="76"/>
  <c r="AZ35" i="76"/>
  <c r="AY34" i="76"/>
  <c r="BH55" i="76" s="1"/>
  <c r="BK33" i="76"/>
  <c r="BI33" i="76"/>
  <c r="AY33" i="76"/>
  <c r="BH54" i="76" s="1"/>
  <c r="AY32" i="76"/>
  <c r="BH52" i="76" s="1"/>
  <c r="AY31" i="76"/>
  <c r="BK30" i="76"/>
  <c r="BI30" i="76"/>
  <c r="AY30" i="76"/>
  <c r="BH48" i="76" s="1"/>
  <c r="BH29" i="76"/>
  <c r="BB29" i="76"/>
  <c r="AZ29" i="76"/>
  <c r="BH28" i="76"/>
  <c r="AY28" i="76"/>
  <c r="BH44" i="76" s="1"/>
  <c r="BH27" i="76"/>
  <c r="AY27" i="76"/>
  <c r="BH42" i="76" s="1"/>
  <c r="BH26" i="76"/>
  <c r="AY26" i="76"/>
  <c r="BH40" i="76" s="1"/>
  <c r="BH25" i="76"/>
  <c r="AY25" i="76"/>
  <c r="BH38" i="76" s="1"/>
  <c r="BH24" i="76"/>
  <c r="AY24" i="76"/>
  <c r="BH36" i="76" s="1"/>
  <c r="BH23" i="76"/>
  <c r="AY23" i="76"/>
  <c r="BH35" i="76" s="1"/>
  <c r="BK22" i="76"/>
  <c r="BI22" i="76"/>
  <c r="BB22" i="76"/>
  <c r="AZ22" i="76"/>
  <c r="AY21" i="76"/>
  <c r="BH32" i="76" s="1"/>
  <c r="BB20" i="76"/>
  <c r="AZ20" i="76"/>
  <c r="BK19" i="76"/>
  <c r="BI19" i="76"/>
  <c r="AY19" i="76"/>
  <c r="AY18" i="76"/>
  <c r="AY17" i="76"/>
  <c r="O17" i="76"/>
  <c r="AY16" i="76"/>
  <c r="AY15" i="76"/>
  <c r="AY14" i="76"/>
  <c r="AY13" i="76"/>
  <c r="J13" i="76"/>
  <c r="BB12" i="76"/>
  <c r="AZ12" i="76"/>
  <c r="AY11" i="76"/>
  <c r="BH17" i="76" s="1"/>
  <c r="F11" i="76"/>
  <c r="AY10" i="76"/>
  <c r="BH15" i="76" s="1"/>
  <c r="F10" i="76"/>
  <c r="AY9" i="76"/>
  <c r="BH14" i="76" s="1"/>
  <c r="AY8" i="76"/>
  <c r="BH12" i="76" s="1"/>
  <c r="F8" i="76"/>
  <c r="AY7" i="76"/>
  <c r="BH9" i="76" s="1"/>
  <c r="F7" i="76"/>
  <c r="AY6" i="76"/>
  <c r="BH8" i="76" s="1"/>
  <c r="AY5" i="76"/>
  <c r="BH5" i="76" s="1"/>
  <c r="E148" i="3"/>
  <c r="AP57" i="4"/>
  <c r="AR59" i="4" s="1"/>
  <c r="AP49" i="4"/>
  <c r="AR51" i="4" s="1"/>
  <c r="BK122" i="75"/>
  <c r="BK121" i="75"/>
  <c r="BK120" i="75"/>
  <c r="BK119" i="75"/>
  <c r="BK118" i="75"/>
  <c r="BK101" i="75"/>
  <c r="BK100" i="75"/>
  <c r="BK98" i="75"/>
  <c r="BK96" i="75"/>
  <c r="BK83" i="75"/>
  <c r="BK79" i="75"/>
  <c r="BK66" i="75"/>
  <c r="BK63" i="75"/>
  <c r="BK57" i="75"/>
  <c r="BK46" i="75"/>
  <c r="BK33" i="75"/>
  <c r="BK30" i="75"/>
  <c r="BK22" i="75"/>
  <c r="BK19" i="75"/>
  <c r="BI122" i="75"/>
  <c r="BI121" i="75"/>
  <c r="BI120" i="75"/>
  <c r="BI119" i="75"/>
  <c r="BI118" i="75"/>
  <c r="BI101" i="75"/>
  <c r="BI100" i="75"/>
  <c r="BI98" i="75"/>
  <c r="BI96" i="75"/>
  <c r="BB104" i="75"/>
  <c r="AZ104" i="75"/>
  <c r="BB103" i="75"/>
  <c r="AZ103" i="75"/>
  <c r="BB102" i="75"/>
  <c r="AZ102" i="75"/>
  <c r="BB101" i="75"/>
  <c r="AZ101" i="75"/>
  <c r="BB100" i="75"/>
  <c r="AZ100" i="75"/>
  <c r="BB99" i="75"/>
  <c r="AZ99" i="75"/>
  <c r="BB98" i="75"/>
  <c r="AZ98" i="75"/>
  <c r="BB97" i="75"/>
  <c r="AZ97" i="75"/>
  <c r="AU97" i="75"/>
  <c r="BB96" i="75"/>
  <c r="AZ96" i="75"/>
  <c r="BB95" i="75"/>
  <c r="AZ95" i="75"/>
  <c r="AU95" i="75"/>
  <c r="AY83" i="75" s="1"/>
  <c r="BH102" i="75" s="1"/>
  <c r="AY40" i="75"/>
  <c r="BH62" i="75" s="1"/>
  <c r="BB94" i="75"/>
  <c r="AZ94" i="75"/>
  <c r="AZ93" i="75"/>
  <c r="AY92" i="75"/>
  <c r="BH111" i="75" s="1"/>
  <c r="AY91" i="75"/>
  <c r="BH110" i="75" s="1"/>
  <c r="AY90" i="75"/>
  <c r="AY89" i="75"/>
  <c r="BH108" i="75" s="1"/>
  <c r="AY88" i="75"/>
  <c r="BH107" i="75" s="1"/>
  <c r="AY87" i="75"/>
  <c r="BH106" i="75" s="1"/>
  <c r="AY86" i="75"/>
  <c r="BH105" i="75" s="1"/>
  <c r="AY85" i="75"/>
  <c r="BH104" i="75" s="1"/>
  <c r="AY84" i="75"/>
  <c r="BH103" i="75" s="1"/>
  <c r="AI85" i="75"/>
  <c r="AI80" i="75" s="1"/>
  <c r="AG85" i="75"/>
  <c r="AG79" i="75" s="1"/>
  <c r="AE85" i="75"/>
  <c r="AE79" i="75" s="1"/>
  <c r="AC85" i="75"/>
  <c r="AC80" i="75" s="1"/>
  <c r="U85" i="75"/>
  <c r="U80" i="75" s="1"/>
  <c r="S85" i="75"/>
  <c r="S80" i="75" s="1"/>
  <c r="Q85" i="75"/>
  <c r="Q80" i="75" s="1"/>
  <c r="O85" i="75"/>
  <c r="O80" i="75" s="1"/>
  <c r="BK127" i="74"/>
  <c r="BK126" i="74"/>
  <c r="BK124" i="74"/>
  <c r="BK122" i="74"/>
  <c r="BK105" i="74"/>
  <c r="BK101" i="74"/>
  <c r="BK84" i="74"/>
  <c r="BK77" i="74"/>
  <c r="BK71" i="74"/>
  <c r="BK60" i="74"/>
  <c r="BK43" i="74"/>
  <c r="BK36" i="74"/>
  <c r="BK26" i="74"/>
  <c r="BK23" i="74"/>
  <c r="AZ146" i="74"/>
  <c r="AZ137" i="74"/>
  <c r="AZ136" i="74"/>
  <c r="AZ135" i="74"/>
  <c r="AZ134" i="74"/>
  <c r="AZ133" i="74"/>
  <c r="AZ132" i="74"/>
  <c r="AZ131" i="74"/>
  <c r="AZ130" i="74"/>
  <c r="AZ129" i="74"/>
  <c r="AZ128" i="74"/>
  <c r="AZ127" i="74"/>
  <c r="AZ126" i="74"/>
  <c r="AZ125" i="74"/>
  <c r="AZ124" i="74"/>
  <c r="AZ123" i="74"/>
  <c r="AZ122" i="74"/>
  <c r="AZ121" i="74"/>
  <c r="AZ120" i="74"/>
  <c r="AZ119" i="74"/>
  <c r="AZ118" i="74"/>
  <c r="AZ117" i="74"/>
  <c r="AZ116" i="74"/>
  <c r="AZ115" i="74"/>
  <c r="AZ114" i="74"/>
  <c r="AZ113" i="74"/>
  <c r="AZ112" i="74"/>
  <c r="AZ111" i="74"/>
  <c r="AZ110" i="74"/>
  <c r="AZ109" i="74"/>
  <c r="AZ108" i="74"/>
  <c r="AZ107" i="74"/>
  <c r="AZ106" i="74"/>
  <c r="AZ105" i="74"/>
  <c r="AZ104" i="74"/>
  <c r="AZ103" i="74"/>
  <c r="AZ102" i="74"/>
  <c r="AZ101" i="74"/>
  <c r="AZ100" i="74"/>
  <c r="AZ99" i="74"/>
  <c r="AZ98" i="74"/>
  <c r="AZ97" i="74"/>
  <c r="AZ96" i="74"/>
  <c r="AZ95" i="74"/>
  <c r="AZ94" i="74"/>
  <c r="AZ93" i="74"/>
  <c r="AZ82" i="74"/>
  <c r="AZ81" i="74"/>
  <c r="AZ79" i="74"/>
  <c r="AZ77" i="74"/>
  <c r="AZ75" i="74"/>
  <c r="AZ66" i="74"/>
  <c r="AZ62" i="74"/>
  <c r="AZ53" i="74"/>
  <c r="AZ49" i="74"/>
  <c r="AZ43" i="74"/>
  <c r="AZ37" i="74"/>
  <c r="AZ28" i="74"/>
  <c r="AZ24" i="74"/>
  <c r="AZ14" i="74"/>
  <c r="AI85" i="74"/>
  <c r="AI79" i="74" s="1"/>
  <c r="AG85" i="74"/>
  <c r="AG79" i="74" s="1"/>
  <c r="AE85" i="74"/>
  <c r="AE80" i="74" s="1"/>
  <c r="AC85" i="74"/>
  <c r="AC79" i="74" s="1"/>
  <c r="U85" i="74"/>
  <c r="U79" i="74" s="1"/>
  <c r="S85" i="74"/>
  <c r="S80" i="74" s="1"/>
  <c r="Q85" i="74"/>
  <c r="Q79" i="74" s="1"/>
  <c r="O85" i="74"/>
  <c r="O79" i="74" s="1"/>
  <c r="AY92" i="74"/>
  <c r="BH137" i="74" s="1"/>
  <c r="AY91" i="74"/>
  <c r="BH136" i="74" s="1"/>
  <c r="AY90" i="74"/>
  <c r="BH135" i="74" s="1"/>
  <c r="AY88" i="74"/>
  <c r="BH133" i="74" s="1"/>
  <c r="AY87" i="74"/>
  <c r="BH132" i="74" s="1"/>
  <c r="AY86" i="74"/>
  <c r="BH131" i="74" s="1"/>
  <c r="AY89" i="74"/>
  <c r="BH134" i="74" s="1"/>
  <c r="AY85" i="74"/>
  <c r="BH130" i="74" s="1"/>
  <c r="BB128" i="74"/>
  <c r="E165" i="3"/>
  <c r="E164" i="3"/>
  <c r="BB122" i="75"/>
  <c r="AZ122" i="75"/>
  <c r="BB121" i="75"/>
  <c r="AZ121" i="75"/>
  <c r="BB120" i="75"/>
  <c r="AZ120" i="75"/>
  <c r="BB119" i="75"/>
  <c r="AZ119" i="75"/>
  <c r="BB118" i="75"/>
  <c r="AZ118" i="75"/>
  <c r="BB111" i="75"/>
  <c r="AZ111" i="75"/>
  <c r="BB110" i="75"/>
  <c r="AZ110" i="75"/>
  <c r="BB109" i="75"/>
  <c r="AZ109" i="75"/>
  <c r="BB108" i="75"/>
  <c r="AZ108" i="75"/>
  <c r="BB107" i="75"/>
  <c r="AZ107" i="75"/>
  <c r="BB106" i="75"/>
  <c r="AZ106" i="75"/>
  <c r="BB105" i="75"/>
  <c r="AZ105" i="75"/>
  <c r="BI83" i="75"/>
  <c r="BB82" i="75"/>
  <c r="AZ82" i="75"/>
  <c r="BB81" i="75"/>
  <c r="AZ81" i="75"/>
  <c r="BB80" i="75"/>
  <c r="AZ80" i="75"/>
  <c r="BI79" i="75"/>
  <c r="BB79" i="75"/>
  <c r="AZ79" i="75"/>
  <c r="BB78" i="75"/>
  <c r="AZ78" i="75"/>
  <c r="BB77" i="75"/>
  <c r="AZ77" i="75"/>
  <c r="BB76" i="75"/>
  <c r="AZ76" i="75"/>
  <c r="BB75" i="75"/>
  <c r="AZ75" i="75"/>
  <c r="BB74" i="75"/>
  <c r="AZ74" i="75"/>
  <c r="BB73" i="75"/>
  <c r="AZ73" i="75"/>
  <c r="BB72" i="75"/>
  <c r="AZ72" i="75"/>
  <c r="BB71" i="75"/>
  <c r="AZ71" i="75"/>
  <c r="BB70" i="75"/>
  <c r="AZ70" i="75"/>
  <c r="BB69" i="75"/>
  <c r="AZ69" i="75"/>
  <c r="BB68" i="75"/>
  <c r="AZ68" i="75"/>
  <c r="BB67" i="75"/>
  <c r="AZ67" i="75"/>
  <c r="BI66" i="75"/>
  <c r="BB65" i="75"/>
  <c r="AZ65" i="75"/>
  <c r="AW64" i="75"/>
  <c r="AV64" i="75"/>
  <c r="BI63" i="75"/>
  <c r="BB63" i="75"/>
  <c r="AZ63" i="75"/>
  <c r="AY62" i="75"/>
  <c r="BH97" i="75" s="1"/>
  <c r="BB61" i="75"/>
  <c r="AZ61" i="75"/>
  <c r="AY60" i="75"/>
  <c r="BH95" i="75" s="1"/>
  <c r="AY59" i="75"/>
  <c r="BH93" i="75" s="1"/>
  <c r="AY58" i="75"/>
  <c r="BH91" i="75" s="1"/>
  <c r="BI57" i="75"/>
  <c r="AY57" i="75"/>
  <c r="BH88" i="75" s="1"/>
  <c r="AY56" i="75"/>
  <c r="BH87" i="75" s="1"/>
  <c r="AY55" i="75"/>
  <c r="BH85" i="75" s="1"/>
  <c r="BB54" i="75"/>
  <c r="AZ54" i="75"/>
  <c r="AY53" i="75"/>
  <c r="BH82" i="75" s="1"/>
  <c r="AY52" i="75"/>
  <c r="BH81" i="75" s="1"/>
  <c r="AY51" i="75"/>
  <c r="BH80" i="75" s="1"/>
  <c r="BB50" i="75"/>
  <c r="AZ50" i="75"/>
  <c r="AY49" i="75"/>
  <c r="AY48" i="75"/>
  <c r="BH76" i="75" s="1"/>
  <c r="AY47" i="75"/>
  <c r="BI46" i="75"/>
  <c r="AY46" i="75"/>
  <c r="BH72" i="75" s="1"/>
  <c r="AY45" i="75"/>
  <c r="BH70" i="75" s="1"/>
  <c r="AY44" i="75"/>
  <c r="BH68" i="75" s="1"/>
  <c r="BB43" i="75"/>
  <c r="AZ43" i="75"/>
  <c r="AY42" i="75"/>
  <c r="BH65" i="75" s="1"/>
  <c r="BB41" i="75"/>
  <c r="AZ41" i="75"/>
  <c r="AY39" i="75"/>
  <c r="BH61" i="75" s="1"/>
  <c r="AY38" i="75"/>
  <c r="BH60" i="75" s="1"/>
  <c r="AY37" i="75"/>
  <c r="BH59" i="75" s="1"/>
  <c r="AY36" i="75"/>
  <c r="BH58" i="75" s="1"/>
  <c r="BB35" i="75"/>
  <c r="AZ35" i="75"/>
  <c r="AY34" i="75"/>
  <c r="BH55" i="75" s="1"/>
  <c r="BI33" i="75"/>
  <c r="AY33" i="75"/>
  <c r="BH54" i="75" s="1"/>
  <c r="AY32" i="75"/>
  <c r="BH51" i="75" s="1"/>
  <c r="AY31" i="75"/>
  <c r="BH49" i="75" s="1"/>
  <c r="BI30" i="75"/>
  <c r="AY30" i="75"/>
  <c r="BH47" i="75" s="1"/>
  <c r="BH29" i="75"/>
  <c r="BB29" i="75"/>
  <c r="AZ29" i="75"/>
  <c r="BH28" i="75"/>
  <c r="AY28" i="75"/>
  <c r="BH45" i="75" s="1"/>
  <c r="BH27" i="75"/>
  <c r="AY27" i="75"/>
  <c r="BH43" i="75" s="1"/>
  <c r="BH26" i="75"/>
  <c r="AY26" i="75"/>
  <c r="BH41" i="75" s="1"/>
  <c r="BH25" i="75"/>
  <c r="AY25" i="75"/>
  <c r="BH39" i="75" s="1"/>
  <c r="BH24" i="75"/>
  <c r="AY24" i="75"/>
  <c r="BH37" i="75" s="1"/>
  <c r="BH23" i="75"/>
  <c r="AY23" i="75"/>
  <c r="BH34" i="75" s="1"/>
  <c r="BI22" i="75"/>
  <c r="BB22" i="75"/>
  <c r="AZ22" i="75"/>
  <c r="AY21" i="75"/>
  <c r="BH32" i="75" s="1"/>
  <c r="BB20" i="75"/>
  <c r="AZ20" i="75"/>
  <c r="BI19" i="75"/>
  <c r="AY19" i="75"/>
  <c r="AY18" i="75"/>
  <c r="AY17" i="75"/>
  <c r="O17" i="75"/>
  <c r="AY16" i="75"/>
  <c r="AY15" i="75"/>
  <c r="AY14" i="75"/>
  <c r="AY13" i="75"/>
  <c r="J13" i="75"/>
  <c r="BB12" i="75"/>
  <c r="AZ12" i="75"/>
  <c r="AY11" i="75"/>
  <c r="BH17" i="75" s="1"/>
  <c r="F11" i="75"/>
  <c r="AY10" i="75"/>
  <c r="BH15" i="75" s="1"/>
  <c r="F10" i="75"/>
  <c r="AY9" i="75"/>
  <c r="AY8" i="75"/>
  <c r="BH12" i="75" s="1"/>
  <c r="F8" i="75"/>
  <c r="AY7" i="75"/>
  <c r="BH10" i="75" s="1"/>
  <c r="F7" i="75"/>
  <c r="AY6" i="75"/>
  <c r="BH8" i="75" s="1"/>
  <c r="AY5" i="75"/>
  <c r="BH5" i="75" s="1"/>
  <c r="B2" i="75"/>
  <c r="BK146" i="74"/>
  <c r="BI146" i="74"/>
  <c r="BB146" i="74"/>
  <c r="BB137" i="74"/>
  <c r="BB133" i="74"/>
  <c r="BB132" i="74"/>
  <c r="BB131" i="74"/>
  <c r="BB130" i="74"/>
  <c r="BI127" i="74"/>
  <c r="BB129" i="74"/>
  <c r="BI126" i="74"/>
  <c r="BI124" i="74"/>
  <c r="BI122" i="74"/>
  <c r="BB127" i="74"/>
  <c r="BB126" i="74"/>
  <c r="BB125" i="74"/>
  <c r="BB124" i="74"/>
  <c r="BB123" i="74"/>
  <c r="BB122" i="74"/>
  <c r="BB121" i="74"/>
  <c r="BB120" i="74"/>
  <c r="BB119" i="74"/>
  <c r="BB118" i="74"/>
  <c r="BB117" i="74"/>
  <c r="BB116" i="74"/>
  <c r="BB115" i="74"/>
  <c r="BB114" i="74"/>
  <c r="BI105" i="74"/>
  <c r="BB113" i="74"/>
  <c r="BB112" i="74"/>
  <c r="BB111" i="74"/>
  <c r="BB110" i="74"/>
  <c r="BI101" i="74"/>
  <c r="BB109" i="74"/>
  <c r="BB108" i="74"/>
  <c r="BB107" i="74"/>
  <c r="BB106" i="74"/>
  <c r="BB105" i="74"/>
  <c r="BB104" i="74"/>
  <c r="BB103" i="74"/>
  <c r="BB102" i="74"/>
  <c r="BB101" i="74"/>
  <c r="BB100" i="74"/>
  <c r="BB99" i="74"/>
  <c r="BB98" i="74"/>
  <c r="BB97" i="74"/>
  <c r="AU97" i="74"/>
  <c r="BB96" i="74"/>
  <c r="BB95" i="74"/>
  <c r="AU95" i="74"/>
  <c r="AY83" i="74" s="1"/>
  <c r="BH128" i="74" s="1"/>
  <c r="BB94" i="74"/>
  <c r="BI84" i="74"/>
  <c r="AY84" i="74"/>
  <c r="BH129" i="74" s="1"/>
  <c r="BB82" i="74"/>
  <c r="BB81" i="74"/>
  <c r="BB79" i="74"/>
  <c r="AW78" i="74"/>
  <c r="AV78" i="74"/>
  <c r="BI77" i="74"/>
  <c r="BB77" i="74"/>
  <c r="AY76" i="74"/>
  <c r="BH123" i="74" s="1"/>
  <c r="BB75" i="74"/>
  <c r="AY74" i="74"/>
  <c r="BH121" i="74" s="1"/>
  <c r="AY73" i="74"/>
  <c r="BH119" i="74" s="1"/>
  <c r="AY72" i="74"/>
  <c r="BH116" i="74" s="1"/>
  <c r="BI71" i="74"/>
  <c r="AY71" i="74"/>
  <c r="BH115" i="74" s="1"/>
  <c r="AY70" i="74"/>
  <c r="AY69" i="74"/>
  <c r="BH111" i="74" s="1"/>
  <c r="AY68" i="74"/>
  <c r="BH108" i="74" s="1"/>
  <c r="AY67" i="74"/>
  <c r="BH107" i="74" s="1"/>
  <c r="BB66" i="74"/>
  <c r="AY65" i="74"/>
  <c r="BH104" i="74" s="1"/>
  <c r="AY64" i="74"/>
  <c r="BH103" i="74" s="1"/>
  <c r="AY63" i="74"/>
  <c r="BH102" i="74" s="1"/>
  <c r="BB62" i="74"/>
  <c r="AY61" i="74"/>
  <c r="BH100" i="74" s="1"/>
  <c r="BI60" i="74"/>
  <c r="AY60" i="74"/>
  <c r="AY59" i="74"/>
  <c r="BH96" i="74" s="1"/>
  <c r="AY58" i="74"/>
  <c r="BH93" i="74" s="1"/>
  <c r="AY57" i="74"/>
  <c r="BH91" i="74" s="1"/>
  <c r="AY56" i="74"/>
  <c r="BH89" i="74" s="1"/>
  <c r="AY55" i="74"/>
  <c r="BH87" i="74" s="1"/>
  <c r="AY54" i="74"/>
  <c r="BH86" i="74" s="1"/>
  <c r="BB53" i="74"/>
  <c r="AY52" i="74"/>
  <c r="AY51" i="74"/>
  <c r="BH80" i="74" s="1"/>
  <c r="AY50" i="74"/>
  <c r="BH78" i="74" s="1"/>
  <c r="BB49" i="74"/>
  <c r="AY47" i="74"/>
  <c r="BH75" i="74" s="1"/>
  <c r="AY46" i="74"/>
  <c r="BH74" i="74" s="1"/>
  <c r="AY45" i="74"/>
  <c r="BH73" i="74" s="1"/>
  <c r="AY44" i="74"/>
  <c r="BH72" i="74" s="1"/>
  <c r="BI43" i="74"/>
  <c r="BB43" i="74"/>
  <c r="AY42" i="74"/>
  <c r="BH69" i="74" s="1"/>
  <c r="AY41" i="74"/>
  <c r="BH67" i="74" s="1"/>
  <c r="AY40" i="74"/>
  <c r="BH65" i="74" s="1"/>
  <c r="AY39" i="74"/>
  <c r="BH64" i="74" s="1"/>
  <c r="AY38" i="74"/>
  <c r="BH62" i="74" s="1"/>
  <c r="BB37" i="74"/>
  <c r="BI36" i="74"/>
  <c r="AY36" i="74"/>
  <c r="BH59" i="74" s="1"/>
  <c r="BH35" i="74"/>
  <c r="AY35" i="74"/>
  <c r="BH34" i="74"/>
  <c r="AY34" i="74"/>
  <c r="BH55" i="74" s="1"/>
  <c r="BH33" i="74"/>
  <c r="AY33" i="74"/>
  <c r="BH52" i="74" s="1"/>
  <c r="BH32" i="74"/>
  <c r="AY32" i="74"/>
  <c r="BH51" i="74" s="1"/>
  <c r="BH31" i="74"/>
  <c r="AY31" i="74"/>
  <c r="BH49" i="74" s="1"/>
  <c r="BH30" i="74"/>
  <c r="AY30" i="74"/>
  <c r="BH47" i="74" s="1"/>
  <c r="BH29" i="74"/>
  <c r="AY29" i="74"/>
  <c r="BH28" i="74"/>
  <c r="BB28" i="74"/>
  <c r="BH27" i="74"/>
  <c r="AY27" i="74"/>
  <c r="BH42" i="74" s="1"/>
  <c r="BI26" i="74"/>
  <c r="AY26" i="74"/>
  <c r="BH40" i="74" s="1"/>
  <c r="AY25" i="74"/>
  <c r="BH38" i="74" s="1"/>
  <c r="BB24" i="74"/>
  <c r="BI23" i="74"/>
  <c r="O17" i="74"/>
  <c r="BB14" i="74"/>
  <c r="AY13" i="74"/>
  <c r="BH21" i="74" s="1"/>
  <c r="J13" i="74"/>
  <c r="AY12" i="74"/>
  <c r="BH19" i="74" s="1"/>
  <c r="AY11" i="74"/>
  <c r="BH17" i="74" s="1"/>
  <c r="F11" i="74"/>
  <c r="AY10" i="74"/>
  <c r="BH15" i="74" s="1"/>
  <c r="F10" i="74"/>
  <c r="AY9" i="74"/>
  <c r="BH13" i="74" s="1"/>
  <c r="AY8" i="74"/>
  <c r="BH11" i="74" s="1"/>
  <c r="F8" i="74"/>
  <c r="AY7" i="74"/>
  <c r="BH9" i="74" s="1"/>
  <c r="F7" i="74"/>
  <c r="AY6" i="74"/>
  <c r="BH8" i="74" s="1"/>
  <c r="AY5" i="74"/>
  <c r="BH6" i="74" s="1"/>
  <c r="Y34" i="71"/>
  <c r="O85" i="71"/>
  <c r="O80" i="71" s="1"/>
  <c r="AC85" i="71"/>
  <c r="AC80" i="71" s="1"/>
  <c r="AA85" i="71"/>
  <c r="AA81" i="71" s="1"/>
  <c r="Y85" i="71"/>
  <c r="Y81" i="71" s="1"/>
  <c r="W85" i="71"/>
  <c r="W80" i="71" s="1"/>
  <c r="U85" i="71"/>
  <c r="U80" i="71" s="1"/>
  <c r="S85" i="71"/>
  <c r="S80" i="71" s="1"/>
  <c r="Q85" i="71"/>
  <c r="Q81" i="71" s="1"/>
  <c r="AE85" i="71"/>
  <c r="AE80" i="71" s="1"/>
  <c r="AP31" i="4"/>
  <c r="AR33" i="4" s="1"/>
  <c r="BI129" i="70"/>
  <c r="BI129" i="73"/>
  <c r="AZ94" i="73"/>
  <c r="AZ93" i="73"/>
  <c r="AZ92" i="73"/>
  <c r="AZ91" i="73"/>
  <c r="AZ90" i="73"/>
  <c r="AZ89" i="73"/>
  <c r="AU89" i="73"/>
  <c r="AR87" i="73" s="1"/>
  <c r="AZ88" i="73"/>
  <c r="AZ87" i="73"/>
  <c r="AU87" i="73"/>
  <c r="AY83" i="73" s="1"/>
  <c r="BH128" i="73" s="1"/>
  <c r="AY48" i="73"/>
  <c r="BH76" i="73" s="1"/>
  <c r="AZ86" i="73"/>
  <c r="AZ85" i="73"/>
  <c r="AY84" i="73"/>
  <c r="BH131" i="73" s="1"/>
  <c r="AI85" i="73"/>
  <c r="AI80" i="73" s="1"/>
  <c r="AG85" i="73"/>
  <c r="AG80" i="73" s="1"/>
  <c r="AE85" i="73"/>
  <c r="AE80" i="73" s="1"/>
  <c r="AC85" i="73"/>
  <c r="AC81" i="73" s="1"/>
  <c r="AA85" i="73"/>
  <c r="AA81" i="73" s="1"/>
  <c r="Y85" i="73"/>
  <c r="Y80" i="73" s="1"/>
  <c r="W85" i="73"/>
  <c r="W80" i="73" s="1"/>
  <c r="U85" i="73"/>
  <c r="U81" i="73" s="1"/>
  <c r="S85" i="73"/>
  <c r="S81" i="73" s="1"/>
  <c r="Q85" i="73"/>
  <c r="Q80" i="73" s="1"/>
  <c r="O85" i="73"/>
  <c r="O80" i="73" s="1"/>
  <c r="BK140" i="73"/>
  <c r="BI140" i="73"/>
  <c r="BK139" i="73"/>
  <c r="BI139" i="73"/>
  <c r="BB140" i="73"/>
  <c r="AZ140" i="73"/>
  <c r="BK132" i="73"/>
  <c r="BI132" i="73"/>
  <c r="BB132" i="73"/>
  <c r="AZ132" i="73"/>
  <c r="BB131" i="73"/>
  <c r="AZ131" i="73"/>
  <c r="BB130" i="73"/>
  <c r="AZ130" i="73"/>
  <c r="BK129" i="73"/>
  <c r="BB129" i="73"/>
  <c r="AZ129" i="73"/>
  <c r="BB128" i="73"/>
  <c r="AZ128" i="73"/>
  <c r="BK127" i="73"/>
  <c r="BI127" i="73"/>
  <c r="BB127" i="73"/>
  <c r="AZ127" i="73"/>
  <c r="BK126" i="73"/>
  <c r="BI126" i="73"/>
  <c r="BB126" i="73"/>
  <c r="AZ126" i="73"/>
  <c r="BB125" i="73"/>
  <c r="AZ125" i="73"/>
  <c r="BK124" i="73"/>
  <c r="BI124" i="73"/>
  <c r="BB124" i="73"/>
  <c r="AZ124" i="73"/>
  <c r="BB123" i="73"/>
  <c r="AZ123" i="73"/>
  <c r="BK122" i="73"/>
  <c r="BI122" i="73"/>
  <c r="BB122" i="73"/>
  <c r="AZ122" i="73"/>
  <c r="BB121" i="73"/>
  <c r="AZ121" i="73"/>
  <c r="BB120" i="73"/>
  <c r="AZ120" i="73"/>
  <c r="BB119" i="73"/>
  <c r="AZ119" i="73"/>
  <c r="BB118" i="73"/>
  <c r="AZ118" i="73"/>
  <c r="BB117" i="73"/>
  <c r="AZ117" i="73"/>
  <c r="BB116" i="73"/>
  <c r="AZ116" i="73"/>
  <c r="BB115" i="73"/>
  <c r="AZ115" i="73"/>
  <c r="BB114" i="73"/>
  <c r="AZ114" i="73"/>
  <c r="BB113" i="73"/>
  <c r="AZ113" i="73"/>
  <c r="BB112" i="73"/>
  <c r="AZ112" i="73"/>
  <c r="BB111" i="73"/>
  <c r="AZ111" i="73"/>
  <c r="BB110" i="73"/>
  <c r="AZ110" i="73"/>
  <c r="BB109" i="73"/>
  <c r="AZ109" i="73"/>
  <c r="BB108" i="73"/>
  <c r="AZ108" i="73"/>
  <c r="BB107" i="73"/>
  <c r="AZ107" i="73"/>
  <c r="BB106" i="73"/>
  <c r="AZ106" i="73"/>
  <c r="BK105" i="73"/>
  <c r="BI105" i="73"/>
  <c r="BB105" i="73"/>
  <c r="AZ105" i="73"/>
  <c r="BB104" i="73"/>
  <c r="AZ104" i="73"/>
  <c r="BB103" i="73"/>
  <c r="AZ103" i="73"/>
  <c r="BB102" i="73"/>
  <c r="AZ102" i="73"/>
  <c r="BK101" i="73"/>
  <c r="BI101" i="73"/>
  <c r="BB101" i="73"/>
  <c r="AZ101" i="73"/>
  <c r="BB100" i="73"/>
  <c r="AZ100" i="73"/>
  <c r="BB99" i="73"/>
  <c r="AZ99" i="73"/>
  <c r="BB98" i="73"/>
  <c r="AZ98" i="73"/>
  <c r="BB97" i="73"/>
  <c r="AZ97" i="73"/>
  <c r="BB96" i="73"/>
  <c r="AZ96" i="73"/>
  <c r="BB95" i="73"/>
  <c r="AZ95" i="73"/>
  <c r="BB94" i="73"/>
  <c r="BB93" i="73"/>
  <c r="BB92" i="73"/>
  <c r="BB91" i="73"/>
  <c r="BB90" i="73"/>
  <c r="BB89" i="73"/>
  <c r="BB88" i="73"/>
  <c r="BB87" i="73"/>
  <c r="BB86" i="73"/>
  <c r="BB85" i="73"/>
  <c r="BK84" i="73"/>
  <c r="BI84" i="73"/>
  <c r="BB82" i="73"/>
  <c r="AZ82" i="73"/>
  <c r="BB81" i="73"/>
  <c r="AZ81" i="73"/>
  <c r="BB79" i="73"/>
  <c r="AZ79" i="73"/>
  <c r="AW78" i="73"/>
  <c r="AV78" i="73"/>
  <c r="BK77" i="73"/>
  <c r="BI77" i="73"/>
  <c r="BB77" i="73"/>
  <c r="AZ77" i="73"/>
  <c r="AY76" i="73"/>
  <c r="BH123" i="73" s="1"/>
  <c r="BB75" i="73"/>
  <c r="AZ75" i="73"/>
  <c r="AY74" i="73"/>
  <c r="BH120" i="73" s="1"/>
  <c r="AY73" i="73"/>
  <c r="BH119" i="73" s="1"/>
  <c r="AY72" i="73"/>
  <c r="BH117" i="73" s="1"/>
  <c r="BK71" i="73"/>
  <c r="BI71" i="73"/>
  <c r="AY71" i="73"/>
  <c r="BH114" i="73" s="1"/>
  <c r="AY70" i="73"/>
  <c r="BH113" i="73" s="1"/>
  <c r="AY69" i="73"/>
  <c r="BH110" i="73" s="1"/>
  <c r="AY68" i="73"/>
  <c r="BH108" i="73" s="1"/>
  <c r="AY67" i="73"/>
  <c r="BH107" i="73" s="1"/>
  <c r="BB66" i="73"/>
  <c r="AZ66" i="73"/>
  <c r="AY65" i="73"/>
  <c r="BH104" i="73" s="1"/>
  <c r="AY64" i="73"/>
  <c r="BH103" i="73" s="1"/>
  <c r="AY63" i="73"/>
  <c r="BB62" i="73"/>
  <c r="AZ62" i="73"/>
  <c r="AY61" i="73"/>
  <c r="BH100" i="73" s="1"/>
  <c r="BK60" i="73"/>
  <c r="BI60" i="73"/>
  <c r="AY60" i="73"/>
  <c r="BH98" i="73" s="1"/>
  <c r="AY59" i="73"/>
  <c r="BH95" i="73" s="1"/>
  <c r="AY58" i="73"/>
  <c r="AY57" i="73"/>
  <c r="BH92" i="73" s="1"/>
  <c r="AY56" i="73"/>
  <c r="BH90" i="73" s="1"/>
  <c r="AY55" i="73"/>
  <c r="BH87" i="73" s="1"/>
  <c r="AY54" i="73"/>
  <c r="BH86" i="73" s="1"/>
  <c r="BB53" i="73"/>
  <c r="AZ53" i="73"/>
  <c r="AY52" i="73"/>
  <c r="BH83" i="73" s="1"/>
  <c r="AY51" i="73"/>
  <c r="BH81" i="73" s="1"/>
  <c r="AY50" i="73"/>
  <c r="BH78" i="73" s="1"/>
  <c r="BB49" i="73"/>
  <c r="AZ49" i="73"/>
  <c r="AY47" i="73"/>
  <c r="BH75" i="73" s="1"/>
  <c r="AY46" i="73"/>
  <c r="BH74" i="73" s="1"/>
  <c r="AY45" i="73"/>
  <c r="BH73" i="73" s="1"/>
  <c r="AY44" i="73"/>
  <c r="BH72" i="73" s="1"/>
  <c r="BK43" i="73"/>
  <c r="BI43" i="73"/>
  <c r="BB43" i="73"/>
  <c r="AZ43" i="73"/>
  <c r="AY42" i="73"/>
  <c r="BH69" i="73" s="1"/>
  <c r="AY41" i="73"/>
  <c r="BH68" i="73" s="1"/>
  <c r="AY40" i="73"/>
  <c r="BH65" i="73" s="1"/>
  <c r="AY39" i="73"/>
  <c r="BH64" i="73" s="1"/>
  <c r="AY38" i="73"/>
  <c r="BH61" i="73" s="1"/>
  <c r="BB37" i="73"/>
  <c r="AZ37" i="73"/>
  <c r="BK36" i="73"/>
  <c r="BI36" i="73"/>
  <c r="AY36" i="73"/>
  <c r="BH59" i="73" s="1"/>
  <c r="BH35" i="73"/>
  <c r="AY35" i="73"/>
  <c r="BH57" i="73" s="1"/>
  <c r="BH34" i="73"/>
  <c r="AY34" i="73"/>
  <c r="BH54" i="73" s="1"/>
  <c r="BH33" i="73"/>
  <c r="AY33" i="73"/>
  <c r="BH53" i="73" s="1"/>
  <c r="BH32" i="73"/>
  <c r="AY32" i="73"/>
  <c r="BH51" i="73" s="1"/>
  <c r="BH31" i="73"/>
  <c r="AY31" i="73"/>
  <c r="BH49" i="73" s="1"/>
  <c r="BH30" i="73"/>
  <c r="AY30" i="73"/>
  <c r="BH47" i="73" s="1"/>
  <c r="BH29" i="73"/>
  <c r="AY29" i="73"/>
  <c r="BH45" i="73" s="1"/>
  <c r="BH28" i="73"/>
  <c r="BB28" i="73"/>
  <c r="AZ28" i="73"/>
  <c r="BH27" i="73"/>
  <c r="AY27" i="73"/>
  <c r="BH41" i="73" s="1"/>
  <c r="BK26" i="73"/>
  <c r="BI26" i="73"/>
  <c r="AY26" i="73"/>
  <c r="BH40" i="73" s="1"/>
  <c r="AY25" i="73"/>
  <c r="BH38" i="73" s="1"/>
  <c r="BH24" i="73"/>
  <c r="BH136" i="73" s="1"/>
  <c r="BB24" i="73"/>
  <c r="AZ24" i="73"/>
  <c r="BK23" i="73"/>
  <c r="BI23" i="73"/>
  <c r="O17" i="73"/>
  <c r="BB14" i="73"/>
  <c r="AZ14" i="73"/>
  <c r="AY13" i="73"/>
  <c r="BH21" i="73" s="1"/>
  <c r="J13" i="73"/>
  <c r="AY12" i="73"/>
  <c r="BH19" i="73" s="1"/>
  <c r="AY11" i="73"/>
  <c r="BH17" i="73" s="1"/>
  <c r="F11" i="73"/>
  <c r="AY10" i="73"/>
  <c r="BH16" i="73" s="1"/>
  <c r="F10" i="73"/>
  <c r="AY9" i="73"/>
  <c r="BH14" i="73" s="1"/>
  <c r="AY8" i="73"/>
  <c r="BH12" i="73" s="1"/>
  <c r="F8" i="73"/>
  <c r="AY7" i="73"/>
  <c r="BH10" i="73" s="1"/>
  <c r="F7" i="73"/>
  <c r="AY6" i="73"/>
  <c r="BH8" i="73" s="1"/>
  <c r="AY5" i="73"/>
  <c r="BH5" i="73" s="1"/>
  <c r="BH131" i="71"/>
  <c r="AZ103" i="71"/>
  <c r="AZ102" i="71"/>
  <c r="AZ101" i="71"/>
  <c r="AZ100" i="71"/>
  <c r="AZ99" i="71"/>
  <c r="AU99" i="71"/>
  <c r="AZ98" i="71"/>
  <c r="AZ97" i="71"/>
  <c r="AU97" i="71"/>
  <c r="AZ96" i="71"/>
  <c r="AZ95" i="71"/>
  <c r="AI85" i="71"/>
  <c r="AI80" i="71" s="1"/>
  <c r="AG85" i="71"/>
  <c r="AG80" i="71" s="1"/>
  <c r="AI85" i="70"/>
  <c r="AI80" i="70" s="1"/>
  <c r="AG85" i="70"/>
  <c r="AG80" i="70" s="1"/>
  <c r="AE85" i="70"/>
  <c r="AE80" i="70" s="1"/>
  <c r="AC85" i="70"/>
  <c r="AC80" i="70" s="1"/>
  <c r="AA85" i="70"/>
  <c r="AA80" i="70" s="1"/>
  <c r="Y85" i="70"/>
  <c r="Y80" i="70" s="1"/>
  <c r="W85" i="70"/>
  <c r="W80" i="70" s="1"/>
  <c r="U85" i="70"/>
  <c r="U80" i="70" s="1"/>
  <c r="S85" i="70"/>
  <c r="S80" i="70" s="1"/>
  <c r="Q85" i="70"/>
  <c r="Q80" i="70" s="1"/>
  <c r="O85" i="70"/>
  <c r="O80" i="70" s="1"/>
  <c r="AU89" i="70"/>
  <c r="AU87" i="70"/>
  <c r="AY84" i="70"/>
  <c r="BH130" i="70" s="1"/>
  <c r="AE81" i="70"/>
  <c r="AB31" i="4"/>
  <c r="AD33" i="4" s="1"/>
  <c r="M31" i="4"/>
  <c r="O33" i="4" s="1"/>
  <c r="BK140" i="71"/>
  <c r="BI140" i="71"/>
  <c r="BK139" i="71"/>
  <c r="BI139" i="71"/>
  <c r="BB132" i="71"/>
  <c r="AZ132" i="71"/>
  <c r="BK132" i="71"/>
  <c r="BI132" i="71"/>
  <c r="BB124" i="71"/>
  <c r="AZ124" i="71"/>
  <c r="BB123" i="71"/>
  <c r="AZ123" i="71"/>
  <c r="BB122" i="71"/>
  <c r="AZ122" i="71"/>
  <c r="BK129" i="71"/>
  <c r="BB121" i="71"/>
  <c r="AZ121" i="71"/>
  <c r="BB120" i="71"/>
  <c r="AZ120" i="71"/>
  <c r="BK127" i="71"/>
  <c r="BI127" i="71"/>
  <c r="BB119" i="71"/>
  <c r="AZ119" i="71"/>
  <c r="BK126" i="71"/>
  <c r="BI126" i="71"/>
  <c r="BB118" i="71"/>
  <c r="AZ118" i="71"/>
  <c r="BB117" i="71"/>
  <c r="AZ117" i="71"/>
  <c r="BK124" i="71"/>
  <c r="BI124" i="71"/>
  <c r="BB116" i="71"/>
  <c r="AZ116" i="71"/>
  <c r="BB115" i="71"/>
  <c r="AZ115" i="71"/>
  <c r="BK122" i="71"/>
  <c r="BI122" i="71"/>
  <c r="BB114" i="71"/>
  <c r="AZ114" i="71"/>
  <c r="BB113" i="71"/>
  <c r="AZ113" i="71"/>
  <c r="BB112" i="71"/>
  <c r="AZ112" i="71"/>
  <c r="BB111" i="71"/>
  <c r="AZ111" i="71"/>
  <c r="BB110" i="71"/>
  <c r="AZ110" i="71"/>
  <c r="BB109" i="71"/>
  <c r="AZ109" i="71"/>
  <c r="BB108" i="71"/>
  <c r="AZ108" i="71"/>
  <c r="BB107" i="71"/>
  <c r="AZ107" i="71"/>
  <c r="BB106" i="71"/>
  <c r="AZ106" i="71"/>
  <c r="BB105" i="71"/>
  <c r="AZ105" i="71"/>
  <c r="BB104" i="71"/>
  <c r="AZ104" i="71"/>
  <c r="BB103" i="71"/>
  <c r="BB102" i="71"/>
  <c r="BB101" i="71"/>
  <c r="BB100" i="71"/>
  <c r="BK105" i="71"/>
  <c r="BI105" i="71"/>
  <c r="BB99" i="71"/>
  <c r="BB98" i="71"/>
  <c r="BB97" i="71"/>
  <c r="BB96" i="71"/>
  <c r="BK101" i="71"/>
  <c r="BI101" i="71"/>
  <c r="BB95" i="71"/>
  <c r="BB92" i="71"/>
  <c r="AZ92" i="71"/>
  <c r="BB91" i="71"/>
  <c r="AZ91" i="71"/>
  <c r="BB90" i="71"/>
  <c r="AZ90" i="71"/>
  <c r="BB89" i="71"/>
  <c r="AZ89" i="71"/>
  <c r="BB88" i="71"/>
  <c r="AZ88" i="71"/>
  <c r="BB87" i="71"/>
  <c r="AZ87" i="71"/>
  <c r="BB86" i="71"/>
  <c r="AZ86" i="71"/>
  <c r="BB85" i="71"/>
  <c r="AZ85" i="71"/>
  <c r="BB84" i="71"/>
  <c r="AZ84" i="71"/>
  <c r="BB83" i="71"/>
  <c r="AZ83" i="71"/>
  <c r="BB82" i="71"/>
  <c r="AZ82" i="71"/>
  <c r="BB81" i="71"/>
  <c r="AZ81" i="71"/>
  <c r="BK84" i="71"/>
  <c r="BI84" i="71"/>
  <c r="BB79" i="71"/>
  <c r="AZ79" i="71"/>
  <c r="AW78" i="71"/>
  <c r="AV78" i="71"/>
  <c r="BB77" i="71"/>
  <c r="AZ77" i="71"/>
  <c r="BH123" i="71"/>
  <c r="BK77" i="71"/>
  <c r="BI77" i="71"/>
  <c r="BB75" i="71"/>
  <c r="AZ75" i="71"/>
  <c r="AY74" i="71"/>
  <c r="BH120" i="71" s="1"/>
  <c r="AY73" i="71"/>
  <c r="BH118" i="71" s="1"/>
  <c r="AY72" i="71"/>
  <c r="BH116" i="71" s="1"/>
  <c r="AY71" i="71"/>
  <c r="BH115" i="71" s="1"/>
  <c r="AY70" i="71"/>
  <c r="BH112" i="71" s="1"/>
  <c r="BK71" i="71"/>
  <c r="BI71" i="71"/>
  <c r="AY69" i="71"/>
  <c r="BH111" i="71" s="1"/>
  <c r="AY68" i="71"/>
  <c r="BH108" i="71" s="1"/>
  <c r="BB66" i="71"/>
  <c r="AZ66" i="71"/>
  <c r="AY65" i="71"/>
  <c r="BH104" i="71" s="1"/>
  <c r="AY64" i="71"/>
  <c r="BH103" i="71" s="1"/>
  <c r="AY63" i="71"/>
  <c r="BH102" i="71" s="1"/>
  <c r="BB62" i="71"/>
  <c r="AZ62" i="71"/>
  <c r="AY61" i="71"/>
  <c r="BH99" i="71" s="1"/>
  <c r="AY60" i="71"/>
  <c r="BH98" i="71" s="1"/>
  <c r="BK60" i="71"/>
  <c r="BI60" i="71"/>
  <c r="AY59" i="71"/>
  <c r="BH96" i="71" s="1"/>
  <c r="AY58" i="71"/>
  <c r="BH94" i="71" s="1"/>
  <c r="AY57" i="71"/>
  <c r="BH92" i="71" s="1"/>
  <c r="AY56" i="71"/>
  <c r="BH89" i="71" s="1"/>
  <c r="AY55" i="71"/>
  <c r="BH87" i="71" s="1"/>
  <c r="BB53" i="71"/>
  <c r="AZ53" i="71"/>
  <c r="AY52" i="71"/>
  <c r="BH83" i="71" s="1"/>
  <c r="AY51" i="71"/>
  <c r="BH80" i="71" s="1"/>
  <c r="BB49" i="71"/>
  <c r="AZ49" i="71"/>
  <c r="AY47" i="71"/>
  <c r="BH75" i="71" s="1"/>
  <c r="AY46" i="71"/>
  <c r="BH74" i="71" s="1"/>
  <c r="AY45" i="71"/>
  <c r="BH73" i="71" s="1"/>
  <c r="AY44" i="71"/>
  <c r="BH72" i="71" s="1"/>
  <c r="BB43" i="71"/>
  <c r="AZ43" i="71"/>
  <c r="BK43" i="71"/>
  <c r="BI43" i="71"/>
  <c r="AY41" i="71"/>
  <c r="BH67" i="71" s="1"/>
  <c r="AY40" i="71"/>
  <c r="BH66" i="71" s="1"/>
  <c r="AY39" i="71"/>
  <c r="BH64" i="71" s="1"/>
  <c r="AY38" i="71"/>
  <c r="BH62" i="71" s="1"/>
  <c r="BB37" i="71"/>
  <c r="AZ37" i="71"/>
  <c r="AY36" i="71"/>
  <c r="BH59" i="71" s="1"/>
  <c r="BH34" i="71"/>
  <c r="AY35" i="71"/>
  <c r="BH56" i="71" s="1"/>
  <c r="BH33" i="71"/>
  <c r="AY34" i="71"/>
  <c r="BH55" i="71" s="1"/>
  <c r="BH32" i="71"/>
  <c r="AY33" i="71"/>
  <c r="BH52" i="71" s="1"/>
  <c r="BH31" i="71"/>
  <c r="AY32" i="71"/>
  <c r="BH50" i="71" s="1"/>
  <c r="BH30" i="71"/>
  <c r="AY31" i="71"/>
  <c r="BH49" i="71" s="1"/>
  <c r="BH29" i="71"/>
  <c r="AY30" i="71"/>
  <c r="BH46" i="71" s="1"/>
  <c r="BH28" i="71"/>
  <c r="BB28" i="71"/>
  <c r="AZ28" i="71"/>
  <c r="BK26" i="71"/>
  <c r="BI26" i="71"/>
  <c r="AY27" i="71"/>
  <c r="BH41" i="71" s="1"/>
  <c r="AY26" i="71"/>
  <c r="BH136" i="71"/>
  <c r="BK23" i="71"/>
  <c r="BI23" i="71"/>
  <c r="O17" i="71"/>
  <c r="J13" i="71"/>
  <c r="AY12" i="71"/>
  <c r="BH19" i="71" s="1"/>
  <c r="F11" i="71"/>
  <c r="AY11" i="71"/>
  <c r="BH17" i="71" s="1"/>
  <c r="F10" i="71"/>
  <c r="AY10" i="71"/>
  <c r="BH16" i="71" s="1"/>
  <c r="AY9" i="71"/>
  <c r="BH14" i="71" s="1"/>
  <c r="F8" i="71"/>
  <c r="AY8" i="71"/>
  <c r="BH11" i="71" s="1"/>
  <c r="F7" i="71"/>
  <c r="AY7" i="71"/>
  <c r="BH10" i="71" s="1"/>
  <c r="AY6" i="71"/>
  <c r="BK143" i="70"/>
  <c r="BI143" i="70"/>
  <c r="BK142" i="70"/>
  <c r="BI142" i="70"/>
  <c r="BK141" i="70"/>
  <c r="BI141" i="70"/>
  <c r="BB141" i="70"/>
  <c r="AZ141" i="70"/>
  <c r="BK132" i="70"/>
  <c r="BI132" i="70"/>
  <c r="BB132" i="70"/>
  <c r="AZ132" i="70"/>
  <c r="BB131" i="70"/>
  <c r="AZ131" i="70"/>
  <c r="BB130" i="70"/>
  <c r="AZ130" i="70"/>
  <c r="BB129" i="70"/>
  <c r="AZ129" i="70"/>
  <c r="BB128" i="70"/>
  <c r="AZ128" i="70"/>
  <c r="BK127" i="70"/>
  <c r="BI127" i="70"/>
  <c r="BB127" i="70"/>
  <c r="AZ127" i="70"/>
  <c r="BK126" i="70"/>
  <c r="BI126" i="70"/>
  <c r="BB126" i="70"/>
  <c r="AZ126" i="70"/>
  <c r="BB125" i="70"/>
  <c r="AZ125" i="70"/>
  <c r="BK124" i="70"/>
  <c r="BI124" i="70"/>
  <c r="BB124" i="70"/>
  <c r="AZ124" i="70"/>
  <c r="BB123" i="70"/>
  <c r="AZ123" i="70"/>
  <c r="BK122" i="70"/>
  <c r="BI122" i="70"/>
  <c r="BB122" i="70"/>
  <c r="AZ122" i="70"/>
  <c r="BB121" i="70"/>
  <c r="AZ121" i="70"/>
  <c r="BB120" i="70"/>
  <c r="AZ120" i="70"/>
  <c r="BB119" i="70"/>
  <c r="AZ119" i="70"/>
  <c r="BB118" i="70"/>
  <c r="AZ118" i="70"/>
  <c r="BB117" i="70"/>
  <c r="AZ117" i="70"/>
  <c r="BB116" i="70"/>
  <c r="AZ116" i="70"/>
  <c r="BB115" i="70"/>
  <c r="AZ115" i="70"/>
  <c r="BB114" i="70"/>
  <c r="AZ114" i="70"/>
  <c r="BB113" i="70"/>
  <c r="AZ113" i="70"/>
  <c r="BB112" i="70"/>
  <c r="AZ112" i="70"/>
  <c r="BB111" i="70"/>
  <c r="AZ111" i="70"/>
  <c r="BB110" i="70"/>
  <c r="AZ110" i="70"/>
  <c r="BB109" i="70"/>
  <c r="AZ109" i="70"/>
  <c r="BB108" i="70"/>
  <c r="AZ108" i="70"/>
  <c r="BB107" i="70"/>
  <c r="AZ107" i="70"/>
  <c r="BB106" i="70"/>
  <c r="AZ106" i="70"/>
  <c r="BK105" i="70"/>
  <c r="BI105" i="70"/>
  <c r="BB105" i="70"/>
  <c r="AZ105" i="70"/>
  <c r="BB104" i="70"/>
  <c r="AZ104" i="70"/>
  <c r="BB103" i="70"/>
  <c r="AZ103" i="70"/>
  <c r="BB102" i="70"/>
  <c r="AZ102" i="70"/>
  <c r="BK101" i="70"/>
  <c r="BI101" i="70"/>
  <c r="BB101" i="70"/>
  <c r="AZ101" i="70"/>
  <c r="BB100" i="70"/>
  <c r="AZ100" i="70"/>
  <c r="BB99" i="70"/>
  <c r="AZ99" i="70"/>
  <c r="BB98" i="70"/>
  <c r="AZ98" i="70"/>
  <c r="BB97" i="70"/>
  <c r="AZ97" i="70"/>
  <c r="BB96" i="70"/>
  <c r="AZ96" i="70"/>
  <c r="BB95" i="70"/>
  <c r="AZ95" i="70"/>
  <c r="BB94" i="70"/>
  <c r="AZ94" i="70"/>
  <c r="BB93" i="70"/>
  <c r="AZ93" i="70"/>
  <c r="BB92" i="70"/>
  <c r="AZ92" i="70"/>
  <c r="BB91" i="70"/>
  <c r="AZ91" i="70"/>
  <c r="BB90" i="70"/>
  <c r="AZ90" i="70"/>
  <c r="BB89" i="70"/>
  <c r="AZ89" i="70"/>
  <c r="BB88" i="70"/>
  <c r="AZ88" i="70"/>
  <c r="BB87" i="70"/>
  <c r="AZ87" i="70"/>
  <c r="BB86" i="70"/>
  <c r="AZ86" i="70"/>
  <c r="BB85" i="70"/>
  <c r="AZ85" i="70"/>
  <c r="BK84" i="70"/>
  <c r="BI84" i="70"/>
  <c r="BB82" i="70"/>
  <c r="AZ82" i="70"/>
  <c r="BB81" i="70"/>
  <c r="AZ81" i="70"/>
  <c r="BB79" i="70"/>
  <c r="AZ79" i="70"/>
  <c r="AW78" i="70"/>
  <c r="AV78" i="70"/>
  <c r="BK77" i="70"/>
  <c r="BI77" i="70"/>
  <c r="BB77" i="70"/>
  <c r="AZ77" i="70"/>
  <c r="AY76" i="70"/>
  <c r="BB75" i="70"/>
  <c r="AZ75" i="70"/>
  <c r="AY74" i="70"/>
  <c r="BH120" i="70" s="1"/>
  <c r="AY73" i="70"/>
  <c r="BH118" i="70" s="1"/>
  <c r="AY72" i="70"/>
  <c r="BH116" i="70" s="1"/>
  <c r="BK71" i="70"/>
  <c r="BI71" i="70"/>
  <c r="AY71" i="70"/>
  <c r="BH114" i="70" s="1"/>
  <c r="AY70" i="70"/>
  <c r="BH113" i="70" s="1"/>
  <c r="AY69" i="70"/>
  <c r="BH111" i="70" s="1"/>
  <c r="AY68" i="70"/>
  <c r="BH109" i="70" s="1"/>
  <c r="AY67" i="70"/>
  <c r="BH106" i="70" s="1"/>
  <c r="BB66" i="70"/>
  <c r="AZ66" i="70"/>
  <c r="AY65" i="70"/>
  <c r="BH104" i="70" s="1"/>
  <c r="AY64" i="70"/>
  <c r="BH103" i="70" s="1"/>
  <c r="AY63" i="70"/>
  <c r="BH102" i="70" s="1"/>
  <c r="BB62" i="70"/>
  <c r="AZ62" i="70"/>
  <c r="AY61" i="70"/>
  <c r="BH100" i="70" s="1"/>
  <c r="BK60" i="70"/>
  <c r="BI60" i="70"/>
  <c r="AY60" i="70"/>
  <c r="BH98" i="70" s="1"/>
  <c r="AY59" i="70"/>
  <c r="BH95" i="70" s="1"/>
  <c r="AY58" i="70"/>
  <c r="BH94" i="70" s="1"/>
  <c r="AY57" i="70"/>
  <c r="BH92" i="70" s="1"/>
  <c r="AY56" i="70"/>
  <c r="BH89" i="70" s="1"/>
  <c r="AY55" i="70"/>
  <c r="BH87" i="70" s="1"/>
  <c r="AY54" i="70"/>
  <c r="BB53" i="70"/>
  <c r="AZ53" i="70"/>
  <c r="AY52" i="70"/>
  <c r="BH82" i="70" s="1"/>
  <c r="AY51" i="70"/>
  <c r="BH80" i="70" s="1"/>
  <c r="AY50" i="70"/>
  <c r="BB49" i="70"/>
  <c r="AZ49" i="70"/>
  <c r="AY47" i="70"/>
  <c r="BH75" i="70" s="1"/>
  <c r="AY46" i="70"/>
  <c r="BH74" i="70" s="1"/>
  <c r="AY45" i="70"/>
  <c r="BH73" i="70" s="1"/>
  <c r="AY44" i="70"/>
  <c r="BH72" i="70" s="1"/>
  <c r="BK43" i="70"/>
  <c r="BI43" i="70"/>
  <c r="BB43" i="70"/>
  <c r="AZ43" i="70"/>
  <c r="AY42" i="70"/>
  <c r="BH70" i="70" s="1"/>
  <c r="AY41" i="70"/>
  <c r="BH68" i="70" s="1"/>
  <c r="AY40" i="70"/>
  <c r="BH65" i="70" s="1"/>
  <c r="AY39" i="70"/>
  <c r="BH64" i="70" s="1"/>
  <c r="AY38" i="70"/>
  <c r="BH61" i="70" s="1"/>
  <c r="BB37" i="70"/>
  <c r="AZ37" i="70"/>
  <c r="BK36" i="70"/>
  <c r="BI36" i="70"/>
  <c r="AY36" i="70"/>
  <c r="BH59" i="70" s="1"/>
  <c r="BH35" i="70"/>
  <c r="AY35" i="70"/>
  <c r="BH56" i="70" s="1"/>
  <c r="BH34" i="70"/>
  <c r="AY34" i="70"/>
  <c r="BH54" i="70" s="1"/>
  <c r="BH33" i="70"/>
  <c r="AY33" i="70"/>
  <c r="BH53" i="70" s="1"/>
  <c r="BH32" i="70"/>
  <c r="AY32" i="70"/>
  <c r="BH50" i="70" s="1"/>
  <c r="BH31" i="70"/>
  <c r="AY31" i="70"/>
  <c r="BH49" i="70" s="1"/>
  <c r="BH30" i="70"/>
  <c r="AY30" i="70"/>
  <c r="BH47" i="70" s="1"/>
  <c r="BH29" i="70"/>
  <c r="AY29" i="70"/>
  <c r="BH45" i="70" s="1"/>
  <c r="BH28" i="70"/>
  <c r="BB28" i="70"/>
  <c r="AZ28" i="70"/>
  <c r="BH27" i="70"/>
  <c r="AY27" i="70"/>
  <c r="BH42" i="70" s="1"/>
  <c r="BK26" i="70"/>
  <c r="BI26" i="70"/>
  <c r="AY26" i="70"/>
  <c r="BH40" i="70" s="1"/>
  <c r="AY25" i="70"/>
  <c r="BH24" i="70"/>
  <c r="BH136" i="70" s="1"/>
  <c r="BB24" i="70"/>
  <c r="AZ24" i="70"/>
  <c r="BK23" i="70"/>
  <c r="BI23" i="70"/>
  <c r="O17" i="70"/>
  <c r="BB14" i="70"/>
  <c r="AZ14" i="70"/>
  <c r="AY13" i="70"/>
  <c r="BH22" i="70" s="1"/>
  <c r="J13" i="70"/>
  <c r="AY12" i="70"/>
  <c r="BH19" i="70" s="1"/>
  <c r="AY11" i="70"/>
  <c r="BH17" i="70" s="1"/>
  <c r="F11" i="70"/>
  <c r="AY10" i="70"/>
  <c r="BH16" i="70" s="1"/>
  <c r="F10" i="70"/>
  <c r="AY9" i="70"/>
  <c r="BH13" i="70" s="1"/>
  <c r="AY8" i="70"/>
  <c r="BH12" i="70" s="1"/>
  <c r="F8" i="70"/>
  <c r="AY7" i="70"/>
  <c r="BH9" i="70" s="1"/>
  <c r="F7" i="70"/>
  <c r="AY6" i="70"/>
  <c r="BH8" i="70" s="1"/>
  <c r="AY5" i="70"/>
  <c r="BH5" i="70" s="1"/>
  <c r="AP21" i="4"/>
  <c r="AY19" i="69"/>
  <c r="AY18" i="69"/>
  <c r="AY17" i="69"/>
  <c r="AY16" i="69"/>
  <c r="AY15" i="69"/>
  <c r="AY14" i="69"/>
  <c r="AY13" i="69"/>
  <c r="BH29" i="69"/>
  <c r="BH28" i="69"/>
  <c r="BH27" i="69"/>
  <c r="BH26" i="69"/>
  <c r="BH25" i="69"/>
  <c r="BH24" i="69"/>
  <c r="BH23" i="69"/>
  <c r="BK108" i="69"/>
  <c r="BI108" i="69"/>
  <c r="BK107" i="69"/>
  <c r="BI107" i="69"/>
  <c r="BK106" i="69"/>
  <c r="BI106" i="69"/>
  <c r="BB106" i="69"/>
  <c r="AZ106" i="69"/>
  <c r="BK100" i="69"/>
  <c r="BI100" i="69"/>
  <c r="BB100" i="69"/>
  <c r="AZ100" i="69"/>
  <c r="BB99" i="69"/>
  <c r="AZ99" i="69"/>
  <c r="BK98" i="69"/>
  <c r="BI98" i="69"/>
  <c r="BB98" i="69"/>
  <c r="AZ98" i="69"/>
  <c r="BB97" i="69"/>
  <c r="AZ97" i="69"/>
  <c r="BK96" i="69"/>
  <c r="BI96" i="69"/>
  <c r="BB96" i="69"/>
  <c r="AZ96" i="69"/>
  <c r="BB95" i="69"/>
  <c r="AZ95" i="69"/>
  <c r="BB94" i="69"/>
  <c r="AZ94" i="69"/>
  <c r="BB93" i="69"/>
  <c r="AZ93" i="69"/>
  <c r="BB92" i="69"/>
  <c r="AZ92" i="69"/>
  <c r="BB91" i="69"/>
  <c r="AZ91" i="69"/>
  <c r="BB90" i="69"/>
  <c r="AZ90" i="69"/>
  <c r="BB89" i="69"/>
  <c r="AZ89" i="69"/>
  <c r="BB88" i="69"/>
  <c r="AZ88" i="69"/>
  <c r="BB87" i="69"/>
  <c r="AZ87" i="69"/>
  <c r="BB86" i="69"/>
  <c r="AZ86" i="69"/>
  <c r="BB85" i="69"/>
  <c r="AZ85" i="69"/>
  <c r="BB84" i="69"/>
  <c r="AZ84" i="69"/>
  <c r="BK83" i="69"/>
  <c r="BI83" i="69"/>
  <c r="BB83" i="69"/>
  <c r="AZ83" i="69"/>
  <c r="BB82" i="69"/>
  <c r="AZ82" i="69"/>
  <c r="BB81" i="69"/>
  <c r="AZ81" i="69"/>
  <c r="BB80" i="69"/>
  <c r="AZ80" i="69"/>
  <c r="BK79" i="69"/>
  <c r="BI79" i="69"/>
  <c r="BB79" i="69"/>
  <c r="AZ79" i="69"/>
  <c r="BB78" i="69"/>
  <c r="AZ78" i="69"/>
  <c r="BB77" i="69"/>
  <c r="AZ77" i="69"/>
  <c r="BB76" i="69"/>
  <c r="AZ76" i="69"/>
  <c r="BB75" i="69"/>
  <c r="AZ75" i="69"/>
  <c r="BB74" i="69"/>
  <c r="AZ74" i="69"/>
  <c r="BB73" i="69"/>
  <c r="AZ73" i="69"/>
  <c r="BB72" i="69"/>
  <c r="AZ72" i="69"/>
  <c r="BB71" i="69"/>
  <c r="AZ71" i="69"/>
  <c r="BB70" i="69"/>
  <c r="AZ70" i="69"/>
  <c r="BB69" i="69"/>
  <c r="AZ69" i="69"/>
  <c r="BB68" i="69"/>
  <c r="AZ68" i="69"/>
  <c r="BB67" i="69"/>
  <c r="AZ67" i="69"/>
  <c r="BK66" i="69"/>
  <c r="BI66" i="69"/>
  <c r="BB65" i="69"/>
  <c r="AZ65" i="69"/>
  <c r="BK63" i="69"/>
  <c r="BI63" i="69"/>
  <c r="BB63" i="69"/>
  <c r="AZ63" i="69"/>
  <c r="AY62" i="69"/>
  <c r="BH97" i="69" s="1"/>
  <c r="BB61" i="69"/>
  <c r="AZ61" i="69"/>
  <c r="AY60" i="69"/>
  <c r="BH95" i="69" s="1"/>
  <c r="AY59" i="69"/>
  <c r="BH93" i="69" s="1"/>
  <c r="BK57" i="69"/>
  <c r="BI57" i="69"/>
  <c r="AY58" i="69"/>
  <c r="BH91" i="69" s="1"/>
  <c r="AY57" i="69"/>
  <c r="BH89" i="69" s="1"/>
  <c r="AY56" i="69"/>
  <c r="BH87" i="69" s="1"/>
  <c r="AY55" i="69"/>
  <c r="BH84" i="69" s="1"/>
  <c r="BB54" i="69"/>
  <c r="AZ54" i="69"/>
  <c r="AY53" i="69"/>
  <c r="AY52" i="69"/>
  <c r="BH81" i="69" s="1"/>
  <c r="AY51" i="69"/>
  <c r="BH80" i="69" s="1"/>
  <c r="BB50" i="69"/>
  <c r="AZ50" i="69"/>
  <c r="AY49" i="69"/>
  <c r="BH77" i="69" s="1"/>
  <c r="AY48" i="69"/>
  <c r="BK46" i="69"/>
  <c r="BI46" i="69"/>
  <c r="AY47" i="69"/>
  <c r="BH73" i="69" s="1"/>
  <c r="AY46" i="69"/>
  <c r="BH72" i="69" s="1"/>
  <c r="AY45" i="69"/>
  <c r="BH69" i="69" s="1"/>
  <c r="AY44" i="69"/>
  <c r="BH68" i="69" s="1"/>
  <c r="BB43" i="69"/>
  <c r="AZ43" i="69"/>
  <c r="AY42" i="69"/>
  <c r="BH65" i="69" s="1"/>
  <c r="BB41" i="69"/>
  <c r="AZ41" i="69"/>
  <c r="AY40" i="69"/>
  <c r="BH62" i="69" s="1"/>
  <c r="AY39" i="69"/>
  <c r="BH61" i="69" s="1"/>
  <c r="AY38" i="69"/>
  <c r="BH60" i="69" s="1"/>
  <c r="AY37" i="69"/>
  <c r="BH59" i="69" s="1"/>
  <c r="AY36" i="69"/>
  <c r="BH58" i="69" s="1"/>
  <c r="BB35" i="69"/>
  <c r="AZ35" i="69"/>
  <c r="BK33" i="69"/>
  <c r="BI33" i="69"/>
  <c r="AY34" i="69"/>
  <c r="BH56" i="69" s="1"/>
  <c r="AY33" i="69"/>
  <c r="BH54" i="69" s="1"/>
  <c r="AY32" i="69"/>
  <c r="BH51" i="69" s="1"/>
  <c r="BK30" i="69"/>
  <c r="BI30" i="69"/>
  <c r="AY31" i="69"/>
  <c r="BH50" i="69" s="1"/>
  <c r="AY30" i="69"/>
  <c r="BH47" i="69" s="1"/>
  <c r="BB29" i="69"/>
  <c r="AZ29" i="69"/>
  <c r="AY28" i="69"/>
  <c r="BH44" i="69" s="1"/>
  <c r="AY27" i="69"/>
  <c r="BH43" i="69" s="1"/>
  <c r="AY26" i="69"/>
  <c r="BH41" i="69" s="1"/>
  <c r="AY25" i="69"/>
  <c r="BH38" i="69" s="1"/>
  <c r="AY24" i="69"/>
  <c r="BK22" i="69"/>
  <c r="BI22" i="69"/>
  <c r="AY23" i="69"/>
  <c r="BH35" i="69" s="1"/>
  <c r="BB22" i="69"/>
  <c r="AZ22" i="69"/>
  <c r="AY21" i="69"/>
  <c r="BH31" i="69" s="1"/>
  <c r="BH20" i="69"/>
  <c r="BB20" i="69"/>
  <c r="AZ20" i="69"/>
  <c r="BK19" i="69"/>
  <c r="BI19" i="69"/>
  <c r="O17" i="69"/>
  <c r="J13" i="69"/>
  <c r="BB12" i="69"/>
  <c r="AZ12" i="69"/>
  <c r="AY11" i="69"/>
  <c r="BH17" i="69" s="1"/>
  <c r="F11" i="69"/>
  <c r="AY10" i="69"/>
  <c r="BH16" i="69" s="1"/>
  <c r="F10" i="69"/>
  <c r="AY9" i="69"/>
  <c r="BH13" i="69" s="1"/>
  <c r="AY8" i="69"/>
  <c r="BH12" i="69" s="1"/>
  <c r="F8" i="69"/>
  <c r="AY7" i="69"/>
  <c r="BH10" i="69" s="1"/>
  <c r="F7" i="69"/>
  <c r="AY6" i="69"/>
  <c r="BH8" i="69" s="1"/>
  <c r="AY5" i="69"/>
  <c r="BH5" i="69" s="1"/>
  <c r="BD13" i="4"/>
  <c r="AP13" i="4"/>
  <c r="AB13" i="4"/>
  <c r="M13" i="4"/>
  <c r="BK107" i="68"/>
  <c r="BI107" i="68"/>
  <c r="BI101" i="68"/>
  <c r="BI99" i="68"/>
  <c r="BI97" i="68"/>
  <c r="BI84" i="68"/>
  <c r="BI80" i="68"/>
  <c r="BI67" i="68"/>
  <c r="BI64" i="68"/>
  <c r="BI58" i="68"/>
  <c r="BI47" i="68"/>
  <c r="BI34" i="68"/>
  <c r="BI31" i="68"/>
  <c r="BI23" i="68"/>
  <c r="BI19" i="68"/>
  <c r="AZ101" i="68"/>
  <c r="AZ100" i="68"/>
  <c r="AZ99" i="68"/>
  <c r="AZ98" i="68"/>
  <c r="AZ97" i="68"/>
  <c r="AZ96" i="68"/>
  <c r="AZ95" i="68"/>
  <c r="AZ94" i="68"/>
  <c r="AZ93" i="68"/>
  <c r="AZ92" i="68"/>
  <c r="AZ91" i="68"/>
  <c r="AZ90" i="68"/>
  <c r="AZ89" i="68"/>
  <c r="AZ88" i="68"/>
  <c r="AZ87" i="68"/>
  <c r="AZ86" i="68"/>
  <c r="AZ85" i="68"/>
  <c r="AZ84" i="68"/>
  <c r="AZ83" i="68"/>
  <c r="AZ82" i="68"/>
  <c r="AZ81" i="68"/>
  <c r="AZ80" i="68"/>
  <c r="AZ79" i="68"/>
  <c r="AZ78" i="68"/>
  <c r="AZ77" i="68"/>
  <c r="AZ76" i="68"/>
  <c r="AZ75" i="68"/>
  <c r="AZ74" i="68"/>
  <c r="AZ73" i="68"/>
  <c r="AZ72" i="68"/>
  <c r="AZ71" i="68"/>
  <c r="AZ70" i="68"/>
  <c r="AZ69" i="68"/>
  <c r="AZ68" i="68"/>
  <c r="AZ66" i="68"/>
  <c r="AZ63" i="68"/>
  <c r="AZ61" i="68"/>
  <c r="AZ54" i="68"/>
  <c r="AZ50" i="68"/>
  <c r="AZ43" i="68"/>
  <c r="AZ41" i="68"/>
  <c r="AZ35" i="68"/>
  <c r="AZ29" i="68"/>
  <c r="AZ22" i="68"/>
  <c r="AZ20" i="68"/>
  <c r="AZ12" i="68"/>
  <c r="BI135" i="67"/>
  <c r="BI134" i="67"/>
  <c r="BI133" i="67"/>
  <c r="BI132" i="67"/>
  <c r="BI126" i="67"/>
  <c r="BI124" i="67"/>
  <c r="BI122" i="67"/>
  <c r="BI105" i="67"/>
  <c r="BI101" i="67"/>
  <c r="BI84" i="67"/>
  <c r="BI77" i="67"/>
  <c r="BI71" i="67"/>
  <c r="BI60" i="67"/>
  <c r="BI43" i="67"/>
  <c r="BI36" i="67"/>
  <c r="BI26" i="67"/>
  <c r="BI23" i="67"/>
  <c r="AZ133" i="67"/>
  <c r="AZ132" i="67"/>
  <c r="AZ126" i="67"/>
  <c r="AZ125" i="67"/>
  <c r="AZ124" i="67"/>
  <c r="AZ123" i="67"/>
  <c r="AZ122" i="67"/>
  <c r="AZ121" i="67"/>
  <c r="AZ120" i="67"/>
  <c r="AZ119" i="67"/>
  <c r="AZ118" i="67"/>
  <c r="AZ117" i="67"/>
  <c r="AZ116" i="67"/>
  <c r="AZ115" i="67"/>
  <c r="AZ114" i="67"/>
  <c r="AZ113" i="67"/>
  <c r="AZ112" i="67"/>
  <c r="AZ111" i="67"/>
  <c r="AZ110" i="67"/>
  <c r="AZ109" i="67"/>
  <c r="AZ108" i="67"/>
  <c r="AZ107" i="67"/>
  <c r="AZ106" i="67"/>
  <c r="AZ105" i="67"/>
  <c r="AZ104" i="67"/>
  <c r="AZ103" i="67"/>
  <c r="AZ102" i="67"/>
  <c r="AZ101" i="67"/>
  <c r="AZ100" i="67"/>
  <c r="AZ99" i="67"/>
  <c r="AZ98" i="67"/>
  <c r="AZ97" i="67"/>
  <c r="AZ96" i="67"/>
  <c r="AZ95" i="67"/>
  <c r="AZ94" i="67"/>
  <c r="AZ93" i="67"/>
  <c r="AZ92" i="67"/>
  <c r="AZ91" i="67"/>
  <c r="AZ90" i="67"/>
  <c r="AZ89" i="67"/>
  <c r="AZ88" i="67"/>
  <c r="AZ87" i="67"/>
  <c r="AZ86" i="67"/>
  <c r="AZ85" i="67"/>
  <c r="AZ84" i="67"/>
  <c r="AZ83" i="67"/>
  <c r="AZ82" i="67"/>
  <c r="AZ81" i="67"/>
  <c r="AZ79" i="67"/>
  <c r="AZ77" i="67"/>
  <c r="AZ75" i="67"/>
  <c r="AZ66" i="67"/>
  <c r="AZ62" i="67"/>
  <c r="AZ53" i="67"/>
  <c r="AZ49" i="67"/>
  <c r="AZ43" i="67"/>
  <c r="AZ37" i="67"/>
  <c r="AZ28" i="67"/>
  <c r="AZ24" i="67"/>
  <c r="AZ14" i="67"/>
  <c r="BI135" i="66"/>
  <c r="BI134" i="66"/>
  <c r="BI133" i="66"/>
  <c r="BI132" i="66"/>
  <c r="BI126" i="66"/>
  <c r="BI124" i="66"/>
  <c r="BI122" i="66"/>
  <c r="BI105" i="66"/>
  <c r="BI101" i="66"/>
  <c r="BI84" i="66"/>
  <c r="BI77" i="66"/>
  <c r="BI71" i="66"/>
  <c r="BI60" i="66"/>
  <c r="BI43" i="66"/>
  <c r="BI23" i="66"/>
  <c r="AZ125" i="66"/>
  <c r="AZ124" i="66"/>
  <c r="AZ118" i="66"/>
  <c r="AZ117" i="66"/>
  <c r="AZ116" i="66"/>
  <c r="AZ115" i="66"/>
  <c r="AZ114" i="66"/>
  <c r="AZ113" i="66"/>
  <c r="AZ112" i="66"/>
  <c r="AZ111" i="66"/>
  <c r="AZ110" i="66"/>
  <c r="AZ109" i="66"/>
  <c r="AZ108" i="66"/>
  <c r="AZ107" i="66"/>
  <c r="AZ106" i="66"/>
  <c r="AZ105" i="66"/>
  <c r="AZ104" i="66"/>
  <c r="AZ103" i="66"/>
  <c r="AZ102" i="66"/>
  <c r="AZ101" i="66"/>
  <c r="AZ100" i="66"/>
  <c r="AZ99" i="66"/>
  <c r="AZ98" i="66"/>
  <c r="AZ97" i="66"/>
  <c r="AZ96" i="66"/>
  <c r="AZ95" i="66"/>
  <c r="AZ94" i="66"/>
  <c r="AZ93" i="66"/>
  <c r="AZ92" i="66"/>
  <c r="AZ91" i="66"/>
  <c r="AZ90" i="66"/>
  <c r="AZ89" i="66"/>
  <c r="AZ88" i="66"/>
  <c r="AZ87" i="66"/>
  <c r="AZ86" i="66"/>
  <c r="AZ85" i="66"/>
  <c r="AZ84" i="66"/>
  <c r="AZ83" i="66"/>
  <c r="AZ82" i="66"/>
  <c r="AZ81" i="66"/>
  <c r="AZ79" i="66"/>
  <c r="AZ77" i="66"/>
  <c r="AZ75" i="66"/>
  <c r="AZ66" i="66"/>
  <c r="AZ62" i="66"/>
  <c r="AZ53" i="66"/>
  <c r="AZ49" i="66"/>
  <c r="AZ43" i="66"/>
  <c r="AZ37" i="66"/>
  <c r="AZ28" i="66"/>
  <c r="BI135" i="1"/>
  <c r="BI134" i="1"/>
  <c r="BI133" i="1"/>
  <c r="BI132" i="1"/>
  <c r="BI126" i="1"/>
  <c r="BI124" i="1"/>
  <c r="BI122" i="1"/>
  <c r="BI105" i="1"/>
  <c r="BI101" i="1"/>
  <c r="BI84" i="1"/>
  <c r="BI77" i="1"/>
  <c r="BI71" i="1"/>
  <c r="BI60" i="1"/>
  <c r="BI43" i="1"/>
  <c r="BI36" i="1"/>
  <c r="BI26" i="1"/>
  <c r="BI23" i="1"/>
  <c r="AZ133" i="1"/>
  <c r="AZ132" i="1"/>
  <c r="AZ126" i="1"/>
  <c r="AZ125" i="1"/>
  <c r="AZ124" i="1"/>
  <c r="AZ123" i="1"/>
  <c r="AZ122" i="1"/>
  <c r="AZ121" i="1"/>
  <c r="AZ120" i="1"/>
  <c r="AZ119" i="1"/>
  <c r="AZ118" i="1"/>
  <c r="AZ117" i="1"/>
  <c r="AZ116" i="1"/>
  <c r="AZ115" i="1"/>
  <c r="AZ114" i="1"/>
  <c r="AZ113" i="1"/>
  <c r="AZ112" i="1"/>
  <c r="AZ111" i="1"/>
  <c r="AZ110" i="1"/>
  <c r="AZ109" i="1"/>
  <c r="AZ108" i="1"/>
  <c r="AZ107" i="1"/>
  <c r="AZ106" i="1"/>
  <c r="AZ105" i="1"/>
  <c r="AZ104" i="1"/>
  <c r="AZ103" i="1"/>
  <c r="AZ102" i="1"/>
  <c r="AZ101" i="1"/>
  <c r="AZ100" i="1"/>
  <c r="AZ99" i="1"/>
  <c r="AZ98" i="1"/>
  <c r="AZ97" i="1"/>
  <c r="AZ96" i="1"/>
  <c r="AZ95" i="1"/>
  <c r="AZ94" i="1"/>
  <c r="AZ93" i="1"/>
  <c r="AZ92" i="1"/>
  <c r="AZ91" i="1"/>
  <c r="AZ90" i="1"/>
  <c r="AZ89" i="1"/>
  <c r="AZ88" i="1"/>
  <c r="AZ87" i="1"/>
  <c r="AZ86" i="1"/>
  <c r="AZ85" i="1"/>
  <c r="AZ84" i="1"/>
  <c r="AZ83" i="1"/>
  <c r="AZ82" i="1"/>
  <c r="AZ81" i="1"/>
  <c r="AZ79" i="1"/>
  <c r="AZ77" i="1"/>
  <c r="AZ75" i="1"/>
  <c r="AZ66" i="1"/>
  <c r="AZ62" i="1"/>
  <c r="AZ53" i="1"/>
  <c r="AZ49" i="1"/>
  <c r="AZ43" i="1"/>
  <c r="AZ37" i="1"/>
  <c r="AZ28" i="1"/>
  <c r="AZ24" i="1"/>
  <c r="AZ14" i="1"/>
  <c r="AY44" i="68"/>
  <c r="BH68" i="68" s="1"/>
  <c r="BH30" i="68"/>
  <c r="BH29" i="68"/>
  <c r="BH28" i="68"/>
  <c r="BH27" i="68"/>
  <c r="BH26" i="68"/>
  <c r="BH25" i="68"/>
  <c r="BH24" i="68"/>
  <c r="BH20" i="68"/>
  <c r="BH21" i="68" s="1"/>
  <c r="AY40" i="68"/>
  <c r="BH63" i="68" s="1"/>
  <c r="AY34" i="68"/>
  <c r="BH56" i="68" s="1"/>
  <c r="AY33" i="68"/>
  <c r="BH55" i="68" s="1"/>
  <c r="AY32" i="68"/>
  <c r="BH52" i="68" s="1"/>
  <c r="AY31" i="68"/>
  <c r="AY30" i="68"/>
  <c r="BH48" i="68" s="1"/>
  <c r="AY28" i="68"/>
  <c r="BH46" i="68" s="1"/>
  <c r="AY27" i="68"/>
  <c r="BH43" i="68" s="1"/>
  <c r="AY26" i="68"/>
  <c r="BH41" i="68" s="1"/>
  <c r="AY25" i="68"/>
  <c r="BH39" i="68" s="1"/>
  <c r="AY24" i="68"/>
  <c r="BH37" i="68" s="1"/>
  <c r="AY23" i="68"/>
  <c r="BH35" i="68" s="1"/>
  <c r="AY21" i="68"/>
  <c r="BH32" i="68" s="1"/>
  <c r="AY11" i="68"/>
  <c r="BH18" i="68" s="1"/>
  <c r="AY10" i="68"/>
  <c r="BH15" i="68" s="1"/>
  <c r="AY9" i="68"/>
  <c r="BH14" i="68" s="1"/>
  <c r="AY8" i="68"/>
  <c r="BH11" i="68" s="1"/>
  <c r="AY7" i="68"/>
  <c r="BH9" i="68" s="1"/>
  <c r="AY6" i="68"/>
  <c r="BH8" i="68" s="1"/>
  <c r="AY5" i="68"/>
  <c r="BH5" i="68" s="1"/>
  <c r="AW65" i="68"/>
  <c r="AV65" i="68"/>
  <c r="BK101" i="68"/>
  <c r="BK99" i="68"/>
  <c r="BB101" i="68"/>
  <c r="BB100" i="68"/>
  <c r="BK97" i="68"/>
  <c r="BB99" i="68"/>
  <c r="BB98" i="68"/>
  <c r="BB97" i="68"/>
  <c r="BB96" i="68"/>
  <c r="BB95" i="68"/>
  <c r="BB94" i="68"/>
  <c r="BB93" i="68"/>
  <c r="BB92" i="68"/>
  <c r="BB91" i="68"/>
  <c r="BB90" i="68"/>
  <c r="BB89" i="68"/>
  <c r="BB88" i="68"/>
  <c r="BB87" i="68"/>
  <c r="BB86" i="68"/>
  <c r="BB85" i="68"/>
  <c r="BB84" i="68"/>
  <c r="BB83" i="68"/>
  <c r="BB82" i="68"/>
  <c r="BB81" i="68"/>
  <c r="BK80" i="68"/>
  <c r="BB80" i="68"/>
  <c r="BB79" i="68"/>
  <c r="BB78" i="68"/>
  <c r="BB77" i="68"/>
  <c r="BB76" i="68"/>
  <c r="BB75" i="68"/>
  <c r="BB74" i="68"/>
  <c r="BB73" i="68"/>
  <c r="BB72" i="68"/>
  <c r="BB71" i="68"/>
  <c r="BB70" i="68"/>
  <c r="BB69" i="68"/>
  <c r="BB68" i="68"/>
  <c r="BB66" i="68"/>
  <c r="BB63" i="68"/>
  <c r="AY62" i="68"/>
  <c r="BH98" i="68" s="1"/>
  <c r="BB61" i="68"/>
  <c r="AY60" i="68"/>
  <c r="BH96" i="68" s="1"/>
  <c r="AY59" i="68"/>
  <c r="BH93" i="68" s="1"/>
  <c r="AY58" i="68"/>
  <c r="BH91" i="68" s="1"/>
  <c r="AY57" i="68"/>
  <c r="BH90" i="68" s="1"/>
  <c r="AY56" i="68"/>
  <c r="BH88" i="68" s="1"/>
  <c r="AY55" i="68"/>
  <c r="BH86" i="68" s="1"/>
  <c r="BK58" i="68"/>
  <c r="AY53" i="68"/>
  <c r="BH83" i="68" s="1"/>
  <c r="AY52" i="68"/>
  <c r="BH82" i="68" s="1"/>
  <c r="AY51" i="68"/>
  <c r="BH81" i="68" s="1"/>
  <c r="BB50" i="68"/>
  <c r="AY49" i="68"/>
  <c r="BH78" i="68" s="1"/>
  <c r="AY48" i="68"/>
  <c r="BH77" i="68" s="1"/>
  <c r="AY47" i="68"/>
  <c r="BH75" i="68" s="1"/>
  <c r="AY46" i="68"/>
  <c r="BH72" i="68" s="1"/>
  <c r="AY45" i="68"/>
  <c r="BH70" i="68" s="1"/>
  <c r="BB43" i="68"/>
  <c r="AY42" i="68"/>
  <c r="BH66" i="68" s="1"/>
  <c r="AY39" i="68"/>
  <c r="BH62" i="68" s="1"/>
  <c r="AY38" i="68"/>
  <c r="BH61" i="68" s="1"/>
  <c r="AY37" i="68"/>
  <c r="BH60" i="68" s="1"/>
  <c r="AY36" i="68"/>
  <c r="BH59" i="68" s="1"/>
  <c r="BB35" i="68"/>
  <c r="BK34" i="68"/>
  <c r="BB22" i="68"/>
  <c r="BK23" i="68"/>
  <c r="BB20" i="68"/>
  <c r="BK19" i="68"/>
  <c r="O17" i="68"/>
  <c r="J13" i="68"/>
  <c r="BB12" i="68"/>
  <c r="F11" i="68"/>
  <c r="F10" i="68"/>
  <c r="F8" i="68"/>
  <c r="F7" i="68"/>
  <c r="BH34" i="66"/>
  <c r="BH33" i="66"/>
  <c r="BH32" i="66"/>
  <c r="BH31" i="66"/>
  <c r="BH30" i="66"/>
  <c r="BH29" i="66"/>
  <c r="BH28" i="66"/>
  <c r="BH24" i="66"/>
  <c r="BK135" i="67"/>
  <c r="BB133" i="67"/>
  <c r="BK134" i="67"/>
  <c r="BB132" i="67"/>
  <c r="BK133" i="67"/>
  <c r="BK132" i="67"/>
  <c r="BB126" i="67"/>
  <c r="BB125" i="67"/>
  <c r="BK126" i="67"/>
  <c r="BB124" i="67"/>
  <c r="BB123" i="67"/>
  <c r="BK124" i="67"/>
  <c r="BB122" i="67"/>
  <c r="BB121" i="67"/>
  <c r="BK122" i="67"/>
  <c r="BB120" i="67"/>
  <c r="BB119" i="67"/>
  <c r="BB118" i="67"/>
  <c r="BB117" i="67"/>
  <c r="BB116" i="67"/>
  <c r="BB115" i="67"/>
  <c r="BB114" i="67"/>
  <c r="BB113" i="67"/>
  <c r="BB112" i="67"/>
  <c r="BB111" i="67"/>
  <c r="BB110" i="67"/>
  <c r="BB109" i="67"/>
  <c r="BB108" i="67"/>
  <c r="BB107" i="67"/>
  <c r="BB106" i="67"/>
  <c r="BB105" i="67"/>
  <c r="BB104" i="67"/>
  <c r="BK105" i="67"/>
  <c r="BB103" i="67"/>
  <c r="BB102" i="67"/>
  <c r="BB101" i="67"/>
  <c r="BB100" i="67"/>
  <c r="BK101" i="67"/>
  <c r="BB99" i="67"/>
  <c r="BB98" i="67"/>
  <c r="BB97" i="67"/>
  <c r="BB96" i="67"/>
  <c r="BB95" i="67"/>
  <c r="BB94" i="67"/>
  <c r="BB93" i="67"/>
  <c r="BB92" i="67"/>
  <c r="BB91" i="67"/>
  <c r="BB90" i="67"/>
  <c r="BB89" i="67"/>
  <c r="BB88" i="67"/>
  <c r="BB87" i="67"/>
  <c r="BB86" i="67"/>
  <c r="BB85" i="67"/>
  <c r="BB84" i="67"/>
  <c r="BB83" i="67"/>
  <c r="BK84" i="67"/>
  <c r="BB82" i="67"/>
  <c r="BB81" i="67"/>
  <c r="BB79" i="67"/>
  <c r="BB77" i="67"/>
  <c r="AY76" i="67"/>
  <c r="BH123" i="67" s="1"/>
  <c r="BK77" i="67"/>
  <c r="BB75" i="67"/>
  <c r="AY74" i="67"/>
  <c r="BH121" i="67" s="1"/>
  <c r="AY73" i="67"/>
  <c r="BH118" i="67" s="1"/>
  <c r="AY72" i="67"/>
  <c r="BH117" i="67" s="1"/>
  <c r="AY71" i="67"/>
  <c r="BH114" i="67" s="1"/>
  <c r="AY70" i="67"/>
  <c r="BH112" i="67" s="1"/>
  <c r="BK71" i="67"/>
  <c r="AY69" i="67"/>
  <c r="BH110" i="67" s="1"/>
  <c r="AY68" i="67"/>
  <c r="BH108" i="67" s="1"/>
  <c r="AY67" i="67"/>
  <c r="BH106" i="67" s="1"/>
  <c r="BB66" i="67"/>
  <c r="AY65" i="67"/>
  <c r="BH104" i="67" s="1"/>
  <c r="AY64" i="67"/>
  <c r="BH103" i="67" s="1"/>
  <c r="AY63" i="67"/>
  <c r="BH102" i="67" s="1"/>
  <c r="BB62" i="67"/>
  <c r="AY61" i="67"/>
  <c r="BH99" i="67" s="1"/>
  <c r="AY60" i="67"/>
  <c r="BH97" i="67" s="1"/>
  <c r="AY59" i="67"/>
  <c r="BH95" i="67" s="1"/>
  <c r="BK60" i="67"/>
  <c r="AY58" i="67"/>
  <c r="BH93" i="67" s="1"/>
  <c r="AY57" i="67"/>
  <c r="BH92" i="67" s="1"/>
  <c r="AY56" i="67"/>
  <c r="BH90" i="67" s="1"/>
  <c r="AY55" i="67"/>
  <c r="BH88" i="67" s="1"/>
  <c r="AY54" i="67"/>
  <c r="BH85" i="67" s="1"/>
  <c r="BB53" i="67"/>
  <c r="AY52" i="67"/>
  <c r="BH82" i="67" s="1"/>
  <c r="AY51" i="67"/>
  <c r="BH81" i="67" s="1"/>
  <c r="AY50" i="67"/>
  <c r="BH79" i="67" s="1"/>
  <c r="BB49" i="67"/>
  <c r="AY48" i="67"/>
  <c r="BH76" i="67" s="1"/>
  <c r="AY47" i="67"/>
  <c r="BH75" i="67" s="1"/>
  <c r="AY46" i="67"/>
  <c r="BH74" i="67" s="1"/>
  <c r="AY45" i="67"/>
  <c r="BH73" i="67" s="1"/>
  <c r="AY44" i="67"/>
  <c r="BH72" i="67" s="1"/>
  <c r="BB43" i="67"/>
  <c r="AY42" i="67"/>
  <c r="BH70" i="67" s="1"/>
  <c r="BK43" i="67"/>
  <c r="AY41" i="67"/>
  <c r="BH68" i="67" s="1"/>
  <c r="AY40" i="67"/>
  <c r="BH66" i="67" s="1"/>
  <c r="AY39" i="67"/>
  <c r="BH64" i="67" s="1"/>
  <c r="AY38" i="67"/>
  <c r="BH61" i="67" s="1"/>
  <c r="BB37" i="67"/>
  <c r="AY36" i="67"/>
  <c r="BH59" i="67" s="1"/>
  <c r="AY35" i="67"/>
  <c r="BH57" i="67" s="1"/>
  <c r="BK36" i="67"/>
  <c r="AY34" i="67"/>
  <c r="BH54" i="67" s="1"/>
  <c r="BH35" i="67"/>
  <c r="AY33" i="67"/>
  <c r="BH53" i="67" s="1"/>
  <c r="BH34" i="67"/>
  <c r="AY32" i="67"/>
  <c r="BH50" i="67" s="1"/>
  <c r="BH33" i="67"/>
  <c r="AY31" i="67"/>
  <c r="BH48" i="67" s="1"/>
  <c r="BH32" i="67"/>
  <c r="AY30" i="67"/>
  <c r="BH47" i="67" s="1"/>
  <c r="BH31" i="67"/>
  <c r="AY29" i="67"/>
  <c r="BH44" i="67" s="1"/>
  <c r="BH30" i="67"/>
  <c r="BB28" i="67"/>
  <c r="BH29" i="67"/>
  <c r="AY27" i="67"/>
  <c r="BH41" i="67" s="1"/>
  <c r="BH28" i="67"/>
  <c r="AY26" i="67"/>
  <c r="BH40" i="67" s="1"/>
  <c r="BH27" i="67"/>
  <c r="AY25" i="67"/>
  <c r="BH38" i="67" s="1"/>
  <c r="BK26" i="67"/>
  <c r="BB24" i="67"/>
  <c r="BH24" i="67"/>
  <c r="BK23" i="67"/>
  <c r="O17" i="67"/>
  <c r="BB14" i="67"/>
  <c r="AY13" i="67"/>
  <c r="BH21" i="67" s="1"/>
  <c r="J13" i="67"/>
  <c r="AY12" i="67"/>
  <c r="BH20" i="67" s="1"/>
  <c r="AY11" i="67"/>
  <c r="BH18" i="67" s="1"/>
  <c r="F11" i="67"/>
  <c r="AY10" i="67"/>
  <c r="BH15" i="67" s="1"/>
  <c r="F10" i="67"/>
  <c r="AY9" i="67"/>
  <c r="BH13" i="67" s="1"/>
  <c r="AY8" i="67"/>
  <c r="BH11" i="67" s="1"/>
  <c r="F8" i="67"/>
  <c r="AY7" i="67"/>
  <c r="BH10" i="67" s="1"/>
  <c r="F7" i="67"/>
  <c r="AY6" i="67"/>
  <c r="BH8" i="67" s="1"/>
  <c r="AY5" i="67"/>
  <c r="BH6" i="67" s="1"/>
  <c r="F7" i="66"/>
  <c r="F11" i="66"/>
  <c r="F8" i="66"/>
  <c r="J13" i="66"/>
  <c r="F11" i="1"/>
  <c r="F8" i="1"/>
  <c r="J13" i="1"/>
  <c r="F7" i="1"/>
  <c r="BH123" i="66"/>
  <c r="AY74" i="66"/>
  <c r="BH120" i="66" s="1"/>
  <c r="AY73" i="66"/>
  <c r="BH118" i="66" s="1"/>
  <c r="AY72" i="66"/>
  <c r="BH117" i="66" s="1"/>
  <c r="AY71" i="66"/>
  <c r="BH115" i="66" s="1"/>
  <c r="AY70" i="66"/>
  <c r="BH113" i="66" s="1"/>
  <c r="AY69" i="66"/>
  <c r="BH111" i="66" s="1"/>
  <c r="AY68" i="66"/>
  <c r="BH109" i="66" s="1"/>
  <c r="AY65" i="66"/>
  <c r="BH104" i="66" s="1"/>
  <c r="AY64" i="66"/>
  <c r="BH103" i="66" s="1"/>
  <c r="AY63" i="66"/>
  <c r="BH102" i="66" s="1"/>
  <c r="AY61" i="66"/>
  <c r="BH100" i="66" s="1"/>
  <c r="AY60" i="66"/>
  <c r="BH97" i="66" s="1"/>
  <c r="AY59" i="66"/>
  <c r="BH96" i="66" s="1"/>
  <c r="AY58" i="66"/>
  <c r="AY57" i="66"/>
  <c r="BH91" i="66" s="1"/>
  <c r="AY56" i="66"/>
  <c r="BH90" i="66" s="1"/>
  <c r="AY55" i="66"/>
  <c r="BH87" i="66" s="1"/>
  <c r="AY52" i="66"/>
  <c r="BH83" i="66" s="1"/>
  <c r="AY51" i="66"/>
  <c r="BH81" i="66" s="1"/>
  <c r="BH76" i="66"/>
  <c r="AY47" i="66"/>
  <c r="BH75" i="66" s="1"/>
  <c r="AY46" i="66"/>
  <c r="BH74" i="66" s="1"/>
  <c r="AY45" i="66"/>
  <c r="BH73" i="66" s="1"/>
  <c r="AY44" i="66"/>
  <c r="BH72" i="66" s="1"/>
  <c r="AY41" i="66"/>
  <c r="BH68" i="66" s="1"/>
  <c r="AY40" i="66"/>
  <c r="BH65" i="66" s="1"/>
  <c r="AY39" i="66"/>
  <c r="BH64" i="66" s="1"/>
  <c r="AY38" i="66"/>
  <c r="BH62" i="66" s="1"/>
  <c r="AY36" i="66"/>
  <c r="BH59" i="66" s="1"/>
  <c r="AY35" i="66"/>
  <c r="BH56" i="66" s="1"/>
  <c r="AY34" i="66"/>
  <c r="BH55" i="66" s="1"/>
  <c r="AY33" i="66"/>
  <c r="BH53" i="66" s="1"/>
  <c r="AY32" i="66"/>
  <c r="BH51" i="66" s="1"/>
  <c r="AY31" i="66"/>
  <c r="BH48" i="66" s="1"/>
  <c r="AY30" i="66"/>
  <c r="BH46" i="66" s="1"/>
  <c r="AY27" i="66"/>
  <c r="BH42" i="66" s="1"/>
  <c r="AY26" i="66"/>
  <c r="BH39" i="66" s="1"/>
  <c r="AY12" i="66"/>
  <c r="BH20" i="66" s="1"/>
  <c r="AY11" i="66"/>
  <c r="BH18" i="66" s="1"/>
  <c r="AY10" i="66"/>
  <c r="BH16" i="66" s="1"/>
  <c r="AY9" i="66"/>
  <c r="BH14" i="66" s="1"/>
  <c r="AY8" i="66"/>
  <c r="BH11" i="66" s="1"/>
  <c r="AY7" i="66"/>
  <c r="BH10" i="66" s="1"/>
  <c r="AY6" i="66"/>
  <c r="BK135" i="66"/>
  <c r="BB125" i="66"/>
  <c r="BK134" i="66"/>
  <c r="BB124" i="66"/>
  <c r="BK133" i="66"/>
  <c r="BK132" i="66"/>
  <c r="BB118" i="66"/>
  <c r="BK126" i="66"/>
  <c r="BB117" i="66"/>
  <c r="BB116" i="66"/>
  <c r="BB115" i="66"/>
  <c r="BB114" i="66"/>
  <c r="BB113" i="66"/>
  <c r="BB112" i="66"/>
  <c r="BB111" i="66"/>
  <c r="BB110" i="66"/>
  <c r="BB109" i="66"/>
  <c r="BB108" i="66"/>
  <c r="BB107" i="66"/>
  <c r="BB106" i="66"/>
  <c r="BB105" i="66"/>
  <c r="BB104" i="66"/>
  <c r="BB103" i="66"/>
  <c r="BB102" i="66"/>
  <c r="BB101" i="66"/>
  <c r="BB100" i="66"/>
  <c r="BB99" i="66"/>
  <c r="BB98" i="66"/>
  <c r="BB97" i="66"/>
  <c r="BB96" i="66"/>
  <c r="BB95" i="66"/>
  <c r="BB94" i="66"/>
  <c r="BB93" i="66"/>
  <c r="BB92" i="66"/>
  <c r="BB91" i="66"/>
  <c r="BB89" i="66"/>
  <c r="BB88" i="66"/>
  <c r="BB87" i="66"/>
  <c r="BB85" i="66"/>
  <c r="BB84" i="66"/>
  <c r="BB83" i="66"/>
  <c r="BB82" i="66"/>
  <c r="BB77" i="66"/>
  <c r="BB75" i="66"/>
  <c r="BB66" i="66"/>
  <c r="BB62" i="66"/>
  <c r="BB53" i="66"/>
  <c r="BB37" i="66"/>
  <c r="O17" i="66"/>
  <c r="F10" i="66"/>
  <c r="BH35" i="1"/>
  <c r="BH34" i="1"/>
  <c r="BH33" i="1"/>
  <c r="BH32" i="1"/>
  <c r="BH31" i="1"/>
  <c r="BH30" i="1"/>
  <c r="BH29" i="1"/>
  <c r="BH28" i="1"/>
  <c r="BH27" i="1"/>
  <c r="E84" i="3"/>
  <c r="E83" i="3"/>
  <c r="E82" i="3"/>
  <c r="E81" i="3"/>
  <c r="E80" i="3"/>
  <c r="E79" i="3"/>
  <c r="E78" i="3"/>
  <c r="E77" i="3"/>
  <c r="E76" i="3"/>
  <c r="E85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25" i="3"/>
  <c r="B221" i="2"/>
  <c r="AU18" i="75" s="1"/>
  <c r="B220" i="2"/>
  <c r="B219" i="2"/>
  <c r="BD26" i="69" s="1"/>
  <c r="B218" i="2"/>
  <c r="B217" i="2"/>
  <c r="C217" i="2" s="1"/>
  <c r="B216" i="2"/>
  <c r="B222" i="2"/>
  <c r="BK84" i="1"/>
  <c r="BK60" i="1"/>
  <c r="BK36" i="1"/>
  <c r="BK135" i="1"/>
  <c r="BK134" i="1"/>
  <c r="BK133" i="1"/>
  <c r="BK132" i="1"/>
  <c r="BK126" i="1"/>
  <c r="BK124" i="1"/>
  <c r="BK122" i="1"/>
  <c r="BK105" i="1"/>
  <c r="BK101" i="1"/>
  <c r="BK77" i="1"/>
  <c r="BK71" i="1"/>
  <c r="BK43" i="1"/>
  <c r="BK26" i="1"/>
  <c r="BK23" i="1"/>
  <c r="BB88" i="1"/>
  <c r="BB87" i="1"/>
  <c r="BB86" i="1"/>
  <c r="BB85" i="1"/>
  <c r="BB84" i="1"/>
  <c r="BB83" i="1"/>
  <c r="BB82" i="1"/>
  <c r="BB81" i="1"/>
  <c r="BB79" i="1"/>
  <c r="BB77" i="1"/>
  <c r="BB75" i="1"/>
  <c r="BB66" i="1"/>
  <c r="BB62" i="1"/>
  <c r="BB53" i="1"/>
  <c r="BB49" i="1"/>
  <c r="BB43" i="1"/>
  <c r="BB37" i="1"/>
  <c r="BB28" i="1"/>
  <c r="BB24" i="1"/>
  <c r="BB14" i="1"/>
  <c r="BB29" i="68"/>
  <c r="BK31" i="68"/>
  <c r="BK47" i="68"/>
  <c r="BK84" i="68"/>
  <c r="BK64" i="68"/>
  <c r="BB41" i="68"/>
  <c r="BB54" i="68"/>
  <c r="BK60" i="66"/>
  <c r="BH39" i="67"/>
  <c r="BH86" i="67"/>
  <c r="BK122" i="66"/>
  <c r="BK105" i="66"/>
  <c r="BK77" i="66"/>
  <c r="BB28" i="66"/>
  <c r="BK43" i="66"/>
  <c r="BK124" i="66"/>
  <c r="BB43" i="66"/>
  <c r="BB49" i="66"/>
  <c r="BK71" i="66"/>
  <c r="BB79" i="66"/>
  <c r="BB81" i="66"/>
  <c r="BK101" i="66"/>
  <c r="BK23" i="66"/>
  <c r="BK84" i="66"/>
  <c r="BB90" i="66"/>
  <c r="BB86" i="66"/>
  <c r="BK67" i="68"/>
  <c r="AY48" i="1"/>
  <c r="BH76" i="1" s="1"/>
  <c r="AY27" i="1"/>
  <c r="BH42" i="1" s="1"/>
  <c r="BH24" i="1"/>
  <c r="AY76" i="1"/>
  <c r="BH123" i="1" s="1"/>
  <c r="AY74" i="1"/>
  <c r="BH121" i="1" s="1"/>
  <c r="AY73" i="1"/>
  <c r="AY72" i="1"/>
  <c r="BH117" i="1" s="1"/>
  <c r="AY71" i="1"/>
  <c r="BH114" i="1" s="1"/>
  <c r="AY70" i="1"/>
  <c r="BH112" i="1" s="1"/>
  <c r="AY69" i="1"/>
  <c r="BH111" i="1" s="1"/>
  <c r="AY68" i="1"/>
  <c r="BH109" i="1" s="1"/>
  <c r="AY67" i="1"/>
  <c r="BH107" i="1" s="1"/>
  <c r="AY65" i="1"/>
  <c r="BH104" i="1" s="1"/>
  <c r="AY64" i="1"/>
  <c r="BH103" i="1" s="1"/>
  <c r="AY63" i="1"/>
  <c r="BH102" i="1" s="1"/>
  <c r="AY61" i="1"/>
  <c r="BH100" i="1" s="1"/>
  <c r="AY60" i="1"/>
  <c r="BH98" i="1" s="1"/>
  <c r="AY59" i="1"/>
  <c r="BH96" i="1" s="1"/>
  <c r="AY58" i="1"/>
  <c r="BH93" i="1" s="1"/>
  <c r="AY57" i="1"/>
  <c r="BH92" i="1" s="1"/>
  <c r="AY56" i="1"/>
  <c r="BH90" i="1" s="1"/>
  <c r="AY55" i="1"/>
  <c r="BH87" i="1" s="1"/>
  <c r="AY54" i="1"/>
  <c r="BH85" i="1" s="1"/>
  <c r="AY52" i="1"/>
  <c r="BH83" i="1" s="1"/>
  <c r="AY51" i="1"/>
  <c r="BH80" i="1" s="1"/>
  <c r="AY50" i="1"/>
  <c r="BH78" i="1" s="1"/>
  <c r="AY47" i="1"/>
  <c r="BH75" i="1" s="1"/>
  <c r="AY46" i="1"/>
  <c r="BH74" i="1" s="1"/>
  <c r="AY45" i="1"/>
  <c r="AY44" i="1"/>
  <c r="BH72" i="1" s="1"/>
  <c r="AY42" i="1"/>
  <c r="BH70" i="1" s="1"/>
  <c r="AY41" i="1"/>
  <c r="BH68" i="1" s="1"/>
  <c r="AY40" i="1"/>
  <c r="BH66" i="1" s="1"/>
  <c r="AY39" i="1"/>
  <c r="BH63" i="1" s="1"/>
  <c r="AY38" i="1"/>
  <c r="AY36" i="1"/>
  <c r="BH59" i="1" s="1"/>
  <c r="AY35" i="1"/>
  <c r="BH56" i="1" s="1"/>
  <c r="AY34" i="1"/>
  <c r="BH54" i="1" s="1"/>
  <c r="AY33" i="1"/>
  <c r="BH52" i="1" s="1"/>
  <c r="AY32" i="1"/>
  <c r="BH51" i="1" s="1"/>
  <c r="AY31" i="1"/>
  <c r="BH48" i="1" s="1"/>
  <c r="AY30" i="1"/>
  <c r="BH47" i="1" s="1"/>
  <c r="AY29" i="1"/>
  <c r="BH44" i="1" s="1"/>
  <c r="AY26" i="1"/>
  <c r="BH40" i="1" s="1"/>
  <c r="AY25" i="1"/>
  <c r="BH38" i="1" s="1"/>
  <c r="AY13" i="1"/>
  <c r="BH21" i="1" s="1"/>
  <c r="AY12" i="1"/>
  <c r="BH20" i="1" s="1"/>
  <c r="AY11" i="1"/>
  <c r="BH17" i="1" s="1"/>
  <c r="AY10" i="1"/>
  <c r="BH15" i="1" s="1"/>
  <c r="AY9" i="1"/>
  <c r="BH14" i="1" s="1"/>
  <c r="AY8" i="1"/>
  <c r="BH11" i="1" s="1"/>
  <c r="AY7" i="1"/>
  <c r="BH9" i="1" s="1"/>
  <c r="AY6" i="1"/>
  <c r="BH8" i="1" s="1"/>
  <c r="AY5" i="1"/>
  <c r="BH6" i="1" s="1"/>
  <c r="BB133" i="1"/>
  <c r="BB132" i="1"/>
  <c r="BB126" i="1"/>
  <c r="BB125" i="1"/>
  <c r="BB124" i="1"/>
  <c r="BB123" i="1"/>
  <c r="BB122" i="1"/>
  <c r="BB121" i="1"/>
  <c r="BB120" i="1"/>
  <c r="BB119" i="1"/>
  <c r="BB118" i="1"/>
  <c r="BB117" i="1"/>
  <c r="BB116" i="1"/>
  <c r="BB115" i="1"/>
  <c r="BB114" i="1"/>
  <c r="BB113" i="1"/>
  <c r="BB112" i="1"/>
  <c r="BB111" i="1"/>
  <c r="BB110" i="1"/>
  <c r="BB109" i="1"/>
  <c r="BB108" i="1"/>
  <c r="BB107" i="1"/>
  <c r="BB106" i="1"/>
  <c r="BB105" i="1"/>
  <c r="BB104" i="1"/>
  <c r="BB103" i="1"/>
  <c r="BB102" i="1"/>
  <c r="BB101" i="1"/>
  <c r="BB100" i="1"/>
  <c r="BB99" i="1"/>
  <c r="BB98" i="1"/>
  <c r="BB97" i="1"/>
  <c r="BB96" i="1"/>
  <c r="BB95" i="1"/>
  <c r="BB94" i="1"/>
  <c r="BB93" i="1"/>
  <c r="BB92" i="1"/>
  <c r="BB91" i="1"/>
  <c r="BB90" i="1"/>
  <c r="BB89" i="1"/>
  <c r="B358" i="2"/>
  <c r="B356" i="2"/>
  <c r="B355" i="2"/>
  <c r="B354" i="2"/>
  <c r="BD119" i="74" s="1"/>
  <c r="B353" i="2"/>
  <c r="B352" i="2"/>
  <c r="BD117" i="73" s="1"/>
  <c r="B351" i="2"/>
  <c r="D351" i="2" s="1"/>
  <c r="B350" i="2"/>
  <c r="B349" i="2"/>
  <c r="B348" i="2"/>
  <c r="B347" i="2"/>
  <c r="B346" i="2"/>
  <c r="B345" i="2"/>
  <c r="L345" i="2" s="1"/>
  <c r="B344" i="2"/>
  <c r="B343" i="2"/>
  <c r="B342" i="2"/>
  <c r="BD107" i="1" s="1"/>
  <c r="B341" i="2"/>
  <c r="L341" i="2" s="1"/>
  <c r="B340" i="2"/>
  <c r="AU74" i="71" s="1"/>
  <c r="B339" i="2"/>
  <c r="B338" i="2"/>
  <c r="B337" i="2"/>
  <c r="B336" i="2"/>
  <c r="B335" i="2"/>
  <c r="B334" i="2"/>
  <c r="AU68" i="66" s="1"/>
  <c r="B333" i="2"/>
  <c r="B331" i="2"/>
  <c r="B330" i="2"/>
  <c r="AU64" i="1" s="1"/>
  <c r="B329" i="2"/>
  <c r="L329" i="2" s="1"/>
  <c r="B327" i="2"/>
  <c r="L327" i="2" s="1"/>
  <c r="B326" i="2"/>
  <c r="BD78" i="68" s="1"/>
  <c r="BE78" i="68" s="1"/>
  <c r="B325" i="2"/>
  <c r="B324" i="2"/>
  <c r="B323" i="2"/>
  <c r="B322" i="2"/>
  <c r="B321" i="2"/>
  <c r="B320" i="2"/>
  <c r="B319" i="2"/>
  <c r="B318" i="2"/>
  <c r="B317" i="2"/>
  <c r="B316" i="2"/>
  <c r="BD69" i="81" s="1"/>
  <c r="B315" i="2"/>
  <c r="D315" i="2" s="1"/>
  <c r="B314" i="2"/>
  <c r="BD87" i="78" s="1"/>
  <c r="BF87" i="78" s="1"/>
  <c r="B313" i="2"/>
  <c r="B312" i="2"/>
  <c r="B311" i="2"/>
  <c r="B310" i="2"/>
  <c r="B309" i="2"/>
  <c r="B308" i="2"/>
  <c r="B307" i="2"/>
  <c r="B306" i="2"/>
  <c r="B302" i="2"/>
  <c r="B305" i="2"/>
  <c r="AU55" i="74" s="1"/>
  <c r="B304" i="2"/>
  <c r="D304" i="2" s="1"/>
  <c r="B301" i="2"/>
  <c r="E301" i="2" s="1"/>
  <c r="B300" i="2"/>
  <c r="B299" i="2"/>
  <c r="B298" i="2"/>
  <c r="B297" i="2"/>
  <c r="B296" i="2"/>
  <c r="B295" i="2"/>
  <c r="B294" i="2"/>
  <c r="B292" i="2"/>
  <c r="B291" i="2"/>
  <c r="B290" i="2"/>
  <c r="K290" i="2" s="1"/>
  <c r="B289" i="2"/>
  <c r="B288" i="2"/>
  <c r="B287" i="2"/>
  <c r="B286" i="2"/>
  <c r="B285" i="2"/>
  <c r="B284" i="2"/>
  <c r="B282" i="2"/>
  <c r="B281" i="2"/>
  <c r="B280" i="2"/>
  <c r="B279" i="2"/>
  <c r="B278" i="2"/>
  <c r="B277" i="2"/>
  <c r="BD58" i="81" s="1"/>
  <c r="B276" i="2"/>
  <c r="K276" i="2" s="1"/>
  <c r="B275" i="2"/>
  <c r="B274" i="2"/>
  <c r="B273" i="2"/>
  <c r="B272" i="2"/>
  <c r="B271" i="2"/>
  <c r="B270" i="2"/>
  <c r="B269" i="2"/>
  <c r="B268" i="2"/>
  <c r="B266" i="2"/>
  <c r="B265" i="2"/>
  <c r="E265" i="2" s="1"/>
  <c r="B264" i="2"/>
  <c r="BD57" i="73" s="1"/>
  <c r="BE57" i="73" s="1"/>
  <c r="B263" i="2"/>
  <c r="B262" i="2"/>
  <c r="B261" i="2"/>
  <c r="B260" i="2"/>
  <c r="B259" i="2"/>
  <c r="K259" i="2" s="1"/>
  <c r="B258" i="2"/>
  <c r="B257" i="2"/>
  <c r="B256" i="2"/>
  <c r="K256" i="2" s="1"/>
  <c r="B255" i="2"/>
  <c r="B254" i="2"/>
  <c r="B253" i="2"/>
  <c r="B252" i="2"/>
  <c r="BD38" i="81" s="1"/>
  <c r="B251" i="2"/>
  <c r="B250" i="2"/>
  <c r="AU32" i="81" s="1"/>
  <c r="AW32" i="81" s="1"/>
  <c r="B249" i="2"/>
  <c r="B248" i="2"/>
  <c r="B247" i="2"/>
  <c r="B246" i="2"/>
  <c r="B245" i="2"/>
  <c r="B244" i="2"/>
  <c r="B243" i="2"/>
  <c r="B241" i="2"/>
  <c r="B240" i="2"/>
  <c r="B239" i="2"/>
  <c r="BD40" i="1" s="1"/>
  <c r="B238" i="2"/>
  <c r="B237" i="2"/>
  <c r="K237" i="2" s="1"/>
  <c r="B236" i="2"/>
  <c r="B235" i="2"/>
  <c r="B234" i="2"/>
  <c r="B233" i="2"/>
  <c r="B203" i="2"/>
  <c r="B192" i="2"/>
  <c r="I192" i="2"/>
  <c r="B48" i="2"/>
  <c r="B27" i="2"/>
  <c r="K27" i="2" s="1"/>
  <c r="O17" i="1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7" i="3"/>
  <c r="E146" i="3"/>
  <c r="E145" i="3"/>
  <c r="E144" i="3"/>
  <c r="E143" i="3"/>
  <c r="E142" i="3"/>
  <c r="E141" i="3"/>
  <c r="E140" i="3"/>
  <c r="E139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4" i="3"/>
  <c r="E23" i="3"/>
  <c r="E22" i="3"/>
  <c r="E21" i="3"/>
  <c r="E20" i="3"/>
  <c r="E19" i="3"/>
  <c r="E18" i="3"/>
  <c r="E17" i="3"/>
  <c r="E16" i="3"/>
  <c r="E15" i="3"/>
  <c r="E14" i="3"/>
  <c r="B67" i="73"/>
  <c r="E12" i="3"/>
  <c r="E11" i="3"/>
  <c r="E10" i="3"/>
  <c r="E9" i="3"/>
  <c r="E8" i="3"/>
  <c r="E7" i="3"/>
  <c r="E6" i="3"/>
  <c r="E5" i="3"/>
  <c r="E4" i="3"/>
  <c r="E3" i="3"/>
  <c r="B17" i="2"/>
  <c r="B16" i="2"/>
  <c r="B15" i="2"/>
  <c r="B392" i="2"/>
  <c r="M13" i="65"/>
  <c r="AB21" i="65"/>
  <c r="M29" i="65"/>
  <c r="M21" i="65"/>
  <c r="BA30" i="65"/>
  <c r="AY30" i="65"/>
  <c r="AZ30" i="65" s="1"/>
  <c r="BA29" i="65"/>
  <c r="AY29" i="65"/>
  <c r="AP29" i="65"/>
  <c r="AB29" i="65"/>
  <c r="BA28" i="65"/>
  <c r="AY28" i="65"/>
  <c r="AZ28" i="65" s="1"/>
  <c r="BA22" i="65"/>
  <c r="BA21" i="65"/>
  <c r="BB21" i="65" s="1"/>
  <c r="AP21" i="65"/>
  <c r="BA20" i="65"/>
  <c r="BA14" i="65"/>
  <c r="AY14" i="65"/>
  <c r="AZ14" i="65" s="1"/>
  <c r="AW14" i="65"/>
  <c r="BA13" i="65"/>
  <c r="AY13" i="65"/>
  <c r="AW13" i="65"/>
  <c r="AP13" i="65"/>
  <c r="AB13" i="65"/>
  <c r="BA12" i="65"/>
  <c r="BB12" i="65"/>
  <c r="AY12" i="65"/>
  <c r="AZ12" i="65"/>
  <c r="AW12" i="65"/>
  <c r="B371" i="2"/>
  <c r="B370" i="2"/>
  <c r="B369" i="2"/>
  <c r="D369" i="2" s="1"/>
  <c r="B368" i="2"/>
  <c r="B367" i="2"/>
  <c r="C367" i="2" s="1"/>
  <c r="L1053" i="7"/>
  <c r="L1052" i="7"/>
  <c r="L1051" i="7"/>
  <c r="L1050" i="7"/>
  <c r="L1049" i="7"/>
  <c r="L1048" i="7"/>
  <c r="H1048" i="7"/>
  <c r="I381" i="2"/>
  <c r="H381" i="2"/>
  <c r="I380" i="2"/>
  <c r="H380" i="2"/>
  <c r="I379" i="2"/>
  <c r="H379" i="2"/>
  <c r="I378" i="2"/>
  <c r="H378" i="2"/>
  <c r="I377" i="2"/>
  <c r="H377" i="2"/>
  <c r="I376" i="2"/>
  <c r="H376" i="2"/>
  <c r="I375" i="2"/>
  <c r="H375" i="2"/>
  <c r="I374" i="2"/>
  <c r="H374" i="2"/>
  <c r="I373" i="2"/>
  <c r="H373" i="2"/>
  <c r="I372" i="2"/>
  <c r="H372" i="2"/>
  <c r="L1047" i="7"/>
  <c r="L1046" i="7"/>
  <c r="L1045" i="7"/>
  <c r="L1044" i="7"/>
  <c r="L1043" i="7"/>
  <c r="L1042" i="7"/>
  <c r="L1041" i="7"/>
  <c r="L1040" i="7"/>
  <c r="L1039" i="7"/>
  <c r="L1038" i="7"/>
  <c r="L1037" i="7"/>
  <c r="L1036" i="7"/>
  <c r="L1035" i="7"/>
  <c r="L1034" i="7"/>
  <c r="L1033" i="7"/>
  <c r="L1032" i="7"/>
  <c r="L1031" i="7"/>
  <c r="L1030" i="7"/>
  <c r="L1029" i="7"/>
  <c r="L1028" i="7"/>
  <c r="L1027" i="7"/>
  <c r="L1026" i="7"/>
  <c r="L1025" i="7"/>
  <c r="L1024" i="7"/>
  <c r="L1023" i="7"/>
  <c r="L1022" i="7"/>
  <c r="L1021" i="7"/>
  <c r="L1020" i="7"/>
  <c r="L1019" i="7"/>
  <c r="L1018" i="7"/>
  <c r="L1017" i="7"/>
  <c r="L1016" i="7"/>
  <c r="L1015" i="7"/>
  <c r="L1014" i="7"/>
  <c r="L1013" i="7"/>
  <c r="L1012" i="7"/>
  <c r="L1011" i="7"/>
  <c r="L1010" i="7"/>
  <c r="L1009" i="7"/>
  <c r="L1008" i="7"/>
  <c r="L1007" i="7"/>
  <c r="L1006" i="7"/>
  <c r="L1005" i="7"/>
  <c r="L1004" i="7"/>
  <c r="L1003" i="7"/>
  <c r="L1002" i="7"/>
  <c r="L1001" i="7"/>
  <c r="L1000" i="7"/>
  <c r="L999" i="7"/>
  <c r="L998" i="7"/>
  <c r="L997" i="7"/>
  <c r="L996" i="7"/>
  <c r="L995" i="7"/>
  <c r="L994" i="7"/>
  <c r="L993" i="7"/>
  <c r="L992" i="7"/>
  <c r="L991" i="7"/>
  <c r="L990" i="7"/>
  <c r="L989" i="7"/>
  <c r="L988" i="7"/>
  <c r="L987" i="7"/>
  <c r="L986" i="7"/>
  <c r="L985" i="7"/>
  <c r="L984" i="7"/>
  <c r="L983" i="7"/>
  <c r="L982" i="7"/>
  <c r="L981" i="7"/>
  <c r="L980" i="7"/>
  <c r="L979" i="7"/>
  <c r="L978" i="7"/>
  <c r="L977" i="7"/>
  <c r="L976" i="7"/>
  <c r="L975" i="7"/>
  <c r="L974" i="7"/>
  <c r="L973" i="7"/>
  <c r="L972" i="7"/>
  <c r="L971" i="7"/>
  <c r="L970" i="7"/>
  <c r="L969" i="7"/>
  <c r="L968" i="7"/>
  <c r="L967" i="7"/>
  <c r="L966" i="7"/>
  <c r="L965" i="7"/>
  <c r="L964" i="7"/>
  <c r="L963" i="7"/>
  <c r="L962" i="7"/>
  <c r="L961" i="7"/>
  <c r="L960" i="7"/>
  <c r="L959" i="7"/>
  <c r="L958" i="7"/>
  <c r="L957" i="7"/>
  <c r="L956" i="7"/>
  <c r="L955" i="7"/>
  <c r="L954" i="7"/>
  <c r="L953" i="7"/>
  <c r="L952" i="7"/>
  <c r="L951" i="7"/>
  <c r="L950" i="7"/>
  <c r="L949" i="7"/>
  <c r="L948" i="7"/>
  <c r="L947" i="7"/>
  <c r="L946" i="7"/>
  <c r="L945" i="7"/>
  <c r="L944" i="7"/>
  <c r="L943" i="7"/>
  <c r="L942" i="7"/>
  <c r="L941" i="7"/>
  <c r="L940" i="7"/>
  <c r="L939" i="7"/>
  <c r="L938" i="7"/>
  <c r="L937" i="7"/>
  <c r="L936" i="7"/>
  <c r="L935" i="7"/>
  <c r="L934" i="7"/>
  <c r="L933" i="7"/>
  <c r="L932" i="7"/>
  <c r="L931" i="7"/>
  <c r="L930" i="7"/>
  <c r="L929" i="7"/>
  <c r="L928" i="7"/>
  <c r="L927" i="7"/>
  <c r="L926" i="7"/>
  <c r="L925" i="7"/>
  <c r="L924" i="7"/>
  <c r="L923" i="7"/>
  <c r="L922" i="7"/>
  <c r="L921" i="7"/>
  <c r="L920" i="7"/>
  <c r="L919" i="7"/>
  <c r="L918" i="7"/>
  <c r="L917" i="7"/>
  <c r="L916" i="7"/>
  <c r="L915" i="7"/>
  <c r="L914" i="7"/>
  <c r="L913" i="7"/>
  <c r="L912" i="7"/>
  <c r="L911" i="7"/>
  <c r="L910" i="7"/>
  <c r="L909" i="7"/>
  <c r="L908" i="7"/>
  <c r="L907" i="7"/>
  <c r="L906" i="7"/>
  <c r="L905" i="7"/>
  <c r="L904" i="7"/>
  <c r="L903" i="7"/>
  <c r="L902" i="7"/>
  <c r="L901" i="7"/>
  <c r="L900" i="7"/>
  <c r="L899" i="7"/>
  <c r="L898" i="7"/>
  <c r="L897" i="7"/>
  <c r="L896" i="7"/>
  <c r="L895" i="7"/>
  <c r="L894" i="7"/>
  <c r="L893" i="7"/>
  <c r="L892" i="7"/>
  <c r="L891" i="7"/>
  <c r="L890" i="7"/>
  <c r="L889" i="7"/>
  <c r="L888" i="7"/>
  <c r="L887" i="7"/>
  <c r="L886" i="7"/>
  <c r="L885" i="7"/>
  <c r="L884" i="7"/>
  <c r="L883" i="7"/>
  <c r="L882" i="7"/>
  <c r="L881" i="7"/>
  <c r="L880" i="7"/>
  <c r="L879" i="7"/>
  <c r="L878" i="7"/>
  <c r="L877" i="7"/>
  <c r="L876" i="7"/>
  <c r="L875" i="7"/>
  <c r="L874" i="7"/>
  <c r="L873" i="7"/>
  <c r="L872" i="7"/>
  <c r="L871" i="7"/>
  <c r="L870" i="7"/>
  <c r="L869" i="7"/>
  <c r="L868" i="7"/>
  <c r="L867" i="7"/>
  <c r="L866" i="7"/>
  <c r="L865" i="7"/>
  <c r="L864" i="7"/>
  <c r="L863" i="7"/>
  <c r="L862" i="7"/>
  <c r="L861" i="7"/>
  <c r="L860" i="7"/>
  <c r="L859" i="7"/>
  <c r="L858" i="7"/>
  <c r="L857" i="7"/>
  <c r="L856" i="7"/>
  <c r="L855" i="7"/>
  <c r="L854" i="7"/>
  <c r="L853" i="7"/>
  <c r="L852" i="7"/>
  <c r="L851" i="7"/>
  <c r="L850" i="7"/>
  <c r="L849" i="7"/>
  <c r="L848" i="7"/>
  <c r="L847" i="7"/>
  <c r="L846" i="7"/>
  <c r="L845" i="7"/>
  <c r="L844" i="7"/>
  <c r="L843" i="7"/>
  <c r="L842" i="7"/>
  <c r="L841" i="7"/>
  <c r="L840" i="7"/>
  <c r="L839" i="7"/>
  <c r="L838" i="7"/>
  <c r="L837" i="7"/>
  <c r="L836" i="7"/>
  <c r="L835" i="7"/>
  <c r="L834" i="7"/>
  <c r="L833" i="7"/>
  <c r="L832" i="7"/>
  <c r="L831" i="7"/>
  <c r="L830" i="7"/>
  <c r="L829" i="7"/>
  <c r="L828" i="7"/>
  <c r="L827" i="7"/>
  <c r="L826" i="7"/>
  <c r="L825" i="7"/>
  <c r="L824" i="7"/>
  <c r="L823" i="7"/>
  <c r="L822" i="7"/>
  <c r="L821" i="7"/>
  <c r="L820" i="7"/>
  <c r="L819" i="7"/>
  <c r="L818" i="7"/>
  <c r="L817" i="7"/>
  <c r="L816" i="7"/>
  <c r="L815" i="7"/>
  <c r="L814" i="7"/>
  <c r="L813" i="7"/>
  <c r="L812" i="7"/>
  <c r="L811" i="7"/>
  <c r="L810" i="7"/>
  <c r="L809" i="7"/>
  <c r="L808" i="7"/>
  <c r="L807" i="7"/>
  <c r="L806" i="7"/>
  <c r="L805" i="7"/>
  <c r="L804" i="7"/>
  <c r="L803" i="7"/>
  <c r="L802" i="7"/>
  <c r="L801" i="7"/>
  <c r="L800" i="7"/>
  <c r="L799" i="7"/>
  <c r="L798" i="7"/>
  <c r="L797" i="7"/>
  <c r="L796" i="7"/>
  <c r="L795" i="7"/>
  <c r="L794" i="7"/>
  <c r="L793" i="7"/>
  <c r="L792" i="7"/>
  <c r="L791" i="7"/>
  <c r="L790" i="7"/>
  <c r="L789" i="7"/>
  <c r="L788" i="7"/>
  <c r="L787" i="7"/>
  <c r="L786" i="7"/>
  <c r="L785" i="7"/>
  <c r="L784" i="7"/>
  <c r="L783" i="7"/>
  <c r="L782" i="7"/>
  <c r="L781" i="7"/>
  <c r="L780" i="7"/>
  <c r="L779" i="7"/>
  <c r="L778" i="7"/>
  <c r="L777" i="7"/>
  <c r="L776" i="7"/>
  <c r="L775" i="7"/>
  <c r="L774" i="7"/>
  <c r="L773" i="7"/>
  <c r="L772" i="7"/>
  <c r="L771" i="7"/>
  <c r="L770" i="7"/>
  <c r="L769" i="7"/>
  <c r="L768" i="7"/>
  <c r="L767" i="7"/>
  <c r="L766" i="7"/>
  <c r="L765" i="7"/>
  <c r="L764" i="7"/>
  <c r="L763" i="7"/>
  <c r="L762" i="7"/>
  <c r="L761" i="7"/>
  <c r="L760" i="7"/>
  <c r="L759" i="7"/>
  <c r="L758" i="7"/>
  <c r="L757" i="7"/>
  <c r="L756" i="7"/>
  <c r="L755" i="7"/>
  <c r="L754" i="7"/>
  <c r="L753" i="7"/>
  <c r="L752" i="7"/>
  <c r="L751" i="7"/>
  <c r="L750" i="7"/>
  <c r="L749" i="7"/>
  <c r="L748" i="7"/>
  <c r="L747" i="7"/>
  <c r="L746" i="7"/>
  <c r="L745" i="7"/>
  <c r="L744" i="7"/>
  <c r="L743" i="7"/>
  <c r="L742" i="7"/>
  <c r="L741" i="7"/>
  <c r="L740" i="7"/>
  <c r="L739" i="7"/>
  <c r="L738" i="7"/>
  <c r="L737" i="7"/>
  <c r="L736" i="7"/>
  <c r="L735" i="7"/>
  <c r="L734" i="7"/>
  <c r="L733" i="7"/>
  <c r="L732" i="7"/>
  <c r="L731" i="7"/>
  <c r="L730" i="7"/>
  <c r="L729" i="7"/>
  <c r="L728" i="7"/>
  <c r="L727" i="7"/>
  <c r="L726" i="7"/>
  <c r="L725" i="7"/>
  <c r="L724" i="7"/>
  <c r="L723" i="7"/>
  <c r="L722" i="7"/>
  <c r="L721" i="7"/>
  <c r="L720" i="7"/>
  <c r="L719" i="7"/>
  <c r="L718" i="7"/>
  <c r="L717" i="7"/>
  <c r="L716" i="7"/>
  <c r="L715" i="7"/>
  <c r="L714" i="7"/>
  <c r="L713" i="7"/>
  <c r="L712" i="7"/>
  <c r="L711" i="7"/>
  <c r="L710" i="7"/>
  <c r="L709" i="7"/>
  <c r="L708" i="7"/>
  <c r="L707" i="7"/>
  <c r="L706" i="7"/>
  <c r="L705" i="7"/>
  <c r="L704" i="7"/>
  <c r="L703" i="7"/>
  <c r="L702" i="7"/>
  <c r="L701" i="7"/>
  <c r="L700" i="7"/>
  <c r="L699" i="7"/>
  <c r="L698" i="7"/>
  <c r="L697" i="7"/>
  <c r="L696" i="7"/>
  <c r="L695" i="7"/>
  <c r="L694" i="7"/>
  <c r="L693" i="7"/>
  <c r="L692" i="7"/>
  <c r="L691" i="7"/>
  <c r="L690" i="7"/>
  <c r="L689" i="7"/>
  <c r="L688" i="7"/>
  <c r="L687" i="7"/>
  <c r="L686" i="7"/>
  <c r="L685" i="7"/>
  <c r="L684" i="7"/>
  <c r="L683" i="7"/>
  <c r="L682" i="7"/>
  <c r="L681" i="7"/>
  <c r="L680" i="7"/>
  <c r="L679" i="7"/>
  <c r="L678" i="7"/>
  <c r="L677" i="7"/>
  <c r="L676" i="7"/>
  <c r="L675" i="7"/>
  <c r="L674" i="7"/>
  <c r="L673" i="7"/>
  <c r="L672" i="7"/>
  <c r="L671" i="7"/>
  <c r="L670" i="7"/>
  <c r="L669" i="7"/>
  <c r="L668" i="7"/>
  <c r="L667" i="7"/>
  <c r="L666" i="7"/>
  <c r="L665" i="7"/>
  <c r="L664" i="7"/>
  <c r="L663" i="7"/>
  <c r="L662" i="7"/>
  <c r="L661" i="7"/>
  <c r="L660" i="7"/>
  <c r="L659" i="7"/>
  <c r="L658" i="7"/>
  <c r="L657" i="7"/>
  <c r="L656" i="7"/>
  <c r="L655" i="7"/>
  <c r="L654" i="7"/>
  <c r="L653" i="7"/>
  <c r="L652" i="7"/>
  <c r="L651" i="7"/>
  <c r="L650" i="7"/>
  <c r="L649" i="7"/>
  <c r="L648" i="7"/>
  <c r="L647" i="7"/>
  <c r="L646" i="7"/>
  <c r="L645" i="7"/>
  <c r="L644" i="7"/>
  <c r="L643" i="7"/>
  <c r="L642" i="7"/>
  <c r="L641" i="7"/>
  <c r="L640" i="7"/>
  <c r="L639" i="7"/>
  <c r="L638" i="7"/>
  <c r="L637" i="7"/>
  <c r="L636" i="7"/>
  <c r="L635" i="7"/>
  <c r="L634" i="7"/>
  <c r="L633" i="7"/>
  <c r="L632" i="7"/>
  <c r="L631" i="7"/>
  <c r="L630" i="7"/>
  <c r="L629" i="7"/>
  <c r="L628" i="7"/>
  <c r="L627" i="7"/>
  <c r="L626" i="7"/>
  <c r="L625" i="7"/>
  <c r="L624" i="7"/>
  <c r="L623" i="7"/>
  <c r="L622" i="7"/>
  <c r="L621" i="7"/>
  <c r="L620" i="7"/>
  <c r="L619" i="7"/>
  <c r="L618" i="7"/>
  <c r="L617" i="7"/>
  <c r="L616" i="7"/>
  <c r="L615" i="7"/>
  <c r="L614" i="7"/>
  <c r="L613" i="7"/>
  <c r="L612" i="7"/>
  <c r="L611" i="7"/>
  <c r="L610" i="7"/>
  <c r="L609" i="7"/>
  <c r="L608" i="7"/>
  <c r="L600" i="7"/>
  <c r="L599" i="7"/>
  <c r="L598" i="7"/>
  <c r="L597" i="7"/>
  <c r="L596" i="7"/>
  <c r="L595" i="7"/>
  <c r="L594" i="7"/>
  <c r="L593" i="7"/>
  <c r="L592" i="7"/>
  <c r="L591" i="7"/>
  <c r="L590" i="7"/>
  <c r="L589" i="7"/>
  <c r="L588" i="7"/>
  <c r="L587" i="7"/>
  <c r="L586" i="7"/>
  <c r="L585" i="7"/>
  <c r="L584" i="7"/>
  <c r="L583" i="7"/>
  <c r="L582" i="7"/>
  <c r="L581" i="7"/>
  <c r="L580" i="7"/>
  <c r="L579" i="7"/>
  <c r="L578" i="7"/>
  <c r="L577" i="7"/>
  <c r="L576" i="7"/>
  <c r="L575" i="7"/>
  <c r="L574" i="7"/>
  <c r="L573" i="7"/>
  <c r="L572" i="7"/>
  <c r="L571" i="7"/>
  <c r="L570" i="7"/>
  <c r="L569" i="7"/>
  <c r="L568" i="7"/>
  <c r="L567" i="7"/>
  <c r="L566" i="7"/>
  <c r="L565" i="7"/>
  <c r="L564" i="7"/>
  <c r="L563" i="7"/>
  <c r="L562" i="7"/>
  <c r="L561" i="7"/>
  <c r="L560" i="7"/>
  <c r="L559" i="7"/>
  <c r="L558" i="7"/>
  <c r="L557" i="7"/>
  <c r="L556" i="7"/>
  <c r="L555" i="7"/>
  <c r="L554" i="7"/>
  <c r="L553" i="7"/>
  <c r="L552" i="7"/>
  <c r="L551" i="7"/>
  <c r="L550" i="7"/>
  <c r="L549" i="7"/>
  <c r="L548" i="7"/>
  <c r="L547" i="7"/>
  <c r="L546" i="7"/>
  <c r="L545" i="7"/>
  <c r="L544" i="7"/>
  <c r="L543" i="7"/>
  <c r="L542" i="7"/>
  <c r="L541" i="7"/>
  <c r="L540" i="7"/>
  <c r="L539" i="7"/>
  <c r="L538" i="7"/>
  <c r="L537" i="7"/>
  <c r="L536" i="7"/>
  <c r="L535" i="7"/>
  <c r="L534" i="7"/>
  <c r="L533" i="7"/>
  <c r="L532" i="7"/>
  <c r="L531" i="7"/>
  <c r="L530" i="7"/>
  <c r="L529" i="7"/>
  <c r="L528" i="7"/>
  <c r="L527" i="7"/>
  <c r="L526" i="7"/>
  <c r="L525" i="7"/>
  <c r="L524" i="7"/>
  <c r="L523" i="7"/>
  <c r="L522" i="7"/>
  <c r="L521" i="7"/>
  <c r="L520" i="7"/>
  <c r="L519" i="7"/>
  <c r="L518" i="7"/>
  <c r="L517" i="7"/>
  <c r="L516" i="7"/>
  <c r="L515" i="7"/>
  <c r="L514" i="7"/>
  <c r="L513" i="7"/>
  <c r="L512" i="7"/>
  <c r="L511" i="7"/>
  <c r="L510" i="7"/>
  <c r="L509" i="7"/>
  <c r="L508" i="7"/>
  <c r="L507" i="7"/>
  <c r="L506" i="7"/>
  <c r="L505" i="7"/>
  <c r="L504" i="7"/>
  <c r="L503" i="7"/>
  <c r="L502" i="7"/>
  <c r="L501" i="7"/>
  <c r="L500" i="7"/>
  <c r="L499" i="7"/>
  <c r="L498" i="7"/>
  <c r="L497" i="7"/>
  <c r="L496" i="7"/>
  <c r="L495" i="7"/>
  <c r="L494" i="7"/>
  <c r="L493" i="7"/>
  <c r="L492" i="7"/>
  <c r="L491" i="7"/>
  <c r="L490" i="7"/>
  <c r="L489" i="7"/>
  <c r="L488" i="7"/>
  <c r="L487" i="7"/>
  <c r="L486" i="7"/>
  <c r="L485" i="7"/>
  <c r="L484" i="7"/>
  <c r="L483" i="7"/>
  <c r="L482" i="7"/>
  <c r="L481" i="7"/>
  <c r="L480" i="7"/>
  <c r="L479" i="7"/>
  <c r="L478" i="7"/>
  <c r="L477" i="7"/>
  <c r="L476" i="7"/>
  <c r="L475" i="7"/>
  <c r="L474" i="7"/>
  <c r="L473" i="7"/>
  <c r="L472" i="7"/>
  <c r="L471" i="7"/>
  <c r="L470" i="7"/>
  <c r="L469" i="7"/>
  <c r="L468" i="7"/>
  <c r="L467" i="7"/>
  <c r="L466" i="7"/>
  <c r="L465" i="7"/>
  <c r="L464" i="7"/>
  <c r="L463" i="7"/>
  <c r="L462" i="7"/>
  <c r="L461" i="7"/>
  <c r="L460" i="7"/>
  <c r="L459" i="7"/>
  <c r="L458" i="7"/>
  <c r="L457" i="7"/>
  <c r="L456" i="7"/>
  <c r="L455" i="7"/>
  <c r="L454" i="7"/>
  <c r="L453" i="7"/>
  <c r="L452" i="7"/>
  <c r="L451" i="7"/>
  <c r="L450" i="7"/>
  <c r="L449" i="7"/>
  <c r="L448" i="7"/>
  <c r="L447" i="7"/>
  <c r="L446" i="7"/>
  <c r="L445" i="7"/>
  <c r="L444" i="7"/>
  <c r="L443" i="7"/>
  <c r="L442" i="7"/>
  <c r="L441" i="7"/>
  <c r="L440" i="7"/>
  <c r="L439" i="7"/>
  <c r="L438" i="7"/>
  <c r="L437" i="7"/>
  <c r="L436" i="7"/>
  <c r="L435" i="7"/>
  <c r="L434" i="7"/>
  <c r="L433" i="7"/>
  <c r="L432" i="7"/>
  <c r="L431" i="7"/>
  <c r="L430" i="7"/>
  <c r="L429" i="7"/>
  <c r="L428" i="7"/>
  <c r="L427" i="7"/>
  <c r="L426" i="7"/>
  <c r="L425" i="7"/>
  <c r="L424" i="7"/>
  <c r="L423" i="7"/>
  <c r="L422" i="7"/>
  <c r="L421" i="7"/>
  <c r="L420" i="7"/>
  <c r="L419" i="7"/>
  <c r="L418" i="7"/>
  <c r="L417" i="7"/>
  <c r="L416" i="7"/>
  <c r="L415" i="7"/>
  <c r="L414" i="7"/>
  <c r="L413" i="7"/>
  <c r="L412" i="7"/>
  <c r="L411" i="7"/>
  <c r="L410" i="7"/>
  <c r="L409" i="7"/>
  <c r="L408" i="7"/>
  <c r="L407" i="7"/>
  <c r="L406" i="7"/>
  <c r="L405" i="7"/>
  <c r="L404" i="7"/>
  <c r="L403" i="7"/>
  <c r="L402" i="7"/>
  <c r="L401" i="7"/>
  <c r="L400" i="7"/>
  <c r="L399" i="7"/>
  <c r="L398" i="7"/>
  <c r="L397" i="7"/>
  <c r="L396" i="7"/>
  <c r="L393" i="7"/>
  <c r="L392" i="7"/>
  <c r="L391" i="7"/>
  <c r="L390" i="7"/>
  <c r="L389" i="7"/>
  <c r="L388" i="7"/>
  <c r="L387" i="7"/>
  <c r="L386" i="7"/>
  <c r="L385" i="7"/>
  <c r="L384" i="7"/>
  <c r="L383" i="7"/>
  <c r="L382" i="7"/>
  <c r="L381" i="7"/>
  <c r="L380" i="7"/>
  <c r="L379" i="7"/>
  <c r="L378" i="7"/>
  <c r="L377" i="7"/>
  <c r="L376" i="7"/>
  <c r="L375" i="7"/>
  <c r="L374" i="7"/>
  <c r="L373" i="7"/>
  <c r="L372" i="7"/>
  <c r="L371" i="7"/>
  <c r="L370" i="7"/>
  <c r="L369" i="7"/>
  <c r="L368" i="7"/>
  <c r="L367" i="7"/>
  <c r="L366" i="7"/>
  <c r="L365" i="7"/>
  <c r="L364" i="7"/>
  <c r="L363" i="7"/>
  <c r="L362" i="7"/>
  <c r="L361" i="7"/>
  <c r="L360" i="7"/>
  <c r="L359" i="7"/>
  <c r="L358" i="7"/>
  <c r="L357" i="7"/>
  <c r="L356" i="7"/>
  <c r="L355" i="7"/>
  <c r="L354" i="7"/>
  <c r="L353" i="7"/>
  <c r="L352" i="7"/>
  <c r="L351" i="7"/>
  <c r="L350" i="7"/>
  <c r="L349" i="7"/>
  <c r="L348" i="7"/>
  <c r="L347" i="7"/>
  <c r="L346" i="7"/>
  <c r="L345" i="7"/>
  <c r="L344" i="7"/>
  <c r="L343" i="7"/>
  <c r="L342" i="7"/>
  <c r="L341" i="7"/>
  <c r="L340" i="7"/>
  <c r="L339" i="7"/>
  <c r="L338" i="7"/>
  <c r="L337" i="7"/>
  <c r="L336" i="7"/>
  <c r="L335" i="7"/>
  <c r="L334" i="7"/>
  <c r="L333" i="7"/>
  <c r="L332" i="7"/>
  <c r="L331" i="7"/>
  <c r="L330" i="7"/>
  <c r="L329" i="7"/>
  <c r="L328" i="7"/>
  <c r="L327" i="7"/>
  <c r="L326" i="7"/>
  <c r="L325" i="7"/>
  <c r="L324" i="7"/>
  <c r="L323" i="7"/>
  <c r="L322" i="7"/>
  <c r="L321" i="7"/>
  <c r="L320" i="7"/>
  <c r="L319" i="7"/>
  <c r="L318" i="7"/>
  <c r="L317" i="7"/>
  <c r="L316" i="7"/>
  <c r="L315" i="7"/>
  <c r="L314" i="7"/>
  <c r="L313" i="7"/>
  <c r="L312" i="7"/>
  <c r="L311" i="7"/>
  <c r="L310" i="7"/>
  <c r="L309" i="7"/>
  <c r="L308" i="7"/>
  <c r="L307" i="7"/>
  <c r="L306" i="7"/>
  <c r="L305" i="7"/>
  <c r="L304" i="7"/>
  <c r="L303" i="7"/>
  <c r="L302" i="7"/>
  <c r="L301" i="7"/>
  <c r="L300" i="7"/>
  <c r="L299" i="7"/>
  <c r="L298" i="7"/>
  <c r="L297" i="7"/>
  <c r="L296" i="7"/>
  <c r="L295" i="7"/>
  <c r="L294" i="7"/>
  <c r="L293" i="7"/>
  <c r="L292" i="7"/>
  <c r="L291" i="7"/>
  <c r="L290" i="7"/>
  <c r="L289" i="7"/>
  <c r="L288" i="7"/>
  <c r="L287" i="7"/>
  <c r="L286" i="7"/>
  <c r="L285" i="7"/>
  <c r="L284" i="7"/>
  <c r="L283" i="7"/>
  <c r="L282" i="7"/>
  <c r="L281" i="7"/>
  <c r="L280" i="7"/>
  <c r="L279" i="7"/>
  <c r="L278" i="7"/>
  <c r="L277" i="7"/>
  <c r="L276" i="7"/>
  <c r="L275" i="7"/>
  <c r="L274" i="7"/>
  <c r="L273" i="7"/>
  <c r="L272" i="7"/>
  <c r="L271" i="7"/>
  <c r="L270" i="7"/>
  <c r="L269" i="7"/>
  <c r="L268" i="7"/>
  <c r="L267" i="7"/>
  <c r="L266" i="7"/>
  <c r="L265" i="7"/>
  <c r="L264" i="7"/>
  <c r="L263" i="7"/>
  <c r="L262" i="7"/>
  <c r="L261" i="7"/>
  <c r="L260" i="7"/>
  <c r="L259" i="7"/>
  <c r="L258" i="7"/>
  <c r="L257" i="7"/>
  <c r="L256" i="7"/>
  <c r="L255" i="7"/>
  <c r="L254" i="7"/>
  <c r="L253" i="7"/>
  <c r="L252" i="7"/>
  <c r="L251" i="7"/>
  <c r="L250" i="7"/>
  <c r="L249" i="7"/>
  <c r="L248" i="7"/>
  <c r="L247" i="7"/>
  <c r="L246" i="7"/>
  <c r="L245" i="7"/>
  <c r="L244" i="7"/>
  <c r="L241" i="7"/>
  <c r="L240" i="7"/>
  <c r="L239" i="7"/>
  <c r="L238" i="7"/>
  <c r="L237" i="7"/>
  <c r="L236" i="7"/>
  <c r="L235" i="7"/>
  <c r="L234" i="7"/>
  <c r="L233" i="7"/>
  <c r="L232" i="7"/>
  <c r="L231" i="7"/>
  <c r="L230" i="7"/>
  <c r="L229" i="7"/>
  <c r="L228" i="7"/>
  <c r="L223" i="7"/>
  <c r="L222" i="7"/>
  <c r="L221" i="7"/>
  <c r="L220" i="7"/>
  <c r="L219" i="7"/>
  <c r="L218" i="7"/>
  <c r="L217" i="7"/>
  <c r="L216" i="7"/>
  <c r="L215" i="7"/>
  <c r="L214" i="7"/>
  <c r="L213" i="7"/>
  <c r="L212" i="7"/>
  <c r="L211" i="7"/>
  <c r="L210" i="7"/>
  <c r="L205" i="7"/>
  <c r="L204" i="7"/>
  <c r="L203" i="7"/>
  <c r="L202" i="7"/>
  <c r="L201" i="7"/>
  <c r="L200" i="7"/>
  <c r="L199" i="7"/>
  <c r="L198" i="7"/>
  <c r="L197" i="7"/>
  <c r="L196" i="7"/>
  <c r="L195" i="7"/>
  <c r="L194" i="7"/>
  <c r="L193" i="7"/>
  <c r="L192" i="7"/>
  <c r="L188" i="7"/>
  <c r="L187" i="7"/>
  <c r="L186" i="7"/>
  <c r="L185" i="7"/>
  <c r="L184" i="7"/>
  <c r="L183" i="7"/>
  <c r="L182" i="7"/>
  <c r="L179" i="7"/>
  <c r="L178" i="7"/>
  <c r="L177" i="7"/>
  <c r="L176" i="7"/>
  <c r="L175" i="7"/>
  <c r="L174" i="7"/>
  <c r="L173" i="7"/>
  <c r="L170" i="7"/>
  <c r="L169" i="7"/>
  <c r="L168" i="7"/>
  <c r="L167" i="7"/>
  <c r="L166" i="7"/>
  <c r="L165" i="7"/>
  <c r="L164" i="7"/>
  <c r="L162" i="7"/>
  <c r="L161" i="7"/>
  <c r="L160" i="7"/>
  <c r="L159" i="7"/>
  <c r="L158" i="7"/>
  <c r="L157" i="7"/>
  <c r="L156" i="7"/>
  <c r="L155" i="7"/>
  <c r="L154" i="7"/>
  <c r="L153" i="7"/>
  <c r="L152" i="7"/>
  <c r="L151" i="7"/>
  <c r="L150" i="7"/>
  <c r="L149" i="7"/>
  <c r="L148" i="7"/>
  <c r="L147" i="7"/>
  <c r="L146" i="7"/>
  <c r="L145" i="7"/>
  <c r="L144" i="7"/>
  <c r="L143" i="7"/>
  <c r="L142" i="7"/>
  <c r="L141" i="7"/>
  <c r="L140" i="7"/>
  <c r="L139" i="7"/>
  <c r="L138" i="7"/>
  <c r="L137" i="7"/>
  <c r="L136" i="7"/>
  <c r="L135" i="7"/>
  <c r="L134" i="7"/>
  <c r="L133" i="7"/>
  <c r="L132" i="7"/>
  <c r="L131" i="7"/>
  <c r="L130" i="7"/>
  <c r="L129" i="7"/>
  <c r="L128" i="7"/>
  <c r="L127" i="7"/>
  <c r="L126" i="7"/>
  <c r="L125" i="7"/>
  <c r="L124" i="7"/>
  <c r="L123" i="7"/>
  <c r="L122" i="7"/>
  <c r="L121" i="7"/>
  <c r="L120" i="7"/>
  <c r="L119" i="7"/>
  <c r="L118" i="7"/>
  <c r="L117" i="7"/>
  <c r="L116" i="7"/>
  <c r="L115" i="7"/>
  <c r="L114" i="7"/>
  <c r="L113" i="7"/>
  <c r="L112" i="7"/>
  <c r="L111" i="7"/>
  <c r="L110" i="7"/>
  <c r="L109" i="7"/>
  <c r="L108" i="7"/>
  <c r="L107" i="7"/>
  <c r="L106" i="7"/>
  <c r="L105" i="7"/>
  <c r="L104" i="7"/>
  <c r="L103" i="7"/>
  <c r="L102" i="7"/>
  <c r="L101" i="7"/>
  <c r="L100" i="7"/>
  <c r="L99" i="7"/>
  <c r="L98" i="7"/>
  <c r="L97" i="7"/>
  <c r="L96" i="7"/>
  <c r="L95" i="7"/>
  <c r="L94" i="7"/>
  <c r="L93" i="7"/>
  <c r="L92" i="7"/>
  <c r="L91" i="7"/>
  <c r="L90" i="7"/>
  <c r="L89" i="7"/>
  <c r="L88" i="7"/>
  <c r="L87" i="7"/>
  <c r="L86" i="7"/>
  <c r="L85" i="7"/>
  <c r="L84" i="7"/>
  <c r="L83" i="7"/>
  <c r="L82" i="7"/>
  <c r="L81" i="7"/>
  <c r="L80" i="7"/>
  <c r="L79" i="7"/>
  <c r="L78" i="7"/>
  <c r="L77" i="7"/>
  <c r="L76" i="7"/>
  <c r="L75" i="7"/>
  <c r="L74" i="7"/>
  <c r="L73" i="7"/>
  <c r="L72" i="7"/>
  <c r="L71" i="7"/>
  <c r="L70" i="7"/>
  <c r="L69" i="7"/>
  <c r="L68" i="7"/>
  <c r="L67" i="7"/>
  <c r="L66" i="7"/>
  <c r="L65" i="7"/>
  <c r="L64" i="7"/>
  <c r="L63" i="7"/>
  <c r="L62" i="7"/>
  <c r="L61" i="7"/>
  <c r="L60" i="7"/>
  <c r="L59" i="7"/>
  <c r="L58" i="7"/>
  <c r="L57" i="7"/>
  <c r="L56" i="7"/>
  <c r="L55" i="7"/>
  <c r="L54" i="7"/>
  <c r="L53" i="7"/>
  <c r="L52" i="7"/>
  <c r="L51" i="7"/>
  <c r="L49" i="7"/>
  <c r="L48" i="7"/>
  <c r="L47" i="7"/>
  <c r="L46" i="7"/>
  <c r="L45" i="7"/>
  <c r="L44" i="7"/>
  <c r="L43" i="7"/>
  <c r="L42" i="7"/>
  <c r="L41" i="7"/>
  <c r="L40" i="7"/>
  <c r="L39" i="7"/>
  <c r="L38" i="7"/>
  <c r="L37" i="7"/>
  <c r="L36" i="7"/>
  <c r="L35" i="7"/>
  <c r="L34" i="7"/>
  <c r="L33" i="7"/>
  <c r="L32" i="7"/>
  <c r="L31" i="7"/>
  <c r="L30" i="7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H795" i="7"/>
  <c r="F10" i="2"/>
  <c r="F9" i="2"/>
  <c r="F8" i="2"/>
  <c r="B10" i="2"/>
  <c r="B9" i="2"/>
  <c r="B8" i="2"/>
  <c r="B7" i="2"/>
  <c r="B31" i="10"/>
  <c r="B30" i="10"/>
  <c r="B29" i="10"/>
  <c r="B28" i="10"/>
  <c r="B27" i="10"/>
  <c r="B26" i="10"/>
  <c r="F10" i="1"/>
  <c r="H22" i="2"/>
  <c r="J383" i="2" s="1"/>
  <c r="H10" i="7"/>
  <c r="B2" i="4"/>
  <c r="B2" i="10"/>
  <c r="B2" i="1"/>
  <c r="B2" i="20"/>
  <c r="B2" i="65"/>
  <c r="AU50" i="1"/>
  <c r="AV50" i="1" s="1"/>
  <c r="B2" i="67"/>
  <c r="B2" i="66"/>
  <c r="B2" i="68"/>
  <c r="BH95" i="68"/>
  <c r="BH82" i="1"/>
  <c r="BH108" i="1"/>
  <c r="BH113" i="67"/>
  <c r="BH94" i="68"/>
  <c r="BH82" i="66"/>
  <c r="BH110" i="66"/>
  <c r="BH118" i="1"/>
  <c r="BH62" i="1"/>
  <c r="BH61" i="1"/>
  <c r="BH97" i="1"/>
  <c r="BH81" i="1"/>
  <c r="BH89" i="1"/>
  <c r="BH119" i="1"/>
  <c r="BH49" i="67"/>
  <c r="BH88" i="1"/>
  <c r="BK129" i="70"/>
  <c r="BH114" i="71"/>
  <c r="BH121" i="71"/>
  <c r="BH99" i="70"/>
  <c r="BH79" i="70"/>
  <c r="BH78" i="70"/>
  <c r="BH86" i="70"/>
  <c r="BH85" i="70"/>
  <c r="BH123" i="70"/>
  <c r="BH78" i="69"/>
  <c r="BH37" i="69"/>
  <c r="BH36" i="69"/>
  <c r="BH82" i="69"/>
  <c r="BH85" i="69"/>
  <c r="BH74" i="69"/>
  <c r="BH75" i="69"/>
  <c r="BH48" i="73"/>
  <c r="BH94" i="73"/>
  <c r="BH93" i="73"/>
  <c r="U81" i="70"/>
  <c r="BH20" i="75"/>
  <c r="BH81" i="74"/>
  <c r="BH92" i="74"/>
  <c r="BH36" i="75"/>
  <c r="BH56" i="75"/>
  <c r="BH69" i="75"/>
  <c r="BH73" i="75"/>
  <c r="BH74" i="75"/>
  <c r="BH78" i="75"/>
  <c r="BH89" i="75"/>
  <c r="BH82" i="74"/>
  <c r="BH110" i="74"/>
  <c r="BH112" i="74"/>
  <c r="BH113" i="74"/>
  <c r="BH83" i="74"/>
  <c r="B2" i="73"/>
  <c r="B67" i="70"/>
  <c r="B67" i="71"/>
  <c r="B2" i="71"/>
  <c r="B2" i="70"/>
  <c r="B2" i="69"/>
  <c r="AR87" i="70"/>
  <c r="BF20" i="75"/>
  <c r="BE20" i="75"/>
  <c r="BF24" i="74"/>
  <c r="BE24" i="74"/>
  <c r="K343" i="2"/>
  <c r="AU35" i="1"/>
  <c r="AV35" i="1" s="1"/>
  <c r="E343" i="2"/>
  <c r="E312" i="2"/>
  <c r="D245" i="2"/>
  <c r="C343" i="2"/>
  <c r="L343" i="2"/>
  <c r="E346" i="2"/>
  <c r="BD108" i="1"/>
  <c r="BE108" i="1" s="1"/>
  <c r="K299" i="2"/>
  <c r="E307" i="2"/>
  <c r="D307" i="2"/>
  <c r="C299" i="2"/>
  <c r="K336" i="2"/>
  <c r="D345" i="2"/>
  <c r="D318" i="2"/>
  <c r="L350" i="2"/>
  <c r="BD35" i="75"/>
  <c r="BD62" i="73"/>
  <c r="AU37" i="76"/>
  <c r="AV37" i="76" s="1"/>
  <c r="BD73" i="73"/>
  <c r="BF73" i="73" s="1"/>
  <c r="AU45" i="71"/>
  <c r="AW45" i="71" s="1"/>
  <c r="BD73" i="66"/>
  <c r="BE73" i="66" s="1"/>
  <c r="AU45" i="66"/>
  <c r="AV45" i="66" s="1"/>
  <c r="BD82" i="73"/>
  <c r="BF82" i="73" s="1"/>
  <c r="AU48" i="76"/>
  <c r="AV48" i="76" s="1"/>
  <c r="BD93" i="73"/>
  <c r="AU53" i="75"/>
  <c r="AV53" i="75" s="1"/>
  <c r="BD104" i="70"/>
  <c r="BF104" i="70" s="1"/>
  <c r="BD104" i="1"/>
  <c r="BF104" i="1" s="1"/>
  <c r="BD82" i="69"/>
  <c r="BE82" i="69" s="1"/>
  <c r="AU42" i="77"/>
  <c r="AU59" i="75"/>
  <c r="AV59" i="75" s="1"/>
  <c r="AU73" i="74"/>
  <c r="AW73" i="74" s="1"/>
  <c r="AU73" i="66"/>
  <c r="AW73" i="66" s="1"/>
  <c r="AU73" i="1"/>
  <c r="BD38" i="74"/>
  <c r="BE38" i="74" s="1"/>
  <c r="BD42" i="74"/>
  <c r="BE42" i="74" s="1"/>
  <c r="BD42" i="67"/>
  <c r="BE42" i="67" s="1"/>
  <c r="AU31" i="70"/>
  <c r="AU23" i="69"/>
  <c r="AV23" i="69" s="1"/>
  <c r="BD46" i="66"/>
  <c r="BE46" i="66" s="1"/>
  <c r="BD39" i="75"/>
  <c r="BD61" i="70"/>
  <c r="BF61" i="70" s="1"/>
  <c r="BD54" i="75"/>
  <c r="BE54" i="75" s="1"/>
  <c r="BD68" i="71"/>
  <c r="BD55" i="68"/>
  <c r="BF55" i="68" s="1"/>
  <c r="BD79" i="74"/>
  <c r="BE79" i="74" s="1"/>
  <c r="BD79" i="73"/>
  <c r="BF79" i="73" s="1"/>
  <c r="BD79" i="70"/>
  <c r="BE79" i="70" s="1"/>
  <c r="BD79" i="67"/>
  <c r="BD45" i="77"/>
  <c r="BE45" i="77" s="1"/>
  <c r="BD70" i="76"/>
  <c r="BE70" i="76" s="1"/>
  <c r="BD70" i="75"/>
  <c r="BD92" i="74"/>
  <c r="BE92" i="74" s="1"/>
  <c r="BD92" i="73"/>
  <c r="BE92" i="73" s="1"/>
  <c r="BD92" i="71"/>
  <c r="BE92" i="71" s="1"/>
  <c r="BD92" i="70"/>
  <c r="BF92" i="70" s="1"/>
  <c r="BD92" i="66"/>
  <c r="BF92" i="66" s="1"/>
  <c r="BD71" i="68"/>
  <c r="BF71" i="68" s="1"/>
  <c r="BD92" i="67"/>
  <c r="BD70" i="69"/>
  <c r="BE70" i="69" s="1"/>
  <c r="BD74" i="76"/>
  <c r="BE74" i="76" s="1"/>
  <c r="BD49" i="77"/>
  <c r="BF49" i="77" s="1"/>
  <c r="BD74" i="75"/>
  <c r="BF74" i="75" s="1"/>
  <c r="BD96" i="74"/>
  <c r="BE96" i="74" s="1"/>
  <c r="BD96" i="73"/>
  <c r="BF96" i="73" s="1"/>
  <c r="BD96" i="70"/>
  <c r="BE96" i="70" s="1"/>
  <c r="BD96" i="71"/>
  <c r="BD74" i="69"/>
  <c r="BD96" i="66"/>
  <c r="BE96" i="66" s="1"/>
  <c r="BD96" i="67"/>
  <c r="BF96" i="67" s="1"/>
  <c r="BD75" i="68"/>
  <c r="AU32" i="74"/>
  <c r="AV32" i="74" s="1"/>
  <c r="AU24" i="69"/>
  <c r="AV24" i="69" s="1"/>
  <c r="AU18" i="77"/>
  <c r="AW18" i="77" s="1"/>
  <c r="AU35" i="73"/>
  <c r="AW35" i="73" s="1"/>
  <c r="AU27" i="68"/>
  <c r="AV27" i="68" s="1"/>
  <c r="BD36" i="75"/>
  <c r="BD50" i="67"/>
  <c r="BD74" i="73"/>
  <c r="BE74" i="73" s="1"/>
  <c r="AU51" i="73"/>
  <c r="AU51" i="67"/>
  <c r="AV51" i="67" s="1"/>
  <c r="AU45" i="76"/>
  <c r="AW45" i="76" s="1"/>
  <c r="AU30" i="77"/>
  <c r="AW30" i="77" s="1"/>
  <c r="AU45" i="75"/>
  <c r="AU57" i="73"/>
  <c r="AW57" i="73" s="1"/>
  <c r="AU57" i="74"/>
  <c r="AV57" i="74" s="1"/>
  <c r="AU57" i="71"/>
  <c r="AW57" i="71" s="1"/>
  <c r="AU57" i="70"/>
  <c r="AU45" i="68"/>
  <c r="AW45" i="68" s="1"/>
  <c r="AU45" i="69"/>
  <c r="AW45" i="69" s="1"/>
  <c r="AU57" i="67"/>
  <c r="AW57" i="67" s="1"/>
  <c r="AU57" i="66"/>
  <c r="AV57" i="66" s="1"/>
  <c r="AU49" i="76"/>
  <c r="AV49" i="76" s="1"/>
  <c r="AU49" i="75"/>
  <c r="AV49" i="75" s="1"/>
  <c r="AU61" i="74"/>
  <c r="AU61" i="73"/>
  <c r="AU61" i="70"/>
  <c r="AV61" i="70" s="1"/>
  <c r="AU61" i="71"/>
  <c r="AW61" i="71" s="1"/>
  <c r="AU49" i="69"/>
  <c r="AW49" i="69" s="1"/>
  <c r="AU49" i="68"/>
  <c r="AW49" i="68" s="1"/>
  <c r="AU61" i="67"/>
  <c r="AV61" i="67" s="1"/>
  <c r="AU61" i="66"/>
  <c r="AW61" i="66" s="1"/>
  <c r="BD69" i="76"/>
  <c r="BF69" i="76" s="1"/>
  <c r="BD91" i="70"/>
  <c r="BF91" i="70" s="1"/>
  <c r="BD69" i="69"/>
  <c r="BE69" i="69" s="1"/>
  <c r="BD97" i="74"/>
  <c r="BF97" i="74" s="1"/>
  <c r="BD97" i="1"/>
  <c r="AU40" i="77"/>
  <c r="AU71" i="70"/>
  <c r="AV71" i="70" s="1"/>
  <c r="AU71" i="1"/>
  <c r="AW71" i="1" s="1"/>
  <c r="K304" i="2"/>
  <c r="E298" i="2"/>
  <c r="C280" i="2"/>
  <c r="BD25" i="73"/>
  <c r="BE25" i="73" s="1"/>
  <c r="BD22" i="68"/>
  <c r="BF22" i="68" s="1"/>
  <c r="BD37" i="70"/>
  <c r="BE37" i="70" s="1"/>
  <c r="BD39" i="73"/>
  <c r="BE39" i="73" s="1"/>
  <c r="BD41" i="73"/>
  <c r="BE41" i="73" s="1"/>
  <c r="BD32" i="68"/>
  <c r="BF32" i="68" s="1"/>
  <c r="BD26" i="77"/>
  <c r="BD54" i="73"/>
  <c r="BE54" i="73" s="1"/>
  <c r="BD41" i="68"/>
  <c r="BE41" i="68" s="1"/>
  <c r="BD58" i="1"/>
  <c r="BE58" i="1" s="1"/>
  <c r="AU32" i="76"/>
  <c r="AU40" i="73"/>
  <c r="AV40" i="73" s="1"/>
  <c r="AU32" i="69"/>
  <c r="AW32" i="69" s="1"/>
  <c r="L285" i="2"/>
  <c r="AU50" i="67"/>
  <c r="AW50" i="67" s="1"/>
  <c r="BD80" i="73"/>
  <c r="BF80" i="73" s="1"/>
  <c r="BD80" i="67"/>
  <c r="BF80" i="67" s="1"/>
  <c r="AU56" i="67"/>
  <c r="AW56" i="67" s="1"/>
  <c r="BD88" i="73"/>
  <c r="BD88" i="71"/>
  <c r="BF88" i="71" s="1"/>
  <c r="BD88" i="70"/>
  <c r="BF88" i="70" s="1"/>
  <c r="BD88" i="67"/>
  <c r="BD93" i="1"/>
  <c r="BD95" i="73"/>
  <c r="BE95" i="73" s="1"/>
  <c r="BD95" i="66"/>
  <c r="BF95" i="66" s="1"/>
  <c r="BD95" i="1"/>
  <c r="BE95" i="1" s="1"/>
  <c r="BD84" i="76"/>
  <c r="BD84" i="75"/>
  <c r="BF84" i="75" s="1"/>
  <c r="BD110" i="74"/>
  <c r="BF110" i="74" s="1"/>
  <c r="BD110" i="73"/>
  <c r="BF110" i="73" s="1"/>
  <c r="BD110" i="70"/>
  <c r="BE110" i="70" s="1"/>
  <c r="BD110" i="71"/>
  <c r="BE110" i="71" s="1"/>
  <c r="BD84" i="69"/>
  <c r="BF84" i="69" s="1"/>
  <c r="BD110" i="1"/>
  <c r="BF110" i="1" s="1"/>
  <c r="BD110" i="67"/>
  <c r="BD85" i="68"/>
  <c r="BE85" i="68" s="1"/>
  <c r="BD110" i="66"/>
  <c r="BD87" i="76"/>
  <c r="BD113" i="73"/>
  <c r="BD113" i="1"/>
  <c r="BE113" i="1" s="1"/>
  <c r="BD94" i="75"/>
  <c r="BE94" i="75" s="1"/>
  <c r="BD120" i="71"/>
  <c r="BD28" i="75"/>
  <c r="BE28" i="75" s="1"/>
  <c r="AU56" i="69"/>
  <c r="AW56" i="69" s="1"/>
  <c r="BD78" i="75"/>
  <c r="BE78" i="75" s="1"/>
  <c r="BD100" i="74"/>
  <c r="BD100" i="73"/>
  <c r="BD100" i="70"/>
  <c r="BE100" i="70" s="1"/>
  <c r="BD100" i="71"/>
  <c r="BD109" i="70"/>
  <c r="BE109" i="70" s="1"/>
  <c r="BD57" i="77"/>
  <c r="BD115" i="74"/>
  <c r="BF115" i="74" s="1"/>
  <c r="BD25" i="76"/>
  <c r="BF25" i="76" s="1"/>
  <c r="BD25" i="75"/>
  <c r="AU15" i="75"/>
  <c r="BD108" i="66"/>
  <c r="BD90" i="69"/>
  <c r="BD25" i="69"/>
  <c r="BF25" i="69" s="1"/>
  <c r="BD28" i="69"/>
  <c r="BE28" i="69" s="1"/>
  <c r="BD111" i="74"/>
  <c r="BE111" i="74" s="1"/>
  <c r="BD121" i="74"/>
  <c r="BE121" i="74" s="1"/>
  <c r="AU19" i="76"/>
  <c r="BD115" i="67"/>
  <c r="BF115" i="67" s="1"/>
  <c r="BD112" i="66"/>
  <c r="BD78" i="69"/>
  <c r="BD94" i="69"/>
  <c r="BE94" i="69" s="1"/>
  <c r="BD95" i="69"/>
  <c r="AU67" i="73"/>
  <c r="AV67" i="73" s="1"/>
  <c r="AU67" i="74"/>
  <c r="AW67" i="74" s="1"/>
  <c r="AU67" i="70"/>
  <c r="AU39" i="77"/>
  <c r="AV39" i="77" s="1"/>
  <c r="AU70" i="74"/>
  <c r="AV70" i="74" s="1"/>
  <c r="BD106" i="73"/>
  <c r="BD108" i="73"/>
  <c r="BD108" i="74"/>
  <c r="BE108" i="74" s="1"/>
  <c r="BD108" i="71"/>
  <c r="BE108" i="71" s="1"/>
  <c r="BD108" i="70"/>
  <c r="BD61" i="77"/>
  <c r="BD116" i="74"/>
  <c r="BE116" i="74" s="1"/>
  <c r="BD112" i="67"/>
  <c r="BF112" i="67" s="1"/>
  <c r="BD100" i="66"/>
  <c r="BD79" i="68"/>
  <c r="BD91" i="68"/>
  <c r="AU15" i="69"/>
  <c r="AW15" i="69" s="1"/>
  <c r="AU18" i="69"/>
  <c r="AV18" i="69" s="1"/>
  <c r="BH51" i="77"/>
  <c r="BK21" i="77"/>
  <c r="BB29" i="65"/>
  <c r="BB28" i="65"/>
  <c r="BB9" i="77"/>
  <c r="BB14" i="77"/>
  <c r="BB29" i="77"/>
  <c r="BB19" i="77"/>
  <c r="BH35" i="77"/>
  <c r="BH57" i="77"/>
  <c r="BK106" i="76"/>
  <c r="BB88" i="76"/>
  <c r="BB90" i="76"/>
  <c r="BB92" i="76"/>
  <c r="BH50" i="76"/>
  <c r="BH73" i="76"/>
  <c r="BH74" i="76"/>
  <c r="BH49" i="76"/>
  <c r="BH69" i="76"/>
  <c r="BK103" i="76"/>
  <c r="BB87" i="76"/>
  <c r="BB89" i="76"/>
  <c r="BB91" i="76"/>
  <c r="BK56" i="77"/>
  <c r="BH74" i="81"/>
  <c r="BH68" i="80"/>
  <c r="BD96" i="1"/>
  <c r="C323" i="2"/>
  <c r="D323" i="2"/>
  <c r="L323" i="2"/>
  <c r="E323" i="2"/>
  <c r="D331" i="2"/>
  <c r="C348" i="2"/>
  <c r="K348" i="2"/>
  <c r="E356" i="2"/>
  <c r="K221" i="2"/>
  <c r="E221" i="2"/>
  <c r="D289" i="2"/>
  <c r="K298" i="2"/>
  <c r="C304" i="2"/>
  <c r="AU54" i="1"/>
  <c r="D320" i="2"/>
  <c r="E320" i="2"/>
  <c r="K345" i="2"/>
  <c r="C345" i="2"/>
  <c r="D238" i="2"/>
  <c r="L247" i="2"/>
  <c r="BD61" i="1"/>
  <c r="E339" i="2"/>
  <c r="L339" i="2"/>
  <c r="C339" i="2"/>
  <c r="E289" i="2"/>
  <c r="L294" i="2"/>
  <c r="L298" i="2"/>
  <c r="C298" i="2"/>
  <c r="K286" i="2"/>
  <c r="BD59" i="1"/>
  <c r="BF59" i="1" s="1"/>
  <c r="BD112" i="1"/>
  <c r="BE112" i="1" s="1"/>
  <c r="C347" i="2"/>
  <c r="BD90" i="68"/>
  <c r="E350" i="2"/>
  <c r="BD50" i="1"/>
  <c r="BE50" i="1" s="1"/>
  <c r="D257" i="2"/>
  <c r="BD92" i="1"/>
  <c r="E319" i="2"/>
  <c r="K319" i="2"/>
  <c r="C319" i="2"/>
  <c r="D319" i="2"/>
  <c r="L324" i="2"/>
  <c r="L261" i="2"/>
  <c r="K240" i="2"/>
  <c r="L203" i="2"/>
  <c r="K203" i="2"/>
  <c r="K295" i="2"/>
  <c r="C273" i="2"/>
  <c r="K331" i="2"/>
  <c r="D298" i="2"/>
  <c r="E285" i="2"/>
  <c r="C282" i="2"/>
  <c r="K245" i="2"/>
  <c r="E240" i="2"/>
  <c r="C203" i="2"/>
  <c r="E299" i="2"/>
  <c r="L295" i="2"/>
  <c r="K351" i="2"/>
  <c r="E304" i="2"/>
  <c r="E271" i="2"/>
  <c r="C240" i="2"/>
  <c r="L240" i="2"/>
  <c r="D299" i="2"/>
  <c r="C295" i="2"/>
  <c r="L351" i="2"/>
  <c r="K285" i="2"/>
  <c r="AU39" i="78"/>
  <c r="BD39" i="81"/>
  <c r="BD47" i="80"/>
  <c r="BD59" i="78"/>
  <c r="BD33" i="82"/>
  <c r="BD43" i="81"/>
  <c r="BD51" i="80"/>
  <c r="BE51" i="80" s="1"/>
  <c r="BD63" i="78"/>
  <c r="BE63" i="78" s="1"/>
  <c r="BD36" i="82"/>
  <c r="AU37" i="81"/>
  <c r="BD51" i="82"/>
  <c r="BD81" i="78"/>
  <c r="BF81" i="78" s="1"/>
  <c r="BD63" i="81"/>
  <c r="AU42" i="81"/>
  <c r="AU52" i="78"/>
  <c r="AV52" i="78" s="1"/>
  <c r="BD58" i="82"/>
  <c r="BD72" i="81"/>
  <c r="BF72" i="81" s="1"/>
  <c r="BD76" i="80"/>
  <c r="BD92" i="78"/>
  <c r="BD29" i="82"/>
  <c r="AU19" i="82"/>
  <c r="BD25" i="82"/>
  <c r="AU15" i="82"/>
  <c r="AV15" i="82" s="1"/>
  <c r="BD25" i="81"/>
  <c r="BF25" i="81" s="1"/>
  <c r="BD21" i="82"/>
  <c r="BE21" i="82" s="1"/>
  <c r="BD37" i="80"/>
  <c r="BD45" i="78"/>
  <c r="AU21" i="82"/>
  <c r="AV21" i="82" s="1"/>
  <c r="AU27" i="81"/>
  <c r="AV27" i="81" s="1"/>
  <c r="AU30" i="80"/>
  <c r="AU37" i="78"/>
  <c r="AU33" i="80"/>
  <c r="AW33" i="80" s="1"/>
  <c r="AU29" i="82"/>
  <c r="BD44" i="82"/>
  <c r="AU36" i="82"/>
  <c r="AU44" i="81"/>
  <c r="AU45" i="80"/>
  <c r="AU54" i="78"/>
  <c r="AV54" i="78" s="1"/>
  <c r="AU38" i="82"/>
  <c r="AV38" i="82" s="1"/>
  <c r="AU47" i="80"/>
  <c r="BD65" i="81"/>
  <c r="BD85" i="78"/>
  <c r="BF85" i="78" s="1"/>
  <c r="BD75" i="81"/>
  <c r="BD61" i="82"/>
  <c r="BE61" i="82" s="1"/>
  <c r="BD79" i="80"/>
  <c r="BD95" i="78"/>
  <c r="BD77" i="81"/>
  <c r="BF77" i="81" s="1"/>
  <c r="BD63" i="82"/>
  <c r="BD81" i="80"/>
  <c r="BD97" i="78"/>
  <c r="BD48" i="80"/>
  <c r="BD42" i="81"/>
  <c r="BE42" i="81" s="1"/>
  <c r="BD72" i="78"/>
  <c r="BE72" i="78" s="1"/>
  <c r="AU30" i="82"/>
  <c r="AU36" i="81"/>
  <c r="AW36" i="81" s="1"/>
  <c r="AU39" i="80"/>
  <c r="AU46" i="78"/>
  <c r="AV46" i="78" s="1"/>
  <c r="AU40" i="81"/>
  <c r="AU50" i="78"/>
  <c r="AV50" i="78" s="1"/>
  <c r="BD57" i="82"/>
  <c r="BD75" i="80"/>
  <c r="BD71" i="81"/>
  <c r="BF71" i="81" s="1"/>
  <c r="BD91" i="78"/>
  <c r="BF91" i="78" s="1"/>
  <c r="BD59" i="82"/>
  <c r="BD73" i="81"/>
  <c r="BD77" i="80"/>
  <c r="BD93" i="78"/>
  <c r="BE93" i="78" s="1"/>
  <c r="AU22" i="82"/>
  <c r="AU28" i="81"/>
  <c r="AU31" i="80"/>
  <c r="AU38" i="78"/>
  <c r="AU25" i="82"/>
  <c r="AU31" i="81"/>
  <c r="AU34" i="80"/>
  <c r="AW34" i="80" s="1"/>
  <c r="AU41" i="78"/>
  <c r="BD52" i="80"/>
  <c r="BD55" i="80"/>
  <c r="BD37" i="82"/>
  <c r="BD47" i="81"/>
  <c r="BF47" i="81" s="1"/>
  <c r="BD67" i="78"/>
  <c r="BD41" i="82"/>
  <c r="BE41" i="82" s="1"/>
  <c r="BD51" i="81"/>
  <c r="BF51" i="81" s="1"/>
  <c r="BD71" i="78"/>
  <c r="BE71" i="78" s="1"/>
  <c r="BD55" i="81"/>
  <c r="BD45" i="82"/>
  <c r="BF45" i="82" s="1"/>
  <c r="BD63" i="80"/>
  <c r="BD75" i="78"/>
  <c r="BD47" i="82"/>
  <c r="BD65" i="80"/>
  <c r="BF65" i="80" s="1"/>
  <c r="BD77" i="78"/>
  <c r="BD79" i="78"/>
  <c r="BF79" i="78" s="1"/>
  <c r="AU35" i="82"/>
  <c r="AU43" i="81"/>
  <c r="AU44" i="80"/>
  <c r="AW44" i="80" s="1"/>
  <c r="AU53" i="78"/>
  <c r="AU47" i="81"/>
  <c r="AU39" i="82"/>
  <c r="AU48" i="80"/>
  <c r="AU57" i="78"/>
  <c r="BD68" i="81"/>
  <c r="BD72" i="80"/>
  <c r="BF72" i="80" s="1"/>
  <c r="BD88" i="78"/>
  <c r="BD76" i="81"/>
  <c r="BD62" i="82"/>
  <c r="BD80" i="80"/>
  <c r="BD96" i="78"/>
  <c r="BE96" i="78" s="1"/>
  <c r="BD80" i="81"/>
  <c r="BF80" i="81" s="1"/>
  <c r="BD66" i="82"/>
  <c r="BD84" i="80"/>
  <c r="BD100" i="78"/>
  <c r="BF100" i="78" s="1"/>
  <c r="BD28" i="82"/>
  <c r="AU18" i="82"/>
  <c r="BB20" i="65"/>
  <c r="BB22" i="65"/>
  <c r="AZ13" i="65"/>
  <c r="D322" i="2"/>
  <c r="C344" i="2"/>
  <c r="K322" i="2"/>
  <c r="K333" i="2"/>
  <c r="D295" i="2"/>
  <c r="B228" i="2"/>
  <c r="K228" i="2" s="1"/>
  <c r="BD130" i="70"/>
  <c r="BE130" i="70" s="1"/>
  <c r="BD104" i="76"/>
  <c r="BD130" i="73"/>
  <c r="BD37" i="73"/>
  <c r="C236" i="2"/>
  <c r="BD37" i="67"/>
  <c r="BD37" i="74"/>
  <c r="BD41" i="1"/>
  <c r="BE41" i="1" s="1"/>
  <c r="BD31" i="76"/>
  <c r="BD41" i="70"/>
  <c r="BD41" i="67"/>
  <c r="BD31" i="75"/>
  <c r="BE31" i="75" s="1"/>
  <c r="BD41" i="71"/>
  <c r="BD41" i="66"/>
  <c r="BD41" i="74"/>
  <c r="BD31" i="69"/>
  <c r="AU31" i="1"/>
  <c r="AW31" i="1" s="1"/>
  <c r="L245" i="2"/>
  <c r="C245" i="2"/>
  <c r="AU23" i="76"/>
  <c r="AU31" i="73"/>
  <c r="AU23" i="68"/>
  <c r="AU23" i="75"/>
  <c r="AU31" i="71"/>
  <c r="AU31" i="66"/>
  <c r="E245" i="2"/>
  <c r="AU31" i="74"/>
  <c r="AV31" i="74" s="1"/>
  <c r="AU31" i="67"/>
  <c r="AV31" i="67" s="1"/>
  <c r="AU27" i="76"/>
  <c r="AU35" i="71"/>
  <c r="AV35" i="71" s="1"/>
  <c r="AU35" i="66"/>
  <c r="AU27" i="75"/>
  <c r="AW27" i="75" s="1"/>
  <c r="AU35" i="70"/>
  <c r="AU35" i="67"/>
  <c r="K249" i="2"/>
  <c r="E249" i="2"/>
  <c r="AU35" i="74"/>
  <c r="AV35" i="74" s="1"/>
  <c r="AU27" i="69"/>
  <c r="AW27" i="69" s="1"/>
  <c r="BD46" i="73"/>
  <c r="BE46" i="73" s="1"/>
  <c r="BD46" i="67"/>
  <c r="BD50" i="71"/>
  <c r="BD50" i="70"/>
  <c r="BE50" i="70" s="1"/>
  <c r="BD36" i="76"/>
  <c r="BD37" i="68"/>
  <c r="BD40" i="76"/>
  <c r="BD54" i="71"/>
  <c r="BD54" i="66"/>
  <c r="BD40" i="75"/>
  <c r="BD54" i="70"/>
  <c r="BD40" i="69"/>
  <c r="BF40" i="69" s="1"/>
  <c r="BD54" i="74"/>
  <c r="BD54" i="67"/>
  <c r="BF54" i="67" s="1"/>
  <c r="AU32" i="75"/>
  <c r="AU40" i="70"/>
  <c r="AV40" i="70" s="1"/>
  <c r="AU40" i="67"/>
  <c r="AW40" i="67" s="1"/>
  <c r="AU40" i="74"/>
  <c r="AU32" i="68"/>
  <c r="AU22" i="77"/>
  <c r="AU40" i="71"/>
  <c r="AU40" i="66"/>
  <c r="C274" i="2"/>
  <c r="BD62" i="1"/>
  <c r="BD70" i="73"/>
  <c r="BD75" i="1"/>
  <c r="AU42" i="69"/>
  <c r="AU15" i="76"/>
  <c r="D218" i="2"/>
  <c r="BD46" i="1"/>
  <c r="D253" i="2"/>
  <c r="K253" i="2"/>
  <c r="C253" i="2"/>
  <c r="BD46" i="70"/>
  <c r="E253" i="2"/>
  <c r="L253" i="2"/>
  <c r="E257" i="2"/>
  <c r="K257" i="2"/>
  <c r="C257" i="2"/>
  <c r="L257" i="2"/>
  <c r="BD54" i="1"/>
  <c r="D261" i="2"/>
  <c r="C261" i="2"/>
  <c r="E261" i="2"/>
  <c r="BD45" i="68"/>
  <c r="BD44" i="76"/>
  <c r="BD44" i="69"/>
  <c r="BF44" i="69" s="1"/>
  <c r="BD58" i="73"/>
  <c r="AU40" i="1"/>
  <c r="AW40" i="1" s="1"/>
  <c r="C270" i="2"/>
  <c r="E270" i="2"/>
  <c r="K270" i="2"/>
  <c r="D270" i="2"/>
  <c r="L274" i="2"/>
  <c r="K274" i="2"/>
  <c r="BD32" i="77"/>
  <c r="BF32" i="77" s="1"/>
  <c r="BD62" i="74"/>
  <c r="BE62" i="74" s="1"/>
  <c r="BD62" i="66"/>
  <c r="E274" i="2"/>
  <c r="BD48" i="76"/>
  <c r="BF48" i="76" s="1"/>
  <c r="BD62" i="71"/>
  <c r="BD62" i="67"/>
  <c r="BE62" i="67" s="1"/>
  <c r="D274" i="2"/>
  <c r="BD48" i="75"/>
  <c r="BD62" i="70"/>
  <c r="BD49" i="68"/>
  <c r="L278" i="2"/>
  <c r="K287" i="2"/>
  <c r="BD61" i="75"/>
  <c r="BD62" i="68"/>
  <c r="AU39" i="75"/>
  <c r="AU47" i="66"/>
  <c r="BD41" i="77"/>
  <c r="BF41" i="77" s="1"/>
  <c r="AU47" i="67"/>
  <c r="L291" i="2"/>
  <c r="AU52" i="1"/>
  <c r="AU52" i="67"/>
  <c r="D296" i="2"/>
  <c r="D334" i="2"/>
  <c r="AU68" i="74"/>
  <c r="AU68" i="67"/>
  <c r="AW68" i="67" s="1"/>
  <c r="AU68" i="71"/>
  <c r="AU68" i="1"/>
  <c r="AW68" i="1" s="1"/>
  <c r="C349" i="2"/>
  <c r="K218" i="2"/>
  <c r="E218" i="2"/>
  <c r="C218" i="2"/>
  <c r="L218" i="2"/>
  <c r="BD36" i="69"/>
  <c r="BD50" i="73"/>
  <c r="BD22" i="77"/>
  <c r="BD70" i="74"/>
  <c r="BD46" i="71"/>
  <c r="BF46" i="71" s="1"/>
  <c r="AU68" i="70"/>
  <c r="E48" i="2"/>
  <c r="K48" i="2"/>
  <c r="BD25" i="1"/>
  <c r="BF25" i="1" s="1"/>
  <c r="C48" i="2"/>
  <c r="D48" i="2"/>
  <c r="K233" i="2"/>
  <c r="E233" i="2"/>
  <c r="D233" i="2"/>
  <c r="C233" i="2"/>
  <c r="AU25" i="1"/>
  <c r="AU25" i="67"/>
  <c r="L233" i="2"/>
  <c r="BD38" i="67"/>
  <c r="BD42" i="1"/>
  <c r="L241" i="2"/>
  <c r="BD32" i="75"/>
  <c r="BD42" i="70"/>
  <c r="BD33" i="68"/>
  <c r="D241" i="2"/>
  <c r="K241" i="2"/>
  <c r="C246" i="2"/>
  <c r="L246" i="2"/>
  <c r="AU32" i="1"/>
  <c r="AW32" i="1" s="1"/>
  <c r="K246" i="2"/>
  <c r="E250" i="2"/>
  <c r="BD50" i="66"/>
  <c r="BE50" i="66" s="1"/>
  <c r="BD50" i="74"/>
  <c r="BD70" i="67"/>
  <c r="BD46" i="74"/>
  <c r="BF46" i="74" s="1"/>
  <c r="AU68" i="73"/>
  <c r="BD48" i="69"/>
  <c r="BD58" i="71"/>
  <c r="K261" i="2"/>
  <c r="D278" i="2"/>
  <c r="L270" i="2"/>
  <c r="E336" i="2"/>
  <c r="D240" i="2"/>
  <c r="D333" i="2"/>
  <c r="L333" i="2"/>
  <c r="L315" i="2"/>
  <c r="E295" i="2"/>
  <c r="C351" i="2"/>
  <c r="L344" i="2"/>
  <c r="BD37" i="1"/>
  <c r="C247" i="2"/>
  <c r="L262" i="2"/>
  <c r="C265" i="2"/>
  <c r="D265" i="2"/>
  <c r="L265" i="2"/>
  <c r="K265" i="2"/>
  <c r="L308" i="2"/>
  <c r="C308" i="2"/>
  <c r="K324" i="2"/>
  <c r="C334" i="2"/>
  <c r="K334" i="2"/>
  <c r="L334" i="2"/>
  <c r="E334" i="2"/>
  <c r="C337" i="2"/>
  <c r="K337" i="2"/>
  <c r="D337" i="2"/>
  <c r="E337" i="2"/>
  <c r="AU46" i="68"/>
  <c r="AW46" i="68" s="1"/>
  <c r="AU58" i="71"/>
  <c r="AU46" i="75"/>
  <c r="AW46" i="75" s="1"/>
  <c r="BD58" i="66"/>
  <c r="BD58" i="74"/>
  <c r="BE58" i="74" s="1"/>
  <c r="AU33" i="67"/>
  <c r="AW33" i="67" s="1"/>
  <c r="D236" i="2"/>
  <c r="D324" i="2"/>
  <c r="C234" i="2"/>
  <c r="AU26" i="1"/>
  <c r="D306" i="2"/>
  <c r="L306" i="2"/>
  <c r="BD59" i="80"/>
  <c r="K262" i="2"/>
  <c r="D203" i="2"/>
  <c r="E203" i="2"/>
  <c r="BD51" i="1"/>
  <c r="L258" i="2"/>
  <c r="C258" i="2"/>
  <c r="K258" i="2"/>
  <c r="BD91" i="1"/>
  <c r="C318" i="2"/>
  <c r="AU58" i="66"/>
  <c r="AW58" i="66" s="1"/>
  <c r="AU58" i="73"/>
  <c r="AU46" i="76"/>
  <c r="AV46" i="76" s="1"/>
  <c r="BD58" i="67"/>
  <c r="BD58" i="70"/>
  <c r="BD44" i="75"/>
  <c r="BE44" i="75" s="1"/>
  <c r="AU33" i="71"/>
  <c r="AW33" i="71" s="1"/>
  <c r="E236" i="2"/>
  <c r="K236" i="2"/>
  <c r="K308" i="2"/>
  <c r="D308" i="2"/>
  <c r="K247" i="2"/>
  <c r="L236" i="2"/>
  <c r="L337" i="2"/>
  <c r="L249" i="2"/>
  <c r="C249" i="2"/>
  <c r="D249" i="2"/>
  <c r="AU61" i="1"/>
  <c r="AV61" i="1" s="1"/>
  <c r="C311" i="2"/>
  <c r="D311" i="2"/>
  <c r="L311" i="2"/>
  <c r="E311" i="2"/>
  <c r="AU60" i="68"/>
  <c r="AV60" i="68" s="1"/>
  <c r="D341" i="2"/>
  <c r="BD21" i="76"/>
  <c r="BF21" i="76" s="1"/>
  <c r="BD25" i="71"/>
  <c r="BF25" i="71" s="1"/>
  <c r="BD25" i="70"/>
  <c r="L48" i="2"/>
  <c r="BD21" i="75"/>
  <c r="BD25" i="66"/>
  <c r="BE25" i="66" s="1"/>
  <c r="BD25" i="67"/>
  <c r="BF25" i="67" s="1"/>
  <c r="BD25" i="74"/>
  <c r="BD21" i="69"/>
  <c r="BE21" i="69" s="1"/>
  <c r="AU25" i="74"/>
  <c r="AU25" i="73"/>
  <c r="AU25" i="70"/>
  <c r="BD38" i="70"/>
  <c r="BD38" i="73"/>
  <c r="C241" i="2"/>
  <c r="BD42" i="73"/>
  <c r="BD42" i="66"/>
  <c r="BF42" i="66" s="1"/>
  <c r="BD42" i="71"/>
  <c r="BD32" i="76"/>
  <c r="BD32" i="69"/>
  <c r="BF32" i="69" s="1"/>
  <c r="D246" i="2"/>
  <c r="AU15" i="77"/>
  <c r="AU32" i="73"/>
  <c r="AU32" i="66"/>
  <c r="E246" i="2"/>
  <c r="AU24" i="76"/>
  <c r="AU32" i="70"/>
  <c r="AU24" i="68"/>
  <c r="AU24" i="75"/>
  <c r="AU32" i="71"/>
  <c r="AV32" i="71" s="1"/>
  <c r="AU32" i="67"/>
  <c r="BD82" i="66"/>
  <c r="BD82" i="71"/>
  <c r="BF82" i="71" s="1"/>
  <c r="BD82" i="67"/>
  <c r="BD64" i="69"/>
  <c r="BF64" i="69" s="1"/>
  <c r="C306" i="2"/>
  <c r="E306" i="2"/>
  <c r="AU56" i="73"/>
  <c r="AW56" i="73" s="1"/>
  <c r="AU56" i="66"/>
  <c r="AW56" i="66" s="1"/>
  <c r="K306" i="2"/>
  <c r="AU56" i="74"/>
  <c r="AV56" i="74" s="1"/>
  <c r="AU44" i="69"/>
  <c r="AU56" i="1"/>
  <c r="AU44" i="76"/>
  <c r="AU56" i="71"/>
  <c r="AV56" i="71" s="1"/>
  <c r="AU44" i="68"/>
  <c r="AU48" i="75"/>
  <c r="AU48" i="68"/>
  <c r="AU60" i="1"/>
  <c r="AW60" i="1" s="1"/>
  <c r="E310" i="2"/>
  <c r="AU60" i="73"/>
  <c r="AU60" i="66"/>
  <c r="K310" i="2"/>
  <c r="L310" i="2"/>
  <c r="AU33" i="77"/>
  <c r="AU60" i="70"/>
  <c r="AU60" i="67"/>
  <c r="BD87" i="73"/>
  <c r="BD69" i="75"/>
  <c r="BE69" i="75" s="1"/>
  <c r="BD91" i="71"/>
  <c r="BD91" i="66"/>
  <c r="BD91" i="74"/>
  <c r="BD70" i="68"/>
  <c r="BE70" i="68" s="1"/>
  <c r="L318" i="2"/>
  <c r="E318" i="2"/>
  <c r="BD44" i="77"/>
  <c r="BD91" i="73"/>
  <c r="BD91" i="67"/>
  <c r="BD73" i="76"/>
  <c r="BD95" i="74"/>
  <c r="BD73" i="69"/>
  <c r="BD48" i="77"/>
  <c r="BD95" i="70"/>
  <c r="BD74" i="68"/>
  <c r="BD73" i="75"/>
  <c r="BD95" i="71"/>
  <c r="BD95" i="67"/>
  <c r="D326" i="2"/>
  <c r="BD77" i="76"/>
  <c r="BF77" i="76" s="1"/>
  <c r="BD99" i="74"/>
  <c r="L326" i="2"/>
  <c r="K326" i="2"/>
  <c r="BD99" i="66"/>
  <c r="L331" i="2"/>
  <c r="BD82" i="76"/>
  <c r="AU65" i="74"/>
  <c r="AU65" i="70"/>
  <c r="AW65" i="70" s="1"/>
  <c r="AU53" i="68"/>
  <c r="AU37" i="77"/>
  <c r="AV37" i="77" s="1"/>
  <c r="BD104" i="74"/>
  <c r="BD104" i="71"/>
  <c r="AU53" i="69"/>
  <c r="AV53" i="69" s="1"/>
  <c r="AU65" i="1"/>
  <c r="BD82" i="75"/>
  <c r="BD104" i="73"/>
  <c r="BD104" i="66"/>
  <c r="BD104" i="67"/>
  <c r="AU70" i="66"/>
  <c r="L336" i="2"/>
  <c r="D336" i="2"/>
  <c r="AU56" i="76"/>
  <c r="AU70" i="70"/>
  <c r="AW70" i="70" s="1"/>
  <c r="C336" i="2"/>
  <c r="AU56" i="75"/>
  <c r="AV56" i="75" s="1"/>
  <c r="AU70" i="71"/>
  <c r="AU70" i="67"/>
  <c r="AV70" i="67" s="1"/>
  <c r="AU70" i="1"/>
  <c r="AU56" i="68"/>
  <c r="AU70" i="73"/>
  <c r="AU74" i="1"/>
  <c r="AU60" i="75"/>
  <c r="AW60" i="75" s="1"/>
  <c r="AU74" i="74"/>
  <c r="E340" i="2"/>
  <c r="AU74" i="73"/>
  <c r="BD109" i="67"/>
  <c r="BD109" i="71"/>
  <c r="BF109" i="71" s="1"/>
  <c r="BD109" i="1"/>
  <c r="BE109" i="1" s="1"/>
  <c r="BD109" i="74"/>
  <c r="BD109" i="66"/>
  <c r="BD109" i="73"/>
  <c r="D348" i="2"/>
  <c r="BD87" i="75"/>
  <c r="BE87" i="75" s="1"/>
  <c r="BD113" i="71"/>
  <c r="BD113" i="67"/>
  <c r="BD58" i="77"/>
  <c r="BD113" i="70"/>
  <c r="BD87" i="69"/>
  <c r="BD113" i="74"/>
  <c r="BE113" i="74" s="1"/>
  <c r="BD113" i="66"/>
  <c r="BD88" i="68"/>
  <c r="BD117" i="74"/>
  <c r="BD117" i="66"/>
  <c r="BD62" i="77"/>
  <c r="D352" i="2"/>
  <c r="L352" i="2"/>
  <c r="BD91" i="76"/>
  <c r="BD117" i="70"/>
  <c r="BD92" i="68"/>
  <c r="BF92" i="68" s="1"/>
  <c r="BD91" i="69"/>
  <c r="BD95" i="75"/>
  <c r="BD121" i="71"/>
  <c r="BD121" i="67"/>
  <c r="BE121" i="67" s="1"/>
  <c r="BD95" i="76"/>
  <c r="BD121" i="70"/>
  <c r="BE121" i="70" s="1"/>
  <c r="BD121" i="66"/>
  <c r="BD121" i="1"/>
  <c r="BF121" i="1" s="1"/>
  <c r="K356" i="2"/>
  <c r="BD121" i="73"/>
  <c r="BD96" i="68"/>
  <c r="BD29" i="75"/>
  <c r="L222" i="2"/>
  <c r="AU19" i="75"/>
  <c r="BD29" i="76"/>
  <c r="BD29" i="69"/>
  <c r="E241" i="2"/>
  <c r="BD53" i="1"/>
  <c r="E260" i="2"/>
  <c r="D260" i="2"/>
  <c r="BD39" i="76"/>
  <c r="BF39" i="76" s="1"/>
  <c r="BD53" i="70"/>
  <c r="BD53" i="66"/>
  <c r="BE53" i="66" s="1"/>
  <c r="BD53" i="74"/>
  <c r="BD39" i="69"/>
  <c r="C260" i="2"/>
  <c r="BD25" i="77"/>
  <c r="BD53" i="73"/>
  <c r="BD53" i="67"/>
  <c r="AU31" i="76"/>
  <c r="AW31" i="76" s="1"/>
  <c r="AU39" i="70"/>
  <c r="AU39" i="66"/>
  <c r="AU31" i="75"/>
  <c r="AU39" i="73"/>
  <c r="AU31" i="68"/>
  <c r="AW31" i="68" s="1"/>
  <c r="AU39" i="74"/>
  <c r="AU31" i="69"/>
  <c r="AV31" i="69" s="1"/>
  <c r="BD69" i="74"/>
  <c r="BD55" i="69"/>
  <c r="BE55" i="69" s="1"/>
  <c r="D281" i="2"/>
  <c r="BD69" i="73"/>
  <c r="BD69" i="67"/>
  <c r="C281" i="2"/>
  <c r="K281" i="2"/>
  <c r="BD55" i="76"/>
  <c r="BD69" i="70"/>
  <c r="E248" i="2"/>
  <c r="BD82" i="78"/>
  <c r="BD32" i="82"/>
  <c r="BD54" i="81"/>
  <c r="AU35" i="81"/>
  <c r="AV35" i="81" s="1"/>
  <c r="AU24" i="82"/>
  <c r="BD66" i="78"/>
  <c r="D286" i="2"/>
  <c r="AU46" i="1"/>
  <c r="C269" i="2"/>
  <c r="BD74" i="66"/>
  <c r="AU39" i="67"/>
  <c r="AV39" i="67" s="1"/>
  <c r="BD47" i="75"/>
  <c r="BE47" i="75" s="1"/>
  <c r="L260" i="2"/>
  <c r="L248" i="2"/>
  <c r="AU26" i="75"/>
  <c r="AU34" i="71"/>
  <c r="AU26" i="68"/>
  <c r="AW26" i="68" s="1"/>
  <c r="AU34" i="74"/>
  <c r="AW34" i="74" s="1"/>
  <c r="AU26" i="69"/>
  <c r="AU17" i="77"/>
  <c r="AU34" i="73"/>
  <c r="AV34" i="73" s="1"/>
  <c r="AU34" i="67"/>
  <c r="AV34" i="67" s="1"/>
  <c r="E256" i="2"/>
  <c r="C256" i="2"/>
  <c r="D256" i="2"/>
  <c r="BD35" i="76"/>
  <c r="BF35" i="76" s="1"/>
  <c r="BD49" i="70"/>
  <c r="BD49" i="66"/>
  <c r="BE49" i="66" s="1"/>
  <c r="L256" i="2"/>
  <c r="BD49" i="74"/>
  <c r="BD35" i="69"/>
  <c r="BD49" i="1"/>
  <c r="BD49" i="73"/>
  <c r="BD49" i="67"/>
  <c r="BF49" i="67" s="1"/>
  <c r="K273" i="2"/>
  <c r="BD61" i="74"/>
  <c r="BD48" i="68"/>
  <c r="BD47" i="76"/>
  <c r="BE47" i="76" s="1"/>
  <c r="BD61" i="73"/>
  <c r="BE61" i="73" s="1"/>
  <c r="BD61" i="66"/>
  <c r="BE61" i="66" s="1"/>
  <c r="E273" i="2"/>
  <c r="BD31" i="77"/>
  <c r="BE31" i="77" s="1"/>
  <c r="BD61" i="71"/>
  <c r="BD47" i="69"/>
  <c r="BD60" i="75"/>
  <c r="BD74" i="74"/>
  <c r="AU46" i="71"/>
  <c r="AV46" i="71" s="1"/>
  <c r="BD61" i="68"/>
  <c r="BD74" i="67"/>
  <c r="BD40" i="77"/>
  <c r="BE40" i="77" s="1"/>
  <c r="AU38" i="75"/>
  <c r="AU46" i="74"/>
  <c r="BD74" i="70"/>
  <c r="BF74" i="70" s="1"/>
  <c r="AU46" i="66"/>
  <c r="AU46" i="67"/>
  <c r="AU38" i="76"/>
  <c r="AU26" i="77"/>
  <c r="AV26" i="77" s="1"/>
  <c r="AU46" i="73"/>
  <c r="AU46" i="70"/>
  <c r="BD60" i="69"/>
  <c r="AU38" i="68"/>
  <c r="BD52" i="82"/>
  <c r="BD62" i="78"/>
  <c r="BD74" i="78"/>
  <c r="BE74" i="78" s="1"/>
  <c r="AU45" i="78"/>
  <c r="AU30" i="81"/>
  <c r="BD46" i="81"/>
  <c r="D248" i="2"/>
  <c r="C286" i="2"/>
  <c r="L286" i="2"/>
  <c r="L269" i="2"/>
  <c r="AU39" i="1"/>
  <c r="AV39" i="1" s="1"/>
  <c r="BD56" i="68"/>
  <c r="AU38" i="69"/>
  <c r="AU39" i="71"/>
  <c r="BD40" i="68"/>
  <c r="BF40" i="68" s="1"/>
  <c r="AU34" i="66"/>
  <c r="BD36" i="68"/>
  <c r="BF36" i="68" s="1"/>
  <c r="L273" i="2"/>
  <c r="D273" i="2"/>
  <c r="E269" i="2"/>
  <c r="K260" i="2"/>
  <c r="BD62" i="81"/>
  <c r="BD50" i="81"/>
  <c r="BD50" i="80"/>
  <c r="BF50" i="80" s="1"/>
  <c r="BD62" i="80"/>
  <c r="AU38" i="80"/>
  <c r="AV38" i="80" s="1"/>
  <c r="AU40" i="78"/>
  <c r="AW40" i="78" s="1"/>
  <c r="BD54" i="80"/>
  <c r="E286" i="2"/>
  <c r="K269" i="2"/>
  <c r="BD55" i="75"/>
  <c r="BD74" i="71"/>
  <c r="AU21" i="77"/>
  <c r="BD61" i="67"/>
  <c r="BE61" i="67" s="1"/>
  <c r="BD53" i="71"/>
  <c r="AU34" i="70"/>
  <c r="AW34" i="70" s="1"/>
  <c r="BD49" i="71"/>
  <c r="BD111" i="73"/>
  <c r="BD115" i="66"/>
  <c r="BD115" i="71"/>
  <c r="BD89" i="75"/>
  <c r="AU18" i="76"/>
  <c r="AW18" i="76" s="1"/>
  <c r="AU14" i="76"/>
  <c r="AU58" i="1"/>
  <c r="BD80" i="71"/>
  <c r="BD97" i="66"/>
  <c r="BD50" i="77"/>
  <c r="AU51" i="66"/>
  <c r="AW51" i="66" s="1"/>
  <c r="BD93" i="67"/>
  <c r="BD71" i="76"/>
  <c r="AU58" i="70"/>
  <c r="AW58" i="70" s="1"/>
  <c r="BD115" i="1"/>
  <c r="C350" i="2"/>
  <c r="D350" i="2"/>
  <c r="L221" i="2"/>
  <c r="BD89" i="69"/>
  <c r="BD111" i="70"/>
  <c r="BD85" i="76"/>
  <c r="BF85" i="76" s="1"/>
  <c r="BD115" i="70"/>
  <c r="BD89" i="76"/>
  <c r="BE89" i="76" s="1"/>
  <c r="BD28" i="76"/>
  <c r="BD24" i="76"/>
  <c r="BE24" i="76" s="1"/>
  <c r="BD80" i="70"/>
  <c r="BF80" i="70" s="1"/>
  <c r="BD97" i="71"/>
  <c r="BD75" i="75"/>
  <c r="AU51" i="70"/>
  <c r="BD72" i="68"/>
  <c r="BD85" i="67"/>
  <c r="L346" i="2"/>
  <c r="C346" i="2"/>
  <c r="E217" i="2"/>
  <c r="BD86" i="68"/>
  <c r="AU14" i="69"/>
  <c r="BD85" i="69"/>
  <c r="BD111" i="71"/>
  <c r="BD85" i="75"/>
  <c r="BE85" i="75" s="1"/>
  <c r="BD111" i="67"/>
  <c r="BD115" i="73"/>
  <c r="BF115" i="73" s="1"/>
  <c r="BD60" i="77"/>
  <c r="BD111" i="1"/>
  <c r="AU14" i="75"/>
  <c r="BD85" i="1"/>
  <c r="BE85" i="1" s="1"/>
  <c r="BD80" i="66"/>
  <c r="BD80" i="74"/>
  <c r="BD75" i="69"/>
  <c r="BE75" i="69" s="1"/>
  <c r="BD97" i="70"/>
  <c r="BF97" i="70" s="1"/>
  <c r="AU51" i="74"/>
  <c r="AW51" i="74" s="1"/>
  <c r="BD85" i="74"/>
  <c r="K350" i="2"/>
  <c r="C248" i="2"/>
  <c r="L370" i="2"/>
  <c r="E370" i="2"/>
  <c r="K370" i="2"/>
  <c r="D370" i="2"/>
  <c r="H791" i="7"/>
  <c r="H125" i="7"/>
  <c r="H524" i="7"/>
  <c r="H359" i="7"/>
  <c r="H105" i="7"/>
  <c r="H298" i="7"/>
  <c r="H982" i="7"/>
  <c r="H323" i="7"/>
  <c r="H703" i="7"/>
  <c r="H124" i="7"/>
  <c r="H1021" i="7"/>
  <c r="C370" i="2"/>
  <c r="H307" i="7"/>
  <c r="H898" i="7"/>
  <c r="K346" i="2"/>
  <c r="BD111" i="66"/>
  <c r="K344" i="2"/>
  <c r="E344" i="2"/>
  <c r="D234" i="2"/>
  <c r="AU26" i="70"/>
  <c r="L234" i="2"/>
  <c r="K234" i="2"/>
  <c r="AU26" i="74"/>
  <c r="AU26" i="66"/>
  <c r="AV26" i="66" s="1"/>
  <c r="AU26" i="73"/>
  <c r="AU26" i="67"/>
  <c r="AU26" i="71"/>
  <c r="E234" i="2"/>
  <c r="K238" i="2"/>
  <c r="BD39" i="74"/>
  <c r="BF39" i="74" s="1"/>
  <c r="BD39" i="66"/>
  <c r="BE39" i="66" s="1"/>
  <c r="L238" i="2"/>
  <c r="BD39" i="71"/>
  <c r="BD39" i="67"/>
  <c r="E238" i="2"/>
  <c r="BD39" i="70"/>
  <c r="BD39" i="1"/>
  <c r="C238" i="2"/>
  <c r="E243" i="2"/>
  <c r="AU29" i="74"/>
  <c r="AU25" i="81"/>
  <c r="C243" i="2"/>
  <c r="AU29" i="73"/>
  <c r="K243" i="2"/>
  <c r="AU29" i="67"/>
  <c r="AW29" i="67" s="1"/>
  <c r="D243" i="2"/>
  <c r="AU29" i="1"/>
  <c r="AU35" i="78"/>
  <c r="AW35" i="78" s="1"/>
  <c r="AU29" i="70"/>
  <c r="AV29" i="70" s="1"/>
  <c r="L243" i="2"/>
  <c r="AU33" i="73"/>
  <c r="AU25" i="69"/>
  <c r="AU33" i="70"/>
  <c r="AU33" i="74"/>
  <c r="AU33" i="1"/>
  <c r="AU32" i="80"/>
  <c r="AV32" i="80" s="1"/>
  <c r="AU25" i="68"/>
  <c r="D247" i="2"/>
  <c r="AU33" i="66"/>
  <c r="E247" i="2"/>
  <c r="AU25" i="76"/>
  <c r="AV25" i="76" s="1"/>
  <c r="AU23" i="82"/>
  <c r="AU29" i="81"/>
  <c r="AU16" i="77"/>
  <c r="AW16" i="77" s="1"/>
  <c r="AU25" i="75"/>
  <c r="AW25" i="75" s="1"/>
  <c r="D250" i="2"/>
  <c r="AU36" i="70"/>
  <c r="AU28" i="69"/>
  <c r="AW28" i="69" s="1"/>
  <c r="AU42" i="78"/>
  <c r="AV42" i="78" s="1"/>
  <c r="AU28" i="76"/>
  <c r="AU36" i="73"/>
  <c r="AU36" i="67"/>
  <c r="AV36" i="67" s="1"/>
  <c r="K250" i="2"/>
  <c r="AU28" i="75"/>
  <c r="AU36" i="71"/>
  <c r="AU28" i="68"/>
  <c r="AW28" i="68" s="1"/>
  <c r="AU36" i="66"/>
  <c r="C250" i="2"/>
  <c r="AU26" i="82"/>
  <c r="AV26" i="82" s="1"/>
  <c r="AU35" i="80"/>
  <c r="L250" i="2"/>
  <c r="AU36" i="1"/>
  <c r="C254" i="2"/>
  <c r="BD47" i="73"/>
  <c r="BD47" i="67"/>
  <c r="E254" i="2"/>
  <c r="BD47" i="70"/>
  <c r="BF47" i="70" s="1"/>
  <c r="BD47" i="1"/>
  <c r="L254" i="2"/>
  <c r="BD47" i="71"/>
  <c r="BD60" i="78"/>
  <c r="BE60" i="78" s="1"/>
  <c r="BD47" i="74"/>
  <c r="K254" i="2"/>
  <c r="BD47" i="66"/>
  <c r="D254" i="2"/>
  <c r="BD40" i="81"/>
  <c r="BD51" i="70"/>
  <c r="BD23" i="77"/>
  <c r="BD51" i="67"/>
  <c r="BE51" i="67" s="1"/>
  <c r="BD38" i="68"/>
  <c r="BD37" i="75"/>
  <c r="BD64" i="78"/>
  <c r="BD34" i="82"/>
  <c r="BD51" i="73"/>
  <c r="BD44" i="81"/>
  <c r="BF44" i="81" s="1"/>
  <c r="D258" i="2"/>
  <c r="BD41" i="76"/>
  <c r="BD55" i="70"/>
  <c r="BD41" i="69"/>
  <c r="BD27" i="77"/>
  <c r="BD55" i="71"/>
  <c r="BE55" i="71" s="1"/>
  <c r="BD41" i="75"/>
  <c r="BD42" i="68"/>
  <c r="BF42" i="68" s="1"/>
  <c r="BD55" i="74"/>
  <c r="BD55" i="67"/>
  <c r="BF55" i="67" s="1"/>
  <c r="BD68" i="78"/>
  <c r="BE68" i="78" s="1"/>
  <c r="D262" i="2"/>
  <c r="BD55" i="73"/>
  <c r="BD48" i="81"/>
  <c r="BF48" i="81" s="1"/>
  <c r="BD55" i="1"/>
  <c r="C262" i="2"/>
  <c r="BD55" i="66"/>
  <c r="BD56" i="80"/>
  <c r="BE56" i="80" s="1"/>
  <c r="E262" i="2"/>
  <c r="D266" i="2"/>
  <c r="E266" i="2"/>
  <c r="C266" i="2"/>
  <c r="L266" i="2"/>
  <c r="BD59" i="73"/>
  <c r="BD45" i="69"/>
  <c r="BD59" i="74"/>
  <c r="BD59" i="67"/>
  <c r="BF59" i="67" s="1"/>
  <c r="BD45" i="76"/>
  <c r="BD59" i="71"/>
  <c r="BE59" i="71" s="1"/>
  <c r="BD46" i="68"/>
  <c r="BD45" i="75"/>
  <c r="BE45" i="75" s="1"/>
  <c r="BD59" i="70"/>
  <c r="BD42" i="82"/>
  <c r="BE42" i="82" s="1"/>
  <c r="BD59" i="66"/>
  <c r="BD52" i="81"/>
  <c r="BF52" i="81" s="1"/>
  <c r="AU41" i="73"/>
  <c r="D271" i="2"/>
  <c r="AU41" i="71"/>
  <c r="AU47" i="78"/>
  <c r="AU33" i="76"/>
  <c r="AW33" i="76" s="1"/>
  <c r="AU41" i="67"/>
  <c r="AW41" i="67" s="1"/>
  <c r="K271" i="2"/>
  <c r="AU33" i="69"/>
  <c r="AU40" i="80"/>
  <c r="C271" i="2"/>
  <c r="AU31" i="82"/>
  <c r="BD49" i="76"/>
  <c r="BD63" i="73"/>
  <c r="BE63" i="73" s="1"/>
  <c r="BD50" i="68"/>
  <c r="BD63" i="74"/>
  <c r="BD63" i="67"/>
  <c r="C275" i="2"/>
  <c r="BD76" i="78"/>
  <c r="BE76" i="78" s="1"/>
  <c r="BD63" i="70"/>
  <c r="BF63" i="70" s="1"/>
  <c r="BD63" i="66"/>
  <c r="BF63" i="66" s="1"/>
  <c r="BD33" i="77"/>
  <c r="BD63" i="71"/>
  <c r="BE63" i="71" s="1"/>
  <c r="L275" i="2"/>
  <c r="BD56" i="81"/>
  <c r="BD49" i="75"/>
  <c r="BF49" i="75" s="1"/>
  <c r="E275" i="2"/>
  <c r="BD46" i="82"/>
  <c r="BD49" i="69"/>
  <c r="D275" i="2"/>
  <c r="K275" i="2"/>
  <c r="BD64" i="80"/>
  <c r="BF64" i="80" s="1"/>
  <c r="BD52" i="75"/>
  <c r="BF52" i="75" s="1"/>
  <c r="BD49" i="82"/>
  <c r="BD66" i="71"/>
  <c r="BD36" i="77"/>
  <c r="BD66" i="66"/>
  <c r="BD67" i="80"/>
  <c r="BE67" i="80" s="1"/>
  <c r="BD52" i="69"/>
  <c r="K278" i="2"/>
  <c r="BD66" i="70"/>
  <c r="BF66" i="70" s="1"/>
  <c r="BD66" i="74"/>
  <c r="BD53" i="68"/>
  <c r="C278" i="2"/>
  <c r="BD59" i="81"/>
  <c r="BF59" i="81" s="1"/>
  <c r="BD52" i="76"/>
  <c r="BF52" i="76" s="1"/>
  <c r="BD66" i="1"/>
  <c r="BE66" i="1" s="1"/>
  <c r="BD66" i="67"/>
  <c r="BE66" i="67" s="1"/>
  <c r="E278" i="2"/>
  <c r="BD66" i="73"/>
  <c r="BE66" i="73" s="1"/>
  <c r="D282" i="2"/>
  <c r="E282" i="2"/>
  <c r="L282" i="2"/>
  <c r="BD83" i="78"/>
  <c r="BD70" i="70"/>
  <c r="BD56" i="75"/>
  <c r="BD56" i="76"/>
  <c r="BF56" i="76" s="1"/>
  <c r="BD70" i="1"/>
  <c r="BD57" i="68"/>
  <c r="BE57" i="68" s="1"/>
  <c r="K282" i="2"/>
  <c r="BD53" i="82"/>
  <c r="BD56" i="69"/>
  <c r="BD75" i="67"/>
  <c r="L287" i="2"/>
  <c r="BD75" i="74"/>
  <c r="BE75" i="74" s="1"/>
  <c r="E287" i="2"/>
  <c r="AU47" i="73"/>
  <c r="AW47" i="73" s="1"/>
  <c r="D287" i="2"/>
  <c r="AU47" i="74"/>
  <c r="AW47" i="74" s="1"/>
  <c r="AU39" i="69"/>
  <c r="AU39" i="76"/>
  <c r="AU47" i="71"/>
  <c r="AU47" i="70"/>
  <c r="BD75" i="71"/>
  <c r="BD75" i="70"/>
  <c r="BD75" i="73"/>
  <c r="BD61" i="76"/>
  <c r="BE61" i="76" s="1"/>
  <c r="AU39" i="68"/>
  <c r="AU27" i="77"/>
  <c r="BD75" i="66"/>
  <c r="AU47" i="1"/>
  <c r="BD61" i="69"/>
  <c r="BE61" i="69" s="1"/>
  <c r="C287" i="2"/>
  <c r="D291" i="2"/>
  <c r="C291" i="2"/>
  <c r="K291" i="2"/>
  <c r="E291" i="2"/>
  <c r="AU52" i="66"/>
  <c r="AU52" i="74"/>
  <c r="AV52" i="74" s="1"/>
  <c r="C296" i="2"/>
  <c r="AU42" i="68"/>
  <c r="AU52" i="70"/>
  <c r="E296" i="2"/>
  <c r="AU42" i="75"/>
  <c r="L296" i="2"/>
  <c r="AU52" i="71"/>
  <c r="AW52" i="71" s="1"/>
  <c r="AU52" i="73"/>
  <c r="AV52" i="73" s="1"/>
  <c r="K296" i="2"/>
  <c r="AU42" i="76"/>
  <c r="AW42" i="76" s="1"/>
  <c r="AU71" i="74"/>
  <c r="AU57" i="69"/>
  <c r="AU71" i="66"/>
  <c r="AV71" i="66" s="1"/>
  <c r="D356" i="2"/>
  <c r="L356" i="2"/>
  <c r="C356" i="2"/>
  <c r="BD80" i="1"/>
  <c r="L299" i="2"/>
  <c r="E308" i="2"/>
  <c r="AU58" i="67"/>
  <c r="AV58" i="67" s="1"/>
  <c r="AU31" i="77"/>
  <c r="AU46" i="69"/>
  <c r="AV46" i="69" s="1"/>
  <c r="D312" i="2"/>
  <c r="K312" i="2"/>
  <c r="BD85" i="73"/>
  <c r="BD85" i="70"/>
  <c r="BD67" i="76"/>
  <c r="BF67" i="76" s="1"/>
  <c r="K320" i="2"/>
  <c r="BD71" i="75"/>
  <c r="BE71" i="75" s="1"/>
  <c r="BD93" i="71"/>
  <c r="BD71" i="69"/>
  <c r="BE71" i="69" s="1"/>
  <c r="L320" i="2"/>
  <c r="C320" i="2"/>
  <c r="BD46" i="77"/>
  <c r="BD93" i="70"/>
  <c r="BD93" i="66"/>
  <c r="C324" i="2"/>
  <c r="E324" i="2"/>
  <c r="BD97" i="73"/>
  <c r="BD76" i="68"/>
  <c r="BD97" i="67"/>
  <c r="BE97" i="67" s="1"/>
  <c r="B226" i="2"/>
  <c r="BD106" i="75" s="1"/>
  <c r="BH31" i="82"/>
  <c r="BH37" i="82"/>
  <c r="BH63" i="82"/>
  <c r="BH60" i="82"/>
  <c r="BH68" i="81"/>
  <c r="BH50" i="81"/>
  <c r="BH43" i="81"/>
  <c r="BH65" i="78"/>
  <c r="BH66" i="78"/>
  <c r="BH63" i="80"/>
  <c r="BH51" i="80"/>
  <c r="BH94" i="78"/>
  <c r="BH88" i="78"/>
  <c r="BH92" i="78"/>
  <c r="U79" i="75"/>
  <c r="AG80" i="75"/>
  <c r="Q79" i="75"/>
  <c r="O79" i="75"/>
  <c r="S79" i="75"/>
  <c r="O80" i="74"/>
  <c r="U80" i="74"/>
  <c r="S79" i="74"/>
  <c r="Q80" i="74"/>
  <c r="AI80" i="74"/>
  <c r="BH39" i="76"/>
  <c r="BH18" i="76"/>
  <c r="BH78" i="76"/>
  <c r="AU104" i="76"/>
  <c r="O80" i="76"/>
  <c r="O79" i="76"/>
  <c r="AA81" i="76"/>
  <c r="S79" i="76"/>
  <c r="S80" i="76"/>
  <c r="AE81" i="76"/>
  <c r="W80" i="76"/>
  <c r="BH37" i="73"/>
  <c r="BH121" i="73"/>
  <c r="AA80" i="73"/>
  <c r="S80" i="73"/>
  <c r="AI81" i="73"/>
  <c r="AC80" i="73"/>
  <c r="BH54" i="71"/>
  <c r="AA80" i="71"/>
  <c r="W81" i="71"/>
  <c r="AG81" i="71"/>
  <c r="C321" i="2"/>
  <c r="K288" i="2"/>
  <c r="AU89" i="75"/>
  <c r="E284" i="2"/>
  <c r="C284" i="2"/>
  <c r="E292" i="2"/>
  <c r="C292" i="2"/>
  <c r="D300" i="2"/>
  <c r="E300" i="2"/>
  <c r="BD81" i="67"/>
  <c r="BE81" i="67" s="1"/>
  <c r="K300" i="2"/>
  <c r="BD81" i="1"/>
  <c r="BD81" i="73"/>
  <c r="BD81" i="74"/>
  <c r="BE81" i="74" s="1"/>
  <c r="BD81" i="70"/>
  <c r="L300" i="2"/>
  <c r="BD81" i="71"/>
  <c r="BD65" i="69"/>
  <c r="BE65" i="69" s="1"/>
  <c r="BD65" i="75"/>
  <c r="BE65" i="75" s="1"/>
  <c r="D302" i="2"/>
  <c r="C302" i="2"/>
  <c r="BD66" i="68"/>
  <c r="BD83" i="66"/>
  <c r="BE83" i="66" s="1"/>
  <c r="BD83" i="67"/>
  <c r="BE83" i="67" s="1"/>
  <c r="BD83" i="1"/>
  <c r="BF83" i="1" s="1"/>
  <c r="L302" i="2"/>
  <c r="BD83" i="71"/>
  <c r="BF83" i="71" s="1"/>
  <c r="BD83" i="73"/>
  <c r="BD83" i="74"/>
  <c r="BD65" i="76"/>
  <c r="AU59" i="73"/>
  <c r="AU32" i="77"/>
  <c r="AU59" i="71"/>
  <c r="C309" i="2"/>
  <c r="K309" i="2"/>
  <c r="AU59" i="70"/>
  <c r="AV59" i="70" s="1"/>
  <c r="AU47" i="68"/>
  <c r="E309" i="2"/>
  <c r="AU47" i="69"/>
  <c r="BD86" i="74"/>
  <c r="E313" i="2"/>
  <c r="BD86" i="67"/>
  <c r="BF86" i="67" s="1"/>
  <c r="BD86" i="73"/>
  <c r="C313" i="2"/>
  <c r="BD69" i="68"/>
  <c r="BE69" i="68" s="1"/>
  <c r="BD90" i="70"/>
  <c r="C317" i="2"/>
  <c r="L317" i="2"/>
  <c r="BD90" i="66"/>
  <c r="E317" i="2"/>
  <c r="BD90" i="67"/>
  <c r="BE90" i="67" s="1"/>
  <c r="BD68" i="76"/>
  <c r="K317" i="2"/>
  <c r="D317" i="2"/>
  <c r="BD90" i="74"/>
  <c r="BD60" i="82"/>
  <c r="BD94" i="70"/>
  <c r="BD94" i="66"/>
  <c r="BF94" i="66" s="1"/>
  <c r="L321" i="2"/>
  <c r="BD72" i="69"/>
  <c r="BE72" i="69" s="1"/>
  <c r="BD72" i="75"/>
  <c r="D321" i="2"/>
  <c r="K321" i="2"/>
  <c r="BD94" i="74"/>
  <c r="BF94" i="74" s="1"/>
  <c r="BD73" i="68"/>
  <c r="BF73" i="68" s="1"/>
  <c r="C330" i="2"/>
  <c r="K330" i="2"/>
  <c r="BD88" i="75"/>
  <c r="BD114" i="1"/>
  <c r="BE114" i="1" s="1"/>
  <c r="BD114" i="71"/>
  <c r="BF114" i="71" s="1"/>
  <c r="D349" i="2"/>
  <c r="BD88" i="69"/>
  <c r="BD89" i="68"/>
  <c r="K349" i="2"/>
  <c r="AU76" i="73"/>
  <c r="AW76" i="73" s="1"/>
  <c r="AU62" i="75"/>
  <c r="AV62" i="75" s="1"/>
  <c r="AU76" i="1"/>
  <c r="BD123" i="71"/>
  <c r="BF123" i="71" s="1"/>
  <c r="BD123" i="74"/>
  <c r="BF123" i="74" s="1"/>
  <c r="L358" i="2"/>
  <c r="AU62" i="69"/>
  <c r="AV62" i="69" s="1"/>
  <c r="AU76" i="70"/>
  <c r="AV76" i="70" s="1"/>
  <c r="D358" i="2"/>
  <c r="AU17" i="69"/>
  <c r="C220" i="2"/>
  <c r="BD27" i="75"/>
  <c r="L220" i="2"/>
  <c r="AU17" i="75"/>
  <c r="AW17" i="75" s="1"/>
  <c r="D220" i="2"/>
  <c r="AU17" i="76"/>
  <c r="AV17" i="76" s="1"/>
  <c r="BD27" i="69"/>
  <c r="BF27" i="69" s="1"/>
  <c r="K220" i="2"/>
  <c r="E220" i="2"/>
  <c r="BD27" i="76"/>
  <c r="BD27" i="82"/>
  <c r="AU17" i="82"/>
  <c r="AW17" i="82" s="1"/>
  <c r="BD108" i="75"/>
  <c r="BF108" i="75" s="1"/>
  <c r="BD94" i="1"/>
  <c r="BD90" i="73"/>
  <c r="AU59" i="74"/>
  <c r="AV59" i="74" s="1"/>
  <c r="L349" i="2"/>
  <c r="BD68" i="69"/>
  <c r="BE68" i="69" s="1"/>
  <c r="K313" i="2"/>
  <c r="C300" i="2"/>
  <c r="BD66" i="77"/>
  <c r="BF66" i="77" s="1"/>
  <c r="BD114" i="66"/>
  <c r="BF114" i="66" s="1"/>
  <c r="AU47" i="76"/>
  <c r="AW47" i="76" s="1"/>
  <c r="C27" i="2"/>
  <c r="AU29" i="80"/>
  <c r="AV29" i="80" s="1"/>
  <c r="E244" i="2"/>
  <c r="D244" i="2"/>
  <c r="AU30" i="1"/>
  <c r="AV30" i="1" s="1"/>
  <c r="K244" i="2"/>
  <c r="AU72" i="73"/>
  <c r="AU72" i="71"/>
  <c r="K338" i="2"/>
  <c r="AU72" i="1"/>
  <c r="AU58" i="68"/>
  <c r="AV58" i="68" s="1"/>
  <c r="C338" i="2"/>
  <c r="AU72" i="66"/>
  <c r="D309" i="2"/>
  <c r="BD97" i="76"/>
  <c r="AU41" i="77"/>
  <c r="AW41" i="77" s="1"/>
  <c r="BD94" i="73"/>
  <c r="AU59" i="66"/>
  <c r="L228" i="2"/>
  <c r="E228" i="2"/>
  <c r="C272" i="2"/>
  <c r="BD63" i="77"/>
  <c r="L353" i="2"/>
  <c r="BD118" i="74"/>
  <c r="BE118" i="74" s="1"/>
  <c r="BD92" i="75"/>
  <c r="BE92" i="75" s="1"/>
  <c r="C353" i="2"/>
  <c r="E353" i="2"/>
  <c r="BD93" i="68"/>
  <c r="BE93" i="68" s="1"/>
  <c r="BD118" i="71"/>
  <c r="K353" i="2"/>
  <c r="BD23" i="75"/>
  <c r="AU13" i="69"/>
  <c r="AV13" i="69" s="1"/>
  <c r="AU13" i="75"/>
  <c r="AV13" i="75" s="1"/>
  <c r="BD23" i="69"/>
  <c r="L216" i="2"/>
  <c r="AU13" i="76"/>
  <c r="AW13" i="76" s="1"/>
  <c r="BD23" i="76"/>
  <c r="BD23" i="82"/>
  <c r="AU13" i="82"/>
  <c r="AV13" i="82" s="1"/>
  <c r="B230" i="2"/>
  <c r="AU91" i="74" s="1"/>
  <c r="AW91" i="74" s="1"/>
  <c r="B229" i="2"/>
  <c r="C229" i="2" s="1"/>
  <c r="B231" i="2"/>
  <c r="AU98" i="87" s="1"/>
  <c r="B227" i="2"/>
  <c r="AU88" i="75" s="1"/>
  <c r="AV88" i="75" s="1"/>
  <c r="B224" i="2"/>
  <c r="C224" i="2" s="1"/>
  <c r="B225" i="2"/>
  <c r="D225" i="2" s="1"/>
  <c r="E272" i="2"/>
  <c r="BD134" i="74"/>
  <c r="L292" i="2"/>
  <c r="D338" i="2"/>
  <c r="BD68" i="75"/>
  <c r="K302" i="2"/>
  <c r="BD118" i="1"/>
  <c r="BE118" i="1" s="1"/>
  <c r="BD72" i="76"/>
  <c r="BD81" i="66"/>
  <c r="BE96" i="73"/>
  <c r="L301" i="2"/>
  <c r="D301" i="2"/>
  <c r="L27" i="2"/>
  <c r="BD15" i="77"/>
  <c r="D27" i="2"/>
  <c r="E27" i="2"/>
  <c r="E192" i="2"/>
  <c r="D192" i="2"/>
  <c r="C192" i="2"/>
  <c r="L192" i="2"/>
  <c r="K192" i="2"/>
  <c r="AU27" i="1"/>
  <c r="AW27" i="1" s="1"/>
  <c r="K235" i="2"/>
  <c r="AU21" i="76"/>
  <c r="AW21" i="76" s="1"/>
  <c r="AU27" i="67"/>
  <c r="AW27" i="67" s="1"/>
  <c r="AU21" i="75"/>
  <c r="AW21" i="75" s="1"/>
  <c r="AU27" i="71"/>
  <c r="AV27" i="71" s="1"/>
  <c r="AU27" i="66"/>
  <c r="L235" i="2"/>
  <c r="AU27" i="74"/>
  <c r="AW27" i="74" s="1"/>
  <c r="AU27" i="70"/>
  <c r="AU21" i="69"/>
  <c r="AV21" i="69" s="1"/>
  <c r="D235" i="2"/>
  <c r="AU27" i="73"/>
  <c r="AW27" i="73" s="1"/>
  <c r="AU21" i="68"/>
  <c r="AV21" i="68" s="1"/>
  <c r="C235" i="2"/>
  <c r="E235" i="2"/>
  <c r="E251" i="2"/>
  <c r="BD44" i="67"/>
  <c r="BF44" i="67" s="1"/>
  <c r="BD37" i="81"/>
  <c r="BF37" i="81" s="1"/>
  <c r="BD57" i="78"/>
  <c r="BD48" i="70"/>
  <c r="BE48" i="70" s="1"/>
  <c r="BD48" i="66"/>
  <c r="BD34" i="75"/>
  <c r="BF34" i="75" s="1"/>
  <c r="BD35" i="68"/>
  <c r="BF35" i="68" s="1"/>
  <c r="BD48" i="74"/>
  <c r="E255" i="2"/>
  <c r="BD48" i="73"/>
  <c r="BE48" i="73" s="1"/>
  <c r="D255" i="2"/>
  <c r="BD31" i="82"/>
  <c r="BF31" i="82" s="1"/>
  <c r="BD49" i="80"/>
  <c r="BF49" i="80" s="1"/>
  <c r="BD41" i="81"/>
  <c r="BE41" i="81" s="1"/>
  <c r="C259" i="2"/>
  <c r="BD38" i="76"/>
  <c r="BF38" i="76" s="1"/>
  <c r="BD52" i="71"/>
  <c r="BD39" i="68"/>
  <c r="BF39" i="68" s="1"/>
  <c r="D259" i="2"/>
  <c r="BD38" i="75"/>
  <c r="BD52" i="70"/>
  <c r="BF52" i="70" s="1"/>
  <c r="BD52" i="66"/>
  <c r="BF52" i="66" s="1"/>
  <c r="E259" i="2"/>
  <c r="BD24" i="77"/>
  <c r="BF24" i="77" s="1"/>
  <c r="BD52" i="67"/>
  <c r="BE52" i="67" s="1"/>
  <c r="L259" i="2"/>
  <c r="BD52" i="74"/>
  <c r="BD52" i="73"/>
  <c r="BD52" i="1"/>
  <c r="BE52" i="1" s="1"/>
  <c r="BD38" i="69"/>
  <c r="BE38" i="69" s="1"/>
  <c r="BD35" i="82"/>
  <c r="BF35" i="82" s="1"/>
  <c r="BD53" i="80"/>
  <c r="BE53" i="80" s="1"/>
  <c r="BD45" i="81"/>
  <c r="E263" i="2"/>
  <c r="BD56" i="71"/>
  <c r="BF56" i="71" s="1"/>
  <c r="BD43" i="68"/>
  <c r="BF43" i="68" s="1"/>
  <c r="BD42" i="76"/>
  <c r="BD56" i="70"/>
  <c r="BE56" i="70" s="1"/>
  <c r="D263" i="2"/>
  <c r="K263" i="2"/>
  <c r="L263" i="2"/>
  <c r="BD28" i="77"/>
  <c r="BF28" i="77" s="1"/>
  <c r="BD42" i="69"/>
  <c r="BE42" i="69" s="1"/>
  <c r="BD56" i="73"/>
  <c r="BF56" i="73" s="1"/>
  <c r="C263" i="2"/>
  <c r="BD56" i="66"/>
  <c r="BE56" i="66" s="1"/>
  <c r="BD39" i="82"/>
  <c r="BE39" i="82" s="1"/>
  <c r="BD49" i="81"/>
  <c r="BF49" i="81" s="1"/>
  <c r="BD57" i="80"/>
  <c r="C268" i="2"/>
  <c r="AU30" i="76"/>
  <c r="AU38" i="70"/>
  <c r="AV38" i="70" s="1"/>
  <c r="AU38" i="67"/>
  <c r="AV38" i="67" s="1"/>
  <c r="L268" i="2"/>
  <c r="AU30" i="75"/>
  <c r="AV30" i="75" s="1"/>
  <c r="AU38" i="73"/>
  <c r="AW38" i="73" s="1"/>
  <c r="AU38" i="66"/>
  <c r="K268" i="2"/>
  <c r="E268" i="2"/>
  <c r="D268" i="2"/>
  <c r="AU38" i="74"/>
  <c r="AU38" i="71"/>
  <c r="AW38" i="71" s="1"/>
  <c r="AU30" i="69"/>
  <c r="AW30" i="69" s="1"/>
  <c r="AU20" i="77"/>
  <c r="AW20" i="77" s="1"/>
  <c r="AU34" i="81"/>
  <c r="AU28" i="82"/>
  <c r="AW28" i="82" s="1"/>
  <c r="AU37" i="80"/>
  <c r="AW37" i="80" s="1"/>
  <c r="K272" i="2"/>
  <c r="AU34" i="76"/>
  <c r="AW34" i="76" s="1"/>
  <c r="AU42" i="70"/>
  <c r="AV42" i="70" s="1"/>
  <c r="AU42" i="74"/>
  <c r="AV42" i="74" s="1"/>
  <c r="AU42" i="67"/>
  <c r="AU34" i="75"/>
  <c r="AW34" i="75" s="1"/>
  <c r="AU34" i="69"/>
  <c r="AV34" i="69" s="1"/>
  <c r="AU42" i="73"/>
  <c r="AV42" i="73" s="1"/>
  <c r="AU34" i="68"/>
  <c r="AU42" i="1"/>
  <c r="AW42" i="1" s="1"/>
  <c r="AU48" i="78"/>
  <c r="AV48" i="78" s="1"/>
  <c r="L272" i="2"/>
  <c r="AU38" i="81"/>
  <c r="D279" i="2"/>
  <c r="BD67" i="73"/>
  <c r="BD54" i="68"/>
  <c r="BF54" i="68" s="1"/>
  <c r="BD67" i="70"/>
  <c r="BF67" i="70" s="1"/>
  <c r="BD67" i="67"/>
  <c r="BF67" i="67" s="1"/>
  <c r="BD53" i="76"/>
  <c r="BD67" i="71"/>
  <c r="BF67" i="71" s="1"/>
  <c r="BD53" i="75"/>
  <c r="BD53" i="69"/>
  <c r="BD67" i="66"/>
  <c r="K279" i="2"/>
  <c r="BD67" i="1"/>
  <c r="L279" i="2"/>
  <c r="BD50" i="82"/>
  <c r="BF50" i="82" s="1"/>
  <c r="E279" i="2"/>
  <c r="BD68" i="80"/>
  <c r="C279" i="2"/>
  <c r="BD60" i="81"/>
  <c r="AU24" i="77"/>
  <c r="AW24" i="77" s="1"/>
  <c r="AU36" i="75"/>
  <c r="AW36" i="75" s="1"/>
  <c r="AU44" i="74"/>
  <c r="AW44" i="74" s="1"/>
  <c r="AU44" i="70"/>
  <c r="BD72" i="66"/>
  <c r="BE72" i="66" s="1"/>
  <c r="AU44" i="66"/>
  <c r="AW44" i="66" s="1"/>
  <c r="AU44" i="1"/>
  <c r="BD38" i="77"/>
  <c r="BF38" i="77" s="1"/>
  <c r="AU44" i="73"/>
  <c r="AW44" i="73" s="1"/>
  <c r="AU44" i="71"/>
  <c r="AV44" i="71" s="1"/>
  <c r="BD72" i="67"/>
  <c r="BD58" i="69"/>
  <c r="BE58" i="69" s="1"/>
  <c r="K284" i="2"/>
  <c r="BD58" i="75"/>
  <c r="BD72" i="71"/>
  <c r="BF72" i="71" s="1"/>
  <c r="AU36" i="68"/>
  <c r="AW36" i="68" s="1"/>
  <c r="BD72" i="73"/>
  <c r="AU44" i="67"/>
  <c r="AW44" i="67" s="1"/>
  <c r="AU36" i="76"/>
  <c r="BD72" i="74"/>
  <c r="BE72" i="74" s="1"/>
  <c r="BD59" i="68"/>
  <c r="AU36" i="69"/>
  <c r="AW36" i="69" s="1"/>
  <c r="BD72" i="1"/>
  <c r="BF72" i="1" s="1"/>
  <c r="BD58" i="76"/>
  <c r="BF58" i="76" s="1"/>
  <c r="BD72" i="70"/>
  <c r="L288" i="2"/>
  <c r="C288" i="2"/>
  <c r="AU48" i="1"/>
  <c r="AW48" i="1" s="1"/>
  <c r="BD62" i="76"/>
  <c r="BE62" i="76" s="1"/>
  <c r="BD62" i="75"/>
  <c r="AU48" i="73"/>
  <c r="AW48" i="73" s="1"/>
  <c r="AU48" i="71"/>
  <c r="BD62" i="69"/>
  <c r="BE62" i="69" s="1"/>
  <c r="AU48" i="66"/>
  <c r="AW48" i="66" s="1"/>
  <c r="AU40" i="76"/>
  <c r="AU40" i="75"/>
  <c r="AU48" i="74"/>
  <c r="AU48" i="70"/>
  <c r="AV48" i="70" s="1"/>
  <c r="BD76" i="67"/>
  <c r="BF76" i="67" s="1"/>
  <c r="BD63" i="68"/>
  <c r="BE63" i="68" s="1"/>
  <c r="BD76" i="1"/>
  <c r="BD76" i="73"/>
  <c r="BE76" i="73" s="1"/>
  <c r="AU40" i="69"/>
  <c r="AV40" i="69" s="1"/>
  <c r="BD76" i="74"/>
  <c r="BE76" i="74" s="1"/>
  <c r="BD76" i="66"/>
  <c r="BD42" i="77"/>
  <c r="BE42" i="77" s="1"/>
  <c r="BD76" i="71"/>
  <c r="AU48" i="67"/>
  <c r="AV48" i="67" s="1"/>
  <c r="AU40" i="68"/>
  <c r="AU28" i="77"/>
  <c r="BD76" i="70"/>
  <c r="BF76" i="70" s="1"/>
  <c r="K292" i="2"/>
  <c r="D292" i="2"/>
  <c r="BD78" i="1"/>
  <c r="BD78" i="74"/>
  <c r="BE78" i="74" s="1"/>
  <c r="E297" i="2"/>
  <c r="BD78" i="67"/>
  <c r="BF78" i="67" s="1"/>
  <c r="BD78" i="73"/>
  <c r="BF78" i="73" s="1"/>
  <c r="BD78" i="70"/>
  <c r="BF78" i="70" s="1"/>
  <c r="K297" i="2"/>
  <c r="D297" i="2"/>
  <c r="C297" i="2"/>
  <c r="BD83" i="70"/>
  <c r="BE83" i="70" s="1"/>
  <c r="E302" i="2"/>
  <c r="AU47" i="75"/>
  <c r="AW47" i="75" s="1"/>
  <c r="AU59" i="67"/>
  <c r="AU59" i="1"/>
  <c r="AV59" i="1" s="1"/>
  <c r="AU46" i="80"/>
  <c r="AW46" i="80" s="1"/>
  <c r="L309" i="2"/>
  <c r="AU55" i="78"/>
  <c r="AW55" i="78" s="1"/>
  <c r="AU37" i="82"/>
  <c r="BD86" i="1"/>
  <c r="BF86" i="1" s="1"/>
  <c r="BD86" i="70"/>
  <c r="L313" i="2"/>
  <c r="BD66" i="81"/>
  <c r="BF66" i="81" s="1"/>
  <c r="BD86" i="78"/>
  <c r="BF86" i="78" s="1"/>
  <c r="BD90" i="1"/>
  <c r="BE90" i="1" s="1"/>
  <c r="BD74" i="80"/>
  <c r="BD90" i="78"/>
  <c r="BF90" i="78" s="1"/>
  <c r="BD56" i="82"/>
  <c r="BF56" i="82" s="1"/>
  <c r="BD94" i="71"/>
  <c r="BE94" i="71" s="1"/>
  <c r="BD94" i="67"/>
  <c r="BF94" i="67" s="1"/>
  <c r="BD47" i="77"/>
  <c r="BE47" i="77" s="1"/>
  <c r="BD78" i="80"/>
  <c r="BF78" i="80" s="1"/>
  <c r="BD94" i="78"/>
  <c r="BE94" i="78" s="1"/>
  <c r="BD74" i="81"/>
  <c r="E325" i="2"/>
  <c r="BD76" i="75"/>
  <c r="BE76" i="75" s="1"/>
  <c r="BD98" i="71"/>
  <c r="BE98" i="71" s="1"/>
  <c r="BD98" i="66"/>
  <c r="BF98" i="66" s="1"/>
  <c r="BD98" i="1"/>
  <c r="BF98" i="1" s="1"/>
  <c r="C325" i="2"/>
  <c r="BD98" i="74"/>
  <c r="BD76" i="69"/>
  <c r="D325" i="2"/>
  <c r="BD51" i="77"/>
  <c r="BD98" i="73"/>
  <c r="BD77" i="68"/>
  <c r="BF77" i="68" s="1"/>
  <c r="BD98" i="67"/>
  <c r="BF98" i="67" s="1"/>
  <c r="L325" i="2"/>
  <c r="K325" i="2"/>
  <c r="BD76" i="76"/>
  <c r="BD98" i="70"/>
  <c r="BD64" i="82"/>
  <c r="BD98" i="78"/>
  <c r="BF98" i="78" s="1"/>
  <c r="BD78" i="81"/>
  <c r="BD81" i="76"/>
  <c r="BE81" i="76" s="1"/>
  <c r="AU64" i="74"/>
  <c r="AU64" i="70"/>
  <c r="AV64" i="70" s="1"/>
  <c r="BD103" i="67"/>
  <c r="BF103" i="67" s="1"/>
  <c r="AU64" i="67"/>
  <c r="AV64" i="67" s="1"/>
  <c r="AU36" i="77"/>
  <c r="AV36" i="77" s="1"/>
  <c r="BD81" i="75"/>
  <c r="BF81" i="75" s="1"/>
  <c r="BD103" i="71"/>
  <c r="AU64" i="66"/>
  <c r="AV64" i="66" s="1"/>
  <c r="BD81" i="69"/>
  <c r="AU52" i="76"/>
  <c r="BD103" i="74"/>
  <c r="BF103" i="74" s="1"/>
  <c r="AU64" i="71"/>
  <c r="AW64" i="71" s="1"/>
  <c r="BD103" i="66"/>
  <c r="AU52" i="69"/>
  <c r="AW52" i="69" s="1"/>
  <c r="AU52" i="75"/>
  <c r="AW52" i="75" s="1"/>
  <c r="AU52" i="68"/>
  <c r="AW52" i="68" s="1"/>
  <c r="BD103" i="73"/>
  <c r="BD82" i="68"/>
  <c r="BE82" i="68" s="1"/>
  <c r="AU64" i="73"/>
  <c r="AW64" i="73" s="1"/>
  <c r="BD103" i="1"/>
  <c r="BD103" i="70"/>
  <c r="BF103" i="70" s="1"/>
  <c r="L330" i="2"/>
  <c r="D330" i="2"/>
  <c r="E330" i="2"/>
  <c r="AU69" i="73"/>
  <c r="E335" i="2"/>
  <c r="C335" i="2"/>
  <c r="K335" i="2"/>
  <c r="L335" i="2"/>
  <c r="D335" i="2"/>
  <c r="AU69" i="1"/>
  <c r="AV69" i="1" s="1"/>
  <c r="AU69" i="74"/>
  <c r="AV69" i="74" s="1"/>
  <c r="AU69" i="71"/>
  <c r="AW69" i="71" s="1"/>
  <c r="AU55" i="76"/>
  <c r="AU69" i="67"/>
  <c r="AW69" i="67" s="1"/>
  <c r="AU55" i="75"/>
  <c r="AU69" i="70"/>
  <c r="AV69" i="70" s="1"/>
  <c r="AU55" i="68"/>
  <c r="AU55" i="69"/>
  <c r="AU69" i="66"/>
  <c r="AU58" i="76"/>
  <c r="AW58" i="76" s="1"/>
  <c r="AU58" i="69"/>
  <c r="AU72" i="70"/>
  <c r="AV72" i="70" s="1"/>
  <c r="AU72" i="67"/>
  <c r="AW72" i="67" s="1"/>
  <c r="AU72" i="74"/>
  <c r="AU58" i="75"/>
  <c r="L338" i="2"/>
  <c r="BD59" i="77"/>
  <c r="BD114" i="67"/>
  <c r="BF114" i="67" s="1"/>
  <c r="BD114" i="74"/>
  <c r="BF114" i="74" s="1"/>
  <c r="BD114" i="73"/>
  <c r="BF114" i="73" s="1"/>
  <c r="BD114" i="70"/>
  <c r="BD88" i="76"/>
  <c r="BD118" i="67"/>
  <c r="BE118" i="67" s="1"/>
  <c r="BD92" i="69"/>
  <c r="BD118" i="66"/>
  <c r="BD92" i="76"/>
  <c r="BF92" i="76" s="1"/>
  <c r="BD118" i="73"/>
  <c r="BE118" i="73" s="1"/>
  <c r="BD118" i="70"/>
  <c r="BF118" i="70" s="1"/>
  <c r="K358" i="2"/>
  <c r="BD97" i="75"/>
  <c r="BD123" i="70"/>
  <c r="BF123" i="70" s="1"/>
  <c r="BD123" i="1"/>
  <c r="BE123" i="1" s="1"/>
  <c r="AU76" i="74"/>
  <c r="AU76" i="66"/>
  <c r="AW76" i="66" s="1"/>
  <c r="BD123" i="73"/>
  <c r="BD123" i="66"/>
  <c r="BD97" i="69"/>
  <c r="AU76" i="67"/>
  <c r="AV76" i="67" s="1"/>
  <c r="AU44" i="77"/>
  <c r="AW44" i="77" s="1"/>
  <c r="AU62" i="68"/>
  <c r="AU62" i="76"/>
  <c r="BD98" i="68"/>
  <c r="BF98" i="68" s="1"/>
  <c r="E358" i="2"/>
  <c r="AU76" i="71"/>
  <c r="AV76" i="71" s="1"/>
  <c r="BD123" i="67"/>
  <c r="C358" i="2"/>
  <c r="BD70" i="81"/>
  <c r="BE70" i="81" s="1"/>
  <c r="AU32" i="82"/>
  <c r="BD65" i="78"/>
  <c r="AU45" i="81"/>
  <c r="AV45" i="81" s="1"/>
  <c r="BD69" i="78"/>
  <c r="BE69" i="78" s="1"/>
  <c r="E321" i="2"/>
  <c r="E338" i="2"/>
  <c r="D272" i="2"/>
  <c r="AU30" i="68"/>
  <c r="BD80" i="78"/>
  <c r="BD61" i="78"/>
  <c r="BF61" i="78" s="1"/>
  <c r="AU36" i="78"/>
  <c r="AW36" i="78" s="1"/>
  <c r="AU38" i="1"/>
  <c r="AW38" i="1" s="1"/>
  <c r="L297" i="2"/>
  <c r="BD54" i="77"/>
  <c r="BD67" i="74"/>
  <c r="D367" i="2"/>
  <c r="C371" i="2"/>
  <c r="K371" i="2"/>
  <c r="L371" i="2"/>
  <c r="E371" i="2"/>
  <c r="D371" i="2"/>
  <c r="AU19" i="69"/>
  <c r="AW19" i="69" s="1"/>
  <c r="D222" i="2"/>
  <c r="K222" i="2"/>
  <c r="E222" i="2"/>
  <c r="C222" i="2"/>
  <c r="BD26" i="75"/>
  <c r="D344" i="2"/>
  <c r="BD40" i="66"/>
  <c r="BF40" i="66" s="1"/>
  <c r="L239" i="2"/>
  <c r="BD40" i="67"/>
  <c r="BE40" i="67" s="1"/>
  <c r="L244" i="2"/>
  <c r="AU30" i="74"/>
  <c r="AV30" i="74" s="1"/>
  <c r="AU30" i="67"/>
  <c r="AV30" i="67" s="1"/>
  <c r="AU30" i="73"/>
  <c r="AW30" i="73" s="1"/>
  <c r="AU30" i="66"/>
  <c r="AW30" i="66" s="1"/>
  <c r="AU30" i="70"/>
  <c r="AW30" i="70" s="1"/>
  <c r="AU30" i="71"/>
  <c r="AU26" i="81"/>
  <c r="AW26" i="81" s="1"/>
  <c r="BD44" i="73"/>
  <c r="K251" i="2"/>
  <c r="L251" i="2"/>
  <c r="BD44" i="1"/>
  <c r="BF44" i="1" s="1"/>
  <c r="BD44" i="74"/>
  <c r="BD44" i="70"/>
  <c r="BF44" i="70" s="1"/>
  <c r="D251" i="2"/>
  <c r="C251" i="2"/>
  <c r="BD107" i="70"/>
  <c r="BE107" i="70" s="1"/>
  <c r="BD107" i="73"/>
  <c r="BF107" i="73" s="1"/>
  <c r="BD107" i="74"/>
  <c r="K342" i="2"/>
  <c r="E342" i="2"/>
  <c r="C310" i="2"/>
  <c r="AU60" i="74"/>
  <c r="AU48" i="69"/>
  <c r="AW48" i="69" s="1"/>
  <c r="BD87" i="74"/>
  <c r="BD87" i="67"/>
  <c r="D314" i="2"/>
  <c r="K318" i="2"/>
  <c r="E326" i="2"/>
  <c r="BD77" i="75"/>
  <c r="BE77" i="75" s="1"/>
  <c r="BD99" i="70"/>
  <c r="BE99" i="70" s="1"/>
  <c r="BD99" i="67"/>
  <c r="BF99" i="67" s="1"/>
  <c r="E331" i="2"/>
  <c r="BD55" i="77"/>
  <c r="BF55" i="77" s="1"/>
  <c r="AU53" i="76"/>
  <c r="AV53" i="76" s="1"/>
  <c r="AU65" i="73"/>
  <c r="AW65" i="73" s="1"/>
  <c r="AU65" i="71"/>
  <c r="AV65" i="71" s="1"/>
  <c r="BD83" i="68"/>
  <c r="AU65" i="67"/>
  <c r="AU65" i="66"/>
  <c r="AV65" i="66" s="1"/>
  <c r="C331" i="2"/>
  <c r="AU73" i="71"/>
  <c r="AU73" i="67"/>
  <c r="BD69" i="1"/>
  <c r="E281" i="2"/>
  <c r="L281" i="2"/>
  <c r="BD74" i="1"/>
  <c r="BE74" i="1" s="1"/>
  <c r="E290" i="2"/>
  <c r="C290" i="2"/>
  <c r="AU57" i="1"/>
  <c r="AW57" i="1" s="1"/>
  <c r="C307" i="2"/>
  <c r="K307" i="2"/>
  <c r="BD116" i="66"/>
  <c r="BE116" i="66" s="1"/>
  <c r="BD116" i="1"/>
  <c r="BF116" i="1" s="1"/>
  <c r="D355" i="2"/>
  <c r="D217" i="2"/>
  <c r="K217" i="2"/>
  <c r="L217" i="2"/>
  <c r="C221" i="2"/>
  <c r="D221" i="2"/>
  <c r="BD51" i="71"/>
  <c r="BD37" i="69"/>
  <c r="BE37" i="69" s="1"/>
  <c r="BD60" i="80"/>
  <c r="BE60" i="80" s="1"/>
  <c r="K266" i="2"/>
  <c r="AU41" i="1"/>
  <c r="AW41" i="1" s="1"/>
  <c r="AU33" i="75"/>
  <c r="AU41" i="70"/>
  <c r="AW41" i="70" s="1"/>
  <c r="AU41" i="66"/>
  <c r="L271" i="2"/>
  <c r="AU41" i="74"/>
  <c r="AW41" i="74" s="1"/>
  <c r="AU33" i="68"/>
  <c r="AW33" i="68" s="1"/>
  <c r="AU55" i="1"/>
  <c r="AW55" i="1" s="1"/>
  <c r="E305" i="2"/>
  <c r="C305" i="2"/>
  <c r="E345" i="2"/>
  <c r="L348" i="2"/>
  <c r="C301" i="2"/>
  <c r="L322" i="2"/>
  <c r="C322" i="2"/>
  <c r="E322" i="2"/>
  <c r="BD88" i="1"/>
  <c r="BE88" i="1" s="1"/>
  <c r="L319" i="2"/>
  <c r="BD100" i="67"/>
  <c r="BF100" i="67" s="1"/>
  <c r="AU51" i="71"/>
  <c r="AW51" i="71" s="1"/>
  <c r="BD48" i="67"/>
  <c r="BF48" i="67" s="1"/>
  <c r="BD56" i="67"/>
  <c r="BE56" i="67" s="1"/>
  <c r="BD56" i="74"/>
  <c r="BE56" i="74" s="1"/>
  <c r="BD42" i="75"/>
  <c r="E348" i="2"/>
  <c r="D252" i="2"/>
  <c r="BD56" i="1"/>
  <c r="L312" i="2"/>
  <c r="C312" i="2"/>
  <c r="D288" i="2"/>
  <c r="AW128" i="67"/>
  <c r="BE134" i="70"/>
  <c r="D368" i="2"/>
  <c r="C368" i="2"/>
  <c r="K368" i="2"/>
  <c r="K255" i="2"/>
  <c r="BD34" i="76"/>
  <c r="BD48" i="71"/>
  <c r="BF48" i="71" s="1"/>
  <c r="BD34" i="69"/>
  <c r="BF34" i="69" s="1"/>
  <c r="E258" i="2"/>
  <c r="BD37" i="76"/>
  <c r="BE37" i="76" s="1"/>
  <c r="BD51" i="74"/>
  <c r="BF51" i="74" s="1"/>
  <c r="BD51" i="66"/>
  <c r="BE51" i="66" s="1"/>
  <c r="AU67" i="67"/>
  <c r="C333" i="2"/>
  <c r="E333" i="2"/>
  <c r="AU67" i="1"/>
  <c r="AW67" i="1" s="1"/>
  <c r="AU59" i="76"/>
  <c r="AW59" i="76" s="1"/>
  <c r="AU73" i="70"/>
  <c r="AW73" i="70" s="1"/>
  <c r="D339" i="2"/>
  <c r="AU73" i="73"/>
  <c r="AU59" i="69"/>
  <c r="AU59" i="68"/>
  <c r="AW59" i="68" s="1"/>
  <c r="E216" i="2"/>
  <c r="D216" i="2"/>
  <c r="C216" i="2"/>
  <c r="BF135" i="70"/>
  <c r="K216" i="2"/>
  <c r="BD48" i="1"/>
  <c r="C255" i="2"/>
  <c r="K339" i="2"/>
  <c r="L255" i="2"/>
  <c r="L368" i="2"/>
  <c r="L284" i="2"/>
  <c r="D284" i="2"/>
  <c r="K355" i="2"/>
  <c r="C355" i="2"/>
  <c r="L355" i="2"/>
  <c r="E355" i="2"/>
  <c r="K314" i="2"/>
  <c r="E314" i="2"/>
  <c r="BD108" i="67"/>
  <c r="D343" i="2"/>
  <c r="AV128" i="67"/>
  <c r="BF134" i="70"/>
  <c r="O81" i="70"/>
  <c r="Q81" i="70"/>
  <c r="AW61" i="70"/>
  <c r="BH40" i="69"/>
  <c r="BH51" i="68"/>
  <c r="BH50" i="68"/>
  <c r="BH45" i="68"/>
  <c r="AV72" i="77"/>
  <c r="AW72" i="77"/>
  <c r="AW142" i="74"/>
  <c r="AV142" i="74"/>
  <c r="BE91" i="80"/>
  <c r="BF91" i="80"/>
  <c r="AV128" i="71"/>
  <c r="AW128" i="71"/>
  <c r="AW126" i="71"/>
  <c r="AV126" i="71"/>
  <c r="AW71" i="82"/>
  <c r="AV71" i="82"/>
  <c r="BF109" i="76"/>
  <c r="BF73" i="82"/>
  <c r="BE106" i="78"/>
  <c r="BF106" i="78"/>
  <c r="BE110" i="76"/>
  <c r="BF110" i="76"/>
  <c r="BF130" i="67"/>
  <c r="BE130" i="67"/>
  <c r="AW102" i="69"/>
  <c r="AV102" i="69"/>
  <c r="AW130" i="1"/>
  <c r="AV130" i="1"/>
  <c r="BF24" i="70"/>
  <c r="BE24" i="70"/>
  <c r="BE24" i="71"/>
  <c r="BF24" i="71"/>
  <c r="BE20" i="76"/>
  <c r="BF20" i="76"/>
  <c r="BE24" i="73"/>
  <c r="BF24" i="73"/>
  <c r="BB13" i="65"/>
  <c r="BB30" i="65"/>
  <c r="BB14" i="65"/>
  <c r="AZ29" i="65"/>
  <c r="BH47" i="82"/>
  <c r="BH53" i="82"/>
  <c r="BH34" i="82"/>
  <c r="BH7" i="81"/>
  <c r="BH70" i="81"/>
  <c r="BH55" i="81"/>
  <c r="BH75" i="80"/>
  <c r="AY15" i="80"/>
  <c r="BH10" i="78"/>
  <c r="BH29" i="78" s="1"/>
  <c r="BH85" i="78"/>
  <c r="BH16" i="75"/>
  <c r="BH44" i="75"/>
  <c r="BH120" i="74"/>
  <c r="BH92" i="76"/>
  <c r="BH84" i="76"/>
  <c r="BH76" i="76"/>
  <c r="BH112" i="73"/>
  <c r="BH97" i="71"/>
  <c r="BH65" i="71"/>
  <c r="BH107" i="70"/>
  <c r="BH97" i="70"/>
  <c r="BH96" i="70"/>
  <c r="BH90" i="70"/>
  <c r="BH81" i="70"/>
  <c r="BH44" i="70"/>
  <c r="BH37" i="70"/>
  <c r="BH39" i="70"/>
  <c r="BH41" i="70"/>
  <c r="BH45" i="69"/>
  <c r="BH73" i="68"/>
  <c r="BH119" i="67"/>
  <c r="BH100" i="67"/>
  <c r="BH89" i="67"/>
  <c r="BH83" i="67"/>
  <c r="BH67" i="67"/>
  <c r="BH16" i="67"/>
  <c r="BH46" i="67"/>
  <c r="BH50" i="66"/>
  <c r="BH64" i="1"/>
  <c r="BH49" i="77"/>
  <c r="AY23" i="78"/>
  <c r="BH21" i="78"/>
  <c r="BH40" i="78" s="1"/>
  <c r="BH75" i="75"/>
  <c r="BH53" i="75"/>
  <c r="BH120" i="1"/>
  <c r="BH65" i="1"/>
  <c r="BH59" i="77"/>
  <c r="BH44" i="77"/>
  <c r="BH12" i="74"/>
  <c r="BH40" i="82"/>
  <c r="BH21" i="81"/>
  <c r="BH67" i="80"/>
  <c r="BH88" i="74"/>
  <c r="BH48" i="74"/>
  <c r="BH79" i="73"/>
  <c r="BH52" i="73"/>
  <c r="BH7" i="69"/>
  <c r="BH79" i="68"/>
  <c r="BH37" i="67"/>
  <c r="BH116" i="66"/>
  <c r="BH94" i="1"/>
  <c r="BH69" i="1"/>
  <c r="BH39" i="1"/>
  <c r="BH61" i="77"/>
  <c r="BH80" i="81"/>
  <c r="BH79" i="81"/>
  <c r="BH46" i="81"/>
  <c r="BH83" i="78"/>
  <c r="BH77" i="75"/>
  <c r="BH58" i="74"/>
  <c r="BH45" i="74"/>
  <c r="BH37" i="74"/>
  <c r="BH44" i="74"/>
  <c r="BH88" i="76"/>
  <c r="BH115" i="73"/>
  <c r="BH42" i="73"/>
  <c r="BH46" i="73"/>
  <c r="BH42" i="71"/>
  <c r="BH76" i="69"/>
  <c r="BH71" i="69"/>
  <c r="BH67" i="69"/>
  <c r="BH39" i="69"/>
  <c r="BH32" i="69"/>
  <c r="BH33" i="68"/>
  <c r="BH5" i="67"/>
  <c r="BH42" i="67"/>
  <c r="BH64" i="77"/>
  <c r="BH46" i="77"/>
  <c r="BH14" i="82"/>
  <c r="BH9" i="81"/>
  <c r="BH75" i="81"/>
  <c r="BH11" i="81"/>
  <c r="BH84" i="80"/>
  <c r="BH9" i="80"/>
  <c r="BH24" i="80" s="1"/>
  <c r="BH71" i="75"/>
  <c r="BH48" i="75"/>
  <c r="BH14" i="75"/>
  <c r="BH10" i="74"/>
  <c r="BH5" i="74"/>
  <c r="BH71" i="76"/>
  <c r="BH34" i="76"/>
  <c r="AU90" i="73"/>
  <c r="AU91" i="73" s="1"/>
  <c r="BH93" i="71"/>
  <c r="BH58" i="71"/>
  <c r="BH40" i="71"/>
  <c r="BH53" i="69"/>
  <c r="BH54" i="68"/>
  <c r="BH17" i="68"/>
  <c r="BH78" i="67"/>
  <c r="BH65" i="67"/>
  <c r="BH121" i="66"/>
  <c r="BH93" i="66"/>
  <c r="BH94" i="66"/>
  <c r="BH40" i="66"/>
  <c r="BH73" i="1"/>
  <c r="BH113" i="1"/>
  <c r="BH95" i="1"/>
  <c r="BH58" i="1"/>
  <c r="BH71" i="80"/>
  <c r="BH64" i="80"/>
  <c r="BH95" i="78"/>
  <c r="BH69" i="78"/>
  <c r="BH19" i="78"/>
  <c r="BH38" i="78" s="1"/>
  <c r="AY16" i="78"/>
  <c r="BH13" i="75"/>
  <c r="AU104" i="74"/>
  <c r="BH98" i="74"/>
  <c r="BH97" i="74"/>
  <c r="BH50" i="74"/>
  <c r="BH87" i="76"/>
  <c r="BH47" i="76"/>
  <c r="BH43" i="76"/>
  <c r="BH102" i="73"/>
  <c r="BH12" i="71"/>
  <c r="BH117" i="71"/>
  <c r="BH82" i="71"/>
  <c r="BH83" i="70"/>
  <c r="BH38" i="70"/>
  <c r="BH46" i="70"/>
  <c r="BH6" i="70"/>
  <c r="BH92" i="69"/>
  <c r="BH111" i="67"/>
  <c r="BH116" i="67"/>
  <c r="BH120" i="67"/>
  <c r="BH22" i="67"/>
  <c r="BH69" i="67"/>
  <c r="BH116" i="1"/>
  <c r="BH27" i="77"/>
  <c r="AU104" i="75"/>
  <c r="AY40" i="76"/>
  <c r="BH62" i="76" s="1"/>
  <c r="AY48" i="70"/>
  <c r="BH76" i="70" s="1"/>
  <c r="AR87" i="76"/>
  <c r="BH65" i="82"/>
  <c r="BH56" i="80"/>
  <c r="BH36" i="80"/>
  <c r="BH79" i="78"/>
  <c r="BH109" i="75"/>
  <c r="BH94" i="75"/>
  <c r="BH56" i="74"/>
  <c r="BH57" i="74"/>
  <c r="BH108" i="70"/>
  <c r="BH14" i="69"/>
  <c r="BH90" i="69"/>
  <c r="BH41" i="66"/>
  <c r="BH91" i="1"/>
  <c r="Q80" i="76"/>
  <c r="Y80" i="71"/>
  <c r="Q79" i="76"/>
  <c r="Y81" i="76"/>
  <c r="U80" i="76"/>
  <c r="Q80" i="71"/>
  <c r="AG81" i="73"/>
  <c r="Y81" i="73"/>
  <c r="U81" i="76"/>
  <c r="U81" i="71"/>
  <c r="AA2" i="74"/>
  <c r="AA2" i="66"/>
  <c r="AY51" i="80"/>
  <c r="AY60" i="78"/>
  <c r="O2" i="78"/>
  <c r="O2" i="76"/>
  <c r="AT94" i="4"/>
  <c r="H30" i="77"/>
  <c r="H20" i="76"/>
  <c r="H19" i="76"/>
  <c r="B6" i="73"/>
  <c r="C95" i="4"/>
  <c r="AT8" i="4"/>
  <c r="N83" i="76"/>
  <c r="N83" i="75"/>
  <c r="AI2" i="81"/>
  <c r="AI2" i="82"/>
  <c r="AI2" i="80"/>
  <c r="AI67" i="75"/>
  <c r="AI67" i="74"/>
  <c r="AI2" i="76"/>
  <c r="B2" i="78"/>
  <c r="B2" i="81"/>
  <c r="B2" i="82"/>
  <c r="B67" i="76"/>
  <c r="B67" i="74"/>
  <c r="C67" i="4"/>
  <c r="AF38" i="4"/>
  <c r="B67" i="75"/>
  <c r="B2" i="76"/>
  <c r="B2" i="77"/>
  <c r="B11" i="82"/>
  <c r="B11" i="74"/>
  <c r="C30" i="4"/>
  <c r="B2" i="74"/>
  <c r="AI2" i="75"/>
  <c r="AF57" i="4"/>
  <c r="Q13" i="4"/>
  <c r="AF31" i="4"/>
  <c r="AF49" i="4"/>
  <c r="C13" i="4"/>
  <c r="Q31" i="4"/>
  <c r="AF13" i="4"/>
  <c r="BH49" i="82"/>
  <c r="BH19" i="81"/>
  <c r="BH62" i="78"/>
  <c r="BH17" i="78"/>
  <c r="BH36" i="78" s="1"/>
  <c r="BH6" i="78"/>
  <c r="BH25" i="78" s="1"/>
  <c r="BH67" i="78"/>
  <c r="BH9" i="78"/>
  <c r="BH28" i="78" s="1"/>
  <c r="BH18" i="78"/>
  <c r="BH37" i="78" s="1"/>
  <c r="BH118" i="74"/>
  <c r="BH106" i="74"/>
  <c r="BH94" i="76"/>
  <c r="BH121" i="70"/>
  <c r="BH66" i="70"/>
  <c r="BH48" i="70"/>
  <c r="BH63" i="67"/>
  <c r="BH7" i="1"/>
  <c r="BF28" i="75"/>
  <c r="AV56" i="67"/>
  <c r="AV57" i="73"/>
  <c r="AW35" i="1"/>
  <c r="BE114" i="75"/>
  <c r="BF114" i="75"/>
  <c r="AW91" i="80"/>
  <c r="AV91" i="80"/>
  <c r="BF137" i="70"/>
  <c r="BH42" i="69"/>
  <c r="BE45" i="82" l="1"/>
  <c r="B20" i="2"/>
  <c r="AU31" i="10"/>
  <c r="AA9" i="20"/>
  <c r="AA18" i="20"/>
  <c r="C9" i="65"/>
  <c r="B82" i="74"/>
  <c r="AW19" i="10"/>
  <c r="O82" i="75"/>
  <c r="AT74" i="4"/>
  <c r="AO2" i="82"/>
  <c r="AU14" i="10"/>
  <c r="AE23" i="10" s="1"/>
  <c r="AV36" i="10"/>
  <c r="AA10" i="20"/>
  <c r="AA19" i="20"/>
  <c r="C74" i="4"/>
  <c r="O28" i="82"/>
  <c r="B8" i="77"/>
  <c r="AW20" i="10"/>
  <c r="B214" i="2" s="1"/>
  <c r="AU66" i="76" s="1"/>
  <c r="AI4" i="10"/>
  <c r="F17" i="2"/>
  <c r="AA11" i="20"/>
  <c r="O25" i="4"/>
  <c r="Q74" i="4"/>
  <c r="AF28" i="65"/>
  <c r="N83" i="73"/>
  <c r="C104" i="4"/>
  <c r="AU16" i="10"/>
  <c r="AY10" i="77" s="1"/>
  <c r="AW21" i="10"/>
  <c r="AA7" i="20"/>
  <c r="B25" i="10"/>
  <c r="B10" i="7"/>
  <c r="I8" i="7"/>
  <c r="B6" i="74"/>
  <c r="AA12" i="20"/>
  <c r="AD25" i="4"/>
  <c r="Q85" i="4"/>
  <c r="Q13" i="65"/>
  <c r="B84" i="75"/>
  <c r="C394" i="2"/>
  <c r="U17" i="10"/>
  <c r="AW22" i="10"/>
  <c r="B4" i="2"/>
  <c r="C10" i="7"/>
  <c r="AA13" i="20"/>
  <c r="AR25" i="4"/>
  <c r="C94" i="4"/>
  <c r="C395" i="2"/>
  <c r="AU6" i="10"/>
  <c r="AM23" i="10"/>
  <c r="F15" i="2"/>
  <c r="G2" i="76"/>
  <c r="H19" i="1"/>
  <c r="B10" i="20"/>
  <c r="D22" i="2"/>
  <c r="AU4" i="10"/>
  <c r="AA17" i="20"/>
  <c r="AR43" i="4"/>
  <c r="B61" i="4"/>
  <c r="C396" i="2"/>
  <c r="AU7" i="10"/>
  <c r="AU20" i="10"/>
  <c r="AA14" i="2" s="1"/>
  <c r="O2" i="70"/>
  <c r="B5" i="2"/>
  <c r="E22" i="2"/>
  <c r="B7" i="81"/>
  <c r="AA20" i="20"/>
  <c r="B72" i="4"/>
  <c r="AU8" i="10"/>
  <c r="AU21" i="10"/>
  <c r="AA15" i="2" s="1"/>
  <c r="F22" i="2"/>
  <c r="B10" i="74"/>
  <c r="B7" i="20"/>
  <c r="AA21" i="20"/>
  <c r="B83" i="4"/>
  <c r="U27" i="10"/>
  <c r="AT20" i="4"/>
  <c r="AU19" i="10"/>
  <c r="AA13" i="2" s="1"/>
  <c r="O2" i="65"/>
  <c r="AI2" i="74"/>
  <c r="B20" i="20"/>
  <c r="I22" i="2"/>
  <c r="AD28" i="10"/>
  <c r="AF52" i="4"/>
  <c r="Q76" i="4"/>
  <c r="AW16" i="10"/>
  <c r="B22" i="20"/>
  <c r="J22" i="2"/>
  <c r="AU10" i="10"/>
  <c r="AW17" i="10"/>
  <c r="AT13" i="4"/>
  <c r="P7" i="20"/>
  <c r="K22" i="2"/>
  <c r="AU30" i="10"/>
  <c r="AA24" i="20"/>
  <c r="AU11" i="10"/>
  <c r="T9" i="2" s="1"/>
  <c r="AW18" i="10"/>
  <c r="AF74" i="4"/>
  <c r="AF9" i="65"/>
  <c r="AF17" i="65"/>
  <c r="B8" i="81"/>
  <c r="B8" i="82"/>
  <c r="AO2" i="4"/>
  <c r="B8" i="73"/>
  <c r="B8" i="1"/>
  <c r="B8" i="76"/>
  <c r="B8" i="78"/>
  <c r="AO2" i="70"/>
  <c r="B8" i="80"/>
  <c r="AO2" i="71"/>
  <c r="AO2" i="10"/>
  <c r="H28" i="68"/>
  <c r="H30" i="76"/>
  <c r="H20" i="80"/>
  <c r="O67" i="75"/>
  <c r="O2" i="73"/>
  <c r="H19" i="77"/>
  <c r="H20" i="82"/>
  <c r="H22" i="75"/>
  <c r="H27" i="74"/>
  <c r="H25" i="82"/>
  <c r="O2" i="74"/>
  <c r="H30" i="73"/>
  <c r="H20" i="1"/>
  <c r="O2" i="81"/>
  <c r="H28" i="76"/>
  <c r="H20" i="75"/>
  <c r="H20" i="78"/>
  <c r="O2" i="75"/>
  <c r="O2" i="10"/>
  <c r="H20" i="74"/>
  <c r="O67" i="76"/>
  <c r="E10" i="7"/>
  <c r="H28" i="77"/>
  <c r="H30" i="75"/>
  <c r="H25" i="78"/>
  <c r="O2" i="77"/>
  <c r="H22" i="77"/>
  <c r="O67" i="71"/>
  <c r="H22" i="76"/>
  <c r="H25" i="80"/>
  <c r="G2" i="71"/>
  <c r="B4" i="4"/>
  <c r="H19" i="80"/>
  <c r="H25" i="81"/>
  <c r="H19" i="81"/>
  <c r="O2" i="80"/>
  <c r="G2" i="66"/>
  <c r="C28" i="65"/>
  <c r="H22" i="74"/>
  <c r="H19" i="82"/>
  <c r="H28" i="75"/>
  <c r="O2" i="82"/>
  <c r="H30" i="74"/>
  <c r="H20" i="77"/>
  <c r="H27" i="75"/>
  <c r="H19" i="74"/>
  <c r="H19" i="75"/>
  <c r="H27" i="77"/>
  <c r="H28" i="74"/>
  <c r="H27" i="76"/>
  <c r="H19" i="78"/>
  <c r="O67" i="74"/>
  <c r="B10" i="1"/>
  <c r="O2" i="68"/>
  <c r="O2" i="71"/>
  <c r="O2" i="4"/>
  <c r="O2" i="67"/>
  <c r="O2" i="69"/>
  <c r="O2" i="20"/>
  <c r="H27" i="73"/>
  <c r="H27" i="68"/>
  <c r="BH12" i="82"/>
  <c r="BH41" i="81"/>
  <c r="BH40" i="75"/>
  <c r="BH85" i="74"/>
  <c r="BH51" i="76"/>
  <c r="BH10" i="76"/>
  <c r="BH53" i="76"/>
  <c r="BH97" i="73"/>
  <c r="BH90" i="71"/>
  <c r="BH49" i="69"/>
  <c r="BH7" i="67"/>
  <c r="BH79" i="1"/>
  <c r="BH55" i="1"/>
  <c r="O81" i="71"/>
  <c r="AC81" i="76"/>
  <c r="AC79" i="75"/>
  <c r="S81" i="71"/>
  <c r="AC81" i="71"/>
  <c r="AE80" i="75"/>
  <c r="Q81" i="73"/>
  <c r="O81" i="73"/>
  <c r="AI81" i="71"/>
  <c r="AG80" i="76"/>
  <c r="AC81" i="70"/>
  <c r="K225" i="2"/>
  <c r="Y81" i="70"/>
  <c r="AC80" i="76"/>
  <c r="AG79" i="76"/>
  <c r="AA81" i="70"/>
  <c r="AE79" i="76"/>
  <c r="B6" i="75"/>
  <c r="B6" i="71"/>
  <c r="AY15" i="71"/>
  <c r="AY23" i="71"/>
  <c r="AY23" i="66"/>
  <c r="AY15" i="66"/>
  <c r="H196" i="7"/>
  <c r="H243" i="7"/>
  <c r="H225" i="7"/>
  <c r="H207" i="7"/>
  <c r="H224" i="7"/>
  <c r="H206" i="7"/>
  <c r="H226" i="7"/>
  <c r="H242" i="7"/>
  <c r="H190" i="7"/>
  <c r="H227" i="7"/>
  <c r="H209" i="7"/>
  <c r="H191" i="7"/>
  <c r="H208" i="7"/>
  <c r="AU17" i="10"/>
  <c r="AA11" i="2" s="1"/>
  <c r="AU18" i="10"/>
  <c r="AA12" i="2" s="1"/>
  <c r="B6" i="80"/>
  <c r="B6" i="76"/>
  <c r="B84" i="71"/>
  <c r="B84" i="74"/>
  <c r="B6" i="82"/>
  <c r="B84" i="76"/>
  <c r="O67" i="70"/>
  <c r="O2" i="1"/>
  <c r="B6" i="81"/>
  <c r="B6" i="77"/>
  <c r="C85" i="4"/>
  <c r="B6" i="78"/>
  <c r="O67" i="73"/>
  <c r="AY80" i="71"/>
  <c r="BH125" i="71" s="1"/>
  <c r="AE28" i="10"/>
  <c r="M193" i="7" s="1"/>
  <c r="C68" i="4"/>
  <c r="AV35" i="73"/>
  <c r="BF62" i="67"/>
  <c r="AV105" i="78"/>
  <c r="AW23" i="69"/>
  <c r="BE65" i="80"/>
  <c r="BE84" i="75"/>
  <c r="BF108" i="74"/>
  <c r="BH68" i="74"/>
  <c r="BH94" i="67"/>
  <c r="BH56" i="67"/>
  <c r="BH49" i="66"/>
  <c r="BH100" i="78"/>
  <c r="BH64" i="75"/>
  <c r="BH53" i="74"/>
  <c r="BH41" i="74"/>
  <c r="BH109" i="73"/>
  <c r="BH91" i="71"/>
  <c r="BH57" i="71"/>
  <c r="BH51" i="70"/>
  <c r="BH87" i="68"/>
  <c r="BH45" i="67"/>
  <c r="BH99" i="66"/>
  <c r="BH53" i="1"/>
  <c r="BH12" i="1"/>
  <c r="BH6" i="77"/>
  <c r="BH56" i="82"/>
  <c r="BH42" i="82"/>
  <c r="BH63" i="81"/>
  <c r="BH79" i="80"/>
  <c r="BH6" i="80"/>
  <c r="BH21" i="80" s="1"/>
  <c r="AY13" i="80"/>
  <c r="BH64" i="78"/>
  <c r="BH65" i="76"/>
  <c r="BH55" i="73"/>
  <c r="BH47" i="71"/>
  <c r="BH93" i="70"/>
  <c r="BH88" i="69"/>
  <c r="BH12" i="67"/>
  <c r="BH58" i="67"/>
  <c r="BH76" i="78"/>
  <c r="BH52" i="75"/>
  <c r="BH51" i="71"/>
  <c r="BH110" i="71"/>
  <c r="BH39" i="71"/>
  <c r="BH8" i="71"/>
  <c r="AY125" i="71"/>
  <c r="BF94" i="69"/>
  <c r="AE81" i="71"/>
  <c r="AE79" i="74"/>
  <c r="W81" i="73"/>
  <c r="AG81" i="70"/>
  <c r="U80" i="73"/>
  <c r="AI80" i="76"/>
  <c r="AG80" i="74"/>
  <c r="AI79" i="75"/>
  <c r="AI79" i="76"/>
  <c r="BH42" i="68"/>
  <c r="BF109" i="70"/>
  <c r="BF116" i="74"/>
  <c r="AW21" i="82"/>
  <c r="BH47" i="66"/>
  <c r="AY123" i="66"/>
  <c r="BH131" i="66" s="1"/>
  <c r="BH7" i="66"/>
  <c r="AY119" i="66"/>
  <c r="BH127" i="66" s="1"/>
  <c r="BH92" i="66"/>
  <c r="BH63" i="66"/>
  <c r="BH80" i="66"/>
  <c r="BH9" i="66"/>
  <c r="BH108" i="66"/>
  <c r="BH58" i="66"/>
  <c r="BF129" i="66"/>
  <c r="BH88" i="66"/>
  <c r="BH119" i="66"/>
  <c r="AU54" i="73"/>
  <c r="BD88" i="74"/>
  <c r="BE88" i="74" s="1"/>
  <c r="AU54" i="74"/>
  <c r="AW54" i="74" s="1"/>
  <c r="BD78" i="76"/>
  <c r="BE78" i="76" s="1"/>
  <c r="BD88" i="66"/>
  <c r="BF88" i="66" s="1"/>
  <c r="BD34" i="77"/>
  <c r="H501" i="7"/>
  <c r="D228" i="2"/>
  <c r="AW39" i="77"/>
  <c r="H395" i="7"/>
  <c r="H394" i="7"/>
  <c r="L225" i="2"/>
  <c r="C342" i="2"/>
  <c r="C239" i="2"/>
  <c r="L354" i="2"/>
  <c r="AU63" i="66"/>
  <c r="AV63" i="66" s="1"/>
  <c r="E315" i="2"/>
  <c r="D342" i="2"/>
  <c r="E327" i="2"/>
  <c r="BD40" i="74"/>
  <c r="BE40" i="74" s="1"/>
  <c r="L342" i="2"/>
  <c r="AU63" i="71"/>
  <c r="AV63" i="71" s="1"/>
  <c r="K341" i="2"/>
  <c r="K239" i="2"/>
  <c r="BD44" i="68"/>
  <c r="BE44" i="68" s="1"/>
  <c r="K315" i="2"/>
  <c r="BD100" i="1"/>
  <c r="BE100" i="1" s="1"/>
  <c r="BD35" i="77"/>
  <c r="C327" i="2"/>
  <c r="D264" i="2"/>
  <c r="D276" i="2"/>
  <c r="D327" i="2"/>
  <c r="C219" i="2"/>
  <c r="L219" i="2"/>
  <c r="BD119" i="73"/>
  <c r="BF119" i="73" s="1"/>
  <c r="BD89" i="73"/>
  <c r="BE89" i="73" s="1"/>
  <c r="L304" i="2"/>
  <c r="BD40" i="70"/>
  <c r="BE40" i="70" s="1"/>
  <c r="E239" i="2"/>
  <c r="BD102" i="71"/>
  <c r="BE102" i="71" s="1"/>
  <c r="AU54" i="67"/>
  <c r="AV54" i="67" s="1"/>
  <c r="BD64" i="66"/>
  <c r="C315" i="2"/>
  <c r="D290" i="2"/>
  <c r="BD107" i="67"/>
  <c r="BD40" i="71"/>
  <c r="BF40" i="71" s="1"/>
  <c r="L305" i="2"/>
  <c r="BD119" i="67"/>
  <c r="BF119" i="67" s="1"/>
  <c r="BD78" i="78"/>
  <c r="BF78" i="78" s="1"/>
  <c r="AU54" i="70"/>
  <c r="AW54" i="70" s="1"/>
  <c r="BD64" i="71"/>
  <c r="BF64" i="71" s="1"/>
  <c r="AU134" i="73"/>
  <c r="AV134" i="73" s="1"/>
  <c r="BD40" i="73"/>
  <c r="BD89" i="70"/>
  <c r="AU16" i="75"/>
  <c r="AW16" i="75" s="1"/>
  <c r="L369" i="2"/>
  <c r="BD89" i="71"/>
  <c r="BF89" i="71" s="1"/>
  <c r="AU55" i="67"/>
  <c r="AW55" i="67" s="1"/>
  <c r="BD119" i="70"/>
  <c r="BF119" i="70" s="1"/>
  <c r="L314" i="2"/>
  <c r="BD71" i="80"/>
  <c r="BE71" i="80" s="1"/>
  <c r="AU60" i="76"/>
  <c r="AW60" i="76" s="1"/>
  <c r="L227" i="2"/>
  <c r="BD117" i="1"/>
  <c r="AU74" i="70"/>
  <c r="BD77" i="69"/>
  <c r="BD87" i="66"/>
  <c r="BF87" i="66" s="1"/>
  <c r="BD82" i="74"/>
  <c r="BD24" i="82"/>
  <c r="BD67" i="81"/>
  <c r="BE67" i="81" s="1"/>
  <c r="AU14" i="82"/>
  <c r="AW14" i="82" s="1"/>
  <c r="BD99" i="78"/>
  <c r="BF99" i="78" s="1"/>
  <c r="C340" i="2"/>
  <c r="BD99" i="1"/>
  <c r="BF99" i="1" s="1"/>
  <c r="E352" i="2"/>
  <c r="C314" i="2"/>
  <c r="BD83" i="80"/>
  <c r="BE83" i="80" s="1"/>
  <c r="D340" i="2"/>
  <c r="BD99" i="71"/>
  <c r="BD87" i="71"/>
  <c r="BF87" i="71" s="1"/>
  <c r="AV41" i="67"/>
  <c r="C352" i="2"/>
  <c r="K340" i="2"/>
  <c r="BD64" i="75"/>
  <c r="BE64" i="75" s="1"/>
  <c r="C237" i="2"/>
  <c r="BD65" i="82"/>
  <c r="BE65" i="82" s="1"/>
  <c r="BD79" i="81"/>
  <c r="BE79" i="81" s="1"/>
  <c r="C326" i="2"/>
  <c r="BD117" i="67"/>
  <c r="BD82" i="70"/>
  <c r="E237" i="2"/>
  <c r="L367" i="2"/>
  <c r="BD117" i="71"/>
  <c r="BF117" i="71" s="1"/>
  <c r="K226" i="2"/>
  <c r="AU87" i="74"/>
  <c r="AW87" i="74" s="1"/>
  <c r="BD132" i="74"/>
  <c r="BF132" i="74" s="1"/>
  <c r="BD64" i="76"/>
  <c r="BF64" i="76" s="1"/>
  <c r="L237" i="2"/>
  <c r="K301" i="2"/>
  <c r="E367" i="2"/>
  <c r="AU60" i="69"/>
  <c r="BD91" i="75"/>
  <c r="BD24" i="69"/>
  <c r="K352" i="2"/>
  <c r="BD99" i="73"/>
  <c r="BD87" i="1"/>
  <c r="BE87" i="1" s="1"/>
  <c r="D237" i="2"/>
  <c r="BD38" i="1"/>
  <c r="BE38" i="1" s="1"/>
  <c r="AU74" i="66"/>
  <c r="AV74" i="66" s="1"/>
  <c r="AU74" i="67"/>
  <c r="AV74" i="67" s="1"/>
  <c r="BD87" i="70"/>
  <c r="BE87" i="70" s="1"/>
  <c r="L340" i="2"/>
  <c r="BD24" i="75"/>
  <c r="K229" i="2"/>
  <c r="BF58" i="81"/>
  <c r="BE58" i="81"/>
  <c r="D239" i="2"/>
  <c r="BD67" i="75"/>
  <c r="BF67" i="75" s="1"/>
  <c r="K305" i="2"/>
  <c r="D277" i="2"/>
  <c r="C277" i="2"/>
  <c r="E277" i="2"/>
  <c r="BD51" i="69"/>
  <c r="BE51" i="69" s="1"/>
  <c r="BD57" i="74"/>
  <c r="AU63" i="73"/>
  <c r="AW63" i="73" s="1"/>
  <c r="BD93" i="76"/>
  <c r="BD89" i="66"/>
  <c r="BF89" i="66" s="1"/>
  <c r="D305" i="2"/>
  <c r="BD80" i="76"/>
  <c r="BE80" i="76" s="1"/>
  <c r="BD80" i="75"/>
  <c r="BE80" i="75" s="1"/>
  <c r="BD65" i="1"/>
  <c r="BF65" i="1" s="1"/>
  <c r="BD58" i="80"/>
  <c r="BE58" i="80" s="1"/>
  <c r="BD65" i="73"/>
  <c r="BE65" i="73" s="1"/>
  <c r="BD29" i="77"/>
  <c r="BE29" i="77" s="1"/>
  <c r="L290" i="2"/>
  <c r="E329" i="2"/>
  <c r="AU51" i="78"/>
  <c r="AU51" i="76"/>
  <c r="AU63" i="74"/>
  <c r="AU63" i="70"/>
  <c r="BD89" i="74"/>
  <c r="BD119" i="1"/>
  <c r="BE119" i="1" s="1"/>
  <c r="K369" i="2"/>
  <c r="BD65" i="67"/>
  <c r="BE65" i="67" s="1"/>
  <c r="L264" i="2"/>
  <c r="BD48" i="82"/>
  <c r="BF48" i="82" s="1"/>
  <c r="BD45" i="73"/>
  <c r="BE45" i="73" s="1"/>
  <c r="D329" i="2"/>
  <c r="AU42" i="80"/>
  <c r="AV42" i="80" s="1"/>
  <c r="BD51" i="76"/>
  <c r="BE51" i="76" s="1"/>
  <c r="K316" i="2"/>
  <c r="AU55" i="70"/>
  <c r="BD93" i="69"/>
  <c r="AU63" i="67"/>
  <c r="AW63" i="67" s="1"/>
  <c r="BD65" i="71"/>
  <c r="BE65" i="71" s="1"/>
  <c r="E252" i="2"/>
  <c r="E219" i="2"/>
  <c r="AU41" i="81"/>
  <c r="AV41" i="81" s="1"/>
  <c r="D316" i="2"/>
  <c r="BD57" i="67"/>
  <c r="BF57" i="67" s="1"/>
  <c r="BD51" i="75"/>
  <c r="C264" i="2"/>
  <c r="BD70" i="78"/>
  <c r="BD45" i="74"/>
  <c r="K219" i="2"/>
  <c r="AU51" i="69"/>
  <c r="AV51" i="69" s="1"/>
  <c r="BD89" i="1"/>
  <c r="BE89" i="1" s="1"/>
  <c r="AW49" i="76"/>
  <c r="E316" i="2"/>
  <c r="BD80" i="69"/>
  <c r="BE80" i="69" s="1"/>
  <c r="BD66" i="80"/>
  <c r="BF66" i="80" s="1"/>
  <c r="K277" i="2"/>
  <c r="BD43" i="69"/>
  <c r="K252" i="2"/>
  <c r="D219" i="2"/>
  <c r="BD102" i="70"/>
  <c r="BE102" i="70" s="1"/>
  <c r="BD26" i="82"/>
  <c r="D354" i="2"/>
  <c r="BD94" i="68"/>
  <c r="BF94" i="68" s="1"/>
  <c r="AU51" i="68"/>
  <c r="AV51" i="68" s="1"/>
  <c r="L316" i="2"/>
  <c r="BD65" i="70"/>
  <c r="BE65" i="70" s="1"/>
  <c r="BD58" i="78"/>
  <c r="BF58" i="78" s="1"/>
  <c r="K264" i="2"/>
  <c r="L277" i="2"/>
  <c r="BD57" i="70"/>
  <c r="E369" i="2"/>
  <c r="C252" i="2"/>
  <c r="BD45" i="67"/>
  <c r="AU16" i="69"/>
  <c r="AW16" i="69" s="1"/>
  <c r="BD102" i="74"/>
  <c r="BE102" i="74" s="1"/>
  <c r="AU16" i="82"/>
  <c r="AW16" i="82" s="1"/>
  <c r="BD119" i="66"/>
  <c r="BE119" i="66" s="1"/>
  <c r="BD89" i="67"/>
  <c r="BE89" i="67" s="1"/>
  <c r="K354" i="2"/>
  <c r="AU55" i="73"/>
  <c r="AW55" i="73" s="1"/>
  <c r="BD64" i="77"/>
  <c r="BF64" i="77" s="1"/>
  <c r="BD52" i="68"/>
  <c r="BF52" i="68" s="1"/>
  <c r="BD43" i="75"/>
  <c r="BF43" i="75" s="1"/>
  <c r="C369" i="2"/>
  <c r="BD45" i="1"/>
  <c r="K329" i="2"/>
  <c r="AU51" i="75"/>
  <c r="AW51" i="75" s="1"/>
  <c r="BD40" i="82"/>
  <c r="BE40" i="82" s="1"/>
  <c r="BD89" i="78"/>
  <c r="BE89" i="78" s="1"/>
  <c r="BD81" i="68"/>
  <c r="BF81" i="68" s="1"/>
  <c r="BD102" i="67"/>
  <c r="BD57" i="66"/>
  <c r="BF57" i="66" s="1"/>
  <c r="AU63" i="1"/>
  <c r="BD53" i="77"/>
  <c r="BD73" i="80"/>
  <c r="BD26" i="76"/>
  <c r="AU55" i="66"/>
  <c r="BD93" i="75"/>
  <c r="BF93" i="75" s="1"/>
  <c r="AU35" i="77"/>
  <c r="AV35" i="77" s="1"/>
  <c r="BD65" i="66"/>
  <c r="BE65" i="66" s="1"/>
  <c r="BD57" i="71"/>
  <c r="BE57" i="71" s="1"/>
  <c r="E264" i="2"/>
  <c r="AU16" i="76"/>
  <c r="AV16" i="76" s="1"/>
  <c r="L252" i="2"/>
  <c r="C329" i="2"/>
  <c r="BD102" i="1"/>
  <c r="BD55" i="82"/>
  <c r="C354" i="2"/>
  <c r="BD67" i="69"/>
  <c r="BD119" i="71"/>
  <c r="BF119" i="71" s="1"/>
  <c r="BD68" i="68"/>
  <c r="BE68" i="68" s="1"/>
  <c r="BD102" i="73"/>
  <c r="BE102" i="73" s="1"/>
  <c r="BD57" i="1"/>
  <c r="BF57" i="1" s="1"/>
  <c r="BD65" i="74"/>
  <c r="BF65" i="74" s="1"/>
  <c r="BD43" i="76"/>
  <c r="BF43" i="76" s="1"/>
  <c r="BD128" i="1"/>
  <c r="BD128" i="67"/>
  <c r="AU134" i="70"/>
  <c r="AV134" i="70" s="1"/>
  <c r="L224" i="2"/>
  <c r="D224" i="2"/>
  <c r="BD131" i="74"/>
  <c r="BE131" i="74" s="1"/>
  <c r="C228" i="2"/>
  <c r="AU104" i="69"/>
  <c r="AV104" i="69" s="1"/>
  <c r="AU85" i="74"/>
  <c r="AW85" i="74" s="1"/>
  <c r="H200" i="7"/>
  <c r="H181" i="7"/>
  <c r="H180" i="7"/>
  <c r="H172" i="7"/>
  <c r="H163" i="7"/>
  <c r="H189" i="7"/>
  <c r="H171" i="7"/>
  <c r="D109" i="2"/>
  <c r="AU103" i="68"/>
  <c r="AW40" i="73"/>
  <c r="K224" i="2"/>
  <c r="E229" i="2"/>
  <c r="D230" i="2"/>
  <c r="AU87" i="75"/>
  <c r="AW87" i="75" s="1"/>
  <c r="BD129" i="67"/>
  <c r="BF129" i="67" s="1"/>
  <c r="BD104" i="75"/>
  <c r="E224" i="2"/>
  <c r="C225" i="2"/>
  <c r="BD105" i="75"/>
  <c r="BF105" i="75" s="1"/>
  <c r="C226" i="2"/>
  <c r="E225" i="2"/>
  <c r="BD115" i="75"/>
  <c r="BE115" i="75" s="1"/>
  <c r="AU120" i="66"/>
  <c r="AW120" i="66" s="1"/>
  <c r="AU85" i="75"/>
  <c r="AW85" i="75" s="1"/>
  <c r="AU140" i="74"/>
  <c r="BD73" i="77"/>
  <c r="L109" i="2"/>
  <c r="AW104" i="78"/>
  <c r="AV104" i="78"/>
  <c r="AW109" i="76"/>
  <c r="AV109" i="76"/>
  <c r="L229" i="2"/>
  <c r="D229" i="2"/>
  <c r="K231" i="2"/>
  <c r="AU92" i="74"/>
  <c r="AV92" i="74" s="1"/>
  <c r="D140" i="2"/>
  <c r="L231" i="2"/>
  <c r="C231" i="2"/>
  <c r="BD137" i="74"/>
  <c r="BE137" i="74" s="1"/>
  <c r="BD135" i="74"/>
  <c r="BE135" i="74" s="1"/>
  <c r="D231" i="2"/>
  <c r="AU90" i="75"/>
  <c r="AV90" i="75" s="1"/>
  <c r="AU90" i="74"/>
  <c r="AW90" i="74" s="1"/>
  <c r="BD110" i="75"/>
  <c r="BE110" i="75" s="1"/>
  <c r="D226" i="2"/>
  <c r="BF50" i="70"/>
  <c r="AW40" i="70"/>
  <c r="AU109" i="85"/>
  <c r="BD157" i="85"/>
  <c r="AU114" i="87"/>
  <c r="BD157" i="86"/>
  <c r="BD160" i="87"/>
  <c r="AU109" i="86"/>
  <c r="AU56" i="87"/>
  <c r="AU56" i="86"/>
  <c r="AU56" i="85"/>
  <c r="AU56" i="84"/>
  <c r="AU56" i="83"/>
  <c r="L307" i="2"/>
  <c r="AU63" i="87"/>
  <c r="AU63" i="86"/>
  <c r="AU63" i="85"/>
  <c r="AU63" i="84"/>
  <c r="AU63" i="83"/>
  <c r="BD106" i="86"/>
  <c r="BD106" i="87"/>
  <c r="BD106" i="85"/>
  <c r="BD106" i="84"/>
  <c r="BD106" i="83"/>
  <c r="AU71" i="87"/>
  <c r="AU71" i="86"/>
  <c r="BD118" i="85"/>
  <c r="AU71" i="85"/>
  <c r="BD118" i="86"/>
  <c r="BD118" i="87"/>
  <c r="BD118" i="84"/>
  <c r="AU71" i="84"/>
  <c r="AU71" i="83"/>
  <c r="BD118" i="83"/>
  <c r="BD122" i="85"/>
  <c r="BD122" i="87"/>
  <c r="BD122" i="86"/>
  <c r="BD122" i="84"/>
  <c r="BD122" i="83"/>
  <c r="E354" i="2"/>
  <c r="BD133" i="85"/>
  <c r="BD133" i="86"/>
  <c r="BD133" i="87"/>
  <c r="BD133" i="84"/>
  <c r="BD133" i="83"/>
  <c r="AU92" i="75"/>
  <c r="AV92" i="75" s="1"/>
  <c r="AU115" i="87"/>
  <c r="BD158" i="85"/>
  <c r="BD158" i="86"/>
  <c r="BD161" i="87"/>
  <c r="AU110" i="86"/>
  <c r="AU110" i="85"/>
  <c r="AU51" i="1"/>
  <c r="AW51" i="1" s="1"/>
  <c r="AU57" i="87"/>
  <c r="AU57" i="86"/>
  <c r="AU57" i="85"/>
  <c r="AU57" i="84"/>
  <c r="AU57" i="83"/>
  <c r="AU58" i="74"/>
  <c r="AV58" i="74" s="1"/>
  <c r="AU64" i="87"/>
  <c r="AU64" i="86"/>
  <c r="AU64" i="85"/>
  <c r="AU64" i="84"/>
  <c r="AU64" i="83"/>
  <c r="BD93" i="74"/>
  <c r="BE93" i="74" s="1"/>
  <c r="BD107" i="85"/>
  <c r="BD107" i="87"/>
  <c r="BD107" i="86"/>
  <c r="BD107" i="84"/>
  <c r="BD107" i="83"/>
  <c r="AU73" i="87"/>
  <c r="AU73" i="86"/>
  <c r="AU73" i="85"/>
  <c r="AU73" i="84"/>
  <c r="AU73" i="83"/>
  <c r="BD123" i="87"/>
  <c r="BD123" i="86"/>
  <c r="BD123" i="85"/>
  <c r="BD123" i="84"/>
  <c r="BD123" i="83"/>
  <c r="BD134" i="85"/>
  <c r="BD134" i="86"/>
  <c r="BD134" i="87"/>
  <c r="BD134" i="84"/>
  <c r="BD134" i="83"/>
  <c r="C109" i="2"/>
  <c r="C227" i="2"/>
  <c r="AU116" i="87"/>
  <c r="BD159" i="86"/>
  <c r="BD159" i="85"/>
  <c r="AU111" i="86"/>
  <c r="BD162" i="87"/>
  <c r="AU111" i="85"/>
  <c r="AU58" i="87"/>
  <c r="AU58" i="86"/>
  <c r="AU58" i="85"/>
  <c r="AU58" i="84"/>
  <c r="AU58" i="83"/>
  <c r="AU65" i="85"/>
  <c r="AU65" i="87"/>
  <c r="AU65" i="86"/>
  <c r="AU65" i="84"/>
  <c r="AU65" i="83"/>
  <c r="BD108" i="87"/>
  <c r="BD108" i="86"/>
  <c r="BD108" i="85"/>
  <c r="BD108" i="84"/>
  <c r="BD108" i="83"/>
  <c r="BD135" i="87"/>
  <c r="BD135" i="86"/>
  <c r="BD135" i="85"/>
  <c r="BD135" i="84"/>
  <c r="BD135" i="83"/>
  <c r="K109" i="2"/>
  <c r="D227" i="2"/>
  <c r="AU50" i="87"/>
  <c r="BD86" i="87"/>
  <c r="BD86" i="86"/>
  <c r="BD86" i="85"/>
  <c r="AU50" i="86"/>
  <c r="AU50" i="85"/>
  <c r="BD86" i="84"/>
  <c r="AU50" i="84"/>
  <c r="AU50" i="83"/>
  <c r="BD86" i="83"/>
  <c r="BD92" i="87"/>
  <c r="BD92" i="86"/>
  <c r="BD92" i="85"/>
  <c r="BD92" i="84"/>
  <c r="BD92" i="83"/>
  <c r="AU66" i="85"/>
  <c r="AU66" i="87"/>
  <c r="AU66" i="86"/>
  <c r="AU66" i="84"/>
  <c r="AU66" i="83"/>
  <c r="BD109" i="87"/>
  <c r="BD109" i="86"/>
  <c r="BD109" i="85"/>
  <c r="BD109" i="84"/>
  <c r="BD109" i="83"/>
  <c r="AU74" i="87"/>
  <c r="AU74" i="85"/>
  <c r="AU74" i="86"/>
  <c r="AU74" i="84"/>
  <c r="AU74" i="83"/>
  <c r="BD124" i="86"/>
  <c r="BD124" i="85"/>
  <c r="BD124" i="87"/>
  <c r="BD124" i="84"/>
  <c r="BD124" i="83"/>
  <c r="BD137" i="86"/>
  <c r="BD137" i="85"/>
  <c r="BD137" i="87"/>
  <c r="AU82" i="87"/>
  <c r="AU82" i="86"/>
  <c r="AU82" i="85"/>
  <c r="BD137" i="84"/>
  <c r="AU82" i="84"/>
  <c r="BD137" i="83"/>
  <c r="AU82" i="83"/>
  <c r="AE81" i="73"/>
  <c r="K227" i="2"/>
  <c r="AU51" i="87"/>
  <c r="AU51" i="86"/>
  <c r="AU51" i="85"/>
  <c r="BD87" i="85"/>
  <c r="BD87" i="87"/>
  <c r="BD87" i="86"/>
  <c r="AU51" i="84"/>
  <c r="BD87" i="84"/>
  <c r="BD87" i="83"/>
  <c r="AU51" i="83"/>
  <c r="BD79" i="1"/>
  <c r="BE79" i="1" s="1"/>
  <c r="BD93" i="86"/>
  <c r="BD93" i="85"/>
  <c r="BD93" i="87"/>
  <c r="BD93" i="84"/>
  <c r="BD93" i="83"/>
  <c r="K311" i="2"/>
  <c r="AU67" i="87"/>
  <c r="AU67" i="86"/>
  <c r="AU67" i="85"/>
  <c r="AU67" i="84"/>
  <c r="AU67" i="83"/>
  <c r="K323" i="2"/>
  <c r="BD110" i="85"/>
  <c r="BD110" i="87"/>
  <c r="BD110" i="86"/>
  <c r="BD110" i="84"/>
  <c r="BD110" i="83"/>
  <c r="AU75" i="87"/>
  <c r="AU75" i="86"/>
  <c r="AU75" i="85"/>
  <c r="AU75" i="84"/>
  <c r="AU75" i="83"/>
  <c r="D346" i="2"/>
  <c r="BD125" i="86"/>
  <c r="BD125" i="87"/>
  <c r="BD125" i="85"/>
  <c r="BD125" i="84"/>
  <c r="BD125" i="83"/>
  <c r="BD60" i="76"/>
  <c r="BE60" i="76" s="1"/>
  <c r="BD88" i="87"/>
  <c r="BD88" i="86"/>
  <c r="BD88" i="85"/>
  <c r="AU52" i="87"/>
  <c r="AU52" i="86"/>
  <c r="AU52" i="85"/>
  <c r="BD88" i="84"/>
  <c r="AU52" i="84"/>
  <c r="BD88" i="83"/>
  <c r="AU52" i="83"/>
  <c r="BD94" i="86"/>
  <c r="BD94" i="85"/>
  <c r="BD94" i="87"/>
  <c r="BD94" i="84"/>
  <c r="BD94" i="83"/>
  <c r="BD99" i="86"/>
  <c r="BD99" i="85"/>
  <c r="BD99" i="87"/>
  <c r="BD99" i="84"/>
  <c r="BD99" i="83"/>
  <c r="BD75" i="76"/>
  <c r="BE75" i="76" s="1"/>
  <c r="BD111" i="86"/>
  <c r="BD111" i="87"/>
  <c r="BD111" i="85"/>
  <c r="BD111" i="84"/>
  <c r="BD111" i="83"/>
  <c r="AU76" i="87"/>
  <c r="AU76" i="86"/>
  <c r="AU76" i="85"/>
  <c r="AU76" i="84"/>
  <c r="AU76" i="83"/>
  <c r="BD126" i="87"/>
  <c r="BD126" i="86"/>
  <c r="BD126" i="85"/>
  <c r="BD126" i="84"/>
  <c r="BD126" i="83"/>
  <c r="L190" i="2"/>
  <c r="BD133" i="74"/>
  <c r="BF133" i="74" s="1"/>
  <c r="BD89" i="86"/>
  <c r="BD89" i="85"/>
  <c r="BD89" i="87"/>
  <c r="AU53" i="87"/>
  <c r="AU53" i="86"/>
  <c r="AU53" i="85"/>
  <c r="BD89" i="84"/>
  <c r="AU53" i="84"/>
  <c r="BD89" i="83"/>
  <c r="AU53" i="83"/>
  <c r="BD95" i="85"/>
  <c r="BD95" i="86"/>
  <c r="BD95" i="87"/>
  <c r="BD95" i="84"/>
  <c r="BD95" i="83"/>
  <c r="D313" i="2"/>
  <c r="BD100" i="86"/>
  <c r="BD100" i="85"/>
  <c r="BD100" i="87"/>
  <c r="BD100" i="84"/>
  <c r="BD100" i="83"/>
  <c r="BD82" i="80"/>
  <c r="BD112" i="86"/>
  <c r="BD112" i="87"/>
  <c r="BD112" i="85"/>
  <c r="BD112" i="84"/>
  <c r="BD112" i="83"/>
  <c r="AU77" i="87"/>
  <c r="AU77" i="86"/>
  <c r="AU77" i="85"/>
  <c r="AU77" i="84"/>
  <c r="AU77" i="83"/>
  <c r="BD127" i="85"/>
  <c r="BD127" i="86"/>
  <c r="BD127" i="87"/>
  <c r="BD127" i="84"/>
  <c r="BD127" i="83"/>
  <c r="C190" i="2"/>
  <c r="E226" i="2"/>
  <c r="BD130" i="74"/>
  <c r="BF130" i="74" s="1"/>
  <c r="BF130" i="70"/>
  <c r="BD111" i="75"/>
  <c r="BE111" i="75" s="1"/>
  <c r="BD107" i="75"/>
  <c r="BE107" i="75" s="1"/>
  <c r="AU86" i="75"/>
  <c r="BD39" i="87"/>
  <c r="BD39" i="86"/>
  <c r="BD39" i="85"/>
  <c r="BD39" i="84"/>
  <c r="BD39" i="83"/>
  <c r="E288" i="2"/>
  <c r="AU54" i="87"/>
  <c r="AU54" i="86"/>
  <c r="AU54" i="85"/>
  <c r="BD90" i="86"/>
  <c r="BD90" i="85"/>
  <c r="BD90" i="87"/>
  <c r="AU54" i="84"/>
  <c r="BD90" i="84"/>
  <c r="AU54" i="83"/>
  <c r="BD90" i="83"/>
  <c r="BD96" i="86"/>
  <c r="BD96" i="85"/>
  <c r="BD96" i="87"/>
  <c r="BD96" i="84"/>
  <c r="BD96" i="83"/>
  <c r="BD101" i="86"/>
  <c r="BD101" i="85"/>
  <c r="BD101" i="87"/>
  <c r="BD101" i="84"/>
  <c r="BD101" i="83"/>
  <c r="BD113" i="86"/>
  <c r="BD113" i="87"/>
  <c r="BD113" i="85"/>
  <c r="BD113" i="84"/>
  <c r="BD113" i="83"/>
  <c r="AU78" i="87"/>
  <c r="AU78" i="86"/>
  <c r="AU78" i="85"/>
  <c r="AU78" i="84"/>
  <c r="AU78" i="83"/>
  <c r="E349" i="2"/>
  <c r="BD128" i="85"/>
  <c r="BD128" i="87"/>
  <c r="BD128" i="86"/>
  <c r="BD128" i="84"/>
  <c r="BD128" i="83"/>
  <c r="BD149" i="86"/>
  <c r="BD149" i="85"/>
  <c r="AU147" i="87"/>
  <c r="BD152" i="87"/>
  <c r="AU142" i="86"/>
  <c r="AU142" i="85"/>
  <c r="BD149" i="84"/>
  <c r="AU142" i="84"/>
  <c r="BD149" i="83"/>
  <c r="AU142" i="83"/>
  <c r="AU60" i="87"/>
  <c r="AU60" i="86"/>
  <c r="AU60" i="85"/>
  <c r="AU60" i="84"/>
  <c r="AU60" i="83"/>
  <c r="BD102" i="86"/>
  <c r="BD102" i="85"/>
  <c r="BD102" i="87"/>
  <c r="BD102" i="84"/>
  <c r="BD102" i="83"/>
  <c r="K327" i="2"/>
  <c r="BD114" i="87"/>
  <c r="BD114" i="85"/>
  <c r="BD114" i="86"/>
  <c r="BD114" i="84"/>
  <c r="BD114" i="83"/>
  <c r="AU79" i="87"/>
  <c r="AU79" i="86"/>
  <c r="AU79" i="85"/>
  <c r="AU79" i="84"/>
  <c r="AU79" i="83"/>
  <c r="BD129" i="87"/>
  <c r="BD129" i="86"/>
  <c r="BD129" i="85"/>
  <c r="BD129" i="84"/>
  <c r="BD129" i="83"/>
  <c r="L362" i="2"/>
  <c r="AU148" i="87"/>
  <c r="BD153" i="87"/>
  <c r="BD150" i="86"/>
  <c r="AU143" i="86"/>
  <c r="BD150" i="85"/>
  <c r="AU143" i="85"/>
  <c r="BD150" i="84"/>
  <c r="AU143" i="84"/>
  <c r="BD150" i="83"/>
  <c r="AU143" i="83"/>
  <c r="E231" i="2"/>
  <c r="AU91" i="75"/>
  <c r="AV91" i="75" s="1"/>
  <c r="AU86" i="74"/>
  <c r="AV86" i="74" s="1"/>
  <c r="BD136" i="74"/>
  <c r="BF136" i="74" s="1"/>
  <c r="AU55" i="71"/>
  <c r="AV55" i="71" s="1"/>
  <c r="AU61" i="86"/>
  <c r="AU61" i="85"/>
  <c r="AU61" i="87"/>
  <c r="AU61" i="84"/>
  <c r="AU61" i="83"/>
  <c r="C316" i="2"/>
  <c r="BD103" i="86"/>
  <c r="BD103" i="85"/>
  <c r="BD103" i="87"/>
  <c r="BD103" i="84"/>
  <c r="BD103" i="83"/>
  <c r="BD102" i="66"/>
  <c r="BE102" i="66" s="1"/>
  <c r="AU69" i="87"/>
  <c r="AU69" i="86"/>
  <c r="BD116" i="85"/>
  <c r="AU69" i="85"/>
  <c r="BD116" i="86"/>
  <c r="BD116" i="87"/>
  <c r="AU69" i="84"/>
  <c r="BD116" i="84"/>
  <c r="BD116" i="83"/>
  <c r="AU69" i="83"/>
  <c r="AU80" i="87"/>
  <c r="AU80" i="86"/>
  <c r="AU80" i="85"/>
  <c r="AU80" i="84"/>
  <c r="AU80" i="83"/>
  <c r="BD130" i="85"/>
  <c r="BD130" i="86"/>
  <c r="BD130" i="87"/>
  <c r="BD130" i="84"/>
  <c r="BD130" i="83"/>
  <c r="AU90" i="80"/>
  <c r="AW90" i="80" s="1"/>
  <c r="AU149" i="87"/>
  <c r="AU144" i="85"/>
  <c r="BD154" i="87"/>
  <c r="BD151" i="85"/>
  <c r="BD151" i="86"/>
  <c r="AU144" i="86"/>
  <c r="BD151" i="84"/>
  <c r="AU144" i="84"/>
  <c r="BD151" i="83"/>
  <c r="AU144" i="83"/>
  <c r="K230" i="2"/>
  <c r="C230" i="2"/>
  <c r="K367" i="2"/>
  <c r="BD158" i="87"/>
  <c r="BD155" i="85"/>
  <c r="AU107" i="86"/>
  <c r="BD155" i="86"/>
  <c r="AU112" i="87"/>
  <c r="AU107" i="85"/>
  <c r="BD130" i="71"/>
  <c r="BF130" i="71" s="1"/>
  <c r="BD145" i="86"/>
  <c r="BD145" i="85"/>
  <c r="BD145" i="84"/>
  <c r="BD145" i="83"/>
  <c r="BD97" i="86"/>
  <c r="BD97" i="85"/>
  <c r="BD97" i="87"/>
  <c r="BD97" i="84"/>
  <c r="BD97" i="83"/>
  <c r="BD90" i="71"/>
  <c r="BD104" i="86"/>
  <c r="BD104" i="87"/>
  <c r="BD104" i="85"/>
  <c r="BD104" i="84"/>
  <c r="BD104" i="83"/>
  <c r="BD120" i="87"/>
  <c r="BD120" i="86"/>
  <c r="BD120" i="85"/>
  <c r="BD120" i="84"/>
  <c r="BD120" i="83"/>
  <c r="BD131" i="85"/>
  <c r="BD131" i="87"/>
  <c r="BD131" i="86"/>
  <c r="BD131" i="84"/>
  <c r="BD131" i="83"/>
  <c r="K360" i="2"/>
  <c r="BD130" i="66"/>
  <c r="BF130" i="66" s="1"/>
  <c r="AU150" i="87"/>
  <c r="BD155" i="87"/>
  <c r="AU145" i="85"/>
  <c r="BD152" i="86"/>
  <c r="AU145" i="86"/>
  <c r="BD152" i="85"/>
  <c r="AU145" i="84"/>
  <c r="BD152" i="84"/>
  <c r="BD152" i="83"/>
  <c r="AU145" i="83"/>
  <c r="E368" i="2"/>
  <c r="BD159" i="87"/>
  <c r="AU108" i="85"/>
  <c r="AU108" i="86"/>
  <c r="BD156" i="86"/>
  <c r="AU113" i="87"/>
  <c r="BD156" i="85"/>
  <c r="AU62" i="86"/>
  <c r="AU62" i="85"/>
  <c r="AU62" i="87"/>
  <c r="AU62" i="84"/>
  <c r="AU62" i="83"/>
  <c r="BD105" i="87"/>
  <c r="BD105" i="86"/>
  <c r="BD105" i="85"/>
  <c r="BD105" i="84"/>
  <c r="BD105" i="83"/>
  <c r="BD117" i="87"/>
  <c r="BD117" i="86"/>
  <c r="AU70" i="87"/>
  <c r="AU70" i="86"/>
  <c r="BD117" i="85"/>
  <c r="AU70" i="85"/>
  <c r="BD117" i="84"/>
  <c r="AU70" i="84"/>
  <c r="AU70" i="83"/>
  <c r="BD117" i="83"/>
  <c r="BD121" i="85"/>
  <c r="BD121" i="86"/>
  <c r="BD121" i="87"/>
  <c r="BD121" i="84"/>
  <c r="BD121" i="83"/>
  <c r="D353" i="2"/>
  <c r="BD132" i="85"/>
  <c r="BD132" i="87"/>
  <c r="BD132" i="86"/>
  <c r="BD132" i="84"/>
  <c r="BD132" i="83"/>
  <c r="E190" i="2"/>
  <c r="BD153" i="86"/>
  <c r="BD156" i="87"/>
  <c r="AU146" i="86"/>
  <c r="BD153" i="85"/>
  <c r="AU146" i="85"/>
  <c r="AU151" i="87"/>
  <c r="AU146" i="84"/>
  <c r="BD153" i="84"/>
  <c r="BD153" i="83"/>
  <c r="AU146" i="83"/>
  <c r="BH50" i="82"/>
  <c r="BH18" i="75"/>
  <c r="BH50" i="75"/>
  <c r="BH9" i="71"/>
  <c r="BH55" i="70"/>
  <c r="BH98" i="67"/>
  <c r="AI81" i="70"/>
  <c r="AC80" i="74"/>
  <c r="AU101" i="74" s="1"/>
  <c r="S81" i="70"/>
  <c r="W81" i="70"/>
  <c r="B10" i="70"/>
  <c r="B10" i="78"/>
  <c r="B4" i="20"/>
  <c r="AK9" i="75"/>
  <c r="AK9" i="85"/>
  <c r="AK9" i="87"/>
  <c r="AK9" i="86"/>
  <c r="AK9" i="84"/>
  <c r="AK9" i="83"/>
  <c r="BH150" i="85"/>
  <c r="BH150" i="84"/>
  <c r="BH150" i="86"/>
  <c r="BH153" i="87"/>
  <c r="BH150" i="83"/>
  <c r="O82" i="74"/>
  <c r="O84" i="87"/>
  <c r="U67" i="71"/>
  <c r="U67" i="86"/>
  <c r="U2" i="87"/>
  <c r="U67" i="85"/>
  <c r="U67" i="87"/>
  <c r="U2" i="86"/>
  <c r="U2" i="85"/>
  <c r="U2" i="84"/>
  <c r="U67" i="84"/>
  <c r="U2" i="83"/>
  <c r="U67" i="83"/>
  <c r="B10" i="75"/>
  <c r="AY84" i="87"/>
  <c r="AY84" i="86"/>
  <c r="AY85" i="86"/>
  <c r="AY85" i="85"/>
  <c r="AY85" i="87"/>
  <c r="AY84" i="85"/>
  <c r="AY85" i="84"/>
  <c r="AY84" i="84"/>
  <c r="AC82" i="74"/>
  <c r="AC84" i="87"/>
  <c r="B83" i="87"/>
  <c r="B83" i="86"/>
  <c r="B83" i="85"/>
  <c r="B83" i="84"/>
  <c r="B83" i="83"/>
  <c r="AO2" i="87"/>
  <c r="AO67" i="87"/>
  <c r="AO2" i="86"/>
  <c r="AO67" i="86"/>
  <c r="AO2" i="85"/>
  <c r="AO67" i="85"/>
  <c r="AO2" i="84"/>
  <c r="AO67" i="84"/>
  <c r="AO67" i="83"/>
  <c r="AO2" i="83"/>
  <c r="O81" i="75"/>
  <c r="O83" i="85"/>
  <c r="O83" i="87"/>
  <c r="O83" i="86"/>
  <c r="O83" i="84"/>
  <c r="O83" i="83"/>
  <c r="B30" i="87"/>
  <c r="B30" i="86"/>
  <c r="B30" i="85"/>
  <c r="B30" i="84"/>
  <c r="B30" i="83"/>
  <c r="B8" i="75"/>
  <c r="B8" i="86"/>
  <c r="B8" i="87"/>
  <c r="B8" i="85"/>
  <c r="B8" i="84"/>
  <c r="B8" i="83"/>
  <c r="N84" i="87"/>
  <c r="N84" i="86"/>
  <c r="N84" i="85"/>
  <c r="N84" i="84"/>
  <c r="N84" i="83"/>
  <c r="AY15" i="81"/>
  <c r="AY29" i="84"/>
  <c r="AY26" i="84"/>
  <c r="AY25" i="84"/>
  <c r="AY28" i="84"/>
  <c r="AY27" i="84"/>
  <c r="AY28" i="85"/>
  <c r="AY26" i="85"/>
  <c r="AY29" i="86"/>
  <c r="AY27" i="85"/>
  <c r="AY26" i="86"/>
  <c r="AY25" i="85"/>
  <c r="AY27" i="86"/>
  <c r="AY28" i="86"/>
  <c r="AY25" i="86"/>
  <c r="AY29" i="85"/>
  <c r="AY29" i="83"/>
  <c r="AY25" i="83"/>
  <c r="AY28" i="83"/>
  <c r="AY27" i="83"/>
  <c r="AY26" i="83"/>
  <c r="N26" i="1"/>
  <c r="N18" i="85"/>
  <c r="N18" i="87"/>
  <c r="N26" i="87"/>
  <c r="N18" i="86"/>
  <c r="N26" i="85"/>
  <c r="N26" i="86"/>
  <c r="N26" i="84"/>
  <c r="N18" i="84"/>
  <c r="N18" i="83"/>
  <c r="N26" i="83"/>
  <c r="B10" i="86"/>
  <c r="B10" i="85"/>
  <c r="B10" i="87"/>
  <c r="B10" i="84"/>
  <c r="B10" i="83"/>
  <c r="B10" i="76"/>
  <c r="B6" i="68"/>
  <c r="B6" i="85"/>
  <c r="B6" i="87"/>
  <c r="B6" i="86"/>
  <c r="B6" i="84"/>
  <c r="B6" i="83"/>
  <c r="B85" i="87"/>
  <c r="B85" i="86"/>
  <c r="B85" i="85"/>
  <c r="B85" i="84"/>
  <c r="B85" i="83"/>
  <c r="B10" i="80"/>
  <c r="B10" i="82"/>
  <c r="B10" i="77"/>
  <c r="G2" i="81"/>
  <c r="G67" i="87"/>
  <c r="G2" i="85"/>
  <c r="G2" i="87"/>
  <c r="G67" i="85"/>
  <c r="G67" i="86"/>
  <c r="G2" i="86"/>
  <c r="G67" i="84"/>
  <c r="G2" i="84"/>
  <c r="G2" i="83"/>
  <c r="G67" i="83"/>
  <c r="H27" i="71"/>
  <c r="H22" i="87"/>
  <c r="H20" i="85"/>
  <c r="H20" i="86"/>
  <c r="H28" i="85"/>
  <c r="H19" i="85"/>
  <c r="H20" i="87"/>
  <c r="H27" i="85"/>
  <c r="H28" i="87"/>
  <c r="H19" i="87"/>
  <c r="H27" i="87"/>
  <c r="H28" i="86"/>
  <c r="H19" i="86"/>
  <c r="H27" i="86"/>
  <c r="H22" i="85"/>
  <c r="H22" i="86"/>
  <c r="H20" i="84"/>
  <c r="H28" i="84"/>
  <c r="H19" i="84"/>
  <c r="H27" i="84"/>
  <c r="H22" i="84"/>
  <c r="H19" i="83"/>
  <c r="H22" i="83"/>
  <c r="H28" i="83"/>
  <c r="H20" i="83"/>
  <c r="H27" i="83"/>
  <c r="B13" i="66"/>
  <c r="B13" i="85"/>
  <c r="B13" i="87"/>
  <c r="B13" i="86"/>
  <c r="B13" i="84"/>
  <c r="B13" i="83"/>
  <c r="AR87" i="85"/>
  <c r="AR87" i="86"/>
  <c r="AU109" i="87"/>
  <c r="V89" i="87" s="1"/>
  <c r="AR87" i="84"/>
  <c r="AR87" i="83"/>
  <c r="B10" i="81"/>
  <c r="B10" i="66"/>
  <c r="O2" i="66"/>
  <c r="O67" i="85"/>
  <c r="O67" i="86"/>
  <c r="O2" i="85"/>
  <c r="O2" i="87"/>
  <c r="O67" i="87"/>
  <c r="O2" i="86"/>
  <c r="O2" i="84"/>
  <c r="O67" i="84"/>
  <c r="O2" i="83"/>
  <c r="O67" i="83"/>
  <c r="B7" i="85"/>
  <c r="B7" i="87"/>
  <c r="B7" i="86"/>
  <c r="B7" i="84"/>
  <c r="B7" i="83"/>
  <c r="B69" i="86"/>
  <c r="B4" i="82"/>
  <c r="B4" i="86"/>
  <c r="B4" i="84"/>
  <c r="B69" i="84" s="1"/>
  <c r="B4" i="87"/>
  <c r="B69" i="87" s="1"/>
  <c r="B4" i="85"/>
  <c r="B69" i="85" s="1"/>
  <c r="B4" i="83"/>
  <c r="B69" i="83" s="1"/>
  <c r="B10" i="67"/>
  <c r="AA2" i="81"/>
  <c r="AA2" i="87"/>
  <c r="AA67" i="85"/>
  <c r="AA67" i="87"/>
  <c r="AA2" i="86"/>
  <c r="AA67" i="86"/>
  <c r="AA2" i="85"/>
  <c r="AA2" i="84"/>
  <c r="AA67" i="84"/>
  <c r="AA2" i="83"/>
  <c r="AA67" i="83"/>
  <c r="B11" i="76"/>
  <c r="B11" i="86"/>
  <c r="B11" i="85"/>
  <c r="B11" i="87"/>
  <c r="B11" i="84"/>
  <c r="B11" i="83"/>
  <c r="AI2" i="85"/>
  <c r="AI67" i="85"/>
  <c r="AI2" i="86"/>
  <c r="AI67" i="87"/>
  <c r="AI67" i="86"/>
  <c r="AI2" i="87"/>
  <c r="AI2" i="84"/>
  <c r="AI67" i="84"/>
  <c r="AI2" i="83"/>
  <c r="AI67" i="83"/>
  <c r="AY66" i="75"/>
  <c r="BH99" i="75" s="1"/>
  <c r="AY87" i="85"/>
  <c r="AY87" i="87"/>
  <c r="AY87" i="86"/>
  <c r="AY87" i="84"/>
  <c r="AY87" i="83"/>
  <c r="AY80" i="70"/>
  <c r="BH56" i="81"/>
  <c r="BH15" i="80"/>
  <c r="BH30" i="80" s="1"/>
  <c r="BH57" i="78"/>
  <c r="BH67" i="75"/>
  <c r="BH114" i="74"/>
  <c r="BH79" i="74"/>
  <c r="AU90" i="76"/>
  <c r="AU91" i="76" s="1"/>
  <c r="BH6" i="73"/>
  <c r="BH61" i="71"/>
  <c r="BH110" i="70"/>
  <c r="BH7" i="70"/>
  <c r="BH109" i="67"/>
  <c r="BH9" i="67"/>
  <c r="BH91" i="67"/>
  <c r="BH52" i="67"/>
  <c r="BH114" i="66"/>
  <c r="BH67" i="1"/>
  <c r="BH10" i="1"/>
  <c r="BE63" i="70"/>
  <c r="E230" i="2"/>
  <c r="AU88" i="74"/>
  <c r="AW88" i="74" s="1"/>
  <c r="AU89" i="74"/>
  <c r="AW89" i="74" s="1"/>
  <c r="BD148" i="87"/>
  <c r="AU95" i="87"/>
  <c r="L226" i="2"/>
  <c r="BD146" i="87"/>
  <c r="AU93" i="87"/>
  <c r="BD145" i="87"/>
  <c r="AU92" i="87"/>
  <c r="BD144" i="87"/>
  <c r="AU91" i="87"/>
  <c r="BD147" i="87"/>
  <c r="AU94" i="87"/>
  <c r="AW98" i="87"/>
  <c r="AV98" i="87"/>
  <c r="BD109" i="75"/>
  <c r="BE109" i="75" s="1"/>
  <c r="BD149" i="87"/>
  <c r="AU96" i="87"/>
  <c r="BD150" i="87"/>
  <c r="AU97" i="87"/>
  <c r="E227" i="2"/>
  <c r="L230" i="2"/>
  <c r="BD75" i="85"/>
  <c r="BD75" i="87"/>
  <c r="BD75" i="86"/>
  <c r="BD75" i="84"/>
  <c r="BD75" i="83"/>
  <c r="BD76" i="85"/>
  <c r="BD76" i="86"/>
  <c r="BD76" i="87"/>
  <c r="BD76" i="84"/>
  <c r="BD76" i="83"/>
  <c r="BD63" i="1"/>
  <c r="BD77" i="86"/>
  <c r="BD77" i="87"/>
  <c r="BD77" i="85"/>
  <c r="BD77" i="84"/>
  <c r="BD77" i="83"/>
  <c r="BD78" i="86"/>
  <c r="BD78" i="87"/>
  <c r="BD78" i="85"/>
  <c r="BD78" i="84"/>
  <c r="BD78" i="83"/>
  <c r="BD79" i="85"/>
  <c r="BD79" i="87"/>
  <c r="BD79" i="86"/>
  <c r="BD79" i="84"/>
  <c r="BD79" i="83"/>
  <c r="BD80" i="86"/>
  <c r="BD80" i="85"/>
  <c r="BD80" i="87"/>
  <c r="BD80" i="84"/>
  <c r="BD80" i="83"/>
  <c r="BD81" i="86"/>
  <c r="BD81" i="87"/>
  <c r="BD81" i="85"/>
  <c r="BD81" i="84"/>
  <c r="BD81" i="83"/>
  <c r="AU44" i="78"/>
  <c r="AW44" i="78" s="1"/>
  <c r="AU44" i="86"/>
  <c r="AU44" i="87"/>
  <c r="AU44" i="85"/>
  <c r="AU44" i="84"/>
  <c r="AU44" i="83"/>
  <c r="BD82" i="87"/>
  <c r="BD82" i="85"/>
  <c r="BD82" i="86"/>
  <c r="BD82" i="84"/>
  <c r="BD82" i="83"/>
  <c r="D269" i="2"/>
  <c r="AU45" i="87"/>
  <c r="AU45" i="85"/>
  <c r="AU45" i="86"/>
  <c r="AU45" i="84"/>
  <c r="AU45" i="83"/>
  <c r="BD83" i="86"/>
  <c r="BD83" i="87"/>
  <c r="BD83" i="85"/>
  <c r="BD83" i="84"/>
  <c r="BD83" i="83"/>
  <c r="AU46" i="87"/>
  <c r="AU46" i="85"/>
  <c r="AU46" i="86"/>
  <c r="AU46" i="84"/>
  <c r="AU46" i="83"/>
  <c r="BD84" i="85"/>
  <c r="BD84" i="87"/>
  <c r="BD84" i="86"/>
  <c r="BD84" i="84"/>
  <c r="BD84" i="83"/>
  <c r="AU47" i="85"/>
  <c r="AU47" i="86"/>
  <c r="AU47" i="87"/>
  <c r="AU47" i="84"/>
  <c r="AU47" i="83"/>
  <c r="AU48" i="86"/>
  <c r="AU48" i="87"/>
  <c r="AU48" i="85"/>
  <c r="AU48" i="84"/>
  <c r="AU48" i="83"/>
  <c r="BD54" i="87"/>
  <c r="BD54" i="85"/>
  <c r="BD54" i="86"/>
  <c r="BD54" i="84"/>
  <c r="BD54" i="83"/>
  <c r="BD55" i="85"/>
  <c r="BD55" i="86"/>
  <c r="BD55" i="87"/>
  <c r="BD55" i="84"/>
  <c r="BD55" i="83"/>
  <c r="BD56" i="87"/>
  <c r="BD56" i="86"/>
  <c r="BD56" i="85"/>
  <c r="BD56" i="84"/>
  <c r="BD56" i="83"/>
  <c r="AU31" i="85"/>
  <c r="AU31" i="86"/>
  <c r="AU31" i="87"/>
  <c r="AU31" i="84"/>
  <c r="AU31" i="83"/>
  <c r="AU32" i="85"/>
  <c r="AU32" i="86"/>
  <c r="AU32" i="87"/>
  <c r="AU32" i="84"/>
  <c r="AU32" i="83"/>
  <c r="AU33" i="87"/>
  <c r="AU33" i="86"/>
  <c r="AU33" i="85"/>
  <c r="AU33" i="84"/>
  <c r="AU33" i="83"/>
  <c r="BD51" i="87"/>
  <c r="BD51" i="85"/>
  <c r="BD51" i="86"/>
  <c r="BD51" i="84"/>
  <c r="BD51" i="83"/>
  <c r="BD52" i="85"/>
  <c r="BD52" i="86"/>
  <c r="BD52" i="87"/>
  <c r="BD52" i="84"/>
  <c r="BD52" i="83"/>
  <c r="BD53" i="87"/>
  <c r="BD53" i="85"/>
  <c r="BD53" i="86"/>
  <c r="BD53" i="84"/>
  <c r="BD53" i="83"/>
  <c r="BD45" i="70"/>
  <c r="BE45" i="70" s="1"/>
  <c r="BD59" i="86"/>
  <c r="BD59" i="85"/>
  <c r="BD59" i="87"/>
  <c r="BD59" i="84"/>
  <c r="BD59" i="83"/>
  <c r="BD38" i="82"/>
  <c r="BF38" i="82" s="1"/>
  <c r="BD69" i="87"/>
  <c r="BD69" i="86"/>
  <c r="BD69" i="85"/>
  <c r="BD69" i="84"/>
  <c r="BD69" i="83"/>
  <c r="BD60" i="86"/>
  <c r="BD60" i="85"/>
  <c r="BD60" i="87"/>
  <c r="BD60" i="84"/>
  <c r="BD60" i="83"/>
  <c r="BD70" i="87"/>
  <c r="BD70" i="85"/>
  <c r="BD70" i="86"/>
  <c r="BD70" i="84"/>
  <c r="BD70" i="83"/>
  <c r="BD61" i="87"/>
  <c r="BD61" i="86"/>
  <c r="BD61" i="85"/>
  <c r="BD61" i="84"/>
  <c r="BD61" i="83"/>
  <c r="AU35" i="86"/>
  <c r="AU35" i="85"/>
  <c r="AU35" i="87"/>
  <c r="AU35" i="84"/>
  <c r="AU35" i="83"/>
  <c r="BD62" i="86"/>
  <c r="BD62" i="85"/>
  <c r="BD62" i="87"/>
  <c r="BD62" i="84"/>
  <c r="BD62" i="83"/>
  <c r="BD71" i="87"/>
  <c r="BD71" i="85"/>
  <c r="BD71" i="86"/>
  <c r="BD71" i="84"/>
  <c r="BD71" i="83"/>
  <c r="C244" i="2"/>
  <c r="AU36" i="85"/>
  <c r="AU36" i="87"/>
  <c r="AU36" i="86"/>
  <c r="AU36" i="84"/>
  <c r="AU36" i="83"/>
  <c r="AU37" i="85"/>
  <c r="AU37" i="87"/>
  <c r="AU37" i="86"/>
  <c r="AU37" i="84"/>
  <c r="AU37" i="83"/>
  <c r="BD63" i="86"/>
  <c r="BD63" i="87"/>
  <c r="BD63" i="85"/>
  <c r="BD63" i="84"/>
  <c r="BD63" i="83"/>
  <c r="BD72" i="85"/>
  <c r="BD72" i="86"/>
  <c r="BD72" i="87"/>
  <c r="BD72" i="84"/>
  <c r="BD72" i="83"/>
  <c r="AU38" i="86"/>
  <c r="AU38" i="85"/>
  <c r="AU38" i="87"/>
  <c r="AU38" i="84"/>
  <c r="AU38" i="83"/>
  <c r="BD64" i="87"/>
  <c r="BD64" i="85"/>
  <c r="BD64" i="86"/>
  <c r="BD64" i="84"/>
  <c r="BD64" i="83"/>
  <c r="BD73" i="86"/>
  <c r="BD73" i="87"/>
  <c r="BD73" i="85"/>
  <c r="BD73" i="84"/>
  <c r="BD73" i="83"/>
  <c r="AU39" i="85"/>
  <c r="AU39" i="87"/>
  <c r="AU39" i="86"/>
  <c r="AU39" i="84"/>
  <c r="AU39" i="83"/>
  <c r="BD65" i="87"/>
  <c r="BD65" i="85"/>
  <c r="BD65" i="86"/>
  <c r="BD65" i="84"/>
  <c r="BD65" i="83"/>
  <c r="AU40" i="85"/>
  <c r="AU40" i="87"/>
  <c r="AU40" i="86"/>
  <c r="AU40" i="84"/>
  <c r="AU40" i="83"/>
  <c r="AU41" i="87"/>
  <c r="AU41" i="86"/>
  <c r="AU41" i="85"/>
  <c r="AU41" i="84"/>
  <c r="AU41" i="83"/>
  <c r="BD66" i="85"/>
  <c r="BD66" i="86"/>
  <c r="BD66" i="87"/>
  <c r="BD66" i="84"/>
  <c r="BD66" i="83"/>
  <c r="AU36" i="74"/>
  <c r="AV36" i="74" s="1"/>
  <c r="AU42" i="86"/>
  <c r="AU42" i="85"/>
  <c r="AU42" i="87"/>
  <c r="AU42" i="84"/>
  <c r="AU42" i="83"/>
  <c r="BD67" i="87"/>
  <c r="BD67" i="85"/>
  <c r="BD67" i="86"/>
  <c r="BD67" i="84"/>
  <c r="BD67" i="83"/>
  <c r="BD58" i="85"/>
  <c r="BD58" i="87"/>
  <c r="BD58" i="86"/>
  <c r="BD58" i="84"/>
  <c r="BD58" i="83"/>
  <c r="BD68" i="85"/>
  <c r="BD68" i="86"/>
  <c r="BD68" i="87"/>
  <c r="BD68" i="84"/>
  <c r="BD68" i="83"/>
  <c r="AV48" i="1"/>
  <c r="BH9" i="75"/>
  <c r="BH90" i="74"/>
  <c r="BH16" i="74"/>
  <c r="BH7" i="76"/>
  <c r="BH41" i="76"/>
  <c r="BH37" i="76"/>
  <c r="BH11" i="76"/>
  <c r="BH45" i="76"/>
  <c r="BH49" i="68"/>
  <c r="BH45" i="1"/>
  <c r="BH58" i="82"/>
  <c r="BH35" i="82"/>
  <c r="BH5" i="82"/>
  <c r="BH16" i="82"/>
  <c r="BH61" i="81"/>
  <c r="BH48" i="81"/>
  <c r="BH39" i="81"/>
  <c r="BH18" i="81"/>
  <c r="BH60" i="80"/>
  <c r="BH15" i="78"/>
  <c r="BH34" i="78" s="1"/>
  <c r="BH7" i="78"/>
  <c r="BH26" i="78" s="1"/>
  <c r="AY20" i="78"/>
  <c r="BH59" i="78"/>
  <c r="BH7" i="74"/>
  <c r="BH109" i="74"/>
  <c r="BH63" i="74"/>
  <c r="BH61" i="74"/>
  <c r="BH89" i="73"/>
  <c r="BH20" i="71"/>
  <c r="BH15" i="71"/>
  <c r="BH117" i="70"/>
  <c r="BH112" i="70"/>
  <c r="BH88" i="70"/>
  <c r="BH10" i="70"/>
  <c r="BH63" i="70"/>
  <c r="BH34" i="69"/>
  <c r="BH36" i="68"/>
  <c r="BH87" i="67"/>
  <c r="BH80" i="67"/>
  <c r="BH8" i="66"/>
  <c r="BH112" i="66"/>
  <c r="BH15" i="66"/>
  <c r="BH98" i="66"/>
  <c r="BH67" i="66"/>
  <c r="BH52" i="66"/>
  <c r="BH115" i="1"/>
  <c r="BH99" i="1"/>
  <c r="BH22" i="1"/>
  <c r="BH13" i="1"/>
  <c r="BH18" i="1"/>
  <c r="BH50" i="1"/>
  <c r="BH37" i="1"/>
  <c r="BH41" i="1"/>
  <c r="BH5" i="1"/>
  <c r="BH49" i="1"/>
  <c r="AY14" i="80"/>
  <c r="BH92" i="75"/>
  <c r="BH86" i="75"/>
  <c r="BH16" i="76"/>
  <c r="BH67" i="73"/>
  <c r="BH22" i="73"/>
  <c r="AU90" i="70"/>
  <c r="AU91" i="70" s="1"/>
  <c r="BH69" i="68"/>
  <c r="BH65" i="68"/>
  <c r="BH53" i="68"/>
  <c r="BH38" i="68"/>
  <c r="BH16" i="68"/>
  <c r="BH57" i="66"/>
  <c r="BH46" i="1"/>
  <c r="BH31" i="77"/>
  <c r="BH9" i="77"/>
  <c r="BH22" i="77"/>
  <c r="BH6" i="81"/>
  <c r="AY18" i="80"/>
  <c r="BH80" i="78"/>
  <c r="BH74" i="78"/>
  <c r="AU101" i="75"/>
  <c r="BH117" i="74"/>
  <c r="BH54" i="74"/>
  <c r="BH91" i="76"/>
  <c r="BH13" i="76"/>
  <c r="BH116" i="73"/>
  <c r="BH99" i="73"/>
  <c r="BH88" i="73"/>
  <c r="BH82" i="73"/>
  <c r="BH130" i="73"/>
  <c r="BH63" i="73"/>
  <c r="BH15" i="73"/>
  <c r="BH66" i="73"/>
  <c r="BH20" i="73"/>
  <c r="BH9" i="73"/>
  <c r="BH39" i="73"/>
  <c r="BH44" i="73"/>
  <c r="BH91" i="70"/>
  <c r="BH67" i="70"/>
  <c r="BH11" i="70"/>
  <c r="BH58" i="70"/>
  <c r="BH94" i="69"/>
  <c r="BH52" i="69"/>
  <c r="BH57" i="68"/>
  <c r="BH44" i="68"/>
  <c r="BH6" i="68"/>
  <c r="BH96" i="67"/>
  <c r="BH62" i="67"/>
  <c r="AY127" i="67"/>
  <c r="BH127" i="67" s="1"/>
  <c r="BH19" i="67"/>
  <c r="BH51" i="67"/>
  <c r="BH55" i="67"/>
  <c r="BH95" i="66"/>
  <c r="BH17" i="66"/>
  <c r="BH89" i="66"/>
  <c r="BH13" i="66"/>
  <c r="BH86" i="1"/>
  <c r="BH57" i="1"/>
  <c r="BH16" i="1"/>
  <c r="BH33" i="77"/>
  <c r="BH59" i="81"/>
  <c r="BH38" i="81"/>
  <c r="BH11" i="80"/>
  <c r="BH26" i="80" s="1"/>
  <c r="BH12" i="80"/>
  <c r="BH27" i="80" s="1"/>
  <c r="BH50" i="80"/>
  <c r="BH57" i="80"/>
  <c r="BH35" i="75"/>
  <c r="BH42" i="75"/>
  <c r="BH31" i="75"/>
  <c r="BH94" i="74"/>
  <c r="BH99" i="74"/>
  <c r="AU98" i="74"/>
  <c r="AU99" i="74" s="1"/>
  <c r="BH70" i="74"/>
  <c r="BH20" i="74"/>
  <c r="BH46" i="74"/>
  <c r="BH39" i="74"/>
  <c r="AY107" i="76"/>
  <c r="BH107" i="76" s="1"/>
  <c r="BH67" i="76"/>
  <c r="BH56" i="76"/>
  <c r="BH6" i="76"/>
  <c r="BH31" i="76"/>
  <c r="BH111" i="73"/>
  <c r="BH91" i="73"/>
  <c r="BH80" i="73"/>
  <c r="BH85" i="73"/>
  <c r="BH62" i="73"/>
  <c r="BH70" i="73"/>
  <c r="AU103" i="71"/>
  <c r="AY93" i="71" s="1"/>
  <c r="BH113" i="71"/>
  <c r="BH95" i="71"/>
  <c r="BH100" i="71"/>
  <c r="BH88" i="71"/>
  <c r="BH81" i="71"/>
  <c r="BH7" i="71"/>
  <c r="BH21" i="70"/>
  <c r="AY133" i="70"/>
  <c r="BH133" i="70" s="1"/>
  <c r="BH7" i="68"/>
  <c r="BH76" i="68"/>
  <c r="AX13" i="65"/>
  <c r="BH12" i="77"/>
  <c r="AY75" i="77"/>
  <c r="BH75" i="77" s="1"/>
  <c r="BH24" i="77"/>
  <c r="BH7" i="82"/>
  <c r="BH62" i="82"/>
  <c r="AY74" i="82"/>
  <c r="BH74" i="82" s="1"/>
  <c r="BH18" i="82"/>
  <c r="AY70" i="82"/>
  <c r="BH70" i="82" s="1"/>
  <c r="BH45" i="82"/>
  <c r="AY84" i="81"/>
  <c r="BH84" i="81" s="1"/>
  <c r="AY88" i="81"/>
  <c r="BH88" i="81" s="1"/>
  <c r="BH65" i="81"/>
  <c r="BH77" i="81"/>
  <c r="BH71" i="81"/>
  <c r="BH51" i="81"/>
  <c r="BH15" i="81"/>
  <c r="BH14" i="81"/>
  <c r="BH81" i="80"/>
  <c r="BH77" i="80"/>
  <c r="BH53" i="80"/>
  <c r="AY17" i="80"/>
  <c r="BH13" i="80"/>
  <c r="BH28" i="80" s="1"/>
  <c r="BH47" i="80"/>
  <c r="BH13" i="78"/>
  <c r="BH32" i="78" s="1"/>
  <c r="BH89" i="78"/>
  <c r="BH97" i="78"/>
  <c r="AY108" i="78"/>
  <c r="BH108" i="78" s="1"/>
  <c r="AY19" i="78"/>
  <c r="BH5" i="78"/>
  <c r="BH24" i="78" s="1"/>
  <c r="BH6" i="75"/>
  <c r="BH84" i="75"/>
  <c r="BH90" i="75"/>
  <c r="BH7" i="75"/>
  <c r="BH11" i="75"/>
  <c r="AY113" i="75"/>
  <c r="BH113" i="75" s="1"/>
  <c r="AY117" i="75"/>
  <c r="BH117" i="75" s="1"/>
  <c r="BH38" i="75"/>
  <c r="AY143" i="74"/>
  <c r="BH143" i="74" s="1"/>
  <c r="BH66" i="74"/>
  <c r="BH22" i="74"/>
  <c r="BH118" i="73"/>
  <c r="BH106" i="73"/>
  <c r="BH96" i="73"/>
  <c r="BH13" i="73"/>
  <c r="BH18" i="73"/>
  <c r="BH58" i="73"/>
  <c r="BH53" i="71"/>
  <c r="BH48" i="71"/>
  <c r="BH14" i="70"/>
  <c r="BH18" i="70"/>
  <c r="BH86" i="69"/>
  <c r="BH70" i="69"/>
  <c r="BH15" i="69"/>
  <c r="BH6" i="69"/>
  <c r="BH64" i="69"/>
  <c r="BH18" i="69"/>
  <c r="BH55" i="69"/>
  <c r="BH9" i="69"/>
  <c r="BH48" i="69"/>
  <c r="BH92" i="68"/>
  <c r="BH85" i="68"/>
  <c r="BH74" i="68"/>
  <c r="BH40" i="68"/>
  <c r="BH10" i="68"/>
  <c r="BH54" i="66"/>
  <c r="BH12" i="66"/>
  <c r="AX14" i="65"/>
  <c r="AX12" i="65"/>
  <c r="AY70" i="77"/>
  <c r="BH70" i="77" s="1"/>
  <c r="BH8" i="77"/>
  <c r="BH28" i="77"/>
  <c r="BH10" i="82"/>
  <c r="BH73" i="80"/>
  <c r="BH7" i="80"/>
  <c r="BH22" i="80" s="1"/>
  <c r="AY19" i="80"/>
  <c r="BH17" i="80"/>
  <c r="BH32" i="80" s="1"/>
  <c r="AY92" i="80"/>
  <c r="BH92" i="80" s="1"/>
  <c r="BH14" i="74"/>
  <c r="BH95" i="74"/>
  <c r="AY139" i="74"/>
  <c r="BH139" i="74" s="1"/>
  <c r="BH18" i="74"/>
  <c r="AU101" i="76"/>
  <c r="BH115" i="70"/>
  <c r="BH119" i="70"/>
  <c r="BH62" i="70"/>
  <c r="BH69" i="70"/>
  <c r="BH20" i="70"/>
  <c r="BH57" i="70"/>
  <c r="BH52" i="70"/>
  <c r="AY83" i="70"/>
  <c r="BH128" i="70" s="1"/>
  <c r="BH12" i="68"/>
  <c r="BH71" i="68"/>
  <c r="AY102" i="68"/>
  <c r="BH102" i="68" s="1"/>
  <c r="BH107" i="67"/>
  <c r="BH61" i="66"/>
  <c r="BH19" i="66"/>
  <c r="AY18" i="78"/>
  <c r="BH20" i="78"/>
  <c r="BH39" i="78" s="1"/>
  <c r="BH71" i="78"/>
  <c r="BH12" i="78"/>
  <c r="BH31" i="78" s="1"/>
  <c r="AU93" i="76"/>
  <c r="BH50" i="73"/>
  <c r="BH11" i="73"/>
  <c r="BH56" i="73"/>
  <c r="AY133" i="73"/>
  <c r="AU93" i="70"/>
  <c r="AY105" i="69"/>
  <c r="BH105" i="69" s="1"/>
  <c r="AY101" i="69"/>
  <c r="BH101" i="69" s="1"/>
  <c r="AY106" i="68"/>
  <c r="BH106" i="68" s="1"/>
  <c r="BH13" i="68"/>
  <c r="BH89" i="68"/>
  <c r="BH14" i="67"/>
  <c r="AY131" i="67"/>
  <c r="BH131" i="67" s="1"/>
  <c r="BH17" i="67"/>
  <c r="BH115" i="67"/>
  <c r="AW114" i="75"/>
  <c r="AW136" i="70"/>
  <c r="AW134" i="70"/>
  <c r="BE135" i="73"/>
  <c r="BF74" i="77"/>
  <c r="BF134" i="71"/>
  <c r="AW73" i="82"/>
  <c r="AV110" i="76"/>
  <c r="BF77" i="75"/>
  <c r="AV127" i="71"/>
  <c r="AV74" i="77"/>
  <c r="BF71" i="82"/>
  <c r="AW135" i="73"/>
  <c r="AW130" i="67"/>
  <c r="BE85" i="81"/>
  <c r="AV87" i="81"/>
  <c r="AV73" i="77"/>
  <c r="BF116" i="75"/>
  <c r="AW122" i="66"/>
  <c r="AV57" i="1"/>
  <c r="AW105" i="68"/>
  <c r="AW65" i="66"/>
  <c r="BE104" i="69"/>
  <c r="BF44" i="75"/>
  <c r="AV33" i="67"/>
  <c r="AW129" i="1"/>
  <c r="AW103" i="69"/>
  <c r="BE104" i="68"/>
  <c r="BE86" i="81"/>
  <c r="AW108" i="76"/>
  <c r="AW128" i="1"/>
  <c r="AW107" i="78"/>
  <c r="BF37" i="69"/>
  <c r="AV28" i="68"/>
  <c r="AV65" i="73"/>
  <c r="AV48" i="69"/>
  <c r="AV41" i="1"/>
  <c r="AV55" i="1"/>
  <c r="BE115" i="74"/>
  <c r="BE105" i="68"/>
  <c r="BF108" i="76"/>
  <c r="BE64" i="77"/>
  <c r="AV51" i="71"/>
  <c r="BE72" i="77"/>
  <c r="BE105" i="78"/>
  <c r="BF134" i="73"/>
  <c r="AW39" i="1"/>
  <c r="BF128" i="66"/>
  <c r="BF45" i="75"/>
  <c r="BE51" i="81"/>
  <c r="AW52" i="74"/>
  <c r="BE52" i="68"/>
  <c r="AV135" i="70"/>
  <c r="BH131" i="70"/>
  <c r="BH15" i="70"/>
  <c r="H561" i="7"/>
  <c r="H93" i="7"/>
  <c r="H607" i="7"/>
  <c r="H1028" i="7"/>
  <c r="H387" i="7"/>
  <c r="H378" i="7"/>
  <c r="H596" i="7"/>
  <c r="H217" i="7"/>
  <c r="H205" i="7"/>
  <c r="H971" i="7"/>
  <c r="H475" i="7"/>
  <c r="H606" i="7"/>
  <c r="H712" i="7"/>
  <c r="H412" i="7"/>
  <c r="H427" i="7"/>
  <c r="H667" i="7"/>
  <c r="H849" i="7"/>
  <c r="H960" i="7"/>
  <c r="H648" i="7"/>
  <c r="H787" i="7"/>
  <c r="H438" i="7"/>
  <c r="H353" i="7"/>
  <c r="H31" i="7"/>
  <c r="H256" i="7"/>
  <c r="H619" i="7"/>
  <c r="H199" i="7"/>
  <c r="H293" i="7"/>
  <c r="H301" i="7"/>
  <c r="H726" i="7"/>
  <c r="H969" i="7"/>
  <c r="H151" i="7"/>
  <c r="H129" i="7"/>
  <c r="H318" i="7"/>
  <c r="H424" i="7"/>
  <c r="H294" i="7"/>
  <c r="H800" i="7"/>
  <c r="H296" i="7"/>
  <c r="H991" i="7"/>
  <c r="H790" i="7"/>
  <c r="H348" i="7"/>
  <c r="H118" i="7"/>
  <c r="H734" i="7"/>
  <c r="H385" i="7"/>
  <c r="H957" i="7"/>
  <c r="H1025" i="7"/>
  <c r="H333" i="7"/>
  <c r="H698" i="7"/>
  <c r="H676" i="7"/>
  <c r="H490" i="7"/>
  <c r="H117" i="7"/>
  <c r="H195" i="7"/>
  <c r="H961" i="7"/>
  <c r="H530" i="7"/>
  <c r="H112" i="7"/>
  <c r="H1049" i="7"/>
  <c r="H546" i="7"/>
  <c r="H821" i="7"/>
  <c r="H456" i="7"/>
  <c r="H786" i="7"/>
  <c r="H174" i="7"/>
  <c r="H998" i="7"/>
  <c r="H489" i="7"/>
  <c r="H752" i="7"/>
  <c r="H28" i="7"/>
  <c r="H857" i="7"/>
  <c r="H100" i="7"/>
  <c r="H273" i="7"/>
  <c r="H220" i="7"/>
  <c r="H986" i="7"/>
  <c r="H810" i="7"/>
  <c r="H994" i="7"/>
  <c r="H299" i="7"/>
  <c r="H391" i="7"/>
  <c r="H354" i="7"/>
  <c r="H976" i="7"/>
  <c r="H980" i="7"/>
  <c r="H309" i="7"/>
  <c r="H75" i="7"/>
  <c r="H924" i="7"/>
  <c r="H832" i="7"/>
  <c r="H329" i="7"/>
  <c r="H86" i="7"/>
  <c r="H625" i="7"/>
  <c r="H879" i="7"/>
  <c r="H992" i="7"/>
  <c r="H707" i="7"/>
  <c r="H604" i="7"/>
  <c r="H194" i="7"/>
  <c r="H470" i="7"/>
  <c r="H948" i="7"/>
  <c r="H186" i="7"/>
  <c r="H553" i="7"/>
  <c r="H793" i="7"/>
  <c r="H846" i="7"/>
  <c r="H600" i="7"/>
  <c r="H835" i="7"/>
  <c r="H138" i="7"/>
  <c r="H161" i="7"/>
  <c r="H222" i="7"/>
  <c r="H53" i="7"/>
  <c r="H965" i="7"/>
  <c r="H984" i="7"/>
  <c r="H728" i="7"/>
  <c r="H493" i="7"/>
  <c r="H379" i="7"/>
  <c r="H616" i="7"/>
  <c r="H1046" i="7"/>
  <c r="H812" i="7"/>
  <c r="H295" i="7"/>
  <c r="H642" i="7"/>
  <c r="H439" i="7"/>
  <c r="H460" i="7"/>
  <c r="H781" i="7"/>
  <c r="H377" i="7"/>
  <c r="H922" i="7"/>
  <c r="H197" i="7"/>
  <c r="H285" i="7"/>
  <c r="H820" i="7"/>
  <c r="H134" i="7"/>
  <c r="H462" i="7"/>
  <c r="H895" i="7"/>
  <c r="H236" i="7"/>
  <c r="H480" i="7"/>
  <c r="H721" i="7"/>
  <c r="H340" i="7"/>
  <c r="H681" i="7"/>
  <c r="H499" i="7"/>
  <c r="H541" i="7"/>
  <c r="H496" i="7"/>
  <c r="H249" i="7"/>
  <c r="H688" i="7"/>
  <c r="H756" i="7"/>
  <c r="H368" i="7"/>
  <c r="H584" i="7"/>
  <c r="H212" i="7"/>
  <c r="H685" i="7"/>
  <c r="H964" i="7"/>
  <c r="H817" i="7"/>
  <c r="H714" i="7"/>
  <c r="H729" i="7"/>
  <c r="H185" i="7"/>
  <c r="H1051" i="7"/>
  <c r="H811" i="7"/>
  <c r="H517" i="7"/>
  <c r="H674" i="7"/>
  <c r="H565" i="7"/>
  <c r="H515" i="7"/>
  <c r="H325" i="7"/>
  <c r="H422" i="7"/>
  <c r="H865" i="7"/>
  <c r="H587" i="7"/>
  <c r="H661" i="7"/>
  <c r="H687" i="7"/>
  <c r="H457" i="7"/>
  <c r="H178" i="7"/>
  <c r="H614" i="7"/>
  <c r="H110" i="7"/>
  <c r="H324" i="7"/>
  <c r="H152" i="7"/>
  <c r="H183" i="7"/>
  <c r="H746" i="7"/>
  <c r="H297" i="7"/>
  <c r="H38" i="7"/>
  <c r="H997" i="7"/>
  <c r="H554" i="7"/>
  <c r="H337" i="7"/>
  <c r="H45" i="7"/>
  <c r="H235" i="7"/>
  <c r="H366" i="7"/>
  <c r="H1013" i="7"/>
  <c r="H372" i="7"/>
  <c r="H713" i="7"/>
  <c r="H437" i="7"/>
  <c r="H1033" i="7"/>
  <c r="H130" i="7"/>
  <c r="H615" i="7"/>
  <c r="H519" i="7"/>
  <c r="H697" i="7"/>
  <c r="H842" i="7"/>
  <c r="H467" i="7"/>
  <c r="H266" i="7"/>
  <c r="H261" i="7"/>
  <c r="H147" i="7"/>
  <c r="H567" i="7"/>
  <c r="H347" i="7"/>
  <c r="H963" i="7"/>
  <c r="H143" i="7"/>
  <c r="H934" i="7"/>
  <c r="H577" i="7"/>
  <c r="H841" i="7"/>
  <c r="H468" i="7"/>
  <c r="H228" i="7"/>
  <c r="H315" i="7"/>
  <c r="H1042" i="7"/>
  <c r="H393" i="7"/>
  <c r="H589" i="7"/>
  <c r="H1006" i="7"/>
  <c r="H202" i="7"/>
  <c r="H254" i="7"/>
  <c r="H1031" i="7"/>
  <c r="H656" i="7"/>
  <c r="H494" i="7"/>
  <c r="H101" i="7"/>
  <c r="H866" i="7"/>
  <c r="H1004" i="7"/>
  <c r="H789" i="7"/>
  <c r="H856" i="7"/>
  <c r="H81" i="7"/>
  <c r="H450" i="7"/>
  <c r="H1047" i="7"/>
  <c r="H497" i="7"/>
  <c r="H287" i="7"/>
  <c r="H283" i="7"/>
  <c r="H383" i="7"/>
  <c r="H65" i="7"/>
  <c r="H794" i="7"/>
  <c r="H892" i="7"/>
  <c r="H638" i="7"/>
  <c r="H573" i="7"/>
  <c r="H417" i="7"/>
  <c r="H878" i="7"/>
  <c r="H852" i="7"/>
  <c r="H1018" i="7"/>
  <c r="H434" i="7"/>
  <c r="H215" i="7"/>
  <c r="H730" i="7"/>
  <c r="H52" i="7"/>
  <c r="H92" i="7"/>
  <c r="H632" i="7"/>
  <c r="H63" i="7"/>
  <c r="H141" i="7"/>
  <c r="H260" i="7"/>
  <c r="H47" i="7"/>
  <c r="H785" i="7"/>
  <c r="H958" i="7"/>
  <c r="H819" i="7"/>
  <c r="H711" i="7"/>
  <c r="H30" i="7"/>
  <c r="H683" i="7"/>
  <c r="H455" i="7"/>
  <c r="H579" i="7"/>
  <c r="H784" i="7"/>
  <c r="H248" i="7"/>
  <c r="H416" i="7"/>
  <c r="H1019" i="7"/>
  <c r="H17" i="7"/>
  <c r="H26" i="7"/>
  <c r="H624" i="7"/>
  <c r="H154" i="7"/>
  <c r="H586" i="7"/>
  <c r="H829" i="7"/>
  <c r="H267" i="7"/>
  <c r="H397" i="7"/>
  <c r="H431" i="7"/>
  <c r="H277" i="7"/>
  <c r="H798" i="7"/>
  <c r="H1000" i="7"/>
  <c r="H1027" i="7"/>
  <c r="H108" i="7"/>
  <c r="H907" i="7"/>
  <c r="H70" i="7"/>
  <c r="H745" i="7"/>
  <c r="H744" i="7"/>
  <c r="H545" i="7"/>
  <c r="H49" i="7"/>
  <c r="H877" i="7"/>
  <c r="H355" i="7"/>
  <c r="H504" i="7"/>
  <c r="H647" i="7"/>
  <c r="H564" i="7"/>
  <c r="H825" i="7"/>
  <c r="H364" i="7"/>
  <c r="H926" i="7"/>
  <c r="H382" i="7"/>
  <c r="H623" i="7"/>
  <c r="H503" i="7"/>
  <c r="H447" i="7"/>
  <c r="H663" i="7"/>
  <c r="H64" i="7"/>
  <c r="H131" i="7"/>
  <c r="H245" i="7"/>
  <c r="H595" i="7"/>
  <c r="H650" i="7"/>
  <c r="H498" i="7"/>
  <c r="H631" i="7"/>
  <c r="H915" i="7"/>
  <c r="H943" i="7"/>
  <c r="H902" i="7"/>
  <c r="H818" i="7"/>
  <c r="H760" i="7"/>
  <c r="H611" i="7"/>
  <c r="H34" i="7"/>
  <c r="H363" i="7"/>
  <c r="H551" i="7"/>
  <c r="H910" i="7"/>
  <c r="H824" i="7"/>
  <c r="H932" i="7"/>
  <c r="H262" i="7"/>
  <c r="H621" i="7"/>
  <c r="H657" i="7"/>
  <c r="H905" i="7"/>
  <c r="H700" i="7"/>
  <c r="H184" i="7"/>
  <c r="H321" i="7"/>
  <c r="H673" i="7"/>
  <c r="H959" i="7"/>
  <c r="H338" i="7"/>
  <c r="H389" i="7"/>
  <c r="H769" i="7"/>
  <c r="H342" i="7"/>
  <c r="H230" i="7"/>
  <c r="H844" i="7"/>
  <c r="H247" i="7"/>
  <c r="H904" i="7"/>
  <c r="H693" i="7"/>
  <c r="H977" i="7"/>
  <c r="H620" i="7"/>
  <c r="H458" i="7"/>
  <c r="H806" i="7"/>
  <c r="H223" i="7"/>
  <c r="H847" i="7"/>
  <c r="H255" i="7"/>
  <c r="H758" i="7"/>
  <c r="H780" i="7"/>
  <c r="H279" i="7"/>
  <c r="H1023" i="7"/>
  <c r="H20" i="7"/>
  <c r="H316" i="7"/>
  <c r="H764" i="7"/>
  <c r="H1030" i="7"/>
  <c r="H317" i="7"/>
  <c r="H763" i="7"/>
  <c r="H376" i="7"/>
  <c r="H361" i="7"/>
  <c r="H306" i="7"/>
  <c r="H72" i="7"/>
  <c r="H706" i="7"/>
  <c r="H142" i="7"/>
  <c r="H808" i="7"/>
  <c r="H863" i="7"/>
  <c r="H888" i="7"/>
  <c r="H210" i="7"/>
  <c r="H1002" i="7"/>
  <c r="H1043" i="7"/>
  <c r="H566" i="7"/>
  <c r="H929" i="7"/>
  <c r="H85" i="7"/>
  <c r="H428" i="7"/>
  <c r="H935" i="7"/>
  <c r="H995" i="7"/>
  <c r="H464" i="7"/>
  <c r="H286" i="7"/>
  <c r="H405" i="7"/>
  <c r="H884" i="7"/>
  <c r="H384" i="7"/>
  <c r="H320" i="7"/>
  <c r="H40" i="7"/>
  <c r="H778" i="7"/>
  <c r="H651" i="7"/>
  <c r="H159" i="7"/>
  <c r="H671" i="7"/>
  <c r="H311" i="7"/>
  <c r="H630" i="7"/>
  <c r="H156" i="7"/>
  <c r="H757" i="7"/>
  <c r="H120" i="7"/>
  <c r="H942" i="7"/>
  <c r="H830" i="7"/>
  <c r="H826" i="7"/>
  <c r="H592" i="7"/>
  <c r="H392" i="7"/>
  <c r="H754" i="7"/>
  <c r="H622" i="7"/>
  <c r="H175" i="7"/>
  <c r="H540" i="7"/>
  <c r="H263" i="7"/>
  <c r="H593" i="7"/>
  <c r="H827" i="7"/>
  <c r="H570" i="7"/>
  <c r="H691" i="7"/>
  <c r="H880" i="7"/>
  <c r="H453" i="7"/>
  <c r="H341" i="7"/>
  <c r="H479" i="7"/>
  <c r="H14" i="7"/>
  <c r="H710" i="7"/>
  <c r="H753" i="7"/>
  <c r="H452" i="7"/>
  <c r="H198" i="7"/>
  <c r="H240" i="7"/>
  <c r="H288" i="7"/>
  <c r="H451" i="7"/>
  <c r="H276" i="7"/>
  <c r="H253" i="7"/>
  <c r="H259" i="7"/>
  <c r="H302" i="7"/>
  <c r="H629" i="7"/>
  <c r="H1008" i="7"/>
  <c r="H722" i="7"/>
  <c r="H950" i="7"/>
  <c r="H187" i="7"/>
  <c r="H668" i="7"/>
  <c r="H725" i="7"/>
  <c r="H1024" i="7"/>
  <c r="H989" i="7"/>
  <c r="H400" i="7"/>
  <c r="H526" i="7"/>
  <c r="H522" i="7"/>
  <c r="H102" i="7"/>
  <c r="H571" i="7"/>
  <c r="H289" i="7"/>
  <c r="H61" i="7"/>
  <c r="H874" i="7"/>
  <c r="H423" i="7"/>
  <c r="H805" i="7"/>
  <c r="H119" i="7"/>
  <c r="H974" i="7"/>
  <c r="H252" i="7"/>
  <c r="H88" i="7"/>
  <c r="H39" i="7"/>
  <c r="H37" i="7"/>
  <c r="H312" i="7"/>
  <c r="H882" i="7"/>
  <c r="H920" i="7"/>
  <c r="H665" i="7"/>
  <c r="H925" i="7"/>
  <c r="H139" i="7"/>
  <c r="H449" i="7"/>
  <c r="H560" i="7"/>
  <c r="H346" i="7"/>
  <c r="H816" i="7"/>
  <c r="H555" i="7"/>
  <c r="H1020" i="7"/>
  <c r="H486" i="7"/>
  <c r="H889" i="7"/>
  <c r="H861" i="7"/>
  <c r="H25" i="7"/>
  <c r="H506" i="7"/>
  <c r="H1014" i="7"/>
  <c r="H580" i="7"/>
  <c r="H401" i="7"/>
  <c r="H635" i="7"/>
  <c r="H851" i="7"/>
  <c r="H193" i="7"/>
  <c r="H868" i="7"/>
  <c r="H60" i="7"/>
  <c r="H1037" i="7"/>
  <c r="H871" i="7"/>
  <c r="H58" i="7"/>
  <c r="H845" i="7"/>
  <c r="H911" i="7"/>
  <c r="H44" i="7"/>
  <c r="H76" i="7"/>
  <c r="H403" i="7"/>
  <c r="H258" i="7"/>
  <c r="H32" i="7"/>
  <c r="H765" i="7"/>
  <c r="H869" i="7"/>
  <c r="H705" i="7"/>
  <c r="H201" i="7"/>
  <c r="H993" i="7"/>
  <c r="H362" i="7"/>
  <c r="H901" i="7"/>
  <c r="H762" i="7"/>
  <c r="H547" i="7"/>
  <c r="H281" i="7"/>
  <c r="H716" i="7"/>
  <c r="H1009" i="7"/>
  <c r="H1041" i="7"/>
  <c r="H300" i="7"/>
  <c r="H940" i="7"/>
  <c r="H459" i="7"/>
  <c r="H881" i="7"/>
  <c r="H343" i="7"/>
  <c r="H27" i="7"/>
  <c r="H374" i="7"/>
  <c r="H788" i="7"/>
  <c r="H396" i="7"/>
  <c r="H69" i="7"/>
  <c r="H670" i="7"/>
  <c r="H166" i="7"/>
  <c r="H78" i="7"/>
  <c r="H783" i="7"/>
  <c r="H275" i="7"/>
  <c r="H686" i="7"/>
  <c r="H505" i="7"/>
  <c r="H531" i="7"/>
  <c r="H583" i="7"/>
  <c r="H388" i="7"/>
  <c r="H335" i="7"/>
  <c r="H115" i="7"/>
  <c r="H636" i="7"/>
  <c r="H469" i="7"/>
  <c r="H833" i="7"/>
  <c r="H701" i="7"/>
  <c r="H1017" i="7"/>
  <c r="H426" i="7"/>
  <c r="H282" i="7"/>
  <c r="H192" i="7"/>
  <c r="H238" i="7"/>
  <c r="H274" i="7"/>
  <c r="H443" i="7"/>
  <c r="H54" i="7"/>
  <c r="H176" i="7"/>
  <c r="H939" i="7"/>
  <c r="H146" i="7"/>
  <c r="H1052" i="7"/>
  <c r="H483" i="7"/>
  <c r="H421" i="7"/>
  <c r="H867" i="7"/>
  <c r="H951" i="7"/>
  <c r="H548" i="7"/>
  <c r="H660" i="7"/>
  <c r="H766" i="7"/>
  <c r="H511" i="7"/>
  <c r="H779" i="7"/>
  <c r="H870" i="7"/>
  <c r="H116" i="7"/>
  <c r="H613" i="7"/>
  <c r="H678" i="7"/>
  <c r="H751" i="7"/>
  <c r="H326" i="7"/>
  <c r="H610" i="7"/>
  <c r="H512" i="7"/>
  <c r="H128" i="7"/>
  <c r="H513" i="7"/>
  <c r="H563" i="7"/>
  <c r="H862" i="7"/>
  <c r="H140" i="7"/>
  <c r="H955" i="7"/>
  <c r="H750" i="7"/>
  <c r="H891" i="7"/>
  <c r="H126" i="7"/>
  <c r="H390" i="7"/>
  <c r="H80" i="7"/>
  <c r="H430" i="7"/>
  <c r="H446" i="7"/>
  <c r="H562" i="7"/>
  <c r="H921" i="7"/>
  <c r="H831" i="7"/>
  <c r="H945" i="7"/>
  <c r="H478" i="7"/>
  <c r="H169" i="7"/>
  <c r="H251" i="7"/>
  <c r="H527" i="7"/>
  <c r="H588" i="7"/>
  <c r="H550" i="7"/>
  <c r="H594" i="7"/>
  <c r="H502" i="7"/>
  <c r="H42" i="7"/>
  <c r="H41" i="7"/>
  <c r="H782" i="7"/>
  <c r="H409" i="7"/>
  <c r="H717" i="7"/>
  <c r="H482" i="7"/>
  <c r="H150" i="7"/>
  <c r="H77" i="7"/>
  <c r="H51" i="7"/>
  <c r="H1012" i="7"/>
  <c r="H83" i="7"/>
  <c r="H767" i="7"/>
  <c r="H420" i="7"/>
  <c r="H775" i="7"/>
  <c r="H518" i="7"/>
  <c r="H284" i="7"/>
  <c r="H529" i="7"/>
  <c r="H158" i="7"/>
  <c r="H952" i="7"/>
  <c r="H702" i="7"/>
  <c r="H13" i="7"/>
  <c r="H658" i="7"/>
  <c r="H535" i="7"/>
  <c r="H640" i="7"/>
  <c r="H204" i="7"/>
  <c r="H850" i="7"/>
  <c r="H864" i="7"/>
  <c r="H415" i="7"/>
  <c r="H956" i="7"/>
  <c r="H440" i="7"/>
  <c r="H442" i="7"/>
  <c r="H136" i="7"/>
  <c r="H544" i="7"/>
  <c r="H476" i="7"/>
  <c r="H218" i="7"/>
  <c r="H680" i="7"/>
  <c r="H938" i="7"/>
  <c r="H967" i="7"/>
  <c r="H599" i="7"/>
  <c r="H448" i="7"/>
  <c r="H59" i="7"/>
  <c r="H914" i="7"/>
  <c r="H122" i="7"/>
  <c r="H923" i="7"/>
  <c r="H598" i="7"/>
  <c r="H121" i="7"/>
  <c r="H773" i="7"/>
  <c r="H1016" i="7"/>
  <c r="H962" i="7"/>
  <c r="H109" i="7"/>
  <c r="H761" i="7"/>
  <c r="H575" i="7"/>
  <c r="H645" i="7"/>
  <c r="H365" i="7"/>
  <c r="H858" i="7"/>
  <c r="H487" i="7"/>
  <c r="H454" i="7"/>
  <c r="H491" i="7"/>
  <c r="H328" i="7"/>
  <c r="H966" i="7"/>
  <c r="H834" i="7"/>
  <c r="H165" i="7"/>
  <c r="H219" i="7"/>
  <c r="H429" i="7"/>
  <c r="H103" i="7"/>
  <c r="H419" i="7"/>
  <c r="H269" i="7"/>
  <c r="H463" i="7"/>
  <c r="H153" i="7"/>
  <c r="H709" i="7"/>
  <c r="H666" i="7"/>
  <c r="H514" i="7"/>
  <c r="H127" i="7"/>
  <c r="H237" i="7"/>
  <c r="H408" i="7"/>
  <c r="H941" i="7"/>
  <c r="H356" i="7"/>
  <c r="H853" i="7"/>
  <c r="H675" i="7"/>
  <c r="H472" i="7"/>
  <c r="H978" i="7"/>
  <c r="H322" i="7"/>
  <c r="H655" i="7"/>
  <c r="H582" i="7"/>
  <c r="H999" i="7"/>
  <c r="H843" i="7"/>
  <c r="H73" i="7"/>
  <c r="H33" i="7"/>
  <c r="H774" i="7"/>
  <c r="H87" i="7"/>
  <c r="H628" i="7"/>
  <c r="H684" i="7"/>
  <c r="H949" i="7"/>
  <c r="H973" i="7"/>
  <c r="H809" i="7"/>
  <c r="H305" i="7"/>
  <c r="H229" i="7"/>
  <c r="H310" i="7"/>
  <c r="H979" i="7"/>
  <c r="H814" i="7"/>
  <c r="H694" i="7"/>
  <c r="H581" i="7"/>
  <c r="H731" i="7"/>
  <c r="H859" i="7"/>
  <c r="H358" i="7"/>
  <c r="H801" i="7"/>
  <c r="H931" i="7"/>
  <c r="H715" i="7"/>
  <c r="H759" i="7"/>
  <c r="H552" i="7"/>
  <c r="H927" i="7"/>
  <c r="H749" i="7"/>
  <c r="H1029" i="7"/>
  <c r="H1015" i="7"/>
  <c r="H149" i="7"/>
  <c r="H572" i="7"/>
  <c r="H1050" i="7"/>
  <c r="H627" i="7"/>
  <c r="H221" i="7"/>
  <c r="H95" i="7"/>
  <c r="H543" i="7"/>
  <c r="H188" i="7"/>
  <c r="H319" i="7"/>
  <c r="H558" i="7"/>
  <c r="H996" i="7"/>
  <c r="H873" i="7"/>
  <c r="H304" i="7"/>
  <c r="H930" i="7"/>
  <c r="H990" i="7"/>
  <c r="H91" i="7"/>
  <c r="H777" i="7"/>
  <c r="H271" i="7"/>
  <c r="H574" i="7"/>
  <c r="H82" i="7"/>
  <c r="H168" i="7"/>
  <c r="H231" i="7"/>
  <c r="H837" i="7"/>
  <c r="H770" i="7"/>
  <c r="H839" i="7"/>
  <c r="H155" i="7"/>
  <c r="H510" i="7"/>
  <c r="H94" i="7"/>
  <c r="H68" i="7"/>
  <c r="H485" i="7"/>
  <c r="H71" i="7"/>
  <c r="H649" i="7"/>
  <c r="H79" i="7"/>
  <c r="H345" i="7"/>
  <c r="H257" i="7"/>
  <c r="H48" i="7"/>
  <c r="H797" i="7"/>
  <c r="H639" i="7"/>
  <c r="H875" i="7"/>
  <c r="H876" i="7"/>
  <c r="H1005" i="7"/>
  <c r="H488" i="7"/>
  <c r="H906" i="7"/>
  <c r="H516" i="7"/>
  <c r="H893" i="7"/>
  <c r="H1036" i="7"/>
  <c r="H1034" i="7"/>
  <c r="H532" i="7"/>
  <c r="H748" i="7"/>
  <c r="H1038" i="7"/>
  <c r="H84" i="7"/>
  <c r="H559" i="7"/>
  <c r="H500" i="7"/>
  <c r="H539" i="7"/>
  <c r="H609" i="7"/>
  <c r="H987" i="7"/>
  <c r="H411" i="7"/>
  <c r="H90" i="7"/>
  <c r="H270" i="7"/>
  <c r="H234" i="7"/>
  <c r="H718" i="7"/>
  <c r="H804" i="7"/>
  <c r="H936" i="7"/>
  <c r="H471" i="7"/>
  <c r="H272" i="7"/>
  <c r="H444" i="7"/>
  <c r="H617" i="7"/>
  <c r="H682" i="7"/>
  <c r="H803" i="7"/>
  <c r="H399" i="7"/>
  <c r="H732" i="7"/>
  <c r="H137" i="7"/>
  <c r="H557" i="7"/>
  <c r="H525" i="7"/>
  <c r="H173" i="7"/>
  <c r="H626" i="7"/>
  <c r="H677" i="7"/>
  <c r="H97" i="7"/>
  <c r="H913" i="7"/>
  <c r="H404" i="7"/>
  <c r="H177" i="7"/>
  <c r="H402" i="7"/>
  <c r="H413" i="7"/>
  <c r="H792" i="7"/>
  <c r="H303" i="7"/>
  <c r="H836" i="7"/>
  <c r="H1053" i="7"/>
  <c r="H537" i="7"/>
  <c r="H897" i="7"/>
  <c r="H536" i="7"/>
  <c r="H828" i="7"/>
  <c r="H602" i="7"/>
  <c r="H461" i="7"/>
  <c r="H771" i="7"/>
  <c r="H357" i="7"/>
  <c r="H747" i="7"/>
  <c r="H373" i="7"/>
  <c r="H520" i="7"/>
  <c r="H334" i="7"/>
  <c r="H406" i="7"/>
  <c r="H414" i="7"/>
  <c r="H114" i="7"/>
  <c r="H445" i="7"/>
  <c r="H62" i="7"/>
  <c r="H887" i="7"/>
  <c r="H523" i="7"/>
  <c r="H727" i="7"/>
  <c r="H418" i="7"/>
  <c r="AA67" i="74"/>
  <c r="AA67" i="71"/>
  <c r="H22" i="7"/>
  <c r="H170" i="7"/>
  <c r="H1026" i="7"/>
  <c r="H29" i="7"/>
  <c r="H380" i="7"/>
  <c r="H612" i="7"/>
  <c r="H1039" i="7"/>
  <c r="H690" i="7"/>
  <c r="H144" i="7"/>
  <c r="H160" i="7"/>
  <c r="H533" i="7"/>
  <c r="H481" i="7"/>
  <c r="H802" i="7"/>
  <c r="H211" i="7"/>
  <c r="H652" i="7"/>
  <c r="H407" i="7"/>
  <c r="H432" i="7"/>
  <c r="H349" i="7"/>
  <c r="AA2" i="82"/>
  <c r="AA2" i="80"/>
  <c r="AA2" i="76"/>
  <c r="AA67" i="70"/>
  <c r="AA2" i="71"/>
  <c r="AA2" i="67"/>
  <c r="AA67" i="76"/>
  <c r="AA2" i="75"/>
  <c r="AA2" i="77"/>
  <c r="AA2" i="69"/>
  <c r="AA2" i="4"/>
  <c r="AA2" i="78"/>
  <c r="AA67" i="75"/>
  <c r="AA2" i="1"/>
  <c r="AA2" i="10"/>
  <c r="AA2" i="20"/>
  <c r="AA67" i="73"/>
  <c r="AA2" i="70"/>
  <c r="AA2" i="73"/>
  <c r="J10" i="7"/>
  <c r="L22" i="2"/>
  <c r="H854" i="7"/>
  <c r="AA2" i="65"/>
  <c r="AA2" i="68"/>
  <c r="H104" i="7"/>
  <c r="H350" i="7"/>
  <c r="H145" i="7"/>
  <c r="H182" i="7"/>
  <c r="H113" i="7"/>
  <c r="H916" i="7"/>
  <c r="H912" i="7"/>
  <c r="H21" i="7"/>
  <c r="H375" i="7"/>
  <c r="H947" i="7"/>
  <c r="H855" i="7"/>
  <c r="H815" i="7"/>
  <c r="H360" i="7"/>
  <c r="H264" i="7"/>
  <c r="H36" i="7"/>
  <c r="H585" i="7"/>
  <c r="H367" i="7"/>
  <c r="H946" i="7"/>
  <c r="AF8" i="4"/>
  <c r="C8" i="4"/>
  <c r="Q8" i="4"/>
  <c r="Q26" i="4"/>
  <c r="AF26" i="4"/>
  <c r="B82" i="73"/>
  <c r="B82" i="71"/>
  <c r="B82" i="70"/>
  <c r="B11" i="81"/>
  <c r="B11" i="75"/>
  <c r="C63" i="4"/>
  <c r="AF75" i="4"/>
  <c r="B82" i="75"/>
  <c r="C25" i="65"/>
  <c r="M10" i="7"/>
  <c r="AA22" i="20"/>
  <c r="B11" i="78"/>
  <c r="C75" i="4"/>
  <c r="C86" i="4"/>
  <c r="B82" i="76"/>
  <c r="Q17" i="65"/>
  <c r="B11" i="1"/>
  <c r="B11" i="66"/>
  <c r="B11" i="70"/>
  <c r="AM20" i="10"/>
  <c r="B11" i="73"/>
  <c r="B11" i="67"/>
  <c r="B11" i="69"/>
  <c r="B11" i="68"/>
  <c r="B11" i="80"/>
  <c r="AF44" i="4"/>
  <c r="Q75" i="4"/>
  <c r="Q94" i="4"/>
  <c r="AF25" i="65"/>
  <c r="B8" i="69"/>
  <c r="B8" i="68"/>
  <c r="B8" i="66"/>
  <c r="D10" i="7"/>
  <c r="B8" i="71"/>
  <c r="B13" i="2"/>
  <c r="B6" i="66"/>
  <c r="B6" i="67"/>
  <c r="B6" i="69"/>
  <c r="B6" i="70"/>
  <c r="AF56" i="4"/>
  <c r="AF48" i="4"/>
  <c r="AF20" i="4"/>
  <c r="AT12" i="4"/>
  <c r="AF12" i="4"/>
  <c r="Q30" i="4"/>
  <c r="Q12" i="4"/>
  <c r="C12" i="4"/>
  <c r="AF30" i="4"/>
  <c r="AF21" i="65"/>
  <c r="Q29" i="65"/>
  <c r="Q21" i="65"/>
  <c r="AF29" i="65"/>
  <c r="AF13" i="65"/>
  <c r="C13" i="65"/>
  <c r="C21" i="65"/>
  <c r="B84" i="70"/>
  <c r="B84" i="73"/>
  <c r="B6" i="1"/>
  <c r="H840" i="7"/>
  <c r="H542" i="7"/>
  <c r="H918" i="7"/>
  <c r="H474" i="7"/>
  <c r="H860" i="7"/>
  <c r="H98" i="7"/>
  <c r="H653" i="7"/>
  <c r="H634" i="7"/>
  <c r="H528" i="7"/>
  <c r="H268" i="7"/>
  <c r="H1003" i="7"/>
  <c r="H917" i="7"/>
  <c r="H24" i="7"/>
  <c r="H605" i="7"/>
  <c r="H135" i="7"/>
  <c r="H244" i="7"/>
  <c r="H290" i="7"/>
  <c r="H538" i="7"/>
  <c r="H696" i="7"/>
  <c r="H18" i="7"/>
  <c r="H339" i="7"/>
  <c r="H55" i="7"/>
  <c r="H633" i="7"/>
  <c r="H937" i="7"/>
  <c r="H885" i="7"/>
  <c r="H148" i="7"/>
  <c r="H371" i="7"/>
  <c r="H57" i="7"/>
  <c r="H314" i="7"/>
  <c r="H280" i="7"/>
  <c r="H241" i="7"/>
  <c r="H909" i="7"/>
  <c r="H1011" i="7"/>
  <c r="H473" i="7"/>
  <c r="H332" i="7"/>
  <c r="H813" i="7"/>
  <c r="H692" i="7"/>
  <c r="H772" i="7"/>
  <c r="H646" i="7"/>
  <c r="H66" i="7"/>
  <c r="H603" i="7"/>
  <c r="H985" i="7"/>
  <c r="H67" i="7"/>
  <c r="H336" i="7"/>
  <c r="H886" i="7"/>
  <c r="H983" i="7"/>
  <c r="H370" i="7"/>
  <c r="H972" i="7"/>
  <c r="H74" i="7"/>
  <c r="H672" i="7"/>
  <c r="H16" i="7"/>
  <c r="H46" i="7"/>
  <c r="H89" i="7"/>
  <c r="H521" i="7"/>
  <c r="H768" i="7"/>
  <c r="H123" i="7"/>
  <c r="H597" i="7"/>
  <c r="H578" i="7"/>
  <c r="H689" i="7"/>
  <c r="H352" i="7"/>
  <c r="H313" i="7"/>
  <c r="H981" i="7"/>
  <c r="H157" i="7"/>
  <c r="H799" i="7"/>
  <c r="H776" i="7"/>
  <c r="H755" i="7"/>
  <c r="H425" i="7"/>
  <c r="H308" i="7"/>
  <c r="H43" i="7"/>
  <c r="H954" i="7"/>
  <c r="H743" i="7"/>
  <c r="H719" i="7"/>
  <c r="H203" i="7"/>
  <c r="H1010" i="7"/>
  <c r="H239" i="7"/>
  <c r="H386" i="7"/>
  <c r="H1045" i="7"/>
  <c r="H214" i="7"/>
  <c r="H644" i="7"/>
  <c r="H56" i="7"/>
  <c r="H132" i="7"/>
  <c r="H968" i="7"/>
  <c r="H894" i="7"/>
  <c r="H11" i="7"/>
  <c r="H484" i="7"/>
  <c r="H164" i="7"/>
  <c r="H1001" i="7"/>
  <c r="H662" i="7"/>
  <c r="H232" i="7"/>
  <c r="H410" i="7"/>
  <c r="H903" i="7"/>
  <c r="H466" i="7"/>
  <c r="H436" i="7"/>
  <c r="H508" i="7"/>
  <c r="H495" i="7"/>
  <c r="H1022" i="7"/>
  <c r="H133" i="7"/>
  <c r="H970" i="7"/>
  <c r="H590" i="7"/>
  <c r="H107" i="7"/>
  <c r="H822" i="7"/>
  <c r="H534" i="7"/>
  <c r="H1032" i="7"/>
  <c r="H265" i="7"/>
  <c r="H899" i="7"/>
  <c r="H167" i="7"/>
  <c r="H492" i="7"/>
  <c r="H549" i="7"/>
  <c r="H988" i="7"/>
  <c r="H344" i="7"/>
  <c r="H96" i="7"/>
  <c r="H944" i="7"/>
  <c r="H369" i="7"/>
  <c r="H250" i="7"/>
  <c r="H896" i="7"/>
  <c r="H435" i="7"/>
  <c r="H796" i="7"/>
  <c r="H724" i="7"/>
  <c r="H699" i="7"/>
  <c r="H351" i="7"/>
  <c r="H872" i="7"/>
  <c r="H838" i="7"/>
  <c r="H823" i="7"/>
  <c r="H919" i="7"/>
  <c r="H216" i="7"/>
  <c r="H507" i="7"/>
  <c r="H213" i="7"/>
  <c r="H900" i="7"/>
  <c r="H908" i="7"/>
  <c r="H233" i="7"/>
  <c r="H1035" i="7"/>
  <c r="H19" i="7"/>
  <c r="H890" i="7"/>
  <c r="H664" i="7"/>
  <c r="H1040" i="7"/>
  <c r="H291" i="7"/>
  <c r="H695" i="7"/>
  <c r="H12" i="7"/>
  <c r="H720" i="7"/>
  <c r="H953" i="7"/>
  <c r="H933" i="7"/>
  <c r="H654" i="7"/>
  <c r="H331" i="7"/>
  <c r="H111" i="7"/>
  <c r="H569" i="7"/>
  <c r="H99" i="7"/>
  <c r="H106" i="7"/>
  <c r="H477" i="7"/>
  <c r="H807" i="7"/>
  <c r="H441" i="7"/>
  <c r="H1044" i="7"/>
  <c r="H278" i="7"/>
  <c r="H292" i="7"/>
  <c r="H381" i="7"/>
  <c r="H723" i="7"/>
  <c r="H15" i="7"/>
  <c r="H433" i="7"/>
  <c r="H23" i="7"/>
  <c r="H928" i="7"/>
  <c r="H848" i="7"/>
  <c r="H35" i="7"/>
  <c r="H883" i="7"/>
  <c r="H327" i="7"/>
  <c r="H641" i="7"/>
  <c r="H591" i="7"/>
  <c r="H179" i="7"/>
  <c r="H975" i="7"/>
  <c r="H1007" i="7"/>
  <c r="H637" i="7"/>
  <c r="B18" i="20"/>
  <c r="B12" i="2"/>
  <c r="AO2" i="80"/>
  <c r="AO2" i="65"/>
  <c r="H22" i="1"/>
  <c r="H30" i="66"/>
  <c r="H28" i="70"/>
  <c r="H22" i="71"/>
  <c r="H19" i="67"/>
  <c r="H22" i="70"/>
  <c r="H28" i="69"/>
  <c r="B10" i="69"/>
  <c r="AF20" i="65"/>
  <c r="Q12" i="65"/>
  <c r="N83" i="70"/>
  <c r="N83" i="74"/>
  <c r="O6" i="4"/>
  <c r="B4" i="68"/>
  <c r="B4" i="73"/>
  <c r="B69" i="73" s="1"/>
  <c r="B4" i="78"/>
  <c r="B4" i="77"/>
  <c r="B4" i="70"/>
  <c r="B69" i="70" s="1"/>
  <c r="AR6" i="4"/>
  <c r="B4" i="67"/>
  <c r="B4" i="71"/>
  <c r="B69" i="71" s="1"/>
  <c r="B4" i="75"/>
  <c r="B69" i="75" s="1"/>
  <c r="AD6" i="4"/>
  <c r="B4" i="1"/>
  <c r="B4" i="69"/>
  <c r="B4" i="76"/>
  <c r="B69" i="76" s="1"/>
  <c r="B4" i="80"/>
  <c r="BF6" i="4"/>
  <c r="B4" i="66"/>
  <c r="B4" i="74"/>
  <c r="B69" i="74" s="1"/>
  <c r="B4" i="81"/>
  <c r="AU103" i="76"/>
  <c r="AV32" i="1"/>
  <c r="BE32" i="77"/>
  <c r="BF37" i="76"/>
  <c r="BF53" i="80"/>
  <c r="BF41" i="68"/>
  <c r="BE66" i="77"/>
  <c r="BE98" i="67"/>
  <c r="BF97" i="67"/>
  <c r="BE86" i="67"/>
  <c r="AW25" i="76"/>
  <c r="BE52" i="76"/>
  <c r="BF42" i="74"/>
  <c r="BF116" i="66"/>
  <c r="AW64" i="67"/>
  <c r="BF114" i="1"/>
  <c r="AW56" i="71"/>
  <c r="BE92" i="68"/>
  <c r="AV73" i="74"/>
  <c r="BF25" i="73"/>
  <c r="AV32" i="69"/>
  <c r="BF59" i="71"/>
  <c r="BE36" i="68"/>
  <c r="BF41" i="73"/>
  <c r="AW57" i="74"/>
  <c r="BF96" i="70"/>
  <c r="AW30" i="74"/>
  <c r="AV25" i="75"/>
  <c r="AW38" i="80"/>
  <c r="AV51" i="66"/>
  <c r="AW34" i="73"/>
  <c r="BF21" i="82"/>
  <c r="AW49" i="75"/>
  <c r="BE46" i="71"/>
  <c r="AV61" i="71"/>
  <c r="BE95" i="66"/>
  <c r="AW27" i="68"/>
  <c r="AW42" i="78"/>
  <c r="AW32" i="74"/>
  <c r="AV44" i="80"/>
  <c r="AV73" i="70"/>
  <c r="BF65" i="70"/>
  <c r="BF46" i="66"/>
  <c r="BF79" i="70"/>
  <c r="BE81" i="78"/>
  <c r="BE68" i="71"/>
  <c r="AW31" i="74"/>
  <c r="AW89" i="75"/>
  <c r="AV32" i="81"/>
  <c r="BF67" i="80"/>
  <c r="AW46" i="71"/>
  <c r="AW39" i="67"/>
  <c r="AV18" i="76"/>
  <c r="AV34" i="70"/>
  <c r="AV58" i="70"/>
  <c r="BF102" i="70"/>
  <c r="AW48" i="76"/>
  <c r="BF78" i="75"/>
  <c r="BF96" i="78"/>
  <c r="BF51" i="76"/>
  <c r="AV61" i="66"/>
  <c r="BE71" i="81"/>
  <c r="BF68" i="71"/>
  <c r="BF63" i="78"/>
  <c r="AW38" i="82"/>
  <c r="BE97" i="74"/>
  <c r="AV71" i="1"/>
  <c r="BE104" i="1"/>
  <c r="BE46" i="74"/>
  <c r="BF68" i="78"/>
  <c r="BE49" i="77"/>
  <c r="BE96" i="67"/>
  <c r="BE50" i="80"/>
  <c r="BF89" i="76"/>
  <c r="AW27" i="81"/>
  <c r="BF61" i="73"/>
  <c r="BF74" i="78"/>
  <c r="BE71" i="68"/>
  <c r="BF102" i="71"/>
  <c r="BF57" i="73"/>
  <c r="AV34" i="80"/>
  <c r="BE25" i="76"/>
  <c r="BE110" i="74"/>
  <c r="BF92" i="73"/>
  <c r="AV68" i="67"/>
  <c r="AV89" i="75"/>
  <c r="BE80" i="67"/>
  <c r="AW18" i="69"/>
  <c r="BF61" i="69"/>
  <c r="BF98" i="71"/>
  <c r="AV31" i="76"/>
  <c r="AV55" i="73"/>
  <c r="BE97" i="70"/>
  <c r="AW67" i="73"/>
  <c r="BE72" i="81"/>
  <c r="BF61" i="82"/>
  <c r="BE100" i="78"/>
  <c r="AV45" i="71"/>
  <c r="AV45" i="76"/>
  <c r="BF45" i="77"/>
  <c r="AV45" i="69"/>
  <c r="AW64" i="66"/>
  <c r="AV41" i="70"/>
  <c r="BE99" i="67"/>
  <c r="AV45" i="68"/>
  <c r="AV56" i="73"/>
  <c r="AV60" i="1"/>
  <c r="BE48" i="81"/>
  <c r="BE44" i="70"/>
  <c r="AV38" i="73"/>
  <c r="BF68" i="69"/>
  <c r="BF75" i="74"/>
  <c r="BE64" i="80"/>
  <c r="BE109" i="71"/>
  <c r="AW56" i="74"/>
  <c r="BE121" i="1"/>
  <c r="AW35" i="71"/>
  <c r="BE79" i="73"/>
  <c r="BE73" i="73"/>
  <c r="AW51" i="67"/>
  <c r="BF85" i="68"/>
  <c r="AW61" i="67"/>
  <c r="BF72" i="78"/>
  <c r="BE115" i="67"/>
  <c r="BF39" i="73"/>
  <c r="BF38" i="74"/>
  <c r="AW46" i="78"/>
  <c r="AW71" i="70"/>
  <c r="BF95" i="73"/>
  <c r="BF50" i="1"/>
  <c r="AV15" i="69"/>
  <c r="BE80" i="73"/>
  <c r="BE92" i="66"/>
  <c r="BF113" i="1"/>
  <c r="BF100" i="70"/>
  <c r="AW17" i="76"/>
  <c r="AV64" i="71"/>
  <c r="AV30" i="70"/>
  <c r="AW27" i="71"/>
  <c r="AV24" i="77"/>
  <c r="BE108" i="75"/>
  <c r="BF94" i="73"/>
  <c r="BF92" i="75"/>
  <c r="BF60" i="78"/>
  <c r="AV28" i="69"/>
  <c r="AV42" i="76"/>
  <c r="BF121" i="67"/>
  <c r="BE31" i="82"/>
  <c r="BE88" i="70"/>
  <c r="BF110" i="71"/>
  <c r="BF41" i="82"/>
  <c r="AV27" i="69"/>
  <c r="BE44" i="69"/>
  <c r="BF54" i="73"/>
  <c r="AW59" i="75"/>
  <c r="BF31" i="75"/>
  <c r="BE77" i="81"/>
  <c r="BE57" i="67"/>
  <c r="BE82" i="73"/>
  <c r="BE25" i="69"/>
  <c r="BF92" i="74"/>
  <c r="BE43" i="68"/>
  <c r="AV60" i="75"/>
  <c r="BF78" i="74"/>
  <c r="AW36" i="67"/>
  <c r="BE66" i="70"/>
  <c r="BE38" i="76"/>
  <c r="BF62" i="76"/>
  <c r="BE55" i="67"/>
  <c r="BE25" i="67"/>
  <c r="AW13" i="75"/>
  <c r="BF96" i="66"/>
  <c r="BE104" i="70"/>
  <c r="BF69" i="69"/>
  <c r="BE40" i="69"/>
  <c r="BF78" i="76"/>
  <c r="BE72" i="80"/>
  <c r="BF74" i="76"/>
  <c r="BF54" i="75"/>
  <c r="BF108" i="1"/>
  <c r="BH25" i="80"/>
  <c r="BH27" i="78"/>
  <c r="AU98" i="75"/>
  <c r="AU99" i="75" s="1"/>
  <c r="AY111" i="76"/>
  <c r="BH111" i="76" s="1"/>
  <c r="AY137" i="73"/>
  <c r="BH137" i="73" s="1"/>
  <c r="BH7" i="73"/>
  <c r="BH18" i="71"/>
  <c r="BH119" i="71"/>
  <c r="AU100" i="71"/>
  <c r="AU101" i="71" s="1"/>
  <c r="BH109" i="71"/>
  <c r="BH13" i="71"/>
  <c r="BH68" i="71"/>
  <c r="BH63" i="71"/>
  <c r="BH130" i="71"/>
  <c r="AY137" i="70"/>
  <c r="BH137" i="70" s="1"/>
  <c r="BH66" i="66"/>
  <c r="AY131" i="1"/>
  <c r="BH131" i="1" s="1"/>
  <c r="BH19" i="1"/>
  <c r="AY127" i="1"/>
  <c r="BH127" i="1" s="1"/>
  <c r="BH106" i="1"/>
  <c r="BH110" i="1"/>
  <c r="BE32" i="68"/>
  <c r="BE110" i="73"/>
  <c r="AV19" i="69"/>
  <c r="AV21" i="76"/>
  <c r="AW45" i="81"/>
  <c r="AW40" i="69"/>
  <c r="AW30" i="67"/>
  <c r="BF21" i="69"/>
  <c r="BF88" i="1"/>
  <c r="BE123" i="74"/>
  <c r="BF71" i="75"/>
  <c r="AV30" i="77"/>
  <c r="BF82" i="69"/>
  <c r="AV56" i="69"/>
  <c r="AW21" i="69"/>
  <c r="AW36" i="77"/>
  <c r="BF52" i="67"/>
  <c r="BE56" i="82"/>
  <c r="AW72" i="70"/>
  <c r="BF83" i="66"/>
  <c r="AW58" i="68"/>
  <c r="AV47" i="76"/>
  <c r="AV36" i="75"/>
  <c r="AV76" i="66"/>
  <c r="BF56" i="67"/>
  <c r="AV48" i="66"/>
  <c r="BE92" i="76"/>
  <c r="BE48" i="67"/>
  <c r="BE110" i="1"/>
  <c r="BE114" i="73"/>
  <c r="AW69" i="74"/>
  <c r="BF90" i="67"/>
  <c r="BF61" i="67"/>
  <c r="BE74" i="75"/>
  <c r="BE59" i="1"/>
  <c r="AW62" i="69"/>
  <c r="BE55" i="77"/>
  <c r="AV38" i="1"/>
  <c r="AW30" i="1"/>
  <c r="AV67" i="74"/>
  <c r="BE56" i="71"/>
  <c r="AW76" i="71"/>
  <c r="AW54" i="67"/>
  <c r="AV37" i="80"/>
  <c r="BE83" i="1"/>
  <c r="BE73" i="68"/>
  <c r="BE22" i="68"/>
  <c r="AV49" i="69"/>
  <c r="AW24" i="69"/>
  <c r="BF111" i="74"/>
  <c r="BF42" i="67"/>
  <c r="BF63" i="71"/>
  <c r="AV44" i="67"/>
  <c r="AW42" i="74"/>
  <c r="AW29" i="80"/>
  <c r="BE98" i="66"/>
  <c r="BE51" i="74"/>
  <c r="BE100" i="67"/>
  <c r="BE56" i="73"/>
  <c r="AV20" i="77"/>
  <c r="BF72" i="66"/>
  <c r="BE123" i="71"/>
  <c r="BE114" i="66"/>
  <c r="BF49" i="66"/>
  <c r="BE54" i="68"/>
  <c r="BE66" i="81"/>
  <c r="BE78" i="70"/>
  <c r="BE72" i="71"/>
  <c r="AW29" i="70"/>
  <c r="AW21" i="68"/>
  <c r="AV29" i="67"/>
  <c r="BF76" i="73"/>
  <c r="AV52" i="68"/>
  <c r="AV91" i="74"/>
  <c r="BF48" i="70"/>
  <c r="BE24" i="77"/>
  <c r="BE49" i="81"/>
  <c r="BE38" i="77"/>
  <c r="BE78" i="67"/>
  <c r="BE90" i="78"/>
  <c r="BE39" i="76"/>
  <c r="BE77" i="76"/>
  <c r="AW32" i="80"/>
  <c r="BE40" i="66"/>
  <c r="BF81" i="76"/>
  <c r="AV69" i="71"/>
  <c r="AW42" i="73"/>
  <c r="AV55" i="78"/>
  <c r="BF65" i="69"/>
  <c r="BE94" i="73"/>
  <c r="BF47" i="77"/>
  <c r="AV36" i="69"/>
  <c r="AW76" i="70"/>
  <c r="BE69" i="73"/>
  <c r="BF69" i="73"/>
  <c r="BE47" i="69"/>
  <c r="BF47" i="69"/>
  <c r="BE66" i="78"/>
  <c r="BF66" i="78"/>
  <c r="BF45" i="73"/>
  <c r="BE45" i="67"/>
  <c r="BF45" i="67"/>
  <c r="BF88" i="68"/>
  <c r="BE88" i="68"/>
  <c r="AW74" i="1"/>
  <c r="AV74" i="1"/>
  <c r="BE99" i="66"/>
  <c r="BF99" i="66"/>
  <c r="AV60" i="66"/>
  <c r="AW60" i="66"/>
  <c r="AW48" i="68"/>
  <c r="AV48" i="68"/>
  <c r="AV44" i="76"/>
  <c r="AW44" i="76"/>
  <c r="AV15" i="77"/>
  <c r="AW15" i="77"/>
  <c r="BF38" i="73"/>
  <c r="BE38" i="73"/>
  <c r="AW25" i="74"/>
  <c r="AV25" i="74"/>
  <c r="BF41" i="1"/>
  <c r="BE25" i="71"/>
  <c r="BF97" i="75"/>
  <c r="BE97" i="75"/>
  <c r="BF88" i="76"/>
  <c r="BE88" i="76"/>
  <c r="AW58" i="75"/>
  <c r="AV58" i="75"/>
  <c r="BE77" i="68"/>
  <c r="BE78" i="80"/>
  <c r="AV48" i="74"/>
  <c r="AW48" i="74"/>
  <c r="BF62" i="75"/>
  <c r="BE62" i="75"/>
  <c r="AW36" i="76"/>
  <c r="AV36" i="76"/>
  <c r="BE53" i="75"/>
  <c r="BF53" i="75"/>
  <c r="BE67" i="70"/>
  <c r="AV34" i="68"/>
  <c r="AW34" i="68"/>
  <c r="AW38" i="66"/>
  <c r="AV38" i="66"/>
  <c r="BF42" i="76"/>
  <c r="BE42" i="76"/>
  <c r="BF52" i="71"/>
  <c r="BE52" i="71"/>
  <c r="BE48" i="66"/>
  <c r="BF48" i="66"/>
  <c r="AW27" i="66"/>
  <c r="AV27" i="66"/>
  <c r="BE15" i="77"/>
  <c r="BF15" i="77"/>
  <c r="BE68" i="75"/>
  <c r="BF68" i="75"/>
  <c r="BF23" i="82"/>
  <c r="BE23" i="82"/>
  <c r="BE23" i="69"/>
  <c r="BF23" i="69"/>
  <c r="AW72" i="73"/>
  <c r="AV72" i="73"/>
  <c r="BE27" i="82"/>
  <c r="BF27" i="82"/>
  <c r="BF94" i="70"/>
  <c r="BE94" i="70"/>
  <c r="AW59" i="73"/>
  <c r="AV59" i="73"/>
  <c r="BE81" i="73"/>
  <c r="BF81" i="73"/>
  <c r="BE87" i="78"/>
  <c r="BF46" i="77"/>
  <c r="BE46" i="77"/>
  <c r="BF93" i="71"/>
  <c r="BE93" i="71"/>
  <c r="BF67" i="69"/>
  <c r="BE67" i="69"/>
  <c r="BF85" i="73"/>
  <c r="BE85" i="73"/>
  <c r="AW39" i="68"/>
  <c r="AV39" i="68"/>
  <c r="BE49" i="69"/>
  <c r="BF49" i="69"/>
  <c r="AW31" i="82"/>
  <c r="AV31" i="82"/>
  <c r="AW41" i="73"/>
  <c r="AV41" i="73"/>
  <c r="BF47" i="74"/>
  <c r="BE47" i="74"/>
  <c r="AV35" i="80"/>
  <c r="AW35" i="80"/>
  <c r="AV33" i="1"/>
  <c r="AW33" i="1"/>
  <c r="AW33" i="73"/>
  <c r="AV33" i="73"/>
  <c r="AW29" i="73"/>
  <c r="AV29" i="73"/>
  <c r="AV26" i="73"/>
  <c r="AW26" i="73"/>
  <c r="AV46" i="68"/>
  <c r="BF49" i="1"/>
  <c r="BE49" i="1"/>
  <c r="BF96" i="68"/>
  <c r="BE96" i="68"/>
  <c r="BE117" i="70"/>
  <c r="BF117" i="70"/>
  <c r="BF82" i="75"/>
  <c r="BE82" i="75"/>
  <c r="BF38" i="67"/>
  <c r="BE38" i="67"/>
  <c r="BE43" i="81"/>
  <c r="BF43" i="81"/>
  <c r="AW56" i="75"/>
  <c r="BF54" i="77"/>
  <c r="BE54" i="77"/>
  <c r="AW55" i="76"/>
  <c r="AV55" i="76"/>
  <c r="AW37" i="82"/>
  <c r="AV37" i="82"/>
  <c r="BF76" i="71"/>
  <c r="BE76" i="71"/>
  <c r="AW31" i="69"/>
  <c r="AV65" i="70"/>
  <c r="BE76" i="70"/>
  <c r="BE98" i="1"/>
  <c r="BE103" i="70"/>
  <c r="BF58" i="74"/>
  <c r="AW61" i="1"/>
  <c r="BE98" i="68"/>
  <c r="AW76" i="67"/>
  <c r="BE49" i="80"/>
  <c r="AV44" i="73"/>
  <c r="AW59" i="1"/>
  <c r="BF52" i="1"/>
  <c r="BF72" i="69"/>
  <c r="AW32" i="71"/>
  <c r="BF47" i="76"/>
  <c r="BF44" i="73"/>
  <c r="BE44" i="73"/>
  <c r="BF43" i="69"/>
  <c r="BE43" i="69"/>
  <c r="AV17" i="77"/>
  <c r="AW17" i="77"/>
  <c r="BE74" i="66"/>
  <c r="BF74" i="66"/>
  <c r="AW31" i="75"/>
  <c r="AV31" i="75"/>
  <c r="BE53" i="67"/>
  <c r="BF53" i="67"/>
  <c r="BF39" i="69"/>
  <c r="BE39" i="69"/>
  <c r="BE73" i="75"/>
  <c r="BF73" i="75"/>
  <c r="BF78" i="68"/>
  <c r="AW15" i="82"/>
  <c r="BF25" i="66"/>
  <c r="AV36" i="68"/>
  <c r="BE44" i="67"/>
  <c r="BE61" i="78"/>
  <c r="AW60" i="68"/>
  <c r="AV76" i="73"/>
  <c r="BE52" i="70"/>
  <c r="BE72" i="1"/>
  <c r="BE86" i="78"/>
  <c r="BE114" i="67"/>
  <c r="BF65" i="75"/>
  <c r="AV44" i="66"/>
  <c r="BE27" i="69"/>
  <c r="AV26" i="68"/>
  <c r="AW32" i="82"/>
  <c r="AV32" i="82"/>
  <c r="AV62" i="68"/>
  <c r="AW62" i="68"/>
  <c r="BE123" i="66"/>
  <c r="BF123" i="66"/>
  <c r="BF78" i="81"/>
  <c r="BE78" i="81"/>
  <c r="BF76" i="76"/>
  <c r="BF51" i="77"/>
  <c r="BF98" i="74"/>
  <c r="BE98" i="74"/>
  <c r="AV40" i="76"/>
  <c r="AW40" i="76"/>
  <c r="BF85" i="75"/>
  <c r="BE76" i="67"/>
  <c r="BF121" i="70"/>
  <c r="BE37" i="1"/>
  <c r="BF37" i="1"/>
  <c r="BE48" i="69"/>
  <c r="BF48" i="69"/>
  <c r="BF42" i="70"/>
  <c r="BE42" i="70"/>
  <c r="BE22" i="77"/>
  <c r="BF22" i="77"/>
  <c r="BE62" i="68"/>
  <c r="BF62" i="68"/>
  <c r="BF46" i="70"/>
  <c r="BE46" i="70"/>
  <c r="BE54" i="70"/>
  <c r="BF54" i="70"/>
  <c r="AW35" i="70"/>
  <c r="AV35" i="70"/>
  <c r="AV27" i="76"/>
  <c r="AW27" i="76"/>
  <c r="BF37" i="73"/>
  <c r="BE37" i="73"/>
  <c r="BE95" i="78"/>
  <c r="BF95" i="78"/>
  <c r="BF65" i="81"/>
  <c r="BE65" i="81"/>
  <c r="AV45" i="80"/>
  <c r="AW45" i="80"/>
  <c r="BF44" i="82"/>
  <c r="BE44" i="82"/>
  <c r="AW37" i="78"/>
  <c r="AV37" i="78"/>
  <c r="BF45" i="78"/>
  <c r="BE45" i="78"/>
  <c r="BF92" i="78"/>
  <c r="BE92" i="78"/>
  <c r="AW41" i="81"/>
  <c r="AV37" i="81"/>
  <c r="AW37" i="81"/>
  <c r="BE39" i="81"/>
  <c r="BF39" i="81"/>
  <c r="AW73" i="73"/>
  <c r="AV73" i="73"/>
  <c r="BE92" i="69"/>
  <c r="BF92" i="69"/>
  <c r="AW72" i="74"/>
  <c r="AV72" i="74"/>
  <c r="AV55" i="68"/>
  <c r="AW55" i="68"/>
  <c r="BE72" i="67"/>
  <c r="BF72" i="67"/>
  <c r="BF67" i="66"/>
  <c r="BE67" i="66"/>
  <c r="BF67" i="73"/>
  <c r="BE67" i="73"/>
  <c r="BF52" i="74"/>
  <c r="BE52" i="74"/>
  <c r="BF57" i="78"/>
  <c r="BE57" i="78"/>
  <c r="BE85" i="67"/>
  <c r="BF85" i="67"/>
  <c r="BF75" i="75"/>
  <c r="BE75" i="75"/>
  <c r="BE55" i="75"/>
  <c r="BF55" i="75"/>
  <c r="BE62" i="81"/>
  <c r="BF62" i="81"/>
  <c r="BE62" i="78"/>
  <c r="BF62" i="78"/>
  <c r="AW46" i="74"/>
  <c r="AV46" i="74"/>
  <c r="BE60" i="75"/>
  <c r="BF60" i="75"/>
  <c r="BE113" i="70"/>
  <c r="BF113" i="70"/>
  <c r="BF113" i="71"/>
  <c r="BE113" i="71"/>
  <c r="BE109" i="67"/>
  <c r="BF109" i="67"/>
  <c r="BE42" i="66"/>
  <c r="AW37" i="77"/>
  <c r="AV58" i="76"/>
  <c r="BE118" i="70"/>
  <c r="BF123" i="1"/>
  <c r="BE85" i="76"/>
  <c r="BE40" i="68"/>
  <c r="AV72" i="66"/>
  <c r="AW72" i="66"/>
  <c r="BE40" i="1"/>
  <c r="BF40" i="1"/>
  <c r="BF94" i="1"/>
  <c r="BE94" i="1"/>
  <c r="AV76" i="1"/>
  <c r="AW76" i="1"/>
  <c r="BE89" i="68"/>
  <c r="BF89" i="68"/>
  <c r="BF88" i="75"/>
  <c r="BE88" i="75"/>
  <c r="BF72" i="75"/>
  <c r="BE72" i="75"/>
  <c r="BF90" i="74"/>
  <c r="BE90" i="74"/>
  <c r="BF90" i="70"/>
  <c r="BE90" i="70"/>
  <c r="AW47" i="69"/>
  <c r="AV47" i="69"/>
  <c r="AW59" i="71"/>
  <c r="AV59" i="71"/>
  <c r="BF65" i="76"/>
  <c r="BE65" i="76"/>
  <c r="BF83" i="73"/>
  <c r="BE83" i="73"/>
  <c r="BE81" i="71"/>
  <c r="BF81" i="71"/>
  <c r="AW71" i="74"/>
  <c r="AV71" i="74"/>
  <c r="BF70" i="1"/>
  <c r="BE70" i="1"/>
  <c r="BF63" i="67"/>
  <c r="BE63" i="67"/>
  <c r="BF47" i="66"/>
  <c r="BE47" i="66"/>
  <c r="BE39" i="71"/>
  <c r="BF39" i="71"/>
  <c r="AW26" i="71"/>
  <c r="AV26" i="71"/>
  <c r="AV67" i="67"/>
  <c r="AW67" i="67"/>
  <c r="BF80" i="78"/>
  <c r="AV69" i="73"/>
  <c r="AW69" i="73"/>
  <c r="AW59" i="67"/>
  <c r="AV59" i="67"/>
  <c r="BF76" i="1"/>
  <c r="BE76" i="1"/>
  <c r="BF80" i="74"/>
  <c r="BE80" i="74"/>
  <c r="BE111" i="1"/>
  <c r="BF111" i="1"/>
  <c r="BE85" i="69"/>
  <c r="BF85" i="69"/>
  <c r="BE86" i="68"/>
  <c r="BF86" i="68"/>
  <c r="BE93" i="67"/>
  <c r="BF93" i="67"/>
  <c r="BF97" i="66"/>
  <c r="BE97" i="66"/>
  <c r="AW58" i="1"/>
  <c r="AV58" i="1"/>
  <c r="BE115" i="71"/>
  <c r="BF115" i="71"/>
  <c r="BE54" i="80"/>
  <c r="BF54" i="80"/>
  <c r="BE56" i="68"/>
  <c r="BF56" i="68"/>
  <c r="AV30" i="81"/>
  <c r="AW30" i="81"/>
  <c r="BF74" i="67"/>
  <c r="BE74" i="67"/>
  <c r="AV39" i="66"/>
  <c r="AW39" i="66"/>
  <c r="BE82" i="67"/>
  <c r="BF82" i="67"/>
  <c r="AV24" i="75"/>
  <c r="AW24" i="75"/>
  <c r="BE78" i="73"/>
  <c r="BF24" i="76"/>
  <c r="BE42" i="75"/>
  <c r="BF42" i="75"/>
  <c r="BF109" i="1"/>
  <c r="AV33" i="68"/>
  <c r="AW73" i="71"/>
  <c r="AV73" i="71"/>
  <c r="BF83" i="68"/>
  <c r="BE83" i="68"/>
  <c r="BF87" i="74"/>
  <c r="BE87" i="74"/>
  <c r="BE107" i="67"/>
  <c r="BF107" i="67"/>
  <c r="BE44" i="74"/>
  <c r="BF44" i="74"/>
  <c r="BF40" i="73"/>
  <c r="BE40" i="73"/>
  <c r="AW52" i="78"/>
  <c r="BE105" i="75"/>
  <c r="AV34" i="76"/>
  <c r="BF99" i="70"/>
  <c r="AW69" i="1"/>
  <c r="AV34" i="75"/>
  <c r="BE44" i="1"/>
  <c r="BF56" i="74"/>
  <c r="BF56" i="66"/>
  <c r="BE60" i="81"/>
  <c r="BF81" i="74"/>
  <c r="BE37" i="81"/>
  <c r="BE56" i="76"/>
  <c r="BE89" i="66"/>
  <c r="BF60" i="80"/>
  <c r="BF41" i="81"/>
  <c r="AV72" i="67"/>
  <c r="AW13" i="82"/>
  <c r="AW59" i="74"/>
  <c r="BF71" i="69"/>
  <c r="AV33" i="76"/>
  <c r="BE123" i="70"/>
  <c r="BF40" i="67"/>
  <c r="BF69" i="68"/>
  <c r="BE34" i="69"/>
  <c r="BE52" i="66"/>
  <c r="BF72" i="74"/>
  <c r="AV47" i="75"/>
  <c r="BF118" i="73"/>
  <c r="AV17" i="75"/>
  <c r="BE94" i="66"/>
  <c r="AV42" i="1"/>
  <c r="AV16" i="75"/>
  <c r="AV52" i="69"/>
  <c r="AW88" i="75"/>
  <c r="AW48" i="70"/>
  <c r="AV47" i="73"/>
  <c r="BE42" i="68"/>
  <c r="BE107" i="73"/>
  <c r="BE28" i="77"/>
  <c r="BF94" i="78"/>
  <c r="BF69" i="78"/>
  <c r="BE94" i="74"/>
  <c r="BE82" i="71"/>
  <c r="BE98" i="78"/>
  <c r="AW59" i="70"/>
  <c r="BF53" i="69"/>
  <c r="AW35" i="81"/>
  <c r="BF60" i="81"/>
  <c r="BE39" i="74"/>
  <c r="BF82" i="68"/>
  <c r="BE52" i="75"/>
  <c r="AW65" i="71"/>
  <c r="AW33" i="75"/>
  <c r="BE48" i="71"/>
  <c r="BF40" i="74"/>
  <c r="AV26" i="81"/>
  <c r="AV27" i="67"/>
  <c r="BE58" i="76"/>
  <c r="AV48" i="73"/>
  <c r="AW48" i="67"/>
  <c r="AV69" i="67"/>
  <c r="BE114" i="74"/>
  <c r="AV44" i="77"/>
  <c r="AV17" i="82"/>
  <c r="AV44" i="74"/>
  <c r="BE59" i="67"/>
  <c r="BE64" i="69"/>
  <c r="BF94" i="71"/>
  <c r="BF38" i="69"/>
  <c r="AV41" i="74"/>
  <c r="BE53" i="69"/>
  <c r="BF67" i="1"/>
  <c r="BF81" i="67"/>
  <c r="BF83" i="67"/>
  <c r="AV27" i="1"/>
  <c r="AW44" i="71"/>
  <c r="AW38" i="70"/>
  <c r="AV38" i="71"/>
  <c r="BF76" i="74"/>
  <c r="BF90" i="1"/>
  <c r="AV59" i="68"/>
  <c r="AV33" i="75"/>
  <c r="BF74" i="1"/>
  <c r="BE34" i="75"/>
  <c r="BE39" i="68"/>
  <c r="BF56" i="70"/>
  <c r="AV28" i="82"/>
  <c r="BE67" i="67"/>
  <c r="BE86" i="1"/>
  <c r="BE81" i="75"/>
  <c r="BF118" i="67"/>
  <c r="BF70" i="81"/>
  <c r="BE83" i="71"/>
  <c r="BE114" i="71"/>
  <c r="BF66" i="73"/>
  <c r="BF113" i="74"/>
  <c r="AV46" i="80"/>
  <c r="BE67" i="1"/>
  <c r="AW46" i="69"/>
  <c r="AW52" i="73"/>
  <c r="BE50" i="82"/>
  <c r="AW69" i="70"/>
  <c r="BF48" i="73"/>
  <c r="BF76" i="75"/>
  <c r="AV35" i="78"/>
  <c r="BE48" i="1"/>
  <c r="BF48" i="1"/>
  <c r="AV26" i="75"/>
  <c r="AW26" i="75"/>
  <c r="BF45" i="74"/>
  <c r="BE45" i="74"/>
  <c r="BE62" i="77"/>
  <c r="BF62" i="77"/>
  <c r="BE117" i="74"/>
  <c r="BF117" i="74"/>
  <c r="AW74" i="73"/>
  <c r="AV74" i="73"/>
  <c r="AW74" i="70"/>
  <c r="AV74" i="70"/>
  <c r="BF95" i="67"/>
  <c r="BE95" i="67"/>
  <c r="BE74" i="68"/>
  <c r="BF74" i="68"/>
  <c r="BF95" i="74"/>
  <c r="BE95" i="74"/>
  <c r="AV24" i="68"/>
  <c r="AW24" i="68"/>
  <c r="BF53" i="77"/>
  <c r="BE53" i="77"/>
  <c r="BE25" i="77"/>
  <c r="BE91" i="78"/>
  <c r="AV51" i="74"/>
  <c r="BE87" i="66"/>
  <c r="BF47" i="75"/>
  <c r="BE32" i="69"/>
  <c r="AV60" i="74"/>
  <c r="AW60" i="74"/>
  <c r="BF107" i="74"/>
  <c r="BE107" i="74"/>
  <c r="AW31" i="77"/>
  <c r="AV31" i="77"/>
  <c r="BE75" i="71"/>
  <c r="BF75" i="71"/>
  <c r="AV47" i="71"/>
  <c r="AW47" i="71"/>
  <c r="AV39" i="69"/>
  <c r="AW39" i="69"/>
  <c r="BE56" i="69"/>
  <c r="BF56" i="69"/>
  <c r="BF56" i="75"/>
  <c r="BE56" i="75"/>
  <c r="BF66" i="74"/>
  <c r="BE66" i="74"/>
  <c r="BE56" i="81"/>
  <c r="BF56" i="81"/>
  <c r="BE50" i="68"/>
  <c r="BF50" i="68"/>
  <c r="AV47" i="78"/>
  <c r="AW47" i="78"/>
  <c r="BF59" i="70"/>
  <c r="BE59" i="70"/>
  <c r="BF59" i="74"/>
  <c r="BE59" i="74"/>
  <c r="BE55" i="1"/>
  <c r="BF55" i="1"/>
  <c r="BE41" i="75"/>
  <c r="BF41" i="75"/>
  <c r="BE38" i="68"/>
  <c r="BF38" i="68"/>
  <c r="BF40" i="81"/>
  <c r="BE40" i="81"/>
  <c r="BE47" i="1"/>
  <c r="BF47" i="1"/>
  <c r="BF47" i="73"/>
  <c r="BE47" i="73"/>
  <c r="AV36" i="66"/>
  <c r="AW36" i="66"/>
  <c r="AW29" i="1"/>
  <c r="AV29" i="1"/>
  <c r="BE34" i="76"/>
  <c r="BF34" i="76"/>
  <c r="AW14" i="69"/>
  <c r="AV14" i="69"/>
  <c r="BE89" i="74"/>
  <c r="BF89" i="74"/>
  <c r="AV46" i="67"/>
  <c r="AW46" i="67"/>
  <c r="BF49" i="74"/>
  <c r="BE49" i="74"/>
  <c r="AW39" i="70"/>
  <c r="AV39" i="70"/>
  <c r="AV44" i="69"/>
  <c r="AW44" i="69"/>
  <c r="AV33" i="71"/>
  <c r="AV46" i="75"/>
  <c r="AV59" i="76"/>
  <c r="BF53" i="66"/>
  <c r="AV31" i="68"/>
  <c r="BF69" i="75"/>
  <c r="AW70" i="67"/>
  <c r="AV70" i="70"/>
  <c r="BF67" i="74"/>
  <c r="BE67" i="74"/>
  <c r="BE98" i="70"/>
  <c r="BF98" i="70"/>
  <c r="BF98" i="73"/>
  <c r="BE98" i="73"/>
  <c r="BF76" i="69"/>
  <c r="BE76" i="69"/>
  <c r="BF86" i="70"/>
  <c r="BE86" i="70"/>
  <c r="AV28" i="77"/>
  <c r="AW28" i="77"/>
  <c r="AW40" i="75"/>
  <c r="AV40" i="75"/>
  <c r="BE68" i="80"/>
  <c r="BF68" i="80"/>
  <c r="BF52" i="73"/>
  <c r="BE52" i="73"/>
  <c r="BE38" i="75"/>
  <c r="BF38" i="75"/>
  <c r="BF48" i="74"/>
  <c r="BE48" i="74"/>
  <c r="AW27" i="70"/>
  <c r="AV27" i="70"/>
  <c r="BE72" i="76"/>
  <c r="BF72" i="76"/>
  <c r="BE134" i="74"/>
  <c r="BF134" i="74"/>
  <c r="BF23" i="76"/>
  <c r="BE23" i="76"/>
  <c r="BF118" i="71"/>
  <c r="BE118" i="71"/>
  <c r="BF63" i="77"/>
  <c r="BE63" i="77"/>
  <c r="AV72" i="1"/>
  <c r="AW72" i="1"/>
  <c r="BF27" i="75"/>
  <c r="BE27" i="75"/>
  <c r="BF90" i="66"/>
  <c r="BE90" i="66"/>
  <c r="AW47" i="68"/>
  <c r="AV47" i="68"/>
  <c r="BF108" i="67"/>
  <c r="BE108" i="67"/>
  <c r="AV59" i="69"/>
  <c r="AW59" i="69"/>
  <c r="BE61" i="74"/>
  <c r="BF61" i="74"/>
  <c r="BF70" i="78"/>
  <c r="BE70" i="78"/>
  <c r="BE69" i="70"/>
  <c r="BF69" i="70"/>
  <c r="BE91" i="69"/>
  <c r="BF91" i="69"/>
  <c r="AW44" i="68"/>
  <c r="AV44" i="68"/>
  <c r="BF25" i="77"/>
  <c r="AW90" i="75"/>
  <c r="AV40" i="1"/>
  <c r="BF42" i="77"/>
  <c r="BF63" i="68"/>
  <c r="AW71" i="66"/>
  <c r="BF58" i="69"/>
  <c r="BF83" i="70"/>
  <c r="BF87" i="75"/>
  <c r="AW53" i="69"/>
  <c r="AV56" i="66"/>
  <c r="BF70" i="68"/>
  <c r="BF55" i="69"/>
  <c r="AV30" i="66"/>
  <c r="BE89" i="70"/>
  <c r="BF89" i="70"/>
  <c r="BE70" i="70"/>
  <c r="BF70" i="70"/>
  <c r="AV68" i="73"/>
  <c r="AW68" i="73"/>
  <c r="AW68" i="70"/>
  <c r="AV68" i="70"/>
  <c r="BF50" i="73"/>
  <c r="BE50" i="73"/>
  <c r="BE61" i="75"/>
  <c r="BF61" i="75"/>
  <c r="AW53" i="78"/>
  <c r="AV53" i="78"/>
  <c r="AV25" i="68"/>
  <c r="AW25" i="68"/>
  <c r="BE91" i="1"/>
  <c r="BF91" i="1"/>
  <c r="BF51" i="1"/>
  <c r="BE51" i="1"/>
  <c r="AW57" i="66"/>
  <c r="BF66" i="67"/>
  <c r="BF42" i="69"/>
  <c r="AW46" i="76"/>
  <c r="AV21" i="75"/>
  <c r="AW38" i="67"/>
  <c r="AW42" i="70"/>
  <c r="BE103" i="74"/>
  <c r="BF118" i="74"/>
  <c r="AV27" i="74"/>
  <c r="BE52" i="81"/>
  <c r="BE47" i="70"/>
  <c r="BF57" i="68"/>
  <c r="BE59" i="81"/>
  <c r="BF56" i="80"/>
  <c r="BE123" i="73"/>
  <c r="BF123" i="73"/>
  <c r="AV69" i="66"/>
  <c r="AW69" i="66"/>
  <c r="AV27" i="75"/>
  <c r="BF29" i="69"/>
  <c r="BE29" i="69"/>
  <c r="BF29" i="75"/>
  <c r="BE29" i="75"/>
  <c r="BF109" i="66"/>
  <c r="BE109" i="66"/>
  <c r="AW70" i="71"/>
  <c r="AV70" i="71"/>
  <c r="BF104" i="71"/>
  <c r="BE104" i="71"/>
  <c r="BE95" i="71"/>
  <c r="BF95" i="71"/>
  <c r="AV60" i="67"/>
  <c r="AW60" i="67"/>
  <c r="BF82" i="74"/>
  <c r="BE82" i="74"/>
  <c r="BF82" i="70"/>
  <c r="BE82" i="70"/>
  <c r="AV32" i="67"/>
  <c r="AW32" i="67"/>
  <c r="BE32" i="76"/>
  <c r="BF32" i="76"/>
  <c r="AW25" i="73"/>
  <c r="AV25" i="73"/>
  <c r="BF25" i="70"/>
  <c r="BE25" i="70"/>
  <c r="BF103" i="71"/>
  <c r="BE103" i="71"/>
  <c r="BE53" i="76"/>
  <c r="BF53" i="76"/>
  <c r="BE66" i="71"/>
  <c r="BF66" i="71"/>
  <c r="BF45" i="76"/>
  <c r="BE45" i="76"/>
  <c r="BE41" i="76"/>
  <c r="BF41" i="76"/>
  <c r="BE34" i="82"/>
  <c r="BF34" i="82"/>
  <c r="AW25" i="1"/>
  <c r="AV25" i="1"/>
  <c r="AW52" i="67"/>
  <c r="AV52" i="67"/>
  <c r="BE45" i="68"/>
  <c r="BF45" i="68"/>
  <c r="BF54" i="1"/>
  <c r="BE54" i="1"/>
  <c r="BF39" i="82"/>
  <c r="BF63" i="73"/>
  <c r="BE35" i="82"/>
  <c r="BF118" i="1"/>
  <c r="BE54" i="67"/>
  <c r="BF50" i="66"/>
  <c r="AV52" i="71"/>
  <c r="BE35" i="68"/>
  <c r="AW30" i="75"/>
  <c r="BE76" i="76"/>
  <c r="AV64" i="73"/>
  <c r="AV13" i="76"/>
  <c r="AV16" i="77"/>
  <c r="BF51" i="67"/>
  <c r="BE63" i="66"/>
  <c r="AV47" i="74"/>
  <c r="BE67" i="76"/>
  <c r="AV30" i="69"/>
  <c r="BF62" i="74"/>
  <c r="BF62" i="80"/>
  <c r="BE62" i="80"/>
  <c r="BF76" i="68"/>
  <c r="BE76" i="68"/>
  <c r="AW57" i="69"/>
  <c r="AV57" i="69"/>
  <c r="AV47" i="1"/>
  <c r="AW47" i="1"/>
  <c r="BE46" i="82"/>
  <c r="BF46" i="82"/>
  <c r="BE32" i="75"/>
  <c r="BF32" i="75"/>
  <c r="AV68" i="71"/>
  <c r="AW68" i="71"/>
  <c r="BE75" i="1"/>
  <c r="BF75" i="1"/>
  <c r="AV40" i="66"/>
  <c r="AW40" i="66"/>
  <c r="BE37" i="68"/>
  <c r="BF37" i="68"/>
  <c r="AV41" i="78"/>
  <c r="AW41" i="78"/>
  <c r="BF61" i="76"/>
  <c r="BE61" i="70"/>
  <c r="BF83" i="80"/>
  <c r="AW48" i="78"/>
  <c r="AV27" i="73"/>
  <c r="AW34" i="69"/>
  <c r="BE51" i="77"/>
  <c r="AV41" i="77"/>
  <c r="AV52" i="75"/>
  <c r="BF93" i="68"/>
  <c r="AW26" i="82"/>
  <c r="BF55" i="71"/>
  <c r="AW26" i="66"/>
  <c r="AW13" i="69"/>
  <c r="BE103" i="67"/>
  <c r="BE41" i="77"/>
  <c r="AW58" i="67"/>
  <c r="BE48" i="76"/>
  <c r="AV17" i="69"/>
  <c r="AW17" i="69"/>
  <c r="BE88" i="69"/>
  <c r="BF88" i="69"/>
  <c r="AW32" i="77"/>
  <c r="AV32" i="77"/>
  <c r="BE45" i="1"/>
  <c r="BF45" i="1"/>
  <c r="AW64" i="70"/>
  <c r="AV14" i="75"/>
  <c r="AW14" i="75"/>
  <c r="BF111" i="67"/>
  <c r="BE111" i="67"/>
  <c r="AV63" i="74"/>
  <c r="AW63" i="74"/>
  <c r="AV51" i="70"/>
  <c r="AW51" i="70"/>
  <c r="AW55" i="70"/>
  <c r="AV55" i="70"/>
  <c r="AW38" i="78"/>
  <c r="AV38" i="78"/>
  <c r="BF131" i="67"/>
  <c r="BE131" i="67"/>
  <c r="BF130" i="73"/>
  <c r="BE130" i="73"/>
  <c r="BF76" i="81"/>
  <c r="BE76" i="81"/>
  <c r="AV57" i="78"/>
  <c r="AW57" i="78"/>
  <c r="BE91" i="75"/>
  <c r="BF91" i="75"/>
  <c r="BF79" i="74"/>
  <c r="AV49" i="68"/>
  <c r="BF42" i="81"/>
  <c r="BF71" i="78"/>
  <c r="AV36" i="78"/>
  <c r="BE49" i="75"/>
  <c r="BF26" i="69"/>
  <c r="BE26" i="69"/>
  <c r="BF29" i="76"/>
  <c r="BE29" i="76"/>
  <c r="BE121" i="66"/>
  <c r="BF121" i="66"/>
  <c r="BF121" i="71"/>
  <c r="BE121" i="71"/>
  <c r="BF117" i="1"/>
  <c r="BE117" i="1"/>
  <c r="BE109" i="73"/>
  <c r="BF109" i="73"/>
  <c r="BF109" i="74"/>
  <c r="BE109" i="74"/>
  <c r="AV70" i="1"/>
  <c r="AW70" i="1"/>
  <c r="AV70" i="66"/>
  <c r="AW70" i="66"/>
  <c r="BE104" i="74"/>
  <c r="BF104" i="74"/>
  <c r="BF48" i="77"/>
  <c r="BE48" i="77"/>
  <c r="BF91" i="66"/>
  <c r="BE91" i="66"/>
  <c r="AV60" i="70"/>
  <c r="AW60" i="70"/>
  <c r="AW24" i="76"/>
  <c r="AV24" i="76"/>
  <c r="BF42" i="71"/>
  <c r="BE42" i="71"/>
  <c r="BF37" i="67"/>
  <c r="BE37" i="67"/>
  <c r="BF75" i="78"/>
  <c r="BE75" i="78"/>
  <c r="BE91" i="70"/>
  <c r="BE79" i="78"/>
  <c r="BF75" i="69"/>
  <c r="AV36" i="81"/>
  <c r="BE93" i="70"/>
  <c r="BF93" i="70"/>
  <c r="BF80" i="1"/>
  <c r="BE80" i="1"/>
  <c r="AV42" i="75"/>
  <c r="AW42" i="75"/>
  <c r="AW42" i="68"/>
  <c r="AV42" i="68"/>
  <c r="AV52" i="66"/>
  <c r="AW52" i="66"/>
  <c r="BE75" i="70"/>
  <c r="BF75" i="70"/>
  <c r="BE75" i="67"/>
  <c r="BF75" i="67"/>
  <c r="BE53" i="68"/>
  <c r="BF53" i="68"/>
  <c r="BE36" i="77"/>
  <c r="BF36" i="77"/>
  <c r="BE33" i="77"/>
  <c r="BF33" i="77"/>
  <c r="AV33" i="69"/>
  <c r="AW33" i="69"/>
  <c r="BF46" i="68"/>
  <c r="BE46" i="68"/>
  <c r="BE59" i="73"/>
  <c r="BF59" i="73"/>
  <c r="BE41" i="69"/>
  <c r="BF41" i="69"/>
  <c r="BE37" i="75"/>
  <c r="BF37" i="75"/>
  <c r="BE51" i="70"/>
  <c r="BF51" i="70"/>
  <c r="BE111" i="66"/>
  <c r="BF111" i="66"/>
  <c r="BF115" i="1"/>
  <c r="BE115" i="1"/>
  <c r="BE57" i="1"/>
  <c r="AW45" i="78"/>
  <c r="AV45" i="78"/>
  <c r="BE60" i="69"/>
  <c r="BF60" i="69"/>
  <c r="AW38" i="76"/>
  <c r="AV38" i="76"/>
  <c r="BE74" i="74"/>
  <c r="BF74" i="74"/>
  <c r="BF35" i="77"/>
  <c r="BE35" i="77"/>
  <c r="BE57" i="74"/>
  <c r="BF57" i="74"/>
  <c r="BF49" i="73"/>
  <c r="BE49" i="73"/>
  <c r="BE54" i="81"/>
  <c r="BF54" i="81"/>
  <c r="BE82" i="78"/>
  <c r="BF82" i="78"/>
  <c r="BF55" i="76"/>
  <c r="BE55" i="76"/>
  <c r="BE69" i="67"/>
  <c r="BF69" i="67"/>
  <c r="BE69" i="74"/>
  <c r="BF69" i="74"/>
  <c r="AW39" i="73"/>
  <c r="AV39" i="73"/>
  <c r="BF53" i="70"/>
  <c r="BE53" i="70"/>
  <c r="BE53" i="1"/>
  <c r="BF53" i="1"/>
  <c r="BF58" i="70"/>
  <c r="BE58" i="70"/>
  <c r="AW39" i="75"/>
  <c r="AV39" i="75"/>
  <c r="BE62" i="70"/>
  <c r="BF62" i="70"/>
  <c r="BE62" i="1"/>
  <c r="BF62" i="1"/>
  <c r="BE54" i="71"/>
  <c r="BF54" i="71"/>
  <c r="AV35" i="67"/>
  <c r="AW35" i="67"/>
  <c r="AV23" i="75"/>
  <c r="AW23" i="75"/>
  <c r="BF31" i="69"/>
  <c r="BE31" i="69"/>
  <c r="BE85" i="74"/>
  <c r="BF85" i="74"/>
  <c r="BE115" i="70"/>
  <c r="BF115" i="70"/>
  <c r="BF28" i="82"/>
  <c r="BE28" i="82"/>
  <c r="BE81" i="80"/>
  <c r="BF81" i="80"/>
  <c r="BF33" i="82"/>
  <c r="BE33" i="82"/>
  <c r="AV63" i="73"/>
  <c r="BE80" i="78"/>
  <c r="AW50" i="78"/>
  <c r="BF42" i="82"/>
  <c r="BE47" i="81"/>
  <c r="BE44" i="81"/>
  <c r="BF123" i="67"/>
  <c r="BE123" i="67"/>
  <c r="BF72" i="73"/>
  <c r="BE72" i="73"/>
  <c r="AW30" i="76"/>
  <c r="AV30" i="76"/>
  <c r="BE81" i="66"/>
  <c r="BF81" i="66"/>
  <c r="AV59" i="66"/>
  <c r="AW59" i="66"/>
  <c r="BF90" i="73"/>
  <c r="BE90" i="73"/>
  <c r="BE27" i="76"/>
  <c r="BF27" i="76"/>
  <c r="BE60" i="82"/>
  <c r="BF60" i="82"/>
  <c r="BF68" i="76"/>
  <c r="BE68" i="76"/>
  <c r="BF86" i="73"/>
  <c r="BE86" i="73"/>
  <c r="BE83" i="74"/>
  <c r="BF83" i="74"/>
  <c r="BF66" i="68"/>
  <c r="BE66" i="68"/>
  <c r="BE81" i="70"/>
  <c r="BF81" i="70"/>
  <c r="BE81" i="1"/>
  <c r="BF81" i="1"/>
  <c r="BF93" i="78"/>
  <c r="BE80" i="81"/>
  <c r="BE119" i="74"/>
  <c r="BF119" i="74"/>
  <c r="AW30" i="71"/>
  <c r="AV30" i="71"/>
  <c r="BE79" i="80"/>
  <c r="BF79" i="80"/>
  <c r="BF73" i="80"/>
  <c r="BE73" i="80"/>
  <c r="AW47" i="80"/>
  <c r="AV47" i="80"/>
  <c r="AW44" i="81"/>
  <c r="AV44" i="81"/>
  <c r="AV29" i="82"/>
  <c r="AW29" i="82"/>
  <c r="AW30" i="80"/>
  <c r="AV30" i="80"/>
  <c r="BF37" i="80"/>
  <c r="BE37" i="80"/>
  <c r="BE25" i="82"/>
  <c r="BF25" i="82"/>
  <c r="BE76" i="80"/>
  <c r="BF76" i="80"/>
  <c r="AW42" i="81"/>
  <c r="AV42" i="81"/>
  <c r="BE63" i="81"/>
  <c r="BF63" i="81"/>
  <c r="BF36" i="82"/>
  <c r="BE36" i="82"/>
  <c r="AV39" i="78"/>
  <c r="AW39" i="78"/>
  <c r="AV54" i="1"/>
  <c r="AW54" i="1"/>
  <c r="AW60" i="69"/>
  <c r="AV60" i="69"/>
  <c r="BE79" i="68"/>
  <c r="BF79" i="68"/>
  <c r="BE61" i="77"/>
  <c r="BF61" i="77"/>
  <c r="BF108" i="73"/>
  <c r="BE108" i="73"/>
  <c r="AV67" i="70"/>
  <c r="AW67" i="70"/>
  <c r="BE78" i="69"/>
  <c r="BF78" i="69"/>
  <c r="BF26" i="76"/>
  <c r="BE26" i="76"/>
  <c r="BF93" i="76"/>
  <c r="BE93" i="76"/>
  <c r="BE90" i="69"/>
  <c r="BF90" i="69"/>
  <c r="AV15" i="75"/>
  <c r="AW15" i="75"/>
  <c r="AW74" i="71"/>
  <c r="AV74" i="71"/>
  <c r="BE100" i="73"/>
  <c r="BF100" i="73"/>
  <c r="BF24" i="69"/>
  <c r="BE24" i="69"/>
  <c r="BF24" i="75"/>
  <c r="BE24" i="75"/>
  <c r="BE113" i="73"/>
  <c r="BF113" i="73"/>
  <c r="BE110" i="67"/>
  <c r="BF110" i="67"/>
  <c r="BE88" i="71"/>
  <c r="AW57" i="70"/>
  <c r="AV57" i="70"/>
  <c r="AW68" i="66"/>
  <c r="AV68" i="66"/>
  <c r="AW136" i="73"/>
  <c r="AV136" i="73"/>
  <c r="BF101" i="69"/>
  <c r="BE101" i="69"/>
  <c r="BE130" i="1"/>
  <c r="BF95" i="75"/>
  <c r="BE95" i="75"/>
  <c r="BF91" i="76"/>
  <c r="BE91" i="76"/>
  <c r="BE117" i="73"/>
  <c r="BF117" i="73"/>
  <c r="BE117" i="66"/>
  <c r="BF117" i="66"/>
  <c r="BE113" i="66"/>
  <c r="BF113" i="66"/>
  <c r="AV74" i="74"/>
  <c r="AW74" i="74"/>
  <c r="BE104" i="67"/>
  <c r="BF104" i="67"/>
  <c r="AW65" i="1"/>
  <c r="AV65" i="1"/>
  <c r="AV65" i="74"/>
  <c r="AW65" i="74"/>
  <c r="BF99" i="73"/>
  <c r="BE99" i="73"/>
  <c r="BE99" i="74"/>
  <c r="BF99" i="74"/>
  <c r="BF73" i="69"/>
  <c r="BE73" i="69"/>
  <c r="BF91" i="67"/>
  <c r="BE91" i="67"/>
  <c r="BE91" i="71"/>
  <c r="BF91" i="71"/>
  <c r="BF87" i="73"/>
  <c r="BE87" i="73"/>
  <c r="AW33" i="77"/>
  <c r="AV33" i="77"/>
  <c r="AW60" i="73"/>
  <c r="AV60" i="73"/>
  <c r="AW48" i="75"/>
  <c r="AV48" i="75"/>
  <c r="AW56" i="1"/>
  <c r="AV56" i="1"/>
  <c r="BE106" i="75"/>
  <c r="BF106" i="75"/>
  <c r="BF97" i="73"/>
  <c r="BE97" i="73"/>
  <c r="BF93" i="66"/>
  <c r="BE93" i="66"/>
  <c r="BF85" i="70"/>
  <c r="BE85" i="70"/>
  <c r="AV52" i="70"/>
  <c r="AW52" i="70"/>
  <c r="BE75" i="66"/>
  <c r="BF75" i="66"/>
  <c r="BF75" i="73"/>
  <c r="BE75" i="73"/>
  <c r="AV47" i="70"/>
  <c r="AW47" i="70"/>
  <c r="AW39" i="76"/>
  <c r="AV39" i="76"/>
  <c r="BE53" i="82"/>
  <c r="BF53" i="82"/>
  <c r="BE83" i="78"/>
  <c r="BF83" i="78"/>
  <c r="BE66" i="66"/>
  <c r="BF66" i="66"/>
  <c r="BF49" i="82"/>
  <c r="BE49" i="82"/>
  <c r="BF49" i="76"/>
  <c r="BE49" i="76"/>
  <c r="AW40" i="80"/>
  <c r="AV40" i="80"/>
  <c r="AV41" i="71"/>
  <c r="AW41" i="71"/>
  <c r="BE59" i="66"/>
  <c r="BF59" i="66"/>
  <c r="BE45" i="69"/>
  <c r="BF45" i="69"/>
  <c r="BF55" i="66"/>
  <c r="BE55" i="66"/>
  <c r="BE55" i="73"/>
  <c r="BF55" i="73"/>
  <c r="BF55" i="74"/>
  <c r="BE55" i="74"/>
  <c r="BE27" i="77"/>
  <c r="BF27" i="77"/>
  <c r="BF64" i="78"/>
  <c r="BE64" i="78"/>
  <c r="BE47" i="71"/>
  <c r="BF47" i="71"/>
  <c r="AW36" i="1"/>
  <c r="AV36" i="1"/>
  <c r="AV36" i="71"/>
  <c r="AW36" i="71"/>
  <c r="AV36" i="73"/>
  <c r="AW36" i="73"/>
  <c r="AW36" i="70"/>
  <c r="AV36" i="70"/>
  <c r="AW29" i="81"/>
  <c r="AV29" i="81"/>
  <c r="AW33" i="70"/>
  <c r="AV33" i="70"/>
  <c r="AV25" i="81"/>
  <c r="AW25" i="81"/>
  <c r="BF39" i="1"/>
  <c r="BE39" i="1"/>
  <c r="BF39" i="66"/>
  <c r="AW26" i="74"/>
  <c r="AV26" i="74"/>
  <c r="BF112" i="1"/>
  <c r="BF80" i="66"/>
  <c r="BE80" i="66"/>
  <c r="BE60" i="77"/>
  <c r="BF60" i="77"/>
  <c r="BF111" i="71"/>
  <c r="BE111" i="71"/>
  <c r="BE72" i="68"/>
  <c r="BF72" i="68"/>
  <c r="BE97" i="71"/>
  <c r="BF97" i="71"/>
  <c r="BE28" i="76"/>
  <c r="BF28" i="76"/>
  <c r="BF111" i="70"/>
  <c r="BE111" i="70"/>
  <c r="BE89" i="69"/>
  <c r="BF89" i="69"/>
  <c r="BE93" i="69"/>
  <c r="BF93" i="69"/>
  <c r="BF71" i="76"/>
  <c r="BE71" i="76"/>
  <c r="BE89" i="75"/>
  <c r="BF89" i="75"/>
  <c r="BF53" i="71"/>
  <c r="BE53" i="71"/>
  <c r="BE50" i="81"/>
  <c r="BF50" i="81"/>
  <c r="AV34" i="66"/>
  <c r="AW34" i="66"/>
  <c r="AW38" i="69"/>
  <c r="AV38" i="69"/>
  <c r="BE46" i="81"/>
  <c r="BF46" i="81"/>
  <c r="BF52" i="82"/>
  <c r="BE52" i="82"/>
  <c r="AV46" i="73"/>
  <c r="AW46" i="73"/>
  <c r="AV46" i="66"/>
  <c r="AW46" i="66"/>
  <c r="AW38" i="75"/>
  <c r="AV38" i="75"/>
  <c r="BE61" i="68"/>
  <c r="BF61" i="68"/>
  <c r="BE51" i="75"/>
  <c r="BF51" i="75"/>
  <c r="BE61" i="71"/>
  <c r="BF61" i="71"/>
  <c r="BE48" i="68"/>
  <c r="BF48" i="68"/>
  <c r="BE57" i="70"/>
  <c r="BF57" i="70"/>
  <c r="BE35" i="69"/>
  <c r="BF35" i="69"/>
  <c r="BE49" i="70"/>
  <c r="BF49" i="70"/>
  <c r="AW26" i="69"/>
  <c r="AV26" i="69"/>
  <c r="AW34" i="71"/>
  <c r="AV34" i="71"/>
  <c r="AW46" i="1"/>
  <c r="AV46" i="1"/>
  <c r="AV24" i="82"/>
  <c r="AW24" i="82"/>
  <c r="BF32" i="82"/>
  <c r="BE32" i="82"/>
  <c r="AV39" i="74"/>
  <c r="AW39" i="74"/>
  <c r="BF53" i="73"/>
  <c r="BE53" i="73"/>
  <c r="BE53" i="74"/>
  <c r="BF53" i="74"/>
  <c r="AW30" i="68"/>
  <c r="AV30" i="68"/>
  <c r="BF65" i="78"/>
  <c r="BE65" i="78"/>
  <c r="AW62" i="76"/>
  <c r="AV62" i="76"/>
  <c r="BF97" i="69"/>
  <c r="BE97" i="69"/>
  <c r="AV76" i="74"/>
  <c r="AW76" i="74"/>
  <c r="BF114" i="70"/>
  <c r="BE114" i="70"/>
  <c r="BE103" i="1"/>
  <c r="BF103" i="1"/>
  <c r="BF81" i="69"/>
  <c r="BE81" i="69"/>
  <c r="BF64" i="82"/>
  <c r="BE64" i="82"/>
  <c r="BF74" i="81"/>
  <c r="BE74" i="81"/>
  <c r="BE94" i="67"/>
  <c r="BE74" i="80"/>
  <c r="BF74" i="80"/>
  <c r="BF78" i="1"/>
  <c r="BE78" i="1"/>
  <c r="AV40" i="68"/>
  <c r="AW40" i="68"/>
  <c r="BE76" i="66"/>
  <c r="BF76" i="66"/>
  <c r="AW48" i="71"/>
  <c r="AV48" i="71"/>
  <c r="BE72" i="70"/>
  <c r="BF72" i="70"/>
  <c r="BE59" i="68"/>
  <c r="BF59" i="68"/>
  <c r="BE58" i="75"/>
  <c r="BF58" i="75"/>
  <c r="AV44" i="1"/>
  <c r="AW44" i="1"/>
  <c r="AW44" i="70"/>
  <c r="AV44" i="70"/>
  <c r="BE67" i="71"/>
  <c r="AW38" i="81"/>
  <c r="AV38" i="81"/>
  <c r="AW42" i="67"/>
  <c r="AV42" i="67"/>
  <c r="AW34" i="81"/>
  <c r="AV34" i="81"/>
  <c r="AW38" i="74"/>
  <c r="AV38" i="74"/>
  <c r="BE57" i="80"/>
  <c r="BF57" i="80"/>
  <c r="BE45" i="81"/>
  <c r="BF45" i="81"/>
  <c r="BE95" i="76"/>
  <c r="BF95" i="76"/>
  <c r="BE50" i="74"/>
  <c r="BF50" i="74"/>
  <c r="AW47" i="67"/>
  <c r="AV47" i="67"/>
  <c r="BE48" i="75"/>
  <c r="BF48" i="75"/>
  <c r="BF62" i="66"/>
  <c r="BE62" i="66"/>
  <c r="AV42" i="69"/>
  <c r="AW42" i="69"/>
  <c r="AV32" i="68"/>
  <c r="AW32" i="68"/>
  <c r="AV32" i="75"/>
  <c r="AW32" i="75"/>
  <c r="BE40" i="76"/>
  <c r="BF40" i="76"/>
  <c r="BF50" i="71"/>
  <c r="BE50" i="71"/>
  <c r="AW23" i="68"/>
  <c r="AV23" i="68"/>
  <c r="BF41" i="74"/>
  <c r="BE41" i="74"/>
  <c r="BE41" i="67"/>
  <c r="BF41" i="67"/>
  <c r="BF104" i="76"/>
  <c r="BE104" i="76"/>
  <c r="BF26" i="82"/>
  <c r="BE26" i="82"/>
  <c r="BF88" i="78"/>
  <c r="BE88" i="78"/>
  <c r="AW48" i="80"/>
  <c r="AV48" i="80"/>
  <c r="BE77" i="78"/>
  <c r="BF77" i="78"/>
  <c r="BE63" i="80"/>
  <c r="BF63" i="80"/>
  <c r="BE37" i="82"/>
  <c r="BF37" i="82"/>
  <c r="AV31" i="80"/>
  <c r="AW31" i="80"/>
  <c r="BE77" i="80"/>
  <c r="BF77" i="80"/>
  <c r="AV40" i="81"/>
  <c r="AW40" i="81"/>
  <c r="AW30" i="82"/>
  <c r="AV30" i="82"/>
  <c r="BE48" i="80"/>
  <c r="BF48" i="80"/>
  <c r="BF63" i="82"/>
  <c r="BE63" i="82"/>
  <c r="BE23" i="75"/>
  <c r="BF23" i="75"/>
  <c r="AW62" i="75"/>
  <c r="AW35" i="74"/>
  <c r="BE87" i="69"/>
  <c r="BF87" i="69"/>
  <c r="BF113" i="67"/>
  <c r="BE113" i="67"/>
  <c r="AV68" i="1"/>
  <c r="BE26" i="75"/>
  <c r="BF26" i="75"/>
  <c r="AW38" i="68"/>
  <c r="AV38" i="68"/>
  <c r="BE38" i="70"/>
  <c r="BF38" i="70"/>
  <c r="BE21" i="75"/>
  <c r="BF21" i="75"/>
  <c r="AV26" i="1"/>
  <c r="AW26" i="1"/>
  <c r="BF58" i="66"/>
  <c r="BE58" i="66"/>
  <c r="BE84" i="76"/>
  <c r="BF84" i="76"/>
  <c r="BF93" i="1"/>
  <c r="BE93" i="1"/>
  <c r="AW55" i="66"/>
  <c r="AV55" i="66"/>
  <c r="AV32" i="76"/>
  <c r="AW32" i="76"/>
  <c r="BF26" i="77"/>
  <c r="BE26" i="77"/>
  <c r="AW40" i="77"/>
  <c r="AV40" i="77"/>
  <c r="AW61" i="73"/>
  <c r="AV61" i="73"/>
  <c r="AV45" i="75"/>
  <c r="AW45" i="75"/>
  <c r="AW51" i="73"/>
  <c r="AV51" i="73"/>
  <c r="BE50" i="67"/>
  <c r="BF50" i="67"/>
  <c r="BE99" i="71"/>
  <c r="BF99" i="71"/>
  <c r="BE74" i="69"/>
  <c r="BF74" i="69"/>
  <c r="BF70" i="75"/>
  <c r="BE70" i="75"/>
  <c r="AW31" i="70"/>
  <c r="AV31" i="70"/>
  <c r="AV73" i="1"/>
  <c r="AW73" i="1"/>
  <c r="AW42" i="77"/>
  <c r="AV42" i="77"/>
  <c r="BE62" i="73"/>
  <c r="BF62" i="73"/>
  <c r="BF63" i="1"/>
  <c r="BE63" i="1"/>
  <c r="BF90" i="71"/>
  <c r="BE90" i="71"/>
  <c r="BE82" i="80"/>
  <c r="BF82" i="80"/>
  <c r="AV64" i="1"/>
  <c r="AW64" i="1"/>
  <c r="AV18" i="75"/>
  <c r="AW18" i="75"/>
  <c r="BF80" i="76"/>
  <c r="BF89" i="80"/>
  <c r="AV116" i="75"/>
  <c r="AW134" i="73"/>
  <c r="BF40" i="77"/>
  <c r="BE43" i="75"/>
  <c r="AW34" i="67"/>
  <c r="BE80" i="70"/>
  <c r="BE21" i="76"/>
  <c r="BE87" i="71"/>
  <c r="AW37" i="76"/>
  <c r="AV50" i="67"/>
  <c r="AW52" i="76"/>
  <c r="AV52" i="76"/>
  <c r="AW33" i="74"/>
  <c r="AV33" i="74"/>
  <c r="BF39" i="67"/>
  <c r="BE39" i="67"/>
  <c r="AV26" i="70"/>
  <c r="AW26" i="70"/>
  <c r="AW45" i="66"/>
  <c r="AV70" i="73"/>
  <c r="AW70" i="73"/>
  <c r="BF104" i="66"/>
  <c r="BE104" i="66"/>
  <c r="BE82" i="76"/>
  <c r="BF82" i="76"/>
  <c r="BE91" i="73"/>
  <c r="BF91" i="73"/>
  <c r="BE82" i="66"/>
  <c r="BF82" i="66"/>
  <c r="AW32" i="66"/>
  <c r="AV32" i="66"/>
  <c r="BE42" i="73"/>
  <c r="BF42" i="73"/>
  <c r="BE92" i="70"/>
  <c r="BF70" i="69"/>
  <c r="AV40" i="74"/>
  <c r="AW40" i="74"/>
  <c r="BE40" i="75"/>
  <c r="BF40" i="75"/>
  <c r="BE46" i="67"/>
  <c r="BF46" i="67"/>
  <c r="AW31" i="66"/>
  <c r="AV31" i="66"/>
  <c r="AW31" i="73"/>
  <c r="AV31" i="73"/>
  <c r="BE41" i="66"/>
  <c r="BF41" i="66"/>
  <c r="BF41" i="70"/>
  <c r="BE41" i="70"/>
  <c r="BE37" i="74"/>
  <c r="BF37" i="74"/>
  <c r="BF84" i="80"/>
  <c r="BE84" i="80"/>
  <c r="BF80" i="80"/>
  <c r="BE80" i="80"/>
  <c r="AW39" i="82"/>
  <c r="AV39" i="82"/>
  <c r="AW43" i="81"/>
  <c r="AV43" i="81"/>
  <c r="BE55" i="80"/>
  <c r="BF55" i="80"/>
  <c r="AW31" i="81"/>
  <c r="AV31" i="81"/>
  <c r="AW28" i="81"/>
  <c r="AV28" i="81"/>
  <c r="BE73" i="81"/>
  <c r="BF73" i="81"/>
  <c r="BE75" i="80"/>
  <c r="BF75" i="80"/>
  <c r="BF38" i="81"/>
  <c r="BE38" i="81"/>
  <c r="BF55" i="82"/>
  <c r="BE55" i="82"/>
  <c r="AW36" i="82"/>
  <c r="AV36" i="82"/>
  <c r="AW19" i="82"/>
  <c r="AV19" i="82"/>
  <c r="AW51" i="78"/>
  <c r="AV51" i="78"/>
  <c r="BE59" i="78"/>
  <c r="BF59" i="78"/>
  <c r="BE92" i="1"/>
  <c r="BF92" i="1"/>
  <c r="BF90" i="68"/>
  <c r="BE90" i="68"/>
  <c r="BE61" i="1"/>
  <c r="BF61" i="1"/>
  <c r="BF96" i="1"/>
  <c r="BE96" i="1"/>
  <c r="BF100" i="66"/>
  <c r="BE100" i="66"/>
  <c r="BF108" i="70"/>
  <c r="BE108" i="70"/>
  <c r="BE106" i="73"/>
  <c r="BF106" i="73"/>
  <c r="AV51" i="76"/>
  <c r="AW51" i="76"/>
  <c r="BE112" i="66"/>
  <c r="BF112" i="66"/>
  <c r="AW19" i="76"/>
  <c r="AV19" i="76"/>
  <c r="BF25" i="75"/>
  <c r="BE25" i="75"/>
  <c r="BF100" i="74"/>
  <c r="BE100" i="74"/>
  <c r="BF120" i="71"/>
  <c r="BE120" i="71"/>
  <c r="BF87" i="76"/>
  <c r="BE87" i="76"/>
  <c r="BF135" i="74"/>
  <c r="BF51" i="66"/>
  <c r="AV67" i="1"/>
  <c r="BE140" i="74"/>
  <c r="AW86" i="81"/>
  <c r="BE49" i="67"/>
  <c r="BF85" i="1"/>
  <c r="AV34" i="74"/>
  <c r="BF62" i="69"/>
  <c r="AW26" i="77"/>
  <c r="BF76" i="78"/>
  <c r="BF23" i="77"/>
  <c r="BE23" i="77"/>
  <c r="BF38" i="1"/>
  <c r="BF36" i="69"/>
  <c r="BE36" i="69"/>
  <c r="AV52" i="1"/>
  <c r="AW52" i="1"/>
  <c r="BE49" i="68"/>
  <c r="BF49" i="68"/>
  <c r="BE58" i="73"/>
  <c r="BF58" i="73"/>
  <c r="BF70" i="73"/>
  <c r="BE70" i="73"/>
  <c r="AV40" i="71"/>
  <c r="AW40" i="71"/>
  <c r="BF136" i="71"/>
  <c r="AV85" i="81"/>
  <c r="BE102" i="69"/>
  <c r="BF31" i="77"/>
  <c r="BE35" i="76"/>
  <c r="BE115" i="73"/>
  <c r="BF61" i="66"/>
  <c r="BE74" i="70"/>
  <c r="BF37" i="70"/>
  <c r="BF110" i="70"/>
  <c r="BF86" i="74"/>
  <c r="BE86" i="74"/>
  <c r="AW53" i="75"/>
  <c r="BF96" i="74"/>
  <c r="AV18" i="77"/>
  <c r="AW27" i="77"/>
  <c r="AV27" i="77"/>
  <c r="BF52" i="69"/>
  <c r="BE52" i="69"/>
  <c r="BE63" i="74"/>
  <c r="BF63" i="74"/>
  <c r="BE50" i="77"/>
  <c r="BF50" i="77"/>
  <c r="BF115" i="66"/>
  <c r="BE115" i="66"/>
  <c r="BE74" i="71"/>
  <c r="BF74" i="71"/>
  <c r="BF121" i="73"/>
  <c r="BE121" i="73"/>
  <c r="AW31" i="67"/>
  <c r="AV30" i="73"/>
  <c r="BH11" i="69"/>
  <c r="AW41" i="66"/>
  <c r="AV41" i="66"/>
  <c r="BF51" i="71"/>
  <c r="BE51" i="71"/>
  <c r="BE69" i="1"/>
  <c r="BF69" i="1"/>
  <c r="AW73" i="67"/>
  <c r="AV73" i="67"/>
  <c r="AW65" i="67"/>
  <c r="AV65" i="67"/>
  <c r="BE87" i="67"/>
  <c r="BF87" i="67"/>
  <c r="BF97" i="76"/>
  <c r="BE97" i="76"/>
  <c r="BE107" i="1"/>
  <c r="BF107" i="1"/>
  <c r="AW72" i="71"/>
  <c r="AV72" i="71"/>
  <c r="BF58" i="77"/>
  <c r="BE58" i="77"/>
  <c r="AW56" i="68"/>
  <c r="AV56" i="68"/>
  <c r="AV56" i="76"/>
  <c r="AW56" i="76"/>
  <c r="BF104" i="73"/>
  <c r="BE104" i="73"/>
  <c r="AV53" i="68"/>
  <c r="AW53" i="68"/>
  <c r="BE77" i="69"/>
  <c r="BF77" i="69"/>
  <c r="BF95" i="70"/>
  <c r="BE95" i="70"/>
  <c r="BF73" i="76"/>
  <c r="BE73" i="76"/>
  <c r="BF44" i="77"/>
  <c r="BE44" i="77"/>
  <c r="BF91" i="74"/>
  <c r="BE91" i="74"/>
  <c r="AW32" i="70"/>
  <c r="AV32" i="70"/>
  <c r="AV32" i="73"/>
  <c r="AW32" i="73"/>
  <c r="AW25" i="70"/>
  <c r="AV25" i="70"/>
  <c r="BF25" i="74"/>
  <c r="BE25" i="74"/>
  <c r="BF58" i="71"/>
  <c r="BE58" i="71"/>
  <c r="BE70" i="67"/>
  <c r="BF70" i="67"/>
  <c r="BE33" i="68"/>
  <c r="BF33" i="68"/>
  <c r="BE42" i="1"/>
  <c r="BF42" i="1"/>
  <c r="BE70" i="74"/>
  <c r="BF70" i="74"/>
  <c r="AW68" i="74"/>
  <c r="AV68" i="74"/>
  <c r="AW63" i="1"/>
  <c r="AV63" i="1"/>
  <c r="AW22" i="77"/>
  <c r="AV22" i="77"/>
  <c r="BF54" i="74"/>
  <c r="BE54" i="74"/>
  <c r="BF54" i="66"/>
  <c r="BE54" i="66"/>
  <c r="BF36" i="76"/>
  <c r="BE36" i="76"/>
  <c r="AV35" i="66"/>
  <c r="AW35" i="66"/>
  <c r="AW31" i="71"/>
  <c r="AV31" i="71"/>
  <c r="AW23" i="76"/>
  <c r="AV23" i="76"/>
  <c r="AV31" i="1"/>
  <c r="BE41" i="71"/>
  <c r="BF41" i="71"/>
  <c r="BF31" i="76"/>
  <c r="BE31" i="76"/>
  <c r="AV18" i="82"/>
  <c r="AW18" i="82"/>
  <c r="BE24" i="82"/>
  <c r="BF24" i="82"/>
  <c r="BE66" i="82"/>
  <c r="BF66" i="82"/>
  <c r="BE62" i="82"/>
  <c r="BF62" i="82"/>
  <c r="BE68" i="81"/>
  <c r="AV47" i="81"/>
  <c r="AW47" i="81"/>
  <c r="AV35" i="82"/>
  <c r="AW35" i="82"/>
  <c r="BF47" i="82"/>
  <c r="BE47" i="82"/>
  <c r="BE55" i="81"/>
  <c r="BF55" i="81"/>
  <c r="BE67" i="78"/>
  <c r="BF67" i="78"/>
  <c r="BE52" i="80"/>
  <c r="BF52" i="80"/>
  <c r="AW25" i="82"/>
  <c r="AV25" i="82"/>
  <c r="AV22" i="82"/>
  <c r="AW22" i="82"/>
  <c r="BF59" i="82"/>
  <c r="BE59" i="82"/>
  <c r="BF57" i="82"/>
  <c r="BE57" i="82"/>
  <c r="AV39" i="80"/>
  <c r="AW39" i="80"/>
  <c r="AW86" i="75"/>
  <c r="AV86" i="75"/>
  <c r="BF55" i="70"/>
  <c r="BE55" i="70"/>
  <c r="BE51" i="73"/>
  <c r="BF51" i="73"/>
  <c r="BF47" i="67"/>
  <c r="BE47" i="67"/>
  <c r="AW28" i="75"/>
  <c r="AV28" i="75"/>
  <c r="AW28" i="76"/>
  <c r="AV28" i="76"/>
  <c r="AW23" i="82"/>
  <c r="AV23" i="82"/>
  <c r="AW33" i="66"/>
  <c r="AV33" i="66"/>
  <c r="AV25" i="69"/>
  <c r="AW25" i="69"/>
  <c r="AW29" i="74"/>
  <c r="AV29" i="74"/>
  <c r="BF39" i="70"/>
  <c r="BE39" i="70"/>
  <c r="AV26" i="67"/>
  <c r="AW26" i="67"/>
  <c r="AV63" i="70"/>
  <c r="AW63" i="70"/>
  <c r="BF80" i="71"/>
  <c r="BE80" i="71"/>
  <c r="AW14" i="76"/>
  <c r="AV14" i="76"/>
  <c r="BE111" i="73"/>
  <c r="BF111" i="73"/>
  <c r="BF49" i="71"/>
  <c r="BE49" i="71"/>
  <c r="AW21" i="77"/>
  <c r="AV21" i="77"/>
  <c r="AV40" i="78"/>
  <c r="AW39" i="71"/>
  <c r="AV39" i="71"/>
  <c r="AV46" i="70"/>
  <c r="AW46" i="70"/>
  <c r="BF107" i="75"/>
  <c r="BF104" i="75"/>
  <c r="BE104" i="75"/>
  <c r="AW53" i="76"/>
  <c r="BE116" i="1"/>
  <c r="BE56" i="1"/>
  <c r="BF56" i="1"/>
  <c r="BE118" i="66"/>
  <c r="BF118" i="66"/>
  <c r="BE59" i="77"/>
  <c r="BF59" i="77"/>
  <c r="AW58" i="69"/>
  <c r="AV58" i="69"/>
  <c r="AV55" i="69"/>
  <c r="AW55" i="69"/>
  <c r="AW55" i="75"/>
  <c r="AV55" i="75"/>
  <c r="BF103" i="73"/>
  <c r="BE103" i="73"/>
  <c r="BF103" i="66"/>
  <c r="BE103" i="66"/>
  <c r="AV64" i="74"/>
  <c r="AW64" i="74"/>
  <c r="BF68" i="81"/>
  <c r="BF46" i="73"/>
  <c r="BF97" i="78"/>
  <c r="BE97" i="78"/>
  <c r="BF75" i="81"/>
  <c r="BE75" i="81"/>
  <c r="BF29" i="82"/>
  <c r="BE29" i="82"/>
  <c r="BF47" i="80"/>
  <c r="BE47" i="80"/>
  <c r="BF91" i="68"/>
  <c r="BE91" i="68"/>
  <c r="BE57" i="77"/>
  <c r="BF57" i="77"/>
  <c r="BE100" i="71"/>
  <c r="BF100" i="71"/>
  <c r="BF110" i="66"/>
  <c r="BE110" i="66"/>
  <c r="BF88" i="73"/>
  <c r="BE88" i="73"/>
  <c r="AV55" i="74"/>
  <c r="AW55" i="74"/>
  <c r="BF97" i="1"/>
  <c r="BE97" i="1"/>
  <c r="BF75" i="68"/>
  <c r="BE75" i="68"/>
  <c r="BF96" i="71"/>
  <c r="BE96" i="71"/>
  <c r="BE39" i="75"/>
  <c r="BF39" i="75"/>
  <c r="BE93" i="73"/>
  <c r="BF93" i="73"/>
  <c r="BF70" i="77"/>
  <c r="BE70" i="77"/>
  <c r="BF130" i="1"/>
  <c r="BE141" i="74"/>
  <c r="BE103" i="68"/>
  <c r="AV57" i="71"/>
  <c r="BF92" i="71"/>
  <c r="AV33" i="80"/>
  <c r="BE84" i="69"/>
  <c r="AV73" i="66"/>
  <c r="AW58" i="73"/>
  <c r="AV58" i="73"/>
  <c r="BF59" i="80"/>
  <c r="BE59" i="80"/>
  <c r="AV58" i="71"/>
  <c r="AW58" i="71"/>
  <c r="BE62" i="71"/>
  <c r="BF62" i="71"/>
  <c r="BF44" i="76"/>
  <c r="BE44" i="76"/>
  <c r="BF46" i="1"/>
  <c r="BE46" i="1"/>
  <c r="AW15" i="76"/>
  <c r="AV15" i="76"/>
  <c r="BF58" i="82"/>
  <c r="BE58" i="82"/>
  <c r="BF51" i="82"/>
  <c r="BE51" i="82"/>
  <c r="BE95" i="69"/>
  <c r="BF95" i="69"/>
  <c r="BF117" i="67"/>
  <c r="BE117" i="67"/>
  <c r="BF108" i="66"/>
  <c r="BE108" i="66"/>
  <c r="AW61" i="74"/>
  <c r="AV61" i="74"/>
  <c r="BF36" i="75"/>
  <c r="BE36" i="75"/>
  <c r="BE92" i="67"/>
  <c r="BF92" i="67"/>
  <c r="BE79" i="67"/>
  <c r="BF79" i="67"/>
  <c r="BF64" i="66"/>
  <c r="BE64" i="66"/>
  <c r="BF35" i="75"/>
  <c r="BE35" i="75"/>
  <c r="AV70" i="77"/>
  <c r="AW70" i="77"/>
  <c r="BE88" i="67"/>
  <c r="BF28" i="69"/>
  <c r="AW70" i="74"/>
  <c r="BF58" i="1"/>
  <c r="BF129" i="1"/>
  <c r="AW89" i="80"/>
  <c r="BF70" i="76"/>
  <c r="BF108" i="71"/>
  <c r="AV57" i="67"/>
  <c r="BE25" i="81"/>
  <c r="AW50" i="1"/>
  <c r="BF121" i="74"/>
  <c r="BF94" i="75"/>
  <c r="BE112" i="67"/>
  <c r="BF69" i="81"/>
  <c r="BE69" i="81"/>
  <c r="BF88" i="67"/>
  <c r="BE55" i="68"/>
  <c r="BF95" i="1"/>
  <c r="AW54" i="78"/>
  <c r="BF74" i="73"/>
  <c r="BE69" i="76"/>
  <c r="BE85" i="78"/>
  <c r="BF79" i="81"/>
  <c r="BF73" i="66"/>
  <c r="AV19" i="75"/>
  <c r="AW19" i="75"/>
  <c r="BF51" i="80"/>
  <c r="AW47" i="66"/>
  <c r="AV47" i="66"/>
  <c r="BH105" i="76"/>
  <c r="BD65" i="68"/>
  <c r="BD82" i="1"/>
  <c r="AU43" i="80"/>
  <c r="AU44" i="75"/>
  <c r="AU56" i="70"/>
  <c r="AU34" i="82"/>
  <c r="AU60" i="71"/>
  <c r="AU46" i="81"/>
  <c r="D310" i="2"/>
  <c r="AU56" i="78"/>
  <c r="AU57" i="75"/>
  <c r="AU57" i="76"/>
  <c r="AU71" i="73"/>
  <c r="AU57" i="68"/>
  <c r="AU71" i="71"/>
  <c r="AU71" i="67"/>
  <c r="BD106" i="1"/>
  <c r="BD106" i="67"/>
  <c r="C341" i="2"/>
  <c r="BD106" i="74"/>
  <c r="E341" i="2"/>
  <c r="BD106" i="70"/>
  <c r="AU133" i="73"/>
  <c r="AU139" i="74"/>
  <c r="BD84" i="81"/>
  <c r="BD133" i="71"/>
  <c r="BD70" i="82"/>
  <c r="D361" i="2"/>
  <c r="C361" i="2"/>
  <c r="AU102" i="68"/>
  <c r="AU127" i="67"/>
  <c r="AU101" i="69"/>
  <c r="AU71" i="77"/>
  <c r="BD71" i="77"/>
  <c r="BD107" i="76"/>
  <c r="E361" i="2"/>
  <c r="BD133" i="70"/>
  <c r="BD133" i="73"/>
  <c r="BD127" i="67"/>
  <c r="BD113" i="75"/>
  <c r="L361" i="2"/>
  <c r="K361" i="2"/>
  <c r="AU137" i="70"/>
  <c r="AU111" i="76"/>
  <c r="AU117" i="75"/>
  <c r="D365" i="2"/>
  <c r="BD105" i="69"/>
  <c r="BD92" i="80"/>
  <c r="C365" i="2"/>
  <c r="BD108" i="78"/>
  <c r="BD88" i="81"/>
  <c r="BD137" i="71"/>
  <c r="BD74" i="82"/>
  <c r="E365" i="2"/>
  <c r="AU131" i="67"/>
  <c r="AU75" i="77"/>
  <c r="BD75" i="77"/>
  <c r="BD111" i="76"/>
  <c r="AU34" i="1"/>
  <c r="AU26" i="76"/>
  <c r="K248" i="2"/>
  <c r="L276" i="2"/>
  <c r="BD64" i="74"/>
  <c r="BD50" i="69"/>
  <c r="BD64" i="67"/>
  <c r="E276" i="2"/>
  <c r="BD64" i="1"/>
  <c r="BD50" i="76"/>
  <c r="BD64" i="73"/>
  <c r="BD50" i="75"/>
  <c r="BD64" i="70"/>
  <c r="BD51" i="68"/>
  <c r="C276" i="2"/>
  <c r="BD57" i="81"/>
  <c r="BD68" i="74"/>
  <c r="BD68" i="66"/>
  <c r="D280" i="2"/>
  <c r="BD69" i="80"/>
  <c r="BD68" i="73"/>
  <c r="BD68" i="67"/>
  <c r="BD68" i="1"/>
  <c r="K280" i="2"/>
  <c r="BD54" i="76"/>
  <c r="BD68" i="70"/>
  <c r="BD54" i="69"/>
  <c r="E280" i="2"/>
  <c r="L280" i="2"/>
  <c r="BD61" i="81"/>
  <c r="BD39" i="77"/>
  <c r="BD73" i="74"/>
  <c r="BD73" i="71"/>
  <c r="BD59" i="69"/>
  <c r="AU37" i="68"/>
  <c r="AU45" i="1"/>
  <c r="BD59" i="76"/>
  <c r="BD59" i="75"/>
  <c r="AU45" i="74"/>
  <c r="BD73" i="70"/>
  <c r="AU37" i="69"/>
  <c r="AU45" i="67"/>
  <c r="C285" i="2"/>
  <c r="BD73" i="1"/>
  <c r="AU25" i="77"/>
  <c r="AU37" i="75"/>
  <c r="AU45" i="73"/>
  <c r="AU45" i="70"/>
  <c r="BD60" i="68"/>
  <c r="BD73" i="67"/>
  <c r="D285" i="2"/>
  <c r="K289" i="2"/>
  <c r="L289" i="2"/>
  <c r="C289" i="2"/>
  <c r="AU50" i="74"/>
  <c r="AU50" i="73"/>
  <c r="K294" i="2"/>
  <c r="AU50" i="70"/>
  <c r="C294" i="2"/>
  <c r="D294" i="2"/>
  <c r="E294" i="2"/>
  <c r="AU113" i="75"/>
  <c r="L365" i="2"/>
  <c r="BD88" i="80"/>
  <c r="BD117" i="75"/>
  <c r="AU88" i="80"/>
  <c r="BF107" i="70"/>
  <c r="K347" i="2"/>
  <c r="BD86" i="76"/>
  <c r="BD112" i="74"/>
  <c r="D347" i="2"/>
  <c r="BD86" i="75"/>
  <c r="BD112" i="71"/>
  <c r="BD87" i="68"/>
  <c r="E347" i="2"/>
  <c r="BD112" i="73"/>
  <c r="BD112" i="70"/>
  <c r="BD86" i="69"/>
  <c r="L347" i="2"/>
  <c r="BD90" i="76"/>
  <c r="BD116" i="71"/>
  <c r="E351" i="2"/>
  <c r="BD116" i="67"/>
  <c r="BD90" i="75"/>
  <c r="BD116" i="70"/>
  <c r="BD116" i="73"/>
  <c r="BD120" i="66"/>
  <c r="BD120" i="73"/>
  <c r="BD120" i="70"/>
  <c r="BD95" i="68"/>
  <c r="BD94" i="76"/>
  <c r="BD120" i="74"/>
  <c r="BD120" i="67"/>
  <c r="BD120" i="1"/>
  <c r="BD106" i="68"/>
  <c r="N370" i="2"/>
  <c r="F370" i="2" s="1"/>
  <c r="N367" i="2"/>
  <c r="F367" i="2" s="1"/>
  <c r="AV90" i="74"/>
  <c r="BF111" i="75"/>
  <c r="AW92" i="75"/>
  <c r="AV40" i="67"/>
  <c r="K363" i="2"/>
  <c r="BD142" i="74"/>
  <c r="AV58" i="66"/>
  <c r="BE25" i="1"/>
  <c r="C68" i="2"/>
  <c r="K140" i="2"/>
  <c r="BD136" i="73"/>
  <c r="AU127" i="1"/>
  <c r="BD87" i="81"/>
  <c r="L140" i="2"/>
  <c r="K190" i="2"/>
  <c r="BF58" i="67"/>
  <c r="BE58" i="67"/>
  <c r="BF66" i="1"/>
  <c r="AW25" i="67"/>
  <c r="AV25" i="67"/>
  <c r="BF102" i="1"/>
  <c r="BE102" i="1"/>
  <c r="K68" i="2"/>
  <c r="AU74" i="82"/>
  <c r="AU106" i="78"/>
  <c r="AU107" i="76"/>
  <c r="AU129" i="71"/>
  <c r="AU104" i="68"/>
  <c r="BD72" i="82"/>
  <c r="BD104" i="78"/>
  <c r="BD143" i="74"/>
  <c r="BD135" i="71"/>
  <c r="BD102" i="68"/>
  <c r="BD131" i="66"/>
  <c r="BD131" i="1"/>
  <c r="K365" i="2"/>
  <c r="AU72" i="82"/>
  <c r="AU129" i="67"/>
  <c r="AU133" i="70"/>
  <c r="AU84" i="81"/>
  <c r="BD107" i="78"/>
  <c r="AU123" i="66"/>
  <c r="BD136" i="70"/>
  <c r="AU108" i="78"/>
  <c r="E68" i="2"/>
  <c r="C140" i="2"/>
  <c r="AU70" i="82"/>
  <c r="AU92" i="80"/>
  <c r="AU141" i="74"/>
  <c r="AU125" i="71"/>
  <c r="AU105" i="69"/>
  <c r="AU121" i="66"/>
  <c r="BD90" i="80"/>
  <c r="BD139" i="74"/>
  <c r="BD137" i="73"/>
  <c r="BD103" i="69"/>
  <c r="BD127" i="66"/>
  <c r="BD127" i="1"/>
  <c r="C363" i="2"/>
  <c r="AU115" i="75"/>
  <c r="AU119" i="66"/>
  <c r="AU137" i="73"/>
  <c r="AU88" i="81"/>
  <c r="L68" i="2"/>
  <c r="AU106" i="68"/>
  <c r="AU143" i="74"/>
  <c r="AU131" i="1"/>
  <c r="N24" i="81"/>
  <c r="BH71" i="82"/>
  <c r="AY26" i="80"/>
  <c r="AY15" i="1"/>
  <c r="AY20" i="81"/>
  <c r="AF27" i="4"/>
  <c r="B13" i="73"/>
  <c r="N18" i="67"/>
  <c r="AY16" i="67"/>
  <c r="N18" i="73"/>
  <c r="U2" i="78"/>
  <c r="B13" i="69"/>
  <c r="B13" i="81"/>
  <c r="B13" i="75"/>
  <c r="B13" i="68"/>
  <c r="B13" i="80"/>
  <c r="B13" i="78"/>
  <c r="B13" i="74"/>
  <c r="B13" i="67"/>
  <c r="AC14" i="10"/>
  <c r="Q10" i="2"/>
  <c r="AY19" i="71"/>
  <c r="AY24" i="80"/>
  <c r="AA6" i="2"/>
  <c r="AA7" i="2" s="1"/>
  <c r="AY16" i="81"/>
  <c r="AY30" i="78"/>
  <c r="AY23" i="80"/>
  <c r="AY27" i="80"/>
  <c r="AY23" i="74"/>
  <c r="AY17" i="1"/>
  <c r="AY16" i="66"/>
  <c r="AY21" i="1"/>
  <c r="AY23" i="1"/>
  <c r="AY20" i="74"/>
  <c r="AY22" i="81"/>
  <c r="AY33" i="78"/>
  <c r="AY25" i="80"/>
  <c r="AY18" i="81"/>
  <c r="AY22" i="80"/>
  <c r="AY28" i="78"/>
  <c r="AY21" i="81"/>
  <c r="AY13" i="68"/>
  <c r="AY15" i="67"/>
  <c r="AY17" i="68"/>
  <c r="AY17" i="67"/>
  <c r="AY20" i="70"/>
  <c r="BH89" i="80"/>
  <c r="N24" i="82"/>
  <c r="N26" i="77"/>
  <c r="U2" i="82"/>
  <c r="U67" i="76"/>
  <c r="AY19" i="66"/>
  <c r="AY22" i="66"/>
  <c r="AY26" i="78"/>
  <c r="AY17" i="81"/>
  <c r="AY23" i="81"/>
  <c r="AY19" i="81"/>
  <c r="AF34" i="4"/>
  <c r="AT9" i="4"/>
  <c r="C64" i="4"/>
  <c r="B13" i="70"/>
  <c r="B13" i="76"/>
  <c r="B7" i="66"/>
  <c r="U2" i="65"/>
  <c r="B4" i="65"/>
  <c r="U2" i="77"/>
  <c r="U2" i="76"/>
  <c r="U67" i="74"/>
  <c r="U2" i="70"/>
  <c r="U2" i="80"/>
  <c r="U2" i="75"/>
  <c r="U67" i="73"/>
  <c r="U2" i="66"/>
  <c r="U2" i="67"/>
  <c r="N18" i="76"/>
  <c r="N26" i="67"/>
  <c r="N26" i="70"/>
  <c r="N26" i="69"/>
  <c r="N18" i="82"/>
  <c r="N18" i="77"/>
  <c r="N24" i="80"/>
  <c r="N26" i="75"/>
  <c r="N18" i="70"/>
  <c r="N18" i="69"/>
  <c r="N18" i="80"/>
  <c r="N18" i="81"/>
  <c r="N26" i="74"/>
  <c r="N18" i="75"/>
  <c r="N18" i="1"/>
  <c r="N18" i="66"/>
  <c r="N26" i="66"/>
  <c r="N26" i="73"/>
  <c r="N26" i="68"/>
  <c r="N18" i="68"/>
  <c r="Q10" i="65"/>
  <c r="Q26" i="65"/>
  <c r="AF26" i="65"/>
  <c r="C18" i="65"/>
  <c r="AF10" i="65"/>
  <c r="C10" i="65"/>
  <c r="BH105" i="78"/>
  <c r="BH85" i="81"/>
  <c r="BH72" i="77"/>
  <c r="BH128" i="66"/>
  <c r="BH103" i="68"/>
  <c r="B7" i="70"/>
  <c r="B7" i="76"/>
  <c r="N18" i="74"/>
  <c r="N24" i="78"/>
  <c r="BH102" i="69"/>
  <c r="U2" i="74"/>
  <c r="AY22" i="67"/>
  <c r="AY16" i="1"/>
  <c r="AY25" i="78"/>
  <c r="AY32" i="78"/>
  <c r="AY29" i="78"/>
  <c r="C9" i="4"/>
  <c r="B13" i="77"/>
  <c r="AR86" i="76"/>
  <c r="B7" i="69"/>
  <c r="B13" i="71"/>
  <c r="B22" i="2"/>
  <c r="U2" i="20"/>
  <c r="B14" i="20"/>
  <c r="F5" i="2"/>
  <c r="B7" i="1"/>
  <c r="B7" i="82"/>
  <c r="U7" i="10"/>
  <c r="B7" i="67"/>
  <c r="B7" i="71"/>
  <c r="B7" i="77"/>
  <c r="Q95" i="4"/>
  <c r="AF16" i="4"/>
  <c r="Q86" i="4"/>
  <c r="AT95" i="4"/>
  <c r="AF76" i="4"/>
  <c r="AF35" i="4"/>
  <c r="AF9" i="4"/>
  <c r="Q9" i="4"/>
  <c r="AF53" i="4"/>
  <c r="AF45" i="4"/>
  <c r="AF17" i="4"/>
  <c r="C27" i="4"/>
  <c r="O82" i="76"/>
  <c r="O28" i="78"/>
  <c r="O28" i="81"/>
  <c r="B7" i="80"/>
  <c r="N18" i="78"/>
  <c r="T8" i="2"/>
  <c r="B150" i="2" s="1"/>
  <c r="AU64" i="68" s="1"/>
  <c r="AA10" i="2"/>
  <c r="U2" i="81"/>
  <c r="U2" i="69"/>
  <c r="AY19" i="68"/>
  <c r="AY22" i="1"/>
  <c r="AY27" i="78"/>
  <c r="AY21" i="80"/>
  <c r="AY31" i="78"/>
  <c r="O28" i="80"/>
  <c r="AT75" i="4"/>
  <c r="C76" i="4"/>
  <c r="AT76" i="4"/>
  <c r="B13" i="1"/>
  <c r="B13" i="82"/>
  <c r="Q27" i="4"/>
  <c r="N26" i="71"/>
  <c r="N18" i="71"/>
  <c r="B7" i="68"/>
  <c r="C2" i="7"/>
  <c r="B10" i="71"/>
  <c r="B8" i="20"/>
  <c r="C22" i="2"/>
  <c r="AM7" i="10"/>
  <c r="AF12" i="65"/>
  <c r="C12" i="65"/>
  <c r="N83" i="71"/>
  <c r="B10" i="73"/>
  <c r="B10" i="68"/>
  <c r="Q28" i="65"/>
  <c r="C20" i="65"/>
  <c r="Q20" i="65"/>
  <c r="I10" i="7"/>
  <c r="AL14" i="10"/>
  <c r="AR86" i="70"/>
  <c r="AU103" i="75"/>
  <c r="V87" i="75" s="1"/>
  <c r="AU103" i="74"/>
  <c r="V87" i="74" s="1"/>
  <c r="AR86" i="73"/>
  <c r="AR86" i="71"/>
  <c r="AK9" i="76"/>
  <c r="AK9" i="70"/>
  <c r="AK9" i="71"/>
  <c r="AK9" i="73"/>
  <c r="C29" i="65"/>
  <c r="Q18" i="65"/>
  <c r="AF18" i="65"/>
  <c r="AF21" i="4"/>
  <c r="M465" i="7"/>
  <c r="M323" i="7"/>
  <c r="M649" i="7"/>
  <c r="BJ61" i="73" s="1"/>
  <c r="BK61" i="73" s="1"/>
  <c r="M762" i="7"/>
  <c r="M341" i="7"/>
  <c r="M48" i="7"/>
  <c r="M680" i="7"/>
  <c r="M869" i="7"/>
  <c r="M634" i="7"/>
  <c r="M343" i="7"/>
  <c r="M1028" i="7"/>
  <c r="M436" i="7"/>
  <c r="M982" i="7"/>
  <c r="M355" i="7"/>
  <c r="M176" i="7"/>
  <c r="M891" i="7"/>
  <c r="M785" i="7"/>
  <c r="M909" i="7"/>
  <c r="M231" i="7"/>
  <c r="M328" i="7"/>
  <c r="M867" i="7"/>
  <c r="M447" i="7"/>
  <c r="M59" i="7"/>
  <c r="M215" i="7"/>
  <c r="M898" i="7"/>
  <c r="M752" i="7"/>
  <c r="M477" i="7"/>
  <c r="M279" i="7"/>
  <c r="M568" i="7"/>
  <c r="M517" i="7"/>
  <c r="M557" i="7"/>
  <c r="M633" i="7"/>
  <c r="M721" i="7"/>
  <c r="M506" i="7"/>
  <c r="M814" i="7"/>
  <c r="M751" i="7"/>
  <c r="M804" i="7"/>
  <c r="M548" i="7"/>
  <c r="M931" i="7"/>
  <c r="M778" i="7"/>
  <c r="M572" i="7"/>
  <c r="M300" i="7"/>
  <c r="M890" i="7"/>
  <c r="M551" i="7"/>
  <c r="M418" i="7"/>
  <c r="M711" i="7"/>
  <c r="M532" i="7"/>
  <c r="M127" i="7"/>
  <c r="M817" i="7"/>
  <c r="M563" i="7"/>
  <c r="M113" i="7"/>
  <c r="M681" i="7"/>
  <c r="M962" i="7"/>
  <c r="M43" i="7"/>
  <c r="M358" i="7"/>
  <c r="M908" i="7"/>
  <c r="M910" i="7"/>
  <c r="M651" i="7"/>
  <c r="M860" i="7"/>
  <c r="M133" i="7"/>
  <c r="M116" i="7"/>
  <c r="M722" i="7"/>
  <c r="M107" i="7"/>
  <c r="M826" i="7"/>
  <c r="M979" i="7"/>
  <c r="M985" i="7"/>
  <c r="M862" i="7"/>
  <c r="M463" i="7"/>
  <c r="M889" i="7"/>
  <c r="M612" i="7"/>
  <c r="M512" i="7"/>
  <c r="M95" i="7"/>
  <c r="M567" i="7"/>
  <c r="M934" i="7"/>
  <c r="M809" i="7"/>
  <c r="M143" i="7"/>
  <c r="M644" i="7"/>
  <c r="M371" i="7"/>
  <c r="M640" i="7"/>
  <c r="M577" i="7"/>
  <c r="M696" i="7"/>
  <c r="M367" i="7"/>
  <c r="M704" i="7"/>
  <c r="AM17" i="10"/>
  <c r="BH128" i="1"/>
  <c r="AA8" i="2"/>
  <c r="Q8" i="2"/>
  <c r="AO67" i="71"/>
  <c r="AO2" i="74"/>
  <c r="AO2" i="68"/>
  <c r="AO67" i="74"/>
  <c r="AO2" i="75"/>
  <c r="AO67" i="73"/>
  <c r="AO2" i="67"/>
  <c r="AO67" i="75"/>
  <c r="AO2" i="77"/>
  <c r="AO2" i="73"/>
  <c r="AO67" i="76"/>
  <c r="AO2" i="76"/>
  <c r="AO67" i="70"/>
  <c r="AO2" i="81"/>
  <c r="AO2" i="78"/>
  <c r="AO2" i="1"/>
  <c r="AO2" i="69"/>
  <c r="AO2" i="66"/>
  <c r="AO2" i="20"/>
  <c r="G2" i="69"/>
  <c r="G2" i="70"/>
  <c r="G2" i="4"/>
  <c r="G2" i="77"/>
  <c r="G2" i="68"/>
  <c r="G2" i="67"/>
  <c r="G67" i="74"/>
  <c r="G67" i="73"/>
  <c r="G2" i="1"/>
  <c r="G67" i="75"/>
  <c r="G67" i="71"/>
  <c r="G2" i="74"/>
  <c r="G2" i="78"/>
  <c r="G67" i="70"/>
  <c r="G2" i="75"/>
  <c r="G2" i="80"/>
  <c r="G2" i="20"/>
  <c r="G2" i="65"/>
  <c r="G2" i="82"/>
  <c r="G2" i="73"/>
  <c r="G2" i="10"/>
  <c r="G67" i="76"/>
  <c r="U14" i="10"/>
  <c r="O82" i="70"/>
  <c r="O82" i="73"/>
  <c r="O81" i="74"/>
  <c r="O82" i="71"/>
  <c r="M584" i="7"/>
  <c r="M479" i="7"/>
  <c r="M485" i="7"/>
  <c r="M250" i="7"/>
  <c r="M830" i="7"/>
  <c r="M78" i="7"/>
  <c r="M575" i="7"/>
  <c r="M675" i="7"/>
  <c r="M587" i="7"/>
  <c r="M702" i="7"/>
  <c r="M632" i="7"/>
  <c r="M754" i="7"/>
  <c r="M688" i="7"/>
  <c r="M126" i="7"/>
  <c r="M866" i="7"/>
  <c r="M919" i="7"/>
  <c r="M308" i="7"/>
  <c r="M565" i="7"/>
  <c r="M895" i="7"/>
  <c r="M265" i="7"/>
  <c r="M91" i="7"/>
  <c r="M29" i="7"/>
  <c r="M433" i="7"/>
  <c r="M966" i="7"/>
  <c r="M676" i="7"/>
  <c r="M282" i="7"/>
  <c r="M686" i="7"/>
  <c r="M690" i="7"/>
  <c r="M912" i="7"/>
  <c r="M763" i="7"/>
  <c r="M594" i="7"/>
  <c r="M623" i="7"/>
  <c r="M218" i="7"/>
  <c r="M14" i="7"/>
  <c r="M929" i="7"/>
  <c r="M245" i="7"/>
  <c r="M761" i="7"/>
  <c r="M760" i="7"/>
  <c r="M935" i="7"/>
  <c r="M927" i="7"/>
  <c r="AP14" i="10"/>
  <c r="H28" i="67"/>
  <c r="H19" i="66"/>
  <c r="H27" i="1"/>
  <c r="H20" i="71"/>
  <c r="H28" i="71"/>
  <c r="H22" i="73"/>
  <c r="H22" i="66"/>
  <c r="H28" i="66"/>
  <c r="H20" i="67"/>
  <c r="U2" i="10"/>
  <c r="H30" i="71"/>
  <c r="B8" i="67"/>
  <c r="AC82" i="75"/>
  <c r="H20" i="69"/>
  <c r="H19" i="73"/>
  <c r="H28" i="73"/>
  <c r="H20" i="66"/>
  <c r="H30" i="67"/>
  <c r="H30" i="1"/>
  <c r="H20" i="81"/>
  <c r="B8" i="70"/>
  <c r="B8" i="74"/>
  <c r="C31" i="4"/>
  <c r="U2" i="73"/>
  <c r="H22" i="69"/>
  <c r="H19" i="70"/>
  <c r="H27" i="67"/>
  <c r="H30" i="69"/>
  <c r="AU13" i="10"/>
  <c r="U67" i="70"/>
  <c r="U2" i="71"/>
  <c r="H27" i="70"/>
  <c r="H19" i="69"/>
  <c r="H20" i="70"/>
  <c r="H20" i="68"/>
  <c r="H22" i="68"/>
  <c r="H30" i="68"/>
  <c r="U2" i="4"/>
  <c r="H30" i="70"/>
  <c r="H27" i="69"/>
  <c r="H20" i="73"/>
  <c r="H19" i="71"/>
  <c r="H22" i="67"/>
  <c r="H19" i="68"/>
  <c r="H27" i="66"/>
  <c r="U2" i="1"/>
  <c r="U2" i="68"/>
  <c r="H28" i="1"/>
  <c r="U67" i="75"/>
  <c r="BH128" i="67"/>
  <c r="AI67" i="76"/>
  <c r="AI2" i="78"/>
  <c r="AI2" i="66"/>
  <c r="AI2" i="1"/>
  <c r="AI2" i="77"/>
  <c r="AI2" i="73"/>
  <c r="AI2" i="65"/>
  <c r="AI2" i="67"/>
  <c r="AI2" i="10"/>
  <c r="AI2" i="4"/>
  <c r="AI67" i="71"/>
  <c r="AI2" i="71"/>
  <c r="AI2" i="70"/>
  <c r="AI67" i="70"/>
  <c r="AI2" i="68"/>
  <c r="AI2" i="69"/>
  <c r="AI67" i="73"/>
  <c r="AI2" i="20"/>
  <c r="M839" i="7"/>
  <c r="M425" i="7"/>
  <c r="M130" i="7"/>
  <c r="AY17" i="66"/>
  <c r="AY19" i="1"/>
  <c r="AY16" i="70"/>
  <c r="AY19" i="74"/>
  <c r="AY22" i="73"/>
  <c r="AY22" i="71"/>
  <c r="AY20" i="1"/>
  <c r="AY22" i="70"/>
  <c r="AY16" i="71"/>
  <c r="AY18" i="68"/>
  <c r="AY18" i="66"/>
  <c r="AY18" i="71"/>
  <c r="AY21" i="73"/>
  <c r="AY20" i="73"/>
  <c r="AY11" i="77"/>
  <c r="AY18" i="67"/>
  <c r="AY14" i="68"/>
  <c r="AY19" i="67"/>
  <c r="AY18" i="73"/>
  <c r="AY18" i="74"/>
  <c r="AY20" i="71"/>
  <c r="AY16" i="73"/>
  <c r="AY12" i="77"/>
  <c r="AY15" i="68"/>
  <c r="AY17" i="74"/>
  <c r="AY15" i="70"/>
  <c r="AY19" i="70"/>
  <c r="AY17" i="71"/>
  <c r="AY13" i="77"/>
  <c r="AY20" i="66"/>
  <c r="AY16" i="74"/>
  <c r="AY21" i="70"/>
  <c r="AY18" i="1"/>
  <c r="AY23" i="67"/>
  <c r="AY16" i="68"/>
  <c r="AY15" i="74"/>
  <c r="AY23" i="70"/>
  <c r="AY15" i="73"/>
  <c r="AY19" i="73"/>
  <c r="AY23" i="73"/>
  <c r="AY20" i="67"/>
  <c r="AY21" i="66"/>
  <c r="AY21" i="67"/>
  <c r="AY22" i="74"/>
  <c r="AY21" i="74"/>
  <c r="AY21" i="71"/>
  <c r="AY17" i="73"/>
  <c r="AY17" i="70"/>
  <c r="AY18" i="70"/>
  <c r="M198" i="7"/>
  <c r="M956" i="7"/>
  <c r="M940" i="7"/>
  <c r="M466" i="7"/>
  <c r="M853" i="7"/>
  <c r="M718" i="7"/>
  <c r="M588" i="7"/>
  <c r="M60" i="7"/>
  <c r="M319" i="7"/>
  <c r="M382" i="7"/>
  <c r="M757" i="7"/>
  <c r="M629" i="7"/>
  <c r="M423" i="7"/>
  <c r="M816" i="7"/>
  <c r="M865" i="7"/>
  <c r="M377" i="7"/>
  <c r="M31" i="7"/>
  <c r="M872" i="7"/>
  <c r="M683" i="7"/>
  <c r="M945" i="7"/>
  <c r="M94" i="7"/>
  <c r="M304" i="7"/>
  <c r="M236" i="7"/>
  <c r="M843" i="7"/>
  <c r="M937" i="7"/>
  <c r="M554" i="7"/>
  <c r="M911" i="7"/>
  <c r="M428" i="7"/>
  <c r="M307" i="7"/>
  <c r="M819" i="7"/>
  <c r="M765" i="7"/>
  <c r="M398" i="7"/>
  <c r="M652" i="7"/>
  <c r="M996" i="7"/>
  <c r="M272" i="7"/>
  <c r="M402" i="7"/>
  <c r="M314" i="7"/>
  <c r="M393" i="7"/>
  <c r="M871" i="7"/>
  <c r="M21" i="7"/>
  <c r="M850" i="7"/>
  <c r="M815" i="7"/>
  <c r="M961" i="7"/>
  <c r="M812" i="7"/>
  <c r="M694" i="7"/>
  <c r="M627" i="7"/>
  <c r="M390" i="7"/>
  <c r="M525" i="7"/>
  <c r="M922" i="7"/>
  <c r="M916" i="7"/>
  <c r="M977" i="7"/>
  <c r="M153" i="7"/>
  <c r="M971" i="7"/>
  <c r="M429" i="7"/>
  <c r="M443" i="7"/>
  <c r="M625" i="7"/>
  <c r="M1018" i="7"/>
  <c r="M235" i="7"/>
  <c r="M326" i="7"/>
  <c r="M569" i="7"/>
  <c r="M162" i="7"/>
  <c r="M378" i="7"/>
  <c r="M67" i="7"/>
  <c r="M158" i="7"/>
  <c r="M923" i="7"/>
  <c r="M470" i="7"/>
  <c r="M1010" i="7"/>
  <c r="M616" i="7"/>
  <c r="M128" i="7"/>
  <c r="M741" i="7"/>
  <c r="M201" i="7"/>
  <c r="M331" i="7"/>
  <c r="M708" i="7"/>
  <c r="M296" i="7"/>
  <c r="M366" i="7"/>
  <c r="M918" i="7"/>
  <c r="M863" i="7"/>
  <c r="M92" i="7"/>
  <c r="M1004" i="7"/>
  <c r="M503" i="7"/>
  <c r="M294" i="7"/>
  <c r="M306" i="7"/>
  <c r="M558" i="7"/>
  <c r="M954" i="7"/>
  <c r="M648" i="7"/>
  <c r="M400" i="7"/>
  <c r="M255" i="7"/>
  <c r="M540" i="7"/>
  <c r="M52" i="7"/>
  <c r="M349" i="7"/>
  <c r="M783" i="7"/>
  <c r="M1002" i="7"/>
  <c r="Q25" i="65"/>
  <c r="C17" i="65"/>
  <c r="Q9" i="65"/>
  <c r="M742" i="7"/>
  <c r="M846" i="7"/>
  <c r="M978" i="7"/>
  <c r="M848" i="7"/>
  <c r="I6" i="7"/>
  <c r="AO28" i="10"/>
  <c r="K20" i="2"/>
  <c r="J6" i="7"/>
  <c r="AP28" i="10"/>
  <c r="B33" i="77"/>
  <c r="B33" i="73"/>
  <c r="B33" i="69"/>
  <c r="B33" i="74"/>
  <c r="B33" i="66"/>
  <c r="B33" i="76"/>
  <c r="B33" i="1"/>
  <c r="B33" i="70"/>
  <c r="B33" i="75"/>
  <c r="B33" i="67"/>
  <c r="B33" i="71"/>
  <c r="B33" i="68"/>
  <c r="B11" i="77"/>
  <c r="B11" i="71"/>
  <c r="G22" i="2"/>
  <c r="G10" i="7"/>
  <c r="B7" i="78"/>
  <c r="B7" i="75"/>
  <c r="B7" i="74"/>
  <c r="B7" i="73"/>
  <c r="C103" i="4"/>
  <c r="B32" i="75"/>
  <c r="B32" i="67"/>
  <c r="B32" i="73"/>
  <c r="B32" i="77"/>
  <c r="B27" i="78"/>
  <c r="B32" i="69"/>
  <c r="B27" i="82"/>
  <c r="B32" i="68"/>
  <c r="B32" i="76"/>
  <c r="B32" i="1"/>
  <c r="B32" i="70"/>
  <c r="B27" i="80"/>
  <c r="B32" i="74"/>
  <c r="B32" i="66"/>
  <c r="B27" i="81"/>
  <c r="B32" i="71"/>
  <c r="B34" i="69"/>
  <c r="B34" i="77"/>
  <c r="B34" i="74"/>
  <c r="B34" i="66"/>
  <c r="B34" i="71"/>
  <c r="B34" i="70"/>
  <c r="B34" i="75"/>
  <c r="B34" i="67"/>
  <c r="B34" i="73"/>
  <c r="B34" i="68"/>
  <c r="B34" i="76"/>
  <c r="B34" i="1"/>
  <c r="C26" i="4"/>
  <c r="AI17" i="75"/>
  <c r="AI17" i="67"/>
  <c r="AI17" i="74"/>
  <c r="AI17" i="66"/>
  <c r="AI17" i="76"/>
  <c r="AI17" i="70"/>
  <c r="AI17" i="69"/>
  <c r="AI17" i="68"/>
  <c r="AI17" i="1"/>
  <c r="AI17" i="73"/>
  <c r="AI17" i="77"/>
  <c r="AI17" i="71"/>
  <c r="AK9" i="74"/>
  <c r="N26" i="76"/>
  <c r="C26" i="65"/>
  <c r="AI25" i="1"/>
  <c r="AI25" i="66"/>
  <c r="AI25" i="67"/>
  <c r="AI25" i="68"/>
  <c r="AI25" i="77"/>
  <c r="AI25" i="76"/>
  <c r="AI25" i="74"/>
  <c r="AI25" i="75"/>
  <c r="AI25" i="69"/>
  <c r="AI25" i="70"/>
  <c r="AI25" i="71"/>
  <c r="AI25" i="73"/>
  <c r="AF39" i="4"/>
  <c r="AY48" i="77"/>
  <c r="AY80" i="73"/>
  <c r="AY80" i="1"/>
  <c r="AY67" i="68"/>
  <c r="AY66" i="69"/>
  <c r="AY51" i="81"/>
  <c r="AY66" i="76"/>
  <c r="AY80" i="74"/>
  <c r="AY80" i="67"/>
  <c r="AY80" i="66"/>
  <c r="AY62" i="78"/>
  <c r="BF102" i="73" l="1"/>
  <c r="AW51" i="68"/>
  <c r="BF65" i="67"/>
  <c r="BF64" i="75"/>
  <c r="AW91" i="75"/>
  <c r="AV16" i="82"/>
  <c r="AY53" i="80"/>
  <c r="BH86" i="80" s="1"/>
  <c r="AY43" i="82"/>
  <c r="BH68" i="82" s="1"/>
  <c r="AA9" i="2"/>
  <c r="Y14" i="10"/>
  <c r="Q9" i="2"/>
  <c r="M38" i="7"/>
  <c r="M663" i="7"/>
  <c r="BA39" i="75" s="1"/>
  <c r="BB39" i="75" s="1"/>
  <c r="M221" i="7"/>
  <c r="M72" i="7"/>
  <c r="M389" i="7"/>
  <c r="M539" i="7"/>
  <c r="M144" i="7"/>
  <c r="M351" i="7"/>
  <c r="M262" i="7"/>
  <c r="M698" i="7"/>
  <c r="BJ109" i="86" s="1"/>
  <c r="BK109" i="86" s="1"/>
  <c r="M464" i="7"/>
  <c r="G192" i="2" s="1"/>
  <c r="H192" i="2" s="1"/>
  <c r="M223" i="7"/>
  <c r="M407" i="7"/>
  <c r="M249" i="7"/>
  <c r="M801" i="7"/>
  <c r="M951" i="7"/>
  <c r="M441" i="7"/>
  <c r="M419" i="7"/>
  <c r="M932" i="7"/>
  <c r="M12" i="7"/>
  <c r="M856" i="7"/>
  <c r="M715" i="7"/>
  <c r="BA79" i="86" s="1"/>
  <c r="BB79" i="86" s="1"/>
  <c r="M164" i="7"/>
  <c r="M864" i="7"/>
  <c r="M138" i="7"/>
  <c r="M601" i="7"/>
  <c r="M780" i="7"/>
  <c r="M233" i="7"/>
  <c r="M498" i="7"/>
  <c r="M298" i="7"/>
  <c r="M740" i="7"/>
  <c r="M269" i="7"/>
  <c r="M1012" i="7"/>
  <c r="M791" i="7"/>
  <c r="M682" i="7"/>
  <c r="BA62" i="87" s="1"/>
  <c r="BB62" i="87" s="1"/>
  <c r="M286" i="7"/>
  <c r="M975" i="7"/>
  <c r="M653" i="7"/>
  <c r="M284" i="7"/>
  <c r="M448" i="7"/>
  <c r="M170" i="7"/>
  <c r="M141" i="7"/>
  <c r="M894" i="7"/>
  <c r="M726" i="7"/>
  <c r="M118" i="7"/>
  <c r="M312" i="7"/>
  <c r="M437" i="7"/>
  <c r="M953" i="7"/>
  <c r="M781" i="7"/>
  <c r="M98" i="7"/>
  <c r="M106" i="7"/>
  <c r="M333" i="7"/>
  <c r="M45" i="7"/>
  <c r="M729" i="7"/>
  <c r="BJ118" i="74" s="1"/>
  <c r="BK118" i="74" s="1"/>
  <c r="M134" i="7"/>
  <c r="M1040" i="7"/>
  <c r="M1032" i="7"/>
  <c r="M420" i="7"/>
  <c r="M1005" i="7"/>
  <c r="M824" i="7"/>
  <c r="M261" i="7"/>
  <c r="M936" i="7"/>
  <c r="M232" i="7"/>
  <c r="M289" i="7"/>
  <c r="M784" i="7"/>
  <c r="M292" i="7"/>
  <c r="M992" i="7"/>
  <c r="M786" i="7"/>
  <c r="M672" i="7"/>
  <c r="M372" i="7"/>
  <c r="M356" i="7"/>
  <c r="M353" i="7"/>
  <c r="M562" i="7"/>
  <c r="M197" i="7"/>
  <c r="M885" i="7"/>
  <c r="M638" i="7"/>
  <c r="BJ69" i="87" s="1"/>
  <c r="BK69" i="87" s="1"/>
  <c r="M450" i="7"/>
  <c r="M571" i="7"/>
  <c r="BA15" i="82" s="1"/>
  <c r="BB15" i="82" s="1"/>
  <c r="M337" i="7"/>
  <c r="M212" i="7"/>
  <c r="M983" i="7"/>
  <c r="M77" i="7"/>
  <c r="M592" i="7"/>
  <c r="M607" i="7"/>
  <c r="BJ153" i="84" s="1"/>
  <c r="BK153" i="84" s="1"/>
  <c r="M613" i="7"/>
  <c r="BJ38" i="71" s="1"/>
  <c r="BK38" i="71" s="1"/>
  <c r="M340" i="7"/>
  <c r="M459" i="7"/>
  <c r="M405" i="7"/>
  <c r="M403" i="7"/>
  <c r="M422" i="7"/>
  <c r="M570" i="7"/>
  <c r="G217" i="2" s="1"/>
  <c r="H217" i="2" s="1"/>
  <c r="M883" i="7"/>
  <c r="M187" i="7"/>
  <c r="M20" i="7"/>
  <c r="M875" i="7"/>
  <c r="M947" i="7"/>
  <c r="M413" i="7"/>
  <c r="M369" i="7"/>
  <c r="M408" i="7"/>
  <c r="M121" i="7"/>
  <c r="M802" i="7"/>
  <c r="M487" i="7"/>
  <c r="BJ145" i="86" s="1"/>
  <c r="BK145" i="86" s="1"/>
  <c r="M969" i="7"/>
  <c r="M759" i="7"/>
  <c r="M18" i="7"/>
  <c r="M449" i="7"/>
  <c r="M776" i="7"/>
  <c r="M994" i="7"/>
  <c r="M720" i="7"/>
  <c r="BJ123" i="86" s="1"/>
  <c r="BK123" i="86" s="1"/>
  <c r="M361" i="7"/>
  <c r="M808" i="7"/>
  <c r="M646" i="7"/>
  <c r="BA36" i="81" s="1"/>
  <c r="BB36" i="81" s="1"/>
  <c r="M295" i="7"/>
  <c r="M490" i="7"/>
  <c r="M1024" i="7"/>
  <c r="M958" i="7"/>
  <c r="M426" i="7"/>
  <c r="M1013" i="7"/>
  <c r="M368" i="7"/>
  <c r="M589" i="7"/>
  <c r="M661" i="7"/>
  <c r="BJ87" i="85" s="1"/>
  <c r="BK87" i="85" s="1"/>
  <c r="M887" i="7"/>
  <c r="M732" i="7"/>
  <c r="M458" i="7"/>
  <c r="M519" i="7"/>
  <c r="M16" i="7"/>
  <c r="M639" i="7"/>
  <c r="G263" i="2" s="1"/>
  <c r="H263" i="2" s="1"/>
  <c r="M574" i="7"/>
  <c r="BA18" i="75" s="1"/>
  <c r="BB18" i="75" s="1"/>
  <c r="M650" i="7"/>
  <c r="M254" i="7"/>
  <c r="M383" i="7"/>
  <c r="M793" i="7"/>
  <c r="M579" i="7"/>
  <c r="M416" i="7"/>
  <c r="M928" i="7"/>
  <c r="M522" i="7"/>
  <c r="M643" i="7"/>
  <c r="M438" i="7"/>
  <c r="M658" i="7"/>
  <c r="G282" i="2" s="1"/>
  <c r="H282" i="2" s="1"/>
  <c r="M338" i="7"/>
  <c r="M168" i="7"/>
  <c r="M399" i="7"/>
  <c r="M823" i="7"/>
  <c r="M933" i="7"/>
  <c r="M434" i="7"/>
  <c r="M42" i="7"/>
  <c r="M946" i="7"/>
  <c r="M365" i="7"/>
  <c r="M596" i="7"/>
  <c r="BA98" i="87" s="1"/>
  <c r="BB98" i="87" s="1"/>
  <c r="M855" i="7"/>
  <c r="M959" i="7"/>
  <c r="M336" i="7"/>
  <c r="M963" i="7"/>
  <c r="M401" i="7"/>
  <c r="M976" i="7"/>
  <c r="M582" i="7"/>
  <c r="BJ145" i="87" s="1"/>
  <c r="BK145" i="87" s="1"/>
  <c r="M805" i="7"/>
  <c r="M531" i="7"/>
  <c r="M496" i="7"/>
  <c r="M194" i="7"/>
  <c r="M904" i="7"/>
  <c r="M501" i="7"/>
  <c r="M156" i="7"/>
  <c r="M902" i="7"/>
  <c r="M359" i="7"/>
  <c r="M493" i="7"/>
  <c r="M628" i="7"/>
  <c r="BJ45" i="67" s="1"/>
  <c r="BK45" i="67" s="1"/>
  <c r="M486" i="7"/>
  <c r="M709" i="7"/>
  <c r="BA73" i="86" s="1"/>
  <c r="BB73" i="86" s="1"/>
  <c r="M547" i="7"/>
  <c r="M840" i="7"/>
  <c r="M967" i="7"/>
  <c r="M376" i="7"/>
  <c r="M412" i="7"/>
  <c r="M237" i="7"/>
  <c r="M267" i="7"/>
  <c r="M75" i="7"/>
  <c r="M746" i="7"/>
  <c r="M411" i="7"/>
  <c r="M318" i="7"/>
  <c r="M717" i="7"/>
  <c r="BJ120" i="85" s="1"/>
  <c r="BK120" i="85" s="1"/>
  <c r="M1020" i="7"/>
  <c r="M335" i="7"/>
  <c r="M1017" i="7"/>
  <c r="M775" i="7"/>
  <c r="M494" i="7"/>
  <c r="M583" i="7"/>
  <c r="G226" i="2" s="1"/>
  <c r="H226" i="2" s="1"/>
  <c r="M68" i="7"/>
  <c r="M806" i="7"/>
  <c r="M112" i="7"/>
  <c r="M660" i="7"/>
  <c r="G284" i="2" s="1"/>
  <c r="H284" i="2" s="1"/>
  <c r="M510" i="7"/>
  <c r="M475" i="7"/>
  <c r="M132" i="7"/>
  <c r="M771" i="7"/>
  <c r="M550" i="7"/>
  <c r="M1029" i="7"/>
  <c r="M799" i="7"/>
  <c r="M1001" i="7"/>
  <c r="M90" i="7"/>
  <c r="M217" i="7"/>
  <c r="M260" i="7"/>
  <c r="M768" i="7"/>
  <c r="M635" i="7"/>
  <c r="BJ39" i="68" s="1"/>
  <c r="BK39" i="68" s="1"/>
  <c r="M256" i="7"/>
  <c r="M924" i="7"/>
  <c r="M948" i="7"/>
  <c r="M484" i="7"/>
  <c r="M972" i="7"/>
  <c r="M432" i="7"/>
  <c r="M274" i="7"/>
  <c r="M603" i="7"/>
  <c r="M446" i="7"/>
  <c r="M687" i="7"/>
  <c r="BA61" i="70" s="1"/>
  <c r="BB61" i="70" s="1"/>
  <c r="M213" i="7"/>
  <c r="M821" i="7"/>
  <c r="M997" i="7"/>
  <c r="M79" i="7"/>
  <c r="M544" i="7"/>
  <c r="M545" i="7"/>
  <c r="M461" i="7"/>
  <c r="M753" i="7"/>
  <c r="M1023" i="7"/>
  <c r="M230" i="7"/>
  <c r="M667" i="7"/>
  <c r="M406" i="7"/>
  <c r="M965" i="7"/>
  <c r="M710" i="7"/>
  <c r="BA74" i="85" s="1"/>
  <c r="BB74" i="85" s="1"/>
  <c r="M838" i="7"/>
  <c r="M65" i="7"/>
  <c r="M161" i="7"/>
  <c r="M845" i="7"/>
  <c r="M787" i="7"/>
  <c r="M724" i="7"/>
  <c r="BJ127" i="87" s="1"/>
  <c r="BK127" i="87" s="1"/>
  <c r="M631" i="7"/>
  <c r="BJ31" i="82" s="1"/>
  <c r="BK31" i="82" s="1"/>
  <c r="M40" i="7"/>
  <c r="M293" i="7"/>
  <c r="M585" i="7"/>
  <c r="M150" i="7"/>
  <c r="M679" i="7"/>
  <c r="M877" i="7"/>
  <c r="M847" i="7"/>
  <c r="M253" i="7"/>
  <c r="M828" i="7"/>
  <c r="M339" i="7"/>
  <c r="M385" i="7"/>
  <c r="M1047" i="7"/>
  <c r="M1046" i="7"/>
  <c r="M325" i="7"/>
  <c r="M944" i="7"/>
  <c r="M930" i="7"/>
  <c r="M914" i="7"/>
  <c r="M33" i="7"/>
  <c r="M1021" i="7"/>
  <c r="M122" i="7"/>
  <c r="M482" i="7"/>
  <c r="M259" i="7"/>
  <c r="M1030" i="7"/>
  <c r="M542" i="7"/>
  <c r="M1045" i="7"/>
  <c r="M145" i="7"/>
  <c r="M444" i="7"/>
  <c r="M674" i="7"/>
  <c r="BJ79" i="73" s="1"/>
  <c r="BK79" i="73" s="1"/>
  <c r="M155" i="7"/>
  <c r="M529" i="7"/>
  <c r="M549" i="7"/>
  <c r="M637" i="7"/>
  <c r="M755" i="7"/>
  <c r="M154" i="7"/>
  <c r="M195" i="7"/>
  <c r="M968" i="7"/>
  <c r="M995" i="7"/>
  <c r="M695" i="7"/>
  <c r="M199" i="7"/>
  <c r="M268" i="7"/>
  <c r="M73" i="7"/>
  <c r="M334" i="7"/>
  <c r="M905" i="7"/>
  <c r="M907" i="7"/>
  <c r="M527" i="7"/>
  <c r="M725" i="7"/>
  <c r="BJ59" i="77" s="1"/>
  <c r="BK59" i="77" s="1"/>
  <c r="M305" i="7"/>
  <c r="M363" i="7"/>
  <c r="M424" i="7"/>
  <c r="M80" i="7"/>
  <c r="M600" i="7"/>
  <c r="M943" i="7"/>
  <c r="M345" i="7"/>
  <c r="M23" i="7"/>
  <c r="M297" i="7"/>
  <c r="M999" i="7"/>
  <c r="M800" i="7"/>
  <c r="M386" i="7"/>
  <c r="M96" i="7"/>
  <c r="M820" i="7"/>
  <c r="M970" i="7"/>
  <c r="M566" i="7"/>
  <c r="M159" i="7"/>
  <c r="M149" i="7"/>
  <c r="M1034" i="7"/>
  <c r="M987" i="7"/>
  <c r="M858" i="7"/>
  <c r="M747" i="7"/>
  <c r="M81" i="7"/>
  <c r="M135" i="7"/>
  <c r="M797" i="7"/>
  <c r="M957" i="7"/>
  <c r="M58" i="7"/>
  <c r="M101" i="7"/>
  <c r="M370" i="7"/>
  <c r="M258" i="7"/>
  <c r="M179" i="7"/>
  <c r="M169" i="7"/>
  <c r="M988" i="7"/>
  <c r="M462" i="7"/>
  <c r="BJ38" i="87" s="1"/>
  <c r="BK38" i="87" s="1"/>
  <c r="M897" i="7"/>
  <c r="M140" i="7"/>
  <c r="M950" i="7"/>
  <c r="M938" i="7"/>
  <c r="M147" i="7"/>
  <c r="M276" i="7"/>
  <c r="M941" i="7"/>
  <c r="M659" i="7"/>
  <c r="M749" i="7"/>
  <c r="M310" i="7"/>
  <c r="M590" i="7"/>
  <c r="M364" i="7"/>
  <c r="M892" i="7"/>
  <c r="M795" i="7"/>
  <c r="M495" i="7"/>
  <c r="M825" i="7"/>
  <c r="M561" i="7"/>
  <c r="M182" i="7"/>
  <c r="M481" i="7"/>
  <c r="M290" i="7"/>
  <c r="M515" i="7"/>
  <c r="M119" i="7"/>
  <c r="M782" i="7"/>
  <c r="M939" i="7"/>
  <c r="M309" i="7"/>
  <c r="M878" i="7"/>
  <c r="M508" i="7"/>
  <c r="M346" i="7"/>
  <c r="M744" i="7"/>
  <c r="M723" i="7"/>
  <c r="BJ126" i="85" s="1"/>
  <c r="BK126" i="85" s="1"/>
  <c r="M716" i="7"/>
  <c r="BA80" i="87" s="1"/>
  <c r="BB80" i="87" s="1"/>
  <c r="M451" i="7"/>
  <c r="M97" i="7"/>
  <c r="M27" i="7"/>
  <c r="M469" i="7"/>
  <c r="M528" i="7"/>
  <c r="M868" i="7"/>
  <c r="M736" i="7"/>
  <c r="M414" i="7"/>
  <c r="M311" i="7"/>
  <c r="M220" i="7"/>
  <c r="M837" i="7"/>
  <c r="M974" i="7"/>
  <c r="M457" i="7"/>
  <c r="M467" i="7"/>
  <c r="M586" i="7"/>
  <c r="M689" i="7"/>
  <c r="BJ86" i="71" s="1"/>
  <c r="BK86" i="71" s="1"/>
  <c r="M533" i="7"/>
  <c r="M832" i="7"/>
  <c r="M384" i="7"/>
  <c r="M670" i="7"/>
  <c r="BA56" i="83" s="1"/>
  <c r="BB56" i="83" s="1"/>
  <c r="M514" i="7"/>
  <c r="M618" i="7"/>
  <c r="M203" i="7"/>
  <c r="M882" i="7"/>
  <c r="M713" i="7"/>
  <c r="BA77" i="87" s="1"/>
  <c r="BB77" i="87" s="1"/>
  <c r="M396" i="7"/>
  <c r="M772" i="7"/>
  <c r="M455" i="7"/>
  <c r="M1031" i="7"/>
  <c r="M1051" i="7"/>
  <c r="BA114" i="87" s="1"/>
  <c r="BB114" i="87" s="1"/>
  <c r="M1009" i="7"/>
  <c r="M56" i="7"/>
  <c r="M202" i="7"/>
  <c r="M536" i="7"/>
  <c r="M1037" i="7"/>
  <c r="M196" i="7"/>
  <c r="M216" i="7"/>
  <c r="M692" i="7"/>
  <c r="BJ89" i="67" s="1"/>
  <c r="BK89" i="67" s="1"/>
  <c r="M456" i="7"/>
  <c r="M700" i="7"/>
  <c r="M178" i="7"/>
  <c r="M324" i="7"/>
  <c r="M137" i="7"/>
  <c r="M884" i="7"/>
  <c r="M509" i="7"/>
  <c r="M511" i="7"/>
  <c r="M981" i="7"/>
  <c r="M115" i="7"/>
  <c r="M998" i="7"/>
  <c r="M537" i="7"/>
  <c r="M184" i="7"/>
  <c r="M893" i="7"/>
  <c r="M707" i="7"/>
  <c r="BA71" i="83" s="1"/>
  <c r="BB71" i="83" s="1"/>
  <c r="M22" i="7"/>
  <c r="M668" i="7"/>
  <c r="G292" i="2" s="1"/>
  <c r="H292" i="2" s="1"/>
  <c r="M427" i="7"/>
  <c r="M229" i="7"/>
  <c r="M266" i="7"/>
  <c r="M303" i="7"/>
  <c r="M26" i="7"/>
  <c r="M491" i="7"/>
  <c r="M109" i="7"/>
  <c r="M813" i="7"/>
  <c r="M852" i="7"/>
  <c r="M578" i="7"/>
  <c r="M489" i="7"/>
  <c r="M917" i="7"/>
  <c r="M186" i="7"/>
  <c r="M792" i="7"/>
  <c r="M770" i="7"/>
  <c r="M662" i="7"/>
  <c r="BA52" i="83" s="1"/>
  <c r="BB52" i="83" s="1"/>
  <c r="M17" i="7"/>
  <c r="M900" i="7"/>
  <c r="M731" i="7"/>
  <c r="BJ120" i="1" s="1"/>
  <c r="BK120" i="1" s="1"/>
  <c r="M641" i="7"/>
  <c r="BJ72" i="87" s="1"/>
  <c r="BK72" i="87" s="1"/>
  <c r="M949" i="7"/>
  <c r="M610" i="7"/>
  <c r="M19" i="7"/>
  <c r="M280" i="7"/>
  <c r="M188" i="7"/>
  <c r="M719" i="7"/>
  <c r="BJ122" i="84" s="1"/>
  <c r="BK122" i="84" s="1"/>
  <c r="M1011" i="7"/>
  <c r="M404" i="7"/>
  <c r="M560" i="7"/>
  <c r="M507" i="7"/>
  <c r="M597" i="7"/>
  <c r="M1050" i="7"/>
  <c r="BJ159" i="87" s="1"/>
  <c r="BK159" i="87" s="1"/>
  <c r="M622" i="7"/>
  <c r="BA22" i="82" s="1"/>
  <c r="BB22" i="82" s="1"/>
  <c r="M876" i="7"/>
  <c r="M1049" i="7"/>
  <c r="BJ155" i="85" s="1"/>
  <c r="M362" i="7"/>
  <c r="M471" i="7"/>
  <c r="M283" i="7"/>
  <c r="M888" i="7"/>
  <c r="M139" i="7"/>
  <c r="M705" i="7"/>
  <c r="BA69" i="87" s="1"/>
  <c r="BB69" i="87" s="1"/>
  <c r="M581" i="7"/>
  <c r="BA85" i="74" s="1"/>
  <c r="BB85" i="74" s="1"/>
  <c r="M123" i="7"/>
  <c r="M373" i="7"/>
  <c r="M706" i="7"/>
  <c r="M39" i="7"/>
  <c r="M30" i="7"/>
  <c r="M822" i="7"/>
  <c r="M63" i="7"/>
  <c r="M111" i="7"/>
  <c r="M435" i="7"/>
  <c r="M964" i="7"/>
  <c r="M452" i="7"/>
  <c r="M497" i="7"/>
  <c r="M630" i="7"/>
  <c r="BJ48" i="80" s="1"/>
  <c r="BK48" i="80" s="1"/>
  <c r="M693" i="7"/>
  <c r="BJ104" i="85" s="1"/>
  <c r="BK104" i="85" s="1"/>
  <c r="M117" i="7"/>
  <c r="M51" i="7"/>
  <c r="M277" i="7"/>
  <c r="M473" i="7"/>
  <c r="M252" i="7"/>
  <c r="M886" i="7"/>
  <c r="M1036" i="7"/>
  <c r="M1052" i="7"/>
  <c r="BA110" i="85" s="1"/>
  <c r="M859" i="7"/>
  <c r="M11" i="7"/>
  <c r="M615" i="7"/>
  <c r="BJ54" i="84" s="1"/>
  <c r="BK54" i="84" s="1"/>
  <c r="M166" i="7"/>
  <c r="M973" i="7"/>
  <c r="M174" i="7"/>
  <c r="M321" i="7"/>
  <c r="M387" i="7"/>
  <c r="M835" i="7"/>
  <c r="M439" i="7"/>
  <c r="M62" i="7"/>
  <c r="M841" i="7"/>
  <c r="M301" i="7"/>
  <c r="M1053" i="7"/>
  <c r="BJ159" i="86" s="1"/>
  <c r="BK159" i="86" s="1"/>
  <c r="M415" i="7"/>
  <c r="M124" i="7"/>
  <c r="M657" i="7"/>
  <c r="BJ69" i="66" s="1"/>
  <c r="BK69" i="66" s="1"/>
  <c r="M598" i="7"/>
  <c r="M896" i="7"/>
  <c r="M1007" i="7"/>
  <c r="M28" i="7"/>
  <c r="M664" i="7"/>
  <c r="BJ90" i="83" s="1"/>
  <c r="BK90" i="83" s="1"/>
  <c r="M442" i="7"/>
  <c r="M105" i="7"/>
  <c r="M870" i="7"/>
  <c r="M410" i="7"/>
  <c r="M608" i="7"/>
  <c r="M834" i="7"/>
  <c r="M654" i="7"/>
  <c r="M986" i="7"/>
  <c r="M807" i="7"/>
  <c r="M391" i="7"/>
  <c r="M34" i="7"/>
  <c r="M192" i="7"/>
  <c r="M492" i="7"/>
  <c r="M521" i="7"/>
  <c r="M85" i="7"/>
  <c r="M454" i="7"/>
  <c r="M546" i="7"/>
  <c r="M952" i="7"/>
  <c r="M64" i="7"/>
  <c r="M611" i="7"/>
  <c r="M302" i="7"/>
  <c r="M1044" i="7"/>
  <c r="M87" i="7"/>
  <c r="M564" i="7"/>
  <c r="M417" i="7"/>
  <c r="M476" i="7"/>
  <c r="M330" i="7"/>
  <c r="M794" i="7"/>
  <c r="M541" i="7"/>
  <c r="M82" i="7"/>
  <c r="M264" i="7"/>
  <c r="M980" i="7"/>
  <c r="M573" i="7"/>
  <c r="BA17" i="76" s="1"/>
  <c r="BB17" i="76" s="1"/>
  <c r="M74" i="7"/>
  <c r="M240" i="7"/>
  <c r="M344" i="7"/>
  <c r="M851" i="7"/>
  <c r="M1048" i="7"/>
  <c r="M1033" i="7"/>
  <c r="M880" i="7"/>
  <c r="M591" i="7"/>
  <c r="M556" i="7"/>
  <c r="M538" i="7"/>
  <c r="M278" i="7"/>
  <c r="M857" i="7"/>
  <c r="M773" i="7"/>
  <c r="M244" i="7"/>
  <c r="BJ24" i="71" s="1"/>
  <c r="BK24" i="71" s="1"/>
  <c r="M247" i="7"/>
  <c r="M699" i="7"/>
  <c r="BJ96" i="66" s="1"/>
  <c r="BK96" i="66" s="1"/>
  <c r="M173" i="7"/>
  <c r="M478" i="7"/>
  <c r="M609" i="7"/>
  <c r="BA25" i="66" s="1"/>
  <c r="BB25" i="66" s="1"/>
  <c r="M1035" i="7"/>
  <c r="M352" i="7"/>
  <c r="M626" i="7"/>
  <c r="AV87" i="75"/>
  <c r="B108" i="2"/>
  <c r="B107" i="2"/>
  <c r="M172" i="7"/>
  <c r="M394" i="7"/>
  <c r="G150" i="2" s="1"/>
  <c r="H150" i="2" s="1"/>
  <c r="M242" i="7"/>
  <c r="M224" i="7"/>
  <c r="M206" i="7"/>
  <c r="M171" i="7"/>
  <c r="M180" i="7"/>
  <c r="M395" i="7"/>
  <c r="M243" i="7"/>
  <c r="M207" i="7"/>
  <c r="M163" i="7"/>
  <c r="M209" i="7"/>
  <c r="M191" i="7"/>
  <c r="M227" i="7"/>
  <c r="M189" i="7"/>
  <c r="M225" i="7"/>
  <c r="M226" i="7"/>
  <c r="M208" i="7"/>
  <c r="M190" i="7"/>
  <c r="M181" i="7"/>
  <c r="BJ37" i="66"/>
  <c r="BK37" i="66" s="1"/>
  <c r="BJ37" i="71"/>
  <c r="BK37" i="71" s="1"/>
  <c r="BJ44" i="66"/>
  <c r="BK44" i="66" s="1"/>
  <c r="BJ44" i="71"/>
  <c r="BK44" i="71" s="1"/>
  <c r="BJ107" i="66"/>
  <c r="BK107" i="66" s="1"/>
  <c r="BJ107" i="71"/>
  <c r="BK107" i="71" s="1"/>
  <c r="BJ86" i="66"/>
  <c r="BK86" i="66" s="1"/>
  <c r="BA42" i="71"/>
  <c r="BB42" i="71" s="1"/>
  <c r="BA42" i="66"/>
  <c r="BB42" i="66" s="1"/>
  <c r="BJ85" i="71"/>
  <c r="BK85" i="71" s="1"/>
  <c r="BJ85" i="66"/>
  <c r="BK85" i="66" s="1"/>
  <c r="BA54" i="71"/>
  <c r="BB54" i="71" s="1"/>
  <c r="BA54" i="66"/>
  <c r="BB54" i="66" s="1"/>
  <c r="AW51" i="69"/>
  <c r="AV63" i="67"/>
  <c r="AW63" i="71"/>
  <c r="BE93" i="75"/>
  <c r="BF119" i="1"/>
  <c r="BF65" i="71"/>
  <c r="AV51" i="75"/>
  <c r="BE65" i="1"/>
  <c r="BE119" i="71"/>
  <c r="BF89" i="1"/>
  <c r="BE94" i="68"/>
  <c r="BF87" i="1"/>
  <c r="BF67" i="81"/>
  <c r="BE40" i="71"/>
  <c r="AV120" i="66"/>
  <c r="AV55" i="67"/>
  <c r="AW92" i="74"/>
  <c r="AW104" i="69"/>
  <c r="BE67" i="75"/>
  <c r="AV14" i="82"/>
  <c r="BE119" i="73"/>
  <c r="BE119" i="70"/>
  <c r="BF115" i="75"/>
  <c r="AV87" i="74"/>
  <c r="BF68" i="68"/>
  <c r="AV44" i="78"/>
  <c r="BF80" i="75"/>
  <c r="AW35" i="77"/>
  <c r="BF102" i="74"/>
  <c r="BE66" i="80"/>
  <c r="BF51" i="69"/>
  <c r="BF80" i="69"/>
  <c r="BE43" i="76"/>
  <c r="BE58" i="78"/>
  <c r="BF93" i="74"/>
  <c r="AV60" i="76"/>
  <c r="BE64" i="71"/>
  <c r="BF88" i="74"/>
  <c r="BE136" i="74"/>
  <c r="BF29" i="77"/>
  <c r="AW74" i="67"/>
  <c r="BE81" i="68"/>
  <c r="AW16" i="76"/>
  <c r="BF40" i="70"/>
  <c r="AV54" i="70"/>
  <c r="BE129" i="67"/>
  <c r="BF100" i="1"/>
  <c r="BF137" i="74"/>
  <c r="BE99" i="1"/>
  <c r="BF87" i="70"/>
  <c r="BF65" i="82"/>
  <c r="AV54" i="74"/>
  <c r="BE48" i="82"/>
  <c r="BF89" i="67"/>
  <c r="BE65" i="74"/>
  <c r="AU93" i="73"/>
  <c r="BH128" i="71"/>
  <c r="AY48" i="71"/>
  <c r="BF58" i="80"/>
  <c r="BE99" i="78"/>
  <c r="BF89" i="78"/>
  <c r="AW74" i="66"/>
  <c r="BF119" i="66"/>
  <c r="BF71" i="80"/>
  <c r="BE64" i="76"/>
  <c r="AV88" i="74"/>
  <c r="AV85" i="75"/>
  <c r="AV85" i="74"/>
  <c r="BF65" i="73"/>
  <c r="BE78" i="78"/>
  <c r="BF44" i="68"/>
  <c r="AV89" i="74"/>
  <c r="AW86" i="74"/>
  <c r="BF89" i="73"/>
  <c r="BE130" i="74"/>
  <c r="BF40" i="82"/>
  <c r="BE132" i="74"/>
  <c r="BF57" i="71"/>
  <c r="BE119" i="67"/>
  <c r="BH135" i="71"/>
  <c r="AR87" i="71"/>
  <c r="BE117" i="71"/>
  <c r="BE89" i="71"/>
  <c r="BE133" i="74"/>
  <c r="BF131" i="74"/>
  <c r="BF79" i="1"/>
  <c r="AW42" i="80"/>
  <c r="AW64" i="68"/>
  <c r="AV64" i="68"/>
  <c r="AV16" i="69"/>
  <c r="BF75" i="76"/>
  <c r="BH129" i="66"/>
  <c r="BE57" i="66"/>
  <c r="AW63" i="66"/>
  <c r="BE88" i="66"/>
  <c r="BE130" i="66"/>
  <c r="BF65" i="66"/>
  <c r="B91" i="2"/>
  <c r="B92" i="2"/>
  <c r="BF34" i="77"/>
  <c r="BE34" i="77"/>
  <c r="AW54" i="73"/>
  <c r="AV54" i="73"/>
  <c r="B81" i="2"/>
  <c r="B89" i="2"/>
  <c r="BE38" i="82"/>
  <c r="L150" i="2"/>
  <c r="C150" i="2"/>
  <c r="K150" i="2"/>
  <c r="D150" i="2"/>
  <c r="BF102" i="67"/>
  <c r="BE102" i="67"/>
  <c r="AW58" i="74"/>
  <c r="BF110" i="75"/>
  <c r="BF128" i="67"/>
  <c r="BE128" i="67"/>
  <c r="BF128" i="1"/>
  <c r="BE128" i="1"/>
  <c r="AV103" i="68"/>
  <c r="AW103" i="68"/>
  <c r="BF60" i="76"/>
  <c r="BF45" i="70"/>
  <c r="BE130" i="71"/>
  <c r="AW55" i="71"/>
  <c r="BF73" i="77"/>
  <c r="BE73" i="77"/>
  <c r="AW140" i="74"/>
  <c r="AV140" i="74"/>
  <c r="AW36" i="74"/>
  <c r="BF109" i="75"/>
  <c r="AV51" i="1"/>
  <c r="BF102" i="66"/>
  <c r="AV90" i="80"/>
  <c r="AW146" i="83"/>
  <c r="AV146" i="83"/>
  <c r="BF132" i="84"/>
  <c r="BE132" i="84"/>
  <c r="AW70" i="84"/>
  <c r="AV70" i="84"/>
  <c r="BF105" i="87"/>
  <c r="BE105" i="87"/>
  <c r="BF104" i="84"/>
  <c r="BE104" i="84"/>
  <c r="BF145" i="85"/>
  <c r="BE145" i="85"/>
  <c r="AW144" i="83"/>
  <c r="AV144" i="83"/>
  <c r="BF130" i="84"/>
  <c r="BE130" i="84"/>
  <c r="AW69" i="84"/>
  <c r="AV69" i="84"/>
  <c r="BE103" i="86"/>
  <c r="BF103" i="86"/>
  <c r="AW143" i="83"/>
  <c r="AV143" i="83"/>
  <c r="BF129" i="84"/>
  <c r="BE129" i="84"/>
  <c r="BE114" i="85"/>
  <c r="BF114" i="85"/>
  <c r="AV60" i="87"/>
  <c r="AW60" i="87"/>
  <c r="BF128" i="84"/>
  <c r="BE128" i="84"/>
  <c r="BE113" i="85"/>
  <c r="BF113" i="85"/>
  <c r="BE96" i="86"/>
  <c r="BF96" i="86"/>
  <c r="BF39" i="83"/>
  <c r="BE39" i="83"/>
  <c r="BF112" i="84"/>
  <c r="BE112" i="84"/>
  <c r="BE95" i="84"/>
  <c r="BF95" i="84"/>
  <c r="BE89" i="85"/>
  <c r="BF89" i="85"/>
  <c r="AW76" i="86"/>
  <c r="AV76" i="86"/>
  <c r="BE99" i="86"/>
  <c r="BF99" i="86"/>
  <c r="AV52" i="87"/>
  <c r="AW52" i="87"/>
  <c r="AW75" i="84"/>
  <c r="AV75" i="84"/>
  <c r="AW67" i="85"/>
  <c r="AV67" i="85"/>
  <c r="BF87" i="84"/>
  <c r="BE87" i="84"/>
  <c r="AV82" i="84"/>
  <c r="AW82" i="84"/>
  <c r="BE124" i="86"/>
  <c r="BF124" i="86"/>
  <c r="AV66" i="84"/>
  <c r="AW66" i="84"/>
  <c r="BF86" i="84"/>
  <c r="BE86" i="84"/>
  <c r="BF135" i="86"/>
  <c r="BE135" i="86"/>
  <c r="AV58" i="83"/>
  <c r="AW58" i="83"/>
  <c r="AW73" i="84"/>
  <c r="AV73" i="84"/>
  <c r="AW64" i="85"/>
  <c r="AV64" i="85"/>
  <c r="BF161" i="87"/>
  <c r="BE161" i="87"/>
  <c r="BF122" i="84"/>
  <c r="BE122" i="84"/>
  <c r="AW71" i="86"/>
  <c r="AV71" i="86"/>
  <c r="BF153" i="83"/>
  <c r="BE153" i="83"/>
  <c r="BE132" i="86"/>
  <c r="BF132" i="86"/>
  <c r="BE117" i="84"/>
  <c r="BF117" i="84"/>
  <c r="AV62" i="83"/>
  <c r="AW62" i="83"/>
  <c r="AW145" i="83"/>
  <c r="AV145" i="83"/>
  <c r="BF131" i="83"/>
  <c r="BE131" i="83"/>
  <c r="BF104" i="85"/>
  <c r="BE104" i="85"/>
  <c r="BE145" i="86"/>
  <c r="BF145" i="86"/>
  <c r="BF151" i="83"/>
  <c r="BE151" i="83"/>
  <c r="BF130" i="87"/>
  <c r="BE130" i="87"/>
  <c r="BF116" i="87"/>
  <c r="BE116" i="87"/>
  <c r="BE150" i="83"/>
  <c r="BF150" i="83"/>
  <c r="BE129" i="85"/>
  <c r="BF129" i="85"/>
  <c r="BF114" i="87"/>
  <c r="BE114" i="87"/>
  <c r="AW142" i="83"/>
  <c r="AV142" i="83"/>
  <c r="BE128" i="86"/>
  <c r="BF128" i="86"/>
  <c r="BF113" i="87"/>
  <c r="BE113" i="87"/>
  <c r="BE90" i="83"/>
  <c r="BF90" i="83"/>
  <c r="BF39" i="84"/>
  <c r="BE39" i="84"/>
  <c r="BF127" i="83"/>
  <c r="BE127" i="83"/>
  <c r="BF112" i="85"/>
  <c r="BE112" i="85"/>
  <c r="BE95" i="87"/>
  <c r="BF95" i="87"/>
  <c r="BE89" i="86"/>
  <c r="BF89" i="86"/>
  <c r="AV76" i="87"/>
  <c r="AW76" i="87"/>
  <c r="BF94" i="83"/>
  <c r="BE94" i="83"/>
  <c r="BF88" i="85"/>
  <c r="BE88" i="85"/>
  <c r="AV75" i="85"/>
  <c r="AW75" i="85"/>
  <c r="AW67" i="86"/>
  <c r="AV67" i="86"/>
  <c r="AV51" i="84"/>
  <c r="AW51" i="84"/>
  <c r="BE137" i="84"/>
  <c r="BF137" i="84"/>
  <c r="AW74" i="83"/>
  <c r="AV74" i="83"/>
  <c r="AW66" i="86"/>
  <c r="AV66" i="86"/>
  <c r="AV50" i="85"/>
  <c r="AW50" i="85"/>
  <c r="BE135" i="87"/>
  <c r="BF135" i="87"/>
  <c r="AV58" i="84"/>
  <c r="AW58" i="84"/>
  <c r="BE134" i="83"/>
  <c r="BF134" i="83"/>
  <c r="AV73" i="85"/>
  <c r="AW73" i="85"/>
  <c r="AW64" i="86"/>
  <c r="AV64" i="86"/>
  <c r="BE158" i="86"/>
  <c r="BF158" i="86"/>
  <c r="BE122" i="86"/>
  <c r="BF122" i="86"/>
  <c r="AW71" i="87"/>
  <c r="AV71" i="87"/>
  <c r="AW56" i="83"/>
  <c r="AV56" i="83"/>
  <c r="BF153" i="84"/>
  <c r="BE153" i="84"/>
  <c r="BF132" i="87"/>
  <c r="BE132" i="87"/>
  <c r="AW70" i="85"/>
  <c r="AV70" i="85"/>
  <c r="AW62" i="84"/>
  <c r="AV62" i="84"/>
  <c r="BF152" i="83"/>
  <c r="BE152" i="83"/>
  <c r="BE131" i="84"/>
  <c r="BF131" i="84"/>
  <c r="BF104" i="87"/>
  <c r="BE104" i="87"/>
  <c r="AW144" i="84"/>
  <c r="AV144" i="84"/>
  <c r="BE130" i="86"/>
  <c r="BF130" i="86"/>
  <c r="BE116" i="86"/>
  <c r="BF116" i="86"/>
  <c r="AV61" i="83"/>
  <c r="AW61" i="83"/>
  <c r="AV143" i="84"/>
  <c r="AW143" i="84"/>
  <c r="BF129" i="86"/>
  <c r="BE129" i="86"/>
  <c r="BF149" i="83"/>
  <c r="BE149" i="83"/>
  <c r="BF128" i="87"/>
  <c r="BE128" i="87"/>
  <c r="BF113" i="86"/>
  <c r="BE113" i="86"/>
  <c r="AW54" i="83"/>
  <c r="AV54" i="83"/>
  <c r="BF39" i="85"/>
  <c r="BE39" i="85"/>
  <c r="BF127" i="84"/>
  <c r="BE127" i="84"/>
  <c r="BE112" i="87"/>
  <c r="BF112" i="87"/>
  <c r="BF95" i="86"/>
  <c r="BE95" i="86"/>
  <c r="BF111" i="83"/>
  <c r="BE111" i="83"/>
  <c r="BE94" i="84"/>
  <c r="BF94" i="84"/>
  <c r="BE88" i="86"/>
  <c r="BF88" i="86"/>
  <c r="AW75" i="86"/>
  <c r="AV75" i="86"/>
  <c r="AW67" i="87"/>
  <c r="AV67" i="87"/>
  <c r="BF87" i="86"/>
  <c r="BE87" i="86"/>
  <c r="AV82" i="85"/>
  <c r="AW82" i="85"/>
  <c r="AW74" i="84"/>
  <c r="AV74" i="84"/>
  <c r="AV66" i="87"/>
  <c r="AW66" i="87"/>
  <c r="AV50" i="86"/>
  <c r="AW50" i="86"/>
  <c r="BE108" i="83"/>
  <c r="BF108" i="83"/>
  <c r="AW58" i="85"/>
  <c r="AV58" i="85"/>
  <c r="BF134" i="84"/>
  <c r="BE134" i="84"/>
  <c r="AW73" i="86"/>
  <c r="AV73" i="86"/>
  <c r="AW64" i="87"/>
  <c r="AV64" i="87"/>
  <c r="BF158" i="85"/>
  <c r="BE158" i="85"/>
  <c r="BE122" i="87"/>
  <c r="BF122" i="87"/>
  <c r="BF106" i="83"/>
  <c r="BE106" i="83"/>
  <c r="AW56" i="84"/>
  <c r="AV56" i="84"/>
  <c r="AV146" i="84"/>
  <c r="AW146" i="84"/>
  <c r="BE132" i="85"/>
  <c r="BF132" i="85"/>
  <c r="BF117" i="85"/>
  <c r="BE117" i="85"/>
  <c r="AV62" i="87"/>
  <c r="AW62" i="87"/>
  <c r="BF152" i="84"/>
  <c r="BE152" i="84"/>
  <c r="BF131" i="86"/>
  <c r="BE131" i="86"/>
  <c r="BE104" i="86"/>
  <c r="BF104" i="86"/>
  <c r="AW107" i="85"/>
  <c r="AV107" i="85"/>
  <c r="BE151" i="84"/>
  <c r="BF151" i="84"/>
  <c r="BF130" i="85"/>
  <c r="BE130" i="85"/>
  <c r="AV69" i="85"/>
  <c r="AW69" i="85"/>
  <c r="AW61" i="84"/>
  <c r="AV61" i="84"/>
  <c r="BE150" i="84"/>
  <c r="BF150" i="84"/>
  <c r="BE129" i="87"/>
  <c r="BF129" i="87"/>
  <c r="BE102" i="83"/>
  <c r="BF102" i="83"/>
  <c r="AW142" i="84"/>
  <c r="AV142" i="84"/>
  <c r="BF128" i="85"/>
  <c r="BE128" i="85"/>
  <c r="BF101" i="83"/>
  <c r="BE101" i="83"/>
  <c r="BF90" i="84"/>
  <c r="BE90" i="84"/>
  <c r="BE39" i="86"/>
  <c r="BF39" i="86"/>
  <c r="BE127" i="87"/>
  <c r="BF127" i="87"/>
  <c r="BF112" i="86"/>
  <c r="BE112" i="86"/>
  <c r="BE95" i="85"/>
  <c r="BF95" i="85"/>
  <c r="BE111" i="84"/>
  <c r="BF111" i="84"/>
  <c r="BE94" i="87"/>
  <c r="BF94" i="87"/>
  <c r="BF88" i="87"/>
  <c r="BE88" i="87"/>
  <c r="AW75" i="87"/>
  <c r="AV75" i="87"/>
  <c r="BE87" i="87"/>
  <c r="BF87" i="87"/>
  <c r="AV82" i="86"/>
  <c r="AW82" i="86"/>
  <c r="AW74" i="86"/>
  <c r="AV74" i="86"/>
  <c r="AV66" i="85"/>
  <c r="AW66" i="85"/>
  <c r="BE86" i="85"/>
  <c r="BF86" i="85"/>
  <c r="BF108" i="84"/>
  <c r="BE108" i="84"/>
  <c r="AV58" i="86"/>
  <c r="AW58" i="86"/>
  <c r="BF134" i="87"/>
  <c r="BE134" i="87"/>
  <c r="AW73" i="87"/>
  <c r="AV73" i="87"/>
  <c r="AV115" i="87"/>
  <c r="AW115" i="87"/>
  <c r="BF122" i="85"/>
  <c r="BE122" i="85"/>
  <c r="BE106" i="84"/>
  <c r="BF106" i="84"/>
  <c r="AW56" i="85"/>
  <c r="AV56" i="85"/>
  <c r="AW151" i="87"/>
  <c r="AV151" i="87"/>
  <c r="AW70" i="86"/>
  <c r="AV70" i="86"/>
  <c r="AV62" i="85"/>
  <c r="AW62" i="85"/>
  <c r="AW145" i="84"/>
  <c r="AV145" i="84"/>
  <c r="BF131" i="87"/>
  <c r="BE131" i="87"/>
  <c r="AW112" i="87"/>
  <c r="AV112" i="87"/>
  <c r="AW144" i="86"/>
  <c r="AV144" i="86"/>
  <c r="AV80" i="83"/>
  <c r="AW80" i="83"/>
  <c r="BE116" i="85"/>
  <c r="BF116" i="85"/>
  <c r="AV61" i="87"/>
  <c r="AW61" i="87"/>
  <c r="AW143" i="85"/>
  <c r="AV143" i="85"/>
  <c r="AW79" i="83"/>
  <c r="AV79" i="83"/>
  <c r="BF102" i="84"/>
  <c r="BE102" i="84"/>
  <c r="BF149" i="84"/>
  <c r="BE149" i="84"/>
  <c r="BE101" i="84"/>
  <c r="BF101" i="84"/>
  <c r="AW54" i="84"/>
  <c r="AV54" i="84"/>
  <c r="BF39" i="87"/>
  <c r="BE39" i="87"/>
  <c r="BF127" i="86"/>
  <c r="BE127" i="86"/>
  <c r="AW53" i="83"/>
  <c r="AV53" i="83"/>
  <c r="BE126" i="83"/>
  <c r="BF126" i="83"/>
  <c r="BF111" i="85"/>
  <c r="BE111" i="85"/>
  <c r="BE94" i="85"/>
  <c r="BF94" i="85"/>
  <c r="BE110" i="83"/>
  <c r="BF110" i="83"/>
  <c r="BE93" i="83"/>
  <c r="BF93" i="83"/>
  <c r="BF87" i="85"/>
  <c r="BE87" i="85"/>
  <c r="AW82" i="87"/>
  <c r="AV82" i="87"/>
  <c r="AW74" i="85"/>
  <c r="AV74" i="85"/>
  <c r="BF92" i="83"/>
  <c r="BE92" i="83"/>
  <c r="BF86" i="86"/>
  <c r="BE86" i="86"/>
  <c r="BF108" i="85"/>
  <c r="BE108" i="85"/>
  <c r="AW58" i="87"/>
  <c r="AV58" i="87"/>
  <c r="BE134" i="86"/>
  <c r="BF134" i="86"/>
  <c r="BF107" i="83"/>
  <c r="BE107" i="83"/>
  <c r="AW57" i="83"/>
  <c r="AV57" i="83"/>
  <c r="BE118" i="83"/>
  <c r="BF118" i="83"/>
  <c r="BF106" i="85"/>
  <c r="BE106" i="85"/>
  <c r="AV56" i="86"/>
  <c r="AW56" i="86"/>
  <c r="AW146" i="85"/>
  <c r="AV146" i="85"/>
  <c r="BF121" i="83"/>
  <c r="BE121" i="83"/>
  <c r="AV70" i="87"/>
  <c r="AW70" i="87"/>
  <c r="AV62" i="86"/>
  <c r="AW62" i="86"/>
  <c r="BF152" i="85"/>
  <c r="BE152" i="85"/>
  <c r="BE131" i="85"/>
  <c r="BF131" i="85"/>
  <c r="BF97" i="83"/>
  <c r="BE97" i="83"/>
  <c r="BF155" i="86"/>
  <c r="BE155" i="86"/>
  <c r="BF151" i="86"/>
  <c r="BE151" i="86"/>
  <c r="AW80" i="84"/>
  <c r="AV80" i="84"/>
  <c r="AV69" i="86"/>
  <c r="AW69" i="86"/>
  <c r="AW61" i="85"/>
  <c r="AV61" i="85"/>
  <c r="BE150" i="85"/>
  <c r="BF150" i="85"/>
  <c r="AV79" i="84"/>
  <c r="AW79" i="84"/>
  <c r="BF102" i="87"/>
  <c r="BE102" i="87"/>
  <c r="AV142" i="85"/>
  <c r="AW142" i="85"/>
  <c r="AW78" i="83"/>
  <c r="AV78" i="83"/>
  <c r="BE101" i="87"/>
  <c r="BF101" i="87"/>
  <c r="BF90" i="87"/>
  <c r="BE90" i="87"/>
  <c r="BE127" i="85"/>
  <c r="BF127" i="85"/>
  <c r="BE100" i="83"/>
  <c r="BF100" i="83"/>
  <c r="BF89" i="83"/>
  <c r="BE89" i="83"/>
  <c r="BF126" i="84"/>
  <c r="BE126" i="84"/>
  <c r="BF111" i="87"/>
  <c r="BE111" i="87"/>
  <c r="BF94" i="86"/>
  <c r="BE94" i="86"/>
  <c r="BF125" i="83"/>
  <c r="BE125" i="83"/>
  <c r="BE110" i="84"/>
  <c r="BF110" i="84"/>
  <c r="BE93" i="84"/>
  <c r="BF93" i="84"/>
  <c r="AW51" i="85"/>
  <c r="AV51" i="85"/>
  <c r="BF137" i="87"/>
  <c r="BE137" i="87"/>
  <c r="AW74" i="87"/>
  <c r="AV74" i="87"/>
  <c r="BF92" i="84"/>
  <c r="BE92" i="84"/>
  <c r="BE86" i="87"/>
  <c r="BF86" i="87"/>
  <c r="BE108" i="86"/>
  <c r="BF108" i="86"/>
  <c r="AW111" i="85"/>
  <c r="AV111" i="85"/>
  <c r="BE134" i="85"/>
  <c r="BF134" i="85"/>
  <c r="BE107" i="84"/>
  <c r="BF107" i="84"/>
  <c r="AW57" i="84"/>
  <c r="AV57" i="84"/>
  <c r="BF133" i="83"/>
  <c r="BE133" i="83"/>
  <c r="AV71" i="83"/>
  <c r="AW71" i="83"/>
  <c r="BF106" i="87"/>
  <c r="BE106" i="87"/>
  <c r="AV56" i="87"/>
  <c r="AW56" i="87"/>
  <c r="BE153" i="85"/>
  <c r="BF153" i="85"/>
  <c r="BE121" i="84"/>
  <c r="BF121" i="84"/>
  <c r="BE117" i="86"/>
  <c r="BF117" i="86"/>
  <c r="BF156" i="85"/>
  <c r="BE156" i="85"/>
  <c r="AW145" i="86"/>
  <c r="AV145" i="86"/>
  <c r="BE120" i="83"/>
  <c r="BF120" i="83"/>
  <c r="BF97" i="84"/>
  <c r="BE97" i="84"/>
  <c r="AW107" i="86"/>
  <c r="AV107" i="86"/>
  <c r="BF151" i="85"/>
  <c r="BE151" i="85"/>
  <c r="AW80" i="85"/>
  <c r="AV80" i="85"/>
  <c r="AW69" i="87"/>
  <c r="AV69" i="87"/>
  <c r="AV61" i="86"/>
  <c r="AW61" i="86"/>
  <c r="AV143" i="86"/>
  <c r="AW143" i="86"/>
  <c r="AV79" i="85"/>
  <c r="AW79" i="85"/>
  <c r="BF102" i="85"/>
  <c r="BE102" i="85"/>
  <c r="AV142" i="86"/>
  <c r="AW142" i="86"/>
  <c r="AW78" i="84"/>
  <c r="AV78" i="84"/>
  <c r="BF101" i="85"/>
  <c r="BE101" i="85"/>
  <c r="BF90" i="85"/>
  <c r="BE90" i="85"/>
  <c r="AV77" i="83"/>
  <c r="AW77" i="83"/>
  <c r="BE100" i="84"/>
  <c r="BF100" i="84"/>
  <c r="AV53" i="84"/>
  <c r="AW53" i="84"/>
  <c r="BE126" i="85"/>
  <c r="BF126" i="85"/>
  <c r="BE111" i="86"/>
  <c r="BF111" i="86"/>
  <c r="AW52" i="83"/>
  <c r="AV52" i="83"/>
  <c r="BF125" i="84"/>
  <c r="BE125" i="84"/>
  <c r="BE110" i="86"/>
  <c r="BF110" i="86"/>
  <c r="BE93" i="87"/>
  <c r="BF93" i="87"/>
  <c r="AV51" i="86"/>
  <c r="AW51" i="86"/>
  <c r="BE137" i="85"/>
  <c r="BF137" i="85"/>
  <c r="BE109" i="83"/>
  <c r="BF109" i="83"/>
  <c r="BF92" i="85"/>
  <c r="BE92" i="85"/>
  <c r="AV50" i="87"/>
  <c r="AW50" i="87"/>
  <c r="BF108" i="87"/>
  <c r="BE108" i="87"/>
  <c r="BE162" i="87"/>
  <c r="BF162" i="87"/>
  <c r="BE123" i="83"/>
  <c r="BF123" i="83"/>
  <c r="BE107" i="86"/>
  <c r="BF107" i="86"/>
  <c r="AW57" i="85"/>
  <c r="AV57" i="85"/>
  <c r="BE133" i="84"/>
  <c r="BF133" i="84"/>
  <c r="AV71" i="84"/>
  <c r="AW71" i="84"/>
  <c r="BE106" i="86"/>
  <c r="BF106" i="86"/>
  <c r="AW109" i="86"/>
  <c r="AV109" i="86"/>
  <c r="AW146" i="86"/>
  <c r="AV146" i="86"/>
  <c r="BE121" i="87"/>
  <c r="BF121" i="87"/>
  <c r="BE117" i="87"/>
  <c r="BF117" i="87"/>
  <c r="AW113" i="87"/>
  <c r="AV113" i="87"/>
  <c r="BF152" i="86"/>
  <c r="BE152" i="86"/>
  <c r="BE120" i="84"/>
  <c r="BF120" i="84"/>
  <c r="BF97" i="87"/>
  <c r="BE97" i="87"/>
  <c r="BF155" i="85"/>
  <c r="BE155" i="85"/>
  <c r="BF154" i="87"/>
  <c r="BE154" i="87"/>
  <c r="AW80" i="86"/>
  <c r="AV80" i="86"/>
  <c r="BF150" i="86"/>
  <c r="BE150" i="86"/>
  <c r="AV79" i="86"/>
  <c r="AW79" i="86"/>
  <c r="BE102" i="86"/>
  <c r="BF102" i="86"/>
  <c r="BF152" i="87"/>
  <c r="BE152" i="87"/>
  <c r="AV78" i="85"/>
  <c r="AW78" i="85"/>
  <c r="BE101" i="86"/>
  <c r="BF101" i="86"/>
  <c r="BE90" i="86"/>
  <c r="BF90" i="86"/>
  <c r="AV77" i="84"/>
  <c r="AW77" i="84"/>
  <c r="BF100" i="87"/>
  <c r="BE100" i="87"/>
  <c r="BE89" i="84"/>
  <c r="BF89" i="84"/>
  <c r="BE126" i="86"/>
  <c r="BF126" i="86"/>
  <c r="BF88" i="83"/>
  <c r="BE88" i="83"/>
  <c r="BE125" i="85"/>
  <c r="BF125" i="85"/>
  <c r="BE110" i="87"/>
  <c r="BF110" i="87"/>
  <c r="BE93" i="85"/>
  <c r="BF93" i="85"/>
  <c r="AV51" i="87"/>
  <c r="AW51" i="87"/>
  <c r="BE137" i="86"/>
  <c r="BF137" i="86"/>
  <c r="BF109" i="84"/>
  <c r="BE109" i="84"/>
  <c r="BF92" i="86"/>
  <c r="BE92" i="86"/>
  <c r="AW65" i="83"/>
  <c r="AV65" i="83"/>
  <c r="AV111" i="86"/>
  <c r="AW111" i="86"/>
  <c r="BF123" i="84"/>
  <c r="BE123" i="84"/>
  <c r="BE107" i="87"/>
  <c r="BF107" i="87"/>
  <c r="AV57" i="86"/>
  <c r="AW57" i="86"/>
  <c r="BE133" i="87"/>
  <c r="BF133" i="87"/>
  <c r="BF118" i="84"/>
  <c r="BE118" i="84"/>
  <c r="AW63" i="83"/>
  <c r="AV63" i="83"/>
  <c r="BE160" i="87"/>
  <c r="BF160" i="87"/>
  <c r="BF156" i="87"/>
  <c r="BE156" i="87"/>
  <c r="BF121" i="86"/>
  <c r="BE121" i="86"/>
  <c r="BF105" i="83"/>
  <c r="BE105" i="83"/>
  <c r="BE156" i="86"/>
  <c r="BF156" i="86"/>
  <c r="AW145" i="85"/>
  <c r="AV145" i="85"/>
  <c r="BE120" i="85"/>
  <c r="BF120" i="85"/>
  <c r="BE97" i="85"/>
  <c r="BF97" i="85"/>
  <c r="BF158" i="87"/>
  <c r="BE158" i="87"/>
  <c r="AV144" i="85"/>
  <c r="AW144" i="85"/>
  <c r="AV80" i="87"/>
  <c r="AW80" i="87"/>
  <c r="BF103" i="83"/>
  <c r="BE103" i="83"/>
  <c r="BE153" i="87"/>
  <c r="BF153" i="87"/>
  <c r="AW79" i="87"/>
  <c r="AV79" i="87"/>
  <c r="AW60" i="83"/>
  <c r="AV60" i="83"/>
  <c r="AV147" i="87"/>
  <c r="AW147" i="87"/>
  <c r="AV78" i="86"/>
  <c r="AW78" i="86"/>
  <c r="BF96" i="83"/>
  <c r="BE96" i="83"/>
  <c r="AW54" i="85"/>
  <c r="AV54" i="85"/>
  <c r="AV77" i="85"/>
  <c r="AW77" i="85"/>
  <c r="BE100" i="85"/>
  <c r="BF100" i="85"/>
  <c r="AW53" i="85"/>
  <c r="AV53" i="85"/>
  <c r="BE126" i="87"/>
  <c r="BF126" i="87"/>
  <c r="BE99" i="83"/>
  <c r="BF99" i="83"/>
  <c r="AV52" i="84"/>
  <c r="AW52" i="84"/>
  <c r="BF125" i="87"/>
  <c r="BE125" i="87"/>
  <c r="BF110" i="85"/>
  <c r="BE110" i="85"/>
  <c r="BF93" i="86"/>
  <c r="BE93" i="86"/>
  <c r="BE124" i="83"/>
  <c r="BF124" i="83"/>
  <c r="BF109" i="85"/>
  <c r="BE109" i="85"/>
  <c r="BE92" i="87"/>
  <c r="BF92" i="87"/>
  <c r="AV65" i="84"/>
  <c r="AW65" i="84"/>
  <c r="BE159" i="85"/>
  <c r="BF159" i="85"/>
  <c r="BE123" i="85"/>
  <c r="BF123" i="85"/>
  <c r="BE107" i="85"/>
  <c r="BF107" i="85"/>
  <c r="AV57" i="87"/>
  <c r="AW57" i="87"/>
  <c r="BF133" i="86"/>
  <c r="BE133" i="86"/>
  <c r="BE118" i="87"/>
  <c r="BF118" i="87"/>
  <c r="AW63" i="84"/>
  <c r="AV63" i="84"/>
  <c r="BF157" i="86"/>
  <c r="BE157" i="86"/>
  <c r="BF153" i="86"/>
  <c r="BE153" i="86"/>
  <c r="BF121" i="85"/>
  <c r="BE121" i="85"/>
  <c r="BE105" i="84"/>
  <c r="BF105" i="84"/>
  <c r="AV108" i="86"/>
  <c r="AW108" i="86"/>
  <c r="BF155" i="87"/>
  <c r="BE155" i="87"/>
  <c r="BE120" i="86"/>
  <c r="BF120" i="86"/>
  <c r="BF97" i="86"/>
  <c r="BE97" i="86"/>
  <c r="AW149" i="87"/>
  <c r="AV149" i="87"/>
  <c r="AW69" i="83"/>
  <c r="AV69" i="83"/>
  <c r="BF103" i="84"/>
  <c r="BE103" i="84"/>
  <c r="AW148" i="87"/>
  <c r="AV148" i="87"/>
  <c r="BE114" i="83"/>
  <c r="BF114" i="83"/>
  <c r="AW60" i="84"/>
  <c r="AV60" i="84"/>
  <c r="BE149" i="85"/>
  <c r="BF149" i="85"/>
  <c r="AW78" i="87"/>
  <c r="AV78" i="87"/>
  <c r="BE96" i="84"/>
  <c r="BF96" i="84"/>
  <c r="AV54" i="86"/>
  <c r="AW54" i="86"/>
  <c r="AV77" i="86"/>
  <c r="AW77" i="86"/>
  <c r="BF100" i="86"/>
  <c r="BE100" i="86"/>
  <c r="AV53" i="86"/>
  <c r="AW53" i="86"/>
  <c r="AW76" i="83"/>
  <c r="AV76" i="83"/>
  <c r="BF99" i="84"/>
  <c r="BE99" i="84"/>
  <c r="BE88" i="84"/>
  <c r="BF88" i="84"/>
  <c r="BF125" i="86"/>
  <c r="BE125" i="86"/>
  <c r="BF124" i="84"/>
  <c r="BE124" i="84"/>
  <c r="BF109" i="86"/>
  <c r="BE109" i="86"/>
  <c r="BE86" i="83"/>
  <c r="BF86" i="83"/>
  <c r="BE135" i="83"/>
  <c r="BF135" i="83"/>
  <c r="AW65" i="86"/>
  <c r="AV65" i="86"/>
  <c r="BF159" i="86"/>
  <c r="BE159" i="86"/>
  <c r="BF123" i="86"/>
  <c r="BE123" i="86"/>
  <c r="BE133" i="85"/>
  <c r="BF133" i="85"/>
  <c r="BE118" i="86"/>
  <c r="BF118" i="86"/>
  <c r="AW63" i="85"/>
  <c r="AV63" i="85"/>
  <c r="AV114" i="87"/>
  <c r="AW114" i="87"/>
  <c r="BF117" i="83"/>
  <c r="BE117" i="83"/>
  <c r="BF105" i="85"/>
  <c r="BE105" i="85"/>
  <c r="AV108" i="85"/>
  <c r="AW108" i="85"/>
  <c r="AW150" i="87"/>
  <c r="AV150" i="87"/>
  <c r="BE120" i="87"/>
  <c r="BF120" i="87"/>
  <c r="BE145" i="83"/>
  <c r="BF145" i="83"/>
  <c r="BF116" i="83"/>
  <c r="BE116" i="83"/>
  <c r="BF103" i="87"/>
  <c r="BE103" i="87"/>
  <c r="BF114" i="84"/>
  <c r="BE114" i="84"/>
  <c r="AV60" i="85"/>
  <c r="AW60" i="85"/>
  <c r="BF149" i="86"/>
  <c r="BE149" i="86"/>
  <c r="BE113" i="83"/>
  <c r="BF113" i="83"/>
  <c r="BF96" i="87"/>
  <c r="BE96" i="87"/>
  <c r="AV54" i="87"/>
  <c r="AW54" i="87"/>
  <c r="AV77" i="87"/>
  <c r="AW77" i="87"/>
  <c r="AV53" i="87"/>
  <c r="AW53" i="87"/>
  <c r="AW76" i="84"/>
  <c r="AV76" i="84"/>
  <c r="BF99" i="87"/>
  <c r="BE99" i="87"/>
  <c r="AW52" i="85"/>
  <c r="AV52" i="85"/>
  <c r="AW67" i="83"/>
  <c r="AV67" i="83"/>
  <c r="AV51" i="83"/>
  <c r="AW51" i="83"/>
  <c r="AV82" i="83"/>
  <c r="AW82" i="83"/>
  <c r="BF124" i="87"/>
  <c r="BE124" i="87"/>
  <c r="BE109" i="87"/>
  <c r="BF109" i="87"/>
  <c r="AW50" i="83"/>
  <c r="AV50" i="83"/>
  <c r="BF135" i="84"/>
  <c r="BE135" i="84"/>
  <c r="AW65" i="87"/>
  <c r="AV65" i="87"/>
  <c r="AW116" i="87"/>
  <c r="AV116" i="87"/>
  <c r="BF123" i="87"/>
  <c r="BE123" i="87"/>
  <c r="AW64" i="83"/>
  <c r="AV64" i="83"/>
  <c r="AW110" i="85"/>
  <c r="AV110" i="85"/>
  <c r="AV71" i="85"/>
  <c r="AW71" i="85"/>
  <c r="AW63" i="86"/>
  <c r="AV63" i="86"/>
  <c r="BF157" i="85"/>
  <c r="BE157" i="85"/>
  <c r="AY104" i="78"/>
  <c r="BH104" i="78" s="1"/>
  <c r="BF132" i="83"/>
  <c r="BE132" i="83"/>
  <c r="AW70" i="83"/>
  <c r="AV70" i="83"/>
  <c r="BE105" i="86"/>
  <c r="BF105" i="86"/>
  <c r="BF159" i="87"/>
  <c r="BE159" i="87"/>
  <c r="BE104" i="83"/>
  <c r="BF104" i="83"/>
  <c r="BE145" i="84"/>
  <c r="BF145" i="84"/>
  <c r="BF130" i="83"/>
  <c r="BE130" i="83"/>
  <c r="BF116" i="84"/>
  <c r="BE116" i="84"/>
  <c r="BF103" i="85"/>
  <c r="BE103" i="85"/>
  <c r="BF129" i="83"/>
  <c r="BE129" i="83"/>
  <c r="BE114" i="86"/>
  <c r="BF114" i="86"/>
  <c r="AV60" i="86"/>
  <c r="AW60" i="86"/>
  <c r="BE128" i="83"/>
  <c r="BF128" i="83"/>
  <c r="BE113" i="84"/>
  <c r="BF113" i="84"/>
  <c r="BE96" i="85"/>
  <c r="BF96" i="85"/>
  <c r="BE112" i="83"/>
  <c r="BF112" i="83"/>
  <c r="BF95" i="83"/>
  <c r="BE95" i="83"/>
  <c r="BF89" i="87"/>
  <c r="BE89" i="87"/>
  <c r="AV76" i="85"/>
  <c r="AW76" i="85"/>
  <c r="BE99" i="85"/>
  <c r="BF99" i="85"/>
  <c r="AV52" i="86"/>
  <c r="AW52" i="86"/>
  <c r="AV75" i="83"/>
  <c r="AW75" i="83"/>
  <c r="AW67" i="84"/>
  <c r="AV67" i="84"/>
  <c r="BE87" i="83"/>
  <c r="BF87" i="83"/>
  <c r="BE137" i="83"/>
  <c r="BF137" i="83"/>
  <c r="BE124" i="85"/>
  <c r="BF124" i="85"/>
  <c r="AV66" i="83"/>
  <c r="AW66" i="83"/>
  <c r="AW50" i="84"/>
  <c r="AV50" i="84"/>
  <c r="BE135" i="85"/>
  <c r="BF135" i="85"/>
  <c r="AW65" i="85"/>
  <c r="AV65" i="85"/>
  <c r="AV73" i="83"/>
  <c r="AW73" i="83"/>
  <c r="AW64" i="84"/>
  <c r="AV64" i="84"/>
  <c r="AW110" i="86"/>
  <c r="AV110" i="86"/>
  <c r="BF122" i="83"/>
  <c r="BE122" i="83"/>
  <c r="BE118" i="85"/>
  <c r="BF118" i="85"/>
  <c r="AV63" i="87"/>
  <c r="AW63" i="87"/>
  <c r="AW109" i="85"/>
  <c r="AV109" i="85"/>
  <c r="BJ28" i="82"/>
  <c r="BK28" i="82" s="1"/>
  <c r="BA18" i="76"/>
  <c r="BB18" i="76" s="1"/>
  <c r="BH139" i="83"/>
  <c r="BH139" i="84"/>
  <c r="BH139" i="86"/>
  <c r="BH139" i="87"/>
  <c r="BH139" i="85"/>
  <c r="BJ28" i="76"/>
  <c r="BK28" i="76" s="1"/>
  <c r="AW4" i="70"/>
  <c r="BI32" i="70" s="1"/>
  <c r="AA76" i="2" s="1"/>
  <c r="AW4" i="85"/>
  <c r="AZ84" i="85" s="1"/>
  <c r="AW4" i="86"/>
  <c r="AZ28" i="86" s="1"/>
  <c r="AW4" i="87"/>
  <c r="AW4" i="84"/>
  <c r="AZ29" i="84" s="1"/>
  <c r="AX79" i="2" s="1"/>
  <c r="AW4" i="83"/>
  <c r="BH141" i="74"/>
  <c r="BF147" i="87"/>
  <c r="BE147" i="87"/>
  <c r="AW91" i="87"/>
  <c r="AV91" i="87"/>
  <c r="BF144" i="87"/>
  <c r="BE144" i="87"/>
  <c r="AW92" i="87"/>
  <c r="AV92" i="87"/>
  <c r="AW97" i="87"/>
  <c r="AV97" i="87"/>
  <c r="BE145" i="87"/>
  <c r="BF145" i="87"/>
  <c r="BF150" i="87"/>
  <c r="BE150" i="87"/>
  <c r="AW93" i="87"/>
  <c r="AV93" i="87"/>
  <c r="AW96" i="87"/>
  <c r="AV96" i="87"/>
  <c r="BF146" i="87"/>
  <c r="BE146" i="87"/>
  <c r="BF149" i="87"/>
  <c r="BE149" i="87"/>
  <c r="AW95" i="87"/>
  <c r="AV95" i="87"/>
  <c r="BF148" i="87"/>
  <c r="BE148" i="87"/>
  <c r="AV94" i="87"/>
  <c r="AW94" i="87"/>
  <c r="K214" i="2"/>
  <c r="BD139" i="85"/>
  <c r="BJ139" i="85" s="1"/>
  <c r="BD139" i="86"/>
  <c r="BJ139" i="86" s="1"/>
  <c r="AU87" i="86"/>
  <c r="BA87" i="86" s="1"/>
  <c r="BB87" i="86" s="1"/>
  <c r="AU87" i="85"/>
  <c r="BA87" i="85" s="1"/>
  <c r="BB87" i="85" s="1"/>
  <c r="AU87" i="87"/>
  <c r="BA87" i="87" s="1"/>
  <c r="BB87" i="87" s="1"/>
  <c r="BD139" i="87"/>
  <c r="AU87" i="84"/>
  <c r="BD139" i="84"/>
  <c r="BA38" i="78"/>
  <c r="BB38" i="78" s="1"/>
  <c r="BA63" i="85"/>
  <c r="BB63" i="85" s="1"/>
  <c r="BA63" i="87"/>
  <c r="BB63" i="87" s="1"/>
  <c r="BA63" i="86"/>
  <c r="BB63" i="86" s="1"/>
  <c r="BA63" i="84"/>
  <c r="BB63" i="84" s="1"/>
  <c r="BA63" i="83"/>
  <c r="BB63" i="83" s="1"/>
  <c r="BA108" i="86"/>
  <c r="BB108" i="86" s="1"/>
  <c r="BJ38" i="86"/>
  <c r="BK38" i="86" s="1"/>
  <c r="BJ38" i="84"/>
  <c r="BK38" i="84" s="1"/>
  <c r="BA60" i="85"/>
  <c r="BB60" i="85" s="1"/>
  <c r="BA60" i="86"/>
  <c r="BB60" i="86" s="1"/>
  <c r="BA60" i="87"/>
  <c r="BB60" i="87" s="1"/>
  <c r="BA60" i="84"/>
  <c r="BB60" i="84" s="1"/>
  <c r="BA60" i="83"/>
  <c r="BB60" i="83" s="1"/>
  <c r="BJ135" i="86"/>
  <c r="BK135" i="86" s="1"/>
  <c r="BJ135" i="87"/>
  <c r="BK135" i="87" s="1"/>
  <c r="BJ135" i="85"/>
  <c r="BK135" i="85" s="1"/>
  <c r="BJ135" i="84"/>
  <c r="BK135" i="84" s="1"/>
  <c r="BJ135" i="83"/>
  <c r="BK135" i="83" s="1"/>
  <c r="BA32" i="66"/>
  <c r="BB32" i="66" s="1"/>
  <c r="BJ95" i="85"/>
  <c r="BK95" i="85" s="1"/>
  <c r="BJ95" i="86"/>
  <c r="BK95" i="86" s="1"/>
  <c r="BJ95" i="87"/>
  <c r="BK95" i="87" s="1"/>
  <c r="BJ95" i="84"/>
  <c r="BK95" i="84" s="1"/>
  <c r="BJ95" i="83"/>
  <c r="BK95" i="83" s="1"/>
  <c r="BA79" i="85"/>
  <c r="BB79" i="85" s="1"/>
  <c r="BA79" i="84"/>
  <c r="BB79" i="84" s="1"/>
  <c r="BA79" i="83"/>
  <c r="BB79" i="83" s="1"/>
  <c r="BA61" i="86"/>
  <c r="BB61" i="86" s="1"/>
  <c r="BA61" i="85"/>
  <c r="BB61" i="85" s="1"/>
  <c r="BA61" i="87"/>
  <c r="BB61" i="87" s="1"/>
  <c r="BA61" i="84"/>
  <c r="BB61" i="84" s="1"/>
  <c r="BA61" i="83"/>
  <c r="BB61" i="83" s="1"/>
  <c r="BA75" i="86"/>
  <c r="BB75" i="86" s="1"/>
  <c r="BA75" i="87"/>
  <c r="BB75" i="87" s="1"/>
  <c r="BA75" i="85"/>
  <c r="BB75" i="85" s="1"/>
  <c r="BA75" i="84"/>
  <c r="BB75" i="84" s="1"/>
  <c r="BA75" i="83"/>
  <c r="BB75" i="83" s="1"/>
  <c r="BA32" i="71"/>
  <c r="BB32" i="71" s="1"/>
  <c r="BA52" i="86"/>
  <c r="BB52" i="86" s="1"/>
  <c r="BA52" i="85"/>
  <c r="BB52" i="85" s="1"/>
  <c r="BJ88" i="85"/>
  <c r="BK88" i="85" s="1"/>
  <c r="BJ88" i="83"/>
  <c r="BK88" i="83" s="1"/>
  <c r="BJ105" i="86"/>
  <c r="BK105" i="86" s="1"/>
  <c r="BJ105" i="87"/>
  <c r="BK105" i="87" s="1"/>
  <c r="BJ105" i="85"/>
  <c r="BK105" i="85" s="1"/>
  <c r="BJ105" i="84"/>
  <c r="BK105" i="84" s="1"/>
  <c r="BJ105" i="83"/>
  <c r="BK105" i="83" s="1"/>
  <c r="BA71" i="86"/>
  <c r="BB71" i="86" s="1"/>
  <c r="BJ118" i="85"/>
  <c r="BK118" i="85" s="1"/>
  <c r="BJ118" i="87"/>
  <c r="BK118" i="87" s="1"/>
  <c r="BJ118" i="86"/>
  <c r="BK118" i="86" s="1"/>
  <c r="BA71" i="87"/>
  <c r="BB71" i="87" s="1"/>
  <c r="BA71" i="85"/>
  <c r="BB71" i="85" s="1"/>
  <c r="BA71" i="84"/>
  <c r="BB71" i="84" s="1"/>
  <c r="BJ118" i="84"/>
  <c r="BK118" i="84" s="1"/>
  <c r="BJ118" i="83"/>
  <c r="BK118" i="83" s="1"/>
  <c r="BA31" i="80"/>
  <c r="BB31" i="80" s="1"/>
  <c r="BA58" i="86"/>
  <c r="BB58" i="86" s="1"/>
  <c r="BA58" i="85"/>
  <c r="BB58" i="85" s="1"/>
  <c r="BA58" i="87"/>
  <c r="BB58" i="87" s="1"/>
  <c r="BA58" i="84"/>
  <c r="BB58" i="84" s="1"/>
  <c r="BA58" i="83"/>
  <c r="BB58" i="83" s="1"/>
  <c r="BJ129" i="87"/>
  <c r="BK129" i="87" s="1"/>
  <c r="BJ129" i="86"/>
  <c r="BK129" i="86" s="1"/>
  <c r="BJ129" i="85"/>
  <c r="BK129" i="85" s="1"/>
  <c r="BJ129" i="84"/>
  <c r="BK129" i="84" s="1"/>
  <c r="BJ129" i="83"/>
  <c r="BK129" i="83" s="1"/>
  <c r="BJ87" i="78"/>
  <c r="BK87" i="78" s="1"/>
  <c r="BJ101" i="87"/>
  <c r="BK101" i="87" s="1"/>
  <c r="BJ101" i="85"/>
  <c r="BK101" i="85" s="1"/>
  <c r="BJ101" i="86"/>
  <c r="BK101" i="86" s="1"/>
  <c r="BJ101" i="84"/>
  <c r="BK101" i="84" s="1"/>
  <c r="BJ101" i="83"/>
  <c r="BK101" i="83" s="1"/>
  <c r="G246" i="2"/>
  <c r="H246" i="2" s="1"/>
  <c r="BJ104" i="86"/>
  <c r="BK104" i="86" s="1"/>
  <c r="BA110" i="86"/>
  <c r="BB110" i="86" s="1"/>
  <c r="BJ161" i="87"/>
  <c r="BK161" i="87" s="1"/>
  <c r="BJ158" i="85"/>
  <c r="BA115" i="87"/>
  <c r="BB115" i="87" s="1"/>
  <c r="BA32" i="73"/>
  <c r="BB32" i="73" s="1"/>
  <c r="BJ94" i="85"/>
  <c r="BK94" i="85" s="1"/>
  <c r="BJ94" i="87"/>
  <c r="BK94" i="87" s="1"/>
  <c r="BJ94" i="86"/>
  <c r="BK94" i="86" s="1"/>
  <c r="BJ94" i="84"/>
  <c r="BK94" i="84" s="1"/>
  <c r="BJ94" i="83"/>
  <c r="BK94" i="83" s="1"/>
  <c r="BJ147" i="87"/>
  <c r="BK147" i="87" s="1"/>
  <c r="BA94" i="87"/>
  <c r="BB94" i="87" s="1"/>
  <c r="BA85" i="87"/>
  <c r="BB85" i="87" s="1"/>
  <c r="BA85" i="86"/>
  <c r="BB85" i="86" s="1"/>
  <c r="BJ125" i="86"/>
  <c r="BK125" i="86" s="1"/>
  <c r="BJ125" i="85"/>
  <c r="BK125" i="85" s="1"/>
  <c r="BJ125" i="87"/>
  <c r="BK125" i="87" s="1"/>
  <c r="BJ125" i="84"/>
  <c r="BK125" i="84" s="1"/>
  <c r="BJ125" i="83"/>
  <c r="BK125" i="83" s="1"/>
  <c r="BJ38" i="85"/>
  <c r="BK38" i="85" s="1"/>
  <c r="BJ38" i="83"/>
  <c r="BK38" i="83" s="1"/>
  <c r="BJ111" i="87"/>
  <c r="BK111" i="87" s="1"/>
  <c r="BJ111" i="85"/>
  <c r="BK111" i="85" s="1"/>
  <c r="BJ111" i="86"/>
  <c r="BK111" i="86" s="1"/>
  <c r="BJ111" i="84"/>
  <c r="BK111" i="84" s="1"/>
  <c r="BJ111" i="83"/>
  <c r="BK111" i="83" s="1"/>
  <c r="BJ75" i="1"/>
  <c r="BK75" i="1" s="1"/>
  <c r="BJ89" i="86"/>
  <c r="BK89" i="86" s="1"/>
  <c r="BJ89" i="87"/>
  <c r="BK89" i="87" s="1"/>
  <c r="BA53" i="86"/>
  <c r="BB53" i="86" s="1"/>
  <c r="BJ89" i="85"/>
  <c r="BK89" i="85" s="1"/>
  <c r="BA53" i="87"/>
  <c r="BB53" i="87" s="1"/>
  <c r="BA53" i="85"/>
  <c r="BB53" i="85" s="1"/>
  <c r="BA53" i="84"/>
  <c r="BB53" i="84" s="1"/>
  <c r="BJ89" i="84"/>
  <c r="BK89" i="84" s="1"/>
  <c r="BA53" i="83"/>
  <c r="BB53" i="83" s="1"/>
  <c r="BJ89" i="83"/>
  <c r="BK89" i="83" s="1"/>
  <c r="BA70" i="85"/>
  <c r="BB70" i="85" s="1"/>
  <c r="BA70" i="87"/>
  <c r="BB70" i="87" s="1"/>
  <c r="BJ117" i="86"/>
  <c r="BK117" i="86" s="1"/>
  <c r="BJ117" i="85"/>
  <c r="BK117" i="85" s="1"/>
  <c r="BA70" i="84"/>
  <c r="BB70" i="84" s="1"/>
  <c r="BJ117" i="87"/>
  <c r="BK117" i="87" s="1"/>
  <c r="BA70" i="86"/>
  <c r="BB70" i="86" s="1"/>
  <c r="BJ117" i="84"/>
  <c r="BK117" i="84" s="1"/>
  <c r="BA70" i="83"/>
  <c r="BB70" i="83" s="1"/>
  <c r="BJ117" i="83"/>
  <c r="BK117" i="83" s="1"/>
  <c r="BA28" i="81"/>
  <c r="BB28" i="81" s="1"/>
  <c r="BJ128" i="84"/>
  <c r="BK128" i="84" s="1"/>
  <c r="BJ128" i="83"/>
  <c r="BK128" i="83" s="1"/>
  <c r="BJ75" i="68"/>
  <c r="BK75" i="68" s="1"/>
  <c r="BJ110" i="85"/>
  <c r="BK110" i="85" s="1"/>
  <c r="BJ110" i="86"/>
  <c r="BK110" i="86" s="1"/>
  <c r="BJ110" i="87"/>
  <c r="BK110" i="87" s="1"/>
  <c r="BJ110" i="84"/>
  <c r="BK110" i="84" s="1"/>
  <c r="BJ110" i="83"/>
  <c r="BK110" i="83" s="1"/>
  <c r="G287" i="2"/>
  <c r="H287" i="2" s="1"/>
  <c r="BJ121" i="87"/>
  <c r="BK121" i="87" s="1"/>
  <c r="BJ121" i="86"/>
  <c r="BK121" i="86" s="1"/>
  <c r="BJ121" i="85"/>
  <c r="BK121" i="85" s="1"/>
  <c r="BJ121" i="84"/>
  <c r="BK121" i="84" s="1"/>
  <c r="BJ121" i="83"/>
  <c r="BK121" i="83" s="1"/>
  <c r="BA24" i="69"/>
  <c r="BB24" i="69" s="1"/>
  <c r="BJ126" i="86"/>
  <c r="BK126" i="86" s="1"/>
  <c r="BJ126" i="87"/>
  <c r="BK126" i="87" s="1"/>
  <c r="BJ126" i="83"/>
  <c r="BK126" i="83" s="1"/>
  <c r="BA142" i="85"/>
  <c r="BB142" i="85" s="1"/>
  <c r="BJ149" i="85"/>
  <c r="BK149" i="85" s="1"/>
  <c r="BJ152" i="87"/>
  <c r="BK152" i="87" s="1"/>
  <c r="BJ149" i="86"/>
  <c r="BK149" i="86" s="1"/>
  <c r="BA147" i="87"/>
  <c r="BB147" i="87" s="1"/>
  <c r="BA142" i="86"/>
  <c r="BB142" i="86" s="1"/>
  <c r="BA142" i="84"/>
  <c r="BB142" i="84" s="1"/>
  <c r="BJ149" i="84"/>
  <c r="BK149" i="84" s="1"/>
  <c r="BJ149" i="83"/>
  <c r="BK149" i="83" s="1"/>
  <c r="BA142" i="83"/>
  <c r="BB142" i="83" s="1"/>
  <c r="BA84" i="87"/>
  <c r="BB84" i="87" s="1"/>
  <c r="BA84" i="86"/>
  <c r="BB84" i="86" s="1"/>
  <c r="BA84" i="85"/>
  <c r="BB84" i="85" s="1"/>
  <c r="BA32" i="67"/>
  <c r="BB32" i="67" s="1"/>
  <c r="BA48" i="75"/>
  <c r="BB48" i="75" s="1"/>
  <c r="BA66" i="85"/>
  <c r="BB66" i="85" s="1"/>
  <c r="BA66" i="86"/>
  <c r="BB66" i="86" s="1"/>
  <c r="BA66" i="87"/>
  <c r="BB66" i="87" s="1"/>
  <c r="BA66" i="84"/>
  <c r="BB66" i="84" s="1"/>
  <c r="BA66" i="83"/>
  <c r="BB66" i="83" s="1"/>
  <c r="BJ99" i="86"/>
  <c r="BK99" i="86" s="1"/>
  <c r="BJ99" i="84"/>
  <c r="BK99" i="84" s="1"/>
  <c r="BJ99" i="87"/>
  <c r="BK99" i="87" s="1"/>
  <c r="BJ99" i="85"/>
  <c r="BK99" i="85" s="1"/>
  <c r="BJ99" i="83"/>
  <c r="BK99" i="83" s="1"/>
  <c r="BJ22" i="68"/>
  <c r="BK22" i="68" s="1"/>
  <c r="BJ39" i="87"/>
  <c r="BK39" i="87" s="1"/>
  <c r="BJ39" i="86"/>
  <c r="BK39" i="86" s="1"/>
  <c r="BJ39" i="85"/>
  <c r="BK39" i="85" s="1"/>
  <c r="BJ39" i="84"/>
  <c r="BK39" i="84" s="1"/>
  <c r="BJ39" i="83"/>
  <c r="BK39" i="83" s="1"/>
  <c r="BJ61" i="1"/>
  <c r="BK61" i="1" s="1"/>
  <c r="BA32" i="1"/>
  <c r="BB32" i="1" s="1"/>
  <c r="BJ47" i="75"/>
  <c r="BK47" i="75" s="1"/>
  <c r="BJ100" i="85"/>
  <c r="BK100" i="85" s="1"/>
  <c r="BJ100" i="87"/>
  <c r="BK100" i="87" s="1"/>
  <c r="BJ100" i="86"/>
  <c r="BK100" i="86" s="1"/>
  <c r="BJ100" i="84"/>
  <c r="BK100" i="84" s="1"/>
  <c r="BJ100" i="83"/>
  <c r="BK100" i="83" s="1"/>
  <c r="BA109" i="85"/>
  <c r="BB109" i="85" s="1"/>
  <c r="BJ106" i="86"/>
  <c r="BK106" i="86" s="1"/>
  <c r="BJ106" i="87"/>
  <c r="BK106" i="87" s="1"/>
  <c r="BJ106" i="85"/>
  <c r="BK106" i="85" s="1"/>
  <c r="BJ106" i="84"/>
  <c r="BK106" i="84" s="1"/>
  <c r="BJ106" i="83"/>
  <c r="BK106" i="83" s="1"/>
  <c r="BJ149" i="87"/>
  <c r="BK149" i="87" s="1"/>
  <c r="BA96" i="87"/>
  <c r="BB96" i="87" s="1"/>
  <c r="BJ113" i="87"/>
  <c r="BK113" i="87" s="1"/>
  <c r="BJ113" i="86"/>
  <c r="BK113" i="86" s="1"/>
  <c r="BJ113" i="85"/>
  <c r="BK113" i="85" s="1"/>
  <c r="BJ113" i="84"/>
  <c r="BK113" i="84" s="1"/>
  <c r="BJ113" i="83"/>
  <c r="BK113" i="83" s="1"/>
  <c r="BJ107" i="87"/>
  <c r="BK107" i="87" s="1"/>
  <c r="BJ107" i="86"/>
  <c r="BK107" i="86" s="1"/>
  <c r="BJ107" i="85"/>
  <c r="BK107" i="85" s="1"/>
  <c r="BJ107" i="84"/>
  <c r="BK107" i="84" s="1"/>
  <c r="BJ107" i="83"/>
  <c r="BK107" i="83" s="1"/>
  <c r="BJ124" i="85"/>
  <c r="BK124" i="85" s="1"/>
  <c r="BJ124" i="86"/>
  <c r="BK124" i="86" s="1"/>
  <c r="BJ124" i="87"/>
  <c r="BK124" i="87" s="1"/>
  <c r="BJ124" i="84"/>
  <c r="BK124" i="84" s="1"/>
  <c r="BJ124" i="83"/>
  <c r="BK124" i="83" s="1"/>
  <c r="AW47" i="84"/>
  <c r="AV47" i="84"/>
  <c r="AW46" i="85"/>
  <c r="AV46" i="85"/>
  <c r="BF81" i="83"/>
  <c r="BE81" i="83"/>
  <c r="BF79" i="86"/>
  <c r="BE79" i="86"/>
  <c r="BJ79" i="86"/>
  <c r="BK79" i="86" s="1"/>
  <c r="BE77" i="86"/>
  <c r="BF77" i="86"/>
  <c r="BJ77" i="86"/>
  <c r="BK77" i="86" s="1"/>
  <c r="AW47" i="87"/>
  <c r="AV47" i="87"/>
  <c r="AV46" i="87"/>
  <c r="AW46" i="87"/>
  <c r="BF82" i="83"/>
  <c r="BE82" i="83"/>
  <c r="BE81" i="84"/>
  <c r="BF81" i="84"/>
  <c r="BF79" i="87"/>
  <c r="BJ79" i="87"/>
  <c r="BK79" i="87" s="1"/>
  <c r="BE79" i="87"/>
  <c r="AW47" i="86"/>
  <c r="AV47" i="86"/>
  <c r="BF83" i="83"/>
  <c r="BJ83" i="83"/>
  <c r="BK83" i="83" s="1"/>
  <c r="BE83" i="83"/>
  <c r="BF82" i="84"/>
  <c r="BE82" i="84"/>
  <c r="BF81" i="85"/>
  <c r="BE81" i="85"/>
  <c r="BF79" i="85"/>
  <c r="BJ79" i="85"/>
  <c r="BK79" i="85" s="1"/>
  <c r="BE79" i="85"/>
  <c r="BF76" i="83"/>
  <c r="BE76" i="83"/>
  <c r="BJ76" i="83"/>
  <c r="BK76" i="83" s="1"/>
  <c r="AV47" i="85"/>
  <c r="AW47" i="85"/>
  <c r="BF83" i="84"/>
  <c r="BJ83" i="84"/>
  <c r="BK83" i="84" s="1"/>
  <c r="BE83" i="84"/>
  <c r="BF82" i="86"/>
  <c r="BE82" i="86"/>
  <c r="BF81" i="87"/>
  <c r="BE81" i="87"/>
  <c r="BF78" i="83"/>
  <c r="BE78" i="83"/>
  <c r="BJ78" i="83"/>
  <c r="BK78" i="83" s="1"/>
  <c r="BJ76" i="84"/>
  <c r="BK76" i="84" s="1"/>
  <c r="BE76" i="84"/>
  <c r="BF76" i="84"/>
  <c r="BF84" i="83"/>
  <c r="BE84" i="83"/>
  <c r="BE83" i="85"/>
  <c r="BF83" i="85"/>
  <c r="BJ83" i="85"/>
  <c r="BK83" i="85" s="1"/>
  <c r="BF82" i="85"/>
  <c r="BE82" i="85"/>
  <c r="BF81" i="86"/>
  <c r="BE81" i="86"/>
  <c r="BJ78" i="84"/>
  <c r="BK78" i="84" s="1"/>
  <c r="BE78" i="84"/>
  <c r="BF78" i="84"/>
  <c r="BJ76" i="87"/>
  <c r="BK76" i="87" s="1"/>
  <c r="BE76" i="87"/>
  <c r="BF76" i="87"/>
  <c r="BE84" i="84"/>
  <c r="BF84" i="84"/>
  <c r="BJ83" i="87"/>
  <c r="BK83" i="87" s="1"/>
  <c r="BF83" i="87"/>
  <c r="BE83" i="87"/>
  <c r="BF82" i="87"/>
  <c r="BE82" i="87"/>
  <c r="BJ80" i="83"/>
  <c r="BK80" i="83" s="1"/>
  <c r="BE80" i="83"/>
  <c r="BF80" i="83"/>
  <c r="BF78" i="85"/>
  <c r="BJ78" i="85"/>
  <c r="BK78" i="85" s="1"/>
  <c r="BE78" i="85"/>
  <c r="BJ76" i="86"/>
  <c r="BK76" i="86" s="1"/>
  <c r="BF76" i="86"/>
  <c r="BE76" i="86"/>
  <c r="AV48" i="83"/>
  <c r="BA48" i="83"/>
  <c r="BB48" i="83" s="1"/>
  <c r="AW48" i="83"/>
  <c r="BF84" i="86"/>
  <c r="BE84" i="86"/>
  <c r="BE83" i="86"/>
  <c r="BF83" i="86"/>
  <c r="BJ83" i="86"/>
  <c r="BK83" i="86" s="1"/>
  <c r="AV44" i="83"/>
  <c r="AW44" i="83"/>
  <c r="BA44" i="83"/>
  <c r="BB44" i="83" s="1"/>
  <c r="BJ80" i="84"/>
  <c r="BK80" i="84" s="1"/>
  <c r="BF80" i="84"/>
  <c r="BE80" i="84"/>
  <c r="BF78" i="87"/>
  <c r="BJ78" i="87"/>
  <c r="BK78" i="87" s="1"/>
  <c r="BE78" i="87"/>
  <c r="BJ76" i="85"/>
  <c r="BK76" i="85" s="1"/>
  <c r="BF76" i="85"/>
  <c r="BE76" i="85"/>
  <c r="AW48" i="84"/>
  <c r="BA48" i="84"/>
  <c r="BB48" i="84" s="1"/>
  <c r="AV48" i="84"/>
  <c r="BF84" i="87"/>
  <c r="BE84" i="87"/>
  <c r="AW45" i="83"/>
  <c r="AV45" i="83"/>
  <c r="BA44" i="84"/>
  <c r="BB44" i="84" s="1"/>
  <c r="AV44" i="84"/>
  <c r="AW44" i="84"/>
  <c r="BF80" i="87"/>
  <c r="BJ80" i="87"/>
  <c r="BK80" i="87" s="1"/>
  <c r="BE80" i="87"/>
  <c r="BF78" i="86"/>
  <c r="BJ78" i="86"/>
  <c r="BK78" i="86" s="1"/>
  <c r="BE78" i="86"/>
  <c r="BF75" i="83"/>
  <c r="BE75" i="83"/>
  <c r="BJ75" i="83"/>
  <c r="BK75" i="83" s="1"/>
  <c r="AW48" i="85"/>
  <c r="BA48" i="85"/>
  <c r="BB48" i="85" s="1"/>
  <c r="AV48" i="85"/>
  <c r="BE84" i="85"/>
  <c r="BF84" i="85"/>
  <c r="AV45" i="84"/>
  <c r="AW45" i="84"/>
  <c r="AW44" i="85"/>
  <c r="AV44" i="85"/>
  <c r="BA44" i="85"/>
  <c r="BB44" i="85" s="1"/>
  <c r="BF80" i="85"/>
  <c r="BE80" i="85"/>
  <c r="BJ80" i="85"/>
  <c r="BK80" i="85" s="1"/>
  <c r="BJ77" i="83"/>
  <c r="BK77" i="83" s="1"/>
  <c r="BF77" i="83"/>
  <c r="BE77" i="83"/>
  <c r="BE75" i="84"/>
  <c r="BF75" i="84"/>
  <c r="BJ75" i="84"/>
  <c r="BK75" i="84" s="1"/>
  <c r="BA48" i="87"/>
  <c r="BB48" i="87" s="1"/>
  <c r="AW48" i="87"/>
  <c r="AV48" i="87"/>
  <c r="AV46" i="83"/>
  <c r="AW46" i="83"/>
  <c r="AW45" i="86"/>
  <c r="AV45" i="86"/>
  <c r="AW44" i="87"/>
  <c r="BA44" i="87"/>
  <c r="BB44" i="87" s="1"/>
  <c r="AV44" i="87"/>
  <c r="BE80" i="86"/>
  <c r="BJ80" i="86"/>
  <c r="BK80" i="86" s="1"/>
  <c r="BF80" i="86"/>
  <c r="BF77" i="84"/>
  <c r="BE77" i="84"/>
  <c r="BJ77" i="84"/>
  <c r="BK77" i="84" s="1"/>
  <c r="BF75" i="86"/>
  <c r="BJ75" i="86"/>
  <c r="BK75" i="86" s="1"/>
  <c r="BE75" i="86"/>
  <c r="BA48" i="86"/>
  <c r="BB48" i="86" s="1"/>
  <c r="AV48" i="86"/>
  <c r="AW48" i="86"/>
  <c r="AV46" i="84"/>
  <c r="AW46" i="84"/>
  <c r="AW45" i="85"/>
  <c r="AV45" i="85"/>
  <c r="BA44" i="86"/>
  <c r="BB44" i="86" s="1"/>
  <c r="AW44" i="86"/>
  <c r="AV44" i="86"/>
  <c r="BE79" i="83"/>
  <c r="BF79" i="83"/>
  <c r="BJ79" i="83"/>
  <c r="BK79" i="83" s="1"/>
  <c r="BF77" i="85"/>
  <c r="BE77" i="85"/>
  <c r="BJ77" i="85"/>
  <c r="BK77" i="85" s="1"/>
  <c r="BJ75" i="87"/>
  <c r="BK75" i="87" s="1"/>
  <c r="BE75" i="87"/>
  <c r="BF75" i="87"/>
  <c r="AW47" i="83"/>
  <c r="AV47" i="83"/>
  <c r="AW46" i="86"/>
  <c r="AV46" i="86"/>
  <c r="AW45" i="87"/>
  <c r="AV45" i="87"/>
  <c r="BJ79" i="84"/>
  <c r="BK79" i="84" s="1"/>
  <c r="BE79" i="84"/>
  <c r="BF79" i="84"/>
  <c r="BJ77" i="87"/>
  <c r="BK77" i="87" s="1"/>
  <c r="BF77" i="87"/>
  <c r="BE77" i="87"/>
  <c r="BJ75" i="85"/>
  <c r="BK75" i="85" s="1"/>
  <c r="BF75" i="85"/>
  <c r="BE75" i="85"/>
  <c r="BE52" i="85"/>
  <c r="BF52" i="85"/>
  <c r="AV32" i="84"/>
  <c r="BA32" i="84"/>
  <c r="BB32" i="84" s="1"/>
  <c r="AW32" i="84"/>
  <c r="BF56" i="86"/>
  <c r="BE56" i="86"/>
  <c r="BF51" i="83"/>
  <c r="BE51" i="83"/>
  <c r="BJ51" i="83"/>
  <c r="BK51" i="83" s="1"/>
  <c r="BA32" i="87"/>
  <c r="BB32" i="87" s="1"/>
  <c r="AW32" i="87"/>
  <c r="AV32" i="87"/>
  <c r="BE56" i="87"/>
  <c r="BF56" i="87"/>
  <c r="BJ51" i="84"/>
  <c r="BK51" i="84" s="1"/>
  <c r="BE51" i="84"/>
  <c r="BF51" i="84"/>
  <c r="BA32" i="86"/>
  <c r="BB32" i="86" s="1"/>
  <c r="AW32" i="86"/>
  <c r="AV32" i="86"/>
  <c r="BF55" i="83"/>
  <c r="BJ55" i="83"/>
  <c r="BK55" i="83" s="1"/>
  <c r="BE55" i="83"/>
  <c r="BE53" i="83"/>
  <c r="BF53" i="83"/>
  <c r="BJ51" i="86"/>
  <c r="BK51" i="86" s="1"/>
  <c r="BF51" i="86"/>
  <c r="BE51" i="86"/>
  <c r="AW32" i="85"/>
  <c r="AV32" i="85"/>
  <c r="BA32" i="85"/>
  <c r="BB32" i="85" s="1"/>
  <c r="BJ55" i="84"/>
  <c r="BK55" i="84" s="1"/>
  <c r="BF55" i="84"/>
  <c r="BE55" i="84"/>
  <c r="BF53" i="84"/>
  <c r="BE53" i="84"/>
  <c r="BJ51" i="85"/>
  <c r="BK51" i="85" s="1"/>
  <c r="BF51" i="85"/>
  <c r="BE51" i="85"/>
  <c r="AW31" i="83"/>
  <c r="AV31" i="83"/>
  <c r="BJ55" i="87"/>
  <c r="BK55" i="87" s="1"/>
  <c r="BF55" i="87"/>
  <c r="BE55" i="87"/>
  <c r="BF53" i="86"/>
  <c r="BE53" i="86"/>
  <c r="BJ51" i="87"/>
  <c r="BK51" i="87" s="1"/>
  <c r="BF51" i="87"/>
  <c r="BE51" i="87"/>
  <c r="AW31" i="84"/>
  <c r="AV31" i="84"/>
  <c r="BE55" i="86"/>
  <c r="BF55" i="86"/>
  <c r="BJ55" i="86"/>
  <c r="BK55" i="86" s="1"/>
  <c r="BF53" i="85"/>
  <c r="BE53" i="85"/>
  <c r="BA33" i="83"/>
  <c r="BB33" i="83" s="1"/>
  <c r="AW33" i="83"/>
  <c r="AV33" i="83"/>
  <c r="AW31" i="87"/>
  <c r="AV31" i="87"/>
  <c r="BJ55" i="85"/>
  <c r="BK55" i="85" s="1"/>
  <c r="BE55" i="85"/>
  <c r="BF55" i="85"/>
  <c r="BF53" i="87"/>
  <c r="BE53" i="87"/>
  <c r="BA33" i="84"/>
  <c r="BB33" i="84" s="1"/>
  <c r="AW33" i="84"/>
  <c r="AV33" i="84"/>
  <c r="AV31" i="86"/>
  <c r="AW31" i="86"/>
  <c r="BF54" i="83"/>
  <c r="BE54" i="83"/>
  <c r="BF52" i="83"/>
  <c r="BE52" i="83"/>
  <c r="BA33" i="85"/>
  <c r="BB33" i="85" s="1"/>
  <c r="AV33" i="85"/>
  <c r="AW33" i="85"/>
  <c r="AW31" i="85"/>
  <c r="AV31" i="85"/>
  <c r="BF54" i="84"/>
  <c r="BE54" i="84"/>
  <c r="BE52" i="84"/>
  <c r="BF52" i="84"/>
  <c r="BA33" i="86"/>
  <c r="BB33" i="86" s="1"/>
  <c r="AW33" i="86"/>
  <c r="AV33" i="86"/>
  <c r="BF56" i="83"/>
  <c r="BE56" i="83"/>
  <c r="BE54" i="86"/>
  <c r="BF54" i="86"/>
  <c r="BE52" i="87"/>
  <c r="BF52" i="87"/>
  <c r="BA33" i="87"/>
  <c r="BB33" i="87" s="1"/>
  <c r="AW33" i="87"/>
  <c r="AV33" i="87"/>
  <c r="BF56" i="84"/>
  <c r="BE56" i="84"/>
  <c r="BE54" i="85"/>
  <c r="BF54" i="85"/>
  <c r="BE52" i="86"/>
  <c r="BF52" i="86"/>
  <c r="AW32" i="83"/>
  <c r="BA32" i="83"/>
  <c r="BB32" i="83" s="1"/>
  <c r="AV32" i="83"/>
  <c r="BF56" i="85"/>
  <c r="BE56" i="85"/>
  <c r="BE54" i="87"/>
  <c r="BF54" i="87"/>
  <c r="BE68" i="85"/>
  <c r="BJ68" i="85"/>
  <c r="BK68" i="85" s="1"/>
  <c r="BF68" i="85"/>
  <c r="BA42" i="84"/>
  <c r="BB42" i="84" s="1"/>
  <c r="AV42" i="84"/>
  <c r="AW42" i="84"/>
  <c r="AW41" i="85"/>
  <c r="BA41" i="85"/>
  <c r="BB41" i="85" s="1"/>
  <c r="AV41" i="85"/>
  <c r="BE65" i="87"/>
  <c r="BJ65" i="87"/>
  <c r="BK65" i="87" s="1"/>
  <c r="BF65" i="87"/>
  <c r="BE64" i="84"/>
  <c r="BF64" i="84"/>
  <c r="BJ64" i="84"/>
  <c r="BK64" i="84" s="1"/>
  <c r="BE72" i="86"/>
  <c r="BF72" i="86"/>
  <c r="AW36" i="83"/>
  <c r="AV36" i="83"/>
  <c r="BF62" i="84"/>
  <c r="BE62" i="84"/>
  <c r="BF61" i="86"/>
  <c r="BE61" i="86"/>
  <c r="BF69" i="83"/>
  <c r="BE69" i="83"/>
  <c r="BJ58" i="83"/>
  <c r="BK58" i="83" s="1"/>
  <c r="BE58" i="83"/>
  <c r="BF58" i="83"/>
  <c r="BA42" i="87"/>
  <c r="BB42" i="87" s="1"/>
  <c r="AW42" i="87"/>
  <c r="AV42" i="87"/>
  <c r="BA41" i="86"/>
  <c r="BB41" i="86" s="1"/>
  <c r="AV41" i="86"/>
  <c r="AW41" i="86"/>
  <c r="AW39" i="83"/>
  <c r="BA39" i="83"/>
  <c r="BB39" i="83" s="1"/>
  <c r="AV39" i="83"/>
  <c r="BJ64" i="86"/>
  <c r="BK64" i="86" s="1"/>
  <c r="BE64" i="86"/>
  <c r="BF64" i="86"/>
  <c r="BF72" i="85"/>
  <c r="BE72" i="85"/>
  <c r="AW36" i="84"/>
  <c r="AV36" i="84"/>
  <c r="BF62" i="87"/>
  <c r="BE62" i="87"/>
  <c r="BF61" i="87"/>
  <c r="BE61" i="87"/>
  <c r="BJ69" i="84"/>
  <c r="BK69" i="84" s="1"/>
  <c r="BE69" i="84"/>
  <c r="BF69" i="84"/>
  <c r="BJ58" i="84"/>
  <c r="BK58" i="84" s="1"/>
  <c r="BE58" i="84"/>
  <c r="BF58" i="84"/>
  <c r="BA42" i="85"/>
  <c r="BB42" i="85" s="1"/>
  <c r="AV42" i="85"/>
  <c r="AW42" i="85"/>
  <c r="AW41" i="87"/>
  <c r="BA41" i="87"/>
  <c r="BB41" i="87" s="1"/>
  <c r="AV41" i="87"/>
  <c r="AW39" i="84"/>
  <c r="AV39" i="84"/>
  <c r="BA39" i="84"/>
  <c r="BB39" i="84" s="1"/>
  <c r="BJ64" i="85"/>
  <c r="BK64" i="85" s="1"/>
  <c r="BF64" i="85"/>
  <c r="BE64" i="85"/>
  <c r="BF63" i="83"/>
  <c r="BE63" i="83"/>
  <c r="BJ63" i="83"/>
  <c r="BK63" i="83" s="1"/>
  <c r="AV36" i="86"/>
  <c r="AW36" i="86"/>
  <c r="BF62" i="85"/>
  <c r="BE62" i="85"/>
  <c r="BF70" i="83"/>
  <c r="BE70" i="83"/>
  <c r="BE69" i="85"/>
  <c r="BF69" i="85"/>
  <c r="BJ58" i="86"/>
  <c r="BK58" i="86" s="1"/>
  <c r="BF58" i="86"/>
  <c r="BE58" i="86"/>
  <c r="BA42" i="86"/>
  <c r="BB42" i="86" s="1"/>
  <c r="AW42" i="86"/>
  <c r="AV42" i="86"/>
  <c r="AW40" i="83"/>
  <c r="AV40" i="83"/>
  <c r="BA39" i="86"/>
  <c r="BB39" i="86" s="1"/>
  <c r="AV39" i="86"/>
  <c r="AW39" i="86"/>
  <c r="BF64" i="87"/>
  <c r="BE64" i="87"/>
  <c r="BJ64" i="87"/>
  <c r="BK64" i="87" s="1"/>
  <c r="BJ63" i="84"/>
  <c r="BK63" i="84" s="1"/>
  <c r="BF63" i="84"/>
  <c r="BE63" i="84"/>
  <c r="AV36" i="87"/>
  <c r="AW36" i="87"/>
  <c r="BE62" i="86"/>
  <c r="BF62" i="86"/>
  <c r="BF70" i="84"/>
  <c r="BE70" i="84"/>
  <c r="BF69" i="86"/>
  <c r="BJ69" i="86"/>
  <c r="BK69" i="86" s="1"/>
  <c r="BE69" i="86"/>
  <c r="BF58" i="87"/>
  <c r="BE58" i="87"/>
  <c r="BJ58" i="87"/>
  <c r="BK58" i="87" s="1"/>
  <c r="AW40" i="84"/>
  <c r="AV40" i="84"/>
  <c r="AW39" i="87"/>
  <c r="BA39" i="87"/>
  <c r="BB39" i="87" s="1"/>
  <c r="AV39" i="87"/>
  <c r="AV38" i="83"/>
  <c r="BA38" i="83"/>
  <c r="BB38" i="83" s="1"/>
  <c r="AW38" i="83"/>
  <c r="BJ63" i="85"/>
  <c r="BK63" i="85" s="1"/>
  <c r="BE63" i="85"/>
  <c r="BF63" i="85"/>
  <c r="AW36" i="85"/>
  <c r="AV36" i="85"/>
  <c r="AW35" i="83"/>
  <c r="AV35" i="83"/>
  <c r="BE70" i="86"/>
  <c r="BF70" i="86"/>
  <c r="BE69" i="87"/>
  <c r="BF69" i="87"/>
  <c r="BJ58" i="85"/>
  <c r="BK58" i="85" s="1"/>
  <c r="BF58" i="85"/>
  <c r="BE58" i="85"/>
  <c r="BE66" i="83"/>
  <c r="BF66" i="83"/>
  <c r="AW40" i="86"/>
  <c r="AV40" i="86"/>
  <c r="BA39" i="85"/>
  <c r="BB39" i="85" s="1"/>
  <c r="AV39" i="85"/>
  <c r="AW39" i="85"/>
  <c r="AV38" i="84"/>
  <c r="BA38" i="84"/>
  <c r="BB38" i="84" s="1"/>
  <c r="AW38" i="84"/>
  <c r="BF63" i="87"/>
  <c r="BE63" i="87"/>
  <c r="BJ63" i="87"/>
  <c r="BK63" i="87" s="1"/>
  <c r="AV35" i="84"/>
  <c r="AW35" i="84"/>
  <c r="BE70" i="85"/>
  <c r="BF70" i="85"/>
  <c r="BE67" i="83"/>
  <c r="BF67" i="83"/>
  <c r="BF66" i="84"/>
  <c r="BE66" i="84"/>
  <c r="AW40" i="87"/>
  <c r="AV40" i="87"/>
  <c r="BF73" i="83"/>
  <c r="BE73" i="83"/>
  <c r="BA38" i="87"/>
  <c r="BB38" i="87" s="1"/>
  <c r="AW38" i="87"/>
  <c r="AV38" i="87"/>
  <c r="BE63" i="86"/>
  <c r="BF63" i="86"/>
  <c r="BJ63" i="86"/>
  <c r="BK63" i="86" s="1"/>
  <c r="BF71" i="83"/>
  <c r="BE71" i="83"/>
  <c r="BJ71" i="83"/>
  <c r="BK71" i="83" s="1"/>
  <c r="AW35" i="87"/>
  <c r="AV35" i="87"/>
  <c r="BE70" i="87"/>
  <c r="BF70" i="87"/>
  <c r="BF59" i="83"/>
  <c r="BE59" i="83"/>
  <c r="BF67" i="84"/>
  <c r="BE67" i="84"/>
  <c r="BE66" i="87"/>
  <c r="BF66" i="87"/>
  <c r="AV40" i="85"/>
  <c r="AW40" i="85"/>
  <c r="BF73" i="84"/>
  <c r="BE73" i="84"/>
  <c r="AV38" i="85"/>
  <c r="AW38" i="85"/>
  <c r="BA38" i="85"/>
  <c r="BB38" i="85" s="1"/>
  <c r="AW37" i="83"/>
  <c r="AV37" i="83"/>
  <c r="BE71" i="84"/>
  <c r="BJ71" i="84"/>
  <c r="BK71" i="84" s="1"/>
  <c r="BF71" i="84"/>
  <c r="AW35" i="85"/>
  <c r="AV35" i="85"/>
  <c r="BF60" i="83"/>
  <c r="BE60" i="83"/>
  <c r="BJ60" i="83"/>
  <c r="BK60" i="83" s="1"/>
  <c r="BE59" i="84"/>
  <c r="BF59" i="84"/>
  <c r="BE68" i="83"/>
  <c r="BJ68" i="83"/>
  <c r="BK68" i="83" s="1"/>
  <c r="BF68" i="83"/>
  <c r="BF67" i="86"/>
  <c r="BE67" i="86"/>
  <c r="BF66" i="86"/>
  <c r="BE66" i="86"/>
  <c r="BF65" i="83"/>
  <c r="BE65" i="83"/>
  <c r="BJ65" i="83"/>
  <c r="BK65" i="83" s="1"/>
  <c r="BF73" i="85"/>
  <c r="BE73" i="85"/>
  <c r="BA38" i="86"/>
  <c r="BB38" i="86" s="1"/>
  <c r="AV38" i="86"/>
  <c r="AW38" i="86"/>
  <c r="AV37" i="84"/>
  <c r="AW37" i="84"/>
  <c r="BF71" i="86"/>
  <c r="BE71" i="86"/>
  <c r="BJ71" i="86"/>
  <c r="BK71" i="86" s="1"/>
  <c r="AW35" i="86"/>
  <c r="AV35" i="86"/>
  <c r="BJ60" i="84"/>
  <c r="BK60" i="84" s="1"/>
  <c r="BE60" i="84"/>
  <c r="BF60" i="84"/>
  <c r="BE59" i="87"/>
  <c r="BF59" i="87"/>
  <c r="BE68" i="84"/>
  <c r="BJ68" i="84"/>
  <c r="BK68" i="84" s="1"/>
  <c r="BF68" i="84"/>
  <c r="BE67" i="85"/>
  <c r="BF67" i="85"/>
  <c r="BF66" i="85"/>
  <c r="BE66" i="85"/>
  <c r="BF65" i="84"/>
  <c r="BJ65" i="84"/>
  <c r="BK65" i="84" s="1"/>
  <c r="BE65" i="84"/>
  <c r="BF73" i="87"/>
  <c r="BE73" i="87"/>
  <c r="BE72" i="83"/>
  <c r="BF72" i="83"/>
  <c r="AV37" i="86"/>
  <c r="AW37" i="86"/>
  <c r="BJ71" i="85"/>
  <c r="BK71" i="85" s="1"/>
  <c r="BF71" i="85"/>
  <c r="BE71" i="85"/>
  <c r="BF61" i="83"/>
  <c r="BE61" i="83"/>
  <c r="BJ60" i="87"/>
  <c r="BK60" i="87" s="1"/>
  <c r="BE60" i="87"/>
  <c r="BF60" i="87"/>
  <c r="BF59" i="85"/>
  <c r="BE59" i="85"/>
  <c r="BF68" i="87"/>
  <c r="BJ68" i="87"/>
  <c r="BK68" i="87" s="1"/>
  <c r="BE68" i="87"/>
  <c r="BE67" i="87"/>
  <c r="BF67" i="87"/>
  <c r="AV41" i="83"/>
  <c r="AW41" i="83"/>
  <c r="BA41" i="83"/>
  <c r="BB41" i="83" s="1"/>
  <c r="BJ65" i="86"/>
  <c r="BK65" i="86" s="1"/>
  <c r="BE65" i="86"/>
  <c r="BF65" i="86"/>
  <c r="BF73" i="86"/>
  <c r="BE73" i="86"/>
  <c r="BF72" i="84"/>
  <c r="BE72" i="84"/>
  <c r="AV37" i="87"/>
  <c r="AW37" i="87"/>
  <c r="BF71" i="87"/>
  <c r="BJ71" i="87"/>
  <c r="BK71" i="87" s="1"/>
  <c r="BE71" i="87"/>
  <c r="BE61" i="84"/>
  <c r="BF61" i="84"/>
  <c r="BJ60" i="85"/>
  <c r="BK60" i="85" s="1"/>
  <c r="BF60" i="85"/>
  <c r="BE60" i="85"/>
  <c r="BF59" i="86"/>
  <c r="BE59" i="86"/>
  <c r="BE68" i="86"/>
  <c r="BJ68" i="86"/>
  <c r="BK68" i="86" s="1"/>
  <c r="BF68" i="86"/>
  <c r="AW42" i="83"/>
  <c r="BA42" i="83"/>
  <c r="BB42" i="83" s="1"/>
  <c r="AV42" i="83"/>
  <c r="AW41" i="84"/>
  <c r="BA41" i="84"/>
  <c r="BB41" i="84" s="1"/>
  <c r="AV41" i="84"/>
  <c r="BE65" i="85"/>
  <c r="BF65" i="85"/>
  <c r="BJ65" i="85"/>
  <c r="BK65" i="85" s="1"/>
  <c r="BF64" i="83"/>
  <c r="BE64" i="83"/>
  <c r="BJ64" i="83"/>
  <c r="BK64" i="83" s="1"/>
  <c r="BF72" i="87"/>
  <c r="BE72" i="87"/>
  <c r="AV37" i="85"/>
  <c r="AW37" i="85"/>
  <c r="BF62" i="83"/>
  <c r="BE62" i="83"/>
  <c r="BF61" i="85"/>
  <c r="BE61" i="85"/>
  <c r="BE60" i="86"/>
  <c r="BF60" i="86"/>
  <c r="BJ60" i="86"/>
  <c r="BK60" i="86" s="1"/>
  <c r="BH109" i="76"/>
  <c r="BH72" i="82"/>
  <c r="BH90" i="80"/>
  <c r="BH133" i="73"/>
  <c r="BH135" i="73"/>
  <c r="BH103" i="69"/>
  <c r="BH104" i="68"/>
  <c r="BH129" i="1"/>
  <c r="BH73" i="77"/>
  <c r="BH86" i="81"/>
  <c r="AY88" i="80"/>
  <c r="BH88" i="80" s="1"/>
  <c r="BH115" i="75"/>
  <c r="BH135" i="70"/>
  <c r="BH129" i="67"/>
  <c r="BH106" i="78"/>
  <c r="BD125" i="1"/>
  <c r="BJ125" i="1" s="1"/>
  <c r="AU80" i="70"/>
  <c r="AV80" i="70" s="1"/>
  <c r="AU53" i="80"/>
  <c r="AW53" i="80" s="1"/>
  <c r="BD125" i="74"/>
  <c r="BE125" i="74" s="1"/>
  <c r="AU80" i="1"/>
  <c r="AV80" i="1" s="1"/>
  <c r="AU67" i="68"/>
  <c r="AV67" i="68" s="1"/>
  <c r="BD102" i="78"/>
  <c r="BE102" i="78" s="1"/>
  <c r="BD99" i="76"/>
  <c r="BJ99" i="76" s="1"/>
  <c r="BD125" i="73"/>
  <c r="BJ125" i="73" s="1"/>
  <c r="AU80" i="67"/>
  <c r="AW80" i="67" s="1"/>
  <c r="BD125" i="67"/>
  <c r="BJ125" i="67" s="1"/>
  <c r="AU48" i="77"/>
  <c r="AV48" i="77" s="1"/>
  <c r="AU66" i="69"/>
  <c r="AV66" i="69" s="1"/>
  <c r="BD99" i="69"/>
  <c r="BF99" i="69" s="1"/>
  <c r="AU51" i="81"/>
  <c r="AW51" i="81" s="1"/>
  <c r="C214" i="2"/>
  <c r="E214" i="2"/>
  <c r="BD125" i="70"/>
  <c r="BF125" i="70" s="1"/>
  <c r="AU80" i="73"/>
  <c r="AW80" i="73" s="1"/>
  <c r="BD82" i="81"/>
  <c r="BE82" i="81" s="1"/>
  <c r="G214" i="2"/>
  <c r="H214" i="2" s="1"/>
  <c r="L214" i="2"/>
  <c r="AU43" i="82"/>
  <c r="AV43" i="82" s="1"/>
  <c r="BD99" i="75"/>
  <c r="BF99" i="75" s="1"/>
  <c r="BD125" i="71"/>
  <c r="BF125" i="71" s="1"/>
  <c r="BD125" i="66"/>
  <c r="BJ125" i="66" s="1"/>
  <c r="AU66" i="75"/>
  <c r="AV66" i="75" s="1"/>
  <c r="AU80" i="74"/>
  <c r="AV80" i="74" s="1"/>
  <c r="BD68" i="77"/>
  <c r="BF68" i="77" s="1"/>
  <c r="AU62" i="78"/>
  <c r="AW62" i="78" s="1"/>
  <c r="BD86" i="80"/>
  <c r="BF86" i="80" s="1"/>
  <c r="BD100" i="68"/>
  <c r="BE100" i="68" s="1"/>
  <c r="AU80" i="71"/>
  <c r="AV80" i="71" s="1"/>
  <c r="AU80" i="66"/>
  <c r="AW80" i="66" s="1"/>
  <c r="BD68" i="82"/>
  <c r="BJ68" i="82" s="1"/>
  <c r="BK68" i="82" s="1"/>
  <c r="D214" i="2"/>
  <c r="AU87" i="83"/>
  <c r="BD139" i="83"/>
  <c r="BJ74" i="69"/>
  <c r="BK74" i="69" s="1"/>
  <c r="BJ86" i="74"/>
  <c r="BK86" i="74" s="1"/>
  <c r="BJ66" i="81"/>
  <c r="BK66" i="81" s="1"/>
  <c r="M530" i="7"/>
  <c r="M49" i="7"/>
  <c r="M299" i="7"/>
  <c r="M175" i="7"/>
  <c r="M714" i="7"/>
  <c r="M685" i="7"/>
  <c r="M915" i="7"/>
  <c r="M1019" i="7"/>
  <c r="M831" i="7"/>
  <c r="M281" i="7"/>
  <c r="M315" i="7"/>
  <c r="M727" i="7"/>
  <c r="BJ116" i="73" s="1"/>
  <c r="BK116" i="73" s="1"/>
  <c r="M136" i="7"/>
  <c r="M185" i="7"/>
  <c r="M881" i="7"/>
  <c r="M288" i="7"/>
  <c r="M183" i="7"/>
  <c r="M37" i="7"/>
  <c r="M108" i="7"/>
  <c r="M1026" i="7"/>
  <c r="M678" i="7"/>
  <c r="M273" i="7"/>
  <c r="M504" i="7"/>
  <c r="M580" i="7"/>
  <c r="M774" i="7"/>
  <c r="M285" i="7"/>
  <c r="M605" i="7"/>
  <c r="BA104" i="68" s="1"/>
  <c r="BB104" i="68" s="1"/>
  <c r="M767" i="7"/>
  <c r="M66" i="7"/>
  <c r="M920" i="7"/>
  <c r="M291" i="7"/>
  <c r="M874" i="7"/>
  <c r="M645" i="7"/>
  <c r="BA45" i="87" s="1"/>
  <c r="BB45" i="87" s="1"/>
  <c r="M151" i="7"/>
  <c r="M360" i="7"/>
  <c r="M287" i="7"/>
  <c r="M380" i="7"/>
  <c r="M524" i="7"/>
  <c r="M777" i="7"/>
  <c r="M89" i="7"/>
  <c r="M617" i="7"/>
  <c r="BJ56" i="87" s="1"/>
  <c r="BK56" i="87" s="1"/>
  <c r="M1027" i="7"/>
  <c r="M666" i="7"/>
  <c r="M238" i="7"/>
  <c r="M322" i="7"/>
  <c r="M636" i="7"/>
  <c r="BJ67" i="84" s="1"/>
  <c r="BK67" i="84" s="1"/>
  <c r="M61" i="7"/>
  <c r="M993" i="7"/>
  <c r="M624" i="7"/>
  <c r="BA40" i="86" s="1"/>
  <c r="BB40" i="86" s="1"/>
  <c r="M24" i="7"/>
  <c r="M513" i="7"/>
  <c r="M733" i="7"/>
  <c r="M468" i="7"/>
  <c r="M44" i="7"/>
  <c r="M129" i="7"/>
  <c r="M691" i="7"/>
  <c r="M348" i="7"/>
  <c r="M177" i="7"/>
  <c r="M271" i="7"/>
  <c r="M925" i="7"/>
  <c r="M647" i="7"/>
  <c r="BA47" i="84" s="1"/>
  <c r="BB47" i="84" s="1"/>
  <c r="M47" i="7"/>
  <c r="M347" i="7"/>
  <c r="M104" i="7"/>
  <c r="M903" i="7"/>
  <c r="M829" i="7"/>
  <c r="M553" i="7"/>
  <c r="M499" i="7"/>
  <c r="M811" i="7"/>
  <c r="M1042" i="7"/>
  <c r="M110" i="7"/>
  <c r="M576" i="7"/>
  <c r="M921" i="7"/>
  <c r="M798" i="7"/>
  <c r="M327" i="7"/>
  <c r="M779" i="7"/>
  <c r="M440" i="7"/>
  <c r="M211" i="7"/>
  <c r="M750" i="7"/>
  <c r="M102" i="7"/>
  <c r="M655" i="7"/>
  <c r="BJ81" i="87" s="1"/>
  <c r="BK81" i="87" s="1"/>
  <c r="M53" i="7"/>
  <c r="M555" i="7"/>
  <c r="M474" i="7"/>
  <c r="M901" i="7"/>
  <c r="M818" i="7"/>
  <c r="M671" i="7"/>
  <c r="M758" i="7"/>
  <c r="M214" i="7"/>
  <c r="M559" i="7"/>
  <c r="M606" i="7"/>
  <c r="BJ142" i="74" s="1"/>
  <c r="BK142" i="74" s="1"/>
  <c r="M701" i="7"/>
  <c r="M388" i="7"/>
  <c r="M849" i="7"/>
  <c r="M70" i="7"/>
  <c r="M88" i="7"/>
  <c r="M165" i="7"/>
  <c r="M460" i="7"/>
  <c r="M1000" i="7"/>
  <c r="M222" i="7"/>
  <c r="M41" i="7"/>
  <c r="M1008" i="7"/>
  <c r="M810" i="7"/>
  <c r="M739" i="7"/>
  <c r="M160" i="7"/>
  <c r="M142" i="7"/>
  <c r="M114" i="7"/>
  <c r="M836" i="7"/>
  <c r="M263" i="7"/>
  <c r="M409" i="7"/>
  <c r="M483" i="7"/>
  <c r="M219" i="7"/>
  <c r="M1041" i="7"/>
  <c r="M1014" i="7"/>
  <c r="M520" i="7"/>
  <c r="M942" i="7"/>
  <c r="M619" i="7"/>
  <c r="M984" i="7"/>
  <c r="M738" i="7"/>
  <c r="M84" i="7"/>
  <c r="M789" i="7"/>
  <c r="M1043" i="7"/>
  <c r="M354" i="7"/>
  <c r="M906" i="7"/>
  <c r="M879" i="7"/>
  <c r="M745" i="7"/>
  <c r="M543" i="7"/>
  <c r="M728" i="7"/>
  <c r="M743" i="7"/>
  <c r="M120" i="7"/>
  <c r="M621" i="7"/>
  <c r="BA37" i="84" s="1"/>
  <c r="BB37" i="84" s="1"/>
  <c r="M766" i="7"/>
  <c r="M669" i="7"/>
  <c r="M275" i="7"/>
  <c r="M210" i="7"/>
  <c r="M926" i="7"/>
  <c r="M239" i="7"/>
  <c r="M32" i="7"/>
  <c r="M697" i="7"/>
  <c r="M251" i="7"/>
  <c r="M241" i="7"/>
  <c r="M534" i="7"/>
  <c r="M200" i="7"/>
  <c r="M76" i="7"/>
  <c r="M25" i="7"/>
  <c r="M57" i="7"/>
  <c r="M990" i="7"/>
  <c r="M913" i="7"/>
  <c r="M392" i="7"/>
  <c r="M518" i="7"/>
  <c r="M167" i="7"/>
  <c r="M861" i="7"/>
  <c r="M614" i="7"/>
  <c r="BJ53" i="84" s="1"/>
  <c r="BK53" i="84" s="1"/>
  <c r="M756" i="7"/>
  <c r="M1038" i="7"/>
  <c r="M131" i="7"/>
  <c r="M46" i="7"/>
  <c r="M737" i="7"/>
  <c r="M593" i="7"/>
  <c r="M35" i="7"/>
  <c r="M620" i="7"/>
  <c r="BA36" i="87" s="1"/>
  <c r="BB36" i="87" s="1"/>
  <c r="M374" i="7"/>
  <c r="M228" i="7"/>
  <c r="M535" i="7"/>
  <c r="M205" i="7"/>
  <c r="M844" i="7"/>
  <c r="M665" i="7"/>
  <c r="G289" i="2" s="1"/>
  <c r="H289" i="2" s="1"/>
  <c r="M15" i="7"/>
  <c r="M248" i="7"/>
  <c r="M125" i="7"/>
  <c r="M157" i="7"/>
  <c r="M1025" i="7"/>
  <c r="M703" i="7"/>
  <c r="M1003" i="7"/>
  <c r="M873" i="7"/>
  <c r="M602" i="7"/>
  <c r="M842" i="7"/>
  <c r="M526" i="7"/>
  <c r="M796" i="7"/>
  <c r="M516" i="7"/>
  <c r="M748" i="7"/>
  <c r="M523" i="7"/>
  <c r="M397" i="7"/>
  <c r="BA65" i="68" s="1"/>
  <c r="M899" i="7"/>
  <c r="M320" i="7"/>
  <c r="M788" i="7"/>
  <c r="M684" i="7"/>
  <c r="M552" i="7"/>
  <c r="M329" i="7"/>
  <c r="M734" i="7"/>
  <c r="M712" i="7"/>
  <c r="M656" i="7"/>
  <c r="BJ82" i="83" s="1"/>
  <c r="BK82" i="83" s="1"/>
  <c r="M54" i="7"/>
  <c r="M642" i="7"/>
  <c r="BJ73" i="86" s="1"/>
  <c r="BK73" i="86" s="1"/>
  <c r="M100" i="7"/>
  <c r="M803" i="7"/>
  <c r="M769" i="7"/>
  <c r="M430" i="7"/>
  <c r="M234" i="7"/>
  <c r="M480" i="7"/>
  <c r="M99" i="7"/>
  <c r="M488" i="7"/>
  <c r="M421" i="7"/>
  <c r="M71" i="7"/>
  <c r="M854" i="7"/>
  <c r="M1016" i="7"/>
  <c r="M316" i="7"/>
  <c r="M677" i="7"/>
  <c r="M1015" i="7"/>
  <c r="M103" i="7"/>
  <c r="M790" i="7"/>
  <c r="M431" i="7"/>
  <c r="M604" i="7"/>
  <c r="M991" i="7"/>
  <c r="M472" i="7"/>
  <c r="M505" i="7"/>
  <c r="M36" i="7"/>
  <c r="M730" i="7"/>
  <c r="M1039" i="7"/>
  <c r="M500" i="7"/>
  <c r="M379" i="7"/>
  <c r="M350" i="7"/>
  <c r="M1006" i="7"/>
  <c r="M313" i="7"/>
  <c r="M55" i="7"/>
  <c r="M332" i="7"/>
  <c r="M357" i="7"/>
  <c r="M827" i="7"/>
  <c r="M86" i="7"/>
  <c r="M833" i="7"/>
  <c r="M453" i="7"/>
  <c r="M204" i="7"/>
  <c r="M595" i="7"/>
  <c r="M342" i="7"/>
  <c r="M960" i="7"/>
  <c r="M381" i="7"/>
  <c r="M735" i="7"/>
  <c r="M257" i="7"/>
  <c r="M764" i="7"/>
  <c r="M955" i="7"/>
  <c r="M989" i="7"/>
  <c r="M152" i="7"/>
  <c r="M502" i="7"/>
  <c r="M1022" i="7"/>
  <c r="M375" i="7"/>
  <c r="M445" i="7"/>
  <c r="M270" i="7"/>
  <c r="M246" i="7"/>
  <c r="M13" i="7"/>
  <c r="M83" i="7"/>
  <c r="M673" i="7"/>
  <c r="M148" i="7"/>
  <c r="M599" i="7"/>
  <c r="M69" i="7"/>
  <c r="M146" i="7"/>
  <c r="M93" i="7"/>
  <c r="M317" i="7"/>
  <c r="BA47" i="67"/>
  <c r="BB47" i="67" s="1"/>
  <c r="BJ75" i="74"/>
  <c r="BK75" i="74" s="1"/>
  <c r="BA18" i="82"/>
  <c r="BB18" i="82" s="1"/>
  <c r="G273" i="2"/>
  <c r="H273" i="2" s="1"/>
  <c r="BJ44" i="82"/>
  <c r="BK44" i="82" s="1"/>
  <c r="BH133" i="71"/>
  <c r="I370" i="2"/>
  <c r="F371" i="2"/>
  <c r="I371" i="2" s="1"/>
  <c r="BF120" i="74"/>
  <c r="BE120" i="74"/>
  <c r="BE120" i="73"/>
  <c r="BF120" i="73"/>
  <c r="BF116" i="70"/>
  <c r="BE116" i="70"/>
  <c r="BE116" i="71"/>
  <c r="BF116" i="71"/>
  <c r="BE86" i="75"/>
  <c r="BF86" i="75"/>
  <c r="BE86" i="76"/>
  <c r="BF86" i="76"/>
  <c r="BE73" i="67"/>
  <c r="BF73" i="67"/>
  <c r="AV37" i="75"/>
  <c r="AW37" i="75"/>
  <c r="AV45" i="74"/>
  <c r="AW45" i="74"/>
  <c r="AW37" i="68"/>
  <c r="AV37" i="68"/>
  <c r="BF39" i="77"/>
  <c r="BE39" i="77"/>
  <c r="BF54" i="69"/>
  <c r="BE54" i="69"/>
  <c r="BE68" i="1"/>
  <c r="BF68" i="1"/>
  <c r="BF69" i="80"/>
  <c r="BE69" i="80"/>
  <c r="BF57" i="81"/>
  <c r="BE57" i="81"/>
  <c r="BF50" i="75"/>
  <c r="BE50" i="75"/>
  <c r="BF64" i="1"/>
  <c r="BE64" i="1"/>
  <c r="BE64" i="67"/>
  <c r="BF64" i="67"/>
  <c r="BF111" i="76"/>
  <c r="BE111" i="76"/>
  <c r="BF108" i="78"/>
  <c r="BE108" i="78"/>
  <c r="BE133" i="73"/>
  <c r="BF133" i="73"/>
  <c r="BE71" i="77"/>
  <c r="BF71" i="77"/>
  <c r="AV102" i="68"/>
  <c r="AW102" i="68"/>
  <c r="BF133" i="71"/>
  <c r="BE133" i="71"/>
  <c r="AW57" i="68"/>
  <c r="AV57" i="68"/>
  <c r="AW56" i="78"/>
  <c r="AV56" i="78"/>
  <c r="AV34" i="82"/>
  <c r="AW34" i="82"/>
  <c r="BF82" i="1"/>
  <c r="BE82" i="1"/>
  <c r="BE106" i="68"/>
  <c r="BF106" i="68"/>
  <c r="BE94" i="76"/>
  <c r="BF94" i="76"/>
  <c r="BF90" i="75"/>
  <c r="BE90" i="75"/>
  <c r="BE90" i="76"/>
  <c r="BF90" i="76"/>
  <c r="BE86" i="69"/>
  <c r="BF86" i="69"/>
  <c r="AW88" i="80"/>
  <c r="AV88" i="80"/>
  <c r="AW113" i="75"/>
  <c r="AV113" i="75"/>
  <c r="AV50" i="73"/>
  <c r="AW50" i="73"/>
  <c r="BF60" i="68"/>
  <c r="BE60" i="68"/>
  <c r="AW25" i="77"/>
  <c r="AV25" i="77"/>
  <c r="AV45" i="67"/>
  <c r="AW45" i="67"/>
  <c r="BE59" i="75"/>
  <c r="BF59" i="75"/>
  <c r="BE59" i="69"/>
  <c r="BF59" i="69"/>
  <c r="BF61" i="81"/>
  <c r="BE61" i="81"/>
  <c r="BE68" i="70"/>
  <c r="BF68" i="70"/>
  <c r="BF50" i="69"/>
  <c r="BE50" i="69"/>
  <c r="AW26" i="76"/>
  <c r="AV26" i="76"/>
  <c r="BF75" i="77"/>
  <c r="BE75" i="77"/>
  <c r="BF74" i="82"/>
  <c r="BE74" i="82"/>
  <c r="AW117" i="75"/>
  <c r="AV117" i="75"/>
  <c r="BE133" i="70"/>
  <c r="BF133" i="70"/>
  <c r="AW71" i="77"/>
  <c r="AV71" i="77"/>
  <c r="BF84" i="81"/>
  <c r="BE84" i="81"/>
  <c r="BF106" i="70"/>
  <c r="BE106" i="70"/>
  <c r="BE106" i="67"/>
  <c r="BF106" i="67"/>
  <c r="AW71" i="73"/>
  <c r="AV71" i="73"/>
  <c r="AW56" i="70"/>
  <c r="AV56" i="70"/>
  <c r="BF65" i="68"/>
  <c r="BE65" i="68"/>
  <c r="BF120" i="1"/>
  <c r="BE120" i="1"/>
  <c r="BE95" i="68"/>
  <c r="BF95" i="68"/>
  <c r="BF120" i="66"/>
  <c r="BE120" i="66"/>
  <c r="BF116" i="67"/>
  <c r="BE116" i="67"/>
  <c r="BF112" i="70"/>
  <c r="BE112" i="70"/>
  <c r="BF87" i="68"/>
  <c r="BE87" i="68"/>
  <c r="BF117" i="75"/>
  <c r="BE117" i="75"/>
  <c r="AW50" i="70"/>
  <c r="AV50" i="70"/>
  <c r="AV45" i="70"/>
  <c r="AW45" i="70"/>
  <c r="BE73" i="1"/>
  <c r="BF73" i="1"/>
  <c r="AW37" i="69"/>
  <c r="AV37" i="69"/>
  <c r="BE59" i="76"/>
  <c r="BF59" i="76"/>
  <c r="BF73" i="71"/>
  <c r="BE73" i="71"/>
  <c r="BE54" i="76"/>
  <c r="BF54" i="76"/>
  <c r="BF68" i="67"/>
  <c r="BE68" i="67"/>
  <c r="BF68" i="66"/>
  <c r="BE68" i="66"/>
  <c r="BF51" i="68"/>
  <c r="BE51" i="68"/>
  <c r="BE64" i="73"/>
  <c r="BF64" i="73"/>
  <c r="BF64" i="74"/>
  <c r="BE64" i="74"/>
  <c r="AV34" i="1"/>
  <c r="AW34" i="1"/>
  <c r="AW75" i="77"/>
  <c r="AV75" i="77"/>
  <c r="BF137" i="71"/>
  <c r="BE137" i="71"/>
  <c r="BF92" i="80"/>
  <c r="BE92" i="80"/>
  <c r="AW111" i="76"/>
  <c r="AV111" i="76"/>
  <c r="BF113" i="75"/>
  <c r="BE113" i="75"/>
  <c r="AW101" i="69"/>
  <c r="AV101" i="69"/>
  <c r="AW139" i="74"/>
  <c r="AV139" i="74"/>
  <c r="BF106" i="1"/>
  <c r="BE106" i="1"/>
  <c r="AW71" i="67"/>
  <c r="AV71" i="67"/>
  <c r="AV57" i="76"/>
  <c r="AW57" i="76"/>
  <c r="AV46" i="81"/>
  <c r="AW46" i="81"/>
  <c r="AV44" i="75"/>
  <c r="AW44" i="75"/>
  <c r="F369" i="2"/>
  <c r="I369" i="2" s="1"/>
  <c r="I367" i="2"/>
  <c r="F368" i="2"/>
  <c r="I368" i="2" s="1"/>
  <c r="BE120" i="67"/>
  <c r="BF120" i="67"/>
  <c r="BF120" i="70"/>
  <c r="BE120" i="70"/>
  <c r="BE116" i="73"/>
  <c r="BF116" i="73"/>
  <c r="BE112" i="73"/>
  <c r="BF112" i="73"/>
  <c r="BF112" i="71"/>
  <c r="BE112" i="71"/>
  <c r="BF112" i="74"/>
  <c r="BE112" i="74"/>
  <c r="BE88" i="80"/>
  <c r="BF88" i="80"/>
  <c r="AW50" i="74"/>
  <c r="AV50" i="74"/>
  <c r="AW45" i="73"/>
  <c r="AV45" i="73"/>
  <c r="BF73" i="70"/>
  <c r="BE73" i="70"/>
  <c r="AV45" i="1"/>
  <c r="AW45" i="1"/>
  <c r="BE73" i="74"/>
  <c r="BF73" i="74"/>
  <c r="BE68" i="73"/>
  <c r="BF68" i="73"/>
  <c r="BE68" i="74"/>
  <c r="BF68" i="74"/>
  <c r="BF64" i="70"/>
  <c r="BE64" i="70"/>
  <c r="BE50" i="76"/>
  <c r="BF50" i="76"/>
  <c r="AW131" i="67"/>
  <c r="AV131" i="67"/>
  <c r="BF88" i="81"/>
  <c r="BE88" i="81"/>
  <c r="BE105" i="69"/>
  <c r="BF105" i="69"/>
  <c r="AW137" i="70"/>
  <c r="AV137" i="70"/>
  <c r="BF127" i="67"/>
  <c r="BE127" i="67"/>
  <c r="BF107" i="76"/>
  <c r="BE107" i="76"/>
  <c r="AW127" i="67"/>
  <c r="AV127" i="67"/>
  <c r="BF70" i="82"/>
  <c r="BE70" i="82"/>
  <c r="AW133" i="73"/>
  <c r="AV133" i="73"/>
  <c r="BE106" i="74"/>
  <c r="BF106" i="74"/>
  <c r="AW71" i="71"/>
  <c r="AV71" i="71"/>
  <c r="AV57" i="75"/>
  <c r="AW57" i="75"/>
  <c r="AW60" i="71"/>
  <c r="AV60" i="71"/>
  <c r="AW43" i="80"/>
  <c r="AV43" i="80"/>
  <c r="AV127" i="1"/>
  <c r="AW127" i="1"/>
  <c r="BF136" i="73"/>
  <c r="BE136" i="73"/>
  <c r="BF142" i="74"/>
  <c r="BE142" i="74"/>
  <c r="BF87" i="81"/>
  <c r="BE87" i="81"/>
  <c r="AW106" i="68"/>
  <c r="AV106" i="68"/>
  <c r="AV119" i="66"/>
  <c r="AW119" i="66"/>
  <c r="BF127" i="66"/>
  <c r="BE127" i="66"/>
  <c r="BF90" i="80"/>
  <c r="BE90" i="80"/>
  <c r="AV141" i="74"/>
  <c r="AW141" i="74"/>
  <c r="BF107" i="78"/>
  <c r="BE107" i="78"/>
  <c r="AV72" i="82"/>
  <c r="AW72" i="82"/>
  <c r="BF102" i="68"/>
  <c r="BE102" i="68"/>
  <c r="BF72" i="82"/>
  <c r="BE72" i="82"/>
  <c r="AW106" i="78"/>
  <c r="AV106" i="78"/>
  <c r="AV115" i="75"/>
  <c r="AW115" i="75"/>
  <c r="BE103" i="69"/>
  <c r="BF103" i="69"/>
  <c r="AV121" i="66"/>
  <c r="AW121" i="66"/>
  <c r="AW92" i="80"/>
  <c r="AV92" i="80"/>
  <c r="AV108" i="78"/>
  <c r="AW108" i="78"/>
  <c r="AW84" i="81"/>
  <c r="AV84" i="81"/>
  <c r="BF135" i="71"/>
  <c r="BE135" i="71"/>
  <c r="AV104" i="68"/>
  <c r="AW104" i="68"/>
  <c r="AW74" i="82"/>
  <c r="AV74" i="82"/>
  <c r="AW131" i="1"/>
  <c r="AV131" i="1"/>
  <c r="AW88" i="81"/>
  <c r="AV88" i="81"/>
  <c r="BE137" i="73"/>
  <c r="BF137" i="73"/>
  <c r="AV105" i="69"/>
  <c r="AW105" i="69"/>
  <c r="AW70" i="82"/>
  <c r="AV70" i="82"/>
  <c r="BF136" i="70"/>
  <c r="BE136" i="70"/>
  <c r="AV133" i="70"/>
  <c r="AW133" i="70"/>
  <c r="BE131" i="1"/>
  <c r="BF131" i="1"/>
  <c r="BE143" i="74"/>
  <c r="BF143" i="74"/>
  <c r="AW129" i="71"/>
  <c r="AV129" i="71"/>
  <c r="AW143" i="74"/>
  <c r="AV143" i="74"/>
  <c r="AV137" i="73"/>
  <c r="AW137" i="73"/>
  <c r="BF127" i="1"/>
  <c r="BE127" i="1"/>
  <c r="BF139" i="74"/>
  <c r="BE139" i="74"/>
  <c r="AV125" i="71"/>
  <c r="AW125" i="71"/>
  <c r="AV123" i="66"/>
  <c r="AW123" i="66"/>
  <c r="AV129" i="67"/>
  <c r="AW129" i="67"/>
  <c r="BF131" i="66"/>
  <c r="BE131" i="66"/>
  <c r="BF104" i="78"/>
  <c r="BE104" i="78"/>
  <c r="AW107" i="76"/>
  <c r="AV107" i="76"/>
  <c r="B72" i="2"/>
  <c r="AU16" i="73" s="1"/>
  <c r="B73" i="2"/>
  <c r="BD29" i="74" s="1"/>
  <c r="AW4" i="74"/>
  <c r="AZ19" i="74" s="1"/>
  <c r="AH75" i="2" s="1"/>
  <c r="BJ67" i="81"/>
  <c r="BK67" i="81" s="1"/>
  <c r="B191" i="2"/>
  <c r="AU85" i="84" s="1"/>
  <c r="BA85" i="84" s="1"/>
  <c r="BB85" i="84" s="1"/>
  <c r="B110" i="2"/>
  <c r="AU50" i="80" s="1"/>
  <c r="B166" i="2"/>
  <c r="B141" i="2"/>
  <c r="AU85" i="83" s="1"/>
  <c r="B37" i="2"/>
  <c r="AU46" i="77" s="1"/>
  <c r="B69" i="2"/>
  <c r="BA48" i="68"/>
  <c r="BB48" i="68" s="1"/>
  <c r="BJ86" i="67"/>
  <c r="BK86" i="67" s="1"/>
  <c r="G27" i="2"/>
  <c r="H27" i="2" s="1"/>
  <c r="BJ25" i="70"/>
  <c r="BK25" i="70" s="1"/>
  <c r="BJ86" i="78"/>
  <c r="BK86" i="78" s="1"/>
  <c r="BJ15" i="77"/>
  <c r="BK15" i="77" s="1"/>
  <c r="BJ86" i="70"/>
  <c r="BK86" i="70" s="1"/>
  <c r="BJ86" i="73"/>
  <c r="BK86" i="73" s="1"/>
  <c r="BJ86" i="1"/>
  <c r="BK86" i="1" s="1"/>
  <c r="BA49" i="69"/>
  <c r="BB49" i="69" s="1"/>
  <c r="BA38" i="76"/>
  <c r="BB38" i="76" s="1"/>
  <c r="BA46" i="70"/>
  <c r="BB46" i="70" s="1"/>
  <c r="BA46" i="71"/>
  <c r="BB46" i="71" s="1"/>
  <c r="G286" i="2"/>
  <c r="H286" i="2" s="1"/>
  <c r="BJ40" i="77"/>
  <c r="BK40" i="77" s="1"/>
  <c r="BA38" i="68"/>
  <c r="BB38" i="68" s="1"/>
  <c r="BA46" i="66"/>
  <c r="BB46" i="66" s="1"/>
  <c r="BA46" i="67"/>
  <c r="BB46" i="67" s="1"/>
  <c r="BJ74" i="67"/>
  <c r="BK74" i="67" s="1"/>
  <c r="BA46" i="1"/>
  <c r="BB46" i="1" s="1"/>
  <c r="BA38" i="69"/>
  <c r="BB38" i="69" s="1"/>
  <c r="BA38" i="75"/>
  <c r="BB38" i="75" s="1"/>
  <c r="BJ74" i="70"/>
  <c r="BK74" i="70" s="1"/>
  <c r="G236" i="2"/>
  <c r="H236" i="2" s="1"/>
  <c r="BJ37" i="74"/>
  <c r="BK37" i="74" s="1"/>
  <c r="BJ37" i="70"/>
  <c r="BK37" i="70" s="1"/>
  <c r="BJ37" i="73"/>
  <c r="BK37" i="73" s="1"/>
  <c r="BJ37" i="67"/>
  <c r="BK37" i="67" s="1"/>
  <c r="BJ37" i="1"/>
  <c r="BK37" i="1" s="1"/>
  <c r="BJ58" i="70"/>
  <c r="BK58" i="70" s="1"/>
  <c r="BJ58" i="66"/>
  <c r="BK58" i="66" s="1"/>
  <c r="BJ44" i="76"/>
  <c r="BK44" i="76" s="1"/>
  <c r="BJ51" i="81"/>
  <c r="BK51" i="81" s="1"/>
  <c r="BJ41" i="82"/>
  <c r="BK41" i="82" s="1"/>
  <c r="BJ58" i="1"/>
  <c r="BK58" i="1" s="1"/>
  <c r="BJ44" i="69"/>
  <c r="BK44" i="69" s="1"/>
  <c r="G265" i="2"/>
  <c r="H265" i="2" s="1"/>
  <c r="BJ59" i="80"/>
  <c r="BK59" i="80" s="1"/>
  <c r="BJ58" i="71"/>
  <c r="BK58" i="71" s="1"/>
  <c r="BJ45" i="68"/>
  <c r="BK45" i="68" s="1"/>
  <c r="BJ58" i="73"/>
  <c r="BK58" i="73" s="1"/>
  <c r="BJ58" i="67"/>
  <c r="BK58" i="67" s="1"/>
  <c r="BJ44" i="75"/>
  <c r="BK44" i="75" s="1"/>
  <c r="BJ71" i="78"/>
  <c r="BK71" i="78" s="1"/>
  <c r="BJ58" i="74"/>
  <c r="BK58" i="74" s="1"/>
  <c r="G275" i="2"/>
  <c r="H275" i="2" s="1"/>
  <c r="BJ63" i="1"/>
  <c r="BK63" i="1" s="1"/>
  <c r="BJ63" i="67"/>
  <c r="BK63" i="67" s="1"/>
  <c r="BJ49" i="75"/>
  <c r="BK49" i="75" s="1"/>
  <c r="BJ56" i="81"/>
  <c r="BK56" i="81" s="1"/>
  <c r="BJ46" i="82"/>
  <c r="BK46" i="82" s="1"/>
  <c r="BJ63" i="73"/>
  <c r="BK63" i="73" s="1"/>
  <c r="BJ50" i="68"/>
  <c r="BK50" i="68" s="1"/>
  <c r="BJ49" i="69"/>
  <c r="BK49" i="69" s="1"/>
  <c r="BJ63" i="70"/>
  <c r="BK63" i="70" s="1"/>
  <c r="BJ64" i="80"/>
  <c r="BK64" i="80" s="1"/>
  <c r="BJ49" i="76"/>
  <c r="BK49" i="76" s="1"/>
  <c r="BJ76" i="78"/>
  <c r="BK76" i="78" s="1"/>
  <c r="BJ63" i="66"/>
  <c r="BK63" i="66" s="1"/>
  <c r="BJ63" i="71"/>
  <c r="BK63" i="71" s="1"/>
  <c r="BA55" i="76"/>
  <c r="BB55" i="76" s="1"/>
  <c r="BA69" i="73"/>
  <c r="BB69" i="73" s="1"/>
  <c r="BA69" i="67"/>
  <c r="BB69" i="67" s="1"/>
  <c r="BA55" i="68"/>
  <c r="BB55" i="68" s="1"/>
  <c r="BA69" i="1"/>
  <c r="BB69" i="1" s="1"/>
  <c r="BA55" i="75"/>
  <c r="BB55" i="75" s="1"/>
  <c r="BA69" i="70"/>
  <c r="BB69" i="70" s="1"/>
  <c r="BA69" i="66"/>
  <c r="BB69" i="66" s="1"/>
  <c r="BA55" i="69"/>
  <c r="BB55" i="69" s="1"/>
  <c r="G335" i="2"/>
  <c r="H335" i="2" s="1"/>
  <c r="BA69" i="74"/>
  <c r="BB69" i="74" s="1"/>
  <c r="G368" i="2"/>
  <c r="H368" i="2" s="1"/>
  <c r="BJ87" i="66"/>
  <c r="BK87" i="66" s="1"/>
  <c r="BJ74" i="66"/>
  <c r="BK74" i="66" s="1"/>
  <c r="BA64" i="75"/>
  <c r="BB64" i="75" s="1"/>
  <c r="BJ20" i="75"/>
  <c r="BK20" i="75" s="1"/>
  <c r="BA64" i="76"/>
  <c r="BB64" i="76" s="1"/>
  <c r="BJ111" i="66"/>
  <c r="BK111" i="66" s="1"/>
  <c r="BJ111" i="70"/>
  <c r="BK111" i="70" s="1"/>
  <c r="BJ111" i="74"/>
  <c r="BK111" i="74" s="1"/>
  <c r="BJ111" i="1"/>
  <c r="BK111" i="1" s="1"/>
  <c r="BJ85" i="76"/>
  <c r="BK85" i="76" s="1"/>
  <c r="BJ111" i="67"/>
  <c r="BK111" i="67" s="1"/>
  <c r="G346" i="2"/>
  <c r="H346" i="2" s="1"/>
  <c r="BJ85" i="69"/>
  <c r="BK85" i="69" s="1"/>
  <c r="BJ111" i="73"/>
  <c r="BK111" i="73" s="1"/>
  <c r="BJ111" i="71"/>
  <c r="BK111" i="71" s="1"/>
  <c r="BJ86" i="68"/>
  <c r="BK86" i="68" s="1"/>
  <c r="BJ85" i="75"/>
  <c r="BK85" i="75" s="1"/>
  <c r="BJ36" i="75"/>
  <c r="BK36" i="75" s="1"/>
  <c r="BJ50" i="70"/>
  <c r="BK50" i="70" s="1"/>
  <c r="BJ50" i="67"/>
  <c r="BK50" i="67" s="1"/>
  <c r="BJ50" i="66"/>
  <c r="BK50" i="66" s="1"/>
  <c r="G257" i="2"/>
  <c r="H257" i="2" s="1"/>
  <c r="BJ37" i="68"/>
  <c r="BK37" i="68" s="1"/>
  <c r="BJ51" i="80"/>
  <c r="BK51" i="80" s="1"/>
  <c r="BJ36" i="76"/>
  <c r="BK36" i="76" s="1"/>
  <c r="BJ50" i="71"/>
  <c r="BK50" i="71" s="1"/>
  <c r="BJ50" i="74"/>
  <c r="BK50" i="74" s="1"/>
  <c r="BJ36" i="69"/>
  <c r="BK36" i="69" s="1"/>
  <c r="BJ63" i="78"/>
  <c r="BK63" i="78" s="1"/>
  <c r="BJ50" i="1"/>
  <c r="BK50" i="1" s="1"/>
  <c r="BJ43" i="81"/>
  <c r="BK43" i="81" s="1"/>
  <c r="BJ22" i="77"/>
  <c r="BK22" i="77" s="1"/>
  <c r="BJ33" i="82"/>
  <c r="BK33" i="82" s="1"/>
  <c r="BJ50" i="73"/>
  <c r="BK50" i="73" s="1"/>
  <c r="G140" i="2"/>
  <c r="H140" i="2" s="1"/>
  <c r="BJ24" i="73"/>
  <c r="BK24" i="73" s="1"/>
  <c r="BJ87" i="71"/>
  <c r="BK87" i="71" s="1"/>
  <c r="BA26" i="77"/>
  <c r="BB26" i="77" s="1"/>
  <c r="BJ57" i="74"/>
  <c r="BK57" i="74" s="1"/>
  <c r="BJ43" i="69"/>
  <c r="BK43" i="69" s="1"/>
  <c r="BJ57" i="70"/>
  <c r="BK57" i="70" s="1"/>
  <c r="BJ57" i="1"/>
  <c r="BK57" i="1" s="1"/>
  <c r="BJ57" i="66"/>
  <c r="BK57" i="66" s="1"/>
  <c r="BJ58" i="80"/>
  <c r="BK58" i="80" s="1"/>
  <c r="BJ57" i="73"/>
  <c r="BK57" i="73" s="1"/>
  <c r="BJ70" i="78"/>
  <c r="BK70" i="78" s="1"/>
  <c r="G264" i="2"/>
  <c r="H264" i="2" s="1"/>
  <c r="BJ43" i="75"/>
  <c r="BK43" i="75" s="1"/>
  <c r="BJ29" i="77"/>
  <c r="BK29" i="77" s="1"/>
  <c r="BJ43" i="76"/>
  <c r="BK43" i="76" s="1"/>
  <c r="BJ44" i="68"/>
  <c r="BK44" i="68" s="1"/>
  <c r="BJ50" i="81"/>
  <c r="BK50" i="81" s="1"/>
  <c r="BJ40" i="82"/>
  <c r="BK40" i="82" s="1"/>
  <c r="BJ57" i="67"/>
  <c r="BK57" i="67" s="1"/>
  <c r="BJ57" i="71"/>
  <c r="BK57" i="71" s="1"/>
  <c r="BJ111" i="75"/>
  <c r="BK111" i="75" s="1"/>
  <c r="G313" i="2"/>
  <c r="H313" i="2" s="1"/>
  <c r="BA50" i="78"/>
  <c r="BB50" i="78" s="1"/>
  <c r="BA54" i="1"/>
  <c r="BB54" i="1" s="1"/>
  <c r="BA40" i="81"/>
  <c r="BB40" i="81" s="1"/>
  <c r="BA54" i="70"/>
  <c r="BB54" i="70" s="1"/>
  <c r="BA54" i="74"/>
  <c r="BB54" i="74" s="1"/>
  <c r="BA54" i="73"/>
  <c r="BB54" i="73" s="1"/>
  <c r="G304" i="2"/>
  <c r="H304" i="2" s="1"/>
  <c r="BA54" i="67"/>
  <c r="BB54" i="67" s="1"/>
  <c r="BJ102" i="68"/>
  <c r="BK102" i="68" s="1"/>
  <c r="BJ101" i="69"/>
  <c r="BK101" i="69" s="1"/>
  <c r="BA107" i="76"/>
  <c r="BB107" i="76" s="1"/>
  <c r="BJ139" i="74"/>
  <c r="BK139" i="74" s="1"/>
  <c r="BA125" i="71"/>
  <c r="BB125" i="71" s="1"/>
  <c r="BA139" i="74"/>
  <c r="BB139" i="74" s="1"/>
  <c r="BJ70" i="82"/>
  <c r="BK70" i="82" s="1"/>
  <c r="BJ84" i="81"/>
  <c r="BK84" i="81" s="1"/>
  <c r="BA119" i="66"/>
  <c r="BB119" i="66" s="1"/>
  <c r="BA127" i="67"/>
  <c r="BB127" i="67" s="1"/>
  <c r="BA102" i="68"/>
  <c r="BB102" i="68" s="1"/>
  <c r="BA71" i="77"/>
  <c r="BB71" i="77" s="1"/>
  <c r="BA104" i="78"/>
  <c r="BA101" i="69"/>
  <c r="BB101" i="69" s="1"/>
  <c r="BA88" i="80"/>
  <c r="BB88" i="80" s="1"/>
  <c r="BJ71" i="77"/>
  <c r="BK71" i="77" s="1"/>
  <c r="BA127" i="1"/>
  <c r="BB127" i="1" s="1"/>
  <c r="BJ107" i="76"/>
  <c r="BK107" i="76" s="1"/>
  <c r="BJ113" i="75"/>
  <c r="BK113" i="75" s="1"/>
  <c r="G361" i="2"/>
  <c r="H361" i="2" s="1"/>
  <c r="BJ133" i="73"/>
  <c r="BA84" i="81"/>
  <c r="BB84" i="81" s="1"/>
  <c r="BJ127" i="1"/>
  <c r="BK127" i="1" s="1"/>
  <c r="BJ88" i="80"/>
  <c r="BA133" i="73"/>
  <c r="BB133" i="73" s="1"/>
  <c r="BJ127" i="66"/>
  <c r="BK127" i="66" s="1"/>
  <c r="BA70" i="82"/>
  <c r="BB70" i="82" s="1"/>
  <c r="BJ127" i="67"/>
  <c r="BK127" i="67" s="1"/>
  <c r="BJ133" i="71"/>
  <c r="BJ133" i="70"/>
  <c r="BK133" i="70" s="1"/>
  <c r="BJ104" i="78"/>
  <c r="BA133" i="70"/>
  <c r="BB133" i="70" s="1"/>
  <c r="BA113" i="75"/>
  <c r="BB113" i="75" s="1"/>
  <c r="BA26" i="70"/>
  <c r="BB26" i="70" s="1"/>
  <c r="BA26" i="66"/>
  <c r="BB26" i="66" s="1"/>
  <c r="BA26" i="71"/>
  <c r="BB26" i="71" s="1"/>
  <c r="BA26" i="73"/>
  <c r="BB26" i="73" s="1"/>
  <c r="BA26" i="1"/>
  <c r="BB26" i="1" s="1"/>
  <c r="G234" i="2"/>
  <c r="H234" i="2" s="1"/>
  <c r="BA26" i="74"/>
  <c r="BB26" i="74" s="1"/>
  <c r="BA26" i="67"/>
  <c r="BB26" i="67" s="1"/>
  <c r="BA55" i="70"/>
  <c r="BB55" i="70" s="1"/>
  <c r="BA41" i="81"/>
  <c r="BB41" i="81" s="1"/>
  <c r="BA55" i="66"/>
  <c r="BB55" i="66" s="1"/>
  <c r="BA55" i="67"/>
  <c r="BB55" i="67" s="1"/>
  <c r="BA55" i="1"/>
  <c r="BB55" i="1" s="1"/>
  <c r="BA55" i="73"/>
  <c r="BB55" i="73" s="1"/>
  <c r="BA55" i="71"/>
  <c r="BB55" i="71" s="1"/>
  <c r="BA51" i="78"/>
  <c r="BB51" i="78" s="1"/>
  <c r="BA55" i="74"/>
  <c r="BB55" i="74" s="1"/>
  <c r="BA42" i="80"/>
  <c r="BB42" i="80" s="1"/>
  <c r="G305" i="2"/>
  <c r="H305" i="2" s="1"/>
  <c r="BJ87" i="73"/>
  <c r="BK87" i="73" s="1"/>
  <c r="BJ60" i="76"/>
  <c r="BK60" i="76" s="1"/>
  <c r="BA30" i="68"/>
  <c r="BB30" i="68" s="1"/>
  <c r="BA44" i="78"/>
  <c r="BB44" i="78" s="1"/>
  <c r="BA38" i="74"/>
  <c r="BB38" i="74" s="1"/>
  <c r="BA30" i="75"/>
  <c r="BB30" i="75" s="1"/>
  <c r="BA38" i="1"/>
  <c r="BB38" i="1" s="1"/>
  <c r="BA38" i="67"/>
  <c r="BB38" i="67" s="1"/>
  <c r="BA37" i="80"/>
  <c r="BB37" i="80" s="1"/>
  <c r="BA20" i="77"/>
  <c r="BB20" i="77" s="1"/>
  <c r="BA28" i="82"/>
  <c r="BB28" i="82" s="1"/>
  <c r="BA38" i="71"/>
  <c r="BB38" i="71" s="1"/>
  <c r="G268" i="2"/>
  <c r="H268" i="2" s="1"/>
  <c r="BA38" i="73"/>
  <c r="BB38" i="73" s="1"/>
  <c r="BA30" i="69"/>
  <c r="BB30" i="69" s="1"/>
  <c r="BA38" i="66"/>
  <c r="BB38" i="66" s="1"/>
  <c r="BA30" i="76"/>
  <c r="BB30" i="76" s="1"/>
  <c r="BA34" i="81"/>
  <c r="BB34" i="81" s="1"/>
  <c r="BA38" i="70"/>
  <c r="BB38" i="70" s="1"/>
  <c r="BJ73" i="69"/>
  <c r="BK73" i="69" s="1"/>
  <c r="G322" i="2"/>
  <c r="H322" i="2" s="1"/>
  <c r="BJ95" i="74"/>
  <c r="BK95" i="74" s="1"/>
  <c r="BJ73" i="76"/>
  <c r="BK73" i="76" s="1"/>
  <c r="BJ95" i="67"/>
  <c r="BK95" i="67" s="1"/>
  <c r="BJ95" i="66"/>
  <c r="BK95" i="66" s="1"/>
  <c r="BJ95" i="71"/>
  <c r="BK95" i="71" s="1"/>
  <c r="BJ79" i="80"/>
  <c r="BK79" i="80" s="1"/>
  <c r="BJ75" i="81"/>
  <c r="BK75" i="81" s="1"/>
  <c r="BJ61" i="82"/>
  <c r="BK61" i="82" s="1"/>
  <c r="BJ48" i="77"/>
  <c r="BK48" i="77" s="1"/>
  <c r="BJ95" i="70"/>
  <c r="BK95" i="70" s="1"/>
  <c r="BJ73" i="75"/>
  <c r="BK73" i="75" s="1"/>
  <c r="BJ74" i="68"/>
  <c r="BK74" i="68" s="1"/>
  <c r="BJ95" i="78"/>
  <c r="BK95" i="78" s="1"/>
  <c r="BJ26" i="69"/>
  <c r="BK26" i="69" s="1"/>
  <c r="BA16" i="76"/>
  <c r="BB16" i="76" s="1"/>
  <c r="BJ26" i="76"/>
  <c r="BK26" i="76" s="1"/>
  <c r="BA16" i="82"/>
  <c r="BB16" i="82" s="1"/>
  <c r="BA16" i="75"/>
  <c r="BB16" i="75" s="1"/>
  <c r="BA16" i="69"/>
  <c r="BB16" i="69" s="1"/>
  <c r="G219" i="2"/>
  <c r="H219" i="2" s="1"/>
  <c r="BJ26" i="75"/>
  <c r="BK26" i="75" s="1"/>
  <c r="BJ26" i="82"/>
  <c r="BK26" i="82" s="1"/>
  <c r="BJ60" i="69"/>
  <c r="BK60" i="69" s="1"/>
  <c r="BA73" i="71"/>
  <c r="BB73" i="71" s="1"/>
  <c r="G339" i="2"/>
  <c r="H339" i="2" s="1"/>
  <c r="BA73" i="67"/>
  <c r="BB73" i="67" s="1"/>
  <c r="BA73" i="1"/>
  <c r="BB73" i="1" s="1"/>
  <c r="BA73" i="74"/>
  <c r="BB73" i="74" s="1"/>
  <c r="BA59" i="75"/>
  <c r="BB59" i="75" s="1"/>
  <c r="BA42" i="77"/>
  <c r="BB42" i="77" s="1"/>
  <c r="BA73" i="73"/>
  <c r="BB73" i="73" s="1"/>
  <c r="BA73" i="70"/>
  <c r="BB73" i="70" s="1"/>
  <c r="BA59" i="76"/>
  <c r="BB59" i="76" s="1"/>
  <c r="BA73" i="66"/>
  <c r="BB73" i="66" s="1"/>
  <c r="BA59" i="69"/>
  <c r="BB59" i="69" s="1"/>
  <c r="BA59" i="68"/>
  <c r="BB59" i="68" s="1"/>
  <c r="G291" i="2"/>
  <c r="H291" i="2" s="1"/>
  <c r="BA78" i="70"/>
  <c r="BB78" i="70" s="1"/>
  <c r="BA32" i="70"/>
  <c r="BB32" i="70" s="1"/>
  <c r="BA24" i="76"/>
  <c r="BB24" i="76" s="1"/>
  <c r="BA24" i="75"/>
  <c r="BB24" i="75" s="1"/>
  <c r="BA24" i="68"/>
  <c r="BB24" i="68" s="1"/>
  <c r="BA32" i="74"/>
  <c r="BB32" i="74" s="1"/>
  <c r="BA15" i="77"/>
  <c r="BB15" i="77" s="1"/>
  <c r="BJ33" i="77"/>
  <c r="BK33" i="77" s="1"/>
  <c r="BJ61" i="68"/>
  <c r="BK61" i="68" s="1"/>
  <c r="BJ63" i="74"/>
  <c r="BK63" i="74" s="1"/>
  <c r="BA46" i="73"/>
  <c r="BB46" i="73" s="1"/>
  <c r="BA46" i="74"/>
  <c r="BB46" i="74" s="1"/>
  <c r="BJ69" i="70"/>
  <c r="BK69" i="70" s="1"/>
  <c r="BJ55" i="75"/>
  <c r="BK55" i="75" s="1"/>
  <c r="BJ52" i="82"/>
  <c r="BK52" i="82" s="1"/>
  <c r="BJ82" i="78"/>
  <c r="BK82" i="78" s="1"/>
  <c r="BJ55" i="69"/>
  <c r="BK55" i="69" s="1"/>
  <c r="BJ69" i="74"/>
  <c r="BK69" i="74" s="1"/>
  <c r="BJ55" i="76"/>
  <c r="BK55" i="76" s="1"/>
  <c r="G281" i="2"/>
  <c r="H281" i="2" s="1"/>
  <c r="BJ56" i="68"/>
  <c r="BK56" i="68" s="1"/>
  <c r="BJ69" i="73"/>
  <c r="BK69" i="73" s="1"/>
  <c r="BJ69" i="67"/>
  <c r="BK69" i="67" s="1"/>
  <c r="BJ62" i="81"/>
  <c r="BK62" i="81" s="1"/>
  <c r="BJ69" i="1"/>
  <c r="BK69" i="1" s="1"/>
  <c r="BJ52" i="69"/>
  <c r="BK52" i="69" s="1"/>
  <c r="BJ36" i="77"/>
  <c r="BK36" i="77" s="1"/>
  <c r="BJ66" i="73"/>
  <c r="BK66" i="73" s="1"/>
  <c r="BJ52" i="75"/>
  <c r="BK52" i="75" s="1"/>
  <c r="BJ53" i="68"/>
  <c r="BK53" i="68" s="1"/>
  <c r="BJ67" i="80"/>
  <c r="BK67" i="80" s="1"/>
  <c r="BJ66" i="74"/>
  <c r="BK66" i="74" s="1"/>
  <c r="BJ49" i="82"/>
  <c r="BK49" i="82" s="1"/>
  <c r="BJ79" i="78"/>
  <c r="BK79" i="78" s="1"/>
  <c r="BJ66" i="66"/>
  <c r="BK66" i="66" s="1"/>
  <c r="BJ59" i="81"/>
  <c r="BK59" i="81" s="1"/>
  <c r="G278" i="2"/>
  <c r="H278" i="2" s="1"/>
  <c r="BJ66" i="1"/>
  <c r="BK66" i="1" s="1"/>
  <c r="BJ66" i="71"/>
  <c r="BK66" i="71" s="1"/>
  <c r="BJ66" i="70"/>
  <c r="BK66" i="70" s="1"/>
  <c r="BJ66" i="67"/>
  <c r="BK66" i="67" s="1"/>
  <c r="BJ52" i="76"/>
  <c r="BK52" i="76" s="1"/>
  <c r="BJ74" i="74"/>
  <c r="BK74" i="74" s="1"/>
  <c r="BJ74" i="73"/>
  <c r="BK74" i="73" s="1"/>
  <c r="BJ38" i="70"/>
  <c r="BK38" i="70" s="1"/>
  <c r="G237" i="2"/>
  <c r="H237" i="2" s="1"/>
  <c r="BJ38" i="73"/>
  <c r="BK38" i="73" s="1"/>
  <c r="BJ38" i="74"/>
  <c r="BK38" i="74" s="1"/>
  <c r="BJ38" i="1"/>
  <c r="BK38" i="1" s="1"/>
  <c r="BJ38" i="67"/>
  <c r="BK38" i="67" s="1"/>
  <c r="BJ74" i="1"/>
  <c r="BK74" i="1" s="1"/>
  <c r="BA69" i="71"/>
  <c r="BB69" i="71" s="1"/>
  <c r="BJ60" i="75"/>
  <c r="BK60" i="75" s="1"/>
  <c r="BJ74" i="71"/>
  <c r="BK74" i="71" s="1"/>
  <c r="BJ93" i="66"/>
  <c r="BK93" i="66" s="1"/>
  <c r="BJ93" i="73"/>
  <c r="BK93" i="73" s="1"/>
  <c r="BJ71" i="75"/>
  <c r="BK71" i="75" s="1"/>
  <c r="BJ73" i="81"/>
  <c r="BK73" i="81" s="1"/>
  <c r="BJ59" i="82"/>
  <c r="BK59" i="82" s="1"/>
  <c r="BJ71" i="76"/>
  <c r="BK71" i="76" s="1"/>
  <c r="BJ93" i="1"/>
  <c r="BK93" i="1" s="1"/>
  <c r="BJ93" i="78"/>
  <c r="BK93" i="78" s="1"/>
  <c r="BJ93" i="74"/>
  <c r="BK93" i="74" s="1"/>
  <c r="BJ71" i="69"/>
  <c r="BK71" i="69" s="1"/>
  <c r="BJ46" i="77"/>
  <c r="BK46" i="77" s="1"/>
  <c r="BJ77" i="80"/>
  <c r="BK77" i="80" s="1"/>
  <c r="G320" i="2"/>
  <c r="H320" i="2" s="1"/>
  <c r="BJ72" i="68"/>
  <c r="BK72" i="68" s="1"/>
  <c r="BJ93" i="71"/>
  <c r="BK93" i="71" s="1"/>
  <c r="BJ93" i="67"/>
  <c r="BK93" i="67" s="1"/>
  <c r="BJ93" i="70"/>
  <c r="BK93" i="70" s="1"/>
  <c r="BA17" i="69"/>
  <c r="BB17" i="69" s="1"/>
  <c r="BA17" i="82"/>
  <c r="BB17" i="82" s="1"/>
  <c r="BJ59" i="69"/>
  <c r="BK59" i="69" s="1"/>
  <c r="BA45" i="66"/>
  <c r="BB45" i="66" s="1"/>
  <c r="BJ73" i="70"/>
  <c r="BK73" i="70" s="1"/>
  <c r="BA25" i="77"/>
  <c r="BB25" i="77" s="1"/>
  <c r="BJ73" i="66"/>
  <c r="BK73" i="66" s="1"/>
  <c r="G285" i="2"/>
  <c r="H285" i="2" s="1"/>
  <c r="BA45" i="73"/>
  <c r="BB45" i="73" s="1"/>
  <c r="BA37" i="76"/>
  <c r="BB37" i="76" s="1"/>
  <c r="BJ39" i="77"/>
  <c r="BK39" i="77" s="1"/>
  <c r="BA45" i="74"/>
  <c r="BB45" i="74" s="1"/>
  <c r="BJ73" i="67"/>
  <c r="BK73" i="67" s="1"/>
  <c r="BA45" i="1"/>
  <c r="BB45" i="1" s="1"/>
  <c r="BJ73" i="74"/>
  <c r="BK73" i="74" s="1"/>
  <c r="BJ60" i="68"/>
  <c r="BK60" i="68" s="1"/>
  <c r="BJ73" i="71"/>
  <c r="BK73" i="71" s="1"/>
  <c r="BJ59" i="75"/>
  <c r="BK59" i="75" s="1"/>
  <c r="BA37" i="75"/>
  <c r="BB37" i="75" s="1"/>
  <c r="BA37" i="68"/>
  <c r="BB37" i="68" s="1"/>
  <c r="BJ73" i="73"/>
  <c r="BK73" i="73" s="1"/>
  <c r="BA37" i="69"/>
  <c r="BB37" i="69" s="1"/>
  <c r="BA45" i="67"/>
  <c r="BB45" i="67" s="1"/>
  <c r="BJ59" i="76"/>
  <c r="BK59" i="76" s="1"/>
  <c r="BA45" i="71"/>
  <c r="BB45" i="71" s="1"/>
  <c r="BJ73" i="1"/>
  <c r="BK73" i="1" s="1"/>
  <c r="BA45" i="70"/>
  <c r="BB45" i="70" s="1"/>
  <c r="G356" i="2"/>
  <c r="H356" i="2" s="1"/>
  <c r="BJ121" i="74"/>
  <c r="BK121" i="74" s="1"/>
  <c r="BJ121" i="73"/>
  <c r="BK121" i="73" s="1"/>
  <c r="BJ121" i="1"/>
  <c r="BK121" i="1" s="1"/>
  <c r="BJ121" i="66"/>
  <c r="BK121" i="66" s="1"/>
  <c r="BJ95" i="69"/>
  <c r="BK95" i="69" s="1"/>
  <c r="BJ95" i="75"/>
  <c r="BK95" i="75" s="1"/>
  <c r="BJ121" i="71"/>
  <c r="BK121" i="71" s="1"/>
  <c r="BJ96" i="68"/>
  <c r="BK96" i="68" s="1"/>
  <c r="BJ121" i="67"/>
  <c r="BK121" i="67" s="1"/>
  <c r="BJ95" i="76"/>
  <c r="BK95" i="76" s="1"/>
  <c r="BJ121" i="70"/>
  <c r="BK121" i="70" s="1"/>
  <c r="BJ84" i="75"/>
  <c r="BK84" i="75" s="1"/>
  <c r="BJ85" i="68"/>
  <c r="BK85" i="68" s="1"/>
  <c r="BJ110" i="66"/>
  <c r="BK110" i="66" s="1"/>
  <c r="BJ84" i="69"/>
  <c r="BK84" i="69" s="1"/>
  <c r="G345" i="2"/>
  <c r="H345" i="2" s="1"/>
  <c r="BJ84" i="76"/>
  <c r="BK84" i="76" s="1"/>
  <c r="BJ110" i="74"/>
  <c r="BK110" i="74" s="1"/>
  <c r="BJ110" i="70"/>
  <c r="BK110" i="70" s="1"/>
  <c r="BJ110" i="67"/>
  <c r="BK110" i="67" s="1"/>
  <c r="BJ110" i="71"/>
  <c r="BK110" i="71" s="1"/>
  <c r="BJ110" i="73"/>
  <c r="BK110" i="73" s="1"/>
  <c r="BJ110" i="1"/>
  <c r="BK110" i="1" s="1"/>
  <c r="BJ74" i="75"/>
  <c r="BK74" i="75" s="1"/>
  <c r="BJ96" i="78"/>
  <c r="BK96" i="78" s="1"/>
  <c r="BJ76" i="81"/>
  <c r="BK76" i="81" s="1"/>
  <c r="BJ96" i="71"/>
  <c r="BK96" i="71" s="1"/>
  <c r="BJ96" i="1"/>
  <c r="BK96" i="1" s="1"/>
  <c r="G323" i="2"/>
  <c r="H323" i="2" s="1"/>
  <c r="BJ96" i="73"/>
  <c r="BK96" i="73" s="1"/>
  <c r="BJ80" i="80"/>
  <c r="BK80" i="80" s="1"/>
  <c r="BJ62" i="82"/>
  <c r="BK62" i="82" s="1"/>
  <c r="BJ49" i="77"/>
  <c r="BK49" i="77" s="1"/>
  <c r="BJ96" i="74"/>
  <c r="BK96" i="74" s="1"/>
  <c r="BJ96" i="67"/>
  <c r="BK96" i="67" s="1"/>
  <c r="BJ96" i="70"/>
  <c r="BK96" i="70" s="1"/>
  <c r="BJ74" i="76"/>
  <c r="BK74" i="76" s="1"/>
  <c r="BJ51" i="70"/>
  <c r="BK51" i="70" s="1"/>
  <c r="BJ51" i="74"/>
  <c r="BK51" i="74" s="1"/>
  <c r="G258" i="2"/>
  <c r="H258" i="2" s="1"/>
  <c r="BJ37" i="69"/>
  <c r="BK37" i="69" s="1"/>
  <c r="BJ37" i="76"/>
  <c r="BK37" i="76" s="1"/>
  <c r="BJ51" i="67"/>
  <c r="BK51" i="67" s="1"/>
  <c r="BJ51" i="1"/>
  <c r="BK51" i="1" s="1"/>
  <c r="BJ51" i="71"/>
  <c r="BK51" i="71" s="1"/>
  <c r="BJ64" i="78"/>
  <c r="BK64" i="78" s="1"/>
  <c r="BJ51" i="66"/>
  <c r="BK51" i="66" s="1"/>
  <c r="BJ23" i="77"/>
  <c r="BK23" i="77" s="1"/>
  <c r="BJ38" i="68"/>
  <c r="BK38" i="68" s="1"/>
  <c r="BJ34" i="82"/>
  <c r="BK34" i="82" s="1"/>
  <c r="BJ52" i="80"/>
  <c r="BK52" i="80" s="1"/>
  <c r="BJ37" i="75"/>
  <c r="BK37" i="75" s="1"/>
  <c r="BJ51" i="73"/>
  <c r="BK51" i="73" s="1"/>
  <c r="BJ44" i="81"/>
  <c r="BK44" i="81" s="1"/>
  <c r="G250" i="2"/>
  <c r="H250" i="2" s="1"/>
  <c r="BA28" i="68"/>
  <c r="BB28" i="68" s="1"/>
  <c r="BA36" i="73"/>
  <c r="BB36" i="73" s="1"/>
  <c r="BA36" i="70"/>
  <c r="BB36" i="70" s="1"/>
  <c r="BA28" i="69"/>
  <c r="BB28" i="69" s="1"/>
  <c r="BA36" i="67"/>
  <c r="BB36" i="67" s="1"/>
  <c r="BA36" i="1"/>
  <c r="BB36" i="1" s="1"/>
  <c r="BA28" i="76"/>
  <c r="BB28" i="76" s="1"/>
  <c r="BA36" i="66"/>
  <c r="BB36" i="66" s="1"/>
  <c r="BA26" i="82"/>
  <c r="BB26" i="82" s="1"/>
  <c r="BA28" i="75"/>
  <c r="BB28" i="75" s="1"/>
  <c r="BA36" i="71"/>
  <c r="BB36" i="71" s="1"/>
  <c r="BA36" i="74"/>
  <c r="BB36" i="74" s="1"/>
  <c r="BA32" i="81"/>
  <c r="BB32" i="81" s="1"/>
  <c r="BA35" i="80"/>
  <c r="BB35" i="80" s="1"/>
  <c r="BA42" i="78"/>
  <c r="BB42" i="78" s="1"/>
  <c r="G221" i="2"/>
  <c r="H221" i="2" s="1"/>
  <c r="BA18" i="69"/>
  <c r="BB18" i="69" s="1"/>
  <c r="BJ28" i="75"/>
  <c r="BK28" i="75" s="1"/>
  <c r="BJ28" i="69"/>
  <c r="BK28" i="69" s="1"/>
  <c r="BJ61" i="67"/>
  <c r="BK61" i="67" s="1"/>
  <c r="BJ54" i="81"/>
  <c r="BK54" i="81" s="1"/>
  <c r="BJ47" i="69"/>
  <c r="BK47" i="69" s="1"/>
  <c r="BJ62" i="80"/>
  <c r="BK62" i="80" s="1"/>
  <c r="BJ74" i="78"/>
  <c r="BK74" i="78" s="1"/>
  <c r="BJ61" i="71"/>
  <c r="BK61" i="71" s="1"/>
  <c r="BJ61" i="74"/>
  <c r="BK61" i="74" s="1"/>
  <c r="BJ31" i="77"/>
  <c r="BK31" i="77" s="1"/>
  <c r="BJ47" i="76"/>
  <c r="BK47" i="76" s="1"/>
  <c r="BJ48" i="68"/>
  <c r="BK48" i="68" s="1"/>
  <c r="BJ61" i="66"/>
  <c r="BK61" i="66" s="1"/>
  <c r="BJ61" i="70"/>
  <c r="BK61" i="70" s="1"/>
  <c r="B75" i="2"/>
  <c r="B71" i="2"/>
  <c r="B183" i="2"/>
  <c r="B138" i="2"/>
  <c r="BD32" i="85" s="1"/>
  <c r="B147" i="2"/>
  <c r="G147" i="2" s="1"/>
  <c r="H147" i="2" s="1"/>
  <c r="B155" i="2"/>
  <c r="B58" i="2"/>
  <c r="B41" i="2"/>
  <c r="B156" i="2"/>
  <c r="B210" i="2"/>
  <c r="B25" i="2"/>
  <c r="B102" i="2"/>
  <c r="B143" i="2"/>
  <c r="B194" i="2"/>
  <c r="B146" i="2"/>
  <c r="B53" i="2"/>
  <c r="B134" i="2"/>
  <c r="BD28" i="85" s="1"/>
  <c r="B120" i="2"/>
  <c r="B93" i="2"/>
  <c r="B189" i="2"/>
  <c r="B98" i="2"/>
  <c r="B54" i="2"/>
  <c r="B30" i="2"/>
  <c r="B128" i="2"/>
  <c r="B204" i="2"/>
  <c r="B200" i="2"/>
  <c r="AU93" i="85" s="1"/>
  <c r="B31" i="2"/>
  <c r="B117" i="2"/>
  <c r="AU16" i="85" s="1"/>
  <c r="B43" i="2"/>
  <c r="B42" i="2"/>
  <c r="B65" i="2"/>
  <c r="B164" i="2"/>
  <c r="B33" i="2"/>
  <c r="B178" i="2"/>
  <c r="B51" i="2"/>
  <c r="B122" i="2"/>
  <c r="B44" i="2"/>
  <c r="B60" i="2"/>
  <c r="B184" i="2"/>
  <c r="B148" i="2"/>
  <c r="B144" i="2"/>
  <c r="B199" i="2"/>
  <c r="B188" i="2"/>
  <c r="B130" i="2"/>
  <c r="B125" i="2"/>
  <c r="B153" i="2"/>
  <c r="B135" i="2"/>
  <c r="B133" i="2"/>
  <c r="B56" i="2"/>
  <c r="B55" i="2"/>
  <c r="B36" i="2"/>
  <c r="B176" i="2"/>
  <c r="B24" i="2"/>
  <c r="B123" i="2"/>
  <c r="B101" i="2"/>
  <c r="B158" i="2"/>
  <c r="B157" i="2"/>
  <c r="B132" i="2"/>
  <c r="B45" i="2"/>
  <c r="B57" i="2"/>
  <c r="B212" i="2"/>
  <c r="B82" i="2"/>
  <c r="B159" i="2"/>
  <c r="B34" i="2"/>
  <c r="G34" i="2" s="1"/>
  <c r="H34" i="2" s="1"/>
  <c r="B149" i="2"/>
  <c r="B94" i="2"/>
  <c r="B83" i="2"/>
  <c r="B173" i="2"/>
  <c r="B206" i="2"/>
  <c r="B46" i="2"/>
  <c r="B171" i="2"/>
  <c r="B201" i="2"/>
  <c r="B169" i="2"/>
  <c r="B205" i="2"/>
  <c r="B152" i="2"/>
  <c r="B106" i="2"/>
  <c r="B174" i="2"/>
  <c r="B84" i="2"/>
  <c r="G84" i="2" s="1"/>
  <c r="H84" i="2" s="1"/>
  <c r="B187" i="2"/>
  <c r="B170" i="2"/>
  <c r="B85" i="2"/>
  <c r="B104" i="2"/>
  <c r="B103" i="2"/>
  <c r="B124" i="2"/>
  <c r="G124" i="2" s="1"/>
  <c r="H124" i="2" s="1"/>
  <c r="B195" i="2"/>
  <c r="B139" i="2"/>
  <c r="B66" i="2"/>
  <c r="B186" i="2"/>
  <c r="B118" i="2"/>
  <c r="AU17" i="85" s="1"/>
  <c r="B47" i="2"/>
  <c r="B99" i="2"/>
  <c r="B129" i="2"/>
  <c r="B114" i="2"/>
  <c r="B26" i="2"/>
  <c r="B95" i="2"/>
  <c r="B126" i="2"/>
  <c r="B50" i="2"/>
  <c r="B86" i="2"/>
  <c r="B63" i="2"/>
  <c r="B162" i="2"/>
  <c r="B88" i="2"/>
  <c r="B160" i="2"/>
  <c r="B161" i="2"/>
  <c r="B180" i="2"/>
  <c r="B67" i="2"/>
  <c r="B35" i="2"/>
  <c r="B211" i="2"/>
  <c r="B119" i="2"/>
  <c r="AU18" i="85" s="1"/>
  <c r="B127" i="2"/>
  <c r="B29" i="2"/>
  <c r="B154" i="2"/>
  <c r="B87" i="2"/>
  <c r="B113" i="2"/>
  <c r="B115" i="2"/>
  <c r="B61" i="2"/>
  <c r="B137" i="2"/>
  <c r="B52" i="2"/>
  <c r="B23" i="2"/>
  <c r="B97" i="2"/>
  <c r="B131" i="2"/>
  <c r="B181" i="2"/>
  <c r="B112" i="2"/>
  <c r="B136" i="2"/>
  <c r="B208" i="2"/>
  <c r="B198" i="2"/>
  <c r="B182" i="2"/>
  <c r="B105" i="2"/>
  <c r="B168" i="2"/>
  <c r="G168" i="2" s="1"/>
  <c r="H168" i="2" s="1"/>
  <c r="B96" i="2"/>
  <c r="B196" i="2"/>
  <c r="B100" i="2"/>
  <c r="G100" i="2" s="1"/>
  <c r="H100" i="2" s="1"/>
  <c r="B185" i="2"/>
  <c r="B145" i="2"/>
  <c r="B40" i="2"/>
  <c r="B39" i="2"/>
  <c r="B172" i="2"/>
  <c r="B32" i="2"/>
  <c r="G32" i="2" s="1"/>
  <c r="H32" i="2" s="1"/>
  <c r="B179" i="2"/>
  <c r="B116" i="2"/>
  <c r="B59" i="2"/>
  <c r="B64" i="2"/>
  <c r="B177" i="2"/>
  <c r="B62" i="2"/>
  <c r="B165" i="2"/>
  <c r="B163" i="2"/>
  <c r="B74" i="2"/>
  <c r="B78" i="2"/>
  <c r="B79" i="2"/>
  <c r="B77" i="2"/>
  <c r="B76" i="2"/>
  <c r="BJ87" i="67"/>
  <c r="BK87" i="67" s="1"/>
  <c r="BJ87" i="74"/>
  <c r="BK87" i="74" s="1"/>
  <c r="G314" i="2"/>
  <c r="H314" i="2" s="1"/>
  <c r="BJ71" i="80"/>
  <c r="BK71" i="80" s="1"/>
  <c r="BJ87" i="70"/>
  <c r="BK87" i="70" s="1"/>
  <c r="BJ87" i="1"/>
  <c r="BK87" i="1" s="1"/>
  <c r="BJ86" i="69"/>
  <c r="BK86" i="69" s="1"/>
  <c r="BJ112" i="73"/>
  <c r="BK112" i="73" s="1"/>
  <c r="BJ86" i="75"/>
  <c r="BK86" i="75" s="1"/>
  <c r="BJ112" i="1"/>
  <c r="BK112" i="1" s="1"/>
  <c r="BJ86" i="76"/>
  <c r="BK86" i="76" s="1"/>
  <c r="BJ112" i="74"/>
  <c r="BK112" i="74" s="1"/>
  <c r="G347" i="2"/>
  <c r="H347" i="2" s="1"/>
  <c r="BJ87" i="68"/>
  <c r="BK87" i="68" s="1"/>
  <c r="BJ112" i="71"/>
  <c r="BK112" i="71" s="1"/>
  <c r="BJ57" i="77"/>
  <c r="BK57" i="77" s="1"/>
  <c r="BJ112" i="66"/>
  <c r="BK112" i="66" s="1"/>
  <c r="BJ112" i="67"/>
  <c r="BK112" i="67" s="1"/>
  <c r="BJ112" i="70"/>
  <c r="BK112" i="70" s="1"/>
  <c r="G222" i="2"/>
  <c r="H222" i="2" s="1"/>
  <c r="BJ29" i="69"/>
  <c r="BK29" i="69" s="1"/>
  <c r="BJ29" i="75"/>
  <c r="BK29" i="75" s="1"/>
  <c r="BJ29" i="76"/>
  <c r="BK29" i="76" s="1"/>
  <c r="BA19" i="82"/>
  <c r="BB19" i="82" s="1"/>
  <c r="BA19" i="75"/>
  <c r="BB19" i="75" s="1"/>
  <c r="BA19" i="76"/>
  <c r="BB19" i="76" s="1"/>
  <c r="BJ29" i="82"/>
  <c r="BK29" i="82" s="1"/>
  <c r="BA19" i="69"/>
  <c r="BB19" i="69" s="1"/>
  <c r="BA21" i="69"/>
  <c r="BB21" i="69" s="1"/>
  <c r="G235" i="2"/>
  <c r="H235" i="2" s="1"/>
  <c r="BA27" i="67"/>
  <c r="BB27" i="67" s="1"/>
  <c r="BA27" i="70"/>
  <c r="BB27" i="70" s="1"/>
  <c r="BA21" i="76"/>
  <c r="BB21" i="76" s="1"/>
  <c r="BA21" i="75"/>
  <c r="BB21" i="75" s="1"/>
  <c r="BA27" i="74"/>
  <c r="BB27" i="74" s="1"/>
  <c r="BA27" i="73"/>
  <c r="BB27" i="73" s="1"/>
  <c r="BA27" i="66"/>
  <c r="BB27" i="66" s="1"/>
  <c r="BA27" i="71"/>
  <c r="BB27" i="71" s="1"/>
  <c r="BA21" i="68"/>
  <c r="BB21" i="68" s="1"/>
  <c r="BA27" i="1"/>
  <c r="BB27" i="1" s="1"/>
  <c r="BJ109" i="1"/>
  <c r="BK109" i="1" s="1"/>
  <c r="G344" i="2"/>
  <c r="H344" i="2" s="1"/>
  <c r="BJ109" i="73"/>
  <c r="BK109" i="73" s="1"/>
  <c r="BJ109" i="67"/>
  <c r="BK109" i="67" s="1"/>
  <c r="BJ109" i="66"/>
  <c r="BK109" i="66" s="1"/>
  <c r="BJ109" i="74"/>
  <c r="BK109" i="74" s="1"/>
  <c r="BJ109" i="71"/>
  <c r="BK109" i="71" s="1"/>
  <c r="BJ109" i="70"/>
  <c r="BK109" i="70" s="1"/>
  <c r="BA40" i="73"/>
  <c r="BB40" i="73" s="1"/>
  <c r="BA30" i="82"/>
  <c r="BB30" i="82" s="1"/>
  <c r="BJ109" i="75"/>
  <c r="BK109" i="75" s="1"/>
  <c r="BJ135" i="74"/>
  <c r="BK135" i="74" s="1"/>
  <c r="BA90" i="75"/>
  <c r="BB90" i="75" s="1"/>
  <c r="G229" i="2"/>
  <c r="H229" i="2" s="1"/>
  <c r="BA90" i="74"/>
  <c r="BB90" i="74" s="1"/>
  <c r="BJ99" i="71"/>
  <c r="BK99" i="71" s="1"/>
  <c r="G326" i="2"/>
  <c r="H326" i="2" s="1"/>
  <c r="BJ77" i="75"/>
  <c r="BK77" i="75" s="1"/>
  <c r="BJ99" i="73"/>
  <c r="BK99" i="73" s="1"/>
  <c r="BJ77" i="69"/>
  <c r="BK77" i="69" s="1"/>
  <c r="BJ99" i="78"/>
  <c r="BK99" i="78" s="1"/>
  <c r="BJ99" i="1"/>
  <c r="BK99" i="1" s="1"/>
  <c r="BJ65" i="82"/>
  <c r="BK65" i="82" s="1"/>
  <c r="BJ77" i="76"/>
  <c r="BK77" i="76" s="1"/>
  <c r="BJ79" i="81"/>
  <c r="BK79" i="81" s="1"/>
  <c r="BJ99" i="70"/>
  <c r="BK99" i="70" s="1"/>
  <c r="BJ99" i="74"/>
  <c r="BK99" i="74" s="1"/>
  <c r="BJ99" i="66"/>
  <c r="BK99" i="66" s="1"/>
  <c r="BJ78" i="68"/>
  <c r="BK78" i="68" s="1"/>
  <c r="BJ99" i="67"/>
  <c r="BK99" i="67" s="1"/>
  <c r="BJ83" i="80"/>
  <c r="BK83" i="80" s="1"/>
  <c r="BA33" i="73"/>
  <c r="BB33" i="73" s="1"/>
  <c r="BA25" i="69"/>
  <c r="BB25" i="69" s="1"/>
  <c r="G247" i="2"/>
  <c r="H247" i="2" s="1"/>
  <c r="BA25" i="76"/>
  <c r="BB25" i="76" s="1"/>
  <c r="BA23" i="82"/>
  <c r="BB23" i="82" s="1"/>
  <c r="BA33" i="67"/>
  <c r="BB33" i="67" s="1"/>
  <c r="BA25" i="75"/>
  <c r="BB25" i="75" s="1"/>
  <c r="BA33" i="74"/>
  <c r="BB33" i="74" s="1"/>
  <c r="BA16" i="77"/>
  <c r="BB16" i="77" s="1"/>
  <c r="BA33" i="66"/>
  <c r="BB33" i="66" s="1"/>
  <c r="BA33" i="1"/>
  <c r="BB33" i="1" s="1"/>
  <c r="BA25" i="68"/>
  <c r="BB25" i="68" s="1"/>
  <c r="BA39" i="78"/>
  <c r="BB39" i="78" s="1"/>
  <c r="BA33" i="70"/>
  <c r="BB33" i="70" s="1"/>
  <c r="BA29" i="81"/>
  <c r="BB29" i="81" s="1"/>
  <c r="BA32" i="80"/>
  <c r="BB32" i="80" s="1"/>
  <c r="BA33" i="71"/>
  <c r="BB33" i="71" s="1"/>
  <c r="BJ81" i="74"/>
  <c r="BK81" i="74" s="1"/>
  <c r="BJ81" i="66"/>
  <c r="BK81" i="66" s="1"/>
  <c r="BJ81" i="1"/>
  <c r="BK81" i="1" s="1"/>
  <c r="G300" i="2"/>
  <c r="H300" i="2" s="1"/>
  <c r="BJ81" i="73"/>
  <c r="BK81" i="73" s="1"/>
  <c r="BJ81" i="67"/>
  <c r="BK81" i="67" s="1"/>
  <c r="BJ81" i="71"/>
  <c r="BK81" i="71" s="1"/>
  <c r="BJ81" i="70"/>
  <c r="BK81" i="70" s="1"/>
  <c r="BA74" i="74"/>
  <c r="BB74" i="74" s="1"/>
  <c r="BA74" i="73"/>
  <c r="BB74" i="73" s="1"/>
  <c r="BA60" i="75"/>
  <c r="BB60" i="75" s="1"/>
  <c r="BA74" i="70"/>
  <c r="BB74" i="70" s="1"/>
  <c r="BA74" i="66"/>
  <c r="BB74" i="66" s="1"/>
  <c r="BA74" i="71"/>
  <c r="BB74" i="71" s="1"/>
  <c r="G340" i="2"/>
  <c r="H340" i="2" s="1"/>
  <c r="BA60" i="76"/>
  <c r="BB60" i="76" s="1"/>
  <c r="BA74" i="1"/>
  <c r="BB74" i="1" s="1"/>
  <c r="BA74" i="67"/>
  <c r="BB74" i="67" s="1"/>
  <c r="BJ49" i="71"/>
  <c r="BK49" i="71" s="1"/>
  <c r="BJ36" i="68"/>
  <c r="BK36" i="68" s="1"/>
  <c r="BJ49" i="66"/>
  <c r="BK49" i="66" s="1"/>
  <c r="BJ62" i="78"/>
  <c r="BK62" i="78" s="1"/>
  <c r="BJ49" i="1"/>
  <c r="BK49" i="1" s="1"/>
  <c r="BJ49" i="70"/>
  <c r="BK49" i="70" s="1"/>
  <c r="BJ35" i="76"/>
  <c r="BK35" i="76" s="1"/>
  <c r="BJ49" i="74"/>
  <c r="BK49" i="74" s="1"/>
  <c r="BJ35" i="75"/>
  <c r="BK35" i="75" s="1"/>
  <c r="BJ49" i="67"/>
  <c r="BK49" i="67" s="1"/>
  <c r="BJ35" i="69"/>
  <c r="BK35" i="69" s="1"/>
  <c r="BJ32" i="82"/>
  <c r="BK32" i="82" s="1"/>
  <c r="BJ50" i="80"/>
  <c r="BK50" i="80" s="1"/>
  <c r="BJ49" i="73"/>
  <c r="BK49" i="73" s="1"/>
  <c r="G256" i="2"/>
  <c r="H256" i="2" s="1"/>
  <c r="BJ42" i="81"/>
  <c r="BK42" i="81" s="1"/>
  <c r="BA78" i="71"/>
  <c r="BB78" i="71" s="1"/>
  <c r="BA60" i="1"/>
  <c r="BB60" i="1" s="1"/>
  <c r="BA60" i="70"/>
  <c r="BB60" i="70" s="1"/>
  <c r="BA56" i="78"/>
  <c r="BB56" i="78" s="1"/>
  <c r="BA47" i="80"/>
  <c r="BB47" i="80" s="1"/>
  <c r="BA60" i="66"/>
  <c r="BB60" i="66" s="1"/>
  <c r="BA33" i="77"/>
  <c r="BB33" i="77" s="1"/>
  <c r="BA38" i="82"/>
  <c r="BB38" i="82" s="1"/>
  <c r="BA60" i="67"/>
  <c r="BB60" i="67" s="1"/>
  <c r="BA48" i="76"/>
  <c r="BB48" i="76" s="1"/>
  <c r="BA46" i="81"/>
  <c r="BB46" i="81" s="1"/>
  <c r="BA60" i="74"/>
  <c r="BB60" i="74" s="1"/>
  <c r="BA60" i="73"/>
  <c r="BB60" i="73" s="1"/>
  <c r="G310" i="2"/>
  <c r="H310" i="2" s="1"/>
  <c r="BA60" i="71"/>
  <c r="BB60" i="71" s="1"/>
  <c r="BA48" i="69"/>
  <c r="BB48" i="69" s="1"/>
  <c r="BJ85" i="67"/>
  <c r="BK85" i="67" s="1"/>
  <c r="BJ85" i="1"/>
  <c r="BK85" i="1" s="1"/>
  <c r="BJ85" i="74"/>
  <c r="BK85" i="74" s="1"/>
  <c r="BJ85" i="73"/>
  <c r="BK85" i="73" s="1"/>
  <c r="BJ85" i="78"/>
  <c r="BK85" i="78" s="1"/>
  <c r="G312" i="2"/>
  <c r="H312" i="2" s="1"/>
  <c r="BJ65" i="81"/>
  <c r="BK65" i="81" s="1"/>
  <c r="BJ85" i="70"/>
  <c r="BK85" i="70" s="1"/>
  <c r="BJ80" i="73"/>
  <c r="BK80" i="73" s="1"/>
  <c r="G299" i="2"/>
  <c r="H299" i="2" s="1"/>
  <c r="BJ80" i="71"/>
  <c r="BK80" i="71" s="1"/>
  <c r="BJ80" i="1"/>
  <c r="BK80" i="1" s="1"/>
  <c r="BJ80" i="66"/>
  <c r="BK80" i="66" s="1"/>
  <c r="BJ80" i="70"/>
  <c r="BK80" i="70" s="1"/>
  <c r="BJ80" i="67"/>
  <c r="BK80" i="67" s="1"/>
  <c r="BJ80" i="74"/>
  <c r="BK80" i="74" s="1"/>
  <c r="BJ25" i="74"/>
  <c r="BK25" i="74" s="1"/>
  <c r="BJ45" i="78"/>
  <c r="BK45" i="78" s="1"/>
  <c r="BJ25" i="66"/>
  <c r="BK25" i="66" s="1"/>
  <c r="BJ21" i="82"/>
  <c r="BK21" i="82" s="1"/>
  <c r="BJ21" i="76"/>
  <c r="BK21" i="76" s="1"/>
  <c r="BJ25" i="1"/>
  <c r="BK25" i="1" s="1"/>
  <c r="BJ25" i="71"/>
  <c r="BK25" i="71" s="1"/>
  <c r="G48" i="2"/>
  <c r="H48" i="2" s="1"/>
  <c r="BJ25" i="67"/>
  <c r="BK25" i="67" s="1"/>
  <c r="BJ25" i="81"/>
  <c r="BK25" i="81" s="1"/>
  <c r="BJ25" i="73"/>
  <c r="BK25" i="73" s="1"/>
  <c r="BJ21" i="75"/>
  <c r="BK21" i="75" s="1"/>
  <c r="BJ37" i="80"/>
  <c r="BK37" i="80" s="1"/>
  <c r="BJ21" i="69"/>
  <c r="BK21" i="69" s="1"/>
  <c r="G227" i="2"/>
  <c r="H227" i="2" s="1"/>
  <c r="BA88" i="75"/>
  <c r="BB88" i="75" s="1"/>
  <c r="BJ107" i="75"/>
  <c r="BK107" i="75" s="1"/>
  <c r="BJ133" i="74"/>
  <c r="BK133" i="74" s="1"/>
  <c r="BA88" i="74"/>
  <c r="BB88" i="74" s="1"/>
  <c r="BA47" i="66"/>
  <c r="BB47" i="66" s="1"/>
  <c r="BA39" i="76"/>
  <c r="BB39" i="76" s="1"/>
  <c r="BA47" i="70"/>
  <c r="BB47" i="70" s="1"/>
  <c r="BJ62" i="68"/>
  <c r="BK62" i="68" s="1"/>
  <c r="BJ75" i="71"/>
  <c r="BK75" i="71" s="1"/>
  <c r="BJ75" i="73"/>
  <c r="BK75" i="73" s="1"/>
  <c r="BJ75" i="70"/>
  <c r="BK75" i="70" s="1"/>
  <c r="BA39" i="68"/>
  <c r="BB39" i="68" s="1"/>
  <c r="BA39" i="69"/>
  <c r="BB39" i="69" s="1"/>
  <c r="BA47" i="74"/>
  <c r="BB47" i="74" s="1"/>
  <c r="BJ75" i="66"/>
  <c r="BK75" i="66" s="1"/>
  <c r="BA47" i="71"/>
  <c r="BB47" i="71" s="1"/>
  <c r="BJ61" i="75"/>
  <c r="BK61" i="75" s="1"/>
  <c r="BJ75" i="67"/>
  <c r="BK75" i="67" s="1"/>
  <c r="BA47" i="1"/>
  <c r="BB47" i="1" s="1"/>
  <c r="BJ41" i="77"/>
  <c r="BK41" i="77" s="1"/>
  <c r="BA27" i="77"/>
  <c r="BB27" i="77" s="1"/>
  <c r="BJ61" i="69"/>
  <c r="BK61" i="69" s="1"/>
  <c r="BA47" i="73"/>
  <c r="BB47" i="73" s="1"/>
  <c r="BJ61" i="76"/>
  <c r="BK61" i="76" s="1"/>
  <c r="AW4" i="68"/>
  <c r="AZ16" i="68" s="1"/>
  <c r="V76" i="2" s="1"/>
  <c r="AW4" i="75"/>
  <c r="AW4" i="67"/>
  <c r="AZ78" i="67" s="1"/>
  <c r="T141" i="2" s="1"/>
  <c r="W23" i="10"/>
  <c r="AW4" i="73"/>
  <c r="AZ17" i="73" s="1"/>
  <c r="AD73" i="2" s="1"/>
  <c r="AW4" i="71"/>
  <c r="AW4" i="77"/>
  <c r="AZ12" i="77" s="1"/>
  <c r="AL76" i="2" s="1"/>
  <c r="AW4" i="69"/>
  <c r="AZ66" i="69" s="1"/>
  <c r="X214" i="2" s="1"/>
  <c r="AW4" i="76"/>
  <c r="AZ66" i="76" s="1"/>
  <c r="AF214" i="2" s="1"/>
  <c r="AW4" i="1"/>
  <c r="AZ19" i="1" s="1"/>
  <c r="P75" i="2" s="1"/>
  <c r="AW4" i="80"/>
  <c r="BI86" i="80" s="1"/>
  <c r="AQ214" i="2" s="1"/>
  <c r="AW4" i="78"/>
  <c r="AZ62" i="78" s="1"/>
  <c r="AN214" i="2" s="1"/>
  <c r="AW4" i="81"/>
  <c r="AZ51" i="81" s="1"/>
  <c r="AR214" i="2" s="1"/>
  <c r="AW4" i="82"/>
  <c r="AW4" i="66"/>
  <c r="BJ106" i="74"/>
  <c r="BK106" i="74" s="1"/>
  <c r="G341" i="2"/>
  <c r="H341" i="2" s="1"/>
  <c r="BJ106" i="70"/>
  <c r="BK106" i="70" s="1"/>
  <c r="BJ106" i="73"/>
  <c r="BK106" i="73" s="1"/>
  <c r="BJ106" i="67"/>
  <c r="BK106" i="67" s="1"/>
  <c r="BJ106" i="1"/>
  <c r="BK106" i="1" s="1"/>
  <c r="G331" i="2"/>
  <c r="H331" i="2" s="1"/>
  <c r="BJ104" i="67"/>
  <c r="BK104" i="67" s="1"/>
  <c r="BA65" i="74"/>
  <c r="BB65" i="74" s="1"/>
  <c r="BJ82" i="76"/>
  <c r="BK82" i="76" s="1"/>
  <c r="BJ104" i="74"/>
  <c r="BK104" i="74" s="1"/>
  <c r="BA53" i="75"/>
  <c r="BB53" i="75" s="1"/>
  <c r="BJ104" i="70"/>
  <c r="BK104" i="70" s="1"/>
  <c r="BJ82" i="75"/>
  <c r="BK82" i="75" s="1"/>
  <c r="BJ104" i="71"/>
  <c r="BK104" i="71" s="1"/>
  <c r="BA53" i="76"/>
  <c r="BB53" i="76" s="1"/>
  <c r="BA53" i="68"/>
  <c r="BB53" i="68" s="1"/>
  <c r="BA53" i="69"/>
  <c r="BB53" i="69" s="1"/>
  <c r="BA65" i="71"/>
  <c r="BB65" i="71" s="1"/>
  <c r="BA65" i="66"/>
  <c r="BB65" i="66" s="1"/>
  <c r="BA65" i="67"/>
  <c r="BB65" i="67" s="1"/>
  <c r="BJ104" i="66"/>
  <c r="BK104" i="66" s="1"/>
  <c r="BJ104" i="73"/>
  <c r="BK104" i="73" s="1"/>
  <c r="BA65" i="73"/>
  <c r="BB65" i="73" s="1"/>
  <c r="BA65" i="1"/>
  <c r="BB65" i="1" s="1"/>
  <c r="BJ83" i="68"/>
  <c r="BK83" i="68" s="1"/>
  <c r="BJ104" i="1"/>
  <c r="BK104" i="1" s="1"/>
  <c r="BA37" i="77"/>
  <c r="BB37" i="77" s="1"/>
  <c r="BJ82" i="69"/>
  <c r="BK82" i="69" s="1"/>
  <c r="BA65" i="70"/>
  <c r="BB65" i="70" s="1"/>
  <c r="BJ55" i="77"/>
  <c r="BK55" i="77" s="1"/>
  <c r="BJ60" i="77"/>
  <c r="BK60" i="77" s="1"/>
  <c r="BJ115" i="1"/>
  <c r="BK115" i="1" s="1"/>
  <c r="BJ115" i="74"/>
  <c r="BK115" i="74" s="1"/>
  <c r="BJ115" i="71"/>
  <c r="BK115" i="71" s="1"/>
  <c r="BJ115" i="70"/>
  <c r="BK115" i="70" s="1"/>
  <c r="BJ90" i="68"/>
  <c r="BK90" i="68" s="1"/>
  <c r="G350" i="2"/>
  <c r="H350" i="2" s="1"/>
  <c r="BJ89" i="69"/>
  <c r="BK89" i="69" s="1"/>
  <c r="BJ115" i="66"/>
  <c r="BK115" i="66" s="1"/>
  <c r="BJ115" i="73"/>
  <c r="BK115" i="73" s="1"/>
  <c r="BJ89" i="76"/>
  <c r="BK89" i="76" s="1"/>
  <c r="BJ115" i="67"/>
  <c r="BK115" i="67" s="1"/>
  <c r="BJ89" i="75"/>
  <c r="BK89" i="75" s="1"/>
  <c r="BJ103" i="71"/>
  <c r="BK103" i="71" s="1"/>
  <c r="BA64" i="67"/>
  <c r="BB64" i="67" s="1"/>
  <c r="BJ82" i="68"/>
  <c r="BK82" i="68" s="1"/>
  <c r="BJ81" i="76"/>
  <c r="BK81" i="76" s="1"/>
  <c r="BA52" i="69"/>
  <c r="BB52" i="69" s="1"/>
  <c r="BA52" i="75"/>
  <c r="BB52" i="75" s="1"/>
  <c r="G330" i="2"/>
  <c r="H330" i="2" s="1"/>
  <c r="BJ103" i="70"/>
  <c r="BK103" i="70" s="1"/>
  <c r="BA64" i="66"/>
  <c r="BB64" i="66" s="1"/>
  <c r="BA52" i="76"/>
  <c r="BB52" i="76" s="1"/>
  <c r="BA36" i="77"/>
  <c r="BB36" i="77" s="1"/>
  <c r="BA64" i="73"/>
  <c r="BB64" i="73" s="1"/>
  <c r="BA64" i="70"/>
  <c r="BB64" i="70" s="1"/>
  <c r="BJ81" i="69"/>
  <c r="BK81" i="69" s="1"/>
  <c r="BA64" i="1"/>
  <c r="BB64" i="1" s="1"/>
  <c r="BJ54" i="77"/>
  <c r="BK54" i="77" s="1"/>
  <c r="BJ103" i="73"/>
  <c r="BK103" i="73" s="1"/>
  <c r="BJ103" i="1"/>
  <c r="BK103" i="1" s="1"/>
  <c r="BA52" i="68"/>
  <c r="BB52" i="68" s="1"/>
  <c r="BA64" i="71"/>
  <c r="BB64" i="71" s="1"/>
  <c r="BJ103" i="66"/>
  <c r="BK103" i="66" s="1"/>
  <c r="BA64" i="74"/>
  <c r="BB64" i="74" s="1"/>
  <c r="BJ103" i="74"/>
  <c r="BK103" i="74" s="1"/>
  <c r="BJ103" i="67"/>
  <c r="BK103" i="67" s="1"/>
  <c r="BJ81" i="75"/>
  <c r="BK81" i="75" s="1"/>
  <c r="G319" i="2"/>
  <c r="H319" i="2" s="1"/>
  <c r="BJ45" i="77"/>
  <c r="BK45" i="77" s="1"/>
  <c r="BJ92" i="73"/>
  <c r="BK92" i="73" s="1"/>
  <c r="BJ58" i="82"/>
  <c r="BK58" i="82" s="1"/>
  <c r="BJ92" i="1"/>
  <c r="BK92" i="1" s="1"/>
  <c r="BJ92" i="74"/>
  <c r="BK92" i="74" s="1"/>
  <c r="BJ71" i="68"/>
  <c r="BK71" i="68" s="1"/>
  <c r="BJ70" i="69"/>
  <c r="BK70" i="69" s="1"/>
  <c r="BJ76" i="80"/>
  <c r="BK76" i="80" s="1"/>
  <c r="BJ92" i="66"/>
  <c r="BK92" i="66" s="1"/>
  <c r="BJ92" i="78"/>
  <c r="BK92" i="78" s="1"/>
  <c r="BJ92" i="71"/>
  <c r="BK92" i="71" s="1"/>
  <c r="BJ92" i="67"/>
  <c r="BK92" i="67" s="1"/>
  <c r="BJ70" i="75"/>
  <c r="BK70" i="75" s="1"/>
  <c r="BJ72" i="81"/>
  <c r="BK72" i="81" s="1"/>
  <c r="BJ70" i="76"/>
  <c r="BK70" i="76" s="1"/>
  <c r="BJ92" i="70"/>
  <c r="BK92" i="70" s="1"/>
  <c r="BJ56" i="80"/>
  <c r="BK56" i="80" s="1"/>
  <c r="BJ55" i="74"/>
  <c r="BK55" i="74" s="1"/>
  <c r="BJ55" i="71"/>
  <c r="BK55" i="71" s="1"/>
  <c r="G190" i="2"/>
  <c r="H190" i="2" s="1"/>
  <c r="BJ20" i="76"/>
  <c r="BK20" i="76" s="1"/>
  <c r="G296" i="2"/>
  <c r="H296" i="2" s="1"/>
  <c r="BA42" i="69"/>
  <c r="BB42" i="69" s="1"/>
  <c r="BA42" i="76"/>
  <c r="BB42" i="76" s="1"/>
  <c r="BA52" i="67"/>
  <c r="BB52" i="67" s="1"/>
  <c r="BA42" i="75"/>
  <c r="BB42" i="75" s="1"/>
  <c r="BA52" i="1"/>
  <c r="BB52" i="1" s="1"/>
  <c r="BA52" i="74"/>
  <c r="BB52" i="74" s="1"/>
  <c r="BA52" i="70"/>
  <c r="BB52" i="70" s="1"/>
  <c r="BA52" i="66"/>
  <c r="BB52" i="66" s="1"/>
  <c r="BA42" i="68"/>
  <c r="BB42" i="68" s="1"/>
  <c r="BA52" i="73"/>
  <c r="BB52" i="73" s="1"/>
  <c r="BA52" i="71"/>
  <c r="BB52" i="71" s="1"/>
  <c r="BJ44" i="70"/>
  <c r="BK44" i="70" s="1"/>
  <c r="BJ44" i="1"/>
  <c r="BK44" i="1" s="1"/>
  <c r="BJ57" i="78"/>
  <c r="BK57" i="78" s="1"/>
  <c r="BJ44" i="74"/>
  <c r="BK44" i="74" s="1"/>
  <c r="BJ44" i="73"/>
  <c r="BK44" i="73" s="1"/>
  <c r="G251" i="2"/>
  <c r="H251" i="2" s="1"/>
  <c r="BJ37" i="81"/>
  <c r="BK37" i="81" s="1"/>
  <c r="BJ44" i="67"/>
  <c r="BK44" i="67" s="1"/>
  <c r="G342" i="2"/>
  <c r="H342" i="2" s="1"/>
  <c r="BJ107" i="70"/>
  <c r="BK107" i="70" s="1"/>
  <c r="BJ107" i="74"/>
  <c r="BK107" i="74" s="1"/>
  <c r="BJ107" i="1"/>
  <c r="BK107" i="1" s="1"/>
  <c r="BJ107" i="73"/>
  <c r="BK107" i="73" s="1"/>
  <c r="BJ107" i="67"/>
  <c r="BK107" i="67" s="1"/>
  <c r="BA35" i="82"/>
  <c r="BB35" i="82" s="1"/>
  <c r="BA57" i="67"/>
  <c r="BB57" i="67" s="1"/>
  <c r="BA57" i="70"/>
  <c r="BB57" i="70" s="1"/>
  <c r="BA44" i="80"/>
  <c r="BB44" i="80" s="1"/>
  <c r="BA45" i="75"/>
  <c r="BB45" i="75" s="1"/>
  <c r="BA57" i="1"/>
  <c r="BB57" i="1" s="1"/>
  <c r="BA45" i="76"/>
  <c r="BB45" i="76" s="1"/>
  <c r="BA57" i="74"/>
  <c r="BB57" i="74" s="1"/>
  <c r="BA53" i="78"/>
  <c r="BB53" i="78" s="1"/>
  <c r="G307" i="2"/>
  <c r="H307" i="2" s="1"/>
  <c r="BA57" i="71"/>
  <c r="BB57" i="71" s="1"/>
  <c r="BA30" i="77"/>
  <c r="BB30" i="77" s="1"/>
  <c r="BA43" i="81"/>
  <c r="BB43" i="81" s="1"/>
  <c r="BA45" i="69"/>
  <c r="BB45" i="69" s="1"/>
  <c r="BA57" i="66"/>
  <c r="BB57" i="66" s="1"/>
  <c r="BA57" i="73"/>
  <c r="BB57" i="73" s="1"/>
  <c r="BA45" i="68"/>
  <c r="BB45" i="68" s="1"/>
  <c r="G240" i="2"/>
  <c r="H240" i="2" s="1"/>
  <c r="BJ41" i="67"/>
  <c r="BK41" i="67" s="1"/>
  <c r="BJ31" i="75"/>
  <c r="BK31" i="75" s="1"/>
  <c r="BJ41" i="66"/>
  <c r="BK41" i="66" s="1"/>
  <c r="BJ41" i="71"/>
  <c r="BK41" i="71" s="1"/>
  <c r="BJ31" i="76"/>
  <c r="BK31" i="76" s="1"/>
  <c r="BJ31" i="69"/>
  <c r="BK31" i="69" s="1"/>
  <c r="BJ41" i="70"/>
  <c r="BK41" i="70" s="1"/>
  <c r="BJ41" i="74"/>
  <c r="BK41" i="74" s="1"/>
  <c r="BJ41" i="73"/>
  <c r="BK41" i="73" s="1"/>
  <c r="BJ32" i="68"/>
  <c r="BK32" i="68" s="1"/>
  <c r="BJ41" i="1"/>
  <c r="BK41" i="1" s="1"/>
  <c r="BA13" i="69"/>
  <c r="BB13" i="69" s="1"/>
  <c r="G216" i="2"/>
  <c r="H216" i="2" s="1"/>
  <c r="BJ23" i="75"/>
  <c r="BK23" i="75" s="1"/>
  <c r="BA13" i="76"/>
  <c r="BB13" i="76" s="1"/>
  <c r="BJ23" i="82"/>
  <c r="BK23" i="82" s="1"/>
  <c r="BJ23" i="76"/>
  <c r="BK23" i="76" s="1"/>
  <c r="BA13" i="82"/>
  <c r="BB13" i="82" s="1"/>
  <c r="BA13" i="75"/>
  <c r="BB13" i="75" s="1"/>
  <c r="BJ23" i="69"/>
  <c r="BK23" i="69" s="1"/>
  <c r="BJ77" i="81"/>
  <c r="BK77" i="81" s="1"/>
  <c r="BJ97" i="78"/>
  <c r="BK97" i="78" s="1"/>
  <c r="BJ76" i="68"/>
  <c r="BK76" i="68" s="1"/>
  <c r="BJ97" i="67"/>
  <c r="BK97" i="67" s="1"/>
  <c r="G324" i="2"/>
  <c r="H324" i="2" s="1"/>
  <c r="BJ63" i="82"/>
  <c r="BK63" i="82" s="1"/>
  <c r="BJ75" i="76"/>
  <c r="BK75" i="76" s="1"/>
  <c r="BJ97" i="71"/>
  <c r="BK97" i="71" s="1"/>
  <c r="BJ97" i="1"/>
  <c r="BK97" i="1" s="1"/>
  <c r="BJ97" i="66"/>
  <c r="BK97" i="66" s="1"/>
  <c r="BJ75" i="69"/>
  <c r="BK75" i="69" s="1"/>
  <c r="BJ97" i="70"/>
  <c r="BK97" i="70" s="1"/>
  <c r="BJ81" i="80"/>
  <c r="BK81" i="80" s="1"/>
  <c r="BJ50" i="77"/>
  <c r="BK50" i="77" s="1"/>
  <c r="BJ75" i="75"/>
  <c r="BK75" i="75" s="1"/>
  <c r="BJ97" i="73"/>
  <c r="BK97" i="73" s="1"/>
  <c r="BJ97" i="74"/>
  <c r="BK97" i="74" s="1"/>
  <c r="BJ46" i="73"/>
  <c r="BK46" i="73" s="1"/>
  <c r="G253" i="2"/>
  <c r="H253" i="2" s="1"/>
  <c r="BJ46" i="66"/>
  <c r="BK46" i="66" s="1"/>
  <c r="BJ46" i="71"/>
  <c r="BK46" i="71" s="1"/>
  <c r="BJ39" i="81"/>
  <c r="BK39" i="81" s="1"/>
  <c r="BJ46" i="1"/>
  <c r="BK46" i="1" s="1"/>
  <c r="BJ46" i="67"/>
  <c r="BK46" i="67" s="1"/>
  <c r="BJ47" i="80"/>
  <c r="BK47" i="80" s="1"/>
  <c r="BJ59" i="78"/>
  <c r="BK59" i="78" s="1"/>
  <c r="BJ46" i="70"/>
  <c r="BK46" i="70" s="1"/>
  <c r="BJ46" i="74"/>
  <c r="BK46" i="74" s="1"/>
  <c r="BJ90" i="71"/>
  <c r="BK90" i="71" s="1"/>
  <c r="BJ90" i="74"/>
  <c r="BK90" i="74" s="1"/>
  <c r="BJ90" i="78"/>
  <c r="BK90" i="78" s="1"/>
  <c r="BJ90" i="66"/>
  <c r="BK90" i="66" s="1"/>
  <c r="BJ90" i="67"/>
  <c r="BK90" i="67" s="1"/>
  <c r="BJ56" i="82"/>
  <c r="BK56" i="82" s="1"/>
  <c r="BJ68" i="75"/>
  <c r="BK68" i="75" s="1"/>
  <c r="BJ90" i="70"/>
  <c r="BK90" i="70" s="1"/>
  <c r="BJ68" i="76"/>
  <c r="BK68" i="76" s="1"/>
  <c r="BJ70" i="81"/>
  <c r="BK70" i="81" s="1"/>
  <c r="BJ90" i="73"/>
  <c r="BK90" i="73" s="1"/>
  <c r="BJ69" i="68"/>
  <c r="BK69" i="68" s="1"/>
  <c r="BJ90" i="1"/>
  <c r="BK90" i="1" s="1"/>
  <c r="BJ74" i="80"/>
  <c r="BK74" i="80" s="1"/>
  <c r="BJ68" i="69"/>
  <c r="BK68" i="69" s="1"/>
  <c r="G317" i="2"/>
  <c r="H317" i="2" s="1"/>
  <c r="G370" i="2"/>
  <c r="H370" i="2" s="1"/>
  <c r="AZ73" i="70"/>
  <c r="Z339" i="2" s="1"/>
  <c r="AZ13" i="70"/>
  <c r="Z47" i="2" s="1"/>
  <c r="BI112" i="70"/>
  <c r="AA347" i="2" s="1"/>
  <c r="AZ68" i="70"/>
  <c r="Z334" i="2" s="1"/>
  <c r="BI63" i="70"/>
  <c r="AA275" i="2" s="1"/>
  <c r="BI10" i="70"/>
  <c r="AA55" i="2" s="1"/>
  <c r="BJ62" i="74"/>
  <c r="BK62" i="74" s="1"/>
  <c r="BJ62" i="71"/>
  <c r="BK62" i="71" s="1"/>
  <c r="BJ55" i="81"/>
  <c r="BK55" i="81" s="1"/>
  <c r="BJ32" i="77"/>
  <c r="BK32" i="77" s="1"/>
  <c r="BJ62" i="67"/>
  <c r="BK62" i="67" s="1"/>
  <c r="BJ62" i="70"/>
  <c r="BK62" i="70" s="1"/>
  <c r="BJ48" i="69"/>
  <c r="BK48" i="69" s="1"/>
  <c r="BJ49" i="68"/>
  <c r="BK49" i="68" s="1"/>
  <c r="BJ63" i="80"/>
  <c r="BK63" i="80" s="1"/>
  <c r="BJ75" i="78"/>
  <c r="BK75" i="78" s="1"/>
  <c r="BJ45" i="82"/>
  <c r="BK45" i="82" s="1"/>
  <c r="G274" i="2"/>
  <c r="H274" i="2" s="1"/>
  <c r="BJ62" i="1"/>
  <c r="BK62" i="1" s="1"/>
  <c r="BJ48" i="75"/>
  <c r="BK48" i="75" s="1"/>
  <c r="BJ48" i="76"/>
  <c r="BK48" i="76" s="1"/>
  <c r="BJ62" i="73"/>
  <c r="BK62" i="73" s="1"/>
  <c r="BJ62" i="66"/>
  <c r="BK62" i="66" s="1"/>
  <c r="BJ64" i="67"/>
  <c r="BK64" i="67" s="1"/>
  <c r="BJ64" i="71"/>
  <c r="BK64" i="71" s="1"/>
  <c r="BJ64" i="1"/>
  <c r="BK64" i="1" s="1"/>
  <c r="BJ64" i="66"/>
  <c r="BK64" i="66" s="1"/>
  <c r="BJ57" i="81"/>
  <c r="BK57" i="81" s="1"/>
  <c r="BJ50" i="75"/>
  <c r="BK50" i="75" s="1"/>
  <c r="G276" i="2"/>
  <c r="H276" i="2" s="1"/>
  <c r="BJ64" i="74"/>
  <c r="BK64" i="74" s="1"/>
  <c r="BJ50" i="69"/>
  <c r="BK50" i="69" s="1"/>
  <c r="BJ34" i="77"/>
  <c r="BK34" i="77" s="1"/>
  <c r="BJ65" i="80"/>
  <c r="BK65" i="80" s="1"/>
  <c r="BJ64" i="70"/>
  <c r="BK64" i="70" s="1"/>
  <c r="BJ47" i="82"/>
  <c r="BK47" i="82" s="1"/>
  <c r="BJ50" i="76"/>
  <c r="BK50" i="76" s="1"/>
  <c r="BJ77" i="78"/>
  <c r="BK77" i="78" s="1"/>
  <c r="BJ51" i="68"/>
  <c r="BK51" i="68" s="1"/>
  <c r="BJ64" i="73"/>
  <c r="BK64" i="73" s="1"/>
  <c r="BJ78" i="78"/>
  <c r="BK78" i="78" s="1"/>
  <c r="BJ51" i="75"/>
  <c r="BK51" i="75" s="1"/>
  <c r="BJ48" i="82"/>
  <c r="BK48" i="82" s="1"/>
  <c r="BJ65" i="74"/>
  <c r="BK65" i="74" s="1"/>
  <c r="BJ66" i="80"/>
  <c r="BK66" i="80" s="1"/>
  <c r="BJ65" i="73"/>
  <c r="BK65" i="73" s="1"/>
  <c r="BJ65" i="67"/>
  <c r="BK65" i="67" s="1"/>
  <c r="G277" i="2"/>
  <c r="H277" i="2" s="1"/>
  <c r="BJ51" i="76"/>
  <c r="BK51" i="76" s="1"/>
  <c r="BJ65" i="71"/>
  <c r="BK65" i="71" s="1"/>
  <c r="BJ51" i="69"/>
  <c r="BK51" i="69" s="1"/>
  <c r="BJ35" i="77"/>
  <c r="BK35" i="77" s="1"/>
  <c r="BJ52" i="68"/>
  <c r="BK52" i="68" s="1"/>
  <c r="BJ65" i="1"/>
  <c r="BK65" i="1" s="1"/>
  <c r="BJ58" i="81"/>
  <c r="BK58" i="81" s="1"/>
  <c r="BJ65" i="70"/>
  <c r="BK65" i="70" s="1"/>
  <c r="BJ65" i="66"/>
  <c r="BK65" i="66" s="1"/>
  <c r="BJ54" i="1"/>
  <c r="BK54" i="1" s="1"/>
  <c r="BJ55" i="80"/>
  <c r="BK55" i="80" s="1"/>
  <c r="G261" i="2"/>
  <c r="H261" i="2" s="1"/>
  <c r="BJ54" i="67"/>
  <c r="BK54" i="67" s="1"/>
  <c r="BJ54" i="71"/>
  <c r="BK54" i="71" s="1"/>
  <c r="BJ54" i="70"/>
  <c r="BK54" i="70" s="1"/>
  <c r="BJ47" i="81"/>
  <c r="BK47" i="81" s="1"/>
  <c r="BJ54" i="66"/>
  <c r="BK54" i="66" s="1"/>
  <c r="BJ54" i="73"/>
  <c r="BK54" i="73" s="1"/>
  <c r="BJ26" i="77"/>
  <c r="BK26" i="77" s="1"/>
  <c r="BJ37" i="82"/>
  <c r="BK37" i="82" s="1"/>
  <c r="BJ40" i="76"/>
  <c r="BK40" i="76" s="1"/>
  <c r="BJ40" i="69"/>
  <c r="BK40" i="69" s="1"/>
  <c r="BJ40" i="75"/>
  <c r="BK40" i="75" s="1"/>
  <c r="BJ67" i="78"/>
  <c r="BK67" i="78" s="1"/>
  <c r="BJ41" i="68"/>
  <c r="BK41" i="68" s="1"/>
  <c r="BJ54" i="74"/>
  <c r="BK54" i="74" s="1"/>
  <c r="BA63" i="1"/>
  <c r="BB63" i="1" s="1"/>
  <c r="BJ102" i="73"/>
  <c r="BK102" i="73" s="1"/>
  <c r="BA51" i="69"/>
  <c r="BB51" i="69" s="1"/>
  <c r="BJ80" i="75"/>
  <c r="BK80" i="75" s="1"/>
  <c r="BJ80" i="69"/>
  <c r="BK80" i="69" s="1"/>
  <c r="BA51" i="75"/>
  <c r="BB51" i="75" s="1"/>
  <c r="BA63" i="66"/>
  <c r="BB63" i="66" s="1"/>
  <c r="BA63" i="71"/>
  <c r="BB63" i="71" s="1"/>
  <c r="BJ102" i="67"/>
  <c r="BK102" i="67" s="1"/>
  <c r="BA35" i="77"/>
  <c r="BB35" i="77" s="1"/>
  <c r="BA63" i="74"/>
  <c r="BB63" i="74" s="1"/>
  <c r="BA63" i="70"/>
  <c r="BB63" i="70" s="1"/>
  <c r="BJ102" i="71"/>
  <c r="BK102" i="71" s="1"/>
  <c r="BA51" i="76"/>
  <c r="BB51" i="76" s="1"/>
  <c r="BJ81" i="68"/>
  <c r="BK81" i="68" s="1"/>
  <c r="BJ102" i="70"/>
  <c r="BK102" i="70" s="1"/>
  <c r="BJ80" i="76"/>
  <c r="BK80" i="76" s="1"/>
  <c r="BA63" i="67"/>
  <c r="BB63" i="67" s="1"/>
  <c r="BJ102" i="66"/>
  <c r="BK102" i="66" s="1"/>
  <c r="G329" i="2"/>
  <c r="H329" i="2" s="1"/>
  <c r="BA51" i="68"/>
  <c r="BB51" i="68" s="1"/>
  <c r="BJ102" i="1"/>
  <c r="BK102" i="1" s="1"/>
  <c r="BJ102" i="74"/>
  <c r="BK102" i="74" s="1"/>
  <c r="BJ53" i="77"/>
  <c r="BK53" i="77" s="1"/>
  <c r="BA63" i="73"/>
  <c r="BB63" i="73" s="1"/>
  <c r="BA42" i="70"/>
  <c r="BB42" i="70" s="1"/>
  <c r="BA42" i="67"/>
  <c r="BB42" i="67" s="1"/>
  <c r="BA34" i="68"/>
  <c r="BB34" i="68" s="1"/>
  <c r="BA34" i="76"/>
  <c r="BB34" i="76" s="1"/>
  <c r="BA34" i="75"/>
  <c r="BB34" i="75" s="1"/>
  <c r="G272" i="2"/>
  <c r="H272" i="2" s="1"/>
  <c r="BA34" i="69"/>
  <c r="BB34" i="69" s="1"/>
  <c r="BA38" i="81"/>
  <c r="BB38" i="81" s="1"/>
  <c r="BA42" i="73"/>
  <c r="BB42" i="73" s="1"/>
  <c r="BA32" i="82"/>
  <c r="BB32" i="82" s="1"/>
  <c r="BA48" i="78"/>
  <c r="BB48" i="78" s="1"/>
  <c r="BA42" i="74"/>
  <c r="BB42" i="74" s="1"/>
  <c r="BA42" i="1"/>
  <c r="BB42" i="1" s="1"/>
  <c r="G249" i="2"/>
  <c r="H249" i="2" s="1"/>
  <c r="BA18" i="77"/>
  <c r="BB18" i="77" s="1"/>
  <c r="BA25" i="82"/>
  <c r="BB25" i="82" s="1"/>
  <c r="BA34" i="80"/>
  <c r="BB34" i="80" s="1"/>
  <c r="BA27" i="68"/>
  <c r="BB27" i="68" s="1"/>
  <c r="BA27" i="76"/>
  <c r="BB27" i="76" s="1"/>
  <c r="BA27" i="69"/>
  <c r="BB27" i="69" s="1"/>
  <c r="BA41" i="78"/>
  <c r="BB41" i="78" s="1"/>
  <c r="BA27" i="75"/>
  <c r="BB27" i="75" s="1"/>
  <c r="BA35" i="70"/>
  <c r="BB35" i="70" s="1"/>
  <c r="BA31" i="81"/>
  <c r="BB31" i="81" s="1"/>
  <c r="BA35" i="71"/>
  <c r="BB35" i="71" s="1"/>
  <c r="BA35" i="74"/>
  <c r="BB35" i="74" s="1"/>
  <c r="BA35" i="73"/>
  <c r="BB35" i="73" s="1"/>
  <c r="BA35" i="67"/>
  <c r="BB35" i="67" s="1"/>
  <c r="BA35" i="1"/>
  <c r="BB35" i="1" s="1"/>
  <c r="BA35" i="66"/>
  <c r="BB35" i="66" s="1"/>
  <c r="G318" i="2"/>
  <c r="H318" i="2" s="1"/>
  <c r="BJ91" i="67"/>
  <c r="BK91" i="67" s="1"/>
  <c r="BJ57" i="82"/>
  <c r="BK57" i="82" s="1"/>
  <c r="BJ69" i="76"/>
  <c r="BK69" i="76" s="1"/>
  <c r="BJ71" i="81"/>
  <c r="BK71" i="81" s="1"/>
  <c r="BJ91" i="1"/>
  <c r="BK91" i="1" s="1"/>
  <c r="BJ44" i="77"/>
  <c r="BK44" i="77" s="1"/>
  <c r="BJ75" i="80"/>
  <c r="BK75" i="80" s="1"/>
  <c r="BJ91" i="71"/>
  <c r="BK91" i="71" s="1"/>
  <c r="BJ91" i="73"/>
  <c r="BK91" i="73" s="1"/>
  <c r="BJ70" i="68"/>
  <c r="BK70" i="68" s="1"/>
  <c r="BJ91" i="74"/>
  <c r="BK91" i="74" s="1"/>
  <c r="BJ69" i="69"/>
  <c r="BK69" i="69" s="1"/>
  <c r="BJ69" i="75"/>
  <c r="BK69" i="75" s="1"/>
  <c r="BJ91" i="66"/>
  <c r="BK91" i="66" s="1"/>
  <c r="BJ91" i="70"/>
  <c r="BK91" i="70" s="1"/>
  <c r="BJ91" i="78"/>
  <c r="BK91" i="78" s="1"/>
  <c r="BA67" i="70"/>
  <c r="BB67" i="70" s="1"/>
  <c r="G333" i="2"/>
  <c r="H333" i="2" s="1"/>
  <c r="BA67" i="73"/>
  <c r="BB67" i="73" s="1"/>
  <c r="BA67" i="74"/>
  <c r="BB67" i="74" s="1"/>
  <c r="BA67" i="67"/>
  <c r="BB67" i="67" s="1"/>
  <c r="BA67" i="1"/>
  <c r="BB67" i="1" s="1"/>
  <c r="BH125" i="74"/>
  <c r="BH125" i="73"/>
  <c r="BH102" i="78"/>
  <c r="BH99" i="76"/>
  <c r="BH100" i="68"/>
  <c r="BE68" i="77"/>
  <c r="BH68" i="77"/>
  <c r="BH125" i="70"/>
  <c r="BH125" i="66"/>
  <c r="BH82" i="81"/>
  <c r="BH125" i="1"/>
  <c r="BA66" i="76"/>
  <c r="BB66" i="76" s="1"/>
  <c r="AV66" i="76"/>
  <c r="AW66" i="76"/>
  <c r="BH125" i="67"/>
  <c r="BH99" i="69"/>
  <c r="BJ52" i="83" l="1"/>
  <c r="BK52" i="83" s="1"/>
  <c r="BJ123" i="83"/>
  <c r="BK123" i="83" s="1"/>
  <c r="BJ72" i="84"/>
  <c r="BK72" i="84" s="1"/>
  <c r="BJ123" i="84"/>
  <c r="BK123" i="84" s="1"/>
  <c r="BA51" i="83"/>
  <c r="BB51" i="83" s="1"/>
  <c r="BJ106" i="66"/>
  <c r="BK106" i="66" s="1"/>
  <c r="BJ72" i="85"/>
  <c r="BK72" i="85" s="1"/>
  <c r="BJ120" i="83"/>
  <c r="BK120" i="83" s="1"/>
  <c r="BA73" i="83"/>
  <c r="BB73" i="83" s="1"/>
  <c r="BJ123" i="87"/>
  <c r="BK123" i="87" s="1"/>
  <c r="BJ87" i="83"/>
  <c r="BK87" i="83" s="1"/>
  <c r="BJ106" i="71"/>
  <c r="BK106" i="71" s="1"/>
  <c r="BJ52" i="84"/>
  <c r="BK52" i="84" s="1"/>
  <c r="BJ120" i="84"/>
  <c r="BK120" i="84" s="1"/>
  <c r="BA73" i="84"/>
  <c r="BB73" i="84" s="1"/>
  <c r="BJ123" i="85"/>
  <c r="BK123" i="85" s="1"/>
  <c r="BA51" i="84"/>
  <c r="BB51" i="84" s="1"/>
  <c r="BA67" i="71"/>
  <c r="BB67" i="71" s="1"/>
  <c r="BJ72" i="83"/>
  <c r="BK72" i="83" s="1"/>
  <c r="BJ72" i="86"/>
  <c r="BK72" i="86" s="1"/>
  <c r="BJ52" i="85"/>
  <c r="BK52" i="85" s="1"/>
  <c r="BJ120" i="87"/>
  <c r="BK120" i="87" s="1"/>
  <c r="BA73" i="87"/>
  <c r="BB73" i="87" s="1"/>
  <c r="BA51" i="87"/>
  <c r="BB51" i="87" s="1"/>
  <c r="BA67" i="66"/>
  <c r="BB67" i="66" s="1"/>
  <c r="BJ52" i="87"/>
  <c r="BK52" i="87" s="1"/>
  <c r="BJ120" i="86"/>
  <c r="BK120" i="86" s="1"/>
  <c r="BA73" i="85"/>
  <c r="BB73" i="85" s="1"/>
  <c r="BA51" i="85"/>
  <c r="BB51" i="85" s="1"/>
  <c r="BJ52" i="86"/>
  <c r="BK52" i="86" s="1"/>
  <c r="BJ87" i="84"/>
  <c r="BK87" i="84" s="1"/>
  <c r="BJ156" i="85"/>
  <c r="BK156" i="85" s="1"/>
  <c r="BJ38" i="66"/>
  <c r="BK38" i="66" s="1"/>
  <c r="BJ104" i="83"/>
  <c r="BK104" i="83" s="1"/>
  <c r="BJ87" i="87"/>
  <c r="BK87" i="87" s="1"/>
  <c r="BA113" i="87"/>
  <c r="BB113" i="87" s="1"/>
  <c r="BJ104" i="84"/>
  <c r="BK104" i="84" s="1"/>
  <c r="BJ87" i="86"/>
  <c r="BK87" i="86" s="1"/>
  <c r="BJ156" i="86"/>
  <c r="BK156" i="86" s="1"/>
  <c r="BJ104" i="87"/>
  <c r="BK104" i="87" s="1"/>
  <c r="BA51" i="86"/>
  <c r="BB51" i="86" s="1"/>
  <c r="BA108" i="85"/>
  <c r="BB108" i="85" s="1"/>
  <c r="BJ38" i="82"/>
  <c r="BK38" i="82" s="1"/>
  <c r="BJ42" i="68"/>
  <c r="BK42" i="68" s="1"/>
  <c r="BA22" i="77"/>
  <c r="BB22" i="77" s="1"/>
  <c r="BA32" i="68"/>
  <c r="BB32" i="68" s="1"/>
  <c r="G125" i="2"/>
  <c r="H125" i="2" s="1"/>
  <c r="G369" i="2"/>
  <c r="H369" i="2" s="1"/>
  <c r="BJ69" i="85"/>
  <c r="BK69" i="85" s="1"/>
  <c r="BJ157" i="86"/>
  <c r="BK157" i="86" s="1"/>
  <c r="BJ55" i="66"/>
  <c r="BK55" i="66" s="1"/>
  <c r="BJ48" i="81"/>
  <c r="BK48" i="81" s="1"/>
  <c r="BA40" i="71"/>
  <c r="BB40" i="71" s="1"/>
  <c r="BA39" i="80"/>
  <c r="BB39" i="80" s="1"/>
  <c r="BA17" i="75"/>
  <c r="BB17" i="75" s="1"/>
  <c r="BA109" i="86"/>
  <c r="BB109" i="86" s="1"/>
  <c r="BJ68" i="78"/>
  <c r="BK68" i="78" s="1"/>
  <c r="BJ55" i="70"/>
  <c r="BK55" i="70" s="1"/>
  <c r="BA46" i="78"/>
  <c r="BB46" i="78" s="1"/>
  <c r="BA40" i="67"/>
  <c r="BB40" i="67" s="1"/>
  <c r="BJ27" i="82"/>
  <c r="BK27" i="82" s="1"/>
  <c r="G367" i="2"/>
  <c r="H367" i="2" s="1"/>
  <c r="BJ55" i="67"/>
  <c r="BK55" i="67" s="1"/>
  <c r="BJ27" i="77"/>
  <c r="BK27" i="77" s="1"/>
  <c r="BA40" i="70"/>
  <c r="BB40" i="70" s="1"/>
  <c r="G220" i="2"/>
  <c r="H220" i="2" s="1"/>
  <c r="BJ158" i="87"/>
  <c r="BK158" i="87" s="1"/>
  <c r="BA46" i="86"/>
  <c r="BB46" i="86" s="1"/>
  <c r="BJ55" i="1"/>
  <c r="BK55" i="1" s="1"/>
  <c r="BJ41" i="76"/>
  <c r="BK41" i="76" s="1"/>
  <c r="BA32" i="75"/>
  <c r="BB32" i="75" s="1"/>
  <c r="BJ27" i="76"/>
  <c r="BK27" i="76" s="1"/>
  <c r="BJ69" i="83"/>
  <c r="BK69" i="83" s="1"/>
  <c r="BA107" i="86"/>
  <c r="BB107" i="86" s="1"/>
  <c r="BJ55" i="73"/>
  <c r="BK55" i="73" s="1"/>
  <c r="BA32" i="76"/>
  <c r="BB32" i="76" s="1"/>
  <c r="BJ27" i="75"/>
  <c r="BK27" i="75" s="1"/>
  <c r="BA46" i="83"/>
  <c r="BB46" i="83" s="1"/>
  <c r="BA46" i="87"/>
  <c r="BB46" i="87" s="1"/>
  <c r="BA46" i="85"/>
  <c r="BB46" i="85" s="1"/>
  <c r="BJ155" i="86"/>
  <c r="BK155" i="86" s="1"/>
  <c r="BA112" i="87"/>
  <c r="BB112" i="87" s="1"/>
  <c r="G262" i="2"/>
  <c r="H262" i="2" s="1"/>
  <c r="G270" i="2"/>
  <c r="H270" i="2" s="1"/>
  <c r="BJ27" i="69"/>
  <c r="BK27" i="69" s="1"/>
  <c r="BA107" i="85"/>
  <c r="BJ41" i="75"/>
  <c r="BK41" i="75" s="1"/>
  <c r="BA40" i="66"/>
  <c r="BB40" i="66" s="1"/>
  <c r="BJ157" i="85"/>
  <c r="BK157" i="85" s="1"/>
  <c r="BA32" i="69"/>
  <c r="BB32" i="69" s="1"/>
  <c r="BA40" i="74"/>
  <c r="BB40" i="74" s="1"/>
  <c r="BA46" i="84"/>
  <c r="BB46" i="84" s="1"/>
  <c r="BJ160" i="87"/>
  <c r="BK160" i="87" s="1"/>
  <c r="BJ41" i="69"/>
  <c r="BK41" i="69" s="1"/>
  <c r="BA40" i="1"/>
  <c r="BB40" i="1" s="1"/>
  <c r="BA92" i="74"/>
  <c r="BB92" i="74" s="1"/>
  <c r="BA50" i="80"/>
  <c r="BB50" i="80" s="1"/>
  <c r="BJ130" i="70"/>
  <c r="BK130" i="70" s="1"/>
  <c r="BJ88" i="75"/>
  <c r="BK88" i="75" s="1"/>
  <c r="BJ114" i="73"/>
  <c r="BK114" i="73" s="1"/>
  <c r="BA92" i="75"/>
  <c r="BB92" i="75" s="1"/>
  <c r="BJ88" i="76"/>
  <c r="BK88" i="76" s="1"/>
  <c r="BJ89" i="68"/>
  <c r="BK89" i="68" s="1"/>
  <c r="BJ114" i="67"/>
  <c r="BK114" i="67" s="1"/>
  <c r="BJ114" i="70"/>
  <c r="BK114" i="70" s="1"/>
  <c r="BJ62" i="86"/>
  <c r="BK62" i="86" s="1"/>
  <c r="G255" i="2"/>
  <c r="H255" i="2" s="1"/>
  <c r="BJ108" i="66"/>
  <c r="BK108" i="66" s="1"/>
  <c r="BJ106" i="75"/>
  <c r="BK106" i="75" s="1"/>
  <c r="BJ34" i="76"/>
  <c r="BK34" i="76" s="1"/>
  <c r="BJ84" i="85"/>
  <c r="BK84" i="85" s="1"/>
  <c r="BJ76" i="67"/>
  <c r="BK76" i="67" s="1"/>
  <c r="BJ70" i="67"/>
  <c r="BK70" i="67" s="1"/>
  <c r="BJ62" i="85"/>
  <c r="BK62" i="85" s="1"/>
  <c r="BJ56" i="1"/>
  <c r="BK56" i="1" s="1"/>
  <c r="BJ24" i="69"/>
  <c r="BK24" i="69" s="1"/>
  <c r="BA48" i="70"/>
  <c r="BB48" i="70" s="1"/>
  <c r="BJ56" i="69"/>
  <c r="BK56" i="69" s="1"/>
  <c r="BJ43" i="68"/>
  <c r="BK43" i="68" s="1"/>
  <c r="BJ76" i="71"/>
  <c r="BJ62" i="83"/>
  <c r="BK62" i="83" s="1"/>
  <c r="BJ127" i="85"/>
  <c r="BK127" i="85" s="1"/>
  <c r="BJ56" i="70"/>
  <c r="BK56" i="70" s="1"/>
  <c r="BA48" i="71"/>
  <c r="BA48" i="67"/>
  <c r="BB48" i="67" s="1"/>
  <c r="BA15" i="75"/>
  <c r="BB15" i="75" s="1"/>
  <c r="G218" i="2"/>
  <c r="H218" i="2" s="1"/>
  <c r="G294" i="2"/>
  <c r="H294" i="2" s="1"/>
  <c r="BA56" i="86"/>
  <c r="BB56" i="86" s="1"/>
  <c r="G353" i="2"/>
  <c r="H353" i="2" s="1"/>
  <c r="BJ113" i="1"/>
  <c r="BK113" i="1" s="1"/>
  <c r="BJ118" i="71"/>
  <c r="BK118" i="71" s="1"/>
  <c r="BJ87" i="69"/>
  <c r="BK87" i="69" s="1"/>
  <c r="BJ145" i="83"/>
  <c r="BK145" i="83" s="1"/>
  <c r="BJ87" i="75"/>
  <c r="BK87" i="75" s="1"/>
  <c r="BJ145" i="84"/>
  <c r="BK145" i="84" s="1"/>
  <c r="BA50" i="71"/>
  <c r="BB50" i="71" s="1"/>
  <c r="BJ92" i="76"/>
  <c r="BK92" i="76" s="1"/>
  <c r="BJ113" i="70"/>
  <c r="BK113" i="70" s="1"/>
  <c r="G109" i="2"/>
  <c r="H109" i="2" s="1"/>
  <c r="BJ92" i="75"/>
  <c r="BK92" i="75" s="1"/>
  <c r="BJ113" i="71"/>
  <c r="BK113" i="71" s="1"/>
  <c r="BJ118" i="67"/>
  <c r="BK118" i="67" s="1"/>
  <c r="BJ132" i="84"/>
  <c r="BK132" i="84" s="1"/>
  <c r="BJ132" i="85"/>
  <c r="BK132" i="85" s="1"/>
  <c r="G169" i="2"/>
  <c r="H169" i="2" s="1"/>
  <c r="BA50" i="67"/>
  <c r="BB50" i="67" s="1"/>
  <c r="BA56" i="85"/>
  <c r="BB56" i="85" s="1"/>
  <c r="BJ103" i="83"/>
  <c r="BK103" i="83" s="1"/>
  <c r="BJ61" i="86"/>
  <c r="BK61" i="86" s="1"/>
  <c r="BF100" i="68"/>
  <c r="BJ120" i="70"/>
  <c r="BK120" i="70" s="1"/>
  <c r="G225" i="2"/>
  <c r="H225" i="2" s="1"/>
  <c r="BJ59" i="83"/>
  <c r="BK59" i="83" s="1"/>
  <c r="BJ134" i="83"/>
  <c r="BK134" i="83" s="1"/>
  <c r="BJ40" i="70"/>
  <c r="BK40" i="70" s="1"/>
  <c r="BA68" i="71"/>
  <c r="BB68" i="71" s="1"/>
  <c r="BJ88" i="81"/>
  <c r="BK88" i="81" s="1"/>
  <c r="BA74" i="84"/>
  <c r="BB74" i="84" s="1"/>
  <c r="BJ90" i="87"/>
  <c r="BK90" i="87" s="1"/>
  <c r="BJ120" i="74"/>
  <c r="BK120" i="74" s="1"/>
  <c r="AV80" i="67"/>
  <c r="G143" i="2"/>
  <c r="H143" i="2" s="1"/>
  <c r="BA143" i="74"/>
  <c r="BB143" i="74" s="1"/>
  <c r="BJ66" i="83"/>
  <c r="BK66" i="83" s="1"/>
  <c r="BJ70" i="66"/>
  <c r="BK70" i="66" s="1"/>
  <c r="AZ139" i="74"/>
  <c r="AH361" i="2" s="1"/>
  <c r="AZ46" i="74"/>
  <c r="AH286" i="2" s="1"/>
  <c r="BJ89" i="73"/>
  <c r="BK89" i="73" s="1"/>
  <c r="BA131" i="67"/>
  <c r="BB131" i="67" s="1"/>
  <c r="BJ67" i="75"/>
  <c r="BK67" i="75" s="1"/>
  <c r="BJ47" i="71"/>
  <c r="BK47" i="71" s="1"/>
  <c r="BJ106" i="68"/>
  <c r="BK106" i="68" s="1"/>
  <c r="BJ61" i="87"/>
  <c r="BK61" i="87" s="1"/>
  <c r="BJ73" i="80"/>
  <c r="BK73" i="80" s="1"/>
  <c r="BJ47" i="66"/>
  <c r="BK47" i="66" s="1"/>
  <c r="BJ38" i="76"/>
  <c r="BK38" i="76" s="1"/>
  <c r="BJ131" i="1"/>
  <c r="BK131" i="1" s="1"/>
  <c r="BA129" i="71"/>
  <c r="BI134" i="74"/>
  <c r="AI228" i="2" s="1"/>
  <c r="BJ52" i="70"/>
  <c r="BK52" i="70" s="1"/>
  <c r="BJ58" i="69"/>
  <c r="BK58" i="69" s="1"/>
  <c r="BJ122" i="86"/>
  <c r="BK122" i="86" s="1"/>
  <c r="BJ153" i="85"/>
  <c r="BK153" i="85" s="1"/>
  <c r="BA44" i="70"/>
  <c r="BB44" i="70" s="1"/>
  <c r="G156" i="2"/>
  <c r="H156" i="2" s="1"/>
  <c r="G311" i="2"/>
  <c r="H311" i="2" s="1"/>
  <c r="BA62" i="86"/>
  <c r="BB62" i="86" s="1"/>
  <c r="BA56" i="70"/>
  <c r="BB56" i="70" s="1"/>
  <c r="BJ95" i="73"/>
  <c r="BK95" i="73" s="1"/>
  <c r="BA67" i="83"/>
  <c r="BB67" i="83" s="1"/>
  <c r="BJ109" i="83"/>
  <c r="BK109" i="83" s="1"/>
  <c r="BA79" i="87"/>
  <c r="BB79" i="87" s="1"/>
  <c r="BA62" i="85"/>
  <c r="BB62" i="85" s="1"/>
  <c r="BJ38" i="81"/>
  <c r="BK38" i="81" s="1"/>
  <c r="BA44" i="69"/>
  <c r="BB44" i="69" s="1"/>
  <c r="BJ86" i="85"/>
  <c r="BK86" i="85" s="1"/>
  <c r="BJ109" i="84"/>
  <c r="BK109" i="84" s="1"/>
  <c r="BA56" i="73"/>
  <c r="BB56" i="73" s="1"/>
  <c r="BJ109" i="85"/>
  <c r="BK109" i="85" s="1"/>
  <c r="BJ109" i="87"/>
  <c r="BK109" i="87" s="1"/>
  <c r="BA56" i="71"/>
  <c r="BB56" i="71" s="1"/>
  <c r="BA56" i="74"/>
  <c r="BB56" i="74" s="1"/>
  <c r="BJ95" i="1"/>
  <c r="BK95" i="1" s="1"/>
  <c r="BJ69" i="71"/>
  <c r="BK69" i="71" s="1"/>
  <c r="BA61" i="73"/>
  <c r="BB61" i="73" s="1"/>
  <c r="BJ59" i="84"/>
  <c r="BK59" i="84" s="1"/>
  <c r="BJ72" i="73"/>
  <c r="BK72" i="73" s="1"/>
  <c r="BA61" i="74"/>
  <c r="BB61" i="74" s="1"/>
  <c r="BJ116" i="84"/>
  <c r="BK116" i="84" s="1"/>
  <c r="BJ72" i="66"/>
  <c r="BK72" i="66" s="1"/>
  <c r="G23" i="2"/>
  <c r="H23" i="2" s="1"/>
  <c r="BA71" i="70"/>
  <c r="BB71" i="70" s="1"/>
  <c r="BA61" i="67"/>
  <c r="BB61" i="67" s="1"/>
  <c r="BA69" i="86"/>
  <c r="BB69" i="86" s="1"/>
  <c r="BJ52" i="71"/>
  <c r="BK52" i="71" s="1"/>
  <c r="BJ56" i="67"/>
  <c r="BK56" i="67" s="1"/>
  <c r="BJ48" i="71"/>
  <c r="BK48" i="71" s="1"/>
  <c r="BJ61" i="83"/>
  <c r="BK61" i="83" s="1"/>
  <c r="BA93" i="87"/>
  <c r="BB93" i="87" s="1"/>
  <c r="BA54" i="87"/>
  <c r="BB54" i="87" s="1"/>
  <c r="BJ55" i="82"/>
  <c r="BK55" i="82" s="1"/>
  <c r="G306" i="2"/>
  <c r="H306" i="2" s="1"/>
  <c r="BA44" i="66"/>
  <c r="BB44" i="66" s="1"/>
  <c r="BJ25" i="82"/>
  <c r="BK25" i="82" s="1"/>
  <c r="BJ34" i="75"/>
  <c r="BK34" i="75" s="1"/>
  <c r="BA68" i="66"/>
  <c r="BB68" i="66" s="1"/>
  <c r="BJ66" i="87"/>
  <c r="BK66" i="87" s="1"/>
  <c r="BJ70" i="83"/>
  <c r="BK70" i="83" s="1"/>
  <c r="BJ54" i="87"/>
  <c r="BK54" i="87" s="1"/>
  <c r="BJ146" i="87"/>
  <c r="BK146" i="87" s="1"/>
  <c r="BJ128" i="87"/>
  <c r="BK128" i="87" s="1"/>
  <c r="BJ122" i="85"/>
  <c r="BK122" i="85" s="1"/>
  <c r="BJ90" i="85"/>
  <c r="BK90" i="85" s="1"/>
  <c r="BJ153" i="86"/>
  <c r="BK153" i="86" s="1"/>
  <c r="BJ70" i="74"/>
  <c r="BK70" i="74" s="1"/>
  <c r="BJ24" i="76"/>
  <c r="BK24" i="76" s="1"/>
  <c r="BJ105" i="69"/>
  <c r="BK105" i="69" s="1"/>
  <c r="BA105" i="69"/>
  <c r="BB105" i="69" s="1"/>
  <c r="BJ48" i="73"/>
  <c r="BK48" i="73" s="1"/>
  <c r="BJ95" i="68"/>
  <c r="BK95" i="68" s="1"/>
  <c r="BJ108" i="73"/>
  <c r="BK108" i="73" s="1"/>
  <c r="BA86" i="75"/>
  <c r="BB86" i="75" s="1"/>
  <c r="BJ76" i="73"/>
  <c r="BK76" i="73" s="1"/>
  <c r="BJ84" i="84"/>
  <c r="BK84" i="84" s="1"/>
  <c r="BJ134" i="84"/>
  <c r="BK134" i="84" s="1"/>
  <c r="BJ39" i="82"/>
  <c r="BK39" i="82" s="1"/>
  <c r="BJ143" i="74"/>
  <c r="BK143" i="74" s="1"/>
  <c r="BJ118" i="1"/>
  <c r="BK118" i="1" s="1"/>
  <c r="BJ120" i="67"/>
  <c r="BK120" i="67" s="1"/>
  <c r="BJ108" i="1"/>
  <c r="BK108" i="1" s="1"/>
  <c r="BJ58" i="77"/>
  <c r="BK58" i="77" s="1"/>
  <c r="BJ61" i="85"/>
  <c r="BK61" i="85" s="1"/>
  <c r="BJ134" i="87"/>
  <c r="BK134" i="87" s="1"/>
  <c r="BJ89" i="71"/>
  <c r="BK89" i="71" s="1"/>
  <c r="BA52" i="78"/>
  <c r="BB52" i="78" s="1"/>
  <c r="BJ47" i="67"/>
  <c r="BK47" i="67" s="1"/>
  <c r="BJ72" i="71"/>
  <c r="BK72" i="71" s="1"/>
  <c r="BJ58" i="75"/>
  <c r="BK58" i="75" s="1"/>
  <c r="BJ114" i="74"/>
  <c r="BK114" i="74" s="1"/>
  <c r="BJ114" i="66"/>
  <c r="BK114" i="66" s="1"/>
  <c r="BJ24" i="77"/>
  <c r="BK24" i="77" s="1"/>
  <c r="BA15" i="76"/>
  <c r="BB15" i="76" s="1"/>
  <c r="BJ42" i="76"/>
  <c r="BK42" i="76" s="1"/>
  <c r="BA14" i="75"/>
  <c r="BB14" i="75" s="1"/>
  <c r="BA131" i="1"/>
  <c r="BB131" i="1" s="1"/>
  <c r="BA92" i="80"/>
  <c r="BB92" i="80" s="1"/>
  <c r="BJ118" i="73"/>
  <c r="BK118" i="73" s="1"/>
  <c r="BJ48" i="74"/>
  <c r="BK48" i="74" s="1"/>
  <c r="BJ48" i="67"/>
  <c r="BK48" i="67" s="1"/>
  <c r="BJ94" i="75"/>
  <c r="BK94" i="75" s="1"/>
  <c r="BJ108" i="71"/>
  <c r="BK108" i="71" s="1"/>
  <c r="BA50" i="73"/>
  <c r="BB50" i="73" s="1"/>
  <c r="G288" i="2"/>
  <c r="H288" i="2" s="1"/>
  <c r="BJ113" i="73"/>
  <c r="BK113" i="73" s="1"/>
  <c r="BA68" i="67"/>
  <c r="BB68" i="67" s="1"/>
  <c r="BA40" i="76"/>
  <c r="BB40" i="76" s="1"/>
  <c r="BJ66" i="84"/>
  <c r="BK66" i="84" s="1"/>
  <c r="BJ62" i="84"/>
  <c r="BK62" i="84" s="1"/>
  <c r="BJ84" i="83"/>
  <c r="BK84" i="83" s="1"/>
  <c r="BJ134" i="86"/>
  <c r="BK134" i="86" s="1"/>
  <c r="BA56" i="84"/>
  <c r="BB56" i="84" s="1"/>
  <c r="BJ128" i="86"/>
  <c r="BK128" i="86" s="1"/>
  <c r="BJ144" i="87"/>
  <c r="BK144" i="87" s="1"/>
  <c r="BJ116" i="86"/>
  <c r="BK116" i="86" s="1"/>
  <c r="BA54" i="86"/>
  <c r="BB54" i="86" s="1"/>
  <c r="BA146" i="86"/>
  <c r="BB146" i="86" s="1"/>
  <c r="BJ56" i="76"/>
  <c r="BK56" i="76" s="1"/>
  <c r="BJ89" i="74"/>
  <c r="BK89" i="74" s="1"/>
  <c r="G254" i="2"/>
  <c r="H254" i="2" s="1"/>
  <c r="BA40" i="69"/>
  <c r="BB40" i="69" s="1"/>
  <c r="BJ54" i="85"/>
  <c r="BK54" i="85" s="1"/>
  <c r="BJ122" i="87"/>
  <c r="BK122" i="87" s="1"/>
  <c r="BA151" i="87"/>
  <c r="BB151" i="87" s="1"/>
  <c r="BJ45" i="73"/>
  <c r="BK45" i="73" s="1"/>
  <c r="BJ70" i="1"/>
  <c r="BK70" i="1" s="1"/>
  <c r="BJ45" i="81"/>
  <c r="BK45" i="81" s="1"/>
  <c r="G163" i="2"/>
  <c r="H163" i="2" s="1"/>
  <c r="BJ24" i="82"/>
  <c r="BK24" i="82" s="1"/>
  <c r="BJ74" i="82"/>
  <c r="BK74" i="82" s="1"/>
  <c r="BJ48" i="66"/>
  <c r="BK48" i="66" s="1"/>
  <c r="BJ105" i="75"/>
  <c r="BK105" i="75" s="1"/>
  <c r="BJ76" i="1"/>
  <c r="BK76" i="1" s="1"/>
  <c r="BA48" i="66"/>
  <c r="BB48" i="66" s="1"/>
  <c r="BA56" i="87"/>
  <c r="BB56" i="87" s="1"/>
  <c r="BJ45" i="74"/>
  <c r="BK45" i="74" s="1"/>
  <c r="BJ70" i="73"/>
  <c r="BK70" i="73" s="1"/>
  <c r="BI59" i="70"/>
  <c r="AA266" i="2" s="1"/>
  <c r="BJ89" i="66"/>
  <c r="BK89" i="66" s="1"/>
  <c r="G252" i="2"/>
  <c r="H252" i="2" s="1"/>
  <c r="BJ63" i="81"/>
  <c r="BK63" i="81" s="1"/>
  <c r="BI96" i="70"/>
  <c r="AA323" i="2" s="1"/>
  <c r="BJ89" i="1"/>
  <c r="BK89" i="1" s="1"/>
  <c r="BJ67" i="76"/>
  <c r="BK67" i="76" s="1"/>
  <c r="BA42" i="81"/>
  <c r="BB42" i="81" s="1"/>
  <c r="BJ47" i="1"/>
  <c r="BK47" i="1" s="1"/>
  <c r="BA36" i="75"/>
  <c r="BB36" i="75" s="1"/>
  <c r="BA87" i="74"/>
  <c r="BB87" i="74" s="1"/>
  <c r="BJ114" i="71"/>
  <c r="BK114" i="71" s="1"/>
  <c r="BJ40" i="66"/>
  <c r="BK40" i="66" s="1"/>
  <c r="BJ52" i="1"/>
  <c r="BK52" i="1" s="1"/>
  <c r="BJ25" i="69"/>
  <c r="BK25" i="69" s="1"/>
  <c r="BJ56" i="74"/>
  <c r="BK56" i="74" s="1"/>
  <c r="BJ28" i="77"/>
  <c r="BK28" i="77" s="1"/>
  <c r="BA14" i="69"/>
  <c r="BB14" i="69" s="1"/>
  <c r="BJ137" i="70"/>
  <c r="BK137" i="70" s="1"/>
  <c r="BA106" i="68"/>
  <c r="BB106" i="68" s="1"/>
  <c r="BA88" i="81"/>
  <c r="BB88" i="81" s="1"/>
  <c r="BJ92" i="69"/>
  <c r="BK92" i="69" s="1"/>
  <c r="BJ61" i="78"/>
  <c r="BK61" i="78" s="1"/>
  <c r="BJ48" i="70"/>
  <c r="BK48" i="70" s="1"/>
  <c r="BJ120" i="66"/>
  <c r="BK120" i="66" s="1"/>
  <c r="G343" i="2"/>
  <c r="H343" i="2" s="1"/>
  <c r="BA50" i="1"/>
  <c r="BB50" i="1" s="1"/>
  <c r="BA28" i="77"/>
  <c r="BB28" i="77" s="1"/>
  <c r="BJ113" i="67"/>
  <c r="BK113" i="67" s="1"/>
  <c r="BA68" i="1"/>
  <c r="BB68" i="1" s="1"/>
  <c r="BJ66" i="85"/>
  <c r="BK66" i="85" s="1"/>
  <c r="BJ84" i="86"/>
  <c r="BK84" i="86" s="1"/>
  <c r="BJ134" i="85"/>
  <c r="BK134" i="85" s="1"/>
  <c r="BA74" i="83"/>
  <c r="BB74" i="83" s="1"/>
  <c r="BJ128" i="85"/>
  <c r="BK128" i="85" s="1"/>
  <c r="BJ132" i="83"/>
  <c r="BK132" i="83" s="1"/>
  <c r="BA146" i="85"/>
  <c r="BB146" i="85" s="1"/>
  <c r="BJ70" i="71"/>
  <c r="BK70" i="71" s="1"/>
  <c r="BJ69" i="81"/>
  <c r="BK69" i="81" s="1"/>
  <c r="G239" i="2"/>
  <c r="H239" i="2" s="1"/>
  <c r="BJ38" i="69"/>
  <c r="BK38" i="69" s="1"/>
  <c r="BJ56" i="71"/>
  <c r="BK56" i="71" s="1"/>
  <c r="BA14" i="76"/>
  <c r="BB14" i="76" s="1"/>
  <c r="BA48" i="74"/>
  <c r="BB48" i="74" s="1"/>
  <c r="G334" i="2"/>
  <c r="H334" i="2" s="1"/>
  <c r="BJ103" i="84"/>
  <c r="BK103" i="84" s="1"/>
  <c r="BJ68" i="77"/>
  <c r="BK68" i="77" s="1"/>
  <c r="BJ57" i="68"/>
  <c r="BK57" i="68" s="1"/>
  <c r="BJ79" i="74"/>
  <c r="BK79" i="74" s="1"/>
  <c r="BJ132" i="74"/>
  <c r="BK132" i="74" s="1"/>
  <c r="BJ40" i="71"/>
  <c r="BK40" i="71" s="1"/>
  <c r="BJ53" i="80"/>
  <c r="BK53" i="80" s="1"/>
  <c r="BJ57" i="80"/>
  <c r="BK57" i="80" s="1"/>
  <c r="BA14" i="82"/>
  <c r="BB14" i="82" s="1"/>
  <c r="BJ111" i="76"/>
  <c r="BK111" i="76" s="1"/>
  <c r="BJ41" i="81"/>
  <c r="BK41" i="81" s="1"/>
  <c r="BJ94" i="69"/>
  <c r="BK94" i="69" s="1"/>
  <c r="BJ62" i="76"/>
  <c r="BK62" i="76" s="1"/>
  <c r="BA50" i="66"/>
  <c r="BB50" i="66" s="1"/>
  <c r="AZ22" i="70"/>
  <c r="Z78" i="2" s="1"/>
  <c r="BJ79" i="1"/>
  <c r="BK79" i="1" s="1"/>
  <c r="BJ104" i="76"/>
  <c r="BK104" i="76" s="1"/>
  <c r="BA44" i="74"/>
  <c r="BB44" i="74" s="1"/>
  <c r="BA87" i="75"/>
  <c r="BB87" i="75" s="1"/>
  <c r="BJ114" i="1"/>
  <c r="BK114" i="1" s="1"/>
  <c r="BJ52" i="74"/>
  <c r="BK52" i="74" s="1"/>
  <c r="BJ52" i="73"/>
  <c r="BK52" i="73" s="1"/>
  <c r="BA15" i="69"/>
  <c r="BB15" i="69" s="1"/>
  <c r="BJ56" i="66"/>
  <c r="BK56" i="66" s="1"/>
  <c r="BJ49" i="81"/>
  <c r="BK49" i="81" s="1"/>
  <c r="BA71" i="67"/>
  <c r="BB71" i="67" s="1"/>
  <c r="BJ24" i="75"/>
  <c r="BK24" i="75" s="1"/>
  <c r="G365" i="2"/>
  <c r="H365" i="2" s="1"/>
  <c r="BJ131" i="66"/>
  <c r="BK131" i="66" s="1"/>
  <c r="BJ117" i="75"/>
  <c r="BK117" i="75" s="1"/>
  <c r="BJ118" i="70"/>
  <c r="BK118" i="70" s="1"/>
  <c r="BJ48" i="1"/>
  <c r="BK48" i="1" s="1"/>
  <c r="G355" i="2"/>
  <c r="H355" i="2" s="1"/>
  <c r="BJ108" i="70"/>
  <c r="BK108" i="70" s="1"/>
  <c r="BA50" i="70"/>
  <c r="BB50" i="70" s="1"/>
  <c r="BJ76" i="74"/>
  <c r="BK76" i="74" s="1"/>
  <c r="BJ87" i="76"/>
  <c r="BK87" i="76" s="1"/>
  <c r="BA68" i="73"/>
  <c r="BB68" i="73" s="1"/>
  <c r="BJ42" i="77"/>
  <c r="BK42" i="77" s="1"/>
  <c r="BI135" i="70"/>
  <c r="AA363" i="2" s="1"/>
  <c r="BJ84" i="87"/>
  <c r="BK84" i="87" s="1"/>
  <c r="BJ127" i="83"/>
  <c r="BK127" i="83" s="1"/>
  <c r="BA74" i="87"/>
  <c r="BB74" i="87" s="1"/>
  <c r="BJ132" i="87"/>
  <c r="BK132" i="87" s="1"/>
  <c r="BA54" i="84"/>
  <c r="BB54" i="84" s="1"/>
  <c r="BJ145" i="85"/>
  <c r="BK145" i="85" s="1"/>
  <c r="BJ153" i="83"/>
  <c r="BK153" i="83" s="1"/>
  <c r="BJ103" i="87"/>
  <c r="BK103" i="87" s="1"/>
  <c r="BJ67" i="69"/>
  <c r="BK67" i="69" s="1"/>
  <c r="BJ47" i="74"/>
  <c r="BK47" i="74" s="1"/>
  <c r="BA137" i="73"/>
  <c r="BB137" i="73" s="1"/>
  <c r="BJ76" i="70"/>
  <c r="BK76" i="70" s="1"/>
  <c r="BJ62" i="75"/>
  <c r="BK62" i="75" s="1"/>
  <c r="BJ89" i="70"/>
  <c r="BK89" i="70" s="1"/>
  <c r="BA34" i="82"/>
  <c r="BB34" i="82" s="1"/>
  <c r="BA44" i="1"/>
  <c r="BB44" i="1" s="1"/>
  <c r="BJ42" i="75"/>
  <c r="BK42" i="75" s="1"/>
  <c r="BJ108" i="78"/>
  <c r="BK108" i="78" s="1"/>
  <c r="BA50" i="74"/>
  <c r="BB50" i="74" s="1"/>
  <c r="BJ63" i="68"/>
  <c r="BK63" i="68" s="1"/>
  <c r="BA146" i="83"/>
  <c r="BB146" i="83" s="1"/>
  <c r="BA44" i="76"/>
  <c r="BB44" i="76" s="1"/>
  <c r="BJ60" i="78"/>
  <c r="BK60" i="78" s="1"/>
  <c r="BI99" i="76"/>
  <c r="AG214" i="2" s="1"/>
  <c r="BJ56" i="75"/>
  <c r="BK56" i="75" s="1"/>
  <c r="BJ68" i="68"/>
  <c r="BK68" i="68" s="1"/>
  <c r="BA43" i="80"/>
  <c r="BB43" i="80" s="1"/>
  <c r="BA44" i="68"/>
  <c r="BB44" i="68" s="1"/>
  <c r="G203" i="2"/>
  <c r="H203" i="2" s="1"/>
  <c r="BJ47" i="70"/>
  <c r="BK47" i="70" s="1"/>
  <c r="BA44" i="73"/>
  <c r="BB44" i="73" s="1"/>
  <c r="BJ88" i="69"/>
  <c r="BK88" i="69" s="1"/>
  <c r="BJ40" i="74"/>
  <c r="BK40" i="74" s="1"/>
  <c r="BJ52" i="67"/>
  <c r="BK52" i="67" s="1"/>
  <c r="BJ38" i="75"/>
  <c r="BK38" i="75" s="1"/>
  <c r="BJ25" i="76"/>
  <c r="BK25" i="76" s="1"/>
  <c r="BJ56" i="73"/>
  <c r="BK56" i="73" s="1"/>
  <c r="BA71" i="74"/>
  <c r="BB71" i="74" s="1"/>
  <c r="BA111" i="76"/>
  <c r="BB111" i="76" s="1"/>
  <c r="BJ92" i="80"/>
  <c r="BK92" i="80" s="1"/>
  <c r="BJ137" i="71"/>
  <c r="BJ63" i="77"/>
  <c r="BK63" i="77" s="1"/>
  <c r="BJ49" i="80"/>
  <c r="BK49" i="80" s="1"/>
  <c r="BJ120" i="71"/>
  <c r="BK120" i="71" s="1"/>
  <c r="BJ76" i="66"/>
  <c r="BK76" i="66" s="1"/>
  <c r="BJ113" i="66"/>
  <c r="BK113" i="66" s="1"/>
  <c r="BA68" i="70"/>
  <c r="BB68" i="70" s="1"/>
  <c r="BA40" i="75"/>
  <c r="BB40" i="75" s="1"/>
  <c r="BJ61" i="84"/>
  <c r="BK61" i="84" s="1"/>
  <c r="BJ70" i="85"/>
  <c r="BK70" i="85" s="1"/>
  <c r="BJ70" i="84"/>
  <c r="BK70" i="84" s="1"/>
  <c r="BJ54" i="83"/>
  <c r="BK54" i="83" s="1"/>
  <c r="BJ127" i="84"/>
  <c r="BK127" i="84" s="1"/>
  <c r="BJ118" i="66"/>
  <c r="BK118" i="66" s="1"/>
  <c r="BJ90" i="84"/>
  <c r="BK90" i="84" s="1"/>
  <c r="BA62" i="83"/>
  <c r="BB62" i="83" s="1"/>
  <c r="BA146" i="84"/>
  <c r="BB146" i="84" s="1"/>
  <c r="BJ103" i="86"/>
  <c r="BK103" i="86" s="1"/>
  <c r="BA137" i="70"/>
  <c r="BB137" i="70" s="1"/>
  <c r="BJ34" i="69"/>
  <c r="BK34" i="69" s="1"/>
  <c r="BJ108" i="67"/>
  <c r="BK108" i="67" s="1"/>
  <c r="BA68" i="74"/>
  <c r="BB68" i="74" s="1"/>
  <c r="BA54" i="83"/>
  <c r="BB54" i="83" s="1"/>
  <c r="BJ70" i="70"/>
  <c r="BK70" i="70" s="1"/>
  <c r="BJ89" i="78"/>
  <c r="BK89" i="78" s="1"/>
  <c r="BJ40" i="1"/>
  <c r="BK40" i="1" s="1"/>
  <c r="G316" i="2"/>
  <c r="H316" i="2" s="1"/>
  <c r="BA56" i="67"/>
  <c r="BB56" i="67" s="1"/>
  <c r="BA56" i="66"/>
  <c r="BB56" i="66" s="1"/>
  <c r="BJ130" i="73"/>
  <c r="BK130" i="73" s="1"/>
  <c r="BJ40" i="81"/>
  <c r="BK40" i="81" s="1"/>
  <c r="BJ58" i="76"/>
  <c r="BK58" i="76" s="1"/>
  <c r="G349" i="2"/>
  <c r="H349" i="2" s="1"/>
  <c r="BJ40" i="73"/>
  <c r="BK40" i="73" s="1"/>
  <c r="BJ35" i="82"/>
  <c r="BK35" i="82" s="1"/>
  <c r="G259" i="2"/>
  <c r="H259" i="2" s="1"/>
  <c r="BJ25" i="75"/>
  <c r="BK25" i="75" s="1"/>
  <c r="BJ42" i="69"/>
  <c r="BK42" i="69" s="1"/>
  <c r="BA57" i="76"/>
  <c r="BB57" i="76" s="1"/>
  <c r="BJ131" i="67"/>
  <c r="BK131" i="67" s="1"/>
  <c r="BJ75" i="77"/>
  <c r="BK75" i="77" s="1"/>
  <c r="BJ137" i="73"/>
  <c r="BK137" i="73" s="1"/>
  <c r="BJ93" i="68"/>
  <c r="BK93" i="68" s="1"/>
  <c r="BJ35" i="68"/>
  <c r="BK35" i="68" s="1"/>
  <c r="BJ120" i="73"/>
  <c r="BK120" i="73" s="1"/>
  <c r="BA86" i="74"/>
  <c r="BB86" i="74" s="1"/>
  <c r="BJ137" i="74"/>
  <c r="BK137" i="74" s="1"/>
  <c r="BA40" i="68"/>
  <c r="BB40" i="68" s="1"/>
  <c r="BJ113" i="74"/>
  <c r="BK113" i="74" s="1"/>
  <c r="BA48" i="1"/>
  <c r="BB48" i="1" s="1"/>
  <c r="BJ66" i="86"/>
  <c r="BK66" i="86" s="1"/>
  <c r="BJ70" i="87"/>
  <c r="BK70" i="87" s="1"/>
  <c r="BJ70" i="86"/>
  <c r="BK70" i="86" s="1"/>
  <c r="BJ62" i="87"/>
  <c r="BK62" i="87" s="1"/>
  <c r="BJ54" i="86"/>
  <c r="BK54" i="86" s="1"/>
  <c r="BJ127" i="86"/>
  <c r="BK127" i="86" s="1"/>
  <c r="BA92" i="87"/>
  <c r="BB92" i="87" s="1"/>
  <c r="BJ122" i="83"/>
  <c r="BK122" i="83" s="1"/>
  <c r="BA54" i="85"/>
  <c r="BB54" i="85" s="1"/>
  <c r="BA62" i="84"/>
  <c r="BB62" i="84" s="1"/>
  <c r="BJ156" i="87"/>
  <c r="BK156" i="87" s="1"/>
  <c r="BJ53" i="82"/>
  <c r="BK53" i="82" s="1"/>
  <c r="BJ69" i="78"/>
  <c r="BK69" i="78" s="1"/>
  <c r="BA108" i="78"/>
  <c r="BB108" i="78" s="1"/>
  <c r="BJ94" i="76"/>
  <c r="BK94" i="76" s="1"/>
  <c r="BJ108" i="74"/>
  <c r="BK108" i="74" s="1"/>
  <c r="BA74" i="86"/>
  <c r="BB74" i="86" s="1"/>
  <c r="BJ130" i="71"/>
  <c r="BK130" i="71" s="1"/>
  <c r="BJ47" i="73"/>
  <c r="BK47" i="73" s="1"/>
  <c r="BJ52" i="66"/>
  <c r="BK52" i="66" s="1"/>
  <c r="BA123" i="66"/>
  <c r="BB123" i="66" s="1"/>
  <c r="G348" i="2"/>
  <c r="H348" i="2" s="1"/>
  <c r="BJ132" i="86"/>
  <c r="BK132" i="86" s="1"/>
  <c r="BJ103" i="85"/>
  <c r="BK103" i="85" s="1"/>
  <c r="BJ83" i="78"/>
  <c r="BK83" i="78" s="1"/>
  <c r="BA44" i="75"/>
  <c r="BB44" i="75" s="1"/>
  <c r="BA56" i="1"/>
  <c r="BB56" i="1" s="1"/>
  <c r="BJ72" i="67"/>
  <c r="BK72" i="67" s="1"/>
  <c r="BJ40" i="67"/>
  <c r="BK40" i="67" s="1"/>
  <c r="BJ65" i="78"/>
  <c r="BK65" i="78" s="1"/>
  <c r="BA71" i="66"/>
  <c r="BB71" i="66" s="1"/>
  <c r="BA117" i="75"/>
  <c r="BB117" i="75" s="1"/>
  <c r="BA75" i="77"/>
  <c r="BB75" i="77" s="1"/>
  <c r="BA74" i="82"/>
  <c r="BB74" i="82" s="1"/>
  <c r="BJ131" i="74"/>
  <c r="BK131" i="74" s="1"/>
  <c r="G231" i="2"/>
  <c r="H231" i="2" s="1"/>
  <c r="BJ62" i="69"/>
  <c r="BK62" i="69" s="1"/>
  <c r="BJ88" i="68"/>
  <c r="BK88" i="68" s="1"/>
  <c r="BA48" i="73"/>
  <c r="BB48" i="73" s="1"/>
  <c r="BJ93" i="85"/>
  <c r="BK93" i="85" s="1"/>
  <c r="BJ86" i="84"/>
  <c r="BK86" i="84" s="1"/>
  <c r="BJ90" i="86"/>
  <c r="BK90" i="86" s="1"/>
  <c r="BA44" i="71"/>
  <c r="BB44" i="71" s="1"/>
  <c r="BA85" i="75"/>
  <c r="BB85" i="75" s="1"/>
  <c r="BJ79" i="67"/>
  <c r="BK79" i="67" s="1"/>
  <c r="BJ72" i="70"/>
  <c r="BK72" i="70" s="1"/>
  <c r="BJ59" i="68"/>
  <c r="BK59" i="68" s="1"/>
  <c r="BA40" i="77"/>
  <c r="BB40" i="77" s="1"/>
  <c r="BA39" i="82"/>
  <c r="BB39" i="82" s="1"/>
  <c r="BJ59" i="86"/>
  <c r="BK59" i="86" s="1"/>
  <c r="BJ59" i="87"/>
  <c r="BK59" i="87" s="1"/>
  <c r="BA31" i="85"/>
  <c r="BB31" i="85" s="1"/>
  <c r="BA50" i="83"/>
  <c r="BB50" i="83" s="1"/>
  <c r="BA80" i="85"/>
  <c r="BB80" i="85" s="1"/>
  <c r="BA69" i="83"/>
  <c r="BB69" i="83" s="1"/>
  <c r="BJ88" i="84"/>
  <c r="BK88" i="84" s="1"/>
  <c r="BA25" i="71"/>
  <c r="BB25" i="71" s="1"/>
  <c r="BE99" i="75"/>
  <c r="BA48" i="77"/>
  <c r="BB48" i="77" s="1"/>
  <c r="BA57" i="69"/>
  <c r="BB57" i="69" s="1"/>
  <c r="BJ45" i="1"/>
  <c r="BK45" i="1" s="1"/>
  <c r="BJ130" i="74"/>
  <c r="BK130" i="74" s="1"/>
  <c r="BJ79" i="70"/>
  <c r="BK79" i="70" s="1"/>
  <c r="G224" i="2"/>
  <c r="H224" i="2" s="1"/>
  <c r="BJ72" i="1"/>
  <c r="BK72" i="1" s="1"/>
  <c r="BA36" i="76"/>
  <c r="BB36" i="76" s="1"/>
  <c r="BA57" i="68"/>
  <c r="BB57" i="68" s="1"/>
  <c r="BA48" i="80"/>
  <c r="BB48" i="80" s="1"/>
  <c r="BJ86" i="83"/>
  <c r="BK86" i="83" s="1"/>
  <c r="BA80" i="86"/>
  <c r="BB80" i="86" s="1"/>
  <c r="BA91" i="87"/>
  <c r="BB91" i="87" s="1"/>
  <c r="BJ116" i="83"/>
  <c r="BK116" i="83" s="1"/>
  <c r="BA52" i="84"/>
  <c r="BB52" i="84" s="1"/>
  <c r="BA52" i="87"/>
  <c r="BB52" i="87" s="1"/>
  <c r="BA57" i="75"/>
  <c r="BB57" i="75" s="1"/>
  <c r="BA61" i="71"/>
  <c r="BB61" i="71" s="1"/>
  <c r="BJ93" i="83"/>
  <c r="BK93" i="83" s="1"/>
  <c r="BA50" i="84"/>
  <c r="BB50" i="84" s="1"/>
  <c r="BJ126" i="84"/>
  <c r="BK126" i="84" s="1"/>
  <c r="BJ158" i="86"/>
  <c r="BK158" i="86" s="1"/>
  <c r="BA69" i="84"/>
  <c r="BB69" i="84" s="1"/>
  <c r="BJ88" i="87"/>
  <c r="BK88" i="87" s="1"/>
  <c r="BJ45" i="66"/>
  <c r="BK45" i="66" s="1"/>
  <c r="BJ58" i="78"/>
  <c r="BK58" i="78" s="1"/>
  <c r="BJ72" i="74"/>
  <c r="BK72" i="74" s="1"/>
  <c r="BA36" i="69"/>
  <c r="BB36" i="69" s="1"/>
  <c r="BA71" i="71"/>
  <c r="BB71" i="71" s="1"/>
  <c r="BA61" i="66"/>
  <c r="BB61" i="66" s="1"/>
  <c r="BJ93" i="84"/>
  <c r="BK93" i="84" s="1"/>
  <c r="BA50" i="87"/>
  <c r="BB50" i="87" s="1"/>
  <c r="BJ116" i="85"/>
  <c r="BK116" i="85" s="1"/>
  <c r="BJ88" i="86"/>
  <c r="BK88" i="86" s="1"/>
  <c r="BJ45" i="71"/>
  <c r="BK45" i="71" s="1"/>
  <c r="BA25" i="74"/>
  <c r="BB25" i="74" s="1"/>
  <c r="G371" i="2"/>
  <c r="H371" i="2" s="1"/>
  <c r="BJ59" i="85"/>
  <c r="BK59" i="85" s="1"/>
  <c r="BJ93" i="86"/>
  <c r="BK93" i="86" s="1"/>
  <c r="BJ86" i="87"/>
  <c r="BK86" i="87" s="1"/>
  <c r="BA111" i="86"/>
  <c r="BB111" i="86" s="1"/>
  <c r="BA25" i="67"/>
  <c r="BB25" i="67" s="1"/>
  <c r="BA57" i="78"/>
  <c r="BB57" i="78" s="1"/>
  <c r="BJ93" i="87"/>
  <c r="BK93" i="87" s="1"/>
  <c r="BA77" i="83"/>
  <c r="BB77" i="83" s="1"/>
  <c r="BJ86" i="86"/>
  <c r="BK86" i="86" s="1"/>
  <c r="BA67" i="87"/>
  <c r="BB67" i="87" s="1"/>
  <c r="BA69" i="85"/>
  <c r="BB69" i="85" s="1"/>
  <c r="BJ162" i="87"/>
  <c r="BK162" i="87" s="1"/>
  <c r="BJ79" i="71"/>
  <c r="BK79" i="71" s="1"/>
  <c r="BA77" i="84"/>
  <c r="BB77" i="84" s="1"/>
  <c r="BA50" i="86"/>
  <c r="BB50" i="86" s="1"/>
  <c r="BA67" i="86"/>
  <c r="BB67" i="86" s="1"/>
  <c r="BJ116" i="87"/>
  <c r="BK116" i="87" s="1"/>
  <c r="BJ159" i="85"/>
  <c r="BK159" i="85" s="1"/>
  <c r="BJ79" i="66"/>
  <c r="BK79" i="66" s="1"/>
  <c r="BE125" i="73"/>
  <c r="BJ45" i="70"/>
  <c r="BK45" i="70" s="1"/>
  <c r="BJ104" i="75"/>
  <c r="BK104" i="75" s="1"/>
  <c r="G298" i="2"/>
  <c r="H298" i="2" s="1"/>
  <c r="BA36" i="68"/>
  <c r="BB36" i="68" s="1"/>
  <c r="BJ38" i="77"/>
  <c r="BK38" i="77" s="1"/>
  <c r="BA60" i="69"/>
  <c r="BB60" i="69" s="1"/>
  <c r="BA71" i="1"/>
  <c r="BB71" i="1" s="1"/>
  <c r="BA25" i="73"/>
  <c r="BB25" i="73" s="1"/>
  <c r="BA49" i="76"/>
  <c r="BB49" i="76" s="1"/>
  <c r="BA47" i="81"/>
  <c r="BB47" i="81" s="1"/>
  <c r="BA31" i="83"/>
  <c r="BB31" i="83" s="1"/>
  <c r="BA77" i="85"/>
  <c r="BB77" i="85" s="1"/>
  <c r="BA50" i="85"/>
  <c r="BB50" i="85" s="1"/>
  <c r="BA67" i="84"/>
  <c r="BB67" i="84" s="1"/>
  <c r="BA80" i="83"/>
  <c r="BB80" i="83" s="1"/>
  <c r="BA111" i="85"/>
  <c r="BB111" i="85" s="1"/>
  <c r="BA44" i="67"/>
  <c r="BB44" i="67" s="1"/>
  <c r="BA24" i="77"/>
  <c r="BB24" i="77" s="1"/>
  <c r="BA60" i="68"/>
  <c r="BB60" i="68" s="1"/>
  <c r="BA71" i="73"/>
  <c r="BB71" i="73" s="1"/>
  <c r="G233" i="2"/>
  <c r="H233" i="2" s="1"/>
  <c r="BA61" i="1"/>
  <c r="BB61" i="1" s="1"/>
  <c r="BA49" i="75"/>
  <c r="BB49" i="75" s="1"/>
  <c r="BA31" i="87"/>
  <c r="BB31" i="87" s="1"/>
  <c r="BA31" i="84"/>
  <c r="BB31" i="84" s="1"/>
  <c r="BA77" i="86"/>
  <c r="BB77" i="86" s="1"/>
  <c r="BA67" i="85"/>
  <c r="BB67" i="85" s="1"/>
  <c r="BA80" i="84"/>
  <c r="BB80" i="84" s="1"/>
  <c r="BA116" i="87"/>
  <c r="BB116" i="87" s="1"/>
  <c r="BA25" i="1"/>
  <c r="BB25" i="1" s="1"/>
  <c r="G337" i="2"/>
  <c r="H337" i="2" s="1"/>
  <c r="BA25" i="70"/>
  <c r="BB25" i="70" s="1"/>
  <c r="BA49" i="68"/>
  <c r="BB49" i="68" s="1"/>
  <c r="BA31" i="86"/>
  <c r="BB31" i="86" s="1"/>
  <c r="BB104" i="78"/>
  <c r="BK104" i="78"/>
  <c r="BB48" i="71"/>
  <c r="BJ100" i="68"/>
  <c r="BK100" i="68" s="1"/>
  <c r="BE99" i="76"/>
  <c r="AW48" i="77"/>
  <c r="BF82" i="81"/>
  <c r="AZ8" i="74"/>
  <c r="AH115" i="2" s="1"/>
  <c r="BI38" i="70"/>
  <c r="AA237" i="2" s="1"/>
  <c r="AZ136" i="70"/>
  <c r="AZ15" i="70"/>
  <c r="Z71" i="2" s="1"/>
  <c r="AZ42" i="70"/>
  <c r="Z272" i="2" s="1"/>
  <c r="AZ6" i="74"/>
  <c r="AH113" i="2" s="1"/>
  <c r="BI22" i="70"/>
  <c r="AA67" i="2" s="1"/>
  <c r="AZ52" i="74"/>
  <c r="AH296" i="2" s="1"/>
  <c r="AZ133" i="70"/>
  <c r="Z361" i="2" s="1"/>
  <c r="BI117" i="70"/>
  <c r="AA352" i="2" s="1"/>
  <c r="AZ54" i="70"/>
  <c r="Z304" i="2" s="1"/>
  <c r="AZ68" i="74"/>
  <c r="AH334" i="2" s="1"/>
  <c r="BI24" i="74"/>
  <c r="BI115" i="74"/>
  <c r="AI350" i="2" s="1"/>
  <c r="BI82" i="74"/>
  <c r="AI301" i="2" s="1"/>
  <c r="BI86" i="74"/>
  <c r="AI313" i="2" s="1"/>
  <c r="AZ48" i="70"/>
  <c r="Z288" i="2" s="1"/>
  <c r="AZ35" i="70"/>
  <c r="Z249" i="2" s="1"/>
  <c r="BI12" i="70"/>
  <c r="AA57" i="2" s="1"/>
  <c r="BI33" i="74"/>
  <c r="AI77" i="2" s="1"/>
  <c r="BI69" i="70"/>
  <c r="AA281" i="2" s="1"/>
  <c r="BI72" i="70"/>
  <c r="AA284" i="2" s="1"/>
  <c r="AZ26" i="74"/>
  <c r="AH234" i="2" s="1"/>
  <c r="AZ40" i="70"/>
  <c r="Z270" i="2" s="1"/>
  <c r="BI83" i="70"/>
  <c r="AA302" i="2" s="1"/>
  <c r="BI104" i="70"/>
  <c r="AA331" i="2" s="1"/>
  <c r="BI133" i="74"/>
  <c r="AI227" i="2" s="1"/>
  <c r="BI16" i="74"/>
  <c r="AI133" i="2" s="1"/>
  <c r="AZ32" i="70"/>
  <c r="Z246" i="2" s="1"/>
  <c r="BI6" i="70"/>
  <c r="AA51" i="2" s="1"/>
  <c r="BI86" i="70"/>
  <c r="AA313" i="2" s="1"/>
  <c r="BI14" i="70"/>
  <c r="AA59" i="2" s="1"/>
  <c r="AZ35" i="74"/>
  <c r="AH249" i="2" s="1"/>
  <c r="BI114" i="70"/>
  <c r="AA349" i="2" s="1"/>
  <c r="BI133" i="70"/>
  <c r="AA361" i="2" s="1"/>
  <c r="BI130" i="70"/>
  <c r="AA203" i="2" s="1"/>
  <c r="L81" i="2"/>
  <c r="AU5" i="71"/>
  <c r="AU5" i="66"/>
  <c r="G166" i="2"/>
  <c r="H166" i="2" s="1"/>
  <c r="AU13" i="66"/>
  <c r="AU13" i="71"/>
  <c r="BD6" i="66"/>
  <c r="BD6" i="71"/>
  <c r="BD35" i="71"/>
  <c r="AU23" i="71"/>
  <c r="BD35" i="66"/>
  <c r="AU23" i="66"/>
  <c r="G36" i="2"/>
  <c r="H36" i="2" s="1"/>
  <c r="BD5" i="66"/>
  <c r="BD5" i="71"/>
  <c r="AU15" i="66"/>
  <c r="BD27" i="71"/>
  <c r="AU15" i="71"/>
  <c r="BD27" i="66"/>
  <c r="E107" i="2"/>
  <c r="BD21" i="66"/>
  <c r="BD21" i="71"/>
  <c r="G107" i="2"/>
  <c r="H107" i="2" s="1"/>
  <c r="D107" i="2"/>
  <c r="K107" i="2"/>
  <c r="L107" i="2"/>
  <c r="C107" i="2"/>
  <c r="C108" i="2"/>
  <c r="BD22" i="66"/>
  <c r="BD22" i="71"/>
  <c r="D108" i="2"/>
  <c r="E108" i="2"/>
  <c r="G108" i="2"/>
  <c r="H108" i="2" s="1"/>
  <c r="K108" i="2"/>
  <c r="L108" i="2"/>
  <c r="BA35" i="84"/>
  <c r="BB35" i="84" s="1"/>
  <c r="BA29" i="71"/>
  <c r="BB29" i="71" s="1"/>
  <c r="BA29" i="66"/>
  <c r="BB29" i="66" s="1"/>
  <c r="BJ78" i="66"/>
  <c r="BK78" i="66" s="1"/>
  <c r="BJ78" i="71"/>
  <c r="BK78" i="71" s="1"/>
  <c r="AW80" i="1"/>
  <c r="BA80" i="1"/>
  <c r="BB80" i="1" s="1"/>
  <c r="BE125" i="70"/>
  <c r="BA67" i="68"/>
  <c r="BB67" i="68" s="1"/>
  <c r="BA62" i="78"/>
  <c r="BB62" i="78" s="1"/>
  <c r="BJ125" i="70"/>
  <c r="BK125" i="70" s="1"/>
  <c r="AW67" i="68"/>
  <c r="AV62" i="78"/>
  <c r="BA80" i="67"/>
  <c r="BB80" i="67" s="1"/>
  <c r="BJ99" i="69"/>
  <c r="BK99" i="69" s="1"/>
  <c r="BA80" i="70"/>
  <c r="BB80" i="70" s="1"/>
  <c r="BE99" i="69"/>
  <c r="BF125" i="66"/>
  <c r="AW80" i="70"/>
  <c r="BI106" i="74"/>
  <c r="AI341" i="2" s="1"/>
  <c r="BI139" i="74"/>
  <c r="AI361" i="2" s="1"/>
  <c r="BI81" i="74"/>
  <c r="AI300" i="2" s="1"/>
  <c r="AZ78" i="74"/>
  <c r="AZ32" i="74"/>
  <c r="AH246" i="2" s="1"/>
  <c r="BI66" i="74"/>
  <c r="AI278" i="2" s="1"/>
  <c r="BI98" i="74"/>
  <c r="AI325" i="2" s="1"/>
  <c r="BI10" i="74"/>
  <c r="AI127" i="2" s="1"/>
  <c r="BI136" i="74"/>
  <c r="AI230" i="2" s="1"/>
  <c r="BI110" i="74"/>
  <c r="AI345" i="2" s="1"/>
  <c r="AZ58" i="74"/>
  <c r="AH308" i="2" s="1"/>
  <c r="AZ87" i="74"/>
  <c r="AH226" i="2" s="1"/>
  <c r="AZ55" i="74"/>
  <c r="AH305" i="2" s="1"/>
  <c r="BI142" i="74"/>
  <c r="BI13" i="74"/>
  <c r="AI130" i="2" s="1"/>
  <c r="BI73" i="74"/>
  <c r="AI285" i="2" s="1"/>
  <c r="BI120" i="70"/>
  <c r="AA355" i="2" s="1"/>
  <c r="BI58" i="70"/>
  <c r="AA265" i="2" s="1"/>
  <c r="AZ44" i="70"/>
  <c r="Z284" i="2" s="1"/>
  <c r="BI82" i="70"/>
  <c r="AA301" i="2" s="1"/>
  <c r="BI80" i="70"/>
  <c r="AA299" i="2" s="1"/>
  <c r="BI76" i="70"/>
  <c r="AA288" i="2" s="1"/>
  <c r="BI97" i="70"/>
  <c r="AA324" i="2" s="1"/>
  <c r="AZ26" i="70"/>
  <c r="Z234" i="2" s="1"/>
  <c r="AZ63" i="70"/>
  <c r="Z329" i="2" s="1"/>
  <c r="BI89" i="70"/>
  <c r="AA316" i="2" s="1"/>
  <c r="AZ78" i="70"/>
  <c r="BI115" i="70"/>
  <c r="AA350" i="2" s="1"/>
  <c r="BI64" i="70"/>
  <c r="AA276" i="2" s="1"/>
  <c r="BI61" i="70"/>
  <c r="AA273" i="2" s="1"/>
  <c r="AZ17" i="70"/>
  <c r="Z73" i="2" s="1"/>
  <c r="AZ18" i="70"/>
  <c r="Z74" i="2" s="1"/>
  <c r="BI125" i="74"/>
  <c r="AI214" i="2" s="1"/>
  <c r="BI9" i="74"/>
  <c r="AI126" i="2" s="1"/>
  <c r="AZ141" i="74"/>
  <c r="BI95" i="74"/>
  <c r="AI322" i="2" s="1"/>
  <c r="BI32" i="74"/>
  <c r="AI76" i="2" s="1"/>
  <c r="BI143" i="74"/>
  <c r="AI365" i="2" s="1"/>
  <c r="BI69" i="74"/>
  <c r="AI281" i="2" s="1"/>
  <c r="BI114" i="74"/>
  <c r="AI349" i="2" s="1"/>
  <c r="BI130" i="74"/>
  <c r="AI224" i="2" s="1"/>
  <c r="BI20" i="74"/>
  <c r="AI137" i="2" s="1"/>
  <c r="BI5" i="74"/>
  <c r="AI122" i="2" s="1"/>
  <c r="BI41" i="74"/>
  <c r="AI240" i="2" s="1"/>
  <c r="AZ67" i="74"/>
  <c r="AH333" i="2" s="1"/>
  <c r="AZ73" i="74"/>
  <c r="AH339" i="2" s="1"/>
  <c r="BI63" i="74"/>
  <c r="AI275" i="2" s="1"/>
  <c r="BI100" i="74"/>
  <c r="AI327" i="2" s="1"/>
  <c r="BI15" i="74"/>
  <c r="AI132" i="2" s="1"/>
  <c r="AZ80" i="74"/>
  <c r="AH214" i="2" s="1"/>
  <c r="BI75" i="74"/>
  <c r="AI287" i="2" s="1"/>
  <c r="BI46" i="74"/>
  <c r="AI253" i="2" s="1"/>
  <c r="BI28" i="74"/>
  <c r="AI72" i="2" s="1"/>
  <c r="AZ44" i="74"/>
  <c r="AH284" i="2" s="1"/>
  <c r="BI129" i="74"/>
  <c r="AI211" i="2" s="1"/>
  <c r="BI111" i="74"/>
  <c r="AI346" i="2" s="1"/>
  <c r="BI21" i="74"/>
  <c r="AI138" i="2" s="1"/>
  <c r="AZ5" i="74"/>
  <c r="AH112" i="2" s="1"/>
  <c r="AZ50" i="74"/>
  <c r="AH294" i="2" s="1"/>
  <c r="AZ85" i="74"/>
  <c r="AH224" i="2" s="1"/>
  <c r="BI68" i="74"/>
  <c r="AI280" i="2" s="1"/>
  <c r="AZ72" i="74"/>
  <c r="AH338" i="2" s="1"/>
  <c r="AZ89" i="74"/>
  <c r="AH228" i="2" s="1"/>
  <c r="BI85" i="74"/>
  <c r="AI312" i="2" s="1"/>
  <c r="BI80" i="74"/>
  <c r="AI299" i="2" s="1"/>
  <c r="BI38" i="74"/>
  <c r="AI237" i="2" s="1"/>
  <c r="AZ11" i="70"/>
  <c r="Z45" i="2" s="1"/>
  <c r="AZ46" i="70"/>
  <c r="Z286" i="2" s="1"/>
  <c r="BI119" i="70"/>
  <c r="AA354" i="2" s="1"/>
  <c r="AZ5" i="70"/>
  <c r="Z39" i="2" s="1"/>
  <c r="BI110" i="70"/>
  <c r="AA345" i="2" s="1"/>
  <c r="BI19" i="70"/>
  <c r="AA64" i="2" s="1"/>
  <c r="AZ12" i="70"/>
  <c r="Z46" i="2" s="1"/>
  <c r="BI15" i="70"/>
  <c r="AA60" i="2" s="1"/>
  <c r="BI44" i="70"/>
  <c r="AA251" i="2" s="1"/>
  <c r="AZ50" i="70"/>
  <c r="Z294" i="2" s="1"/>
  <c r="AZ21" i="70"/>
  <c r="Z77" i="2" s="1"/>
  <c r="AZ17" i="74"/>
  <c r="AH73" i="2" s="1"/>
  <c r="BI19" i="74"/>
  <c r="AI136" i="2" s="1"/>
  <c r="AZ48" i="74"/>
  <c r="AH288" i="2" s="1"/>
  <c r="BI29" i="74"/>
  <c r="AI73" i="2" s="1"/>
  <c r="AZ71" i="74"/>
  <c r="AH337" i="2" s="1"/>
  <c r="BI42" i="74"/>
  <c r="AI241" i="2" s="1"/>
  <c r="BI45" i="74"/>
  <c r="AI252" i="2" s="1"/>
  <c r="BI108" i="74"/>
  <c r="AI343" i="2" s="1"/>
  <c r="AZ30" i="74"/>
  <c r="AH244" i="2" s="1"/>
  <c r="AZ36" i="74"/>
  <c r="AH250" i="2" s="1"/>
  <c r="BI99" i="74"/>
  <c r="AI326" i="2" s="1"/>
  <c r="AZ70" i="74"/>
  <c r="AH336" i="2" s="1"/>
  <c r="AZ59" i="74"/>
  <c r="AH309" i="2" s="1"/>
  <c r="AZ76" i="74"/>
  <c r="AH358" i="2" s="1"/>
  <c r="BI113" i="74"/>
  <c r="AI348" i="2" s="1"/>
  <c r="BI96" i="74"/>
  <c r="AI323" i="2" s="1"/>
  <c r="BI76" i="74"/>
  <c r="AI288" i="2" s="1"/>
  <c r="AZ137" i="70"/>
  <c r="Z365" i="2" s="1"/>
  <c r="AZ25" i="70"/>
  <c r="Z233" i="2" s="1"/>
  <c r="BI34" i="70"/>
  <c r="AA78" i="2" s="1"/>
  <c r="BI98" i="70"/>
  <c r="AA325" i="2" s="1"/>
  <c r="BI73" i="70"/>
  <c r="AA285" i="2" s="1"/>
  <c r="AZ84" i="70"/>
  <c r="Z198" i="2" s="1"/>
  <c r="BI108" i="70"/>
  <c r="AA343" i="2" s="1"/>
  <c r="AZ10" i="70"/>
  <c r="Z44" i="2" s="1"/>
  <c r="BI57" i="70"/>
  <c r="AA264" i="2" s="1"/>
  <c r="AZ27" i="70"/>
  <c r="Z235" i="2" s="1"/>
  <c r="BI29" i="70"/>
  <c r="AA73" i="2" s="1"/>
  <c r="BI91" i="70"/>
  <c r="AA318" i="2" s="1"/>
  <c r="BI75" i="70"/>
  <c r="AA287" i="2" s="1"/>
  <c r="BI65" i="70"/>
  <c r="AA277" i="2" s="1"/>
  <c r="AZ65" i="70"/>
  <c r="Z331" i="2" s="1"/>
  <c r="BI107" i="74"/>
  <c r="AI342" i="2" s="1"/>
  <c r="BI34" i="74"/>
  <c r="AI78" i="2" s="1"/>
  <c r="BI51" i="74"/>
  <c r="AI258" i="2" s="1"/>
  <c r="BI88" i="74"/>
  <c r="AI315" i="2" s="1"/>
  <c r="BI14" i="74"/>
  <c r="AI131" i="2" s="1"/>
  <c r="BI12" i="74"/>
  <c r="AI129" i="2" s="1"/>
  <c r="AZ47" i="74"/>
  <c r="AH287" i="2" s="1"/>
  <c r="BI120" i="74"/>
  <c r="AI355" i="2" s="1"/>
  <c r="BI25" i="74"/>
  <c r="AI48" i="2" s="1"/>
  <c r="AZ56" i="74"/>
  <c r="AH306" i="2" s="1"/>
  <c r="BI90" i="74"/>
  <c r="AI317" i="2" s="1"/>
  <c r="BI89" i="74"/>
  <c r="AI316" i="2" s="1"/>
  <c r="BI59" i="74"/>
  <c r="AI266" i="2" s="1"/>
  <c r="AZ16" i="74"/>
  <c r="AH72" i="2" s="1"/>
  <c r="BI18" i="70"/>
  <c r="AA63" i="2" s="1"/>
  <c r="BI7" i="70"/>
  <c r="AA52" i="2" s="1"/>
  <c r="BI28" i="70"/>
  <c r="AA72" i="2" s="1"/>
  <c r="BI123" i="70"/>
  <c r="AA358" i="2" s="1"/>
  <c r="BI100" i="70"/>
  <c r="AA327" i="2" s="1"/>
  <c r="BI94" i="70"/>
  <c r="AA321" i="2" s="1"/>
  <c r="BI107" i="70"/>
  <c r="AA342" i="2" s="1"/>
  <c r="BI47" i="70"/>
  <c r="AA254" i="2" s="1"/>
  <c r="BI95" i="70"/>
  <c r="AA322" i="2" s="1"/>
  <c r="AZ83" i="70"/>
  <c r="Z194" i="2" s="1"/>
  <c r="AZ57" i="70"/>
  <c r="Z307" i="2" s="1"/>
  <c r="AZ61" i="70"/>
  <c r="Z311" i="2" s="1"/>
  <c r="AZ39" i="70"/>
  <c r="Z269" i="2" s="1"/>
  <c r="BI17" i="70"/>
  <c r="AA62" i="2" s="1"/>
  <c r="BI74" i="70"/>
  <c r="AA286" i="2" s="1"/>
  <c r="AZ16" i="70"/>
  <c r="Z72" i="2" s="1"/>
  <c r="BI54" i="70"/>
  <c r="AA261" i="2" s="1"/>
  <c r="BI94" i="74"/>
  <c r="AI321" i="2" s="1"/>
  <c r="BI104" i="74"/>
  <c r="AI331" i="2" s="1"/>
  <c r="BI30" i="74"/>
  <c r="AI74" i="2" s="1"/>
  <c r="AZ61" i="74"/>
  <c r="AH311" i="2" s="1"/>
  <c r="BI123" i="74"/>
  <c r="AI358" i="2" s="1"/>
  <c r="BI137" i="74"/>
  <c r="AI231" i="2" s="1"/>
  <c r="AZ10" i="74"/>
  <c r="AH117" i="2" s="1"/>
  <c r="BI132" i="74"/>
  <c r="AI226" i="2" s="1"/>
  <c r="BI7" i="74"/>
  <c r="AI124" i="2" s="1"/>
  <c r="BI74" i="74"/>
  <c r="AI286" i="2" s="1"/>
  <c r="AZ88" i="74"/>
  <c r="AH227" i="2" s="1"/>
  <c r="AZ40" i="74"/>
  <c r="AH270" i="2" s="1"/>
  <c r="BI54" i="74"/>
  <c r="AI261" i="2" s="1"/>
  <c r="BI22" i="74"/>
  <c r="AI139" i="2" s="1"/>
  <c r="BI8" i="74"/>
  <c r="AI125" i="2" s="1"/>
  <c r="BI119" i="74"/>
  <c r="AI354" i="2" s="1"/>
  <c r="BI111" i="70"/>
  <c r="AA346" i="2" s="1"/>
  <c r="BI48" i="70"/>
  <c r="AA255" i="2" s="1"/>
  <c r="BI68" i="70"/>
  <c r="AA280" i="2" s="1"/>
  <c r="BI31" i="70"/>
  <c r="AA75" i="2" s="1"/>
  <c r="AZ33" i="70"/>
  <c r="Z247" i="2" s="1"/>
  <c r="BI118" i="70"/>
  <c r="AA353" i="2" s="1"/>
  <c r="BI25" i="70"/>
  <c r="AA48" i="2" s="1"/>
  <c r="BI88" i="70"/>
  <c r="AA315" i="2" s="1"/>
  <c r="AZ7" i="70"/>
  <c r="Z41" i="2" s="1"/>
  <c r="AZ29" i="70"/>
  <c r="Z243" i="2" s="1"/>
  <c r="AZ51" i="70"/>
  <c r="Z295" i="2" s="1"/>
  <c r="BI21" i="70"/>
  <c r="AA66" i="2" s="1"/>
  <c r="AZ72" i="70"/>
  <c r="Z338" i="2" s="1"/>
  <c r="BI49" i="70"/>
  <c r="AA256" i="2" s="1"/>
  <c r="BI109" i="70"/>
  <c r="AA344" i="2" s="1"/>
  <c r="AZ19" i="70"/>
  <c r="Z75" i="2" s="1"/>
  <c r="AZ20" i="70"/>
  <c r="Z76" i="2" s="1"/>
  <c r="AZ20" i="74"/>
  <c r="AH76" i="2" s="1"/>
  <c r="BI72" i="74"/>
  <c r="AI284" i="2" s="1"/>
  <c r="AZ65" i="74"/>
  <c r="AH331" i="2" s="1"/>
  <c r="AZ92" i="74"/>
  <c r="AH231" i="2" s="1"/>
  <c r="AZ143" i="74"/>
  <c r="AH365" i="2" s="1"/>
  <c r="BI6" i="74"/>
  <c r="AI123" i="2" s="1"/>
  <c r="BI128" i="74"/>
  <c r="AI210" i="2" s="1"/>
  <c r="AZ13" i="74"/>
  <c r="AH120" i="2" s="1"/>
  <c r="BI121" i="74"/>
  <c r="AI356" i="2" s="1"/>
  <c r="BI97" i="74"/>
  <c r="AI324" i="2" s="1"/>
  <c r="BI62" i="74"/>
  <c r="AI274" i="2" s="1"/>
  <c r="BI92" i="74"/>
  <c r="AI319" i="2" s="1"/>
  <c r="AZ41" i="74"/>
  <c r="AH271" i="2" s="1"/>
  <c r="BI79" i="74"/>
  <c r="AI298" i="2" s="1"/>
  <c r="BI87" i="74"/>
  <c r="AI314" i="2" s="1"/>
  <c r="BI27" i="74"/>
  <c r="AI71" i="2" s="1"/>
  <c r="AZ34" i="74"/>
  <c r="AH248" i="2" s="1"/>
  <c r="AZ27" i="74"/>
  <c r="AH235" i="2" s="1"/>
  <c r="AZ142" i="74"/>
  <c r="BI40" i="74"/>
  <c r="AI239" i="2" s="1"/>
  <c r="BI137" i="70"/>
  <c r="AA365" i="2" s="1"/>
  <c r="BI66" i="70"/>
  <c r="AA278" i="2" s="1"/>
  <c r="BI27" i="70"/>
  <c r="AA71" i="2" s="1"/>
  <c r="AZ76" i="70"/>
  <c r="Z358" i="2" s="1"/>
  <c r="AZ58" i="70"/>
  <c r="Z308" i="2" s="1"/>
  <c r="BI20" i="70"/>
  <c r="AA65" i="2" s="1"/>
  <c r="BI46" i="70"/>
  <c r="AA253" i="2" s="1"/>
  <c r="BI131" i="70"/>
  <c r="AA204" i="2" s="1"/>
  <c r="BI55" i="70"/>
  <c r="AA262" i="2" s="1"/>
  <c r="BI37" i="70"/>
  <c r="AA236" i="2" s="1"/>
  <c r="AZ59" i="70"/>
  <c r="Z309" i="2" s="1"/>
  <c r="AZ135" i="70"/>
  <c r="AZ69" i="70"/>
  <c r="Z335" i="2" s="1"/>
  <c r="BI106" i="70"/>
  <c r="AA341" i="2" s="1"/>
  <c r="BI16" i="70"/>
  <c r="AA61" i="2" s="1"/>
  <c r="BI141" i="74"/>
  <c r="AI363" i="2" s="1"/>
  <c r="AZ80" i="70"/>
  <c r="Z214" i="2" s="1"/>
  <c r="AZ23" i="74"/>
  <c r="AH79" i="2" s="1"/>
  <c r="AZ63" i="74"/>
  <c r="AH329" i="2" s="1"/>
  <c r="BI44" i="74"/>
  <c r="AI251" i="2" s="1"/>
  <c r="BI116" i="74"/>
  <c r="AI351" i="2" s="1"/>
  <c r="BI117" i="74"/>
  <c r="AI352" i="2" s="1"/>
  <c r="BI56" i="74"/>
  <c r="AI263" i="2" s="1"/>
  <c r="BI50" i="74"/>
  <c r="AI257" i="2" s="1"/>
  <c r="AZ11" i="74"/>
  <c r="AH118" i="2" s="1"/>
  <c r="AZ90" i="74"/>
  <c r="AH229" i="2" s="1"/>
  <c r="AZ51" i="74"/>
  <c r="AH295" i="2" s="1"/>
  <c r="AZ140" i="74"/>
  <c r="BI93" i="74"/>
  <c r="AI320" i="2" s="1"/>
  <c r="AZ38" i="70"/>
  <c r="Z268" i="2" s="1"/>
  <c r="BI5" i="70"/>
  <c r="AA50" i="2" s="1"/>
  <c r="BI30" i="70"/>
  <c r="AA74" i="2" s="1"/>
  <c r="BI33" i="70"/>
  <c r="AA77" i="2" s="1"/>
  <c r="AZ34" i="70"/>
  <c r="Z248" i="2" s="1"/>
  <c r="AZ55" i="70"/>
  <c r="Z305" i="2" s="1"/>
  <c r="BI52" i="70"/>
  <c r="AA259" i="2" s="1"/>
  <c r="AZ47" i="70"/>
  <c r="Z287" i="2" s="1"/>
  <c r="BI92" i="70"/>
  <c r="AA319" i="2" s="1"/>
  <c r="BI81" i="70"/>
  <c r="AA300" i="2" s="1"/>
  <c r="AZ74" i="70"/>
  <c r="Z340" i="2" s="1"/>
  <c r="AZ134" i="70"/>
  <c r="BI93" i="70"/>
  <c r="AA320" i="2" s="1"/>
  <c r="BI116" i="70"/>
  <c r="AA351" i="2" s="1"/>
  <c r="BI40" i="70"/>
  <c r="AA239" i="2" s="1"/>
  <c r="BI136" i="70"/>
  <c r="AA364" i="2" s="1"/>
  <c r="AZ83" i="74"/>
  <c r="AH210" i="2" s="1"/>
  <c r="BI17" i="74"/>
  <c r="AI134" i="2" s="1"/>
  <c r="AZ84" i="74"/>
  <c r="AH211" i="2" s="1"/>
  <c r="AZ25" i="74"/>
  <c r="AH233" i="2" s="1"/>
  <c r="BI125" i="70"/>
  <c r="AA214" i="2" s="1"/>
  <c r="BI102" i="74"/>
  <c r="AI329" i="2" s="1"/>
  <c r="BI49" i="74"/>
  <c r="AI256" i="2" s="1"/>
  <c r="BI78" i="74"/>
  <c r="AI297" i="2" s="1"/>
  <c r="BI140" i="74"/>
  <c r="BI31" i="74"/>
  <c r="AI75" i="2" s="1"/>
  <c r="BI52" i="74"/>
  <c r="AI259" i="2" s="1"/>
  <c r="AZ9" i="74"/>
  <c r="AH116" i="2" s="1"/>
  <c r="AZ12" i="74"/>
  <c r="AH119" i="2" s="1"/>
  <c r="BI58" i="74"/>
  <c r="AI265" i="2" s="1"/>
  <c r="BI37" i="74"/>
  <c r="AI236" i="2" s="1"/>
  <c r="BI70" i="74"/>
  <c r="AI282" i="2" s="1"/>
  <c r="AZ91" i="74"/>
  <c r="AH230" i="2" s="1"/>
  <c r="BI39" i="74"/>
  <c r="AI238" i="2" s="1"/>
  <c r="AZ39" i="74"/>
  <c r="AH269" i="2" s="1"/>
  <c r="BI61" i="74"/>
  <c r="AI273" i="2" s="1"/>
  <c r="BI11" i="74"/>
  <c r="AI128" i="2" s="1"/>
  <c r="BI121" i="70"/>
  <c r="AA356" i="2" s="1"/>
  <c r="BI24" i="70"/>
  <c r="AA68" i="2" s="1"/>
  <c r="BI99" i="70"/>
  <c r="AA326" i="2" s="1"/>
  <c r="BI56" i="70"/>
  <c r="AA263" i="2" s="1"/>
  <c r="AZ52" i="70"/>
  <c r="Z296" i="2" s="1"/>
  <c r="AZ8" i="70"/>
  <c r="Z42" i="2" s="1"/>
  <c r="AZ30" i="70"/>
  <c r="Z244" i="2" s="1"/>
  <c r="BI62" i="70"/>
  <c r="AA274" i="2" s="1"/>
  <c r="BI11" i="70"/>
  <c r="AA56" i="2" s="1"/>
  <c r="AZ67" i="70"/>
  <c r="Z333" i="2" s="1"/>
  <c r="AZ71" i="70"/>
  <c r="Z337" i="2" s="1"/>
  <c r="BI85" i="70"/>
  <c r="AA312" i="2" s="1"/>
  <c r="BI67" i="70"/>
  <c r="AA279" i="2" s="1"/>
  <c r="BI113" i="70"/>
  <c r="AA348" i="2" s="1"/>
  <c r="BI87" i="70"/>
  <c r="AA314" i="2" s="1"/>
  <c r="BI47" i="74"/>
  <c r="AI254" i="2" s="1"/>
  <c r="BI91" i="74"/>
  <c r="AI318" i="2" s="1"/>
  <c r="AZ86" i="74"/>
  <c r="AH225" i="2" s="1"/>
  <c r="BI83" i="74"/>
  <c r="AI302" i="2" s="1"/>
  <c r="BI112" i="74"/>
  <c r="AI347" i="2" s="1"/>
  <c r="BI135" i="74"/>
  <c r="AI229" i="2" s="1"/>
  <c r="AZ74" i="74"/>
  <c r="AH340" i="2" s="1"/>
  <c r="AZ64" i="74"/>
  <c r="AH330" i="2" s="1"/>
  <c r="BI65" i="74"/>
  <c r="AI277" i="2" s="1"/>
  <c r="BI48" i="74"/>
  <c r="AI255" i="2" s="1"/>
  <c r="AZ7" i="74"/>
  <c r="AH114" i="2" s="1"/>
  <c r="AZ38" i="74"/>
  <c r="AH268" i="2" s="1"/>
  <c r="BI35" i="74"/>
  <c r="AI79" i="2" s="1"/>
  <c r="AZ57" i="74"/>
  <c r="AH307" i="2" s="1"/>
  <c r="BI131" i="74"/>
  <c r="AI225" i="2" s="1"/>
  <c r="BI67" i="74"/>
  <c r="AI279" i="2" s="1"/>
  <c r="BI128" i="70"/>
  <c r="AA194" i="2" s="1"/>
  <c r="AZ9" i="70"/>
  <c r="Z43" i="2" s="1"/>
  <c r="BI79" i="70"/>
  <c r="AA298" i="2" s="1"/>
  <c r="AZ70" i="70"/>
  <c r="Z336" i="2" s="1"/>
  <c r="BI39" i="70"/>
  <c r="AA238" i="2" s="1"/>
  <c r="AZ6" i="70"/>
  <c r="Z40" i="2" s="1"/>
  <c r="AZ60" i="70"/>
  <c r="Z310" i="2" s="1"/>
  <c r="BI53" i="70"/>
  <c r="AA260" i="2" s="1"/>
  <c r="AZ45" i="70"/>
  <c r="Z285" i="2" s="1"/>
  <c r="BI51" i="70"/>
  <c r="AA258" i="2" s="1"/>
  <c r="AZ64" i="70"/>
  <c r="Z330" i="2" s="1"/>
  <c r="AZ41" i="70"/>
  <c r="Z271" i="2" s="1"/>
  <c r="BI103" i="70"/>
  <c r="AA330" i="2" s="1"/>
  <c r="BI42" i="70"/>
  <c r="AA241" i="2" s="1"/>
  <c r="BI9" i="70"/>
  <c r="AA54" i="2" s="1"/>
  <c r="AZ23" i="70"/>
  <c r="Z79" i="2" s="1"/>
  <c r="AZ18" i="74"/>
  <c r="AH74" i="2" s="1"/>
  <c r="BI64" i="74"/>
  <c r="AI276" i="2" s="1"/>
  <c r="BI118" i="74"/>
  <c r="AI353" i="2" s="1"/>
  <c r="AZ33" i="74"/>
  <c r="AH247" i="2" s="1"/>
  <c r="AZ29" i="74"/>
  <c r="AH243" i="2" s="1"/>
  <c r="AZ42" i="74"/>
  <c r="AH272" i="2" s="1"/>
  <c r="AZ69" i="74"/>
  <c r="AH335" i="2" s="1"/>
  <c r="BI57" i="74"/>
  <c r="AI264" i="2" s="1"/>
  <c r="BI18" i="74"/>
  <c r="AI135" i="2" s="1"/>
  <c r="AZ45" i="74"/>
  <c r="AH285" i="2" s="1"/>
  <c r="AZ60" i="74"/>
  <c r="AH310" i="2" s="1"/>
  <c r="BI53" i="74"/>
  <c r="AI260" i="2" s="1"/>
  <c r="AZ54" i="74"/>
  <c r="AH304" i="2" s="1"/>
  <c r="BI109" i="74"/>
  <c r="AI344" i="2" s="1"/>
  <c r="AZ31" i="74"/>
  <c r="AH245" i="2" s="1"/>
  <c r="BI55" i="74"/>
  <c r="AI262" i="2" s="1"/>
  <c r="BI103" i="74"/>
  <c r="AI330" i="2" s="1"/>
  <c r="BI8" i="70"/>
  <c r="AA53" i="2" s="1"/>
  <c r="BI13" i="70"/>
  <c r="AA58" i="2" s="1"/>
  <c r="AZ56" i="70"/>
  <c r="Z306" i="2" s="1"/>
  <c r="BI70" i="70"/>
  <c r="AA282" i="2" s="1"/>
  <c r="BI90" i="70"/>
  <c r="AA317" i="2" s="1"/>
  <c r="BI41" i="70"/>
  <c r="AA240" i="2" s="1"/>
  <c r="BI102" i="70"/>
  <c r="AA329" i="2" s="1"/>
  <c r="AZ36" i="70"/>
  <c r="Z250" i="2" s="1"/>
  <c r="BI45" i="70"/>
  <c r="AA252" i="2" s="1"/>
  <c r="BI50" i="70"/>
  <c r="AA257" i="2" s="1"/>
  <c r="BI134" i="70"/>
  <c r="AZ31" i="70"/>
  <c r="Z245" i="2" s="1"/>
  <c r="BI78" i="70"/>
  <c r="AA297" i="2" s="1"/>
  <c r="BI35" i="70"/>
  <c r="AA79" i="2" s="1"/>
  <c r="AZ21" i="74"/>
  <c r="AH77" i="2" s="1"/>
  <c r="BF125" i="73"/>
  <c r="BE68" i="82"/>
  <c r="BF68" i="82"/>
  <c r="AW80" i="71"/>
  <c r="BA43" i="82"/>
  <c r="BB43" i="82" s="1"/>
  <c r="BF125" i="67"/>
  <c r="AW43" i="82"/>
  <c r="BE125" i="67"/>
  <c r="BH76" i="71"/>
  <c r="BK76" i="71" s="1"/>
  <c r="AY129" i="71"/>
  <c r="BH137" i="71" s="1"/>
  <c r="BJ125" i="74"/>
  <c r="BK125" i="74" s="1"/>
  <c r="BF125" i="74"/>
  <c r="BK139" i="86"/>
  <c r="BK139" i="85"/>
  <c r="AZ80" i="67"/>
  <c r="T214" i="2" s="1"/>
  <c r="G191" i="2"/>
  <c r="H191" i="2" s="1"/>
  <c r="AU84" i="84"/>
  <c r="AU84" i="83"/>
  <c r="AV85" i="83"/>
  <c r="AW85" i="83"/>
  <c r="AW85" i="84"/>
  <c r="AV85" i="84"/>
  <c r="AU64" i="69"/>
  <c r="BA64" i="69" s="1"/>
  <c r="BB64" i="69" s="1"/>
  <c r="AU41" i="82"/>
  <c r="AU51" i="80"/>
  <c r="AV51" i="80" s="1"/>
  <c r="AU49" i="81"/>
  <c r="BA49" i="81" s="1"/>
  <c r="BB49" i="81" s="1"/>
  <c r="AW50" i="80"/>
  <c r="AV50" i="80"/>
  <c r="AU78" i="1"/>
  <c r="BA78" i="1" s="1"/>
  <c r="BB78" i="1" s="1"/>
  <c r="AU59" i="78"/>
  <c r="AU78" i="67"/>
  <c r="AV78" i="67" s="1"/>
  <c r="AU60" i="78"/>
  <c r="BA60" i="78" s="1"/>
  <c r="BB60" i="78" s="1"/>
  <c r="BK125" i="73"/>
  <c r="BI106" i="71"/>
  <c r="BI35" i="71"/>
  <c r="BI85" i="71"/>
  <c r="BI37" i="71"/>
  <c r="BI21" i="71"/>
  <c r="AC107" i="2" s="1"/>
  <c r="BI79" i="71"/>
  <c r="BI27" i="71"/>
  <c r="BI70" i="71"/>
  <c r="BI38" i="71"/>
  <c r="BI107" i="71"/>
  <c r="BI22" i="71"/>
  <c r="AC108" i="2" s="1"/>
  <c r="BI78" i="71"/>
  <c r="BI45" i="71"/>
  <c r="BI44" i="71"/>
  <c r="BI86" i="71"/>
  <c r="BI69" i="71"/>
  <c r="AZ67" i="71"/>
  <c r="AZ54" i="71"/>
  <c r="AZ13" i="71"/>
  <c r="AB89" i="2" s="1"/>
  <c r="AZ50" i="71"/>
  <c r="AZ29" i="71"/>
  <c r="AZ23" i="71"/>
  <c r="AZ25" i="71"/>
  <c r="AZ15" i="71"/>
  <c r="AZ42" i="71"/>
  <c r="BI5" i="71"/>
  <c r="AC91" i="2" s="1"/>
  <c r="BI6" i="71"/>
  <c r="AC92" i="2" s="1"/>
  <c r="AZ21" i="71"/>
  <c r="AB77" i="2" s="1"/>
  <c r="AZ5" i="71"/>
  <c r="AB81" i="2" s="1"/>
  <c r="BF125" i="1"/>
  <c r="BE125" i="1"/>
  <c r="BA66" i="69"/>
  <c r="BB66" i="69" s="1"/>
  <c r="AW66" i="69"/>
  <c r="BE125" i="71"/>
  <c r="BJ125" i="71"/>
  <c r="BK125" i="71" s="1"/>
  <c r="BI37" i="66"/>
  <c r="S236" i="2" s="1"/>
  <c r="BI38" i="66"/>
  <c r="S237" i="2" s="1"/>
  <c r="BI78" i="66"/>
  <c r="S297" i="2" s="1"/>
  <c r="BI107" i="66"/>
  <c r="S342" i="2" s="1"/>
  <c r="BI106" i="66"/>
  <c r="S341" i="2" s="1"/>
  <c r="BI85" i="66"/>
  <c r="S312" i="2" s="1"/>
  <c r="BI27" i="66"/>
  <c r="BI35" i="66"/>
  <c r="BI45" i="66"/>
  <c r="S252" i="2" s="1"/>
  <c r="BI44" i="66"/>
  <c r="S251" i="2" s="1"/>
  <c r="BI70" i="66"/>
  <c r="S282" i="2" s="1"/>
  <c r="BI86" i="66"/>
  <c r="S313" i="2" s="1"/>
  <c r="BI79" i="66"/>
  <c r="S298" i="2" s="1"/>
  <c r="BI69" i="66"/>
  <c r="S281" i="2" s="1"/>
  <c r="BE125" i="66"/>
  <c r="BA80" i="66"/>
  <c r="BB80" i="66" s="1"/>
  <c r="AV80" i="66"/>
  <c r="AZ42" i="66"/>
  <c r="R272" i="2" s="1"/>
  <c r="AZ29" i="66"/>
  <c r="R243" i="2" s="1"/>
  <c r="AZ23" i="66"/>
  <c r="AZ50" i="66"/>
  <c r="R294" i="2" s="1"/>
  <c r="AZ54" i="66"/>
  <c r="R304" i="2" s="1"/>
  <c r="AZ13" i="66"/>
  <c r="R89" i="2" s="1"/>
  <c r="AZ67" i="66"/>
  <c r="R333" i="2" s="1"/>
  <c r="AZ15" i="66"/>
  <c r="BI22" i="66"/>
  <c r="S108" i="2" s="1"/>
  <c r="BI21" i="66"/>
  <c r="S107" i="2" s="1"/>
  <c r="AZ25" i="66"/>
  <c r="R233" i="2" s="1"/>
  <c r="BI6" i="66"/>
  <c r="S92" i="2" s="1"/>
  <c r="BI5" i="66"/>
  <c r="S91" i="2" s="1"/>
  <c r="AZ20" i="66"/>
  <c r="R76" i="2" s="1"/>
  <c r="AZ5" i="66"/>
  <c r="R81" i="2" s="1"/>
  <c r="K81" i="2"/>
  <c r="C92" i="2"/>
  <c r="D92" i="2"/>
  <c r="E92" i="2"/>
  <c r="G92" i="2"/>
  <c r="H92" i="2" s="1"/>
  <c r="K92" i="2"/>
  <c r="L92" i="2"/>
  <c r="E91" i="2"/>
  <c r="G91" i="2"/>
  <c r="H91" i="2" s="1"/>
  <c r="K91" i="2"/>
  <c r="L91" i="2"/>
  <c r="D91" i="2"/>
  <c r="C91" i="2"/>
  <c r="G81" i="2"/>
  <c r="H81" i="2" s="1"/>
  <c r="E81" i="2"/>
  <c r="D81" i="2"/>
  <c r="C81" i="2"/>
  <c r="AU26" i="78"/>
  <c r="AW26" i="78" s="1"/>
  <c r="BJ99" i="75"/>
  <c r="BK99" i="75" s="1"/>
  <c r="BA80" i="71"/>
  <c r="BB80" i="71" s="1"/>
  <c r="G89" i="2"/>
  <c r="H89" i="2" s="1"/>
  <c r="C89" i="2"/>
  <c r="E89" i="2"/>
  <c r="K89" i="2"/>
  <c r="L89" i="2"/>
  <c r="D89" i="2"/>
  <c r="BD35" i="80"/>
  <c r="AU78" i="66"/>
  <c r="BK125" i="67"/>
  <c r="BK99" i="76"/>
  <c r="BA66" i="75"/>
  <c r="BB66" i="75" s="1"/>
  <c r="AV51" i="81"/>
  <c r="AW66" i="75"/>
  <c r="BA53" i="80"/>
  <c r="BB53" i="80" s="1"/>
  <c r="BA51" i="81"/>
  <c r="BB51" i="81" s="1"/>
  <c r="AV53" i="80"/>
  <c r="BF99" i="76"/>
  <c r="BJ82" i="81"/>
  <c r="BK82" i="81" s="1"/>
  <c r="AW46" i="77"/>
  <c r="AV46" i="77"/>
  <c r="BA46" i="77"/>
  <c r="BB46" i="77" s="1"/>
  <c r="BA80" i="74"/>
  <c r="BB80" i="74" s="1"/>
  <c r="AW80" i="74"/>
  <c r="AZ26" i="86"/>
  <c r="D73" i="2"/>
  <c r="BD29" i="66"/>
  <c r="BJ29" i="66" s="1"/>
  <c r="BK29" i="66" s="1"/>
  <c r="E73" i="2"/>
  <c r="AU17" i="67"/>
  <c r="BA17" i="67" s="1"/>
  <c r="BB17" i="67" s="1"/>
  <c r="L73" i="2"/>
  <c r="BD29" i="71"/>
  <c r="BF29" i="71" s="1"/>
  <c r="AU17" i="1"/>
  <c r="BA17" i="1" s="1"/>
  <c r="BB17" i="1" s="1"/>
  <c r="C73" i="2"/>
  <c r="BD40" i="80"/>
  <c r="BE40" i="80" s="1"/>
  <c r="BD29" i="81"/>
  <c r="BF29" i="81" s="1"/>
  <c r="K73" i="2"/>
  <c r="AU17" i="71"/>
  <c r="AW17" i="71" s="1"/>
  <c r="BD29" i="1"/>
  <c r="BF29" i="1" s="1"/>
  <c r="BD24" i="68"/>
  <c r="BF24" i="68" s="1"/>
  <c r="G73" i="2"/>
  <c r="H73" i="2" s="1"/>
  <c r="AU22" i="80"/>
  <c r="AW22" i="80" s="1"/>
  <c r="BD49" i="78"/>
  <c r="BD29" i="70"/>
  <c r="BE29" i="70" s="1"/>
  <c r="AU17" i="70"/>
  <c r="BA17" i="70" s="1"/>
  <c r="BB17" i="70" s="1"/>
  <c r="AU17" i="66"/>
  <c r="BA17" i="66" s="1"/>
  <c r="BB17" i="66" s="1"/>
  <c r="BD29" i="73"/>
  <c r="BF29" i="73" s="1"/>
  <c r="AU17" i="74"/>
  <c r="AV17" i="74" s="1"/>
  <c r="AU17" i="81"/>
  <c r="BA17" i="81" s="1"/>
  <c r="BB17" i="81" s="1"/>
  <c r="AU17" i="73"/>
  <c r="BA17" i="73" s="1"/>
  <c r="BB17" i="73" s="1"/>
  <c r="BD28" i="66"/>
  <c r="BF28" i="66" s="1"/>
  <c r="AU27" i="78"/>
  <c r="BA27" i="78" s="1"/>
  <c r="BB27" i="78" s="1"/>
  <c r="BD29" i="67"/>
  <c r="BE29" i="67" s="1"/>
  <c r="AU16" i="81"/>
  <c r="AV16" i="81" s="1"/>
  <c r="AU13" i="68"/>
  <c r="BD28" i="73"/>
  <c r="BF28" i="73" s="1"/>
  <c r="BI139" i="87"/>
  <c r="AZ85" i="86"/>
  <c r="AZ27" i="85"/>
  <c r="BA26" i="76"/>
  <c r="BB26" i="76" s="1"/>
  <c r="AZ29" i="85"/>
  <c r="BI150" i="85"/>
  <c r="AZ93" i="83"/>
  <c r="AV200" i="2" s="1"/>
  <c r="AZ19" i="83"/>
  <c r="AV120" i="2" s="1"/>
  <c r="AZ65" i="83"/>
  <c r="AV309" i="2" s="1"/>
  <c r="AZ44" i="83"/>
  <c r="AV268" i="2" s="1"/>
  <c r="AZ46" i="83"/>
  <c r="AV270" i="2" s="1"/>
  <c r="BI145" i="83"/>
  <c r="AW203" i="2" s="1"/>
  <c r="BI146" i="83"/>
  <c r="AW204" i="2" s="1"/>
  <c r="AZ91" i="83"/>
  <c r="AV198" i="2" s="1"/>
  <c r="BI21" i="83"/>
  <c r="AW66" i="2" s="1"/>
  <c r="BI147" i="83"/>
  <c r="AW206" i="2" s="1"/>
  <c r="BI37" i="83"/>
  <c r="AW68" i="2" s="1"/>
  <c r="AZ40" i="83"/>
  <c r="AV248" i="2" s="1"/>
  <c r="BI152" i="83"/>
  <c r="AW364" i="2" s="1"/>
  <c r="BI24" i="83"/>
  <c r="AW130" i="2" s="1"/>
  <c r="BI38" i="83"/>
  <c r="AW140" i="2" s="1"/>
  <c r="BI67" i="83"/>
  <c r="AW260" i="2" s="1"/>
  <c r="AZ144" i="83"/>
  <c r="AZ67" i="83"/>
  <c r="AV311" i="2" s="1"/>
  <c r="AZ42" i="83"/>
  <c r="AV250" i="2" s="1"/>
  <c r="AZ41" i="83"/>
  <c r="AV249" i="2" s="1"/>
  <c r="AZ64" i="83"/>
  <c r="AV308" i="2" s="1"/>
  <c r="BI27" i="83"/>
  <c r="AW133" i="2" s="1"/>
  <c r="BI36" i="83"/>
  <c r="AW141" i="2" s="1"/>
  <c r="AZ16" i="83"/>
  <c r="AV117" i="2" s="1"/>
  <c r="BI81" i="83"/>
  <c r="AW279" i="2" s="1"/>
  <c r="AZ143" i="83"/>
  <c r="AZ66" i="83"/>
  <c r="AV310" i="2" s="1"/>
  <c r="AZ9" i="83"/>
  <c r="AV43" i="2" s="1"/>
  <c r="AZ48" i="83"/>
  <c r="AV272" i="2" s="1"/>
  <c r="BI26" i="83"/>
  <c r="AW132" i="2" s="1"/>
  <c r="BI45" i="83"/>
  <c r="AW75" i="2" s="1"/>
  <c r="AZ47" i="83"/>
  <c r="AV271" i="2" s="1"/>
  <c r="BI39" i="83"/>
  <c r="AW48" i="2" s="1"/>
  <c r="AZ18" i="83"/>
  <c r="AV119" i="2" s="1"/>
  <c r="AZ11" i="83"/>
  <c r="AV45" i="2" s="1"/>
  <c r="BI69" i="83"/>
  <c r="AW262" i="2" s="1"/>
  <c r="AZ39" i="83"/>
  <c r="AV247" i="2" s="1"/>
  <c r="AZ17" i="83"/>
  <c r="AV118" i="2" s="1"/>
  <c r="AZ12" i="83"/>
  <c r="AV46" i="2" s="1"/>
  <c r="AZ45" i="83"/>
  <c r="AV269" i="2" s="1"/>
  <c r="AZ145" i="83"/>
  <c r="BI17" i="83"/>
  <c r="AW62" i="2" s="1"/>
  <c r="AZ15" i="83"/>
  <c r="AV116" i="2" s="1"/>
  <c r="BI46" i="83"/>
  <c r="AW76" i="2" s="1"/>
  <c r="BI13" i="83"/>
  <c r="AW58" i="2" s="1"/>
  <c r="AZ10" i="83"/>
  <c r="AV44" i="2" s="1"/>
  <c r="BI107" i="83"/>
  <c r="AW320" i="2" s="1"/>
  <c r="BI47" i="83"/>
  <c r="AW77" i="2" s="1"/>
  <c r="BI35" i="83"/>
  <c r="AW69" i="2" s="1"/>
  <c r="BI48" i="83"/>
  <c r="AW78" i="2" s="1"/>
  <c r="BI29" i="83"/>
  <c r="AW135" i="2" s="1"/>
  <c r="AZ13" i="83"/>
  <c r="AV47" i="2" s="1"/>
  <c r="BI49" i="83"/>
  <c r="AW79" i="2" s="1"/>
  <c r="BI28" i="83"/>
  <c r="AW134" i="2" s="1"/>
  <c r="BI111" i="83"/>
  <c r="AW324" i="2" s="1"/>
  <c r="BI72" i="83"/>
  <c r="AW265" i="2" s="1"/>
  <c r="BI25" i="83"/>
  <c r="AW131" i="2" s="1"/>
  <c r="BI20" i="83"/>
  <c r="AW65" i="2" s="1"/>
  <c r="BI22" i="83"/>
  <c r="AW67" i="2" s="1"/>
  <c r="BI66" i="83"/>
  <c r="AW259" i="2" s="1"/>
  <c r="BI32" i="83"/>
  <c r="AW138" i="2" s="1"/>
  <c r="AZ146" i="83"/>
  <c r="AV365" i="2" s="1"/>
  <c r="BI84" i="83"/>
  <c r="AW282" i="2" s="1"/>
  <c r="AZ142" i="83"/>
  <c r="AV361" i="2" s="1"/>
  <c r="BI71" i="83"/>
  <c r="AW264" i="2" s="1"/>
  <c r="BI77" i="83"/>
  <c r="AW275" i="2" s="1"/>
  <c r="BI33" i="83"/>
  <c r="AW139" i="2" s="1"/>
  <c r="BI76" i="83"/>
  <c r="AW274" i="2" s="1"/>
  <c r="BI30" i="83"/>
  <c r="AW136" i="2" s="1"/>
  <c r="BI73" i="83"/>
  <c r="AW266" i="2" s="1"/>
  <c r="BI31" i="83"/>
  <c r="AW137" i="2" s="1"/>
  <c r="BI114" i="83"/>
  <c r="AW327" i="2" s="1"/>
  <c r="BI83" i="83"/>
  <c r="AW281" i="2" s="1"/>
  <c r="BI14" i="83"/>
  <c r="AW59" i="2" s="1"/>
  <c r="BI109" i="83"/>
  <c r="AW322" i="2" s="1"/>
  <c r="BI112" i="83"/>
  <c r="AW325" i="2" s="1"/>
  <c r="BI18" i="83"/>
  <c r="AW63" i="2" s="1"/>
  <c r="BI108" i="83"/>
  <c r="AW321" i="2" s="1"/>
  <c r="BI15" i="83"/>
  <c r="AW60" i="2" s="1"/>
  <c r="BI79" i="83"/>
  <c r="AW277" i="2" s="1"/>
  <c r="BI70" i="83"/>
  <c r="AW263" i="2" s="1"/>
  <c r="BI19" i="83"/>
  <c r="AW64" i="2" s="1"/>
  <c r="BI82" i="83"/>
  <c r="AW280" i="2" s="1"/>
  <c r="BI80" i="83"/>
  <c r="AW278" i="2" s="1"/>
  <c r="BI110" i="83"/>
  <c r="AW323" i="2" s="1"/>
  <c r="BI68" i="83"/>
  <c r="AW261" i="2" s="1"/>
  <c r="BI113" i="83"/>
  <c r="AW326" i="2" s="1"/>
  <c r="BI78" i="83"/>
  <c r="AW276" i="2" s="1"/>
  <c r="BI16" i="83"/>
  <c r="AW61" i="2" s="1"/>
  <c r="BI75" i="83"/>
  <c r="AW273" i="2" s="1"/>
  <c r="BI153" i="83"/>
  <c r="AW365" i="2" s="1"/>
  <c r="BI151" i="83"/>
  <c r="AW363" i="2" s="1"/>
  <c r="BI143" i="83"/>
  <c r="AW196" i="2" s="1"/>
  <c r="BI149" i="83"/>
  <c r="AW361" i="2" s="1"/>
  <c r="AZ92" i="83"/>
  <c r="AV196" i="2" s="1"/>
  <c r="BI142" i="83"/>
  <c r="AW194" i="2" s="1"/>
  <c r="AZ90" i="83"/>
  <c r="AV194" i="2" s="1"/>
  <c r="AZ10" i="84"/>
  <c r="AX44" i="2" s="1"/>
  <c r="AZ19" i="84"/>
  <c r="AX174" i="2" s="1"/>
  <c r="BI152" i="84"/>
  <c r="AY364" i="2" s="1"/>
  <c r="BI48" i="84"/>
  <c r="AY78" i="2" s="1"/>
  <c r="AZ91" i="84"/>
  <c r="AX198" i="2" s="1"/>
  <c r="BI15" i="84"/>
  <c r="AY60" i="2" s="1"/>
  <c r="AZ41" i="84"/>
  <c r="AX249" i="2" s="1"/>
  <c r="AZ12" i="84"/>
  <c r="AX46" i="2" s="1"/>
  <c r="BI35" i="84"/>
  <c r="AY69" i="2" s="1"/>
  <c r="BI37" i="84"/>
  <c r="AY68" i="2" s="1"/>
  <c r="BI45" i="84"/>
  <c r="AY75" i="2" s="1"/>
  <c r="BI49" i="84"/>
  <c r="AY79" i="2" s="1"/>
  <c r="BI47" i="84"/>
  <c r="AY77" i="2" s="1"/>
  <c r="BI38" i="84"/>
  <c r="AY190" i="2" s="1"/>
  <c r="BI46" i="84"/>
  <c r="AY76" i="2" s="1"/>
  <c r="BI36" i="84"/>
  <c r="AY191" i="2" s="1"/>
  <c r="AZ13" i="84"/>
  <c r="AX47" i="2" s="1"/>
  <c r="BI79" i="84"/>
  <c r="AY277" i="2" s="1"/>
  <c r="AZ39" i="84"/>
  <c r="AX247" i="2" s="1"/>
  <c r="AZ46" i="84"/>
  <c r="AX270" i="2" s="1"/>
  <c r="BI22" i="84"/>
  <c r="AY67" i="2" s="1"/>
  <c r="AZ15" i="84"/>
  <c r="AX170" i="2" s="1"/>
  <c r="BI32" i="84"/>
  <c r="AY188" i="2" s="1"/>
  <c r="BI20" i="84"/>
  <c r="AY65" i="2" s="1"/>
  <c r="AZ66" i="84"/>
  <c r="AX310" i="2" s="1"/>
  <c r="BI39" i="84"/>
  <c r="AY48" i="2" s="1"/>
  <c r="BI67" i="84"/>
  <c r="AY260" i="2" s="1"/>
  <c r="AZ40" i="84"/>
  <c r="AX248" i="2" s="1"/>
  <c r="AZ16" i="84"/>
  <c r="AX171" i="2" s="1"/>
  <c r="AZ65" i="84"/>
  <c r="AX309" i="2" s="1"/>
  <c r="BI16" i="84"/>
  <c r="AY61" i="2" s="1"/>
  <c r="AZ64" i="84"/>
  <c r="AX308" i="2" s="1"/>
  <c r="BI71" i="84"/>
  <c r="AY264" i="2" s="1"/>
  <c r="AZ9" i="84"/>
  <c r="AX43" i="2" s="1"/>
  <c r="AZ11" i="84"/>
  <c r="AX45" i="2" s="1"/>
  <c r="AZ67" i="84"/>
  <c r="AX311" i="2" s="1"/>
  <c r="BI70" i="84"/>
  <c r="AY263" i="2" s="1"/>
  <c r="AZ44" i="84"/>
  <c r="AX268" i="2" s="1"/>
  <c r="AZ47" i="84"/>
  <c r="AX271" i="2" s="1"/>
  <c r="BI80" i="84"/>
  <c r="AY278" i="2" s="1"/>
  <c r="BI21" i="84"/>
  <c r="AY66" i="2" s="1"/>
  <c r="BI19" i="84"/>
  <c r="AY64" i="2" s="1"/>
  <c r="AZ48" i="84"/>
  <c r="AX272" i="2" s="1"/>
  <c r="AZ18" i="84"/>
  <c r="AX173" i="2" s="1"/>
  <c r="BI66" i="84"/>
  <c r="AY259" i="2" s="1"/>
  <c r="AZ17" i="84"/>
  <c r="AX172" i="2" s="1"/>
  <c r="AZ93" i="84"/>
  <c r="AX201" i="2" s="1"/>
  <c r="BI146" i="84"/>
  <c r="AY204" i="2" s="1"/>
  <c r="BI33" i="84"/>
  <c r="AY189" i="2" s="1"/>
  <c r="AZ45" i="84"/>
  <c r="AX269" i="2" s="1"/>
  <c r="AZ42" i="84"/>
  <c r="AX250" i="2" s="1"/>
  <c r="BI69" i="84"/>
  <c r="AY262" i="2" s="1"/>
  <c r="BI112" i="84"/>
  <c r="AY325" i="2" s="1"/>
  <c r="AZ90" i="84"/>
  <c r="AX194" i="2" s="1"/>
  <c r="BI18" i="84"/>
  <c r="AY63" i="2" s="1"/>
  <c r="BI110" i="84"/>
  <c r="AY323" i="2" s="1"/>
  <c r="BI25" i="84"/>
  <c r="AY181" i="2" s="1"/>
  <c r="BI73" i="84"/>
  <c r="AY266" i="2" s="1"/>
  <c r="BI145" i="84"/>
  <c r="AY203" i="2" s="1"/>
  <c r="BI75" i="84"/>
  <c r="AY273" i="2" s="1"/>
  <c r="BI109" i="84"/>
  <c r="AY322" i="2" s="1"/>
  <c r="BI30" i="84"/>
  <c r="AY186" i="2" s="1"/>
  <c r="BI24" i="84"/>
  <c r="AY180" i="2" s="1"/>
  <c r="BI76" i="84"/>
  <c r="AY274" i="2" s="1"/>
  <c r="BI68" i="84"/>
  <c r="AY261" i="2" s="1"/>
  <c r="BI84" i="84"/>
  <c r="AY282" i="2" s="1"/>
  <c r="BI107" i="84"/>
  <c r="AY320" i="2" s="1"/>
  <c r="BI14" i="84"/>
  <c r="AY59" i="2" s="1"/>
  <c r="BI26" i="84"/>
  <c r="AY182" i="2" s="1"/>
  <c r="BI17" i="84"/>
  <c r="AY62" i="2" s="1"/>
  <c r="BI13" i="84"/>
  <c r="AY58" i="2" s="1"/>
  <c r="BI147" i="84"/>
  <c r="AY206" i="2" s="1"/>
  <c r="BI81" i="84"/>
  <c r="AY279" i="2" s="1"/>
  <c r="AZ146" i="84"/>
  <c r="AX365" i="2" s="1"/>
  <c r="BI31" i="84"/>
  <c r="AY187" i="2" s="1"/>
  <c r="BI29" i="84"/>
  <c r="AY185" i="2" s="1"/>
  <c r="AZ142" i="84"/>
  <c r="AX361" i="2" s="1"/>
  <c r="BI83" i="84"/>
  <c r="AY281" i="2" s="1"/>
  <c r="BI27" i="84"/>
  <c r="AY183" i="2" s="1"/>
  <c r="AZ92" i="84"/>
  <c r="AX196" i="2" s="1"/>
  <c r="BI111" i="84"/>
  <c r="AY324" i="2" s="1"/>
  <c r="BI77" i="84"/>
  <c r="AY275" i="2" s="1"/>
  <c r="BI28" i="84"/>
  <c r="AY184" i="2" s="1"/>
  <c r="BI113" i="84"/>
  <c r="AY326" i="2" s="1"/>
  <c r="BI72" i="84"/>
  <c r="AY265" i="2" s="1"/>
  <c r="BI78" i="84"/>
  <c r="AY276" i="2" s="1"/>
  <c r="BI82" i="84"/>
  <c r="AY280" i="2" s="1"/>
  <c r="BI114" i="84"/>
  <c r="AY327" i="2" s="1"/>
  <c r="BI108" i="84"/>
  <c r="AY321" i="2" s="1"/>
  <c r="BI151" i="84"/>
  <c r="AY363" i="2" s="1"/>
  <c r="BI143" i="84"/>
  <c r="AY196" i="2" s="1"/>
  <c r="BI149" i="84"/>
  <c r="AY361" i="2" s="1"/>
  <c r="BI153" i="84"/>
  <c r="AY365" i="2" s="1"/>
  <c r="BI142" i="84"/>
  <c r="AY194" i="2" s="1"/>
  <c r="AZ87" i="85"/>
  <c r="G99" i="2"/>
  <c r="H99" i="2" s="1"/>
  <c r="AZ97" i="87"/>
  <c r="AZ96" i="87"/>
  <c r="BI144" i="87"/>
  <c r="AZ92" i="87"/>
  <c r="BI145" i="87"/>
  <c r="BI146" i="87"/>
  <c r="BI147" i="87"/>
  <c r="AZ149" i="87"/>
  <c r="BI148" i="87"/>
  <c r="AZ98" i="87"/>
  <c r="AZ150" i="87"/>
  <c r="AZ90" i="87"/>
  <c r="AZ91" i="87"/>
  <c r="BI150" i="87"/>
  <c r="BI149" i="87"/>
  <c r="AZ148" i="87"/>
  <c r="AZ112" i="87"/>
  <c r="AZ64" i="87"/>
  <c r="BI143" i="87"/>
  <c r="AZ66" i="87"/>
  <c r="AZ16" i="87"/>
  <c r="BI38" i="87"/>
  <c r="AZ17" i="87"/>
  <c r="AZ65" i="87"/>
  <c r="BI36" i="87"/>
  <c r="AZ47" i="87"/>
  <c r="AZ44" i="87"/>
  <c r="AZ39" i="87"/>
  <c r="BI35" i="87"/>
  <c r="AZ15" i="87"/>
  <c r="BI39" i="87"/>
  <c r="AZ40" i="87"/>
  <c r="AZ67" i="87"/>
  <c r="AZ18" i="87"/>
  <c r="AZ41" i="87"/>
  <c r="BI37" i="87"/>
  <c r="AZ48" i="87"/>
  <c r="AZ94" i="87"/>
  <c r="AZ46" i="87"/>
  <c r="AZ19" i="87"/>
  <c r="AZ42" i="87"/>
  <c r="AZ45" i="87"/>
  <c r="BI71" i="87"/>
  <c r="BI113" i="87"/>
  <c r="AZ93" i="87"/>
  <c r="BI68" i="87"/>
  <c r="BI33" i="87"/>
  <c r="BI31" i="87"/>
  <c r="BI83" i="87"/>
  <c r="AZ151" i="87"/>
  <c r="BI30" i="87"/>
  <c r="BI25" i="87"/>
  <c r="BI32" i="87"/>
  <c r="BI155" i="87"/>
  <c r="BI76" i="87"/>
  <c r="BI114" i="87"/>
  <c r="BI78" i="87"/>
  <c r="BI66" i="87"/>
  <c r="BI77" i="87"/>
  <c r="BI69" i="87"/>
  <c r="BI26" i="87"/>
  <c r="BI109" i="87"/>
  <c r="BI29" i="87"/>
  <c r="BI67" i="87"/>
  <c r="BI82" i="87"/>
  <c r="BI72" i="87"/>
  <c r="BI28" i="87"/>
  <c r="AZ95" i="87"/>
  <c r="AZ147" i="87"/>
  <c r="BI158" i="87"/>
  <c r="BI111" i="87"/>
  <c r="BI70" i="87"/>
  <c r="BI81" i="87"/>
  <c r="BI80" i="87"/>
  <c r="BI27" i="87"/>
  <c r="BI110" i="87"/>
  <c r="BI24" i="87"/>
  <c r="BI84" i="87"/>
  <c r="AZ115" i="87"/>
  <c r="BI79" i="87"/>
  <c r="BI108" i="87"/>
  <c r="BI112" i="87"/>
  <c r="BI75" i="87"/>
  <c r="BI73" i="87"/>
  <c r="BI107" i="87"/>
  <c r="BI154" i="87"/>
  <c r="BI142" i="87"/>
  <c r="AZ89" i="87"/>
  <c r="BI152" i="87"/>
  <c r="BI161" i="87"/>
  <c r="BI156" i="87"/>
  <c r="BI139" i="85"/>
  <c r="AZ87" i="84"/>
  <c r="AX214" i="2" s="1"/>
  <c r="AZ28" i="84"/>
  <c r="AX78" i="2" s="1"/>
  <c r="BJ136" i="70"/>
  <c r="BK136" i="70" s="1"/>
  <c r="AZ11" i="86"/>
  <c r="AZ143" i="86"/>
  <c r="AZ145" i="86"/>
  <c r="AZ144" i="86"/>
  <c r="AZ107" i="86"/>
  <c r="AZ110" i="86"/>
  <c r="AZ10" i="86"/>
  <c r="AZ13" i="86"/>
  <c r="BI15" i="86"/>
  <c r="BI47" i="86"/>
  <c r="BI21" i="86"/>
  <c r="AZ64" i="86"/>
  <c r="AZ40" i="86"/>
  <c r="BI38" i="86"/>
  <c r="BI46" i="86"/>
  <c r="AZ91" i="86"/>
  <c r="AZ18" i="86"/>
  <c r="AZ39" i="86"/>
  <c r="BI45" i="86"/>
  <c r="AZ12" i="86"/>
  <c r="BI17" i="86"/>
  <c r="AZ19" i="86"/>
  <c r="BI48" i="86"/>
  <c r="BI49" i="86"/>
  <c r="BI37" i="86"/>
  <c r="BI36" i="86"/>
  <c r="AZ47" i="86"/>
  <c r="BI155" i="86"/>
  <c r="AZ44" i="86"/>
  <c r="AZ67" i="86"/>
  <c r="AZ15" i="86"/>
  <c r="BI35" i="86"/>
  <c r="AZ9" i="86"/>
  <c r="AZ45" i="86"/>
  <c r="AZ17" i="86"/>
  <c r="BI22" i="86"/>
  <c r="AZ41" i="86"/>
  <c r="AZ16" i="86"/>
  <c r="AZ46" i="86"/>
  <c r="AZ42" i="86"/>
  <c r="AZ65" i="86"/>
  <c r="BI18" i="86"/>
  <c r="BI39" i="86"/>
  <c r="AZ48" i="86"/>
  <c r="AZ93" i="86"/>
  <c r="AZ66" i="86"/>
  <c r="BI16" i="86"/>
  <c r="BI158" i="86"/>
  <c r="BI108" i="86"/>
  <c r="BI83" i="86"/>
  <c r="BI147" i="86"/>
  <c r="BI109" i="86"/>
  <c r="BI20" i="86"/>
  <c r="BI24" i="86"/>
  <c r="BI76" i="86"/>
  <c r="BI84" i="86"/>
  <c r="BI29" i="86"/>
  <c r="BI68" i="86"/>
  <c r="BI77" i="86"/>
  <c r="BI72" i="86"/>
  <c r="AZ92" i="86"/>
  <c r="BI25" i="86"/>
  <c r="BI66" i="86"/>
  <c r="BI112" i="86"/>
  <c r="BI67" i="86"/>
  <c r="BI75" i="86"/>
  <c r="BI73" i="86"/>
  <c r="BI110" i="86"/>
  <c r="AZ142" i="86"/>
  <c r="BI70" i="86"/>
  <c r="BI33" i="86"/>
  <c r="BI146" i="86"/>
  <c r="BI13" i="86"/>
  <c r="BI27" i="86"/>
  <c r="BI69" i="86"/>
  <c r="BI82" i="86"/>
  <c r="BI111" i="86"/>
  <c r="BI114" i="86"/>
  <c r="BI79" i="86"/>
  <c r="BI152" i="86"/>
  <c r="BI81" i="86"/>
  <c r="AZ146" i="86"/>
  <c r="BI19" i="86"/>
  <c r="AZ90" i="86"/>
  <c r="BI30" i="86"/>
  <c r="BI14" i="86"/>
  <c r="BI32" i="86"/>
  <c r="BI26" i="86"/>
  <c r="BI107" i="86"/>
  <c r="BI145" i="86"/>
  <c r="BI113" i="86"/>
  <c r="BI31" i="86"/>
  <c r="BI78" i="86"/>
  <c r="BI71" i="86"/>
  <c r="BI80" i="86"/>
  <c r="BI28" i="86"/>
  <c r="BI151" i="86"/>
  <c r="BI149" i="86"/>
  <c r="BI143" i="86"/>
  <c r="BI153" i="86"/>
  <c r="BI142" i="86"/>
  <c r="AZ84" i="87"/>
  <c r="BI139" i="84"/>
  <c r="AY214" i="2" s="1"/>
  <c r="AZ29" i="83"/>
  <c r="AV79" i="2" s="1"/>
  <c r="AZ41" i="85"/>
  <c r="AZ107" i="85"/>
  <c r="AZ145" i="85"/>
  <c r="AZ19" i="85"/>
  <c r="AZ144" i="85"/>
  <c r="AZ143" i="85"/>
  <c r="BI33" i="85"/>
  <c r="AZ44" i="85"/>
  <c r="AZ16" i="85"/>
  <c r="BI21" i="85"/>
  <c r="BI37" i="85"/>
  <c r="AZ46" i="85"/>
  <c r="AZ40" i="85"/>
  <c r="AZ45" i="85"/>
  <c r="BI47" i="85"/>
  <c r="BI39" i="85"/>
  <c r="AZ11" i="85"/>
  <c r="AZ17" i="85"/>
  <c r="AZ65" i="85"/>
  <c r="BI36" i="85"/>
  <c r="AZ67" i="85"/>
  <c r="AZ9" i="85"/>
  <c r="BI70" i="85"/>
  <c r="AZ13" i="85"/>
  <c r="BI38" i="85"/>
  <c r="BI71" i="85"/>
  <c r="BI35" i="85"/>
  <c r="AZ47" i="85"/>
  <c r="AZ15" i="85"/>
  <c r="BI48" i="85"/>
  <c r="AZ12" i="85"/>
  <c r="BI45" i="85"/>
  <c r="BI32" i="85"/>
  <c r="BI49" i="85"/>
  <c r="AZ18" i="85"/>
  <c r="AZ48" i="85"/>
  <c r="BI75" i="85"/>
  <c r="BI22" i="85"/>
  <c r="AZ93" i="85"/>
  <c r="AZ42" i="85"/>
  <c r="AZ39" i="85"/>
  <c r="AZ10" i="85"/>
  <c r="AZ66" i="85"/>
  <c r="AZ64" i="85"/>
  <c r="AZ91" i="85"/>
  <c r="BI46" i="85"/>
  <c r="BI84" i="85"/>
  <c r="BI109" i="85"/>
  <c r="BI18" i="85"/>
  <c r="BI69" i="85"/>
  <c r="BI27" i="85"/>
  <c r="BI19" i="85"/>
  <c r="BI80" i="85"/>
  <c r="BI31" i="85"/>
  <c r="BI83" i="85"/>
  <c r="BI113" i="85"/>
  <c r="BI81" i="85"/>
  <c r="BI108" i="85"/>
  <c r="BI20" i="85"/>
  <c r="BI16" i="85"/>
  <c r="BI77" i="85"/>
  <c r="BI67" i="85"/>
  <c r="BI15" i="85"/>
  <c r="BI152" i="85"/>
  <c r="BI26" i="85"/>
  <c r="BI111" i="85"/>
  <c r="BI82" i="85"/>
  <c r="BI68" i="85"/>
  <c r="BI145" i="85"/>
  <c r="BI73" i="85"/>
  <c r="BI76" i="85"/>
  <c r="BI29" i="85"/>
  <c r="BI13" i="85"/>
  <c r="BI30" i="85"/>
  <c r="BI110" i="85"/>
  <c r="BI79" i="85"/>
  <c r="BI28" i="85"/>
  <c r="BI66" i="85"/>
  <c r="BI25" i="85"/>
  <c r="BI17" i="85"/>
  <c r="AZ146" i="85"/>
  <c r="BI24" i="85"/>
  <c r="BI146" i="85"/>
  <c r="AZ90" i="85"/>
  <c r="AZ142" i="85"/>
  <c r="BI14" i="85"/>
  <c r="BI112" i="85"/>
  <c r="BI114" i="85"/>
  <c r="BI107" i="85"/>
  <c r="BI147" i="85"/>
  <c r="BI72" i="85"/>
  <c r="BI78" i="85"/>
  <c r="AZ92" i="85"/>
  <c r="BI151" i="85"/>
  <c r="BI143" i="85"/>
  <c r="BI153" i="85"/>
  <c r="BI142" i="85"/>
  <c r="BI149" i="85"/>
  <c r="AZ25" i="85"/>
  <c r="AZ85" i="85"/>
  <c r="BI150" i="84"/>
  <c r="AY362" i="2" s="1"/>
  <c r="AZ87" i="87"/>
  <c r="AZ26" i="84"/>
  <c r="AX76" i="2" s="1"/>
  <c r="AZ85" i="84"/>
  <c r="AX191" i="2" s="1"/>
  <c r="BJ107" i="78"/>
  <c r="BK107" i="78" s="1"/>
  <c r="AZ25" i="86"/>
  <c r="AZ27" i="84"/>
  <c r="AX77" i="2" s="1"/>
  <c r="BJ136" i="73"/>
  <c r="BK136" i="73" s="1"/>
  <c r="BI150" i="83"/>
  <c r="AW362" i="2" s="1"/>
  <c r="AZ84" i="86"/>
  <c r="BI139" i="83"/>
  <c r="AW214" i="2" s="1"/>
  <c r="AZ25" i="83"/>
  <c r="AV75" i="2" s="1"/>
  <c r="BI153" i="87"/>
  <c r="AZ85" i="83"/>
  <c r="AV141" i="2" s="1"/>
  <c r="AZ27" i="86"/>
  <c r="AZ87" i="83"/>
  <c r="AV214" i="2" s="1"/>
  <c r="BI150" i="86"/>
  <c r="BI125" i="67"/>
  <c r="U214" i="2" s="1"/>
  <c r="BJ87" i="81"/>
  <c r="BK87" i="81" s="1"/>
  <c r="AZ84" i="83"/>
  <c r="AV69" i="2" s="1"/>
  <c r="AZ29" i="86"/>
  <c r="AZ87" i="86"/>
  <c r="AZ85" i="87"/>
  <c r="AZ84" i="84"/>
  <c r="AX69" i="2" s="1"/>
  <c r="AZ26" i="85"/>
  <c r="AZ26" i="83"/>
  <c r="AV76" i="2" s="1"/>
  <c r="BI139" i="86"/>
  <c r="AZ25" i="84"/>
  <c r="AX75" i="2" s="1"/>
  <c r="AZ28" i="85"/>
  <c r="AZ27" i="83"/>
  <c r="AV77" i="2" s="1"/>
  <c r="AZ28" i="83"/>
  <c r="AV78" i="2" s="1"/>
  <c r="AV80" i="73"/>
  <c r="BA80" i="73"/>
  <c r="BB80" i="73" s="1"/>
  <c r="BE86" i="80"/>
  <c r="BJ86" i="80"/>
  <c r="BK86" i="80" s="1"/>
  <c r="BF102" i="78"/>
  <c r="BJ102" i="78"/>
  <c r="BK102" i="78" s="1"/>
  <c r="BF139" i="84"/>
  <c r="BE139" i="84"/>
  <c r="AV87" i="84"/>
  <c r="AW87" i="84"/>
  <c r="BF139" i="87"/>
  <c r="BE139" i="87"/>
  <c r="AW87" i="87"/>
  <c r="AV87" i="87"/>
  <c r="BA87" i="84"/>
  <c r="BB87" i="84" s="1"/>
  <c r="AV87" i="85"/>
  <c r="AW87" i="85"/>
  <c r="BJ139" i="84"/>
  <c r="BK139" i="84" s="1"/>
  <c r="AW87" i="86"/>
  <c r="AV87" i="86"/>
  <c r="BE139" i="86"/>
  <c r="BF139" i="86"/>
  <c r="BE139" i="85"/>
  <c r="BF139" i="85"/>
  <c r="BJ139" i="87"/>
  <c r="BK139" i="87" s="1"/>
  <c r="BA40" i="87"/>
  <c r="BB40" i="87" s="1"/>
  <c r="BA34" i="1"/>
  <c r="BB34" i="1" s="1"/>
  <c r="BJ68" i="66"/>
  <c r="BK68" i="66" s="1"/>
  <c r="BJ73" i="84"/>
  <c r="BK73" i="84" s="1"/>
  <c r="BJ56" i="83"/>
  <c r="BK56" i="83" s="1"/>
  <c r="BA45" i="84"/>
  <c r="BB45" i="84" s="1"/>
  <c r="BA35" i="85"/>
  <c r="BB35" i="85" s="1"/>
  <c r="BA36" i="83"/>
  <c r="BB36" i="83" s="1"/>
  <c r="BA36" i="86"/>
  <c r="BB36" i="86" s="1"/>
  <c r="BA47" i="86"/>
  <c r="BB47" i="86" s="1"/>
  <c r="BA35" i="83"/>
  <c r="BB35" i="83" s="1"/>
  <c r="AU16" i="74"/>
  <c r="BA16" i="74" s="1"/>
  <c r="BB16" i="74" s="1"/>
  <c r="AU16" i="1"/>
  <c r="BA16" i="1" s="1"/>
  <c r="BB16" i="1" s="1"/>
  <c r="BD48" i="87"/>
  <c r="BJ48" i="87" s="1"/>
  <c r="BK48" i="87" s="1"/>
  <c r="AU28" i="85"/>
  <c r="BA28" i="85" s="1"/>
  <c r="BB28" i="85" s="1"/>
  <c r="BD48" i="85"/>
  <c r="BJ48" i="85" s="1"/>
  <c r="BK48" i="85" s="1"/>
  <c r="AU28" i="87"/>
  <c r="BA28" i="87" s="1"/>
  <c r="BB28" i="87" s="1"/>
  <c r="AU28" i="86"/>
  <c r="BA28" i="86" s="1"/>
  <c r="BB28" i="86" s="1"/>
  <c r="BD48" i="86"/>
  <c r="BJ48" i="86" s="1"/>
  <c r="BK48" i="86" s="1"/>
  <c r="BD48" i="84"/>
  <c r="BJ48" i="84" s="1"/>
  <c r="BK48" i="84" s="1"/>
  <c r="AU28" i="84"/>
  <c r="BA28" i="84" s="1"/>
  <c r="BB28" i="84" s="1"/>
  <c r="AU5" i="83"/>
  <c r="AV5" i="83" s="1"/>
  <c r="AU5" i="87"/>
  <c r="BA5" i="87" s="1"/>
  <c r="BB5" i="87" s="1"/>
  <c r="AU5" i="85"/>
  <c r="BA5" i="85" s="1"/>
  <c r="BB5" i="85" s="1"/>
  <c r="AU5" i="86"/>
  <c r="BA5" i="86" s="1"/>
  <c r="BB5" i="86" s="1"/>
  <c r="AU5" i="84"/>
  <c r="BA5" i="84" s="1"/>
  <c r="BB5" i="84" s="1"/>
  <c r="BD30" i="83"/>
  <c r="BE30" i="83" s="1"/>
  <c r="BD30" i="85"/>
  <c r="BD18" i="83"/>
  <c r="BE18" i="83" s="1"/>
  <c r="BD18" i="87"/>
  <c r="BD18" i="85"/>
  <c r="BD18" i="86"/>
  <c r="BD18" i="84"/>
  <c r="BD21" i="83"/>
  <c r="BF21" i="83" s="1"/>
  <c r="BD21" i="87"/>
  <c r="BJ21" i="87" s="1"/>
  <c r="BK21" i="87" s="1"/>
  <c r="BD21" i="86"/>
  <c r="BJ21" i="86" s="1"/>
  <c r="BK21" i="86" s="1"/>
  <c r="BD21" i="85"/>
  <c r="BJ21" i="85" s="1"/>
  <c r="BK21" i="85" s="1"/>
  <c r="BD21" i="84"/>
  <c r="BJ21" i="84" s="1"/>
  <c r="BK21" i="84" s="1"/>
  <c r="BD28" i="87"/>
  <c r="BD28" i="84"/>
  <c r="BD28" i="86"/>
  <c r="G183" i="2"/>
  <c r="H183" i="2" s="1"/>
  <c r="BD27" i="84"/>
  <c r="BD27" i="87"/>
  <c r="BD27" i="86"/>
  <c r="AU16" i="66"/>
  <c r="AW16" i="66" s="1"/>
  <c r="BD28" i="81"/>
  <c r="BJ28" i="81" s="1"/>
  <c r="BK28" i="81" s="1"/>
  <c r="BD28" i="1"/>
  <c r="BE28" i="1" s="1"/>
  <c r="AU24" i="85"/>
  <c r="BD44" i="87"/>
  <c r="BD44" i="86"/>
  <c r="AU24" i="87"/>
  <c r="BD44" i="85"/>
  <c r="AU24" i="86"/>
  <c r="AU24" i="84"/>
  <c r="BD44" i="84"/>
  <c r="AU6" i="85"/>
  <c r="BA6" i="85" s="1"/>
  <c r="BB6" i="85" s="1"/>
  <c r="AU6" i="86"/>
  <c r="BA6" i="86" s="1"/>
  <c r="BB6" i="86" s="1"/>
  <c r="AU6" i="87"/>
  <c r="BA6" i="87" s="1"/>
  <c r="BB6" i="87" s="1"/>
  <c r="AU6" i="84"/>
  <c r="BA6" i="84" s="1"/>
  <c r="BB6" i="84" s="1"/>
  <c r="BD33" i="83"/>
  <c r="BE33" i="83" s="1"/>
  <c r="BD33" i="85"/>
  <c r="BJ33" i="85" s="1"/>
  <c r="BK33" i="85" s="1"/>
  <c r="BD10" i="83"/>
  <c r="BJ10" i="83" s="1"/>
  <c r="BK10" i="83" s="1"/>
  <c r="BD10" i="87"/>
  <c r="BJ10" i="87" s="1"/>
  <c r="BK10" i="87" s="1"/>
  <c r="BD10" i="85"/>
  <c r="BJ10" i="85" s="1"/>
  <c r="BK10" i="85" s="1"/>
  <c r="BD10" i="86"/>
  <c r="BJ10" i="86" s="1"/>
  <c r="BK10" i="86" s="1"/>
  <c r="BD10" i="84"/>
  <c r="BJ10" i="84" s="1"/>
  <c r="BK10" i="84" s="1"/>
  <c r="BD15" i="83"/>
  <c r="BE15" i="83" s="1"/>
  <c r="BD15" i="85"/>
  <c r="BJ15" i="85" s="1"/>
  <c r="BK15" i="85" s="1"/>
  <c r="BD15" i="86"/>
  <c r="BJ15" i="86" s="1"/>
  <c r="BK15" i="86" s="1"/>
  <c r="BD15" i="87"/>
  <c r="BJ15" i="87" s="1"/>
  <c r="BK15" i="87" s="1"/>
  <c r="BD15" i="84"/>
  <c r="BJ15" i="84" s="1"/>
  <c r="BK15" i="84" s="1"/>
  <c r="AW93" i="85"/>
  <c r="AV93" i="85"/>
  <c r="BD142" i="86"/>
  <c r="BJ142" i="86" s="1"/>
  <c r="BK142" i="86" s="1"/>
  <c r="AU90" i="86"/>
  <c r="BA90" i="86" s="1"/>
  <c r="BB90" i="86" s="1"/>
  <c r="BD142" i="85"/>
  <c r="BJ142" i="85" s="1"/>
  <c r="BK142" i="85" s="1"/>
  <c r="AU90" i="85"/>
  <c r="BA90" i="85" s="1"/>
  <c r="BB90" i="85" s="1"/>
  <c r="BD142" i="84"/>
  <c r="BJ142" i="84" s="1"/>
  <c r="BK142" i="84" s="1"/>
  <c r="AU90" i="84"/>
  <c r="BA90" i="84" s="1"/>
  <c r="BB90" i="84" s="1"/>
  <c r="AU21" i="86"/>
  <c r="AU21" i="85"/>
  <c r="BD41" i="87"/>
  <c r="BD41" i="86"/>
  <c r="AU21" i="87"/>
  <c r="BD41" i="85"/>
  <c r="BD41" i="84"/>
  <c r="AU21" i="84"/>
  <c r="BA93" i="85"/>
  <c r="BB93" i="85" s="1"/>
  <c r="BD28" i="71"/>
  <c r="BE28" i="71" s="1"/>
  <c r="BD25" i="87"/>
  <c r="BJ25" i="87" s="1"/>
  <c r="BK25" i="87" s="1"/>
  <c r="BD25" i="86"/>
  <c r="BJ25" i="86" s="1"/>
  <c r="BK25" i="86" s="1"/>
  <c r="BD25" i="84"/>
  <c r="BJ25" i="84" s="1"/>
  <c r="BK25" i="84" s="1"/>
  <c r="BD5" i="83"/>
  <c r="BF5" i="83" s="1"/>
  <c r="BD5" i="87"/>
  <c r="BD5" i="85"/>
  <c r="BD5" i="86"/>
  <c r="BD5" i="84"/>
  <c r="BD143" i="87"/>
  <c r="AU90" i="87"/>
  <c r="BD11" i="83"/>
  <c r="BE11" i="83" s="1"/>
  <c r="BD11" i="85"/>
  <c r="BD11" i="87"/>
  <c r="BD11" i="86"/>
  <c r="BD11" i="84"/>
  <c r="AU10" i="83"/>
  <c r="AW10" i="83" s="1"/>
  <c r="AU10" i="87"/>
  <c r="AU10" i="85"/>
  <c r="AU10" i="86"/>
  <c r="AU10" i="84"/>
  <c r="BD146" i="83"/>
  <c r="BF146" i="83" s="1"/>
  <c r="BD146" i="86"/>
  <c r="BD146" i="85"/>
  <c r="BD146" i="84"/>
  <c r="AU25" i="87"/>
  <c r="BD45" i="87"/>
  <c r="BD45" i="86"/>
  <c r="AU25" i="86"/>
  <c r="BD45" i="85"/>
  <c r="AU25" i="85"/>
  <c r="BD45" i="84"/>
  <c r="AU25" i="84"/>
  <c r="AU16" i="71"/>
  <c r="BD28" i="74"/>
  <c r="E72" i="2"/>
  <c r="G185" i="2"/>
  <c r="H185" i="2" s="1"/>
  <c r="BD29" i="87"/>
  <c r="BD29" i="84"/>
  <c r="BD29" i="86"/>
  <c r="BD25" i="83"/>
  <c r="BF25" i="83" s="1"/>
  <c r="BD25" i="85"/>
  <c r="AW18" i="85"/>
  <c r="AV18" i="85"/>
  <c r="G201" i="2"/>
  <c r="H201" i="2" s="1"/>
  <c r="AU93" i="86"/>
  <c r="AU93" i="84"/>
  <c r="BD12" i="83"/>
  <c r="BE12" i="83" s="1"/>
  <c r="BD12" i="86"/>
  <c r="BD12" i="85"/>
  <c r="BD12" i="87"/>
  <c r="BD12" i="84"/>
  <c r="BD27" i="83"/>
  <c r="BF27" i="83" s="1"/>
  <c r="BD27" i="85"/>
  <c r="BD43" i="85"/>
  <c r="AU23" i="86"/>
  <c r="BD43" i="87"/>
  <c r="AU23" i="85"/>
  <c r="BD43" i="86"/>
  <c r="AU23" i="87"/>
  <c r="AU23" i="84"/>
  <c r="BD43" i="84"/>
  <c r="BD29" i="83"/>
  <c r="BJ29" i="83" s="1"/>
  <c r="BK29" i="83" s="1"/>
  <c r="BD29" i="85"/>
  <c r="AU22" i="87"/>
  <c r="BD42" i="86"/>
  <c r="BD42" i="85"/>
  <c r="AU22" i="86"/>
  <c r="AU22" i="85"/>
  <c r="BD42" i="87"/>
  <c r="AU22" i="84"/>
  <c r="BD42" i="84"/>
  <c r="AU16" i="67"/>
  <c r="AW16" i="67" s="1"/>
  <c r="BD28" i="67"/>
  <c r="BF28" i="67" s="1"/>
  <c r="BD143" i="85"/>
  <c r="BJ143" i="85" s="1"/>
  <c r="BK143" i="85" s="1"/>
  <c r="AU92" i="85"/>
  <c r="BA92" i="85" s="1"/>
  <c r="BB92" i="85" s="1"/>
  <c r="BD143" i="86"/>
  <c r="BJ143" i="86" s="1"/>
  <c r="BK143" i="86" s="1"/>
  <c r="AU92" i="86"/>
  <c r="BA92" i="86" s="1"/>
  <c r="BB92" i="86" s="1"/>
  <c r="AU92" i="84"/>
  <c r="BA92" i="84" s="1"/>
  <c r="BB92" i="84" s="1"/>
  <c r="BD143" i="84"/>
  <c r="BJ143" i="84" s="1"/>
  <c r="BK143" i="84" s="1"/>
  <c r="AU12" i="83"/>
  <c r="AW12" i="83" s="1"/>
  <c r="AU12" i="86"/>
  <c r="BA12" i="86" s="1"/>
  <c r="BB12" i="86" s="1"/>
  <c r="AU12" i="85"/>
  <c r="BA12" i="85" s="1"/>
  <c r="BB12" i="85" s="1"/>
  <c r="AU12" i="87"/>
  <c r="BA12" i="87" s="1"/>
  <c r="BB12" i="87" s="1"/>
  <c r="AU12" i="84"/>
  <c r="BD26" i="83"/>
  <c r="BJ26" i="83" s="1"/>
  <c r="BK26" i="83" s="1"/>
  <c r="BD26" i="85"/>
  <c r="BJ26" i="85" s="1"/>
  <c r="BK26" i="85" s="1"/>
  <c r="BD9" i="83"/>
  <c r="BF9" i="83" s="1"/>
  <c r="BD9" i="87"/>
  <c r="BD9" i="85"/>
  <c r="BD9" i="86"/>
  <c r="BD9" i="84"/>
  <c r="BD142" i="87"/>
  <c r="AU89" i="87"/>
  <c r="BA89" i="87" s="1"/>
  <c r="BB89" i="87" s="1"/>
  <c r="BA17" i="85"/>
  <c r="BB17" i="85" s="1"/>
  <c r="AU11" i="83"/>
  <c r="BA11" i="83" s="1"/>
  <c r="BB11" i="83" s="1"/>
  <c r="AU11" i="87"/>
  <c r="AU11" i="85"/>
  <c r="AU11" i="86"/>
  <c r="AU11" i="84"/>
  <c r="G72" i="2"/>
  <c r="H72" i="2" s="1"/>
  <c r="BD39" i="80"/>
  <c r="BE39" i="80" s="1"/>
  <c r="BD19" i="83"/>
  <c r="BF19" i="83" s="1"/>
  <c r="BD19" i="85"/>
  <c r="BJ19" i="85" s="1"/>
  <c r="BK19" i="85" s="1"/>
  <c r="BD19" i="86"/>
  <c r="BJ19" i="86" s="1"/>
  <c r="BK19" i="86" s="1"/>
  <c r="BD19" i="87"/>
  <c r="BJ19" i="87" s="1"/>
  <c r="BK19" i="87" s="1"/>
  <c r="BD19" i="84"/>
  <c r="BJ19" i="84" s="1"/>
  <c r="BK19" i="84" s="1"/>
  <c r="BD7" i="83"/>
  <c r="BE7" i="83" s="1"/>
  <c r="BD7" i="87"/>
  <c r="BD7" i="85"/>
  <c r="BD7" i="86"/>
  <c r="BD7" i="84"/>
  <c r="BD22" i="83"/>
  <c r="BJ22" i="83" s="1"/>
  <c r="BK22" i="83" s="1"/>
  <c r="BD22" i="86"/>
  <c r="BD22" i="85"/>
  <c r="BD22" i="87"/>
  <c r="BD22" i="84"/>
  <c r="BD147" i="83"/>
  <c r="BF147" i="83" s="1"/>
  <c r="BD147" i="86"/>
  <c r="BJ147" i="86" s="1"/>
  <c r="BK147" i="86" s="1"/>
  <c r="BD147" i="85"/>
  <c r="BJ147" i="85" s="1"/>
  <c r="BK147" i="85" s="1"/>
  <c r="BD147" i="84"/>
  <c r="BJ147" i="84" s="1"/>
  <c r="BK147" i="84" s="1"/>
  <c r="K72" i="2"/>
  <c r="AU16" i="70"/>
  <c r="AV16" i="70" s="1"/>
  <c r="BD14" i="83"/>
  <c r="BF14" i="83" s="1"/>
  <c r="BD14" i="86"/>
  <c r="BD14" i="85"/>
  <c r="BD14" i="87"/>
  <c r="BD14" i="84"/>
  <c r="BD31" i="83"/>
  <c r="BJ31" i="83" s="1"/>
  <c r="BK31" i="83" s="1"/>
  <c r="BD31" i="85"/>
  <c r="BD24" i="87"/>
  <c r="BD24" i="86"/>
  <c r="BD24" i="84"/>
  <c r="AU15" i="86"/>
  <c r="AU15" i="84"/>
  <c r="AU15" i="87"/>
  <c r="AU18" i="87"/>
  <c r="AU18" i="84"/>
  <c r="AU18" i="86"/>
  <c r="BD24" i="83"/>
  <c r="BE24" i="83" s="1"/>
  <c r="BD24" i="85"/>
  <c r="G189" i="2"/>
  <c r="H189" i="2" s="1"/>
  <c r="BD33" i="84"/>
  <c r="BD33" i="87"/>
  <c r="BD33" i="86"/>
  <c r="AU7" i="83"/>
  <c r="AV7" i="83" s="1"/>
  <c r="AU7" i="87"/>
  <c r="BA7" i="87" s="1"/>
  <c r="BB7" i="87" s="1"/>
  <c r="AU7" i="85"/>
  <c r="BA7" i="85" s="1"/>
  <c r="BB7" i="85" s="1"/>
  <c r="AU7" i="86"/>
  <c r="BA7" i="86" s="1"/>
  <c r="BB7" i="86" s="1"/>
  <c r="AU7" i="84"/>
  <c r="BA7" i="84" s="1"/>
  <c r="BB7" i="84" s="1"/>
  <c r="BJ28" i="85"/>
  <c r="BK28" i="85" s="1"/>
  <c r="D72" i="2"/>
  <c r="AU15" i="83"/>
  <c r="AW15" i="83" s="1"/>
  <c r="AU15" i="85"/>
  <c r="BD16" i="86"/>
  <c r="BD16" i="85"/>
  <c r="BD16" i="87"/>
  <c r="BD16" i="84"/>
  <c r="G188" i="2"/>
  <c r="H188" i="2" s="1"/>
  <c r="BD32" i="84"/>
  <c r="BJ32" i="84" s="1"/>
  <c r="BK32" i="84" s="1"/>
  <c r="BD32" i="87"/>
  <c r="BJ32" i="87" s="1"/>
  <c r="BK32" i="87" s="1"/>
  <c r="BD32" i="86"/>
  <c r="BJ32" i="86" s="1"/>
  <c r="BK32" i="86" s="1"/>
  <c r="BD20" i="83"/>
  <c r="BE20" i="83" s="1"/>
  <c r="BD20" i="86"/>
  <c r="BD20" i="85"/>
  <c r="BD20" i="87"/>
  <c r="BD20" i="84"/>
  <c r="BD13" i="83"/>
  <c r="BF13" i="83" s="1"/>
  <c r="BD13" i="86"/>
  <c r="BD13" i="85"/>
  <c r="BD13" i="87"/>
  <c r="BD13" i="84"/>
  <c r="C72" i="2"/>
  <c r="AU21" i="80"/>
  <c r="AW21" i="80" s="1"/>
  <c r="AU26" i="87"/>
  <c r="AU26" i="85"/>
  <c r="BD46" i="86"/>
  <c r="BD46" i="87"/>
  <c r="AU26" i="86"/>
  <c r="BD46" i="85"/>
  <c r="AU26" i="84"/>
  <c r="BD46" i="84"/>
  <c r="BD26" i="86"/>
  <c r="BD26" i="84"/>
  <c r="BD26" i="87"/>
  <c r="AU13" i="83"/>
  <c r="AW13" i="83" s="1"/>
  <c r="AU13" i="87"/>
  <c r="AU13" i="86"/>
  <c r="AU13" i="85"/>
  <c r="AU13" i="84"/>
  <c r="AU8" i="83"/>
  <c r="AV8" i="83" s="1"/>
  <c r="AU8" i="86"/>
  <c r="AU8" i="87"/>
  <c r="AU8" i="85"/>
  <c r="AU8" i="84"/>
  <c r="AU19" i="83"/>
  <c r="AW19" i="83" s="1"/>
  <c r="AU19" i="85"/>
  <c r="BA19" i="85" s="1"/>
  <c r="BB19" i="85" s="1"/>
  <c r="BA16" i="85"/>
  <c r="BB16" i="85" s="1"/>
  <c r="BA18" i="85"/>
  <c r="BB18" i="85" s="1"/>
  <c r="BD47" i="86"/>
  <c r="AU27" i="86"/>
  <c r="BA27" i="86" s="1"/>
  <c r="BB27" i="86" s="1"/>
  <c r="BD47" i="87"/>
  <c r="BJ47" i="87" s="1"/>
  <c r="BK47" i="87" s="1"/>
  <c r="AU27" i="85"/>
  <c r="BD47" i="85"/>
  <c r="AU27" i="87"/>
  <c r="BA27" i="87" s="1"/>
  <c r="BB27" i="87" s="1"/>
  <c r="AU27" i="84"/>
  <c r="BA27" i="84" s="1"/>
  <c r="BB27" i="84" s="1"/>
  <c r="BD47" i="84"/>
  <c r="BJ47" i="84" s="1"/>
  <c r="BK47" i="84" s="1"/>
  <c r="AU91" i="86"/>
  <c r="AU91" i="85"/>
  <c r="AU91" i="84"/>
  <c r="AV17" i="85"/>
  <c r="AW17" i="85"/>
  <c r="AU19" i="86"/>
  <c r="AU19" i="84"/>
  <c r="AU19" i="87"/>
  <c r="AU9" i="83"/>
  <c r="BA9" i="83" s="1"/>
  <c r="BB9" i="83" s="1"/>
  <c r="AU9" i="85"/>
  <c r="AU9" i="87"/>
  <c r="AU9" i="86"/>
  <c r="AU9" i="84"/>
  <c r="BF28" i="85"/>
  <c r="BE28" i="85"/>
  <c r="BD17" i="83"/>
  <c r="BF17" i="83" s="1"/>
  <c r="BD17" i="85"/>
  <c r="BD17" i="86"/>
  <c r="BD17" i="87"/>
  <c r="BD17" i="84"/>
  <c r="AU16" i="87"/>
  <c r="AU16" i="86"/>
  <c r="AU16" i="84"/>
  <c r="BD6" i="83"/>
  <c r="BE6" i="83" s="1"/>
  <c r="BD6" i="86"/>
  <c r="BD6" i="87"/>
  <c r="BD6" i="85"/>
  <c r="BD6" i="84"/>
  <c r="BD31" i="84"/>
  <c r="BD31" i="87"/>
  <c r="BD31" i="86"/>
  <c r="BD28" i="70"/>
  <c r="BD48" i="78"/>
  <c r="BF48" i="78" s="1"/>
  <c r="L72" i="2"/>
  <c r="AU29" i="86"/>
  <c r="BD49" i="85"/>
  <c r="AU29" i="87"/>
  <c r="BD49" i="86"/>
  <c r="BD49" i="87"/>
  <c r="AU29" i="85"/>
  <c r="BD49" i="84"/>
  <c r="AU29" i="84"/>
  <c r="AU17" i="86"/>
  <c r="AU17" i="87"/>
  <c r="AU17" i="84"/>
  <c r="BD30" i="84"/>
  <c r="BD30" i="86"/>
  <c r="BD30" i="87"/>
  <c r="AV16" i="85"/>
  <c r="AW16" i="85"/>
  <c r="BD8" i="83"/>
  <c r="BF8" i="83" s="1"/>
  <c r="BD8" i="86"/>
  <c r="BD8" i="85"/>
  <c r="BD8" i="87"/>
  <c r="BD8" i="84"/>
  <c r="BF32" i="85"/>
  <c r="BE32" i="85"/>
  <c r="BJ32" i="85"/>
  <c r="BK32" i="85" s="1"/>
  <c r="BJ150" i="86"/>
  <c r="BK150" i="86" s="1"/>
  <c r="BJ150" i="85"/>
  <c r="BK150" i="85" s="1"/>
  <c r="BA143" i="85"/>
  <c r="BB143" i="85" s="1"/>
  <c r="BJ153" i="87"/>
  <c r="BK153" i="87" s="1"/>
  <c r="BA143" i="86"/>
  <c r="BB143" i="86" s="1"/>
  <c r="BA148" i="87"/>
  <c r="BB148" i="87" s="1"/>
  <c r="BJ150" i="84"/>
  <c r="BK150" i="84" s="1"/>
  <c r="BA143" i="84"/>
  <c r="BB143" i="84" s="1"/>
  <c r="BA143" i="83"/>
  <c r="BB143" i="83" s="1"/>
  <c r="BJ150" i="83"/>
  <c r="BK150" i="83" s="1"/>
  <c r="BA85" i="85"/>
  <c r="BB85" i="85" s="1"/>
  <c r="BA85" i="83"/>
  <c r="BB85" i="83" s="1"/>
  <c r="BJ37" i="87"/>
  <c r="BK37" i="87" s="1"/>
  <c r="BJ37" i="86"/>
  <c r="BK37" i="86" s="1"/>
  <c r="BJ37" i="85"/>
  <c r="BK37" i="85" s="1"/>
  <c r="BJ37" i="84"/>
  <c r="BK37" i="84" s="1"/>
  <c r="BJ37" i="83"/>
  <c r="BK37" i="83" s="1"/>
  <c r="BJ97" i="87"/>
  <c r="BK97" i="87" s="1"/>
  <c r="BJ97" i="85"/>
  <c r="BK97" i="85" s="1"/>
  <c r="BJ97" i="86"/>
  <c r="BK97" i="86" s="1"/>
  <c r="BJ97" i="84"/>
  <c r="BK97" i="84" s="1"/>
  <c r="BJ97" i="83"/>
  <c r="BK97" i="83" s="1"/>
  <c r="BJ67" i="86"/>
  <c r="BK67" i="86" s="1"/>
  <c r="BJ82" i="87"/>
  <c r="BK82" i="87" s="1"/>
  <c r="BJ82" i="86"/>
  <c r="BK82" i="86" s="1"/>
  <c r="BJ81" i="83"/>
  <c r="BK81" i="83" s="1"/>
  <c r="BJ131" i="85"/>
  <c r="BK131" i="85" s="1"/>
  <c r="BJ131" i="86"/>
  <c r="BK131" i="86" s="1"/>
  <c r="BJ131" i="87"/>
  <c r="BK131" i="87" s="1"/>
  <c r="BJ131" i="84"/>
  <c r="BK131" i="84" s="1"/>
  <c r="BJ131" i="83"/>
  <c r="BK131" i="83" s="1"/>
  <c r="BJ112" i="87"/>
  <c r="BK112" i="87" s="1"/>
  <c r="BJ112" i="86"/>
  <c r="BK112" i="86" s="1"/>
  <c r="BJ112" i="85"/>
  <c r="BK112" i="85" s="1"/>
  <c r="BJ112" i="84"/>
  <c r="BK112" i="84" s="1"/>
  <c r="BJ112" i="83"/>
  <c r="BK112" i="83" s="1"/>
  <c r="BJ102" i="85"/>
  <c r="BK102" i="85" s="1"/>
  <c r="BJ102" i="87"/>
  <c r="BK102" i="87" s="1"/>
  <c r="BJ102" i="86"/>
  <c r="BK102" i="86" s="1"/>
  <c r="BJ102" i="84"/>
  <c r="BK102" i="84" s="1"/>
  <c r="BJ102" i="83"/>
  <c r="BK102" i="83" s="1"/>
  <c r="BA37" i="86"/>
  <c r="BB37" i="86" s="1"/>
  <c r="BJ56" i="85"/>
  <c r="BK56" i="85" s="1"/>
  <c r="BJ56" i="84"/>
  <c r="BK56" i="84" s="1"/>
  <c r="BA64" i="85"/>
  <c r="BB64" i="85" s="1"/>
  <c r="BA64" i="86"/>
  <c r="BB64" i="86" s="1"/>
  <c r="BA64" i="87"/>
  <c r="BB64" i="87" s="1"/>
  <c r="BA64" i="84"/>
  <c r="BB64" i="84" s="1"/>
  <c r="BA64" i="83"/>
  <c r="BB64" i="83" s="1"/>
  <c r="BJ108" i="85"/>
  <c r="BK108" i="85" s="1"/>
  <c r="BJ108" i="87"/>
  <c r="BK108" i="87" s="1"/>
  <c r="BJ108" i="86"/>
  <c r="BK108" i="86" s="1"/>
  <c r="BJ108" i="84"/>
  <c r="BK108" i="84" s="1"/>
  <c r="BJ108" i="83"/>
  <c r="BK108" i="83" s="1"/>
  <c r="BJ152" i="85"/>
  <c r="BK152" i="85" s="1"/>
  <c r="BA150" i="87"/>
  <c r="BB150" i="87" s="1"/>
  <c r="BA145" i="85"/>
  <c r="BB145" i="85" s="1"/>
  <c r="BA145" i="86"/>
  <c r="BB145" i="86" s="1"/>
  <c r="BJ152" i="86"/>
  <c r="BK152" i="86" s="1"/>
  <c r="BJ155" i="87"/>
  <c r="BK155" i="87" s="1"/>
  <c r="BA145" i="84"/>
  <c r="BB145" i="84" s="1"/>
  <c r="BJ152" i="84"/>
  <c r="BK152" i="84" s="1"/>
  <c r="BJ152" i="83"/>
  <c r="BK152" i="83" s="1"/>
  <c r="BA145" i="83"/>
  <c r="BB145" i="83" s="1"/>
  <c r="BJ67" i="85"/>
  <c r="BK67" i="85" s="1"/>
  <c r="BA35" i="86"/>
  <c r="BB35" i="86" s="1"/>
  <c r="BA40" i="85"/>
  <c r="BB40" i="85" s="1"/>
  <c r="BJ67" i="83"/>
  <c r="BK67" i="83" s="1"/>
  <c r="BJ56" i="86"/>
  <c r="BK56" i="86" s="1"/>
  <c r="BA47" i="83"/>
  <c r="BB47" i="83" s="1"/>
  <c r="BA45" i="86"/>
  <c r="BB45" i="86" s="1"/>
  <c r="BJ81" i="86"/>
  <c r="BK81" i="86" s="1"/>
  <c r="BJ81" i="85"/>
  <c r="BK81" i="85" s="1"/>
  <c r="BA65" i="86"/>
  <c r="BB65" i="86" s="1"/>
  <c r="BA65" i="87"/>
  <c r="BB65" i="87" s="1"/>
  <c r="BA65" i="85"/>
  <c r="BB65" i="85" s="1"/>
  <c r="BA65" i="84"/>
  <c r="BB65" i="84" s="1"/>
  <c r="BA65" i="83"/>
  <c r="BB65" i="83" s="1"/>
  <c r="BJ73" i="85"/>
  <c r="BK73" i="85" s="1"/>
  <c r="BA36" i="85"/>
  <c r="BB36" i="85" s="1"/>
  <c r="BJ150" i="87"/>
  <c r="BK150" i="87" s="1"/>
  <c r="BA97" i="87"/>
  <c r="BB97" i="87" s="1"/>
  <c r="BJ114" i="85"/>
  <c r="BK114" i="85" s="1"/>
  <c r="BJ114" i="86"/>
  <c r="BK114" i="86" s="1"/>
  <c r="BJ114" i="87"/>
  <c r="BK114" i="87" s="1"/>
  <c r="BJ114" i="84"/>
  <c r="BK114" i="84" s="1"/>
  <c r="BJ114" i="83"/>
  <c r="BK114" i="83" s="1"/>
  <c r="BA78" i="85"/>
  <c r="BB78" i="85" s="1"/>
  <c r="BA78" i="86"/>
  <c r="BB78" i="86" s="1"/>
  <c r="BA78" i="87"/>
  <c r="BB78" i="87" s="1"/>
  <c r="BA78" i="84"/>
  <c r="BB78" i="84" s="1"/>
  <c r="BA78" i="83"/>
  <c r="BB78" i="83" s="1"/>
  <c r="BA37" i="87"/>
  <c r="BB37" i="87" s="1"/>
  <c r="BA40" i="84"/>
  <c r="BB40" i="84" s="1"/>
  <c r="BA47" i="87"/>
  <c r="BB47" i="87" s="1"/>
  <c r="BJ96" i="85"/>
  <c r="BK96" i="85" s="1"/>
  <c r="BJ96" i="86"/>
  <c r="BK96" i="86" s="1"/>
  <c r="BJ96" i="87"/>
  <c r="BK96" i="87" s="1"/>
  <c r="BJ96" i="84"/>
  <c r="BK96" i="84" s="1"/>
  <c r="BJ96" i="83"/>
  <c r="BK96" i="83" s="1"/>
  <c r="BA37" i="83"/>
  <c r="BB37" i="83" s="1"/>
  <c r="BA35" i="87"/>
  <c r="BB35" i="87" s="1"/>
  <c r="BJ73" i="83"/>
  <c r="BK73" i="83" s="1"/>
  <c r="BA40" i="83"/>
  <c r="BB40" i="83" s="1"/>
  <c r="BA45" i="85"/>
  <c r="BB45" i="85" s="1"/>
  <c r="BJ81" i="84"/>
  <c r="BK81" i="84" s="1"/>
  <c r="BJ148" i="87"/>
  <c r="BK148" i="87" s="1"/>
  <c r="BA95" i="87"/>
  <c r="BB95" i="87" s="1"/>
  <c r="BA57" i="86"/>
  <c r="BB57" i="86" s="1"/>
  <c r="BA57" i="85"/>
  <c r="BB57" i="85" s="1"/>
  <c r="BA57" i="87"/>
  <c r="BB57" i="87" s="1"/>
  <c r="BA57" i="84"/>
  <c r="BB57" i="84" s="1"/>
  <c r="BA57" i="83"/>
  <c r="BB57" i="83" s="1"/>
  <c r="BJ90" i="80"/>
  <c r="BK90" i="80" s="1"/>
  <c r="BA144" i="85"/>
  <c r="BB144" i="85" s="1"/>
  <c r="BA149" i="87"/>
  <c r="BB149" i="87" s="1"/>
  <c r="BJ151" i="85"/>
  <c r="BK151" i="85" s="1"/>
  <c r="BJ154" i="87"/>
  <c r="BK154" i="87" s="1"/>
  <c r="BA144" i="86"/>
  <c r="BB144" i="86" s="1"/>
  <c r="BJ151" i="86"/>
  <c r="BK151" i="86" s="1"/>
  <c r="BJ151" i="84"/>
  <c r="BK151" i="84" s="1"/>
  <c r="BA144" i="84"/>
  <c r="BB144" i="84" s="1"/>
  <c r="BJ151" i="83"/>
  <c r="BK151" i="83" s="1"/>
  <c r="BA144" i="83"/>
  <c r="BB144" i="83" s="1"/>
  <c r="BA37" i="85"/>
  <c r="BB37" i="85" s="1"/>
  <c r="BA36" i="84"/>
  <c r="BB36" i="84" s="1"/>
  <c r="BJ53" i="86"/>
  <c r="BK53" i="86" s="1"/>
  <c r="BJ53" i="83"/>
  <c r="BK53" i="83" s="1"/>
  <c r="BJ82" i="85"/>
  <c r="BK82" i="85" s="1"/>
  <c r="BJ82" i="84"/>
  <c r="BK82" i="84" s="1"/>
  <c r="BJ137" i="87"/>
  <c r="BK137" i="87" s="1"/>
  <c r="BJ137" i="86"/>
  <c r="BK137" i="86" s="1"/>
  <c r="BA82" i="86"/>
  <c r="BB82" i="86" s="1"/>
  <c r="BA82" i="87"/>
  <c r="BB82" i="87" s="1"/>
  <c r="BA82" i="85"/>
  <c r="BB82" i="85" s="1"/>
  <c r="BJ137" i="85"/>
  <c r="BK137" i="85" s="1"/>
  <c r="BA82" i="84"/>
  <c r="BB82" i="84" s="1"/>
  <c r="BJ137" i="84"/>
  <c r="BK137" i="84" s="1"/>
  <c r="BA82" i="83"/>
  <c r="BB82" i="83" s="1"/>
  <c r="BJ137" i="83"/>
  <c r="BK137" i="83" s="1"/>
  <c r="BJ133" i="87"/>
  <c r="BK133" i="87" s="1"/>
  <c r="BJ133" i="85"/>
  <c r="BK133" i="85" s="1"/>
  <c r="BJ133" i="86"/>
  <c r="BK133" i="86" s="1"/>
  <c r="BJ133" i="84"/>
  <c r="BK133" i="84" s="1"/>
  <c r="BJ133" i="83"/>
  <c r="BK133" i="83" s="1"/>
  <c r="BJ67" i="87"/>
  <c r="BK67" i="87" s="1"/>
  <c r="BJ73" i="87"/>
  <c r="BK73" i="87" s="1"/>
  <c r="BJ53" i="87"/>
  <c r="BK53" i="87" s="1"/>
  <c r="BJ53" i="85"/>
  <c r="BK53" i="85" s="1"/>
  <c r="BA47" i="85"/>
  <c r="BB47" i="85" s="1"/>
  <c r="BA129" i="67"/>
  <c r="BB129" i="67" s="1"/>
  <c r="BA45" i="83"/>
  <c r="BB45" i="83" s="1"/>
  <c r="BJ116" i="67"/>
  <c r="BK116" i="67" s="1"/>
  <c r="BJ130" i="87"/>
  <c r="BK130" i="87" s="1"/>
  <c r="BJ130" i="86"/>
  <c r="BK130" i="86" s="1"/>
  <c r="BJ130" i="85"/>
  <c r="BK130" i="85" s="1"/>
  <c r="BJ130" i="84"/>
  <c r="BK130" i="84" s="1"/>
  <c r="BJ130" i="83"/>
  <c r="BK130" i="83" s="1"/>
  <c r="BJ92" i="87"/>
  <c r="BK92" i="87" s="1"/>
  <c r="BJ92" i="85"/>
  <c r="BK92" i="85" s="1"/>
  <c r="BJ92" i="86"/>
  <c r="BK92" i="86" s="1"/>
  <c r="BJ92" i="84"/>
  <c r="BK92" i="84" s="1"/>
  <c r="BJ92" i="83"/>
  <c r="BK92" i="83" s="1"/>
  <c r="BA76" i="86"/>
  <c r="BB76" i="86" s="1"/>
  <c r="BA76" i="87"/>
  <c r="BB76" i="87" s="1"/>
  <c r="BA76" i="85"/>
  <c r="BB76" i="85" s="1"/>
  <c r="BA76" i="84"/>
  <c r="BB76" i="84" s="1"/>
  <c r="BA76" i="83"/>
  <c r="BB76" i="83" s="1"/>
  <c r="BK88" i="80"/>
  <c r="BK133" i="73"/>
  <c r="BD36" i="83"/>
  <c r="BF36" i="83" s="1"/>
  <c r="BD36" i="85"/>
  <c r="BD35" i="83"/>
  <c r="BE35" i="83" s="1"/>
  <c r="BD35" i="87"/>
  <c r="BD35" i="85"/>
  <c r="BD35" i="86"/>
  <c r="BD35" i="84"/>
  <c r="BD36" i="86"/>
  <c r="BD36" i="84"/>
  <c r="BD36" i="87"/>
  <c r="BK133" i="71"/>
  <c r="BK125" i="1"/>
  <c r="G119" i="2"/>
  <c r="H119" i="2" s="1"/>
  <c r="AU18" i="83"/>
  <c r="G117" i="2"/>
  <c r="H117" i="2" s="1"/>
  <c r="AU16" i="83"/>
  <c r="G138" i="2"/>
  <c r="H138" i="2" s="1"/>
  <c r="BD32" i="83"/>
  <c r="G61" i="2"/>
  <c r="H61" i="2" s="1"/>
  <c r="BD16" i="83"/>
  <c r="G40" i="2"/>
  <c r="H40" i="2" s="1"/>
  <c r="AU6" i="83"/>
  <c r="BD143" i="83"/>
  <c r="AU92" i="83"/>
  <c r="AU93" i="83"/>
  <c r="G194" i="2"/>
  <c r="H194" i="2" s="1"/>
  <c r="BD142" i="83"/>
  <c r="AU90" i="83"/>
  <c r="AU91" i="83"/>
  <c r="G118" i="2"/>
  <c r="H118" i="2" s="1"/>
  <c r="AU17" i="83"/>
  <c r="G134" i="2"/>
  <c r="H134" i="2" s="1"/>
  <c r="BD28" i="83"/>
  <c r="G79" i="2"/>
  <c r="H79" i="2" s="1"/>
  <c r="BD49" i="83"/>
  <c r="AU29" i="83"/>
  <c r="BD43" i="83"/>
  <c r="AU23" i="83"/>
  <c r="G78" i="2"/>
  <c r="H78" i="2" s="1"/>
  <c r="AU28" i="83"/>
  <c r="BD48" i="83"/>
  <c r="BD42" i="83"/>
  <c r="AU22" i="83"/>
  <c r="AU26" i="83"/>
  <c r="BD46" i="83"/>
  <c r="AU24" i="83"/>
  <c r="BD44" i="83"/>
  <c r="BD27" i="70"/>
  <c r="BF27" i="70" s="1"/>
  <c r="BD41" i="83"/>
  <c r="AU21" i="83"/>
  <c r="BD47" i="83"/>
  <c r="AU27" i="83"/>
  <c r="AU25" i="83"/>
  <c r="BD45" i="83"/>
  <c r="BF139" i="83"/>
  <c r="BE139" i="83"/>
  <c r="BJ139" i="83"/>
  <c r="BK139" i="83" s="1"/>
  <c r="BA87" i="83"/>
  <c r="BB87" i="83" s="1"/>
  <c r="AW87" i="83"/>
  <c r="AV87" i="83"/>
  <c r="BK125" i="66"/>
  <c r="BI99" i="69"/>
  <c r="Y214" i="2" s="1"/>
  <c r="BA121" i="66"/>
  <c r="BB121" i="66" s="1"/>
  <c r="BA106" i="78"/>
  <c r="BB106" i="78" s="1"/>
  <c r="BI102" i="78"/>
  <c r="AO214" i="2" s="1"/>
  <c r="BJ103" i="69"/>
  <c r="BK103" i="69" s="1"/>
  <c r="BA141" i="74"/>
  <c r="BB141" i="74" s="1"/>
  <c r="BA115" i="75"/>
  <c r="BB115" i="75" s="1"/>
  <c r="BJ82" i="1"/>
  <c r="BK82" i="1" s="1"/>
  <c r="BJ82" i="67"/>
  <c r="BK82" i="67" s="1"/>
  <c r="BJ82" i="70"/>
  <c r="BK82" i="70" s="1"/>
  <c r="BJ82" i="74"/>
  <c r="BK82" i="74" s="1"/>
  <c r="BJ82" i="73"/>
  <c r="BK82" i="73" s="1"/>
  <c r="BJ82" i="66"/>
  <c r="BK82" i="66" s="1"/>
  <c r="BJ64" i="69"/>
  <c r="BK64" i="69" s="1"/>
  <c r="BJ82" i="71"/>
  <c r="BK82" i="71" s="1"/>
  <c r="BJ64" i="76"/>
  <c r="BK64" i="76" s="1"/>
  <c r="G301" i="2"/>
  <c r="H301" i="2" s="1"/>
  <c r="BJ64" i="75"/>
  <c r="BK64" i="75" s="1"/>
  <c r="BJ54" i="75"/>
  <c r="BK54" i="75" s="1"/>
  <c r="G280" i="2"/>
  <c r="H280" i="2" s="1"/>
  <c r="BJ61" i="81"/>
  <c r="BK61" i="81" s="1"/>
  <c r="BJ55" i="68"/>
  <c r="BK55" i="68" s="1"/>
  <c r="BJ51" i="82"/>
  <c r="BK51" i="82" s="1"/>
  <c r="BJ68" i="71"/>
  <c r="BK68" i="71" s="1"/>
  <c r="BJ81" i="78"/>
  <c r="BK81" i="78" s="1"/>
  <c r="BA70" i="77"/>
  <c r="BB70" i="77" s="1"/>
  <c r="BJ70" i="77"/>
  <c r="BK70" i="77" s="1"/>
  <c r="G360" i="2"/>
  <c r="H360" i="2" s="1"/>
  <c r="G352" i="2"/>
  <c r="H352" i="2" s="1"/>
  <c r="BJ62" i="77"/>
  <c r="BK62" i="77" s="1"/>
  <c r="BJ117" i="1"/>
  <c r="BK117" i="1" s="1"/>
  <c r="BJ91" i="75"/>
  <c r="BK91" i="75" s="1"/>
  <c r="BJ117" i="66"/>
  <c r="BK117" i="66" s="1"/>
  <c r="BJ91" i="76"/>
  <c r="BK91" i="76" s="1"/>
  <c r="BJ117" i="67"/>
  <c r="BK117" i="67" s="1"/>
  <c r="BJ117" i="74"/>
  <c r="BK117" i="74" s="1"/>
  <c r="BJ92" i="68"/>
  <c r="BK92" i="68" s="1"/>
  <c r="BJ117" i="70"/>
  <c r="BK117" i="70" s="1"/>
  <c r="BJ117" i="71"/>
  <c r="BK117" i="71" s="1"/>
  <c r="BJ117" i="73"/>
  <c r="BK117" i="73" s="1"/>
  <c r="BJ91" i="69"/>
  <c r="BK91" i="69" s="1"/>
  <c r="BJ98" i="71"/>
  <c r="BK98" i="71" s="1"/>
  <c r="G325" i="2"/>
  <c r="H325" i="2" s="1"/>
  <c r="BJ64" i="82"/>
  <c r="BK64" i="82" s="1"/>
  <c r="BJ98" i="66"/>
  <c r="BK98" i="66" s="1"/>
  <c r="BJ78" i="81"/>
  <c r="BK78" i="81" s="1"/>
  <c r="BJ77" i="68"/>
  <c r="BK77" i="68" s="1"/>
  <c r="BJ98" i="70"/>
  <c r="BK98" i="70" s="1"/>
  <c r="BJ98" i="74"/>
  <c r="BK98" i="74" s="1"/>
  <c r="BJ98" i="1"/>
  <c r="BK98" i="1" s="1"/>
  <c r="BJ76" i="76"/>
  <c r="BK76" i="76" s="1"/>
  <c r="BJ51" i="77"/>
  <c r="BK51" i="77" s="1"/>
  <c r="BJ98" i="73"/>
  <c r="BK98" i="73" s="1"/>
  <c r="BJ82" i="80"/>
  <c r="BK82" i="80" s="1"/>
  <c r="BJ98" i="78"/>
  <c r="BK98" i="78" s="1"/>
  <c r="BJ76" i="69"/>
  <c r="BK76" i="69" s="1"/>
  <c r="BJ98" i="67"/>
  <c r="BK98" i="67" s="1"/>
  <c r="BJ76" i="75"/>
  <c r="BK76" i="75" s="1"/>
  <c r="G315" i="2"/>
  <c r="H315" i="2" s="1"/>
  <c r="BJ88" i="67"/>
  <c r="BK88" i="67" s="1"/>
  <c r="BJ88" i="66"/>
  <c r="BK88" i="66" s="1"/>
  <c r="BJ88" i="1"/>
  <c r="BK88" i="1" s="1"/>
  <c r="BJ88" i="78"/>
  <c r="BK88" i="78" s="1"/>
  <c r="BJ88" i="73"/>
  <c r="BK88" i="73" s="1"/>
  <c r="BJ72" i="80"/>
  <c r="BK72" i="80" s="1"/>
  <c r="BJ68" i="81"/>
  <c r="BK68" i="81" s="1"/>
  <c r="BJ88" i="74"/>
  <c r="BK88" i="74" s="1"/>
  <c r="BJ88" i="70"/>
  <c r="BK88" i="70" s="1"/>
  <c r="BJ88" i="71"/>
  <c r="BK88" i="71" s="1"/>
  <c r="BJ116" i="1"/>
  <c r="BK116" i="1" s="1"/>
  <c r="BJ116" i="66"/>
  <c r="BK116" i="66" s="1"/>
  <c r="BJ90" i="69"/>
  <c r="BK90" i="69" s="1"/>
  <c r="G351" i="2"/>
  <c r="H351" i="2" s="1"/>
  <c r="BJ116" i="74"/>
  <c r="BK116" i="74" s="1"/>
  <c r="BJ91" i="68"/>
  <c r="BK91" i="68" s="1"/>
  <c r="BJ61" i="77"/>
  <c r="BK61" i="77" s="1"/>
  <c r="BJ68" i="1"/>
  <c r="BK68" i="1" s="1"/>
  <c r="AZ80" i="1"/>
  <c r="P214" i="2" s="1"/>
  <c r="AZ15" i="74"/>
  <c r="AH71" i="2" s="1"/>
  <c r="BJ68" i="74"/>
  <c r="BK68" i="74" s="1"/>
  <c r="BJ68" i="67"/>
  <c r="BK68" i="67" s="1"/>
  <c r="G297" i="2"/>
  <c r="H297" i="2" s="1"/>
  <c r="BJ78" i="1"/>
  <c r="BK78" i="1" s="1"/>
  <c r="BJ78" i="67"/>
  <c r="BK78" i="67" s="1"/>
  <c r="BJ78" i="73"/>
  <c r="BK78" i="73" s="1"/>
  <c r="BJ78" i="74"/>
  <c r="BK78" i="74" s="1"/>
  <c r="BJ78" i="70"/>
  <c r="BK78" i="70" s="1"/>
  <c r="BA39" i="77"/>
  <c r="BB39" i="77" s="1"/>
  <c r="BA56" i="76"/>
  <c r="BB56" i="76" s="1"/>
  <c r="BA70" i="66"/>
  <c r="BB70" i="66" s="1"/>
  <c r="BA70" i="71"/>
  <c r="BB70" i="71" s="1"/>
  <c r="BA70" i="70"/>
  <c r="BB70" i="70" s="1"/>
  <c r="BA56" i="69"/>
  <c r="BB56" i="69" s="1"/>
  <c r="BA70" i="1"/>
  <c r="BB70" i="1" s="1"/>
  <c r="BA70" i="67"/>
  <c r="BB70" i="67" s="1"/>
  <c r="BA70" i="74"/>
  <c r="BB70" i="74" s="1"/>
  <c r="G336" i="2"/>
  <c r="H336" i="2" s="1"/>
  <c r="BA56" i="75"/>
  <c r="BB56" i="75" s="1"/>
  <c r="BA56" i="68"/>
  <c r="BB56" i="68" s="1"/>
  <c r="BA70" i="73"/>
  <c r="BB70" i="73" s="1"/>
  <c r="BA58" i="74"/>
  <c r="BB58" i="74" s="1"/>
  <c r="BA46" i="69"/>
  <c r="BB46" i="69" s="1"/>
  <c r="BA54" i="78"/>
  <c r="BB54" i="78" s="1"/>
  <c r="BA58" i="66"/>
  <c r="BB58" i="66" s="1"/>
  <c r="G308" i="2"/>
  <c r="H308" i="2" s="1"/>
  <c r="BA46" i="68"/>
  <c r="BB46" i="68" s="1"/>
  <c r="BA31" i="77"/>
  <c r="BB31" i="77" s="1"/>
  <c r="BA36" i="82"/>
  <c r="BB36" i="82" s="1"/>
  <c r="BA58" i="70"/>
  <c r="BB58" i="70" s="1"/>
  <c r="BA45" i="80"/>
  <c r="BB45" i="80" s="1"/>
  <c r="BA58" i="71"/>
  <c r="BB58" i="71" s="1"/>
  <c r="BA58" i="67"/>
  <c r="BB58" i="67" s="1"/>
  <c r="BA58" i="1"/>
  <c r="BB58" i="1" s="1"/>
  <c r="BA46" i="76"/>
  <c r="BB46" i="76" s="1"/>
  <c r="BA44" i="81"/>
  <c r="BB44" i="81" s="1"/>
  <c r="BA58" i="73"/>
  <c r="BB58" i="73" s="1"/>
  <c r="BA46" i="75"/>
  <c r="BB46" i="75" s="1"/>
  <c r="G228" i="2"/>
  <c r="H228" i="2" s="1"/>
  <c r="BA89" i="74"/>
  <c r="BB89" i="74" s="1"/>
  <c r="BA89" i="75"/>
  <c r="BB89" i="75" s="1"/>
  <c r="BJ108" i="75"/>
  <c r="BK108" i="75" s="1"/>
  <c r="BJ134" i="74"/>
  <c r="BK134" i="74" s="1"/>
  <c r="G321" i="2"/>
  <c r="H321" i="2" s="1"/>
  <c r="BJ78" i="80"/>
  <c r="BK78" i="80" s="1"/>
  <c r="BJ94" i="70"/>
  <c r="BK94" i="70" s="1"/>
  <c r="BJ94" i="71"/>
  <c r="BK94" i="71" s="1"/>
  <c r="BJ72" i="69"/>
  <c r="BK72" i="69" s="1"/>
  <c r="BJ94" i="66"/>
  <c r="BK94" i="66" s="1"/>
  <c r="BJ72" i="76"/>
  <c r="BK72" i="76" s="1"/>
  <c r="BJ60" i="82"/>
  <c r="BK60" i="82" s="1"/>
  <c r="BJ47" i="77"/>
  <c r="BK47" i="77" s="1"/>
  <c r="BJ74" i="81"/>
  <c r="BK74" i="81" s="1"/>
  <c r="BJ94" i="73"/>
  <c r="BK94" i="73" s="1"/>
  <c r="BJ73" i="68"/>
  <c r="BK73" i="68" s="1"/>
  <c r="BJ72" i="75"/>
  <c r="BK72" i="75" s="1"/>
  <c r="BJ94" i="1"/>
  <c r="BK94" i="1" s="1"/>
  <c r="BJ94" i="78"/>
  <c r="BK94" i="78" s="1"/>
  <c r="BJ94" i="67"/>
  <c r="BK94" i="67" s="1"/>
  <c r="BJ94" i="74"/>
  <c r="BK94" i="74" s="1"/>
  <c r="BA23" i="75"/>
  <c r="BB23" i="75" s="1"/>
  <c r="BA23" i="68"/>
  <c r="BB23" i="68" s="1"/>
  <c r="BA31" i="73"/>
  <c r="BB31" i="73" s="1"/>
  <c r="BA30" i="80"/>
  <c r="BB30" i="80" s="1"/>
  <c r="BA31" i="1"/>
  <c r="BB31" i="1" s="1"/>
  <c r="BA21" i="82"/>
  <c r="BB21" i="82" s="1"/>
  <c r="BA31" i="66"/>
  <c r="BB31" i="66" s="1"/>
  <c r="BA31" i="70"/>
  <c r="BB31" i="70" s="1"/>
  <c r="BA23" i="69"/>
  <c r="BB23" i="69" s="1"/>
  <c r="G245" i="2"/>
  <c r="H245" i="2" s="1"/>
  <c r="BA31" i="74"/>
  <c r="BB31" i="74" s="1"/>
  <c r="BA27" i="81"/>
  <c r="BB27" i="81" s="1"/>
  <c r="BA37" i="78"/>
  <c r="BB37" i="78" s="1"/>
  <c r="BA31" i="67"/>
  <c r="BB31" i="67" s="1"/>
  <c r="BA31" i="71"/>
  <c r="BB31" i="71" s="1"/>
  <c r="BA23" i="76"/>
  <c r="BB23" i="76" s="1"/>
  <c r="BA136" i="70"/>
  <c r="BB136" i="70" s="1"/>
  <c r="BA130" i="1"/>
  <c r="BB130" i="1" s="1"/>
  <c r="BA73" i="82"/>
  <c r="BB73" i="82" s="1"/>
  <c r="BA107" i="78"/>
  <c r="BB107" i="78" s="1"/>
  <c r="BA122" i="66"/>
  <c r="BB122" i="66" s="1"/>
  <c r="BJ110" i="76"/>
  <c r="BK110" i="76" s="1"/>
  <c r="BA87" i="81"/>
  <c r="BB87" i="81" s="1"/>
  <c r="G364" i="2"/>
  <c r="H364" i="2" s="1"/>
  <c r="BA74" i="77"/>
  <c r="BB74" i="77" s="1"/>
  <c r="BJ74" i="77"/>
  <c r="BK74" i="77" s="1"/>
  <c r="BA91" i="80"/>
  <c r="BB91" i="80" s="1"/>
  <c r="BJ104" i="69"/>
  <c r="BK104" i="69" s="1"/>
  <c r="BJ130" i="67"/>
  <c r="BK130" i="67" s="1"/>
  <c r="BA110" i="76"/>
  <c r="BB110" i="76" s="1"/>
  <c r="BA130" i="67"/>
  <c r="BB130" i="67" s="1"/>
  <c r="BA104" i="69"/>
  <c r="BB104" i="69" s="1"/>
  <c r="BA105" i="68"/>
  <c r="BB105" i="68" s="1"/>
  <c r="BJ73" i="82"/>
  <c r="BK73" i="82" s="1"/>
  <c r="BJ116" i="75"/>
  <c r="BK116" i="75" s="1"/>
  <c r="BA136" i="73"/>
  <c r="BB136" i="73" s="1"/>
  <c r="BJ130" i="1"/>
  <c r="BK130" i="1" s="1"/>
  <c r="BA128" i="71"/>
  <c r="BB128" i="71" s="1"/>
  <c r="BJ136" i="71"/>
  <c r="BK136" i="71" s="1"/>
  <c r="BA142" i="74"/>
  <c r="BB142" i="74" s="1"/>
  <c r="BJ91" i="80"/>
  <c r="BK91" i="80" s="1"/>
  <c r="BJ130" i="66"/>
  <c r="BK130" i="66" s="1"/>
  <c r="BJ105" i="68"/>
  <c r="BK105" i="68" s="1"/>
  <c r="BA116" i="75"/>
  <c r="BB116" i="75" s="1"/>
  <c r="BA51" i="73"/>
  <c r="BB51" i="73" s="1"/>
  <c r="BA51" i="66"/>
  <c r="BB51" i="66" s="1"/>
  <c r="G295" i="2"/>
  <c r="H295" i="2" s="1"/>
  <c r="BA51" i="71"/>
  <c r="BB51" i="71" s="1"/>
  <c r="BA51" i="67"/>
  <c r="BB51" i="67" s="1"/>
  <c r="BA51" i="74"/>
  <c r="BB51" i="74" s="1"/>
  <c r="BA51" i="1"/>
  <c r="BB51" i="1" s="1"/>
  <c r="BA51" i="70"/>
  <c r="BB51" i="70" s="1"/>
  <c r="G290" i="2"/>
  <c r="H290" i="2" s="1"/>
  <c r="BJ104" i="68"/>
  <c r="BK104" i="68" s="1"/>
  <c r="BJ129" i="66"/>
  <c r="BK129" i="66" s="1"/>
  <c r="BJ115" i="75"/>
  <c r="BK115" i="75" s="1"/>
  <c r="BJ73" i="77"/>
  <c r="BK73" i="77" s="1"/>
  <c r="BJ86" i="81"/>
  <c r="BK86" i="81" s="1"/>
  <c r="BJ109" i="76"/>
  <c r="BK109" i="76" s="1"/>
  <c r="BA109" i="76"/>
  <c r="BB109" i="76" s="1"/>
  <c r="BA73" i="77"/>
  <c r="BB73" i="77" s="1"/>
  <c r="BJ129" i="67"/>
  <c r="BK129" i="67" s="1"/>
  <c r="BA135" i="70"/>
  <c r="BB135" i="70" s="1"/>
  <c r="BA127" i="71"/>
  <c r="BB127" i="71" s="1"/>
  <c r="BA86" i="81"/>
  <c r="BB86" i="81" s="1"/>
  <c r="BA135" i="73"/>
  <c r="BB135" i="73" s="1"/>
  <c r="BJ141" i="74"/>
  <c r="BK141" i="74" s="1"/>
  <c r="BA90" i="80"/>
  <c r="BB90" i="80" s="1"/>
  <c r="BJ135" i="73"/>
  <c r="BK135" i="73" s="1"/>
  <c r="BJ129" i="1"/>
  <c r="BK129" i="1" s="1"/>
  <c r="G363" i="2"/>
  <c r="H363" i="2" s="1"/>
  <c r="BJ106" i="78"/>
  <c r="BK106" i="78" s="1"/>
  <c r="BA129" i="1"/>
  <c r="BB129" i="1" s="1"/>
  <c r="BJ135" i="70"/>
  <c r="BK135" i="70" s="1"/>
  <c r="BA103" i="69"/>
  <c r="BB103" i="69" s="1"/>
  <c r="BJ68" i="70"/>
  <c r="BK68" i="70" s="1"/>
  <c r="BJ135" i="71"/>
  <c r="BK135" i="71" s="1"/>
  <c r="BJ116" i="71"/>
  <c r="BK116" i="71" s="1"/>
  <c r="BJ72" i="82"/>
  <c r="BK72" i="82" s="1"/>
  <c r="AZ22" i="74"/>
  <c r="AH78" i="2" s="1"/>
  <c r="BJ54" i="69"/>
  <c r="BK54" i="69" s="1"/>
  <c r="BJ68" i="73"/>
  <c r="BK68" i="73" s="1"/>
  <c r="BJ54" i="76"/>
  <c r="BK54" i="76" s="1"/>
  <c r="BJ119" i="70"/>
  <c r="BK119" i="70" s="1"/>
  <c r="BJ119" i="1"/>
  <c r="BK119" i="1" s="1"/>
  <c r="BJ119" i="66"/>
  <c r="BK119" i="66" s="1"/>
  <c r="BJ119" i="74"/>
  <c r="BK119" i="74" s="1"/>
  <c r="G354" i="2"/>
  <c r="H354" i="2" s="1"/>
  <c r="BJ93" i="76"/>
  <c r="BK93" i="76" s="1"/>
  <c r="BJ119" i="73"/>
  <c r="BK119" i="73" s="1"/>
  <c r="BJ93" i="69"/>
  <c r="BK93" i="69" s="1"/>
  <c r="BJ94" i="68"/>
  <c r="BK94" i="68" s="1"/>
  <c r="BJ93" i="75"/>
  <c r="BK93" i="75" s="1"/>
  <c r="BJ64" i="77"/>
  <c r="BK64" i="77" s="1"/>
  <c r="BJ119" i="71"/>
  <c r="BK119" i="71" s="1"/>
  <c r="BJ119" i="67"/>
  <c r="BK119" i="67" s="1"/>
  <c r="BJ59" i="74"/>
  <c r="BK59" i="74" s="1"/>
  <c r="BJ45" i="75"/>
  <c r="BK45" i="75" s="1"/>
  <c r="BJ52" i="81"/>
  <c r="BK52" i="81" s="1"/>
  <c r="BJ59" i="70"/>
  <c r="BK59" i="70" s="1"/>
  <c r="G266" i="2"/>
  <c r="H266" i="2" s="1"/>
  <c r="BJ42" i="82"/>
  <c r="BK42" i="82" s="1"/>
  <c r="BJ59" i="66"/>
  <c r="BK59" i="66" s="1"/>
  <c r="BJ59" i="1"/>
  <c r="BK59" i="1" s="1"/>
  <c r="BJ60" i="80"/>
  <c r="BK60" i="80" s="1"/>
  <c r="BJ59" i="73"/>
  <c r="BK59" i="73" s="1"/>
  <c r="BJ59" i="67"/>
  <c r="BK59" i="67" s="1"/>
  <c r="BJ72" i="78"/>
  <c r="BK72" i="78" s="1"/>
  <c r="BJ45" i="76"/>
  <c r="BK45" i="76" s="1"/>
  <c r="BJ59" i="71"/>
  <c r="BK59" i="71" s="1"/>
  <c r="BJ45" i="69"/>
  <c r="BK45" i="69" s="1"/>
  <c r="BJ46" i="68"/>
  <c r="BK46" i="68" s="1"/>
  <c r="BA62" i="76"/>
  <c r="BB62" i="76" s="1"/>
  <c r="BA62" i="75"/>
  <c r="BB62" i="75" s="1"/>
  <c r="BJ98" i="68"/>
  <c r="BK98" i="68" s="1"/>
  <c r="BJ97" i="75"/>
  <c r="BK97" i="75" s="1"/>
  <c r="BA76" i="66"/>
  <c r="BB76" i="66" s="1"/>
  <c r="BA76" i="1"/>
  <c r="BB76" i="1" s="1"/>
  <c r="BA62" i="68"/>
  <c r="BB62" i="68" s="1"/>
  <c r="BA76" i="71"/>
  <c r="BB76" i="71" s="1"/>
  <c r="BJ123" i="67"/>
  <c r="BK123" i="67" s="1"/>
  <c r="BJ123" i="73"/>
  <c r="BK123" i="73" s="1"/>
  <c r="BJ123" i="1"/>
  <c r="BK123" i="1" s="1"/>
  <c r="BJ123" i="66"/>
  <c r="BK123" i="66" s="1"/>
  <c r="BA76" i="74"/>
  <c r="BB76" i="74" s="1"/>
  <c r="BJ97" i="69"/>
  <c r="BK97" i="69" s="1"/>
  <c r="BA44" i="77"/>
  <c r="BB44" i="77" s="1"/>
  <c r="BJ97" i="76"/>
  <c r="BK97" i="76" s="1"/>
  <c r="BA76" i="73"/>
  <c r="BB76" i="73" s="1"/>
  <c r="BJ66" i="77"/>
  <c r="BK66" i="77" s="1"/>
  <c r="BA62" i="69"/>
  <c r="BB62" i="69" s="1"/>
  <c r="BA76" i="70"/>
  <c r="BB76" i="70" s="1"/>
  <c r="G358" i="2"/>
  <c r="H358" i="2" s="1"/>
  <c r="BA76" i="67"/>
  <c r="BB76" i="67" s="1"/>
  <c r="BJ123" i="74"/>
  <c r="BK123" i="74" s="1"/>
  <c r="BJ123" i="70"/>
  <c r="BK123" i="70" s="1"/>
  <c r="BJ123" i="71"/>
  <c r="BK123" i="71" s="1"/>
  <c r="G260" i="2"/>
  <c r="H260" i="2" s="1"/>
  <c r="BJ53" i="1"/>
  <c r="BK53" i="1" s="1"/>
  <c r="BJ53" i="66"/>
  <c r="BK53" i="66" s="1"/>
  <c r="BJ46" i="81"/>
  <c r="BK46" i="81" s="1"/>
  <c r="BJ54" i="80"/>
  <c r="BK54" i="80" s="1"/>
  <c r="BJ39" i="76"/>
  <c r="BK39" i="76" s="1"/>
  <c r="BJ66" i="78"/>
  <c r="BK66" i="78" s="1"/>
  <c r="BJ53" i="67"/>
  <c r="BK53" i="67" s="1"/>
  <c r="BJ53" i="74"/>
  <c r="BK53" i="74" s="1"/>
  <c r="BJ39" i="75"/>
  <c r="BK39" i="75" s="1"/>
  <c r="BJ53" i="70"/>
  <c r="BK53" i="70" s="1"/>
  <c r="BJ40" i="68"/>
  <c r="BK40" i="68" s="1"/>
  <c r="BJ25" i="77"/>
  <c r="BK25" i="77" s="1"/>
  <c r="BJ39" i="69"/>
  <c r="BK39" i="69" s="1"/>
  <c r="BJ36" i="82"/>
  <c r="BK36" i="82" s="1"/>
  <c r="BJ53" i="73"/>
  <c r="BK53" i="73" s="1"/>
  <c r="BJ53" i="71"/>
  <c r="BK53" i="71" s="1"/>
  <c r="BA32" i="77"/>
  <c r="BB32" i="77" s="1"/>
  <c r="BA47" i="68"/>
  <c r="BB47" i="68" s="1"/>
  <c r="BA59" i="74"/>
  <c r="BB59" i="74" s="1"/>
  <c r="BA45" i="81"/>
  <c r="BB45" i="81" s="1"/>
  <c r="BA59" i="70"/>
  <c r="BB59" i="70" s="1"/>
  <c r="G309" i="2"/>
  <c r="H309" i="2" s="1"/>
  <c r="BA59" i="1"/>
  <c r="BB59" i="1" s="1"/>
  <c r="BA47" i="75"/>
  <c r="BB47" i="75" s="1"/>
  <c r="BA59" i="71"/>
  <c r="BB59" i="71" s="1"/>
  <c r="BA47" i="69"/>
  <c r="BB47" i="69" s="1"/>
  <c r="BA46" i="80"/>
  <c r="BB46" i="80" s="1"/>
  <c r="BA59" i="66"/>
  <c r="BB59" i="66" s="1"/>
  <c r="BA59" i="73"/>
  <c r="BB59" i="73" s="1"/>
  <c r="BA59" i="67"/>
  <c r="BB59" i="67" s="1"/>
  <c r="BA47" i="76"/>
  <c r="BB47" i="76" s="1"/>
  <c r="BA37" i="82"/>
  <c r="BB37" i="82" s="1"/>
  <c r="BA55" i="78"/>
  <c r="BB55" i="78" s="1"/>
  <c r="BJ90" i="76"/>
  <c r="BK90" i="76" s="1"/>
  <c r="BJ116" i="70"/>
  <c r="BK116" i="70" s="1"/>
  <c r="BA72" i="82"/>
  <c r="BB72" i="82" s="1"/>
  <c r="BJ65" i="68"/>
  <c r="BK65" i="68" s="1"/>
  <c r="G230" i="2"/>
  <c r="H230" i="2" s="1"/>
  <c r="BJ136" i="74"/>
  <c r="BK136" i="74" s="1"/>
  <c r="BJ110" i="75"/>
  <c r="BK110" i="75" s="1"/>
  <c r="BA91" i="74"/>
  <c r="BB91" i="74" s="1"/>
  <c r="BA91" i="75"/>
  <c r="BB91" i="75" s="1"/>
  <c r="G362" i="2"/>
  <c r="H362" i="2" s="1"/>
  <c r="BA114" i="75"/>
  <c r="BB114" i="75" s="1"/>
  <c r="BA105" i="78"/>
  <c r="BB105" i="78" s="1"/>
  <c r="BJ134" i="71"/>
  <c r="BK134" i="71" s="1"/>
  <c r="BJ128" i="67"/>
  <c r="BK128" i="67" s="1"/>
  <c r="BA128" i="1"/>
  <c r="BB128" i="1" s="1"/>
  <c r="BJ134" i="73"/>
  <c r="BK134" i="73" s="1"/>
  <c r="BA71" i="82"/>
  <c r="BB71" i="82" s="1"/>
  <c r="BJ102" i="69"/>
  <c r="BK102" i="69" s="1"/>
  <c r="BJ72" i="77"/>
  <c r="BK72" i="77" s="1"/>
  <c r="BA103" i="68"/>
  <c r="BB103" i="68" s="1"/>
  <c r="BA134" i="70"/>
  <c r="BB134" i="70" s="1"/>
  <c r="BJ140" i="74"/>
  <c r="BK140" i="74" s="1"/>
  <c r="BJ105" i="78"/>
  <c r="BK105" i="78" s="1"/>
  <c r="BJ128" i="66"/>
  <c r="BK128" i="66" s="1"/>
  <c r="BA120" i="66"/>
  <c r="BB120" i="66" s="1"/>
  <c r="BA134" i="73"/>
  <c r="BB134" i="73" s="1"/>
  <c r="BJ85" i="81"/>
  <c r="BK85" i="81" s="1"/>
  <c r="BA126" i="71"/>
  <c r="BB126" i="71" s="1"/>
  <c r="BA72" i="77"/>
  <c r="BB72" i="77" s="1"/>
  <c r="BJ114" i="75"/>
  <c r="BK114" i="75" s="1"/>
  <c r="BJ103" i="68"/>
  <c r="BK103" i="68" s="1"/>
  <c r="BJ108" i="76"/>
  <c r="BK108" i="76" s="1"/>
  <c r="BA102" i="69"/>
  <c r="BB102" i="69" s="1"/>
  <c r="BJ71" i="82"/>
  <c r="BK71" i="82" s="1"/>
  <c r="BA128" i="67"/>
  <c r="BB128" i="67" s="1"/>
  <c r="BJ128" i="1"/>
  <c r="BK128" i="1" s="1"/>
  <c r="BA85" i="81"/>
  <c r="BB85" i="81" s="1"/>
  <c r="BJ89" i="80"/>
  <c r="BK89" i="80" s="1"/>
  <c r="BA108" i="76"/>
  <c r="BB108" i="76" s="1"/>
  <c r="BJ134" i="70"/>
  <c r="BK134" i="70" s="1"/>
  <c r="BA89" i="80"/>
  <c r="BB89" i="80" s="1"/>
  <c r="BA140" i="74"/>
  <c r="BB140" i="74" s="1"/>
  <c r="BJ24" i="74"/>
  <c r="BK24" i="74" s="1"/>
  <c r="BA78" i="73"/>
  <c r="BB78" i="73" s="1"/>
  <c r="BA78" i="74"/>
  <c r="BB78" i="74" s="1"/>
  <c r="BA64" i="68"/>
  <c r="BB64" i="68" s="1"/>
  <c r="BJ100" i="78"/>
  <c r="BK100" i="78" s="1"/>
  <c r="BJ78" i="75"/>
  <c r="BK78" i="75" s="1"/>
  <c r="BJ78" i="69"/>
  <c r="BK78" i="69" s="1"/>
  <c r="BJ78" i="76"/>
  <c r="BK78" i="76" s="1"/>
  <c r="BJ100" i="71"/>
  <c r="BK100" i="71" s="1"/>
  <c r="BJ100" i="70"/>
  <c r="BK100" i="70" s="1"/>
  <c r="BJ84" i="80"/>
  <c r="BK84" i="80" s="1"/>
  <c r="BJ100" i="1"/>
  <c r="BK100" i="1" s="1"/>
  <c r="BJ66" i="82"/>
  <c r="BK66" i="82" s="1"/>
  <c r="BJ100" i="73"/>
  <c r="BK100" i="73" s="1"/>
  <c r="BJ100" i="74"/>
  <c r="BK100" i="74" s="1"/>
  <c r="BJ100" i="67"/>
  <c r="BK100" i="67" s="1"/>
  <c r="G327" i="2"/>
  <c r="H327" i="2" s="1"/>
  <c r="BJ80" i="81"/>
  <c r="BK80" i="81" s="1"/>
  <c r="BJ79" i="68"/>
  <c r="BK79" i="68" s="1"/>
  <c r="BJ100" i="66"/>
  <c r="BK100" i="66" s="1"/>
  <c r="G244" i="2"/>
  <c r="H244" i="2" s="1"/>
  <c r="BA30" i="74"/>
  <c r="BB30" i="74" s="1"/>
  <c r="BA30" i="66"/>
  <c r="BB30" i="66" s="1"/>
  <c r="BA30" i="1"/>
  <c r="BB30" i="1" s="1"/>
  <c r="BA30" i="73"/>
  <c r="BB30" i="73" s="1"/>
  <c r="BA29" i="80"/>
  <c r="BB29" i="80" s="1"/>
  <c r="BA30" i="71"/>
  <c r="BB30" i="71" s="1"/>
  <c r="BA36" i="78"/>
  <c r="BB36" i="78" s="1"/>
  <c r="BA30" i="70"/>
  <c r="BB30" i="70" s="1"/>
  <c r="BA26" i="81"/>
  <c r="BB26" i="81" s="1"/>
  <c r="BA30" i="67"/>
  <c r="BB30" i="67" s="1"/>
  <c r="G238" i="2"/>
  <c r="H238" i="2" s="1"/>
  <c r="BJ39" i="70"/>
  <c r="BK39" i="70" s="1"/>
  <c r="BJ39" i="71"/>
  <c r="BK39" i="71" s="1"/>
  <c r="BJ39" i="74"/>
  <c r="BK39" i="74" s="1"/>
  <c r="BJ39" i="1"/>
  <c r="BK39" i="1" s="1"/>
  <c r="BJ39" i="67"/>
  <c r="BK39" i="67" s="1"/>
  <c r="BJ39" i="66"/>
  <c r="BK39" i="66" s="1"/>
  <c r="BJ39" i="73"/>
  <c r="BK39" i="73" s="1"/>
  <c r="G243" i="2"/>
  <c r="H243" i="2" s="1"/>
  <c r="BA29" i="74"/>
  <c r="BB29" i="74" s="1"/>
  <c r="BA25" i="81"/>
  <c r="BB25" i="81" s="1"/>
  <c r="BA29" i="67"/>
  <c r="BB29" i="67" s="1"/>
  <c r="BA35" i="78"/>
  <c r="BB35" i="78" s="1"/>
  <c r="BA29" i="73"/>
  <c r="BB29" i="73" s="1"/>
  <c r="BA29" i="70"/>
  <c r="BB29" i="70" s="1"/>
  <c r="BA29" i="1"/>
  <c r="BB29" i="1" s="1"/>
  <c r="G68" i="2"/>
  <c r="H68" i="2" s="1"/>
  <c r="BJ24" i="70"/>
  <c r="BK24" i="70" s="1"/>
  <c r="G279" i="2"/>
  <c r="H279" i="2" s="1"/>
  <c r="BJ67" i="74"/>
  <c r="BK67" i="74" s="1"/>
  <c r="BJ68" i="80"/>
  <c r="BK68" i="80" s="1"/>
  <c r="BJ67" i="73"/>
  <c r="BK67" i="73" s="1"/>
  <c r="BJ53" i="69"/>
  <c r="BK53" i="69" s="1"/>
  <c r="BJ53" i="76"/>
  <c r="BK53" i="76" s="1"/>
  <c r="BJ67" i="70"/>
  <c r="BK67" i="70" s="1"/>
  <c r="BJ67" i="66"/>
  <c r="BK67" i="66" s="1"/>
  <c r="BJ67" i="1"/>
  <c r="BK67" i="1" s="1"/>
  <c r="BJ53" i="75"/>
  <c r="BK53" i="75" s="1"/>
  <c r="BJ60" i="81"/>
  <c r="BK60" i="81" s="1"/>
  <c r="BJ54" i="68"/>
  <c r="BK54" i="68" s="1"/>
  <c r="BJ80" i="78"/>
  <c r="BK80" i="78" s="1"/>
  <c r="BJ67" i="67"/>
  <c r="BK67" i="67" s="1"/>
  <c r="BJ50" i="82"/>
  <c r="BK50" i="82" s="1"/>
  <c r="BJ67" i="71"/>
  <c r="BK67" i="71" s="1"/>
  <c r="BA41" i="67"/>
  <c r="BB41" i="67" s="1"/>
  <c r="BA41" i="1"/>
  <c r="BB41" i="1" s="1"/>
  <c r="BA40" i="80"/>
  <c r="BB40" i="80" s="1"/>
  <c r="G271" i="2"/>
  <c r="H271" i="2" s="1"/>
  <c r="BA47" i="78"/>
  <c r="BB47" i="78" s="1"/>
  <c r="BA41" i="74"/>
  <c r="BB41" i="74" s="1"/>
  <c r="BA33" i="76"/>
  <c r="BB33" i="76" s="1"/>
  <c r="BA31" i="82"/>
  <c r="BB31" i="82" s="1"/>
  <c r="BA33" i="75"/>
  <c r="BB33" i="75" s="1"/>
  <c r="BA41" i="70"/>
  <c r="BB41" i="70" s="1"/>
  <c r="BA33" i="68"/>
  <c r="BB33" i="68" s="1"/>
  <c r="BA41" i="73"/>
  <c r="BB41" i="73" s="1"/>
  <c r="BA37" i="81"/>
  <c r="BB37" i="81" s="1"/>
  <c r="BA41" i="66"/>
  <c r="BB41" i="66" s="1"/>
  <c r="BA41" i="71"/>
  <c r="BB41" i="71" s="1"/>
  <c r="BA33" i="69"/>
  <c r="BB33" i="69" s="1"/>
  <c r="G248" i="2"/>
  <c r="H248" i="2" s="1"/>
  <c r="BA17" i="77"/>
  <c r="BB17" i="77" s="1"/>
  <c r="BA24" i="82"/>
  <c r="BB24" i="82" s="1"/>
  <c r="BA30" i="81"/>
  <c r="BB30" i="81" s="1"/>
  <c r="BA34" i="74"/>
  <c r="BB34" i="74" s="1"/>
  <c r="BA34" i="71"/>
  <c r="BB34" i="71" s="1"/>
  <c r="BA34" i="73"/>
  <c r="BB34" i="73" s="1"/>
  <c r="BA26" i="69"/>
  <c r="BB26" i="69" s="1"/>
  <c r="BA34" i="70"/>
  <c r="BB34" i="70" s="1"/>
  <c r="BA26" i="68"/>
  <c r="BB26" i="68" s="1"/>
  <c r="BA34" i="67"/>
  <c r="BB34" i="67" s="1"/>
  <c r="BA33" i="80"/>
  <c r="BB33" i="80" s="1"/>
  <c r="BA34" i="66"/>
  <c r="BB34" i="66" s="1"/>
  <c r="BA40" i="78"/>
  <c r="BB40" i="78" s="1"/>
  <c r="BA26" i="75"/>
  <c r="BB26" i="75" s="1"/>
  <c r="BJ42" i="1"/>
  <c r="BK42" i="1" s="1"/>
  <c r="BJ32" i="69"/>
  <c r="BK32" i="69" s="1"/>
  <c r="BJ32" i="76"/>
  <c r="BK32" i="76" s="1"/>
  <c r="BJ42" i="66"/>
  <c r="BK42" i="66" s="1"/>
  <c r="BJ33" i="68"/>
  <c r="BK33" i="68" s="1"/>
  <c r="BJ42" i="71"/>
  <c r="BK42" i="71" s="1"/>
  <c r="BJ42" i="67"/>
  <c r="BK42" i="67" s="1"/>
  <c r="BJ42" i="74"/>
  <c r="BK42" i="74" s="1"/>
  <c r="BJ42" i="70"/>
  <c r="BK42" i="70" s="1"/>
  <c r="BJ32" i="75"/>
  <c r="BK32" i="75" s="1"/>
  <c r="BJ42" i="73"/>
  <c r="BK42" i="73" s="1"/>
  <c r="G241" i="2"/>
  <c r="H241" i="2" s="1"/>
  <c r="BA35" i="81"/>
  <c r="BB35" i="81" s="1"/>
  <c r="BA39" i="67"/>
  <c r="BB39" i="67" s="1"/>
  <c r="BA39" i="71"/>
  <c r="BB39" i="71" s="1"/>
  <c r="BA31" i="76"/>
  <c r="BB31" i="76" s="1"/>
  <c r="BA31" i="68"/>
  <c r="BB31" i="68" s="1"/>
  <c r="BA39" i="73"/>
  <c r="BB39" i="73" s="1"/>
  <c r="BA45" i="78"/>
  <c r="BB45" i="78" s="1"/>
  <c r="BA21" i="77"/>
  <c r="BB21" i="77" s="1"/>
  <c r="G269" i="2"/>
  <c r="H269" i="2" s="1"/>
  <c r="BA39" i="1"/>
  <c r="BB39" i="1" s="1"/>
  <c r="BA39" i="66"/>
  <c r="BB39" i="66" s="1"/>
  <c r="BA39" i="70"/>
  <c r="BB39" i="70" s="1"/>
  <c r="BA31" i="69"/>
  <c r="BB31" i="69" s="1"/>
  <c r="BA29" i="82"/>
  <c r="BB29" i="82" s="1"/>
  <c r="BA39" i="74"/>
  <c r="BB39" i="74" s="1"/>
  <c r="BA38" i="80"/>
  <c r="BB38" i="80" s="1"/>
  <c r="BA31" i="75"/>
  <c r="BB31" i="75" s="1"/>
  <c r="BJ83" i="1"/>
  <c r="BK83" i="1" s="1"/>
  <c r="BJ66" i="68"/>
  <c r="BK66" i="68" s="1"/>
  <c r="BJ83" i="73"/>
  <c r="BK83" i="73" s="1"/>
  <c r="BJ83" i="71"/>
  <c r="BK83" i="71" s="1"/>
  <c r="BJ65" i="76"/>
  <c r="BK65" i="76" s="1"/>
  <c r="BJ65" i="75"/>
  <c r="BK65" i="75" s="1"/>
  <c r="G302" i="2"/>
  <c r="H302" i="2" s="1"/>
  <c r="BJ83" i="66"/>
  <c r="BK83" i="66" s="1"/>
  <c r="BJ83" i="67"/>
  <c r="BK83" i="67" s="1"/>
  <c r="BJ83" i="74"/>
  <c r="BK83" i="74" s="1"/>
  <c r="BJ83" i="70"/>
  <c r="BK83" i="70" s="1"/>
  <c r="BJ65" i="69"/>
  <c r="BK65" i="69" s="1"/>
  <c r="BA72" i="1"/>
  <c r="BB72" i="1" s="1"/>
  <c r="BA72" i="70"/>
  <c r="BB72" i="70" s="1"/>
  <c r="BA72" i="73"/>
  <c r="BB72" i="73" s="1"/>
  <c r="BA72" i="66"/>
  <c r="BB72" i="66" s="1"/>
  <c r="BA58" i="68"/>
  <c r="BB58" i="68" s="1"/>
  <c r="BA58" i="75"/>
  <c r="BB58" i="75" s="1"/>
  <c r="BA72" i="67"/>
  <c r="BB72" i="67" s="1"/>
  <c r="BA58" i="76"/>
  <c r="BB58" i="76" s="1"/>
  <c r="BA72" i="71"/>
  <c r="BB72" i="71" s="1"/>
  <c r="BA58" i="69"/>
  <c r="BB58" i="69" s="1"/>
  <c r="BA41" i="77"/>
  <c r="BB41" i="77" s="1"/>
  <c r="BA72" i="74"/>
  <c r="BB72" i="74" s="1"/>
  <c r="G338" i="2"/>
  <c r="H338" i="2" s="1"/>
  <c r="BJ90" i="75"/>
  <c r="BK90" i="75" s="1"/>
  <c r="BJ69" i="80"/>
  <c r="BK69" i="80" s="1"/>
  <c r="BI100" i="68"/>
  <c r="W214" i="2" s="1"/>
  <c r="AZ67" i="68"/>
  <c r="V214" i="2" s="1"/>
  <c r="C69" i="2"/>
  <c r="E69" i="2"/>
  <c r="K69" i="2"/>
  <c r="G69" i="2"/>
  <c r="H69" i="2" s="1"/>
  <c r="L69" i="2"/>
  <c r="BD24" i="1"/>
  <c r="BD43" i="78"/>
  <c r="D69" i="2"/>
  <c r="C110" i="2"/>
  <c r="K110" i="2"/>
  <c r="L110" i="2"/>
  <c r="BD24" i="66"/>
  <c r="D110" i="2"/>
  <c r="G110" i="2"/>
  <c r="H110" i="2" s="1"/>
  <c r="E110" i="2"/>
  <c r="BI125" i="1"/>
  <c r="Q214" i="2" s="1"/>
  <c r="C37" i="2"/>
  <c r="D37" i="2"/>
  <c r="E37" i="2"/>
  <c r="K37" i="2"/>
  <c r="L37" i="2"/>
  <c r="BD14" i="77"/>
  <c r="E191" i="2"/>
  <c r="BD20" i="82"/>
  <c r="BD20" i="69"/>
  <c r="D191" i="2"/>
  <c r="K191" i="2"/>
  <c r="L191" i="2"/>
  <c r="C191" i="2"/>
  <c r="BD24" i="81"/>
  <c r="BD24" i="67"/>
  <c r="BD44" i="78"/>
  <c r="C141" i="2"/>
  <c r="BD36" i="80"/>
  <c r="L141" i="2"/>
  <c r="G141" i="2"/>
  <c r="H141" i="2" s="1"/>
  <c r="E141" i="2"/>
  <c r="D141" i="2"/>
  <c r="K141" i="2"/>
  <c r="BD20" i="68"/>
  <c r="E166" i="2"/>
  <c r="C166" i="2"/>
  <c r="L166" i="2"/>
  <c r="K166" i="2"/>
  <c r="D166" i="2"/>
  <c r="BD21" i="68"/>
  <c r="G37" i="2"/>
  <c r="H37" i="2" s="1"/>
  <c r="BD27" i="73"/>
  <c r="BE27" i="73" s="1"/>
  <c r="AU15" i="74"/>
  <c r="BA15" i="74" s="1"/>
  <c r="BB15" i="74" s="1"/>
  <c r="BD27" i="67"/>
  <c r="BE27" i="67" s="1"/>
  <c r="L71" i="2"/>
  <c r="BD27" i="74"/>
  <c r="BE27" i="74" s="1"/>
  <c r="BD31" i="81"/>
  <c r="BJ31" i="81" s="1"/>
  <c r="BK31" i="81" s="1"/>
  <c r="AU15" i="1"/>
  <c r="AW15" i="1" s="1"/>
  <c r="C71" i="2"/>
  <c r="AU15" i="81"/>
  <c r="AV15" i="81" s="1"/>
  <c r="AU15" i="73"/>
  <c r="AW15" i="73" s="1"/>
  <c r="G71" i="2"/>
  <c r="H71" i="2" s="1"/>
  <c r="D71" i="2"/>
  <c r="BD27" i="1"/>
  <c r="BE27" i="1" s="1"/>
  <c r="AU15" i="67"/>
  <c r="BA15" i="67" s="1"/>
  <c r="BB15" i="67" s="1"/>
  <c r="BD27" i="81"/>
  <c r="BF27" i="81" s="1"/>
  <c r="AU25" i="78"/>
  <c r="AV25" i="78" s="1"/>
  <c r="AU15" i="70"/>
  <c r="AV15" i="70" s="1"/>
  <c r="K71" i="2"/>
  <c r="D62" i="2"/>
  <c r="E62" i="2"/>
  <c r="BD17" i="70"/>
  <c r="BD17" i="78"/>
  <c r="L62" i="2"/>
  <c r="C62" i="2"/>
  <c r="BD17" i="1"/>
  <c r="K62" i="2"/>
  <c r="G62" i="2"/>
  <c r="H62" i="2" s="1"/>
  <c r="E39" i="2"/>
  <c r="C39" i="2"/>
  <c r="AU5" i="1"/>
  <c r="L39" i="2"/>
  <c r="AU5" i="78"/>
  <c r="K39" i="2"/>
  <c r="AU5" i="70"/>
  <c r="D39" i="2"/>
  <c r="G39" i="2"/>
  <c r="H39" i="2" s="1"/>
  <c r="K105" i="2"/>
  <c r="D105" i="2"/>
  <c r="BD19" i="71"/>
  <c r="G105" i="2"/>
  <c r="H105" i="2" s="1"/>
  <c r="BD19" i="66"/>
  <c r="BD17" i="80"/>
  <c r="E105" i="2"/>
  <c r="C105" i="2"/>
  <c r="L105" i="2"/>
  <c r="BD11" i="71"/>
  <c r="L97" i="2"/>
  <c r="BD9" i="80"/>
  <c r="E97" i="2"/>
  <c r="K97" i="2"/>
  <c r="D97" i="2"/>
  <c r="BD11" i="66"/>
  <c r="C97" i="2"/>
  <c r="G97" i="2"/>
  <c r="H97" i="2" s="1"/>
  <c r="K154" i="2"/>
  <c r="C154" i="2"/>
  <c r="E154" i="2"/>
  <c r="D154" i="2"/>
  <c r="G154" i="2"/>
  <c r="H154" i="2" s="1"/>
  <c r="L154" i="2"/>
  <c r="BD7" i="68"/>
  <c r="G161" i="2"/>
  <c r="H161" i="2" s="1"/>
  <c r="BD14" i="68"/>
  <c r="K161" i="2"/>
  <c r="D161" i="2"/>
  <c r="L161" i="2"/>
  <c r="E161" i="2"/>
  <c r="C161" i="2"/>
  <c r="BD9" i="71"/>
  <c r="K95" i="2"/>
  <c r="G95" i="2"/>
  <c r="H95" i="2" s="1"/>
  <c r="L95" i="2"/>
  <c r="BD7" i="80"/>
  <c r="C95" i="2"/>
  <c r="D95" i="2"/>
  <c r="BD9" i="66"/>
  <c r="E95" i="2"/>
  <c r="L66" i="2"/>
  <c r="C66" i="2"/>
  <c r="BD21" i="1"/>
  <c r="E66" i="2"/>
  <c r="BD21" i="78"/>
  <c r="K66" i="2"/>
  <c r="G66" i="2"/>
  <c r="H66" i="2" s="1"/>
  <c r="BD21" i="70"/>
  <c r="D66" i="2"/>
  <c r="D187" i="2"/>
  <c r="BD16" i="76"/>
  <c r="BD16" i="69"/>
  <c r="E187" i="2"/>
  <c r="BD16" i="75"/>
  <c r="L187" i="2"/>
  <c r="C187" i="2"/>
  <c r="K187" i="2"/>
  <c r="BD16" i="82"/>
  <c r="G187" i="2"/>
  <c r="H187" i="2" s="1"/>
  <c r="D171" i="2"/>
  <c r="C171" i="2"/>
  <c r="L171" i="2"/>
  <c r="AU8" i="82"/>
  <c r="AU8" i="75"/>
  <c r="AU8" i="69"/>
  <c r="E171" i="2"/>
  <c r="K171" i="2"/>
  <c r="AU8" i="76"/>
  <c r="G171" i="2"/>
  <c r="H171" i="2" s="1"/>
  <c r="D159" i="2"/>
  <c r="E159" i="2"/>
  <c r="C159" i="2"/>
  <c r="BD12" i="68"/>
  <c r="K159" i="2"/>
  <c r="L159" i="2"/>
  <c r="G159" i="2"/>
  <c r="H159" i="2" s="1"/>
  <c r="K101" i="2"/>
  <c r="C101" i="2"/>
  <c r="BD15" i="66"/>
  <c r="D101" i="2"/>
  <c r="L101" i="2"/>
  <c r="E101" i="2"/>
  <c r="G101" i="2"/>
  <c r="H101" i="2" s="1"/>
  <c r="BD13" i="80"/>
  <c r="BD15" i="71"/>
  <c r="G135" i="2"/>
  <c r="H135" i="2" s="1"/>
  <c r="BD18" i="67"/>
  <c r="K135" i="2"/>
  <c r="BD18" i="81"/>
  <c r="BD18" i="74"/>
  <c r="E135" i="2"/>
  <c r="BD37" i="78"/>
  <c r="C135" i="2"/>
  <c r="D135" i="2"/>
  <c r="BD31" i="80"/>
  <c r="L135" i="2"/>
  <c r="BD18" i="73"/>
  <c r="BD13" i="82"/>
  <c r="BD13" i="69"/>
  <c r="E184" i="2"/>
  <c r="K184" i="2"/>
  <c r="C184" i="2"/>
  <c r="L184" i="2"/>
  <c r="BD13" i="76"/>
  <c r="BD13" i="75"/>
  <c r="D184" i="2"/>
  <c r="G184" i="2"/>
  <c r="H184" i="2" s="1"/>
  <c r="BD20" i="78"/>
  <c r="L65" i="2"/>
  <c r="E65" i="2"/>
  <c r="BD20" i="1"/>
  <c r="BD20" i="70"/>
  <c r="G65" i="2"/>
  <c r="H65" i="2" s="1"/>
  <c r="C65" i="2"/>
  <c r="D65" i="2"/>
  <c r="K65" i="2"/>
  <c r="K30" i="2"/>
  <c r="G30" i="2"/>
  <c r="H30" i="2" s="1"/>
  <c r="E30" i="2"/>
  <c r="BD6" i="77"/>
  <c r="D30" i="2"/>
  <c r="L30" i="2"/>
  <c r="C30" i="2"/>
  <c r="E146" i="2"/>
  <c r="K146" i="2"/>
  <c r="L146" i="2"/>
  <c r="AU8" i="68"/>
  <c r="C146" i="2"/>
  <c r="D58" i="2"/>
  <c r="BD13" i="70"/>
  <c r="BD13" i="1"/>
  <c r="K58" i="2"/>
  <c r="E58" i="2"/>
  <c r="BD13" i="78"/>
  <c r="L58" i="2"/>
  <c r="C58" i="2"/>
  <c r="G58" i="2"/>
  <c r="H58" i="2" s="1"/>
  <c r="G146" i="2"/>
  <c r="H146" i="2" s="1"/>
  <c r="AU13" i="77"/>
  <c r="AU17" i="68"/>
  <c r="BD28" i="68"/>
  <c r="AU21" i="70"/>
  <c r="BD20" i="77"/>
  <c r="AU21" i="1"/>
  <c r="BD33" i="70"/>
  <c r="BD33" i="71"/>
  <c r="AU21" i="66"/>
  <c r="BD44" i="80"/>
  <c r="L77" i="2"/>
  <c r="AU31" i="78"/>
  <c r="BD53" i="78"/>
  <c r="G77" i="2"/>
  <c r="H77" i="2" s="1"/>
  <c r="D77" i="2"/>
  <c r="C77" i="2"/>
  <c r="BD33" i="81"/>
  <c r="AU21" i="71"/>
  <c r="AU26" i="80"/>
  <c r="BD33" i="1"/>
  <c r="AU21" i="73"/>
  <c r="K77" i="2"/>
  <c r="AU21" i="81"/>
  <c r="BD33" i="67"/>
  <c r="BD33" i="73"/>
  <c r="AU21" i="74"/>
  <c r="AU21" i="67"/>
  <c r="E77" i="2"/>
  <c r="BD33" i="66"/>
  <c r="BD33" i="74"/>
  <c r="BD8" i="69"/>
  <c r="C179" i="2"/>
  <c r="K179" i="2"/>
  <c r="L179" i="2"/>
  <c r="BD8" i="75"/>
  <c r="BD8" i="76"/>
  <c r="D179" i="2"/>
  <c r="BD8" i="82"/>
  <c r="E179" i="2"/>
  <c r="G179" i="2"/>
  <c r="H179" i="2" s="1"/>
  <c r="AU83" i="76"/>
  <c r="K196" i="2"/>
  <c r="BD128" i="73"/>
  <c r="E196" i="2"/>
  <c r="L196" i="2"/>
  <c r="D196" i="2"/>
  <c r="AU83" i="73"/>
  <c r="C196" i="2"/>
  <c r="G196" i="2"/>
  <c r="H196" i="2" s="1"/>
  <c r="BD102" i="76"/>
  <c r="AU5" i="67"/>
  <c r="G112" i="2"/>
  <c r="H112" i="2" s="1"/>
  <c r="L112" i="2"/>
  <c r="K112" i="2"/>
  <c r="C112" i="2"/>
  <c r="AU5" i="74"/>
  <c r="E112" i="2"/>
  <c r="AU5" i="73"/>
  <c r="AU15" i="78"/>
  <c r="D112" i="2"/>
  <c r="AU5" i="81"/>
  <c r="AU18" i="78"/>
  <c r="E115" i="2"/>
  <c r="AU8" i="67"/>
  <c r="L115" i="2"/>
  <c r="C115" i="2"/>
  <c r="AU15" i="80"/>
  <c r="AU8" i="81"/>
  <c r="AU8" i="73"/>
  <c r="K115" i="2"/>
  <c r="D115" i="2"/>
  <c r="AU8" i="74"/>
  <c r="G115" i="2"/>
  <c r="H115" i="2" s="1"/>
  <c r="D35" i="2"/>
  <c r="K35" i="2"/>
  <c r="E35" i="2"/>
  <c r="G35" i="2"/>
  <c r="H35" i="2" s="1"/>
  <c r="L35" i="2"/>
  <c r="BD11" i="77"/>
  <c r="C35" i="2"/>
  <c r="D86" i="2"/>
  <c r="AU10" i="66"/>
  <c r="C86" i="2"/>
  <c r="AU10" i="71"/>
  <c r="L86" i="2"/>
  <c r="AU9" i="80"/>
  <c r="E86" i="2"/>
  <c r="K86" i="2"/>
  <c r="G86" i="2"/>
  <c r="H86" i="2" s="1"/>
  <c r="D47" i="2"/>
  <c r="AU13" i="78"/>
  <c r="AU13" i="1"/>
  <c r="E47" i="2"/>
  <c r="L47" i="2"/>
  <c r="G47" i="2"/>
  <c r="H47" i="2" s="1"/>
  <c r="K47" i="2"/>
  <c r="C47" i="2"/>
  <c r="AU13" i="70"/>
  <c r="D104" i="2"/>
  <c r="C104" i="2"/>
  <c r="G104" i="2"/>
  <c r="H104" i="2" s="1"/>
  <c r="BD18" i="71"/>
  <c r="BD16" i="80"/>
  <c r="E104" i="2"/>
  <c r="BD18" i="66"/>
  <c r="L104" i="2"/>
  <c r="K104" i="2"/>
  <c r="G205" i="2"/>
  <c r="H205" i="2" s="1"/>
  <c r="D205" i="2"/>
  <c r="C205" i="2"/>
  <c r="E205" i="2"/>
  <c r="K205" i="2"/>
  <c r="BD131" i="71"/>
  <c r="L205" i="2"/>
  <c r="D94" i="2"/>
  <c r="BD8" i="71"/>
  <c r="C94" i="2"/>
  <c r="BD6" i="80"/>
  <c r="BD8" i="66"/>
  <c r="L94" i="2"/>
  <c r="G94" i="2"/>
  <c r="H94" i="2" s="1"/>
  <c r="E94" i="2"/>
  <c r="K94" i="2"/>
  <c r="K132" i="2"/>
  <c r="BD28" i="80"/>
  <c r="C132" i="2"/>
  <c r="BD15" i="81"/>
  <c r="D132" i="2"/>
  <c r="BD15" i="74"/>
  <c r="BD15" i="73"/>
  <c r="L132" i="2"/>
  <c r="BD15" i="67"/>
  <c r="E132" i="2"/>
  <c r="BD34" i="78"/>
  <c r="G132" i="2"/>
  <c r="H132" i="2" s="1"/>
  <c r="K55" i="2"/>
  <c r="G55" i="2"/>
  <c r="H55" i="2" s="1"/>
  <c r="L55" i="2"/>
  <c r="D55" i="2"/>
  <c r="BD10" i="78"/>
  <c r="C55" i="2"/>
  <c r="BD10" i="70"/>
  <c r="E55" i="2"/>
  <c r="BD10" i="1"/>
  <c r="L199" i="2"/>
  <c r="E199" i="2"/>
  <c r="K199" i="2"/>
  <c r="D199" i="2"/>
  <c r="C199" i="2"/>
  <c r="AU94" i="71"/>
  <c r="G199" i="2"/>
  <c r="H199" i="2" s="1"/>
  <c r="C178" i="2"/>
  <c r="E178" i="2"/>
  <c r="D178" i="2"/>
  <c r="BD7" i="75"/>
  <c r="BD7" i="76"/>
  <c r="BD7" i="69"/>
  <c r="BD7" i="82"/>
  <c r="G178" i="2"/>
  <c r="H178" i="2" s="1"/>
  <c r="K178" i="2"/>
  <c r="L178" i="2"/>
  <c r="K200" i="2"/>
  <c r="E200" i="2"/>
  <c r="G200" i="2"/>
  <c r="H200" i="2" s="1"/>
  <c r="AU84" i="73"/>
  <c r="D200" i="2"/>
  <c r="L200" i="2"/>
  <c r="C200" i="2"/>
  <c r="C120" i="2"/>
  <c r="AU13" i="74"/>
  <c r="AU13" i="73"/>
  <c r="AU23" i="78"/>
  <c r="K120" i="2"/>
  <c r="AU13" i="67"/>
  <c r="D120" i="2"/>
  <c r="E120" i="2"/>
  <c r="L120" i="2"/>
  <c r="AU13" i="81"/>
  <c r="G120" i="2"/>
  <c r="H120" i="2" s="1"/>
  <c r="AU83" i="75"/>
  <c r="BD128" i="74"/>
  <c r="BD102" i="75"/>
  <c r="G210" i="2"/>
  <c r="H210" i="2" s="1"/>
  <c r="C210" i="2"/>
  <c r="E210" i="2"/>
  <c r="K210" i="2"/>
  <c r="D210" i="2"/>
  <c r="L210" i="2"/>
  <c r="AU83" i="74"/>
  <c r="E163" i="2"/>
  <c r="C163" i="2"/>
  <c r="L163" i="2"/>
  <c r="K163" i="2"/>
  <c r="D163" i="2"/>
  <c r="BD16" i="68"/>
  <c r="BD8" i="77"/>
  <c r="E32" i="2"/>
  <c r="K32" i="2"/>
  <c r="L32" i="2"/>
  <c r="D32" i="2"/>
  <c r="C32" i="2"/>
  <c r="E96" i="2"/>
  <c r="BD10" i="66"/>
  <c r="BD8" i="80"/>
  <c r="C96" i="2"/>
  <c r="BD10" i="71"/>
  <c r="D96" i="2"/>
  <c r="K96" i="2"/>
  <c r="L96" i="2"/>
  <c r="L181" i="2"/>
  <c r="BD10" i="75"/>
  <c r="K181" i="2"/>
  <c r="D181" i="2"/>
  <c r="G181" i="2"/>
  <c r="H181" i="2" s="1"/>
  <c r="BD10" i="82"/>
  <c r="E181" i="2"/>
  <c r="BD10" i="69"/>
  <c r="BD10" i="76"/>
  <c r="C181" i="2"/>
  <c r="L113" i="2"/>
  <c r="C113" i="2"/>
  <c r="AU6" i="74"/>
  <c r="AU6" i="67"/>
  <c r="AU6" i="81"/>
  <c r="K113" i="2"/>
  <c r="AU6" i="73"/>
  <c r="G113" i="2"/>
  <c r="H113" i="2" s="1"/>
  <c r="D113" i="2"/>
  <c r="AU13" i="80"/>
  <c r="AU16" i="78"/>
  <c r="E113" i="2"/>
  <c r="E67" i="2"/>
  <c r="BD22" i="1"/>
  <c r="G67" i="2"/>
  <c r="H67" i="2" s="1"/>
  <c r="BD22" i="70"/>
  <c r="D67" i="2"/>
  <c r="BD22" i="78"/>
  <c r="K67" i="2"/>
  <c r="C67" i="2"/>
  <c r="L67" i="2"/>
  <c r="E50" i="2"/>
  <c r="K50" i="2"/>
  <c r="BD5" i="1"/>
  <c r="G50" i="2"/>
  <c r="H50" i="2" s="1"/>
  <c r="D50" i="2"/>
  <c r="C50" i="2"/>
  <c r="BD5" i="78"/>
  <c r="BD5" i="70"/>
  <c r="L50" i="2"/>
  <c r="C118" i="2"/>
  <c r="AU18" i="80"/>
  <c r="AU21" i="78"/>
  <c r="AU11" i="81"/>
  <c r="AU11" i="74"/>
  <c r="K118" i="2"/>
  <c r="AU11" i="73"/>
  <c r="E118" i="2"/>
  <c r="D118" i="2"/>
  <c r="AU11" i="67"/>
  <c r="L118" i="2"/>
  <c r="AU9" i="66"/>
  <c r="K85" i="2"/>
  <c r="E85" i="2"/>
  <c r="AU8" i="80"/>
  <c r="G85" i="2"/>
  <c r="H85" i="2" s="1"/>
  <c r="L85" i="2"/>
  <c r="D85" i="2"/>
  <c r="AU9" i="71"/>
  <c r="C85" i="2"/>
  <c r="AU6" i="69"/>
  <c r="D169" i="2"/>
  <c r="L169" i="2"/>
  <c r="K169" i="2"/>
  <c r="AU6" i="76"/>
  <c r="AU6" i="82"/>
  <c r="E169" i="2"/>
  <c r="C169" i="2"/>
  <c r="AU6" i="75"/>
  <c r="E149" i="2"/>
  <c r="D149" i="2"/>
  <c r="C149" i="2"/>
  <c r="K149" i="2"/>
  <c r="AU11" i="68"/>
  <c r="G149" i="2"/>
  <c r="H149" i="2" s="1"/>
  <c r="L149" i="2"/>
  <c r="BD10" i="68"/>
  <c r="L157" i="2"/>
  <c r="C157" i="2"/>
  <c r="E157" i="2"/>
  <c r="D157" i="2"/>
  <c r="K157" i="2"/>
  <c r="G157" i="2"/>
  <c r="H157" i="2" s="1"/>
  <c r="C56" i="2"/>
  <c r="K56" i="2"/>
  <c r="BD11" i="70"/>
  <c r="L56" i="2"/>
  <c r="BD11" i="78"/>
  <c r="E56" i="2"/>
  <c r="D56" i="2"/>
  <c r="BD11" i="1"/>
  <c r="G56" i="2"/>
  <c r="H56" i="2" s="1"/>
  <c r="C144" i="2"/>
  <c r="G144" i="2"/>
  <c r="H144" i="2" s="1"/>
  <c r="L144" i="2"/>
  <c r="AU6" i="68"/>
  <c r="K144" i="2"/>
  <c r="D144" i="2"/>
  <c r="E144" i="2"/>
  <c r="D33" i="2"/>
  <c r="E33" i="2"/>
  <c r="K33" i="2"/>
  <c r="G33" i="2"/>
  <c r="H33" i="2" s="1"/>
  <c r="C33" i="2"/>
  <c r="BD9" i="77"/>
  <c r="L33" i="2"/>
  <c r="D204" i="2"/>
  <c r="E204" i="2"/>
  <c r="C204" i="2"/>
  <c r="K204" i="2"/>
  <c r="L204" i="2"/>
  <c r="BD131" i="70"/>
  <c r="G204" i="2"/>
  <c r="H204" i="2" s="1"/>
  <c r="L134" i="2"/>
  <c r="D134" i="2"/>
  <c r="E134" i="2"/>
  <c r="BD36" i="78"/>
  <c r="BD30" i="80"/>
  <c r="BD17" i="73"/>
  <c r="BD17" i="81"/>
  <c r="C134" i="2"/>
  <c r="BD17" i="67"/>
  <c r="BD17" i="74"/>
  <c r="K134" i="2"/>
  <c r="C156" i="2"/>
  <c r="D156" i="2"/>
  <c r="E156" i="2"/>
  <c r="K156" i="2"/>
  <c r="L156" i="2"/>
  <c r="BD9" i="68"/>
  <c r="BD47" i="78"/>
  <c r="E71" i="2"/>
  <c r="BD52" i="78"/>
  <c r="C76" i="2"/>
  <c r="AU30" i="78"/>
  <c r="BD32" i="74"/>
  <c r="BD27" i="68"/>
  <c r="AU25" i="80"/>
  <c r="AU20" i="1"/>
  <c r="AU20" i="71"/>
  <c r="AU20" i="73"/>
  <c r="BD32" i="81"/>
  <c r="BD32" i="1"/>
  <c r="E76" i="2"/>
  <c r="AU20" i="81"/>
  <c r="L76" i="2"/>
  <c r="BD32" i="66"/>
  <c r="G76" i="2"/>
  <c r="H76" i="2" s="1"/>
  <c r="BD43" i="80"/>
  <c r="AU20" i="66"/>
  <c r="K76" i="2"/>
  <c r="BD32" i="67"/>
  <c r="D76" i="2"/>
  <c r="BD32" i="71"/>
  <c r="BD19" i="77"/>
  <c r="AU12" i="77"/>
  <c r="BD32" i="70"/>
  <c r="AU20" i="70"/>
  <c r="AU16" i="68"/>
  <c r="BD32" i="73"/>
  <c r="AU20" i="74"/>
  <c r="AU20" i="67"/>
  <c r="D165" i="2"/>
  <c r="C165" i="2"/>
  <c r="K165" i="2"/>
  <c r="BD18" i="68"/>
  <c r="G165" i="2"/>
  <c r="H165" i="2" s="1"/>
  <c r="L165" i="2"/>
  <c r="E165" i="2"/>
  <c r="AU9" i="82"/>
  <c r="AU9" i="75"/>
  <c r="C172" i="2"/>
  <c r="G172" i="2"/>
  <c r="H172" i="2" s="1"/>
  <c r="K172" i="2"/>
  <c r="AU9" i="69"/>
  <c r="E172" i="2"/>
  <c r="L172" i="2"/>
  <c r="D172" i="2"/>
  <c r="AU9" i="76"/>
  <c r="E168" i="2"/>
  <c r="D168" i="2"/>
  <c r="AU5" i="76"/>
  <c r="AU5" i="75"/>
  <c r="AU5" i="69"/>
  <c r="L168" i="2"/>
  <c r="K168" i="2"/>
  <c r="C168" i="2"/>
  <c r="AU5" i="82"/>
  <c r="BD14" i="67"/>
  <c r="K131" i="2"/>
  <c r="BD33" i="78"/>
  <c r="BD14" i="73"/>
  <c r="D131" i="2"/>
  <c r="BD14" i="81"/>
  <c r="BD27" i="80"/>
  <c r="L131" i="2"/>
  <c r="E131" i="2"/>
  <c r="C131" i="2"/>
  <c r="BD14" i="74"/>
  <c r="G131" i="2"/>
  <c r="H131" i="2" s="1"/>
  <c r="D87" i="2"/>
  <c r="AU10" i="80"/>
  <c r="C87" i="2"/>
  <c r="G87" i="2"/>
  <c r="H87" i="2" s="1"/>
  <c r="E87" i="2"/>
  <c r="L87" i="2"/>
  <c r="K87" i="2"/>
  <c r="AU11" i="66"/>
  <c r="AU11" i="71"/>
  <c r="BD9" i="69"/>
  <c r="C180" i="2"/>
  <c r="D180" i="2"/>
  <c r="BD9" i="75"/>
  <c r="G180" i="2"/>
  <c r="H180" i="2" s="1"/>
  <c r="K180" i="2"/>
  <c r="BD9" i="76"/>
  <c r="BD9" i="82"/>
  <c r="L180" i="2"/>
  <c r="E180" i="2"/>
  <c r="BD9" i="74"/>
  <c r="E126" i="2"/>
  <c r="C126" i="2"/>
  <c r="BD9" i="73"/>
  <c r="BD28" i="78"/>
  <c r="K126" i="2"/>
  <c r="G126" i="2"/>
  <c r="H126" i="2" s="1"/>
  <c r="L126" i="2"/>
  <c r="D126" i="2"/>
  <c r="BD9" i="67"/>
  <c r="BD9" i="81"/>
  <c r="BD22" i="80"/>
  <c r="BD15" i="76"/>
  <c r="BD15" i="69"/>
  <c r="BD15" i="82"/>
  <c r="E186" i="2"/>
  <c r="C186" i="2"/>
  <c r="G186" i="2"/>
  <c r="H186" i="2" s="1"/>
  <c r="L186" i="2"/>
  <c r="BD15" i="75"/>
  <c r="D186" i="2"/>
  <c r="K186" i="2"/>
  <c r="C170" i="2"/>
  <c r="AU7" i="69"/>
  <c r="E170" i="2"/>
  <c r="K170" i="2"/>
  <c r="L170" i="2"/>
  <c r="AU7" i="75"/>
  <c r="AU7" i="82"/>
  <c r="G170" i="2"/>
  <c r="H170" i="2" s="1"/>
  <c r="AU7" i="76"/>
  <c r="D170" i="2"/>
  <c r="AU84" i="76"/>
  <c r="D201" i="2"/>
  <c r="K201" i="2"/>
  <c r="E201" i="2"/>
  <c r="L201" i="2"/>
  <c r="C201" i="2"/>
  <c r="D34" i="2"/>
  <c r="BD10" i="77"/>
  <c r="K34" i="2"/>
  <c r="C34" i="2"/>
  <c r="E34" i="2"/>
  <c r="L34" i="2"/>
  <c r="D158" i="2"/>
  <c r="G158" i="2"/>
  <c r="H158" i="2" s="1"/>
  <c r="L158" i="2"/>
  <c r="BD11" i="68"/>
  <c r="K158" i="2"/>
  <c r="C158" i="2"/>
  <c r="E158" i="2"/>
  <c r="BD16" i="81"/>
  <c r="BD35" i="78"/>
  <c r="BD16" i="67"/>
  <c r="L133" i="2"/>
  <c r="D133" i="2"/>
  <c r="C133" i="2"/>
  <c r="E133" i="2"/>
  <c r="G133" i="2"/>
  <c r="H133" i="2" s="1"/>
  <c r="K133" i="2"/>
  <c r="BD16" i="73"/>
  <c r="BD16" i="74"/>
  <c r="BD29" i="80"/>
  <c r="AU10" i="68"/>
  <c r="C148" i="2"/>
  <c r="K148" i="2"/>
  <c r="L148" i="2"/>
  <c r="D148" i="2"/>
  <c r="G148" i="2"/>
  <c r="H148" i="2" s="1"/>
  <c r="E148" i="2"/>
  <c r="C164" i="2"/>
  <c r="D164" i="2"/>
  <c r="K164" i="2"/>
  <c r="L164" i="2"/>
  <c r="G164" i="2"/>
  <c r="H164" i="2" s="1"/>
  <c r="E164" i="2"/>
  <c r="BD17" i="68"/>
  <c r="K128" i="2"/>
  <c r="BD11" i="74"/>
  <c r="BD30" i="78"/>
  <c r="BD11" i="73"/>
  <c r="BD24" i="80"/>
  <c r="E128" i="2"/>
  <c r="BD11" i="81"/>
  <c r="G128" i="2"/>
  <c r="H128" i="2" s="1"/>
  <c r="C128" i="2"/>
  <c r="L128" i="2"/>
  <c r="D128" i="2"/>
  <c r="BD11" i="67"/>
  <c r="C53" i="2"/>
  <c r="BD8" i="70"/>
  <c r="E53" i="2"/>
  <c r="G53" i="2"/>
  <c r="H53" i="2" s="1"/>
  <c r="L53" i="2"/>
  <c r="BD8" i="78"/>
  <c r="BD8" i="1"/>
  <c r="K53" i="2"/>
  <c r="D53" i="2"/>
  <c r="G41" i="2"/>
  <c r="H41" i="2" s="1"/>
  <c r="E41" i="2"/>
  <c r="AU7" i="1"/>
  <c r="AU7" i="70"/>
  <c r="L41" i="2"/>
  <c r="D41" i="2"/>
  <c r="AU7" i="78"/>
  <c r="C41" i="2"/>
  <c r="K41" i="2"/>
  <c r="AU19" i="71"/>
  <c r="D75" i="2"/>
  <c r="AU19" i="74"/>
  <c r="E75" i="2"/>
  <c r="BD51" i="78"/>
  <c r="AU24" i="80"/>
  <c r="G75" i="2"/>
  <c r="H75" i="2" s="1"/>
  <c r="BD31" i="1"/>
  <c r="BD26" i="68"/>
  <c r="BD31" i="66"/>
  <c r="L75" i="2"/>
  <c r="BD31" i="73"/>
  <c r="K75" i="2"/>
  <c r="AU15" i="68"/>
  <c r="BD31" i="74"/>
  <c r="AU29" i="78"/>
  <c r="BD31" i="70"/>
  <c r="C75" i="2"/>
  <c r="AU19" i="70"/>
  <c r="AU19" i="1"/>
  <c r="BD31" i="71"/>
  <c r="BD31" i="67"/>
  <c r="AU19" i="67"/>
  <c r="BD42" i="80"/>
  <c r="AU11" i="77"/>
  <c r="AU19" i="73"/>
  <c r="BD18" i="77"/>
  <c r="AU19" i="66"/>
  <c r="AU19" i="81"/>
  <c r="BD35" i="73"/>
  <c r="D79" i="2"/>
  <c r="E79" i="2"/>
  <c r="BD35" i="74"/>
  <c r="BD35" i="1"/>
  <c r="BD55" i="78"/>
  <c r="BD35" i="67"/>
  <c r="AU23" i="74"/>
  <c r="BD35" i="81"/>
  <c r="K79" i="2"/>
  <c r="C79" i="2"/>
  <c r="BD35" i="70"/>
  <c r="L79" i="2"/>
  <c r="AU23" i="1"/>
  <c r="AU23" i="70"/>
  <c r="AU23" i="81"/>
  <c r="AU23" i="73"/>
  <c r="AU33" i="78"/>
  <c r="BD30" i="68"/>
  <c r="AU19" i="68"/>
  <c r="AU23" i="67"/>
  <c r="G177" i="2"/>
  <c r="H177" i="2" s="1"/>
  <c r="K177" i="2"/>
  <c r="D177" i="2"/>
  <c r="E177" i="2"/>
  <c r="C177" i="2"/>
  <c r="L177" i="2"/>
  <c r="BD6" i="69"/>
  <c r="BD6" i="75"/>
  <c r="BD6" i="82"/>
  <c r="BD6" i="76"/>
  <c r="C40" i="2"/>
  <c r="AU6" i="1"/>
  <c r="L40" i="2"/>
  <c r="K40" i="2"/>
  <c r="AU6" i="78"/>
  <c r="D40" i="2"/>
  <c r="E40" i="2"/>
  <c r="AU6" i="70"/>
  <c r="L182" i="2"/>
  <c r="D182" i="2"/>
  <c r="G182" i="2"/>
  <c r="H182" i="2" s="1"/>
  <c r="BD11" i="75"/>
  <c r="C182" i="2"/>
  <c r="E182" i="2"/>
  <c r="BD11" i="69"/>
  <c r="K182" i="2"/>
  <c r="BD11" i="82"/>
  <c r="BD11" i="76"/>
  <c r="C23" i="2"/>
  <c r="AU5" i="77"/>
  <c r="K23" i="2"/>
  <c r="L23" i="2"/>
  <c r="E23" i="2"/>
  <c r="D23" i="2"/>
  <c r="C29" i="2"/>
  <c r="BD5" i="77"/>
  <c r="D29" i="2"/>
  <c r="E29" i="2"/>
  <c r="L29" i="2"/>
  <c r="K29" i="2"/>
  <c r="G29" i="2"/>
  <c r="H29" i="2" s="1"/>
  <c r="G160" i="2"/>
  <c r="H160" i="2" s="1"/>
  <c r="K160" i="2"/>
  <c r="D160" i="2"/>
  <c r="L160" i="2"/>
  <c r="E160" i="2"/>
  <c r="C160" i="2"/>
  <c r="BD13" i="68"/>
  <c r="C26" i="2"/>
  <c r="G26" i="2"/>
  <c r="H26" i="2" s="1"/>
  <c r="L26" i="2"/>
  <c r="AU8" i="77"/>
  <c r="D26" i="2"/>
  <c r="E26" i="2"/>
  <c r="K26" i="2"/>
  <c r="BD41" i="78"/>
  <c r="L139" i="2"/>
  <c r="BD22" i="67"/>
  <c r="BD22" i="81"/>
  <c r="BD22" i="73"/>
  <c r="D139" i="2"/>
  <c r="K139" i="2"/>
  <c r="G139" i="2"/>
  <c r="H139" i="2" s="1"/>
  <c r="C139" i="2"/>
  <c r="E139" i="2"/>
  <c r="BD22" i="74"/>
  <c r="AU7" i="80"/>
  <c r="K84" i="2"/>
  <c r="D84" i="2"/>
  <c r="C84" i="2"/>
  <c r="E84" i="2"/>
  <c r="AU8" i="71"/>
  <c r="L84" i="2"/>
  <c r="AU8" i="66"/>
  <c r="AU12" i="70"/>
  <c r="E46" i="2"/>
  <c r="AU12" i="78"/>
  <c r="L46" i="2"/>
  <c r="K46" i="2"/>
  <c r="C46" i="2"/>
  <c r="AU12" i="1"/>
  <c r="G46" i="2"/>
  <c r="H46" i="2" s="1"/>
  <c r="D46" i="2"/>
  <c r="D82" i="2"/>
  <c r="E82" i="2"/>
  <c r="K82" i="2"/>
  <c r="AU6" i="66"/>
  <c r="G82" i="2"/>
  <c r="H82" i="2" s="1"/>
  <c r="AU5" i="80"/>
  <c r="AU6" i="71"/>
  <c r="L82" i="2"/>
  <c r="C82" i="2"/>
  <c r="C123" i="2"/>
  <c r="D123" i="2"/>
  <c r="L123" i="2"/>
  <c r="BD6" i="73"/>
  <c r="G123" i="2"/>
  <c r="H123" i="2" s="1"/>
  <c r="BD6" i="67"/>
  <c r="BD6" i="74"/>
  <c r="E123" i="2"/>
  <c r="BD25" i="78"/>
  <c r="K123" i="2"/>
  <c r="BD6" i="81"/>
  <c r="L153" i="2"/>
  <c r="D153" i="2"/>
  <c r="K153" i="2"/>
  <c r="C153" i="2"/>
  <c r="BD6" i="68"/>
  <c r="E153" i="2"/>
  <c r="BD15" i="70"/>
  <c r="K60" i="2"/>
  <c r="BD15" i="1"/>
  <c r="C60" i="2"/>
  <c r="E60" i="2"/>
  <c r="L60" i="2"/>
  <c r="BD15" i="78"/>
  <c r="D60" i="2"/>
  <c r="G60" i="2"/>
  <c r="H60" i="2" s="1"/>
  <c r="G42" i="2"/>
  <c r="H42" i="2" s="1"/>
  <c r="E42" i="2"/>
  <c r="K42" i="2"/>
  <c r="L42" i="2"/>
  <c r="AU8" i="70"/>
  <c r="C42" i="2"/>
  <c r="AU8" i="78"/>
  <c r="AU8" i="1"/>
  <c r="D42" i="2"/>
  <c r="BD9" i="78"/>
  <c r="K54" i="2"/>
  <c r="BD9" i="1"/>
  <c r="C54" i="2"/>
  <c r="BD9" i="70"/>
  <c r="L54" i="2"/>
  <c r="D54" i="2"/>
  <c r="G54" i="2"/>
  <c r="H54" i="2" s="1"/>
  <c r="E54" i="2"/>
  <c r="BD128" i="70"/>
  <c r="D194" i="2"/>
  <c r="L194" i="2"/>
  <c r="AU83" i="70"/>
  <c r="K194" i="2"/>
  <c r="C194" i="2"/>
  <c r="E194" i="2"/>
  <c r="BD8" i="68"/>
  <c r="L155" i="2"/>
  <c r="G155" i="2"/>
  <c r="H155" i="2" s="1"/>
  <c r="E155" i="2"/>
  <c r="D155" i="2"/>
  <c r="C155" i="2"/>
  <c r="K155" i="2"/>
  <c r="AU22" i="74"/>
  <c r="AU22" i="66"/>
  <c r="L78" i="2"/>
  <c r="AU22" i="67"/>
  <c r="AU22" i="71"/>
  <c r="D78" i="2"/>
  <c r="BD34" i="1"/>
  <c r="K78" i="2"/>
  <c r="BD45" i="80"/>
  <c r="BD34" i="70"/>
  <c r="BD34" i="73"/>
  <c r="BD34" i="81"/>
  <c r="AU22" i="1"/>
  <c r="BD34" i="66"/>
  <c r="C78" i="2"/>
  <c r="AU32" i="78"/>
  <c r="BD29" i="68"/>
  <c r="AU27" i="80"/>
  <c r="AU18" i="68"/>
  <c r="AU22" i="81"/>
  <c r="E78" i="2"/>
  <c r="BD34" i="74"/>
  <c r="BD34" i="71"/>
  <c r="AU22" i="70"/>
  <c r="BD54" i="78"/>
  <c r="AU22" i="73"/>
  <c r="BD34" i="67"/>
  <c r="BD19" i="1"/>
  <c r="E64" i="2"/>
  <c r="G64" i="2"/>
  <c r="H64" i="2" s="1"/>
  <c r="L64" i="2"/>
  <c r="BD19" i="70"/>
  <c r="D64" i="2"/>
  <c r="K64" i="2"/>
  <c r="C64" i="2"/>
  <c r="BD19" i="78"/>
  <c r="K145" i="2"/>
  <c r="AU7" i="68"/>
  <c r="C145" i="2"/>
  <c r="G145" i="2"/>
  <c r="H145" i="2" s="1"/>
  <c r="D145" i="2"/>
  <c r="L145" i="2"/>
  <c r="E145" i="2"/>
  <c r="D198" i="2"/>
  <c r="C198" i="2"/>
  <c r="AU84" i="70"/>
  <c r="L198" i="2"/>
  <c r="K198" i="2"/>
  <c r="G198" i="2"/>
  <c r="H198" i="2" s="1"/>
  <c r="E198" i="2"/>
  <c r="K52" i="2"/>
  <c r="L52" i="2"/>
  <c r="G52" i="2"/>
  <c r="H52" i="2" s="1"/>
  <c r="D52" i="2"/>
  <c r="E52" i="2"/>
  <c r="BD7" i="70"/>
  <c r="BD7" i="1"/>
  <c r="BD7" i="78"/>
  <c r="C52" i="2"/>
  <c r="BD10" i="81"/>
  <c r="BD23" i="80"/>
  <c r="K127" i="2"/>
  <c r="D127" i="2"/>
  <c r="L127" i="2"/>
  <c r="BD29" i="78"/>
  <c r="E127" i="2"/>
  <c r="G127" i="2"/>
  <c r="H127" i="2" s="1"/>
  <c r="BD10" i="67"/>
  <c r="C127" i="2"/>
  <c r="BD10" i="73"/>
  <c r="BD10" i="74"/>
  <c r="E88" i="2"/>
  <c r="D88" i="2"/>
  <c r="L88" i="2"/>
  <c r="C88" i="2"/>
  <c r="AU12" i="66"/>
  <c r="AU12" i="71"/>
  <c r="K88" i="2"/>
  <c r="G88" i="2"/>
  <c r="H88" i="2" s="1"/>
  <c r="AU11" i="80"/>
  <c r="AU7" i="73"/>
  <c r="E114" i="2"/>
  <c r="D114" i="2"/>
  <c r="AU7" i="74"/>
  <c r="AU17" i="78"/>
  <c r="C114" i="2"/>
  <c r="AU7" i="81"/>
  <c r="AU7" i="67"/>
  <c r="AU14" i="80"/>
  <c r="L114" i="2"/>
  <c r="G114" i="2"/>
  <c r="H114" i="2" s="1"/>
  <c r="K114" i="2"/>
  <c r="C195" i="2"/>
  <c r="D195" i="2"/>
  <c r="BD128" i="71"/>
  <c r="K195" i="2"/>
  <c r="G195" i="2"/>
  <c r="H195" i="2" s="1"/>
  <c r="E195" i="2"/>
  <c r="AU93" i="71"/>
  <c r="L195" i="2"/>
  <c r="G174" i="2"/>
  <c r="H174" i="2" s="1"/>
  <c r="AU11" i="76"/>
  <c r="C174" i="2"/>
  <c r="L174" i="2"/>
  <c r="AU11" i="82"/>
  <c r="K174" i="2"/>
  <c r="E174" i="2"/>
  <c r="AU11" i="75"/>
  <c r="AU11" i="69"/>
  <c r="D174" i="2"/>
  <c r="K206" i="2"/>
  <c r="BD131" i="73"/>
  <c r="E206" i="2"/>
  <c r="L206" i="2"/>
  <c r="BD105" i="76"/>
  <c r="D206" i="2"/>
  <c r="C206" i="2"/>
  <c r="L212" i="2"/>
  <c r="K212" i="2"/>
  <c r="G212" i="2"/>
  <c r="H212" i="2" s="1"/>
  <c r="BD103" i="75"/>
  <c r="AU84" i="75"/>
  <c r="C212" i="2"/>
  <c r="D212" i="2"/>
  <c r="E212" i="2"/>
  <c r="G24" i="2"/>
  <c r="H24" i="2" s="1"/>
  <c r="AU6" i="77"/>
  <c r="L24" i="2"/>
  <c r="E24" i="2"/>
  <c r="D24" i="2"/>
  <c r="K24" i="2"/>
  <c r="C24" i="2"/>
  <c r="BD8" i="73"/>
  <c r="BD8" i="67"/>
  <c r="D125" i="2"/>
  <c r="BD21" i="80"/>
  <c r="L125" i="2"/>
  <c r="BD8" i="81"/>
  <c r="E125" i="2"/>
  <c r="K125" i="2"/>
  <c r="BD27" i="78"/>
  <c r="C125" i="2"/>
  <c r="BD8" i="74"/>
  <c r="AU10" i="1"/>
  <c r="G44" i="2"/>
  <c r="H44" i="2" s="1"/>
  <c r="D44" i="2"/>
  <c r="L44" i="2"/>
  <c r="AU10" i="70"/>
  <c r="K44" i="2"/>
  <c r="AU10" i="78"/>
  <c r="C44" i="2"/>
  <c r="E44" i="2"/>
  <c r="AU9" i="78"/>
  <c r="L43" i="2"/>
  <c r="K43" i="2"/>
  <c r="AU9" i="1"/>
  <c r="D43" i="2"/>
  <c r="G43" i="2"/>
  <c r="H43" i="2" s="1"/>
  <c r="C43" i="2"/>
  <c r="AU9" i="70"/>
  <c r="E43" i="2"/>
  <c r="K98" i="2"/>
  <c r="E98" i="2"/>
  <c r="BD12" i="66"/>
  <c r="BD10" i="80"/>
  <c r="C98" i="2"/>
  <c r="G98" i="2"/>
  <c r="H98" i="2" s="1"/>
  <c r="L98" i="2"/>
  <c r="BD12" i="71"/>
  <c r="D98" i="2"/>
  <c r="E143" i="2"/>
  <c r="D143" i="2"/>
  <c r="C143" i="2"/>
  <c r="AU5" i="68"/>
  <c r="K143" i="2"/>
  <c r="L143" i="2"/>
  <c r="L147" i="2"/>
  <c r="K147" i="2"/>
  <c r="C147" i="2"/>
  <c r="AU9" i="68"/>
  <c r="D147" i="2"/>
  <c r="E147" i="2"/>
  <c r="BD30" i="70"/>
  <c r="AU18" i="71"/>
  <c r="C74" i="2"/>
  <c r="BD50" i="78"/>
  <c r="BD30" i="81"/>
  <c r="BD30" i="67"/>
  <c r="AU18" i="67"/>
  <c r="AU18" i="70"/>
  <c r="AU23" i="80"/>
  <c r="AU18" i="81"/>
  <c r="AU18" i="74"/>
  <c r="L74" i="2"/>
  <c r="BD30" i="1"/>
  <c r="BD25" i="68"/>
  <c r="K74" i="2"/>
  <c r="BD41" i="80"/>
  <c r="BD30" i="71"/>
  <c r="BD30" i="74"/>
  <c r="BD17" i="77"/>
  <c r="D74" i="2"/>
  <c r="E74" i="2"/>
  <c r="AU18" i="66"/>
  <c r="G74" i="2"/>
  <c r="H74" i="2" s="1"/>
  <c r="AU10" i="77"/>
  <c r="AU14" i="68"/>
  <c r="AU18" i="73"/>
  <c r="AU28" i="78"/>
  <c r="BD30" i="73"/>
  <c r="BD30" i="66"/>
  <c r="AU18" i="1"/>
  <c r="L59" i="2"/>
  <c r="D59" i="2"/>
  <c r="K59" i="2"/>
  <c r="E59" i="2"/>
  <c r="BD14" i="70"/>
  <c r="BD14" i="78"/>
  <c r="C59" i="2"/>
  <c r="G59" i="2"/>
  <c r="H59" i="2" s="1"/>
  <c r="BD14" i="1"/>
  <c r="C185" i="2"/>
  <c r="K185" i="2"/>
  <c r="D185" i="2"/>
  <c r="BD14" i="76"/>
  <c r="BD14" i="69"/>
  <c r="L185" i="2"/>
  <c r="BD14" i="75"/>
  <c r="E185" i="2"/>
  <c r="BD14" i="82"/>
  <c r="L208" i="2"/>
  <c r="K208" i="2"/>
  <c r="G208" i="2"/>
  <c r="H208" i="2" s="1"/>
  <c r="E208" i="2"/>
  <c r="C208" i="2"/>
  <c r="D208" i="2"/>
  <c r="D137" i="2"/>
  <c r="BD20" i="67"/>
  <c r="C137" i="2"/>
  <c r="K137" i="2"/>
  <c r="BD20" i="81"/>
  <c r="BD20" i="73"/>
  <c r="BD33" i="80"/>
  <c r="BD39" i="78"/>
  <c r="E137" i="2"/>
  <c r="L137" i="2"/>
  <c r="BD20" i="74"/>
  <c r="G137" i="2"/>
  <c r="H137" i="2" s="1"/>
  <c r="AU19" i="80"/>
  <c r="AU12" i="74"/>
  <c r="AU12" i="81"/>
  <c r="L119" i="2"/>
  <c r="AU12" i="73"/>
  <c r="AU22" i="78"/>
  <c r="AU12" i="67"/>
  <c r="K119" i="2"/>
  <c r="D119" i="2"/>
  <c r="E119" i="2"/>
  <c r="C119" i="2"/>
  <c r="D162" i="2"/>
  <c r="K162" i="2"/>
  <c r="L162" i="2"/>
  <c r="BD15" i="68"/>
  <c r="G162" i="2"/>
  <c r="H162" i="2" s="1"/>
  <c r="C162" i="2"/>
  <c r="E162" i="2"/>
  <c r="BD12" i="74"/>
  <c r="E129" i="2"/>
  <c r="K129" i="2"/>
  <c r="G129" i="2"/>
  <c r="H129" i="2" s="1"/>
  <c r="BD31" i="78"/>
  <c r="C129" i="2"/>
  <c r="BD12" i="67"/>
  <c r="D129" i="2"/>
  <c r="BD12" i="73"/>
  <c r="L129" i="2"/>
  <c r="BD12" i="81"/>
  <c r="BD25" i="80"/>
  <c r="BD7" i="73"/>
  <c r="BD26" i="78"/>
  <c r="BD7" i="67"/>
  <c r="L124" i="2"/>
  <c r="C124" i="2"/>
  <c r="BD7" i="74"/>
  <c r="BD20" i="80"/>
  <c r="BD7" i="81"/>
  <c r="E124" i="2"/>
  <c r="D124" i="2"/>
  <c r="K124" i="2"/>
  <c r="K106" i="2"/>
  <c r="BD18" i="80"/>
  <c r="E106" i="2"/>
  <c r="G106" i="2"/>
  <c r="H106" i="2" s="1"/>
  <c r="BD20" i="66"/>
  <c r="L106" i="2"/>
  <c r="BD20" i="71"/>
  <c r="D106" i="2"/>
  <c r="C106" i="2"/>
  <c r="C173" i="2"/>
  <c r="G173" i="2"/>
  <c r="H173" i="2" s="1"/>
  <c r="E173" i="2"/>
  <c r="AU10" i="76"/>
  <c r="AU10" i="75"/>
  <c r="AU10" i="82"/>
  <c r="D173" i="2"/>
  <c r="K173" i="2"/>
  <c r="L173" i="2"/>
  <c r="AU10" i="69"/>
  <c r="C57" i="2"/>
  <c r="L57" i="2"/>
  <c r="D57" i="2"/>
  <c r="E57" i="2"/>
  <c r="K57" i="2"/>
  <c r="BD12" i="1"/>
  <c r="BD12" i="78"/>
  <c r="G57" i="2"/>
  <c r="H57" i="2" s="1"/>
  <c r="BD12" i="70"/>
  <c r="K176" i="2"/>
  <c r="BD5" i="75"/>
  <c r="D176" i="2"/>
  <c r="L176" i="2"/>
  <c r="C176" i="2"/>
  <c r="E176" i="2"/>
  <c r="BD5" i="69"/>
  <c r="G176" i="2"/>
  <c r="H176" i="2" s="1"/>
  <c r="BD5" i="82"/>
  <c r="BD5" i="76"/>
  <c r="BD13" i="67"/>
  <c r="BD13" i="74"/>
  <c r="K130" i="2"/>
  <c r="BD13" i="73"/>
  <c r="D130" i="2"/>
  <c r="G130" i="2"/>
  <c r="H130" i="2" s="1"/>
  <c r="E130" i="2"/>
  <c r="BD26" i="80"/>
  <c r="C130" i="2"/>
  <c r="L130" i="2"/>
  <c r="BD13" i="81"/>
  <c r="BD32" i="78"/>
  <c r="E122" i="2"/>
  <c r="BD5" i="74"/>
  <c r="G122" i="2"/>
  <c r="H122" i="2" s="1"/>
  <c r="L122" i="2"/>
  <c r="BD5" i="73"/>
  <c r="D122" i="2"/>
  <c r="BD5" i="67"/>
  <c r="BD24" i="78"/>
  <c r="BD5" i="81"/>
  <c r="C122" i="2"/>
  <c r="K122" i="2"/>
  <c r="AU10" i="74"/>
  <c r="C117" i="2"/>
  <c r="D117" i="2"/>
  <c r="AU20" i="78"/>
  <c r="E117" i="2"/>
  <c r="L117" i="2"/>
  <c r="AU17" i="80"/>
  <c r="AU10" i="81"/>
  <c r="K117" i="2"/>
  <c r="AU10" i="67"/>
  <c r="AU10" i="73"/>
  <c r="C189" i="2"/>
  <c r="BD18" i="82"/>
  <c r="BD18" i="69"/>
  <c r="D189" i="2"/>
  <c r="E189" i="2"/>
  <c r="L189" i="2"/>
  <c r="BD18" i="76"/>
  <c r="BD18" i="75"/>
  <c r="K189" i="2"/>
  <c r="L102" i="2"/>
  <c r="BD16" i="66"/>
  <c r="C102" i="2"/>
  <c r="E102" i="2"/>
  <c r="BD14" i="80"/>
  <c r="D102" i="2"/>
  <c r="BD16" i="71"/>
  <c r="K102" i="2"/>
  <c r="BD21" i="67"/>
  <c r="C138" i="2"/>
  <c r="K138" i="2"/>
  <c r="E138" i="2"/>
  <c r="D138" i="2"/>
  <c r="BD21" i="74"/>
  <c r="BD21" i="81"/>
  <c r="BD40" i="78"/>
  <c r="BD21" i="73"/>
  <c r="L138" i="2"/>
  <c r="G102" i="2"/>
  <c r="H102" i="2" s="1"/>
  <c r="G96" i="2"/>
  <c r="H96" i="2" s="1"/>
  <c r="AU9" i="74"/>
  <c r="AU19" i="78"/>
  <c r="AU16" i="80"/>
  <c r="G116" i="2"/>
  <c r="H116" i="2" s="1"/>
  <c r="AU9" i="81"/>
  <c r="C116" i="2"/>
  <c r="AU9" i="73"/>
  <c r="K116" i="2"/>
  <c r="L116" i="2"/>
  <c r="D116" i="2"/>
  <c r="E116" i="2"/>
  <c r="AU9" i="67"/>
  <c r="BD14" i="66"/>
  <c r="E100" i="2"/>
  <c r="BD14" i="71"/>
  <c r="D100" i="2"/>
  <c r="C100" i="2"/>
  <c r="BD12" i="80"/>
  <c r="L100" i="2"/>
  <c r="K100" i="2"/>
  <c r="BD19" i="73"/>
  <c r="BD19" i="81"/>
  <c r="BD38" i="78"/>
  <c r="G136" i="2"/>
  <c r="H136" i="2" s="1"/>
  <c r="K136" i="2"/>
  <c r="BD32" i="80"/>
  <c r="BD19" i="74"/>
  <c r="L136" i="2"/>
  <c r="BD19" i="67"/>
  <c r="D136" i="2"/>
  <c r="C136" i="2"/>
  <c r="E136" i="2"/>
  <c r="BD16" i="78"/>
  <c r="D61" i="2"/>
  <c r="BD16" i="1"/>
  <c r="E61" i="2"/>
  <c r="BD16" i="70"/>
  <c r="L61" i="2"/>
  <c r="C61" i="2"/>
  <c r="K61" i="2"/>
  <c r="L211" i="2"/>
  <c r="BD129" i="74"/>
  <c r="K211" i="2"/>
  <c r="G211" i="2"/>
  <c r="H211" i="2" s="1"/>
  <c r="D211" i="2"/>
  <c r="C211" i="2"/>
  <c r="AU84" i="74"/>
  <c r="E211" i="2"/>
  <c r="BD18" i="1"/>
  <c r="BD18" i="70"/>
  <c r="K63" i="2"/>
  <c r="BD18" i="78"/>
  <c r="L63" i="2"/>
  <c r="E63" i="2"/>
  <c r="D63" i="2"/>
  <c r="C63" i="2"/>
  <c r="G63" i="2"/>
  <c r="H63" i="2" s="1"/>
  <c r="D99" i="2"/>
  <c r="L99" i="2"/>
  <c r="BD13" i="71"/>
  <c r="K99" i="2"/>
  <c r="BD11" i="80"/>
  <c r="E99" i="2"/>
  <c r="C99" i="2"/>
  <c r="BD13" i="66"/>
  <c r="BD17" i="71"/>
  <c r="BD15" i="80"/>
  <c r="E103" i="2"/>
  <c r="D103" i="2"/>
  <c r="L103" i="2"/>
  <c r="K103" i="2"/>
  <c r="BD17" i="66"/>
  <c r="C103" i="2"/>
  <c r="K152" i="2"/>
  <c r="D152" i="2"/>
  <c r="L152" i="2"/>
  <c r="E152" i="2"/>
  <c r="G152" i="2"/>
  <c r="H152" i="2" s="1"/>
  <c r="C152" i="2"/>
  <c r="BD5" i="68"/>
  <c r="AU6" i="80"/>
  <c r="E83" i="2"/>
  <c r="G83" i="2"/>
  <c r="H83" i="2" s="1"/>
  <c r="K83" i="2"/>
  <c r="D83" i="2"/>
  <c r="AU7" i="71"/>
  <c r="L83" i="2"/>
  <c r="C83" i="2"/>
  <c r="AU7" i="66"/>
  <c r="K45" i="2"/>
  <c r="C45" i="2"/>
  <c r="AU11" i="1"/>
  <c r="AU11" i="70"/>
  <c r="AU11" i="78"/>
  <c r="E45" i="2"/>
  <c r="D45" i="2"/>
  <c r="G45" i="2"/>
  <c r="H45" i="2" s="1"/>
  <c r="L45" i="2"/>
  <c r="D36" i="2"/>
  <c r="C36" i="2"/>
  <c r="BD12" i="77"/>
  <c r="K36" i="2"/>
  <c r="E36" i="2"/>
  <c r="L36" i="2"/>
  <c r="BD17" i="69"/>
  <c r="BD17" i="75"/>
  <c r="BD17" i="82"/>
  <c r="D188" i="2"/>
  <c r="E188" i="2"/>
  <c r="K188" i="2"/>
  <c r="L188" i="2"/>
  <c r="BD17" i="76"/>
  <c r="C188" i="2"/>
  <c r="C51" i="2"/>
  <c r="BD6" i="78"/>
  <c r="BD6" i="1"/>
  <c r="L51" i="2"/>
  <c r="K51" i="2"/>
  <c r="BD6" i="70"/>
  <c r="E51" i="2"/>
  <c r="G51" i="2"/>
  <c r="H51" i="2" s="1"/>
  <c r="D51" i="2"/>
  <c r="D31" i="2"/>
  <c r="L31" i="2"/>
  <c r="BD7" i="77"/>
  <c r="C31" i="2"/>
  <c r="K31" i="2"/>
  <c r="G31" i="2"/>
  <c r="H31" i="2" s="1"/>
  <c r="E31" i="2"/>
  <c r="L93" i="2"/>
  <c r="K93" i="2"/>
  <c r="C93" i="2"/>
  <c r="G93" i="2"/>
  <c r="H93" i="2" s="1"/>
  <c r="BD5" i="80"/>
  <c r="BD7" i="66"/>
  <c r="D93" i="2"/>
  <c r="E93" i="2"/>
  <c r="BD7" i="71"/>
  <c r="E25" i="2"/>
  <c r="AU7" i="77"/>
  <c r="K25" i="2"/>
  <c r="L25" i="2"/>
  <c r="G25" i="2"/>
  <c r="H25" i="2" s="1"/>
  <c r="C25" i="2"/>
  <c r="D25" i="2"/>
  <c r="BD12" i="75"/>
  <c r="BD12" i="69"/>
  <c r="D183" i="2"/>
  <c r="K183" i="2"/>
  <c r="BD12" i="76"/>
  <c r="L183" i="2"/>
  <c r="C183" i="2"/>
  <c r="BD12" i="82"/>
  <c r="E183" i="2"/>
  <c r="G153" i="2"/>
  <c r="H153" i="2" s="1"/>
  <c r="G103" i="2"/>
  <c r="H103" i="2" s="1"/>
  <c r="G206" i="2"/>
  <c r="H206" i="2" s="1"/>
  <c r="BI82" i="81"/>
  <c r="AS214" i="2" s="1"/>
  <c r="BI125" i="73"/>
  <c r="AE214" i="2" s="1"/>
  <c r="AZ80" i="73"/>
  <c r="AD214" i="2" s="1"/>
  <c r="AZ18" i="68"/>
  <c r="V78" i="2" s="1"/>
  <c r="AZ18" i="67"/>
  <c r="T74" i="2" s="1"/>
  <c r="AZ18" i="1"/>
  <c r="P74" i="2" s="1"/>
  <c r="AZ20" i="73"/>
  <c r="AD76" i="2" s="1"/>
  <c r="AZ19" i="73"/>
  <c r="AD75" i="2" s="1"/>
  <c r="AZ26" i="69"/>
  <c r="X248" i="2" s="1"/>
  <c r="AZ19" i="69"/>
  <c r="X222" i="2" s="1"/>
  <c r="AZ31" i="69"/>
  <c r="X269" i="2" s="1"/>
  <c r="AZ33" i="69"/>
  <c r="X271" i="2" s="1"/>
  <c r="BI73" i="69"/>
  <c r="Y322" i="2" s="1"/>
  <c r="AZ30" i="69"/>
  <c r="X268" i="2" s="1"/>
  <c r="AZ11" i="69"/>
  <c r="X174" i="2" s="1"/>
  <c r="AZ104" i="69"/>
  <c r="AZ60" i="69"/>
  <c r="X340" i="2" s="1"/>
  <c r="BI37" i="69"/>
  <c r="Y258" i="2" s="1"/>
  <c r="BI104" i="69"/>
  <c r="AZ59" i="69"/>
  <c r="X339" i="2" s="1"/>
  <c r="AZ45" i="69"/>
  <c r="X307" i="2" s="1"/>
  <c r="AZ53" i="69"/>
  <c r="X331" i="2" s="1"/>
  <c r="AZ55" i="69"/>
  <c r="X335" i="2" s="1"/>
  <c r="AZ25" i="69"/>
  <c r="X247" i="2" s="1"/>
  <c r="BI11" i="69"/>
  <c r="Y182" i="2" s="1"/>
  <c r="BI50" i="69"/>
  <c r="Y276" i="2" s="1"/>
  <c r="BI82" i="69"/>
  <c r="Y331" i="2" s="1"/>
  <c r="BI9" i="69"/>
  <c r="Y180" i="2" s="1"/>
  <c r="BI41" i="69"/>
  <c r="Y262" i="2" s="1"/>
  <c r="AZ10" i="69"/>
  <c r="X173" i="2" s="1"/>
  <c r="AZ27" i="69"/>
  <c r="X249" i="2" s="1"/>
  <c r="AZ7" i="69"/>
  <c r="X170" i="2" s="1"/>
  <c r="AZ28" i="69"/>
  <c r="X250" i="2" s="1"/>
  <c r="AZ8" i="69"/>
  <c r="X171" i="2" s="1"/>
  <c r="BI20" i="69"/>
  <c r="Y191" i="2" s="1"/>
  <c r="BI32" i="69"/>
  <c r="Y241" i="2" s="1"/>
  <c r="AZ32" i="69"/>
  <c r="X270" i="2" s="1"/>
  <c r="AZ57" i="69"/>
  <c r="X337" i="2" s="1"/>
  <c r="AZ46" i="69"/>
  <c r="X308" i="2" s="1"/>
  <c r="BI52" i="69"/>
  <c r="Y278" i="2" s="1"/>
  <c r="BI15" i="69"/>
  <c r="Y186" i="2" s="1"/>
  <c r="BI39" i="69"/>
  <c r="Y260" i="2" s="1"/>
  <c r="BI80" i="69"/>
  <c r="Y329" i="2" s="1"/>
  <c r="AZ38" i="69"/>
  <c r="X286" i="2" s="1"/>
  <c r="BI87" i="69"/>
  <c r="Y348" i="2" s="1"/>
  <c r="BI17" i="69"/>
  <c r="Y188" i="2" s="1"/>
  <c r="AZ6" i="69"/>
  <c r="X169" i="2" s="1"/>
  <c r="AZ56" i="69"/>
  <c r="X336" i="2" s="1"/>
  <c r="AZ21" i="69"/>
  <c r="BI49" i="69"/>
  <c r="Y275" i="2" s="1"/>
  <c r="BI18" i="69"/>
  <c r="Y189" i="2" s="1"/>
  <c r="AZ34" i="69"/>
  <c r="X272" i="2" s="1"/>
  <c r="BI56" i="69"/>
  <c r="Y282" i="2" s="1"/>
  <c r="BI71" i="69"/>
  <c r="Y320" i="2" s="1"/>
  <c r="BI53" i="69"/>
  <c r="Y279" i="2" s="1"/>
  <c r="BI13" i="69"/>
  <c r="Y184" i="2" s="1"/>
  <c r="BI69" i="69"/>
  <c r="Y318" i="2" s="1"/>
  <c r="BI97" i="69"/>
  <c r="Y358" i="2" s="1"/>
  <c r="BI76" i="69"/>
  <c r="Y325" i="2" s="1"/>
  <c r="BI10" i="69"/>
  <c r="Y181" i="2" s="1"/>
  <c r="AZ9" i="69"/>
  <c r="X172" i="2" s="1"/>
  <c r="BI35" i="69"/>
  <c r="Y256" i="2" s="1"/>
  <c r="AZ40" i="69"/>
  <c r="X288" i="2" s="1"/>
  <c r="AZ103" i="69"/>
  <c r="BI48" i="69"/>
  <c r="Y274" i="2" s="1"/>
  <c r="BI78" i="69"/>
  <c r="Y327" i="2" s="1"/>
  <c r="BI60" i="69"/>
  <c r="Y286" i="2" s="1"/>
  <c r="BI62" i="69"/>
  <c r="Y288" i="2" s="1"/>
  <c r="BI90" i="69"/>
  <c r="Y351" i="2" s="1"/>
  <c r="AZ39" i="69"/>
  <c r="X287" i="2" s="1"/>
  <c r="BI70" i="69"/>
  <c r="Y319" i="2" s="1"/>
  <c r="BI7" i="69"/>
  <c r="Y178" i="2" s="1"/>
  <c r="BI55" i="69"/>
  <c r="Y281" i="2" s="1"/>
  <c r="BI58" i="69"/>
  <c r="Y284" i="2" s="1"/>
  <c r="BI94" i="69"/>
  <c r="Y355" i="2" s="1"/>
  <c r="BI68" i="69"/>
  <c r="Y317" i="2" s="1"/>
  <c r="AZ49" i="69"/>
  <c r="X311" i="2" s="1"/>
  <c r="AZ51" i="69"/>
  <c r="X329" i="2" s="1"/>
  <c r="BI95" i="69"/>
  <c r="Y356" i="2" s="1"/>
  <c r="AZ36" i="69"/>
  <c r="X284" i="2" s="1"/>
  <c r="AZ15" i="69"/>
  <c r="X218" i="2" s="1"/>
  <c r="BI8" i="69"/>
  <c r="Y179" i="2" s="1"/>
  <c r="AZ102" i="69"/>
  <c r="AZ62" i="69"/>
  <c r="X358" i="2" s="1"/>
  <c r="AZ47" i="69"/>
  <c r="X309" i="2" s="1"/>
  <c r="BI86" i="69"/>
  <c r="Y347" i="2" s="1"/>
  <c r="BI34" i="69"/>
  <c r="Y255" i="2" s="1"/>
  <c r="BI92" i="69"/>
  <c r="Y353" i="2" s="1"/>
  <c r="BI89" i="69"/>
  <c r="Y350" i="2" s="1"/>
  <c r="AZ58" i="69"/>
  <c r="X338" i="2" s="1"/>
  <c r="BI77" i="69"/>
  <c r="Y326" i="2" s="1"/>
  <c r="AZ37" i="69"/>
  <c r="X285" i="2" s="1"/>
  <c r="BI93" i="69"/>
  <c r="Y354" i="2" s="1"/>
  <c r="BI67" i="69"/>
  <c r="Y316" i="2" s="1"/>
  <c r="AZ44" i="69"/>
  <c r="X306" i="2" s="1"/>
  <c r="BI88" i="69"/>
  <c r="Y349" i="2" s="1"/>
  <c r="BI6" i="69"/>
  <c r="Y177" i="2" s="1"/>
  <c r="BI91" i="69"/>
  <c r="Y352" i="2" s="1"/>
  <c r="BI14" i="69"/>
  <c r="Y185" i="2" s="1"/>
  <c r="BI47" i="69"/>
  <c r="Y273" i="2" s="1"/>
  <c r="BI64" i="69"/>
  <c r="Y301" i="2" s="1"/>
  <c r="BI74" i="69"/>
  <c r="Y323" i="2" s="1"/>
  <c r="AZ23" i="69"/>
  <c r="X245" i="2" s="1"/>
  <c r="BI51" i="69"/>
  <c r="Y277" i="2" s="1"/>
  <c r="BI40" i="69"/>
  <c r="Y261" i="2" s="1"/>
  <c r="BI26" i="69"/>
  <c r="Y219" i="2" s="1"/>
  <c r="BI54" i="69"/>
  <c r="Y280" i="2" s="1"/>
  <c r="AZ48" i="69"/>
  <c r="X310" i="2" s="1"/>
  <c r="AZ18" i="69"/>
  <c r="X221" i="2" s="1"/>
  <c r="BI75" i="69"/>
  <c r="Y324" i="2" s="1"/>
  <c r="BI21" i="69"/>
  <c r="Y48" i="2" s="1"/>
  <c r="BI27" i="69"/>
  <c r="Y220" i="2" s="1"/>
  <c r="BI25" i="69"/>
  <c r="Y218" i="2" s="1"/>
  <c r="BI29" i="69"/>
  <c r="Y222" i="2" s="1"/>
  <c r="BI85" i="69"/>
  <c r="Y346" i="2" s="1"/>
  <c r="BI65" i="69"/>
  <c r="Y302" i="2" s="1"/>
  <c r="AZ5" i="69"/>
  <c r="X168" i="2" s="1"/>
  <c r="AZ14" i="69"/>
  <c r="X217" i="2" s="1"/>
  <c r="BI84" i="69"/>
  <c r="Y345" i="2" s="1"/>
  <c r="AZ16" i="69"/>
  <c r="X219" i="2" s="1"/>
  <c r="BI23" i="69"/>
  <c r="Y216" i="2" s="1"/>
  <c r="BI36" i="69"/>
  <c r="Y257" i="2" s="1"/>
  <c r="AZ24" i="69"/>
  <c r="X246" i="2" s="1"/>
  <c r="AZ13" i="69"/>
  <c r="X216" i="2" s="1"/>
  <c r="BI28" i="69"/>
  <c r="Y221" i="2" s="1"/>
  <c r="AZ52" i="69"/>
  <c r="X330" i="2" s="1"/>
  <c r="BI24" i="69"/>
  <c r="Y217" i="2" s="1"/>
  <c r="BI59" i="69"/>
  <c r="Y285" i="2" s="1"/>
  <c r="AZ17" i="69"/>
  <c r="X220" i="2" s="1"/>
  <c r="BI101" i="69"/>
  <c r="Y361" i="2" s="1"/>
  <c r="AZ42" i="69"/>
  <c r="X296" i="2" s="1"/>
  <c r="BI45" i="69"/>
  <c r="Y266" i="2" s="1"/>
  <c r="BI5" i="69"/>
  <c r="Y176" i="2" s="1"/>
  <c r="AZ101" i="69"/>
  <c r="X361" i="2" s="1"/>
  <c r="BI31" i="69"/>
  <c r="Y240" i="2" s="1"/>
  <c r="BI105" i="69"/>
  <c r="Y365" i="2" s="1"/>
  <c r="BI81" i="69"/>
  <c r="Y330" i="2" s="1"/>
  <c r="AZ105" i="69"/>
  <c r="X365" i="2" s="1"/>
  <c r="BI103" i="69"/>
  <c r="Y363" i="2" s="1"/>
  <c r="BI43" i="69"/>
  <c r="Y264" i="2" s="1"/>
  <c r="BI102" i="69"/>
  <c r="Y362" i="2" s="1"/>
  <c r="BI42" i="69"/>
  <c r="Y263" i="2" s="1"/>
  <c r="BI72" i="69"/>
  <c r="Y321" i="2" s="1"/>
  <c r="BI44" i="69"/>
  <c r="Y265" i="2" s="1"/>
  <c r="BI38" i="69"/>
  <c r="Y259" i="2" s="1"/>
  <c r="BI12" i="69"/>
  <c r="Y183" i="2" s="1"/>
  <c r="BI16" i="69"/>
  <c r="Y187" i="2" s="1"/>
  <c r="BI61" i="69"/>
  <c r="Y287" i="2" s="1"/>
  <c r="AZ14" i="68"/>
  <c r="V74" i="2" s="1"/>
  <c r="AZ65" i="68"/>
  <c r="V166" i="2" s="1"/>
  <c r="BB65" i="68"/>
  <c r="AZ73" i="77"/>
  <c r="AZ27" i="77"/>
  <c r="AL287" i="2" s="1"/>
  <c r="AZ26" i="77"/>
  <c r="AL286" i="2" s="1"/>
  <c r="AZ40" i="77"/>
  <c r="AL337" i="2" s="1"/>
  <c r="AZ71" i="77"/>
  <c r="AZ33" i="77"/>
  <c r="AL310" i="2" s="1"/>
  <c r="AZ31" i="77"/>
  <c r="AL308" i="2" s="1"/>
  <c r="AZ39" i="77"/>
  <c r="AL336" i="2" s="1"/>
  <c r="AZ72" i="77"/>
  <c r="AZ35" i="77"/>
  <c r="AL329" i="2" s="1"/>
  <c r="AZ37" i="77"/>
  <c r="AL331" i="2" s="1"/>
  <c r="AZ24" i="77"/>
  <c r="AL284" i="2" s="1"/>
  <c r="AZ7" i="77"/>
  <c r="AL25" i="2" s="1"/>
  <c r="N25" i="2" s="1"/>
  <c r="F25" i="2" s="1"/>
  <c r="AZ36" i="77"/>
  <c r="AL330" i="2" s="1"/>
  <c r="BI15" i="77"/>
  <c r="AM27" i="2" s="1"/>
  <c r="N27" i="2" s="1"/>
  <c r="F27" i="2" s="1"/>
  <c r="I27" i="2" s="1"/>
  <c r="AZ41" i="77"/>
  <c r="AL338" i="2" s="1"/>
  <c r="AZ20" i="77"/>
  <c r="AL268" i="2" s="1"/>
  <c r="BI33" i="77"/>
  <c r="AM275" i="2" s="1"/>
  <c r="BI14" i="77"/>
  <c r="AM37" i="2" s="1"/>
  <c r="BI64" i="77"/>
  <c r="AM354" i="2" s="1"/>
  <c r="BI38" i="77"/>
  <c r="AM284" i="2" s="1"/>
  <c r="AZ5" i="77"/>
  <c r="AL23" i="2" s="1"/>
  <c r="N23" i="2" s="1"/>
  <c r="F23" i="2" s="1"/>
  <c r="I23" i="2" s="1"/>
  <c r="AZ16" i="77"/>
  <c r="AL247" i="2" s="1"/>
  <c r="BI22" i="77"/>
  <c r="AM257" i="2" s="1"/>
  <c r="AZ22" i="77"/>
  <c r="AL270" i="2" s="1"/>
  <c r="AZ28" i="77"/>
  <c r="AL288" i="2" s="1"/>
  <c r="BI6" i="77"/>
  <c r="AM30" i="2" s="1"/>
  <c r="N30" i="2" s="1"/>
  <c r="F30" i="2" s="1"/>
  <c r="I30" i="2" s="1"/>
  <c r="AZ30" i="77"/>
  <c r="AL307" i="2" s="1"/>
  <c r="AZ15" i="77"/>
  <c r="AL246" i="2" s="1"/>
  <c r="AZ17" i="77"/>
  <c r="AL248" i="2" s="1"/>
  <c r="BI59" i="77"/>
  <c r="AM349" i="2" s="1"/>
  <c r="BI27" i="77"/>
  <c r="AM262" i="2" s="1"/>
  <c r="BI49" i="77"/>
  <c r="AM323" i="2" s="1"/>
  <c r="BI25" i="77"/>
  <c r="AM260" i="2" s="1"/>
  <c r="AZ44" i="77"/>
  <c r="AL358" i="2" s="1"/>
  <c r="BI75" i="77"/>
  <c r="AM365" i="2" s="1"/>
  <c r="BI23" i="77"/>
  <c r="AM258" i="2" s="1"/>
  <c r="AZ74" i="77"/>
  <c r="BI46" i="77"/>
  <c r="AM320" i="2" s="1"/>
  <c r="BI24" i="77"/>
  <c r="AM259" i="2" s="1"/>
  <c r="BI57" i="77"/>
  <c r="AM347" i="2" s="1"/>
  <c r="AZ18" i="77"/>
  <c r="AL249" i="2" s="1"/>
  <c r="AZ75" i="77"/>
  <c r="AL365" i="2" s="1"/>
  <c r="BI70" i="77"/>
  <c r="AM360" i="2" s="1"/>
  <c r="AZ8" i="77"/>
  <c r="AL26" i="2" s="1"/>
  <c r="N26" i="2" s="1"/>
  <c r="F26" i="2" s="1"/>
  <c r="I26" i="2" s="1"/>
  <c r="BI31" i="77"/>
  <c r="AM273" i="2" s="1"/>
  <c r="AZ21" i="77"/>
  <c r="AL269" i="2" s="1"/>
  <c r="BI44" i="77"/>
  <c r="AM318" i="2" s="1"/>
  <c r="AZ6" i="77"/>
  <c r="AL24" i="2" s="1"/>
  <c r="N24" i="2" s="1"/>
  <c r="F24" i="2" s="1"/>
  <c r="BI36" i="77"/>
  <c r="AM278" i="2" s="1"/>
  <c r="BI11" i="77"/>
  <c r="AM35" i="2" s="1"/>
  <c r="N35" i="2" s="1"/>
  <c r="F35" i="2" s="1"/>
  <c r="I35" i="2" s="1"/>
  <c r="BI9" i="77"/>
  <c r="AM33" i="2" s="1"/>
  <c r="N33" i="2" s="1"/>
  <c r="F33" i="2" s="1"/>
  <c r="I33" i="2" s="1"/>
  <c r="AZ25" i="77"/>
  <c r="AL285" i="2" s="1"/>
  <c r="BI8" i="77"/>
  <c r="AM32" i="2" s="1"/>
  <c r="N32" i="2" s="1"/>
  <c r="F32" i="2" s="1"/>
  <c r="I32" i="2" s="1"/>
  <c r="BI17" i="77"/>
  <c r="AM74" i="2" s="1"/>
  <c r="AZ32" i="77"/>
  <c r="AL309" i="2" s="1"/>
  <c r="BI12" i="77"/>
  <c r="AM36" i="2" s="1"/>
  <c r="N36" i="2" s="1"/>
  <c r="BI40" i="77"/>
  <c r="AM286" i="2" s="1"/>
  <c r="BI74" i="77"/>
  <c r="BI61" i="77"/>
  <c r="AM351" i="2" s="1"/>
  <c r="BI20" i="77"/>
  <c r="AM77" i="2" s="1"/>
  <c r="BI62" i="77"/>
  <c r="AM352" i="2" s="1"/>
  <c r="BI32" i="77"/>
  <c r="AM274" i="2" s="1"/>
  <c r="BI39" i="77"/>
  <c r="AM285" i="2" s="1"/>
  <c r="BI71" i="77"/>
  <c r="AM361" i="2" s="1"/>
  <c r="BI18" i="77"/>
  <c r="AM75" i="2" s="1"/>
  <c r="BI41" i="77"/>
  <c r="AM287" i="2" s="1"/>
  <c r="AZ42" i="77"/>
  <c r="AL339" i="2" s="1"/>
  <c r="BI51" i="77"/>
  <c r="AM325" i="2" s="1"/>
  <c r="BI72" i="77"/>
  <c r="AM362" i="2" s="1"/>
  <c r="BI54" i="77"/>
  <c r="AM330" i="2" s="1"/>
  <c r="BI28" i="77"/>
  <c r="AM263" i="2" s="1"/>
  <c r="BI10" i="77"/>
  <c r="AM34" i="2" s="1"/>
  <c r="N34" i="2" s="1"/>
  <c r="F34" i="2" s="1"/>
  <c r="I34" i="2" s="1"/>
  <c r="BI45" i="77"/>
  <c r="AM319" i="2" s="1"/>
  <c r="BI19" i="77"/>
  <c r="AM76" i="2" s="1"/>
  <c r="AZ70" i="77"/>
  <c r="AL360" i="2" s="1"/>
  <c r="BI35" i="77"/>
  <c r="AM277" i="2" s="1"/>
  <c r="BI47" i="77"/>
  <c r="AM321" i="2" s="1"/>
  <c r="BI66" i="77"/>
  <c r="AM358" i="2" s="1"/>
  <c r="BI73" i="77"/>
  <c r="AM363" i="2" s="1"/>
  <c r="BI5" i="77"/>
  <c r="AM29" i="2" s="1"/>
  <c r="N29" i="2" s="1"/>
  <c r="F29" i="2" s="1"/>
  <c r="I29" i="2" s="1"/>
  <c r="BI60" i="77"/>
  <c r="AM350" i="2" s="1"/>
  <c r="BI26" i="77"/>
  <c r="AM261" i="2" s="1"/>
  <c r="BI7" i="77"/>
  <c r="AM31" i="2" s="1"/>
  <c r="N31" i="2" s="1"/>
  <c r="BI63" i="77"/>
  <c r="AM353" i="2" s="1"/>
  <c r="BI53" i="77"/>
  <c r="AM329" i="2" s="1"/>
  <c r="BI58" i="77"/>
  <c r="AM348" i="2" s="1"/>
  <c r="BI48" i="77"/>
  <c r="AM322" i="2" s="1"/>
  <c r="BI34" i="77"/>
  <c r="AM276" i="2" s="1"/>
  <c r="BI50" i="77"/>
  <c r="AM324" i="2" s="1"/>
  <c r="BI55" i="77"/>
  <c r="AM331" i="2" s="1"/>
  <c r="BI29" i="77"/>
  <c r="AM264" i="2" s="1"/>
  <c r="AZ10" i="77"/>
  <c r="AL74" i="2" s="1"/>
  <c r="BI42" i="77"/>
  <c r="AM288" i="2" s="1"/>
  <c r="BI70" i="82"/>
  <c r="AU361" i="2" s="1"/>
  <c r="AZ41" i="82"/>
  <c r="AT191" i="2" s="1"/>
  <c r="AZ5" i="82"/>
  <c r="AT168" i="2" s="1"/>
  <c r="AZ21" i="82"/>
  <c r="AT245" i="2" s="1"/>
  <c r="BI5" i="82"/>
  <c r="AU176" i="2" s="1"/>
  <c r="BI45" i="82"/>
  <c r="AU274" i="2" s="1"/>
  <c r="AZ8" i="82"/>
  <c r="AT171" i="2" s="1"/>
  <c r="BI65" i="82"/>
  <c r="AU326" i="2" s="1"/>
  <c r="BI62" i="82"/>
  <c r="AU323" i="2" s="1"/>
  <c r="AZ38" i="82"/>
  <c r="AT310" i="2" s="1"/>
  <c r="AZ18" i="82"/>
  <c r="AT221" i="2" s="1"/>
  <c r="AZ30" i="82"/>
  <c r="AT270" i="2" s="1"/>
  <c r="AZ35" i="82"/>
  <c r="AT307" i="2" s="1"/>
  <c r="AZ29" i="82"/>
  <c r="AT269" i="2" s="1"/>
  <c r="BI52" i="82"/>
  <c r="AU281" i="2" s="1"/>
  <c r="BI47" i="82"/>
  <c r="AU276" i="2" s="1"/>
  <c r="AZ17" i="82"/>
  <c r="AT220" i="2" s="1"/>
  <c r="BI35" i="82"/>
  <c r="AU259" i="2" s="1"/>
  <c r="BI61" i="82"/>
  <c r="AU322" i="2" s="1"/>
  <c r="BI21" i="82"/>
  <c r="AU48" i="2" s="1"/>
  <c r="AZ34" i="82"/>
  <c r="AT306" i="2" s="1"/>
  <c r="AZ24" i="82"/>
  <c r="AT248" i="2" s="1"/>
  <c r="AZ32" i="82"/>
  <c r="AT272" i="2" s="1"/>
  <c r="AZ6" i="82"/>
  <c r="AT169" i="2" s="1"/>
  <c r="BI20" i="82"/>
  <c r="AU191" i="2" s="1"/>
  <c r="BI57" i="82"/>
  <c r="AU318" i="2" s="1"/>
  <c r="AZ9" i="82"/>
  <c r="AT172" i="2" s="1"/>
  <c r="BI18" i="82"/>
  <c r="AU189" i="2" s="1"/>
  <c r="BI36" i="82"/>
  <c r="AU260" i="2" s="1"/>
  <c r="AZ73" i="82"/>
  <c r="AZ72" i="82"/>
  <c r="AZ36" i="82"/>
  <c r="AT308" i="2" s="1"/>
  <c r="BI31" i="82"/>
  <c r="AU255" i="2" s="1"/>
  <c r="AZ15" i="82"/>
  <c r="AT218" i="2" s="1"/>
  <c r="AZ23" i="82"/>
  <c r="AT247" i="2" s="1"/>
  <c r="BI66" i="82"/>
  <c r="AU327" i="2" s="1"/>
  <c r="AZ74" i="82"/>
  <c r="AT365" i="2" s="1"/>
  <c r="BI42" i="82"/>
  <c r="AU266" i="2" s="1"/>
  <c r="BI58" i="82"/>
  <c r="AU319" i="2" s="1"/>
  <c r="BI73" i="82"/>
  <c r="BI56" i="82"/>
  <c r="AU317" i="2" s="1"/>
  <c r="AZ22" i="82"/>
  <c r="AT246" i="2" s="1"/>
  <c r="BI63" i="82"/>
  <c r="AU324" i="2" s="1"/>
  <c r="AZ13" i="82"/>
  <c r="AT216" i="2" s="1"/>
  <c r="AZ25" i="82"/>
  <c r="AT249" i="2" s="1"/>
  <c r="BI34" i="82"/>
  <c r="AU258" i="2" s="1"/>
  <c r="AZ10" i="82"/>
  <c r="AT173" i="2" s="1"/>
  <c r="BI23" i="82"/>
  <c r="AU216" i="2" s="1"/>
  <c r="BI37" i="82"/>
  <c r="AU261" i="2" s="1"/>
  <c r="BI6" i="82"/>
  <c r="AU177" i="2" s="1"/>
  <c r="BI14" i="82"/>
  <c r="AU185" i="2" s="1"/>
  <c r="AZ70" i="82"/>
  <c r="AT361" i="2" s="1"/>
  <c r="AZ7" i="82"/>
  <c r="AT170" i="2" s="1"/>
  <c r="BI41" i="82"/>
  <c r="AU265" i="2" s="1"/>
  <c r="BI53" i="82"/>
  <c r="AU282" i="2" s="1"/>
  <c r="BI48" i="82"/>
  <c r="AU277" i="2" s="1"/>
  <c r="AZ19" i="82"/>
  <c r="AT222" i="2" s="1"/>
  <c r="BI60" i="82"/>
  <c r="AU321" i="2" s="1"/>
  <c r="BI72" i="82"/>
  <c r="AU363" i="2" s="1"/>
  <c r="BI50" i="82"/>
  <c r="AU279" i="2" s="1"/>
  <c r="AZ71" i="82"/>
  <c r="BI10" i="82"/>
  <c r="AU181" i="2" s="1"/>
  <c r="BI38" i="82"/>
  <c r="AU262" i="2" s="1"/>
  <c r="AZ14" i="82"/>
  <c r="AT217" i="2" s="1"/>
  <c r="BI13" i="82"/>
  <c r="AU184" i="2" s="1"/>
  <c r="BI49" i="82"/>
  <c r="AU278" i="2" s="1"/>
  <c r="BI9" i="82"/>
  <c r="AU180" i="2" s="1"/>
  <c r="AZ31" i="82"/>
  <c r="AT271" i="2" s="1"/>
  <c r="BI40" i="82"/>
  <c r="AU264" i="2" s="1"/>
  <c r="BI33" i="82"/>
  <c r="AU257" i="2" s="1"/>
  <c r="BI29" i="82"/>
  <c r="AU222" i="2" s="1"/>
  <c r="AZ28" i="82"/>
  <c r="AT268" i="2" s="1"/>
  <c r="AZ16" i="82"/>
  <c r="AT219" i="2" s="1"/>
  <c r="AZ11" i="82"/>
  <c r="AT174" i="2" s="1"/>
  <c r="BI27" i="82"/>
  <c r="AU220" i="2" s="1"/>
  <c r="BI15" i="82"/>
  <c r="AU186" i="2" s="1"/>
  <c r="AZ39" i="82"/>
  <c r="AT311" i="2" s="1"/>
  <c r="AZ26" i="82"/>
  <c r="AT250" i="2" s="1"/>
  <c r="BI46" i="82"/>
  <c r="AU275" i="2" s="1"/>
  <c r="BI16" i="82"/>
  <c r="AU187" i="2" s="1"/>
  <c r="AZ37" i="82"/>
  <c r="AT309" i="2" s="1"/>
  <c r="BI74" i="82"/>
  <c r="AU365" i="2" s="1"/>
  <c r="BI8" i="82"/>
  <c r="AU179" i="2" s="1"/>
  <c r="BI7" i="82"/>
  <c r="AU178" i="2" s="1"/>
  <c r="BI32" i="82"/>
  <c r="AU256" i="2" s="1"/>
  <c r="BI55" i="82"/>
  <c r="AU316" i="2" s="1"/>
  <c r="BI11" i="82"/>
  <c r="AU182" i="2" s="1"/>
  <c r="BI44" i="82"/>
  <c r="AU273" i="2" s="1"/>
  <c r="BI51" i="82"/>
  <c r="AU280" i="2" s="1"/>
  <c r="BI28" i="82"/>
  <c r="AU221" i="2" s="1"/>
  <c r="BI17" i="82"/>
  <c r="AU188" i="2" s="1"/>
  <c r="BI64" i="82"/>
  <c r="AU325" i="2" s="1"/>
  <c r="BI71" i="82"/>
  <c r="AU362" i="2" s="1"/>
  <c r="BI26" i="82"/>
  <c r="AU219" i="2" s="1"/>
  <c r="BI12" i="82"/>
  <c r="AU183" i="2" s="1"/>
  <c r="BI24" i="82"/>
  <c r="AU217" i="2" s="1"/>
  <c r="BI68" i="82"/>
  <c r="AU214" i="2" s="1"/>
  <c r="AZ43" i="82"/>
  <c r="AT214" i="2" s="1"/>
  <c r="BI59" i="82"/>
  <c r="AU320" i="2" s="1"/>
  <c r="BI25" i="82"/>
  <c r="AU218" i="2" s="1"/>
  <c r="BI39" i="82"/>
  <c r="AU263" i="2" s="1"/>
  <c r="BI73" i="71"/>
  <c r="AC285" i="2" s="1"/>
  <c r="BI100" i="71"/>
  <c r="AC327" i="2" s="1"/>
  <c r="BI134" i="71"/>
  <c r="AZ41" i="71"/>
  <c r="AB271" i="2" s="1"/>
  <c r="AZ126" i="71"/>
  <c r="BI109" i="71"/>
  <c r="AC344" i="2" s="1"/>
  <c r="AZ128" i="71"/>
  <c r="BI48" i="71"/>
  <c r="AC255" i="2" s="1"/>
  <c r="AZ59" i="71"/>
  <c r="AB309" i="2" s="1"/>
  <c r="AZ127" i="71"/>
  <c r="BI54" i="71"/>
  <c r="AC261" i="2" s="1"/>
  <c r="BI90" i="71"/>
  <c r="AC317" i="2" s="1"/>
  <c r="AZ36" i="71"/>
  <c r="AB250" i="2" s="1"/>
  <c r="AZ73" i="71"/>
  <c r="AB339" i="2" s="1"/>
  <c r="AZ78" i="71"/>
  <c r="AZ61" i="71"/>
  <c r="AB311" i="2" s="1"/>
  <c r="AZ45" i="71"/>
  <c r="AB285" i="2" s="1"/>
  <c r="AZ34" i="71"/>
  <c r="AB248" i="2" s="1"/>
  <c r="AZ48" i="71"/>
  <c r="AB288" i="2" s="1"/>
  <c r="AZ58" i="71"/>
  <c r="AB308" i="2" s="1"/>
  <c r="AZ74" i="71"/>
  <c r="AB340" i="2" s="1"/>
  <c r="AZ33" i="71"/>
  <c r="AB247" i="2" s="1"/>
  <c r="AZ47" i="71"/>
  <c r="AB287" i="2" s="1"/>
  <c r="AZ51" i="71"/>
  <c r="AB295" i="2" s="1"/>
  <c r="AZ52" i="71"/>
  <c r="AB296" i="2" s="1"/>
  <c r="AZ68" i="71"/>
  <c r="AB334" i="2" s="1"/>
  <c r="AZ31" i="71"/>
  <c r="AB245" i="2" s="1"/>
  <c r="AZ39" i="71"/>
  <c r="AB269" i="2" s="1"/>
  <c r="AZ27" i="71"/>
  <c r="AB235" i="2" s="1"/>
  <c r="AZ56" i="71"/>
  <c r="AB306" i="2" s="1"/>
  <c r="AZ60" i="71"/>
  <c r="AB310" i="2" s="1"/>
  <c r="AZ38" i="71"/>
  <c r="AB268" i="2" s="1"/>
  <c r="AZ44" i="71"/>
  <c r="AB284" i="2" s="1"/>
  <c r="BI96" i="71"/>
  <c r="AC323" i="2" s="1"/>
  <c r="AZ69" i="71"/>
  <c r="AB335" i="2" s="1"/>
  <c r="BI95" i="71"/>
  <c r="AC322" i="2" s="1"/>
  <c r="BI65" i="71"/>
  <c r="AC277" i="2" s="1"/>
  <c r="BI55" i="71"/>
  <c r="AC262" i="2" s="1"/>
  <c r="AZ70" i="71"/>
  <c r="AB336" i="2" s="1"/>
  <c r="BI29" i="71"/>
  <c r="AC73" i="2" s="1"/>
  <c r="BI121" i="71"/>
  <c r="AC356" i="2" s="1"/>
  <c r="BI7" i="71"/>
  <c r="AC93" i="2" s="1"/>
  <c r="BI97" i="71"/>
  <c r="AC324" i="2" s="1"/>
  <c r="BI53" i="71"/>
  <c r="AC260" i="2" s="1"/>
  <c r="BI62" i="71"/>
  <c r="AC274" i="2" s="1"/>
  <c r="BI28" i="71"/>
  <c r="AC72" i="2" s="1"/>
  <c r="BI20" i="71"/>
  <c r="AC106" i="2" s="1"/>
  <c r="AZ11" i="71"/>
  <c r="AB87" i="2" s="1"/>
  <c r="BI51" i="71"/>
  <c r="AC258" i="2" s="1"/>
  <c r="AZ55" i="71"/>
  <c r="AB305" i="2" s="1"/>
  <c r="AZ64" i="71"/>
  <c r="AB330" i="2" s="1"/>
  <c r="BI12" i="71"/>
  <c r="AC98" i="2" s="1"/>
  <c r="BI9" i="71"/>
  <c r="AC95" i="2" s="1"/>
  <c r="BI52" i="71"/>
  <c r="AC259" i="2" s="1"/>
  <c r="BI63" i="71"/>
  <c r="AC275" i="2" s="1"/>
  <c r="BI93" i="71"/>
  <c r="AC320" i="2" s="1"/>
  <c r="BI119" i="71"/>
  <c r="AC354" i="2" s="1"/>
  <c r="BI41" i="71"/>
  <c r="AC240" i="2" s="1"/>
  <c r="AZ76" i="71"/>
  <c r="AB358" i="2" s="1"/>
  <c r="AZ32" i="71"/>
  <c r="AB246" i="2" s="1"/>
  <c r="AZ65" i="71"/>
  <c r="AB331" i="2" s="1"/>
  <c r="AZ35" i="71"/>
  <c r="AB249" i="2" s="1"/>
  <c r="AZ8" i="71"/>
  <c r="AB84" i="2" s="1"/>
  <c r="AZ12" i="71"/>
  <c r="AB88" i="2" s="1"/>
  <c r="AZ72" i="71"/>
  <c r="AB338" i="2" s="1"/>
  <c r="BI81" i="71"/>
  <c r="AC300" i="2" s="1"/>
  <c r="BI112" i="71"/>
  <c r="AC347" i="2" s="1"/>
  <c r="AZ125" i="71"/>
  <c r="AB361" i="2" s="1"/>
  <c r="BI11" i="71"/>
  <c r="AC97" i="2" s="1"/>
  <c r="AZ30" i="71"/>
  <c r="AB244" i="2" s="1"/>
  <c r="BI15" i="71"/>
  <c r="AC101" i="2" s="1"/>
  <c r="BI120" i="71"/>
  <c r="AC355" i="2" s="1"/>
  <c r="BI13" i="71"/>
  <c r="AC99" i="2" s="1"/>
  <c r="BI57" i="71"/>
  <c r="AC264" i="2" s="1"/>
  <c r="BI88" i="71"/>
  <c r="AC315" i="2" s="1"/>
  <c r="AZ7" i="71"/>
  <c r="AB83" i="2" s="1"/>
  <c r="BI117" i="71"/>
  <c r="AC352" i="2" s="1"/>
  <c r="BI82" i="71"/>
  <c r="AC301" i="2" s="1"/>
  <c r="BI130" i="71"/>
  <c r="AC203" i="2" s="1"/>
  <c r="BI80" i="71"/>
  <c r="AC299" i="2" s="1"/>
  <c r="BI110" i="71"/>
  <c r="AC345" i="2" s="1"/>
  <c r="BI42" i="71"/>
  <c r="AC241" i="2" s="1"/>
  <c r="BI68" i="71"/>
  <c r="AC280" i="2" s="1"/>
  <c r="BI47" i="71"/>
  <c r="AC254" i="2" s="1"/>
  <c r="AZ26" i="71"/>
  <c r="AB234" i="2" s="1"/>
  <c r="BI39" i="71"/>
  <c r="AC238" i="2" s="1"/>
  <c r="AZ63" i="71"/>
  <c r="AB329" i="2" s="1"/>
  <c r="BI98" i="71"/>
  <c r="AC325" i="2" s="1"/>
  <c r="BI74" i="71"/>
  <c r="AC286" i="2" s="1"/>
  <c r="BI58" i="71"/>
  <c r="AC265" i="2" s="1"/>
  <c r="BI49" i="71"/>
  <c r="AC256" i="2" s="1"/>
  <c r="AZ46" i="71"/>
  <c r="AB286" i="2" s="1"/>
  <c r="AZ57" i="71"/>
  <c r="AB307" i="2" s="1"/>
  <c r="AZ71" i="71"/>
  <c r="AB337" i="2" s="1"/>
  <c r="BI61" i="71"/>
  <c r="AC273" i="2" s="1"/>
  <c r="BI103" i="71"/>
  <c r="AC330" i="2" s="1"/>
  <c r="BI114" i="71"/>
  <c r="AC349" i="2" s="1"/>
  <c r="AZ40" i="71"/>
  <c r="AB270" i="2" s="1"/>
  <c r="BI24" i="71"/>
  <c r="AC109" i="2" s="1"/>
  <c r="N109" i="2" s="1"/>
  <c r="F109" i="2" s="1"/>
  <c r="AZ10" i="71"/>
  <c r="AB86" i="2" s="1"/>
  <c r="BI66" i="71"/>
  <c r="AC278" i="2" s="1"/>
  <c r="BI91" i="71"/>
  <c r="AC318" i="2" s="1"/>
  <c r="BI116" i="71"/>
  <c r="AC351" i="2" s="1"/>
  <c r="AZ9" i="71"/>
  <c r="AB85" i="2" s="1"/>
  <c r="AZ6" i="71"/>
  <c r="AB82" i="2" s="1"/>
  <c r="BI33" i="71"/>
  <c r="AC77" i="2" s="1"/>
  <c r="BI111" i="71"/>
  <c r="AC346" i="2" s="1"/>
  <c r="BI18" i="71"/>
  <c r="AC104" i="2" s="1"/>
  <c r="BI25" i="71"/>
  <c r="AC48" i="2" s="1"/>
  <c r="BI32" i="71"/>
  <c r="AC76" i="2" s="1"/>
  <c r="BI31" i="71"/>
  <c r="AC75" i="2" s="1"/>
  <c r="BI92" i="71"/>
  <c r="AC319" i="2" s="1"/>
  <c r="AZ94" i="71"/>
  <c r="AB199" i="2" s="1"/>
  <c r="N199" i="2" s="1"/>
  <c r="F199" i="2" s="1"/>
  <c r="I199" i="2" s="1"/>
  <c r="BI34" i="71"/>
  <c r="AC78" i="2" s="1"/>
  <c r="BI113" i="71"/>
  <c r="AC348" i="2" s="1"/>
  <c r="BI40" i="71"/>
  <c r="AC239" i="2" s="1"/>
  <c r="BI30" i="71"/>
  <c r="AC74" i="2" s="1"/>
  <c r="BI17" i="71"/>
  <c r="AC103" i="2" s="1"/>
  <c r="BI135" i="71"/>
  <c r="AC363" i="2" s="1"/>
  <c r="BI64" i="71"/>
  <c r="AC276" i="2" s="1"/>
  <c r="BI59" i="71"/>
  <c r="AC266" i="2" s="1"/>
  <c r="BI128" i="71"/>
  <c r="AC195" i="2" s="1"/>
  <c r="BI104" i="71"/>
  <c r="AC331" i="2" s="1"/>
  <c r="BI16" i="71"/>
  <c r="AC102" i="2" s="1"/>
  <c r="BI50" i="71"/>
  <c r="AC257" i="2" s="1"/>
  <c r="AZ19" i="71"/>
  <c r="AB75" i="2" s="1"/>
  <c r="BI133" i="71"/>
  <c r="AC361" i="2" s="1"/>
  <c r="AZ93" i="71"/>
  <c r="AB195" i="2" s="1"/>
  <c r="BI137" i="71"/>
  <c r="AC365" i="2" s="1"/>
  <c r="BI115" i="71"/>
  <c r="AC350" i="2" s="1"/>
  <c r="BI76" i="71"/>
  <c r="AC288" i="2" s="1"/>
  <c r="BI123" i="71"/>
  <c r="AC358" i="2" s="1"/>
  <c r="BI94" i="71"/>
  <c r="AC321" i="2" s="1"/>
  <c r="BI108" i="71"/>
  <c r="AC343" i="2" s="1"/>
  <c r="BI83" i="71"/>
  <c r="AC302" i="2" s="1"/>
  <c r="BI131" i="71"/>
  <c r="AC205" i="2" s="1"/>
  <c r="N205" i="2" s="1"/>
  <c r="F205" i="2" s="1"/>
  <c r="I205" i="2" s="1"/>
  <c r="BI99" i="71"/>
  <c r="AC326" i="2" s="1"/>
  <c r="BI75" i="71"/>
  <c r="AC287" i="2" s="1"/>
  <c r="BI46" i="71"/>
  <c r="AC253" i="2" s="1"/>
  <c r="BI89" i="71"/>
  <c r="AC316" i="2" s="1"/>
  <c r="BI56" i="71"/>
  <c r="AC263" i="2" s="1"/>
  <c r="BI72" i="71"/>
  <c r="AC284" i="2" s="1"/>
  <c r="BI118" i="71"/>
  <c r="AC353" i="2" s="1"/>
  <c r="BI87" i="71"/>
  <c r="AC314" i="2" s="1"/>
  <c r="BI136" i="71"/>
  <c r="AC364" i="2" s="1"/>
  <c r="BI125" i="71"/>
  <c r="AC214" i="2" s="1"/>
  <c r="BI19" i="71"/>
  <c r="AC105" i="2" s="1"/>
  <c r="BI8" i="71"/>
  <c r="AC94" i="2" s="1"/>
  <c r="BI10" i="71"/>
  <c r="AC96" i="2" s="1"/>
  <c r="BI14" i="71"/>
  <c r="AC100" i="2" s="1"/>
  <c r="BI102" i="71"/>
  <c r="AC329" i="2" s="1"/>
  <c r="BI67" i="71"/>
  <c r="AC279" i="2" s="1"/>
  <c r="AZ80" i="71"/>
  <c r="AB214" i="2" s="1"/>
  <c r="AZ15" i="68"/>
  <c r="V75" i="2" s="1"/>
  <c r="AZ20" i="67"/>
  <c r="T76" i="2" s="1"/>
  <c r="AZ19" i="67"/>
  <c r="T75" i="2" s="1"/>
  <c r="AZ18" i="66"/>
  <c r="R74" i="2" s="1"/>
  <c r="AZ46" i="77"/>
  <c r="AL37" i="2" s="1"/>
  <c r="AZ22" i="73"/>
  <c r="AD78" i="2" s="1"/>
  <c r="AZ22" i="71"/>
  <c r="AB78" i="2" s="1"/>
  <c r="BI25" i="81"/>
  <c r="AS48" i="2" s="1"/>
  <c r="BI73" i="81"/>
  <c r="AS320" i="2" s="1"/>
  <c r="AZ35" i="81"/>
  <c r="AR269" i="2" s="1"/>
  <c r="AZ9" i="81"/>
  <c r="AR116" i="2" s="1"/>
  <c r="BI77" i="81"/>
  <c r="AS324" i="2" s="1"/>
  <c r="AZ32" i="81"/>
  <c r="AR250" i="2" s="1"/>
  <c r="BI59" i="81"/>
  <c r="AS278" i="2" s="1"/>
  <c r="AZ7" i="81"/>
  <c r="AR114" i="2" s="1"/>
  <c r="BI65" i="81"/>
  <c r="AS312" i="2" s="1"/>
  <c r="AZ6" i="81"/>
  <c r="AR113" i="2" s="1"/>
  <c r="AZ22" i="81"/>
  <c r="AR78" i="2" s="1"/>
  <c r="AZ18" i="81"/>
  <c r="AR74" i="2" s="1"/>
  <c r="AZ21" i="81"/>
  <c r="AR77" i="2" s="1"/>
  <c r="AZ41" i="81"/>
  <c r="AR305" i="2" s="1"/>
  <c r="BI68" i="81"/>
  <c r="AS315" i="2" s="1"/>
  <c r="AZ10" i="81"/>
  <c r="AR117" i="2" s="1"/>
  <c r="BI9" i="81"/>
  <c r="AS126" i="2" s="1"/>
  <c r="AZ25" i="81"/>
  <c r="AR243" i="2" s="1"/>
  <c r="BI80" i="81"/>
  <c r="AS327" i="2" s="1"/>
  <c r="BI10" i="81"/>
  <c r="AS127" i="2" s="1"/>
  <c r="BI61" i="81"/>
  <c r="AS280" i="2" s="1"/>
  <c r="BI37" i="81"/>
  <c r="AS251" i="2" s="1"/>
  <c r="BI34" i="81"/>
  <c r="AS78" i="2" s="1"/>
  <c r="AZ11" i="81"/>
  <c r="AR118" i="2" s="1"/>
  <c r="BI74" i="81"/>
  <c r="AS321" i="2" s="1"/>
  <c r="AZ44" i="81"/>
  <c r="AR308" i="2" s="1"/>
  <c r="AZ87" i="81"/>
  <c r="BI31" i="81"/>
  <c r="AS75" i="2" s="1"/>
  <c r="BI44" i="81"/>
  <c r="AS258" i="2" s="1"/>
  <c r="AZ29" i="81"/>
  <c r="AR247" i="2" s="1"/>
  <c r="AZ5" i="81"/>
  <c r="AR112" i="2" s="1"/>
  <c r="BI21" i="81"/>
  <c r="AS138" i="2" s="1"/>
  <c r="AZ8" i="81"/>
  <c r="AR115" i="2" s="1"/>
  <c r="AZ49" i="81"/>
  <c r="AR141" i="2" s="1"/>
  <c r="AZ36" i="81"/>
  <c r="AR270" i="2" s="1"/>
  <c r="BI67" i="81"/>
  <c r="AS314" i="2" s="1"/>
  <c r="BI75" i="81"/>
  <c r="AS322" i="2" s="1"/>
  <c r="BI78" i="81"/>
  <c r="AS325" i="2" s="1"/>
  <c r="BI54" i="81"/>
  <c r="AS273" i="2" s="1"/>
  <c r="BI6" i="81"/>
  <c r="AS123" i="2" s="1"/>
  <c r="BI84" i="81"/>
  <c r="AS361" i="2" s="1"/>
  <c r="BI86" i="81"/>
  <c r="AS363" i="2" s="1"/>
  <c r="BI27" i="81"/>
  <c r="AS71" i="2" s="1"/>
  <c r="AZ26" i="81"/>
  <c r="AR244" i="2" s="1"/>
  <c r="BI87" i="81"/>
  <c r="AZ43" i="81"/>
  <c r="AR307" i="2" s="1"/>
  <c r="AZ13" i="81"/>
  <c r="AR120" i="2" s="1"/>
  <c r="BI70" i="81"/>
  <c r="AS317" i="2" s="1"/>
  <c r="BI49" i="81"/>
  <c r="AS263" i="2" s="1"/>
  <c r="BI18" i="81"/>
  <c r="AS135" i="2" s="1"/>
  <c r="BI60" i="81"/>
  <c r="AS279" i="2" s="1"/>
  <c r="BI42" i="81"/>
  <c r="AS256" i="2" s="1"/>
  <c r="BI14" i="81"/>
  <c r="AS131" i="2" s="1"/>
  <c r="BI76" i="81"/>
  <c r="AS323" i="2" s="1"/>
  <c r="BI19" i="81"/>
  <c r="AS136" i="2" s="1"/>
  <c r="AZ47" i="81"/>
  <c r="AR311" i="2" s="1"/>
  <c r="AZ86" i="81"/>
  <c r="AZ46" i="81"/>
  <c r="AR310" i="2" s="1"/>
  <c r="BI63" i="81"/>
  <c r="AS282" i="2" s="1"/>
  <c r="BI11" i="81"/>
  <c r="AS128" i="2" s="1"/>
  <c r="BI33" i="81"/>
  <c r="AS77" i="2" s="1"/>
  <c r="BI69" i="81"/>
  <c r="AS316" i="2" s="1"/>
  <c r="BI32" i="81"/>
  <c r="AS76" i="2" s="1"/>
  <c r="BI71" i="81"/>
  <c r="AS318" i="2" s="1"/>
  <c r="AZ28" i="81"/>
  <c r="AR246" i="2" s="1"/>
  <c r="AZ85" i="81"/>
  <c r="AZ42" i="81"/>
  <c r="AR306" i="2" s="1"/>
  <c r="BI55" i="81"/>
  <c r="AS274" i="2" s="1"/>
  <c r="AZ37" i="81"/>
  <c r="AR271" i="2" s="1"/>
  <c r="BI57" i="81"/>
  <c r="AS276" i="2" s="1"/>
  <c r="BI45" i="81"/>
  <c r="AS259" i="2" s="1"/>
  <c r="AZ34" i="81"/>
  <c r="AR268" i="2" s="1"/>
  <c r="BI5" i="81"/>
  <c r="AS122" i="2" s="1"/>
  <c r="BI35" i="81"/>
  <c r="AS79" i="2" s="1"/>
  <c r="AZ27" i="81"/>
  <c r="AR245" i="2" s="1"/>
  <c r="AZ30" i="81"/>
  <c r="AR248" i="2" s="1"/>
  <c r="AZ45" i="81"/>
  <c r="AR309" i="2" s="1"/>
  <c r="BI15" i="81"/>
  <c r="AS132" i="2" s="1"/>
  <c r="BI51" i="81"/>
  <c r="AS265" i="2" s="1"/>
  <c r="BI79" i="81"/>
  <c r="AS326" i="2" s="1"/>
  <c r="BI46" i="81"/>
  <c r="AS260" i="2" s="1"/>
  <c r="AZ12" i="81"/>
  <c r="AR119" i="2" s="1"/>
  <c r="AZ31" i="81"/>
  <c r="AR249" i="2" s="1"/>
  <c r="BI56" i="81"/>
  <c r="AS275" i="2" s="1"/>
  <c r="BI88" i="81"/>
  <c r="AS365" i="2" s="1"/>
  <c r="AZ88" i="81"/>
  <c r="AR365" i="2" s="1"/>
  <c r="BI30" i="81"/>
  <c r="AS74" i="2" s="1"/>
  <c r="BI22" i="81"/>
  <c r="AS139" i="2" s="1"/>
  <c r="BI13" i="81"/>
  <c r="AS130" i="2" s="1"/>
  <c r="BI24" i="81"/>
  <c r="AS141" i="2" s="1"/>
  <c r="BI29" i="81"/>
  <c r="AS73" i="2" s="1"/>
  <c r="AZ40" i="81"/>
  <c r="AR304" i="2" s="1"/>
  <c r="BI17" i="81"/>
  <c r="AS134" i="2" s="1"/>
  <c r="BI41" i="81"/>
  <c r="AS255" i="2" s="1"/>
  <c r="AZ38" i="81"/>
  <c r="AR272" i="2" s="1"/>
  <c r="AZ19" i="81"/>
  <c r="AR75" i="2" s="1"/>
  <c r="BI28" i="81"/>
  <c r="AS72" i="2" s="1"/>
  <c r="BI50" i="81"/>
  <c r="AS264" i="2" s="1"/>
  <c r="AZ84" i="81"/>
  <c r="AR361" i="2" s="1"/>
  <c r="AZ20" i="81"/>
  <c r="AR76" i="2" s="1"/>
  <c r="BI52" i="81"/>
  <c r="AS266" i="2" s="1"/>
  <c r="BI43" i="81"/>
  <c r="AS257" i="2" s="1"/>
  <c r="BI38" i="81"/>
  <c r="AS252" i="2" s="1"/>
  <c r="BI40" i="81"/>
  <c r="AS254" i="2" s="1"/>
  <c r="BI72" i="81"/>
  <c r="AS319" i="2" s="1"/>
  <c r="BI7" i="81"/>
  <c r="AS124" i="2" s="1"/>
  <c r="BI66" i="81"/>
  <c r="AS313" i="2" s="1"/>
  <c r="AZ15" i="81"/>
  <c r="AR71" i="2" s="1"/>
  <c r="BI12" i="81"/>
  <c r="AS129" i="2" s="1"/>
  <c r="BI20" i="81"/>
  <c r="AS137" i="2" s="1"/>
  <c r="BI48" i="81"/>
  <c r="AS262" i="2" s="1"/>
  <c r="AZ17" i="81"/>
  <c r="AR73" i="2" s="1"/>
  <c r="BI47" i="81"/>
  <c r="AS261" i="2" s="1"/>
  <c r="BI8" i="81"/>
  <c r="AS125" i="2" s="1"/>
  <c r="BI39" i="81"/>
  <c r="AS253" i="2" s="1"/>
  <c r="AZ16" i="81"/>
  <c r="AR72" i="2" s="1"/>
  <c r="AZ23" i="81"/>
  <c r="AR79" i="2" s="1"/>
  <c r="BI85" i="81"/>
  <c r="AS362" i="2" s="1"/>
  <c r="BI16" i="81"/>
  <c r="AS133" i="2" s="1"/>
  <c r="BI62" i="81"/>
  <c r="AS281" i="2" s="1"/>
  <c r="BI58" i="81"/>
  <c r="AS277" i="2" s="1"/>
  <c r="AZ134" i="73"/>
  <c r="AZ136" i="73"/>
  <c r="BI85" i="73"/>
  <c r="AE312" i="2" s="1"/>
  <c r="AZ56" i="73"/>
  <c r="AD306" i="2" s="1"/>
  <c r="AZ74" i="73"/>
  <c r="AD340" i="2" s="1"/>
  <c r="AZ36" i="73"/>
  <c r="AD250" i="2" s="1"/>
  <c r="AZ26" i="73"/>
  <c r="AD234" i="2" s="1"/>
  <c r="BI94" i="73"/>
  <c r="AE321" i="2" s="1"/>
  <c r="BI121" i="73"/>
  <c r="AE356" i="2" s="1"/>
  <c r="AZ39" i="73"/>
  <c r="AD269" i="2" s="1"/>
  <c r="AZ44" i="73"/>
  <c r="AD284" i="2" s="1"/>
  <c r="BI93" i="73"/>
  <c r="AE320" i="2" s="1"/>
  <c r="AZ67" i="73"/>
  <c r="AD333" i="2" s="1"/>
  <c r="AZ71" i="73"/>
  <c r="AD337" i="2" s="1"/>
  <c r="AZ25" i="73"/>
  <c r="AD233" i="2" s="1"/>
  <c r="AZ59" i="73"/>
  <c r="AD309" i="2" s="1"/>
  <c r="AZ72" i="73"/>
  <c r="AD338" i="2" s="1"/>
  <c r="AZ78" i="73"/>
  <c r="AZ42" i="73"/>
  <c r="AD272" i="2" s="1"/>
  <c r="AZ58" i="73"/>
  <c r="AD308" i="2" s="1"/>
  <c r="AZ38" i="73"/>
  <c r="AD268" i="2" s="1"/>
  <c r="BI96" i="73"/>
  <c r="AE323" i="2" s="1"/>
  <c r="AZ27" i="73"/>
  <c r="AD235" i="2" s="1"/>
  <c r="AZ55" i="73"/>
  <c r="AD305" i="2" s="1"/>
  <c r="AZ51" i="73"/>
  <c r="AD295" i="2" s="1"/>
  <c r="AZ47" i="73"/>
  <c r="AD287" i="2" s="1"/>
  <c r="AZ64" i="73"/>
  <c r="AD330" i="2" s="1"/>
  <c r="BI15" i="73"/>
  <c r="AE132" i="2" s="1"/>
  <c r="BI44" i="73"/>
  <c r="AE251" i="2" s="1"/>
  <c r="AZ50" i="73"/>
  <c r="AD294" i="2" s="1"/>
  <c r="BI86" i="73"/>
  <c r="AE313" i="2" s="1"/>
  <c r="BI46" i="73"/>
  <c r="AE253" i="2" s="1"/>
  <c r="AZ7" i="73"/>
  <c r="AD114" i="2" s="1"/>
  <c r="AZ69" i="73"/>
  <c r="AD335" i="2" s="1"/>
  <c r="AZ70" i="73"/>
  <c r="AD336" i="2" s="1"/>
  <c r="AZ29" i="73"/>
  <c r="AD243" i="2" s="1"/>
  <c r="AZ61" i="73"/>
  <c r="AD311" i="2" s="1"/>
  <c r="AZ10" i="73"/>
  <c r="AD117" i="2" s="1"/>
  <c r="BI116" i="73"/>
  <c r="AE351" i="2" s="1"/>
  <c r="AZ52" i="73"/>
  <c r="AD296" i="2" s="1"/>
  <c r="BI130" i="73"/>
  <c r="AE203" i="2" s="1"/>
  <c r="BI107" i="73"/>
  <c r="AE342" i="2" s="1"/>
  <c r="AZ41" i="73"/>
  <c r="AD271" i="2" s="1"/>
  <c r="BI48" i="73"/>
  <c r="AE255" i="2" s="1"/>
  <c r="AZ57" i="73"/>
  <c r="AD307" i="2" s="1"/>
  <c r="AZ5" i="73"/>
  <c r="AD112" i="2" s="1"/>
  <c r="AZ68" i="73"/>
  <c r="AD334" i="2" s="1"/>
  <c r="BI90" i="73"/>
  <c r="AE317" i="2" s="1"/>
  <c r="BI67" i="73"/>
  <c r="AE279" i="2" s="1"/>
  <c r="BI39" i="73"/>
  <c r="AE238" i="2" s="1"/>
  <c r="BI110" i="73"/>
  <c r="AE345" i="2" s="1"/>
  <c r="AZ11" i="73"/>
  <c r="AD118" i="2" s="1"/>
  <c r="BI111" i="73"/>
  <c r="AE346" i="2" s="1"/>
  <c r="BI22" i="73"/>
  <c r="AE139" i="2" s="1"/>
  <c r="AZ73" i="73"/>
  <c r="AD339" i="2" s="1"/>
  <c r="AZ84" i="73"/>
  <c r="AD200" i="2" s="1"/>
  <c r="AZ76" i="73"/>
  <c r="AD358" i="2" s="1"/>
  <c r="BI11" i="73"/>
  <c r="AE128" i="2" s="1"/>
  <c r="AZ13" i="73"/>
  <c r="AD120" i="2" s="1"/>
  <c r="BI54" i="73"/>
  <c r="AE261" i="2" s="1"/>
  <c r="BI63" i="73"/>
  <c r="AE275" i="2" s="1"/>
  <c r="BI18" i="73"/>
  <c r="AE135" i="2" s="1"/>
  <c r="AZ83" i="73"/>
  <c r="AD196" i="2" s="1"/>
  <c r="AZ35" i="73"/>
  <c r="AD249" i="2" s="1"/>
  <c r="BI97" i="73"/>
  <c r="AE324" i="2" s="1"/>
  <c r="AZ133" i="73"/>
  <c r="AD361" i="2" s="1"/>
  <c r="BI56" i="73"/>
  <c r="AE263" i="2" s="1"/>
  <c r="BI136" i="73"/>
  <c r="AE364" i="2" s="1"/>
  <c r="AZ65" i="73"/>
  <c r="AD331" i="2" s="1"/>
  <c r="BI109" i="73"/>
  <c r="AE344" i="2" s="1"/>
  <c r="BI79" i="73"/>
  <c r="AE298" i="2" s="1"/>
  <c r="AZ12" i="73"/>
  <c r="AD119" i="2" s="1"/>
  <c r="BI114" i="73"/>
  <c r="AE349" i="2" s="1"/>
  <c r="BI20" i="73"/>
  <c r="AE137" i="2" s="1"/>
  <c r="BI42" i="73"/>
  <c r="AE241" i="2" s="1"/>
  <c r="BI103" i="73"/>
  <c r="AE330" i="2" s="1"/>
  <c r="BI58" i="73"/>
  <c r="AE265" i="2" s="1"/>
  <c r="AZ54" i="73"/>
  <c r="AD304" i="2" s="1"/>
  <c r="BI52" i="73"/>
  <c r="AE259" i="2" s="1"/>
  <c r="BI104" i="73"/>
  <c r="AE331" i="2" s="1"/>
  <c r="BI62" i="73"/>
  <c r="AE274" i="2" s="1"/>
  <c r="BI37" i="73"/>
  <c r="AE236" i="2" s="1"/>
  <c r="BI80" i="73"/>
  <c r="AE299" i="2" s="1"/>
  <c r="BI13" i="73"/>
  <c r="AE130" i="2" s="1"/>
  <c r="BI53" i="73"/>
  <c r="AE260" i="2" s="1"/>
  <c r="AZ45" i="73"/>
  <c r="AD285" i="2" s="1"/>
  <c r="BI72" i="73"/>
  <c r="AE284" i="2" s="1"/>
  <c r="BI78" i="73"/>
  <c r="AE297" i="2" s="1"/>
  <c r="BI70" i="73"/>
  <c r="AE282" i="2" s="1"/>
  <c r="BI117" i="73"/>
  <c r="AE352" i="2" s="1"/>
  <c r="BI9" i="73"/>
  <c r="AE126" i="2" s="1"/>
  <c r="AZ63" i="73"/>
  <c r="AD329" i="2" s="1"/>
  <c r="BI102" i="73"/>
  <c r="AE329" i="2" s="1"/>
  <c r="BI64" i="73"/>
  <c r="AE276" i="2" s="1"/>
  <c r="AZ32" i="73"/>
  <c r="AD246" i="2" s="1"/>
  <c r="BI6" i="73"/>
  <c r="AE123" i="2" s="1"/>
  <c r="AZ46" i="73"/>
  <c r="AD286" i="2" s="1"/>
  <c r="BI68" i="73"/>
  <c r="AE280" i="2" s="1"/>
  <c r="BI74" i="73"/>
  <c r="AE286" i="2" s="1"/>
  <c r="BI59" i="73"/>
  <c r="AE266" i="2" s="1"/>
  <c r="AZ9" i="73"/>
  <c r="AD116" i="2" s="1"/>
  <c r="BI50" i="73"/>
  <c r="AE257" i="2" s="1"/>
  <c r="BI88" i="73"/>
  <c r="AE315" i="2" s="1"/>
  <c r="BI120" i="73"/>
  <c r="AE355" i="2" s="1"/>
  <c r="BI69" i="73"/>
  <c r="AE281" i="2" s="1"/>
  <c r="BI131" i="73"/>
  <c r="AE206" i="2" s="1"/>
  <c r="BI118" i="73"/>
  <c r="AE353" i="2" s="1"/>
  <c r="AZ8" i="73"/>
  <c r="AD115" i="2" s="1"/>
  <c r="BI65" i="73"/>
  <c r="AE277" i="2" s="1"/>
  <c r="BI99" i="73"/>
  <c r="AE326" i="2" s="1"/>
  <c r="BI106" i="73"/>
  <c r="AE341" i="2" s="1"/>
  <c r="AZ34" i="73"/>
  <c r="AD248" i="2" s="1"/>
  <c r="BI89" i="73"/>
  <c r="AE316" i="2" s="1"/>
  <c r="BI55" i="73"/>
  <c r="AE262" i="2" s="1"/>
  <c r="BI115" i="73"/>
  <c r="AE350" i="2" s="1"/>
  <c r="BI134" i="73"/>
  <c r="BI91" i="73"/>
  <c r="AE318" i="2" s="1"/>
  <c r="AZ40" i="73"/>
  <c r="AD270" i="2" s="1"/>
  <c r="AZ33" i="73"/>
  <c r="AD247" i="2" s="1"/>
  <c r="AZ31" i="73"/>
  <c r="AD245" i="2" s="1"/>
  <c r="BI35" i="73"/>
  <c r="AE79" i="2" s="1"/>
  <c r="BI30" i="73"/>
  <c r="AE74" i="2" s="1"/>
  <c r="BI66" i="73"/>
  <c r="AE278" i="2" s="1"/>
  <c r="BI128" i="73"/>
  <c r="AE196" i="2" s="1"/>
  <c r="BI32" i="73"/>
  <c r="AE76" i="2" s="1"/>
  <c r="BI34" i="73"/>
  <c r="AE78" i="2" s="1"/>
  <c r="AZ60" i="73"/>
  <c r="AD310" i="2" s="1"/>
  <c r="BI28" i="73"/>
  <c r="AE72" i="2" s="1"/>
  <c r="BI82" i="73"/>
  <c r="AE301" i="2" s="1"/>
  <c r="AZ48" i="73"/>
  <c r="AD288" i="2" s="1"/>
  <c r="BI25" i="73"/>
  <c r="AE48" i="2" s="1"/>
  <c r="BI33" i="73"/>
  <c r="AE77" i="2" s="1"/>
  <c r="BI83" i="73"/>
  <c r="AE302" i="2" s="1"/>
  <c r="BI24" i="73"/>
  <c r="AE140" i="2" s="1"/>
  <c r="BI112" i="73"/>
  <c r="AE347" i="2" s="1"/>
  <c r="BI31" i="73"/>
  <c r="AE75" i="2" s="1"/>
  <c r="BI75" i="73"/>
  <c r="AE287" i="2" s="1"/>
  <c r="BI5" i="73"/>
  <c r="AE122" i="2" s="1"/>
  <c r="BI113" i="73"/>
  <c r="AE348" i="2" s="1"/>
  <c r="BI7" i="73"/>
  <c r="AE124" i="2" s="1"/>
  <c r="BI61" i="73"/>
  <c r="AE273" i="2" s="1"/>
  <c r="AZ135" i="73"/>
  <c r="BI92" i="73"/>
  <c r="AE319" i="2" s="1"/>
  <c r="BI14" i="73"/>
  <c r="AE131" i="2" s="1"/>
  <c r="AZ6" i="73"/>
  <c r="AD113" i="2" s="1"/>
  <c r="BI135" i="73"/>
  <c r="AE363" i="2" s="1"/>
  <c r="BI10" i="73"/>
  <c r="AE127" i="2" s="1"/>
  <c r="AZ30" i="73"/>
  <c r="AD244" i="2" s="1"/>
  <c r="BI29" i="73"/>
  <c r="AE73" i="2" s="1"/>
  <c r="BI73" i="73"/>
  <c r="AE285" i="2" s="1"/>
  <c r="BI87" i="73"/>
  <c r="AE314" i="2" s="1"/>
  <c r="BI49" i="73"/>
  <c r="AE256" i="2" s="1"/>
  <c r="BI133" i="73"/>
  <c r="AE361" i="2" s="1"/>
  <c r="AZ137" i="73"/>
  <c r="AD365" i="2" s="1"/>
  <c r="BI137" i="73"/>
  <c r="AE365" i="2" s="1"/>
  <c r="BI8" i="73"/>
  <c r="AE125" i="2" s="1"/>
  <c r="BI41" i="73"/>
  <c r="AE240" i="2" s="1"/>
  <c r="BI45" i="73"/>
  <c r="AE252" i="2" s="1"/>
  <c r="BI16" i="73"/>
  <c r="AE133" i="2" s="1"/>
  <c r="BI100" i="73"/>
  <c r="AE327" i="2" s="1"/>
  <c r="BI38" i="73"/>
  <c r="AE237" i="2" s="1"/>
  <c r="BI57" i="73"/>
  <c r="AE264" i="2" s="1"/>
  <c r="BI98" i="73"/>
  <c r="AE325" i="2" s="1"/>
  <c r="BI17" i="73"/>
  <c r="AE134" i="2" s="1"/>
  <c r="BI21" i="73"/>
  <c r="AE138" i="2" s="1"/>
  <c r="BI40" i="73"/>
  <c r="AE239" i="2" s="1"/>
  <c r="BI123" i="73"/>
  <c r="AE358" i="2" s="1"/>
  <c r="BI108" i="73"/>
  <c r="AE343" i="2" s="1"/>
  <c r="BI27" i="73"/>
  <c r="AE71" i="2" s="1"/>
  <c r="BI119" i="73"/>
  <c r="AE354" i="2" s="1"/>
  <c r="BI95" i="73"/>
  <c r="AE322" i="2" s="1"/>
  <c r="BI76" i="73"/>
  <c r="AE288" i="2" s="1"/>
  <c r="BI51" i="73"/>
  <c r="AE258" i="2" s="1"/>
  <c r="BI12" i="73"/>
  <c r="AE129" i="2" s="1"/>
  <c r="BI47" i="73"/>
  <c r="AE254" i="2" s="1"/>
  <c r="BI81" i="73"/>
  <c r="AE300" i="2" s="1"/>
  <c r="BI19" i="73"/>
  <c r="AE136" i="2" s="1"/>
  <c r="AZ23" i="73"/>
  <c r="AD79" i="2" s="1"/>
  <c r="AZ18" i="73"/>
  <c r="AD74" i="2" s="1"/>
  <c r="AZ18" i="71"/>
  <c r="AB74" i="2" s="1"/>
  <c r="AZ21" i="73"/>
  <c r="AD77" i="2" s="1"/>
  <c r="AZ15" i="73"/>
  <c r="AD71" i="2" s="1"/>
  <c r="BI68" i="77"/>
  <c r="AM214" i="2" s="1"/>
  <c r="AZ59" i="78"/>
  <c r="AN69" i="2" s="1"/>
  <c r="AZ25" i="78"/>
  <c r="AN71" i="2" s="1"/>
  <c r="AZ27" i="78"/>
  <c r="AN73" i="2" s="1"/>
  <c r="AZ29" i="78"/>
  <c r="AN75" i="2" s="1"/>
  <c r="AZ32" i="78"/>
  <c r="AN78" i="2" s="1"/>
  <c r="BI50" i="78"/>
  <c r="AO74" i="2" s="1"/>
  <c r="AZ107" i="78"/>
  <c r="AZ48" i="78"/>
  <c r="AN272" i="2" s="1"/>
  <c r="AZ54" i="78"/>
  <c r="AN308" i="2" s="1"/>
  <c r="AZ10" i="78"/>
  <c r="AN44" i="2" s="1"/>
  <c r="AZ44" i="78"/>
  <c r="AN268" i="2" s="1"/>
  <c r="BI85" i="78"/>
  <c r="AO312" i="2" s="1"/>
  <c r="BI92" i="78"/>
  <c r="AO319" i="2" s="1"/>
  <c r="BI82" i="78"/>
  <c r="AO281" i="2" s="1"/>
  <c r="BI15" i="78"/>
  <c r="AO60" i="2" s="1"/>
  <c r="BI30" i="78"/>
  <c r="AO128" i="2" s="1"/>
  <c r="BI45" i="78"/>
  <c r="AO48" i="2" s="1"/>
  <c r="AZ106" i="78"/>
  <c r="AZ105" i="78"/>
  <c r="BI47" i="78"/>
  <c r="AO71" i="2" s="1"/>
  <c r="AZ45" i="78"/>
  <c r="AN269" i="2" s="1"/>
  <c r="BI97" i="78"/>
  <c r="AO324" i="2" s="1"/>
  <c r="AZ7" i="78"/>
  <c r="AN41" i="2" s="1"/>
  <c r="BI44" i="78"/>
  <c r="AO141" i="2" s="1"/>
  <c r="BI78" i="78"/>
  <c r="AO277" i="2" s="1"/>
  <c r="BI95" i="78"/>
  <c r="AO322" i="2" s="1"/>
  <c r="BI21" i="78"/>
  <c r="AO66" i="2" s="1"/>
  <c r="BI8" i="78"/>
  <c r="AO53" i="2" s="1"/>
  <c r="AZ28" i="78"/>
  <c r="AN74" i="2" s="1"/>
  <c r="AZ60" i="78"/>
  <c r="AN141" i="2" s="1"/>
  <c r="BI49" i="78"/>
  <c r="AO73" i="2" s="1"/>
  <c r="BI88" i="78"/>
  <c r="AO315" i="2" s="1"/>
  <c r="AZ51" i="78"/>
  <c r="AN305" i="2" s="1"/>
  <c r="AZ20" i="78"/>
  <c r="AN117" i="2" s="1"/>
  <c r="BI59" i="78"/>
  <c r="AO253" i="2" s="1"/>
  <c r="AZ41" i="78"/>
  <c r="AN249" i="2" s="1"/>
  <c r="AZ35" i="78"/>
  <c r="AN243" i="2" s="1"/>
  <c r="AZ5" i="78"/>
  <c r="AN39" i="2" s="1"/>
  <c r="BI26" i="78"/>
  <c r="AO124" i="2" s="1"/>
  <c r="BI11" i="78"/>
  <c r="AO56" i="2" s="1"/>
  <c r="BI41" i="78"/>
  <c r="AO139" i="2" s="1"/>
  <c r="BI18" i="78"/>
  <c r="AO63" i="2" s="1"/>
  <c r="BI28" i="78"/>
  <c r="AO126" i="2" s="1"/>
  <c r="BI9" i="78"/>
  <c r="AO54" i="2" s="1"/>
  <c r="BI36" i="78"/>
  <c r="AO134" i="2" s="1"/>
  <c r="BI53" i="78"/>
  <c r="AO77" i="2" s="1"/>
  <c r="BI55" i="78"/>
  <c r="AO79" i="2" s="1"/>
  <c r="BI66" i="78"/>
  <c r="AO260" i="2" s="1"/>
  <c r="AZ39" i="78"/>
  <c r="AN247" i="2" s="1"/>
  <c r="AZ50" i="78"/>
  <c r="AN304" i="2" s="1"/>
  <c r="BI100" i="78"/>
  <c r="AO327" i="2" s="1"/>
  <c r="AZ57" i="78"/>
  <c r="AN311" i="2" s="1"/>
  <c r="AZ12" i="78"/>
  <c r="AN46" i="2" s="1"/>
  <c r="AZ13" i="78"/>
  <c r="AN47" i="2" s="1"/>
  <c r="BI6" i="78"/>
  <c r="AO51" i="2" s="1"/>
  <c r="AZ40" i="78"/>
  <c r="AN248" i="2" s="1"/>
  <c r="AZ53" i="78"/>
  <c r="AN307" i="2" s="1"/>
  <c r="BI74" i="78"/>
  <c r="AO273" i="2" s="1"/>
  <c r="BI43" i="78"/>
  <c r="AO69" i="2" s="1"/>
  <c r="BI94" i="78"/>
  <c r="AO321" i="2" s="1"/>
  <c r="AZ47" i="78"/>
  <c r="AN271" i="2" s="1"/>
  <c r="AZ9" i="78"/>
  <c r="AN43" i="2" s="1"/>
  <c r="BI7" i="78"/>
  <c r="AO52" i="2" s="1"/>
  <c r="BI54" i="78"/>
  <c r="AO78" i="2" s="1"/>
  <c r="AZ55" i="78"/>
  <c r="AN309" i="2" s="1"/>
  <c r="AZ36" i="78"/>
  <c r="AN244" i="2" s="1"/>
  <c r="AZ56" i="78"/>
  <c r="AN310" i="2" s="1"/>
  <c r="AZ52" i="78"/>
  <c r="AN306" i="2" s="1"/>
  <c r="AZ8" i="78"/>
  <c r="AN42" i="2" s="1"/>
  <c r="AZ42" i="78"/>
  <c r="AN250" i="2" s="1"/>
  <c r="BI20" i="78"/>
  <c r="AO65" i="2" s="1"/>
  <c r="BI80" i="78"/>
  <c r="AO279" i="2" s="1"/>
  <c r="BI79" i="78"/>
  <c r="AO278" i="2" s="1"/>
  <c r="BI90" i="78"/>
  <c r="AO317" i="2" s="1"/>
  <c r="BI33" i="78"/>
  <c r="AO131" i="2" s="1"/>
  <c r="BI52" i="78"/>
  <c r="AO76" i="2" s="1"/>
  <c r="AZ38" i="78"/>
  <c r="AN246" i="2" s="1"/>
  <c r="AZ6" i="78"/>
  <c r="AN40" i="2" s="1"/>
  <c r="AZ46" i="78"/>
  <c r="AN270" i="2" s="1"/>
  <c r="AZ11" i="78"/>
  <c r="AN45" i="2" s="1"/>
  <c r="AZ18" i="78"/>
  <c r="AN115" i="2" s="1"/>
  <c r="BI69" i="78"/>
  <c r="AO263" i="2" s="1"/>
  <c r="BI75" i="78"/>
  <c r="AO274" i="2" s="1"/>
  <c r="BI22" i="78"/>
  <c r="AO67" i="2" s="1"/>
  <c r="BI31" i="78"/>
  <c r="AO129" i="2" s="1"/>
  <c r="BI107" i="78"/>
  <c r="BI12" i="78"/>
  <c r="AO57" i="2" s="1"/>
  <c r="BI108" i="78"/>
  <c r="AO365" i="2" s="1"/>
  <c r="AZ19" i="78"/>
  <c r="AN116" i="2" s="1"/>
  <c r="BI51" i="78"/>
  <c r="AO75" i="2" s="1"/>
  <c r="AZ16" i="78"/>
  <c r="AN113" i="2" s="1"/>
  <c r="BI14" i="78"/>
  <c r="AO59" i="2" s="1"/>
  <c r="BI71" i="78"/>
  <c r="AO265" i="2" s="1"/>
  <c r="BI67" i="78"/>
  <c r="AO261" i="2" s="1"/>
  <c r="BI27" i="78"/>
  <c r="AO125" i="2" s="1"/>
  <c r="BI24" i="78"/>
  <c r="AO122" i="2" s="1"/>
  <c r="BI35" i="78"/>
  <c r="AO133" i="2" s="1"/>
  <c r="BI5" i="78"/>
  <c r="AO50" i="2" s="1"/>
  <c r="AZ23" i="78"/>
  <c r="AN120" i="2" s="1"/>
  <c r="BI77" i="78"/>
  <c r="AO276" i="2" s="1"/>
  <c r="BI29" i="78"/>
  <c r="AO127" i="2" s="1"/>
  <c r="BI106" i="78"/>
  <c r="AO363" i="2" s="1"/>
  <c r="BI25" i="78"/>
  <c r="AO123" i="2" s="1"/>
  <c r="BI62" i="78"/>
  <c r="AO256" i="2" s="1"/>
  <c r="BI38" i="78"/>
  <c r="AO136" i="2" s="1"/>
  <c r="BI87" i="78"/>
  <c r="AO314" i="2" s="1"/>
  <c r="AZ104" i="78"/>
  <c r="AN361" i="2" s="1"/>
  <c r="AZ37" i="78"/>
  <c r="AN245" i="2" s="1"/>
  <c r="BI64" i="78"/>
  <c r="AO258" i="2" s="1"/>
  <c r="BI16" i="78"/>
  <c r="AO61" i="2" s="1"/>
  <c r="BI48" i="78"/>
  <c r="AO72" i="2" s="1"/>
  <c r="BI13" i="78"/>
  <c r="AO58" i="2" s="1"/>
  <c r="BI89" i="78"/>
  <c r="AO316" i="2" s="1"/>
  <c r="BI57" i="78"/>
  <c r="AO251" i="2" s="1"/>
  <c r="BI17" i="78"/>
  <c r="AO62" i="2" s="1"/>
  <c r="BI37" i="78"/>
  <c r="AO135" i="2" s="1"/>
  <c r="BI104" i="78"/>
  <c r="AO361" i="2" s="1"/>
  <c r="BI58" i="78"/>
  <c r="AO252" i="2" s="1"/>
  <c r="BI86" i="78"/>
  <c r="AO313" i="2" s="1"/>
  <c r="BI76" i="78"/>
  <c r="AO275" i="2" s="1"/>
  <c r="BI10" i="78"/>
  <c r="AO55" i="2" s="1"/>
  <c r="AZ21" i="78"/>
  <c r="AN118" i="2" s="1"/>
  <c r="BI70" i="78"/>
  <c r="AO264" i="2" s="1"/>
  <c r="BI32" i="78"/>
  <c r="AO130" i="2" s="1"/>
  <c r="AZ31" i="78"/>
  <c r="AN77" i="2" s="1"/>
  <c r="AZ33" i="78"/>
  <c r="AN79" i="2" s="1"/>
  <c r="AZ15" i="78"/>
  <c r="AN112" i="2" s="1"/>
  <c r="BI63" i="78"/>
  <c r="AO257" i="2" s="1"/>
  <c r="BI39" i="78"/>
  <c r="AO137" i="2" s="1"/>
  <c r="BI98" i="78"/>
  <c r="AO325" i="2" s="1"/>
  <c r="BI81" i="78"/>
  <c r="AO280" i="2" s="1"/>
  <c r="BI60" i="78"/>
  <c r="AO254" i="2" s="1"/>
  <c r="BI19" i="78"/>
  <c r="AO64" i="2" s="1"/>
  <c r="BI96" i="78"/>
  <c r="AO323" i="2" s="1"/>
  <c r="AZ108" i="78"/>
  <c r="AN365" i="2" s="1"/>
  <c r="AZ26" i="78"/>
  <c r="AN72" i="2" s="1"/>
  <c r="AZ30" i="78"/>
  <c r="AN76" i="2" s="1"/>
  <c r="BI93" i="78"/>
  <c r="AO320" i="2" s="1"/>
  <c r="AZ17" i="78"/>
  <c r="AN114" i="2" s="1"/>
  <c r="AZ22" i="78"/>
  <c r="AN119" i="2" s="1"/>
  <c r="BI34" i="78"/>
  <c r="AO132" i="2" s="1"/>
  <c r="BI72" i="78"/>
  <c r="AO266" i="2" s="1"/>
  <c r="BI99" i="78"/>
  <c r="AO326" i="2" s="1"/>
  <c r="BI65" i="78"/>
  <c r="AO259" i="2" s="1"/>
  <c r="BI40" i="78"/>
  <c r="AO138" i="2" s="1"/>
  <c r="BI61" i="78"/>
  <c r="AO255" i="2" s="1"/>
  <c r="BI91" i="78"/>
  <c r="AO318" i="2" s="1"/>
  <c r="BI83" i="78"/>
  <c r="AO282" i="2" s="1"/>
  <c r="BI105" i="78"/>
  <c r="AO362" i="2" s="1"/>
  <c r="BI68" i="78"/>
  <c r="AO262" i="2" s="1"/>
  <c r="AZ23" i="67"/>
  <c r="T79" i="2" s="1"/>
  <c r="AZ64" i="69"/>
  <c r="X191" i="2" s="1"/>
  <c r="AZ17" i="71"/>
  <c r="AB73" i="2" s="1"/>
  <c r="AZ20" i="71"/>
  <c r="AB76" i="2" s="1"/>
  <c r="AZ80" i="66"/>
  <c r="R214" i="2" s="1"/>
  <c r="AZ48" i="77"/>
  <c r="AL214" i="2" s="1"/>
  <c r="AZ43" i="80"/>
  <c r="AP306" i="2" s="1"/>
  <c r="AZ29" i="80"/>
  <c r="AP244" i="2" s="1"/>
  <c r="AZ48" i="80"/>
  <c r="AP311" i="2" s="1"/>
  <c r="BI79" i="80"/>
  <c r="AQ322" i="2" s="1"/>
  <c r="BI59" i="80"/>
  <c r="AQ265" i="2" s="1"/>
  <c r="AZ15" i="80"/>
  <c r="AP115" i="2" s="1"/>
  <c r="AZ37" i="80"/>
  <c r="AP268" i="2" s="1"/>
  <c r="AZ33" i="80"/>
  <c r="AP248" i="2" s="1"/>
  <c r="BI56" i="80"/>
  <c r="AQ262" i="2" s="1"/>
  <c r="AZ38" i="80"/>
  <c r="AP269" i="2" s="1"/>
  <c r="AZ5" i="80"/>
  <c r="AP82" i="2" s="1"/>
  <c r="BI84" i="80"/>
  <c r="AQ327" i="2" s="1"/>
  <c r="BI45" i="80"/>
  <c r="AQ78" i="2" s="1"/>
  <c r="AZ46" i="80"/>
  <c r="AP309" i="2" s="1"/>
  <c r="AZ40" i="80"/>
  <c r="AP271" i="2" s="1"/>
  <c r="BI15" i="80"/>
  <c r="AQ103" i="2" s="1"/>
  <c r="AZ31" i="80"/>
  <c r="AP246" i="2" s="1"/>
  <c r="AZ9" i="80"/>
  <c r="AP86" i="2" s="1"/>
  <c r="BI48" i="80"/>
  <c r="AQ254" i="2" s="1"/>
  <c r="BI62" i="80"/>
  <c r="AQ273" i="2" s="1"/>
  <c r="BI71" i="80"/>
  <c r="AQ314" i="2" s="1"/>
  <c r="BI69" i="80"/>
  <c r="AQ280" i="2" s="1"/>
  <c r="BI81" i="80"/>
  <c r="AQ324" i="2" s="1"/>
  <c r="BI13" i="80"/>
  <c r="AQ101" i="2" s="1"/>
  <c r="BI67" i="80"/>
  <c r="AQ278" i="2" s="1"/>
  <c r="BI42" i="80"/>
  <c r="AQ75" i="2" s="1"/>
  <c r="BI91" i="80"/>
  <c r="AZ39" i="80"/>
  <c r="AP270" i="2" s="1"/>
  <c r="BI68" i="80"/>
  <c r="AQ279" i="2" s="1"/>
  <c r="BI30" i="80"/>
  <c r="AQ134" i="2" s="1"/>
  <c r="AZ90" i="80"/>
  <c r="AZ42" i="80"/>
  <c r="AP305" i="2" s="1"/>
  <c r="AZ44" i="80"/>
  <c r="AP307" i="2" s="1"/>
  <c r="BI40" i="80"/>
  <c r="AQ73" i="2" s="1"/>
  <c r="BI65" i="80"/>
  <c r="AQ276" i="2" s="1"/>
  <c r="AZ7" i="80"/>
  <c r="AP84" i="2" s="1"/>
  <c r="BI52" i="80"/>
  <c r="AQ258" i="2" s="1"/>
  <c r="BI77" i="80"/>
  <c r="AQ320" i="2" s="1"/>
  <c r="BI55" i="80"/>
  <c r="AQ261" i="2" s="1"/>
  <c r="AZ18" i="80"/>
  <c r="AP118" i="2" s="1"/>
  <c r="BI28" i="80"/>
  <c r="AQ132" i="2" s="1"/>
  <c r="AZ11" i="80"/>
  <c r="AP88" i="2" s="1"/>
  <c r="BI35" i="80"/>
  <c r="AQ110" i="2" s="1"/>
  <c r="AZ19" i="80"/>
  <c r="AP119" i="2" s="1"/>
  <c r="AZ47" i="80"/>
  <c r="AP310" i="2" s="1"/>
  <c r="BI76" i="80"/>
  <c r="AQ319" i="2" s="1"/>
  <c r="BI21" i="80"/>
  <c r="AQ125" i="2" s="1"/>
  <c r="BI31" i="80"/>
  <c r="AQ135" i="2" s="1"/>
  <c r="BI10" i="80"/>
  <c r="AQ98" i="2" s="1"/>
  <c r="BI14" i="80"/>
  <c r="AQ102" i="2" s="1"/>
  <c r="BI5" i="80"/>
  <c r="AQ93" i="2" s="1"/>
  <c r="AZ34" i="80"/>
  <c r="AP249" i="2" s="1"/>
  <c r="AZ45" i="80"/>
  <c r="AP308" i="2" s="1"/>
  <c r="BI11" i="80"/>
  <c r="AQ99" i="2" s="1"/>
  <c r="BI90" i="80"/>
  <c r="AQ363" i="2" s="1"/>
  <c r="AZ51" i="80"/>
  <c r="AP141" i="2" s="1"/>
  <c r="AZ92" i="80"/>
  <c r="AP365" i="2" s="1"/>
  <c r="AZ88" i="80"/>
  <c r="AP361" i="2" s="1"/>
  <c r="BI75" i="80"/>
  <c r="AQ318" i="2" s="1"/>
  <c r="BI60" i="80"/>
  <c r="AQ266" i="2" s="1"/>
  <c r="BI16" i="80"/>
  <c r="AQ104" i="2" s="1"/>
  <c r="BI54" i="80"/>
  <c r="AQ260" i="2" s="1"/>
  <c r="BI29" i="80"/>
  <c r="AQ133" i="2" s="1"/>
  <c r="BI57" i="80"/>
  <c r="AQ263" i="2" s="1"/>
  <c r="AZ6" i="80"/>
  <c r="AP83" i="2" s="1"/>
  <c r="BI17" i="80"/>
  <c r="AQ105" i="2" s="1"/>
  <c r="BI22" i="80"/>
  <c r="AQ126" i="2" s="1"/>
  <c r="AZ50" i="80"/>
  <c r="AP110" i="2" s="1"/>
  <c r="BI37" i="80"/>
  <c r="AQ48" i="2" s="1"/>
  <c r="AZ35" i="80"/>
  <c r="AP250" i="2" s="1"/>
  <c r="BI64" i="80"/>
  <c r="AQ275" i="2" s="1"/>
  <c r="BI53" i="80"/>
  <c r="AQ259" i="2" s="1"/>
  <c r="AZ32" i="80"/>
  <c r="AP247" i="2" s="1"/>
  <c r="AZ89" i="80"/>
  <c r="BI44" i="80"/>
  <c r="AQ77" i="2" s="1"/>
  <c r="BI18" i="80"/>
  <c r="AQ106" i="2" s="1"/>
  <c r="BI50" i="80"/>
  <c r="AQ256" i="2" s="1"/>
  <c r="BI47" i="80"/>
  <c r="AQ253" i="2" s="1"/>
  <c r="BI24" i="80"/>
  <c r="AQ128" i="2" s="1"/>
  <c r="AZ14" i="80"/>
  <c r="AP114" i="2" s="1"/>
  <c r="BI26" i="80"/>
  <c r="AQ130" i="2" s="1"/>
  <c r="BI32" i="80"/>
  <c r="AQ136" i="2" s="1"/>
  <c r="BI27" i="80"/>
  <c r="AQ131" i="2" s="1"/>
  <c r="BI33" i="80"/>
  <c r="AQ137" i="2" s="1"/>
  <c r="BI7" i="80"/>
  <c r="AQ95" i="2" s="1"/>
  <c r="BI8" i="80"/>
  <c r="AQ96" i="2" s="1"/>
  <c r="BI88" i="80"/>
  <c r="AQ361" i="2" s="1"/>
  <c r="AZ30" i="80"/>
  <c r="AP245" i="2" s="1"/>
  <c r="BI92" i="80"/>
  <c r="AQ365" i="2" s="1"/>
  <c r="AZ10" i="80"/>
  <c r="AP87" i="2" s="1"/>
  <c r="BI23" i="80"/>
  <c r="AQ127" i="2" s="1"/>
  <c r="BI12" i="80"/>
  <c r="AQ100" i="2" s="1"/>
  <c r="BI66" i="80"/>
  <c r="AQ277" i="2" s="1"/>
  <c r="AZ91" i="80"/>
  <c r="BI25" i="80"/>
  <c r="AQ129" i="2" s="1"/>
  <c r="AZ22" i="80"/>
  <c r="AP73" i="2" s="1"/>
  <c r="BI82" i="80"/>
  <c r="AQ325" i="2" s="1"/>
  <c r="BI63" i="80"/>
  <c r="AQ274" i="2" s="1"/>
  <c r="AZ8" i="80"/>
  <c r="AP85" i="2" s="1"/>
  <c r="BI51" i="80"/>
  <c r="AQ257" i="2" s="1"/>
  <c r="AZ53" i="80"/>
  <c r="AP214" i="2" s="1"/>
  <c r="AZ21" i="80"/>
  <c r="AP72" i="2" s="1"/>
  <c r="BI39" i="80"/>
  <c r="AQ72" i="2" s="1"/>
  <c r="BI72" i="80"/>
  <c r="AQ315" i="2" s="1"/>
  <c r="BI9" i="80"/>
  <c r="AQ97" i="2" s="1"/>
  <c r="BI89" i="80"/>
  <c r="AQ362" i="2" s="1"/>
  <c r="AZ26" i="80"/>
  <c r="AP77" i="2" s="1"/>
  <c r="BI83" i="80"/>
  <c r="AQ326" i="2" s="1"/>
  <c r="BI49" i="80"/>
  <c r="AQ255" i="2" s="1"/>
  <c r="BI6" i="80"/>
  <c r="AQ94" i="2" s="1"/>
  <c r="AZ27" i="80"/>
  <c r="AP78" i="2" s="1"/>
  <c r="BI43" i="80"/>
  <c r="AQ76" i="2" s="1"/>
  <c r="BI20" i="80"/>
  <c r="AQ124" i="2" s="1"/>
  <c r="AZ16" i="80"/>
  <c r="AP116" i="2" s="1"/>
  <c r="AZ23" i="80"/>
  <c r="AP74" i="2" s="1"/>
  <c r="AZ25" i="80"/>
  <c r="AP76" i="2" s="1"/>
  <c r="BI41" i="80"/>
  <c r="AQ74" i="2" s="1"/>
  <c r="BI78" i="80"/>
  <c r="AQ321" i="2" s="1"/>
  <c r="AZ13" i="80"/>
  <c r="AP113" i="2" s="1"/>
  <c r="BI80" i="80"/>
  <c r="AQ323" i="2" s="1"/>
  <c r="BI74" i="80"/>
  <c r="AQ317" i="2" s="1"/>
  <c r="AZ24" i="80"/>
  <c r="AP75" i="2" s="1"/>
  <c r="BI58" i="80"/>
  <c r="AQ264" i="2" s="1"/>
  <c r="BI73" i="80"/>
  <c r="AQ316" i="2" s="1"/>
  <c r="BI36" i="80"/>
  <c r="AQ141" i="2" s="1"/>
  <c r="AZ17" i="80"/>
  <c r="AP117" i="2" s="1"/>
  <c r="BI87" i="67"/>
  <c r="U314" i="2" s="1"/>
  <c r="AZ11" i="67"/>
  <c r="T118" i="2" s="1"/>
  <c r="AZ55" i="67"/>
  <c r="T305" i="2" s="1"/>
  <c r="AZ51" i="67"/>
  <c r="T295" i="2" s="1"/>
  <c r="AZ68" i="67"/>
  <c r="T334" i="2" s="1"/>
  <c r="BI86" i="67"/>
  <c r="U313" i="2" s="1"/>
  <c r="AZ33" i="67"/>
  <c r="T247" i="2" s="1"/>
  <c r="BI80" i="67"/>
  <c r="U299" i="2" s="1"/>
  <c r="AZ69" i="67"/>
  <c r="T335" i="2" s="1"/>
  <c r="AZ45" i="67"/>
  <c r="T285" i="2" s="1"/>
  <c r="BI29" i="67"/>
  <c r="U73" i="2" s="1"/>
  <c r="AZ54" i="67"/>
  <c r="T304" i="2" s="1"/>
  <c r="BI35" i="67"/>
  <c r="U79" i="2" s="1"/>
  <c r="BI102" i="67"/>
  <c r="U329" i="2" s="1"/>
  <c r="AZ48" i="67"/>
  <c r="T288" i="2" s="1"/>
  <c r="AZ39" i="67"/>
  <c r="T269" i="2" s="1"/>
  <c r="AZ63" i="67"/>
  <c r="T329" i="2" s="1"/>
  <c r="AZ38" i="67"/>
  <c r="T268" i="2" s="1"/>
  <c r="AZ40" i="67"/>
  <c r="T270" i="2" s="1"/>
  <c r="AZ129" i="67"/>
  <c r="AZ30" i="67"/>
  <c r="T244" i="2" s="1"/>
  <c r="AZ72" i="67"/>
  <c r="T338" i="2" s="1"/>
  <c r="AZ130" i="67"/>
  <c r="AZ71" i="67"/>
  <c r="T337" i="2" s="1"/>
  <c r="AZ26" i="67"/>
  <c r="T234" i="2" s="1"/>
  <c r="BI119" i="67"/>
  <c r="U354" i="2" s="1"/>
  <c r="BI46" i="67"/>
  <c r="U253" i="2" s="1"/>
  <c r="BI89" i="67"/>
  <c r="U316" i="2" s="1"/>
  <c r="BI30" i="67"/>
  <c r="U74" i="2" s="1"/>
  <c r="AZ47" i="67"/>
  <c r="T287" i="2" s="1"/>
  <c r="AZ56" i="67"/>
  <c r="T306" i="2" s="1"/>
  <c r="AZ32" i="67"/>
  <c r="T246" i="2" s="1"/>
  <c r="BI83" i="67"/>
  <c r="U302" i="2" s="1"/>
  <c r="BI16" i="67"/>
  <c r="U133" i="2" s="1"/>
  <c r="BI32" i="67"/>
  <c r="U76" i="2" s="1"/>
  <c r="AZ67" i="67"/>
  <c r="T333" i="2" s="1"/>
  <c r="AZ73" i="67"/>
  <c r="T339" i="2" s="1"/>
  <c r="AZ12" i="67"/>
  <c r="T119" i="2" s="1"/>
  <c r="BI14" i="67"/>
  <c r="U131" i="2" s="1"/>
  <c r="BI130" i="67"/>
  <c r="AZ59" i="67"/>
  <c r="T309" i="2" s="1"/>
  <c r="AZ52" i="67"/>
  <c r="T296" i="2" s="1"/>
  <c r="BI67" i="67"/>
  <c r="U279" i="2" s="1"/>
  <c r="AZ9" i="67"/>
  <c r="T116" i="2" s="1"/>
  <c r="BI48" i="67"/>
  <c r="U255" i="2" s="1"/>
  <c r="BI37" i="67"/>
  <c r="U236" i="2" s="1"/>
  <c r="AZ50" i="67"/>
  <c r="T294" i="2" s="1"/>
  <c r="AZ41" i="67"/>
  <c r="T271" i="2" s="1"/>
  <c r="BI96" i="67"/>
  <c r="U323" i="2" s="1"/>
  <c r="AZ46" i="67"/>
  <c r="T286" i="2" s="1"/>
  <c r="AZ5" i="67"/>
  <c r="T112" i="2" s="1"/>
  <c r="BI91" i="67"/>
  <c r="U318" i="2" s="1"/>
  <c r="AZ44" i="67"/>
  <c r="T284" i="2" s="1"/>
  <c r="BI17" i="67"/>
  <c r="U134" i="2" s="1"/>
  <c r="BI42" i="67"/>
  <c r="U241" i="2" s="1"/>
  <c r="AZ58" i="67"/>
  <c r="T308" i="2" s="1"/>
  <c r="BI62" i="67"/>
  <c r="U274" i="2" s="1"/>
  <c r="AZ65" i="67"/>
  <c r="T331" i="2" s="1"/>
  <c r="BI82" i="67"/>
  <c r="U301" i="2" s="1"/>
  <c r="BI5" i="67"/>
  <c r="U122" i="2" s="1"/>
  <c r="BI103" i="67"/>
  <c r="U330" i="2" s="1"/>
  <c r="BI65" i="67"/>
  <c r="U277" i="2" s="1"/>
  <c r="BI109" i="67"/>
  <c r="U344" i="2" s="1"/>
  <c r="BI13" i="67"/>
  <c r="U130" i="2" s="1"/>
  <c r="AZ60" i="67"/>
  <c r="T310" i="2" s="1"/>
  <c r="AZ36" i="67"/>
  <c r="T250" i="2" s="1"/>
  <c r="AZ13" i="67"/>
  <c r="T120" i="2" s="1"/>
  <c r="BI45" i="67"/>
  <c r="U252" i="2" s="1"/>
  <c r="BI120" i="67"/>
  <c r="U355" i="2" s="1"/>
  <c r="BI93" i="67"/>
  <c r="U320" i="2" s="1"/>
  <c r="BI51" i="67"/>
  <c r="U258" i="2" s="1"/>
  <c r="BI22" i="67"/>
  <c r="U139" i="2" s="1"/>
  <c r="BI121" i="67"/>
  <c r="U356" i="2" s="1"/>
  <c r="AZ74" i="67"/>
  <c r="T340" i="2" s="1"/>
  <c r="BI98" i="67"/>
  <c r="U325" i="2" s="1"/>
  <c r="BI70" i="67"/>
  <c r="U282" i="2" s="1"/>
  <c r="AZ8" i="67"/>
  <c r="T115" i="2" s="1"/>
  <c r="AZ7" i="67"/>
  <c r="T114" i="2" s="1"/>
  <c r="BI49" i="67"/>
  <c r="U256" i="2" s="1"/>
  <c r="AZ61" i="67"/>
  <c r="T311" i="2" s="1"/>
  <c r="BI79" i="67"/>
  <c r="U298" i="2" s="1"/>
  <c r="BI52" i="67"/>
  <c r="U259" i="2" s="1"/>
  <c r="BI69" i="67"/>
  <c r="U281" i="2" s="1"/>
  <c r="AZ35" i="67"/>
  <c r="T249" i="2" s="1"/>
  <c r="BI58" i="67"/>
  <c r="U265" i="2" s="1"/>
  <c r="BI110" i="67"/>
  <c r="U345" i="2" s="1"/>
  <c r="BI21" i="67"/>
  <c r="U138" i="2" s="1"/>
  <c r="BI44" i="67"/>
  <c r="U251" i="2" s="1"/>
  <c r="BI106" i="67"/>
  <c r="U341" i="2" s="1"/>
  <c r="AZ76" i="67"/>
  <c r="T358" i="2" s="1"/>
  <c r="BI94" i="67"/>
  <c r="U321" i="2" s="1"/>
  <c r="BI53" i="67"/>
  <c r="U260" i="2" s="1"/>
  <c r="AZ10" i="67"/>
  <c r="T117" i="2" s="1"/>
  <c r="BI9" i="67"/>
  <c r="U126" i="2" s="1"/>
  <c r="AZ27" i="67"/>
  <c r="T235" i="2" s="1"/>
  <c r="BI56" i="67"/>
  <c r="U263" i="2" s="1"/>
  <c r="BI100" i="67"/>
  <c r="U327" i="2" s="1"/>
  <c r="BI12" i="67"/>
  <c r="U129" i="2" s="1"/>
  <c r="BI107" i="67"/>
  <c r="U342" i="2" s="1"/>
  <c r="AZ29" i="67"/>
  <c r="T243" i="2" s="1"/>
  <c r="BI59" i="67"/>
  <c r="U266" i="2" s="1"/>
  <c r="AZ34" i="67"/>
  <c r="T248" i="2" s="1"/>
  <c r="AZ42" i="67"/>
  <c r="T272" i="2" s="1"/>
  <c r="BI117" i="67"/>
  <c r="U352" i="2" s="1"/>
  <c r="BI95" i="67"/>
  <c r="U322" i="2" s="1"/>
  <c r="BI88" i="67"/>
  <c r="U315" i="2" s="1"/>
  <c r="BI11" i="67"/>
  <c r="U128" i="2" s="1"/>
  <c r="AZ25" i="67"/>
  <c r="T233" i="2" s="1"/>
  <c r="AZ6" i="67"/>
  <c r="T113" i="2" s="1"/>
  <c r="BI78" i="67"/>
  <c r="U297" i="2" s="1"/>
  <c r="BI104" i="67"/>
  <c r="U331" i="2" s="1"/>
  <c r="BI116" i="67"/>
  <c r="U351" i="2" s="1"/>
  <c r="BI55" i="67"/>
  <c r="U262" i="2" s="1"/>
  <c r="BI111" i="67"/>
  <c r="U346" i="2" s="1"/>
  <c r="BI123" i="67"/>
  <c r="U358" i="2" s="1"/>
  <c r="BI112" i="67"/>
  <c r="U347" i="2" s="1"/>
  <c r="BI99" i="67"/>
  <c r="U326" i="2" s="1"/>
  <c r="BI7" i="67"/>
  <c r="U124" i="2" s="1"/>
  <c r="AZ131" i="67"/>
  <c r="T365" i="2" s="1"/>
  <c r="BI24" i="67"/>
  <c r="U141" i="2" s="1"/>
  <c r="BI28" i="67"/>
  <c r="U72" i="2" s="1"/>
  <c r="BI40" i="67"/>
  <c r="U239" i="2" s="1"/>
  <c r="BI27" i="67"/>
  <c r="U71" i="2" s="1"/>
  <c r="BI19" i="67"/>
  <c r="U136" i="2" s="1"/>
  <c r="BI25" i="67"/>
  <c r="U48" i="2" s="1"/>
  <c r="BI115" i="67"/>
  <c r="U350" i="2" s="1"/>
  <c r="BI33" i="67"/>
  <c r="U77" i="2" s="1"/>
  <c r="AZ70" i="67"/>
  <c r="T336" i="2" s="1"/>
  <c r="BI127" i="67"/>
  <c r="U361" i="2" s="1"/>
  <c r="AZ64" i="67"/>
  <c r="T330" i="2" s="1"/>
  <c r="AZ31" i="67"/>
  <c r="T245" i="2" s="1"/>
  <c r="BI50" i="67"/>
  <c r="U257" i="2" s="1"/>
  <c r="BI31" i="67"/>
  <c r="U75" i="2" s="1"/>
  <c r="AZ127" i="67"/>
  <c r="T361" i="2" s="1"/>
  <c r="BI75" i="67"/>
  <c r="U287" i="2" s="1"/>
  <c r="BI41" i="67"/>
  <c r="U240" i="2" s="1"/>
  <c r="BI8" i="67"/>
  <c r="U125" i="2" s="1"/>
  <c r="BI34" i="67"/>
  <c r="U78" i="2" s="1"/>
  <c r="BI39" i="67"/>
  <c r="U238" i="2" s="1"/>
  <c r="BI118" i="67"/>
  <c r="U353" i="2" s="1"/>
  <c r="BI90" i="67"/>
  <c r="U317" i="2" s="1"/>
  <c r="BI131" i="67"/>
  <c r="U365" i="2" s="1"/>
  <c r="BI63" i="67"/>
  <c r="U275" i="2" s="1"/>
  <c r="BI129" i="67"/>
  <c r="U363" i="2" s="1"/>
  <c r="AZ57" i="67"/>
  <c r="T307" i="2" s="1"/>
  <c r="AZ22" i="67"/>
  <c r="T78" i="2" s="1"/>
  <c r="BI47" i="67"/>
  <c r="U254" i="2" s="1"/>
  <c r="BI64" i="67"/>
  <c r="U276" i="2" s="1"/>
  <c r="BI61" i="67"/>
  <c r="U273" i="2" s="1"/>
  <c r="BI97" i="67"/>
  <c r="U324" i="2" s="1"/>
  <c r="BI38" i="67"/>
  <c r="U237" i="2" s="1"/>
  <c r="BI54" i="67"/>
  <c r="U261" i="2" s="1"/>
  <c r="BI15" i="67"/>
  <c r="U132" i="2" s="1"/>
  <c r="AZ16" i="67"/>
  <c r="T72" i="2" s="1"/>
  <c r="BI20" i="67"/>
  <c r="U137" i="2" s="1"/>
  <c r="BI76" i="67"/>
  <c r="U288" i="2" s="1"/>
  <c r="BI6" i="67"/>
  <c r="U123" i="2" s="1"/>
  <c r="BI57" i="67"/>
  <c r="U264" i="2" s="1"/>
  <c r="AZ17" i="67"/>
  <c r="T73" i="2" s="1"/>
  <c r="BI10" i="67"/>
  <c r="U127" i="2" s="1"/>
  <c r="BI108" i="67"/>
  <c r="U343" i="2" s="1"/>
  <c r="AZ128" i="67"/>
  <c r="BI18" i="67"/>
  <c r="U135" i="2" s="1"/>
  <c r="BI92" i="67"/>
  <c r="U319" i="2" s="1"/>
  <c r="BI114" i="67"/>
  <c r="U349" i="2" s="1"/>
  <c r="BI74" i="67"/>
  <c r="U286" i="2" s="1"/>
  <c r="BI85" i="67"/>
  <c r="U312" i="2" s="1"/>
  <c r="BI81" i="67"/>
  <c r="U300" i="2" s="1"/>
  <c r="AZ15" i="67"/>
  <c r="T71" i="2" s="1"/>
  <c r="BI72" i="67"/>
  <c r="U284" i="2" s="1"/>
  <c r="BI73" i="67"/>
  <c r="U285" i="2" s="1"/>
  <c r="BI128" i="67"/>
  <c r="U362" i="2" s="1"/>
  <c r="BI68" i="67"/>
  <c r="U280" i="2" s="1"/>
  <c r="BI66" i="67"/>
  <c r="U278" i="2" s="1"/>
  <c r="BI113" i="67"/>
  <c r="U348" i="2" s="1"/>
  <c r="AZ21" i="66"/>
  <c r="R77" i="2" s="1"/>
  <c r="AZ21" i="67"/>
  <c r="T77" i="2" s="1"/>
  <c r="AZ13" i="77"/>
  <c r="AL77" i="2" s="1"/>
  <c r="BI25" i="66"/>
  <c r="S48" i="2" s="1"/>
  <c r="BI34" i="66"/>
  <c r="S78" i="2" s="1"/>
  <c r="BI80" i="66"/>
  <c r="S299" i="2" s="1"/>
  <c r="AZ63" i="66"/>
  <c r="R329" i="2" s="1"/>
  <c r="AZ44" i="66"/>
  <c r="R284" i="2" s="1"/>
  <c r="AZ26" i="66"/>
  <c r="R234" i="2" s="1"/>
  <c r="AZ58" i="66"/>
  <c r="R308" i="2" s="1"/>
  <c r="BI112" i="66"/>
  <c r="S347" i="2" s="1"/>
  <c r="AZ8" i="66"/>
  <c r="R84" i="2" s="1"/>
  <c r="AZ46" i="66"/>
  <c r="R286" i="2" s="1"/>
  <c r="AZ7" i="66"/>
  <c r="R83" i="2" s="1"/>
  <c r="BI66" i="66"/>
  <c r="S278" i="2" s="1"/>
  <c r="BI116" i="66"/>
  <c r="S351" i="2" s="1"/>
  <c r="BI46" i="66"/>
  <c r="S253" i="2" s="1"/>
  <c r="BI83" i="66"/>
  <c r="S302" i="2" s="1"/>
  <c r="BI17" i="66"/>
  <c r="S103" i="2" s="1"/>
  <c r="BI65" i="66"/>
  <c r="S277" i="2" s="1"/>
  <c r="BI117" i="66"/>
  <c r="S352" i="2" s="1"/>
  <c r="BI95" i="66"/>
  <c r="S322" i="2" s="1"/>
  <c r="AZ120" i="66"/>
  <c r="AZ38" i="66"/>
  <c r="R268" i="2" s="1"/>
  <c r="BI29" i="66"/>
  <c r="S73" i="2" s="1"/>
  <c r="BI58" i="66"/>
  <c r="S265" i="2" s="1"/>
  <c r="BI89" i="66"/>
  <c r="S316" i="2" s="1"/>
  <c r="AZ121" i="66"/>
  <c r="AZ48" i="66"/>
  <c r="R288" i="2" s="1"/>
  <c r="BI99" i="66"/>
  <c r="S326" i="2" s="1"/>
  <c r="AZ40" i="66"/>
  <c r="R270" i="2" s="1"/>
  <c r="BI119" i="66"/>
  <c r="S354" i="2" s="1"/>
  <c r="BI30" i="66"/>
  <c r="S74" i="2" s="1"/>
  <c r="BI114" i="66"/>
  <c r="S349" i="2" s="1"/>
  <c r="BI63" i="66"/>
  <c r="S275" i="2" s="1"/>
  <c r="AZ69" i="66"/>
  <c r="R335" i="2" s="1"/>
  <c r="AZ12" i="66"/>
  <c r="R88" i="2" s="1"/>
  <c r="BI52" i="66"/>
  <c r="S259" i="2" s="1"/>
  <c r="AZ9" i="66"/>
  <c r="R85" i="2" s="1"/>
  <c r="BI108" i="66"/>
  <c r="S343" i="2" s="1"/>
  <c r="AZ76" i="66"/>
  <c r="R358" i="2" s="1"/>
  <c r="BI9" i="66"/>
  <c r="S95" i="2" s="1"/>
  <c r="BI15" i="66"/>
  <c r="S101" i="2" s="1"/>
  <c r="BI50" i="66"/>
  <c r="S257" i="2" s="1"/>
  <c r="BI73" i="66"/>
  <c r="S285" i="2" s="1"/>
  <c r="AZ11" i="66"/>
  <c r="R87" i="2" s="1"/>
  <c r="BI94" i="66"/>
  <c r="S321" i="2" s="1"/>
  <c r="BI42" i="66"/>
  <c r="S241" i="2" s="1"/>
  <c r="BI64" i="66"/>
  <c r="S276" i="2" s="1"/>
  <c r="BI96" i="66"/>
  <c r="S323" i="2" s="1"/>
  <c r="BI72" i="66"/>
  <c r="S284" i="2" s="1"/>
  <c r="BI130" i="66"/>
  <c r="AZ57" i="66"/>
  <c r="R307" i="2" s="1"/>
  <c r="AZ71" i="66"/>
  <c r="R337" i="2" s="1"/>
  <c r="AZ47" i="66"/>
  <c r="R287" i="2" s="1"/>
  <c r="BI82" i="66"/>
  <c r="S301" i="2" s="1"/>
  <c r="AZ10" i="66"/>
  <c r="R86" i="2" s="1"/>
  <c r="BI104" i="66"/>
  <c r="S331" i="2" s="1"/>
  <c r="BI98" i="66"/>
  <c r="S325" i="2" s="1"/>
  <c r="BI39" i="66"/>
  <c r="S238" i="2" s="1"/>
  <c r="AZ45" i="66"/>
  <c r="R285" i="2" s="1"/>
  <c r="BI33" i="66"/>
  <c r="S77" i="2" s="1"/>
  <c r="AZ33" i="66"/>
  <c r="R247" i="2" s="1"/>
  <c r="AZ73" i="66"/>
  <c r="R339" i="2" s="1"/>
  <c r="AZ39" i="66"/>
  <c r="R269" i="2" s="1"/>
  <c r="AZ64" i="66"/>
  <c r="R330" i="2" s="1"/>
  <c r="BI120" i="66"/>
  <c r="S355" i="2" s="1"/>
  <c r="BI68" i="66"/>
  <c r="S280" i="2" s="1"/>
  <c r="BI113" i="66"/>
  <c r="S348" i="2" s="1"/>
  <c r="AZ32" i="66"/>
  <c r="R246" i="2" s="1"/>
  <c r="BI110" i="66"/>
  <c r="S345" i="2" s="1"/>
  <c r="AZ61" i="66"/>
  <c r="R311" i="2" s="1"/>
  <c r="AZ59" i="66"/>
  <c r="R309" i="2" s="1"/>
  <c r="AZ74" i="66"/>
  <c r="R340" i="2" s="1"/>
  <c r="AZ41" i="66"/>
  <c r="R271" i="2" s="1"/>
  <c r="AZ6" i="66"/>
  <c r="R82" i="2" s="1"/>
  <c r="BI16" i="66"/>
  <c r="S102" i="2" s="1"/>
  <c r="BI49" i="66"/>
  <c r="S256" i="2" s="1"/>
  <c r="BI8" i="66"/>
  <c r="S94" i="2" s="1"/>
  <c r="AZ31" i="66"/>
  <c r="R245" i="2" s="1"/>
  <c r="BI61" i="66"/>
  <c r="S273" i="2" s="1"/>
  <c r="BI40" i="66"/>
  <c r="S239" i="2" s="1"/>
  <c r="BI102" i="66"/>
  <c r="S329" i="2" s="1"/>
  <c r="BI91" i="66"/>
  <c r="S318" i="2" s="1"/>
  <c r="BI121" i="66"/>
  <c r="S356" i="2" s="1"/>
  <c r="BI62" i="66"/>
  <c r="S274" i="2" s="1"/>
  <c r="AZ19" i="66"/>
  <c r="R75" i="2" s="1"/>
  <c r="BI59" i="66"/>
  <c r="S266" i="2" s="1"/>
  <c r="AZ60" i="66"/>
  <c r="R310" i="2" s="1"/>
  <c r="AZ119" i="66"/>
  <c r="R361" i="2" s="1"/>
  <c r="AZ51" i="66"/>
  <c r="R295" i="2" s="1"/>
  <c r="BI12" i="66"/>
  <c r="S98" i="2" s="1"/>
  <c r="BI32" i="66"/>
  <c r="S76" i="2" s="1"/>
  <c r="BI41" i="66"/>
  <c r="S240" i="2" s="1"/>
  <c r="AZ30" i="66"/>
  <c r="R244" i="2" s="1"/>
  <c r="AZ68" i="66"/>
  <c r="R334" i="2" s="1"/>
  <c r="BI97" i="66"/>
  <c r="S324" i="2" s="1"/>
  <c r="BI87" i="66"/>
  <c r="S314" i="2" s="1"/>
  <c r="BI18" i="66"/>
  <c r="S104" i="2" s="1"/>
  <c r="BI54" i="66"/>
  <c r="S261" i="2" s="1"/>
  <c r="AZ123" i="66"/>
  <c r="R365" i="2" s="1"/>
  <c r="AZ52" i="66"/>
  <c r="R296" i="2" s="1"/>
  <c r="AZ36" i="66"/>
  <c r="R250" i="2" s="1"/>
  <c r="AZ27" i="66"/>
  <c r="R235" i="2" s="1"/>
  <c r="BI93" i="66"/>
  <c r="S320" i="2" s="1"/>
  <c r="BI90" i="66"/>
  <c r="S317" i="2" s="1"/>
  <c r="AZ34" i="66"/>
  <c r="R248" i="2" s="1"/>
  <c r="BI88" i="66"/>
  <c r="S315" i="2" s="1"/>
  <c r="BI47" i="66"/>
  <c r="S254" i="2" s="1"/>
  <c r="BI28" i="66"/>
  <c r="S72" i="2" s="1"/>
  <c r="AZ55" i="66"/>
  <c r="R305" i="2" s="1"/>
  <c r="AZ65" i="66"/>
  <c r="R331" i="2" s="1"/>
  <c r="BI67" i="66"/>
  <c r="S279" i="2" s="1"/>
  <c r="AZ56" i="66"/>
  <c r="R306" i="2" s="1"/>
  <c r="AZ35" i="66"/>
  <c r="R249" i="2" s="1"/>
  <c r="BI109" i="66"/>
  <c r="S344" i="2" s="1"/>
  <c r="BI115" i="66"/>
  <c r="S350" i="2" s="1"/>
  <c r="BI128" i="66"/>
  <c r="S362" i="2" s="1"/>
  <c r="BI7" i="66"/>
  <c r="S93" i="2" s="1"/>
  <c r="BI10" i="66"/>
  <c r="S96" i="2" s="1"/>
  <c r="BI57" i="66"/>
  <c r="S264" i="2" s="1"/>
  <c r="BI19" i="66"/>
  <c r="S105" i="2" s="1"/>
  <c r="BI127" i="66"/>
  <c r="S361" i="2" s="1"/>
  <c r="AZ122" i="66"/>
  <c r="BI129" i="66"/>
  <c r="S363" i="2" s="1"/>
  <c r="AZ70" i="66"/>
  <c r="R336" i="2" s="1"/>
  <c r="BI100" i="66"/>
  <c r="S327" i="2" s="1"/>
  <c r="AZ72" i="66"/>
  <c r="R338" i="2" s="1"/>
  <c r="BI131" i="66"/>
  <c r="S365" i="2" s="1"/>
  <c r="BI92" i="66"/>
  <c r="S319" i="2" s="1"/>
  <c r="BI103" i="66"/>
  <c r="S330" i="2" s="1"/>
  <c r="AZ16" i="66"/>
  <c r="R72" i="2" s="1"/>
  <c r="BI118" i="66"/>
  <c r="S353" i="2" s="1"/>
  <c r="BI81" i="66"/>
  <c r="S300" i="2" s="1"/>
  <c r="BI20" i="66"/>
  <c r="S106" i="2" s="1"/>
  <c r="BI74" i="66"/>
  <c r="S286" i="2" s="1"/>
  <c r="BI56" i="66"/>
  <c r="S263" i="2" s="1"/>
  <c r="BI76" i="66"/>
  <c r="S288" i="2" s="1"/>
  <c r="BI53" i="66"/>
  <c r="S260" i="2" s="1"/>
  <c r="AZ22" i="66"/>
  <c r="R78" i="2" s="1"/>
  <c r="AZ78" i="66"/>
  <c r="R110" i="2" s="1"/>
  <c r="BI55" i="66"/>
  <c r="S262" i="2" s="1"/>
  <c r="BI48" i="66"/>
  <c r="S255" i="2" s="1"/>
  <c r="BI13" i="66"/>
  <c r="S99" i="2" s="1"/>
  <c r="BI51" i="66"/>
  <c r="S258" i="2" s="1"/>
  <c r="BI14" i="66"/>
  <c r="S100" i="2" s="1"/>
  <c r="BI111" i="66"/>
  <c r="S346" i="2" s="1"/>
  <c r="BI11" i="66"/>
  <c r="S97" i="2" s="1"/>
  <c r="BI75" i="66"/>
  <c r="S287" i="2" s="1"/>
  <c r="BI24" i="66"/>
  <c r="S110" i="2" s="1"/>
  <c r="BI123" i="66"/>
  <c r="S358" i="2" s="1"/>
  <c r="BI31" i="66"/>
  <c r="S75" i="2" s="1"/>
  <c r="BI125" i="66"/>
  <c r="S214" i="2" s="1"/>
  <c r="BI82" i="1"/>
  <c r="Q301" i="2" s="1"/>
  <c r="BI85" i="1"/>
  <c r="Q312" i="2" s="1"/>
  <c r="AZ33" i="1"/>
  <c r="P247" i="2" s="1"/>
  <c r="BI116" i="1"/>
  <c r="Q351" i="2" s="1"/>
  <c r="AZ13" i="1"/>
  <c r="P47" i="2" s="1"/>
  <c r="BI110" i="1"/>
  <c r="Q345" i="2" s="1"/>
  <c r="BI16" i="1"/>
  <c r="Q61" i="2" s="1"/>
  <c r="BI96" i="1"/>
  <c r="Q323" i="2" s="1"/>
  <c r="AZ21" i="1"/>
  <c r="P77" i="2" s="1"/>
  <c r="AZ129" i="1"/>
  <c r="BI97" i="1"/>
  <c r="Q324" i="2" s="1"/>
  <c r="BI24" i="1"/>
  <c r="Q69" i="2" s="1"/>
  <c r="BI59" i="1"/>
  <c r="Q266" i="2" s="1"/>
  <c r="AZ76" i="1"/>
  <c r="P358" i="2" s="1"/>
  <c r="BI107" i="1"/>
  <c r="Q342" i="2" s="1"/>
  <c r="BI67" i="1"/>
  <c r="Q279" i="2" s="1"/>
  <c r="BI130" i="1"/>
  <c r="AZ26" i="1"/>
  <c r="P234" i="2" s="1"/>
  <c r="BI40" i="1"/>
  <c r="Q239" i="2" s="1"/>
  <c r="BI12" i="1"/>
  <c r="Q57" i="2" s="1"/>
  <c r="AZ48" i="1"/>
  <c r="P288" i="2" s="1"/>
  <c r="AZ31" i="1"/>
  <c r="P245" i="2" s="1"/>
  <c r="AZ44" i="1"/>
  <c r="P284" i="2" s="1"/>
  <c r="BI119" i="1"/>
  <c r="Q354" i="2" s="1"/>
  <c r="BI13" i="1"/>
  <c r="Q58" i="2" s="1"/>
  <c r="BI86" i="1"/>
  <c r="Q313" i="2" s="1"/>
  <c r="AZ29" i="1"/>
  <c r="P243" i="2" s="1"/>
  <c r="AZ6" i="1"/>
  <c r="P40" i="2" s="1"/>
  <c r="AZ52" i="1"/>
  <c r="P296" i="2" s="1"/>
  <c r="AZ9" i="1"/>
  <c r="P43" i="2" s="1"/>
  <c r="BI11" i="1"/>
  <c r="Q56" i="2" s="1"/>
  <c r="AZ25" i="1"/>
  <c r="P233" i="2" s="1"/>
  <c r="AZ68" i="1"/>
  <c r="P334" i="2" s="1"/>
  <c r="BI51" i="1"/>
  <c r="Q258" i="2" s="1"/>
  <c r="AZ38" i="1"/>
  <c r="P268" i="2" s="1"/>
  <c r="BI102" i="1"/>
  <c r="Q329" i="2" s="1"/>
  <c r="BI106" i="1"/>
  <c r="Q341" i="2" s="1"/>
  <c r="BI80" i="1"/>
  <c r="Q299" i="2" s="1"/>
  <c r="BI42" i="1"/>
  <c r="Q241" i="2" s="1"/>
  <c r="BI37" i="1"/>
  <c r="Q236" i="2" s="1"/>
  <c r="AZ11" i="1"/>
  <c r="P45" i="2" s="1"/>
  <c r="AZ12" i="1"/>
  <c r="P46" i="2" s="1"/>
  <c r="BI109" i="1"/>
  <c r="Q344" i="2" s="1"/>
  <c r="BI17" i="1"/>
  <c r="Q62" i="2" s="1"/>
  <c r="BI47" i="1"/>
  <c r="Q254" i="2" s="1"/>
  <c r="BI129" i="1"/>
  <c r="Q363" i="2" s="1"/>
  <c r="BI127" i="1"/>
  <c r="Q361" i="2" s="1"/>
  <c r="BI7" i="1"/>
  <c r="Q52" i="2" s="1"/>
  <c r="AZ67" i="1"/>
  <c r="P333" i="2" s="1"/>
  <c r="AZ131" i="1"/>
  <c r="P365" i="2" s="1"/>
  <c r="AZ27" i="1"/>
  <c r="P235" i="2" s="1"/>
  <c r="AZ127" i="1"/>
  <c r="P361" i="2" s="1"/>
  <c r="BI66" i="1"/>
  <c r="Q278" i="2" s="1"/>
  <c r="BI20" i="1"/>
  <c r="Q65" i="2" s="1"/>
  <c r="BI45" i="1"/>
  <c r="Q252" i="2" s="1"/>
  <c r="BI131" i="1"/>
  <c r="Q365" i="2" s="1"/>
  <c r="BI15" i="1"/>
  <c r="Q60" i="2" s="1"/>
  <c r="BI14" i="1"/>
  <c r="Q59" i="2" s="1"/>
  <c r="BI76" i="1"/>
  <c r="Q288" i="2" s="1"/>
  <c r="BI108" i="1"/>
  <c r="Q343" i="2" s="1"/>
  <c r="AZ61" i="1"/>
  <c r="P311" i="2" s="1"/>
  <c r="AZ71" i="1"/>
  <c r="P337" i="2" s="1"/>
  <c r="AZ23" i="1"/>
  <c r="P79" i="2" s="1"/>
  <c r="BI28" i="1"/>
  <c r="Q72" i="2" s="1"/>
  <c r="BI95" i="1"/>
  <c r="Q322" i="2" s="1"/>
  <c r="AZ47" i="1"/>
  <c r="P287" i="2" s="1"/>
  <c r="AZ5" i="1"/>
  <c r="P39" i="2" s="1"/>
  <c r="BI115" i="1"/>
  <c r="Q350" i="2" s="1"/>
  <c r="BI19" i="1"/>
  <c r="Q64" i="2" s="1"/>
  <c r="AZ74" i="1"/>
  <c r="P340" i="2" s="1"/>
  <c r="AZ15" i="1"/>
  <c r="P71" i="2" s="1"/>
  <c r="AZ56" i="1"/>
  <c r="P306" i="2" s="1"/>
  <c r="BI65" i="1"/>
  <c r="Q277" i="2" s="1"/>
  <c r="AZ41" i="1"/>
  <c r="P271" i="2" s="1"/>
  <c r="BI111" i="1"/>
  <c r="Q346" i="2" s="1"/>
  <c r="BI52" i="1"/>
  <c r="Q259" i="2" s="1"/>
  <c r="BI112" i="1"/>
  <c r="Q347" i="2" s="1"/>
  <c r="BI75" i="1"/>
  <c r="Q287" i="2" s="1"/>
  <c r="BI41" i="1"/>
  <c r="Q240" i="2" s="1"/>
  <c r="AZ55" i="1"/>
  <c r="P305" i="2" s="1"/>
  <c r="BI114" i="1"/>
  <c r="Q349" i="2" s="1"/>
  <c r="BI34" i="1"/>
  <c r="Q78" i="2" s="1"/>
  <c r="BI5" i="1"/>
  <c r="Q50" i="2" s="1"/>
  <c r="AZ17" i="1"/>
  <c r="P73" i="2" s="1"/>
  <c r="BI70" i="1"/>
  <c r="Q282" i="2" s="1"/>
  <c r="AZ34" i="1"/>
  <c r="P248" i="2" s="1"/>
  <c r="BI81" i="1"/>
  <c r="Q300" i="2" s="1"/>
  <c r="AZ63" i="1"/>
  <c r="P329" i="2" s="1"/>
  <c r="AZ57" i="1"/>
  <c r="P307" i="2" s="1"/>
  <c r="AZ32" i="1"/>
  <c r="P246" i="2" s="1"/>
  <c r="BI30" i="1"/>
  <c r="Q74" i="2" s="1"/>
  <c r="BI44" i="1"/>
  <c r="Q251" i="2" s="1"/>
  <c r="BI38" i="1"/>
  <c r="Q237" i="2" s="1"/>
  <c r="BI57" i="1"/>
  <c r="Q264" i="2" s="1"/>
  <c r="BI79" i="1"/>
  <c r="Q298" i="2" s="1"/>
  <c r="BI69" i="1"/>
  <c r="Q281" i="2" s="1"/>
  <c r="BI94" i="1"/>
  <c r="Q321" i="2" s="1"/>
  <c r="BI29" i="1"/>
  <c r="Q73" i="2" s="1"/>
  <c r="AZ10" i="1"/>
  <c r="P44" i="2" s="1"/>
  <c r="BI92" i="1"/>
  <c r="Q319" i="2" s="1"/>
  <c r="AZ70" i="1"/>
  <c r="P336" i="2" s="1"/>
  <c r="BI33" i="1"/>
  <c r="Q77" i="2" s="1"/>
  <c r="AZ65" i="1"/>
  <c r="P331" i="2" s="1"/>
  <c r="AZ22" i="1"/>
  <c r="P78" i="2" s="1"/>
  <c r="AZ30" i="1"/>
  <c r="P244" i="2" s="1"/>
  <c r="BI35" i="1"/>
  <c r="Q79" i="2" s="1"/>
  <c r="AZ8" i="1"/>
  <c r="P42" i="2" s="1"/>
  <c r="BI117" i="1"/>
  <c r="Q352" i="2" s="1"/>
  <c r="BI8" i="1"/>
  <c r="Q53" i="2" s="1"/>
  <c r="AZ78" i="1"/>
  <c r="P69" i="2" s="1"/>
  <c r="BI74" i="1"/>
  <c r="Q286" i="2" s="1"/>
  <c r="BI128" i="1"/>
  <c r="Q362" i="2" s="1"/>
  <c r="AZ59" i="1"/>
  <c r="P309" i="2" s="1"/>
  <c r="BI46" i="1"/>
  <c r="Q253" i="2" s="1"/>
  <c r="BI93" i="1"/>
  <c r="Q320" i="2" s="1"/>
  <c r="BI99" i="1"/>
  <c r="Q326" i="2" s="1"/>
  <c r="BI22" i="1"/>
  <c r="Q67" i="2" s="1"/>
  <c r="AZ58" i="1"/>
  <c r="P308" i="2" s="1"/>
  <c r="BI91" i="1"/>
  <c r="Q318" i="2" s="1"/>
  <c r="BI64" i="1"/>
  <c r="Q276" i="2" s="1"/>
  <c r="AZ130" i="1"/>
  <c r="BI6" i="1"/>
  <c r="Q51" i="2" s="1"/>
  <c r="BI88" i="1"/>
  <c r="Q315" i="2" s="1"/>
  <c r="BI100" i="1"/>
  <c r="Q327" i="2" s="1"/>
  <c r="AZ128" i="1"/>
  <c r="BI58" i="1"/>
  <c r="Q265" i="2" s="1"/>
  <c r="BI54" i="1"/>
  <c r="Q261" i="2" s="1"/>
  <c r="BI104" i="1"/>
  <c r="Q331" i="2" s="1"/>
  <c r="BI27" i="1"/>
  <c r="Q71" i="2" s="1"/>
  <c r="BI32" i="1"/>
  <c r="Q76" i="2" s="1"/>
  <c r="AZ73" i="1"/>
  <c r="P339" i="2" s="1"/>
  <c r="BI123" i="1"/>
  <c r="Q358" i="2" s="1"/>
  <c r="BI120" i="1"/>
  <c r="Q355" i="2" s="1"/>
  <c r="BI53" i="1"/>
  <c r="Q260" i="2" s="1"/>
  <c r="AZ40" i="1"/>
  <c r="P270" i="2" s="1"/>
  <c r="AZ35" i="1"/>
  <c r="P249" i="2" s="1"/>
  <c r="BI25" i="1"/>
  <c r="Q48" i="2" s="1"/>
  <c r="BI98" i="1"/>
  <c r="Q325" i="2" s="1"/>
  <c r="BI113" i="1"/>
  <c r="Q348" i="2" s="1"/>
  <c r="AZ64" i="1"/>
  <c r="P330" i="2" s="1"/>
  <c r="AZ72" i="1"/>
  <c r="P338" i="2" s="1"/>
  <c r="BI72" i="1"/>
  <c r="Q284" i="2" s="1"/>
  <c r="BI9" i="1"/>
  <c r="Q54" i="2" s="1"/>
  <c r="BI49" i="1"/>
  <c r="Q256" i="2" s="1"/>
  <c r="AZ46" i="1"/>
  <c r="P286" i="2" s="1"/>
  <c r="AZ36" i="1"/>
  <c r="P250" i="2" s="1"/>
  <c r="BI83" i="1"/>
  <c r="Q302" i="2" s="1"/>
  <c r="BI90" i="1"/>
  <c r="Q317" i="2" s="1"/>
  <c r="AZ42" i="1"/>
  <c r="P272" i="2" s="1"/>
  <c r="AZ50" i="1"/>
  <c r="P294" i="2" s="1"/>
  <c r="BI78" i="1"/>
  <c r="Q297" i="2" s="1"/>
  <c r="BI50" i="1"/>
  <c r="Q257" i="2" s="1"/>
  <c r="AZ39" i="1"/>
  <c r="P269" i="2" s="1"/>
  <c r="AZ60" i="1"/>
  <c r="P310" i="2" s="1"/>
  <c r="BI87" i="1"/>
  <c r="Q314" i="2" s="1"/>
  <c r="BI56" i="1"/>
  <c r="Q263" i="2" s="1"/>
  <c r="AZ54" i="1"/>
  <c r="P304" i="2" s="1"/>
  <c r="BI18" i="1"/>
  <c r="Q63" i="2" s="1"/>
  <c r="BI121" i="1"/>
  <c r="Q356" i="2" s="1"/>
  <c r="BI21" i="1"/>
  <c r="Q66" i="2" s="1"/>
  <c r="BI63" i="1"/>
  <c r="Q275" i="2" s="1"/>
  <c r="BI55" i="1"/>
  <c r="Q262" i="2" s="1"/>
  <c r="BI118" i="1"/>
  <c r="Q353" i="2" s="1"/>
  <c r="AZ16" i="1"/>
  <c r="P72" i="2" s="1"/>
  <c r="BI10" i="1"/>
  <c r="Q55" i="2" s="1"/>
  <c r="AZ7" i="1"/>
  <c r="P41" i="2" s="1"/>
  <c r="AZ69" i="1"/>
  <c r="P335" i="2" s="1"/>
  <c r="BI89" i="1"/>
  <c r="Q316" i="2" s="1"/>
  <c r="BI73" i="1"/>
  <c r="Q285" i="2" s="1"/>
  <c r="BI103" i="1"/>
  <c r="Q330" i="2" s="1"/>
  <c r="BI62" i="1"/>
  <c r="Q274" i="2" s="1"/>
  <c r="BI68" i="1"/>
  <c r="Q280" i="2" s="1"/>
  <c r="BI39" i="1"/>
  <c r="Q238" i="2" s="1"/>
  <c r="AZ51" i="1"/>
  <c r="P295" i="2" s="1"/>
  <c r="AZ45" i="1"/>
  <c r="P285" i="2" s="1"/>
  <c r="BI48" i="1"/>
  <c r="Q255" i="2" s="1"/>
  <c r="BI61" i="1"/>
  <c r="Q273" i="2" s="1"/>
  <c r="BI31" i="1"/>
  <c r="Q75" i="2" s="1"/>
  <c r="AZ114" i="75"/>
  <c r="AZ115" i="75"/>
  <c r="AZ45" i="75"/>
  <c r="AJ307" i="2" s="1"/>
  <c r="AZ87" i="75"/>
  <c r="AJ226" i="2" s="1"/>
  <c r="BI35" i="75"/>
  <c r="AK256" i="2" s="1"/>
  <c r="AZ24" i="75"/>
  <c r="AJ246" i="2" s="1"/>
  <c r="BI42" i="75"/>
  <c r="AK263" i="2" s="1"/>
  <c r="BI29" i="75"/>
  <c r="AK222" i="2" s="1"/>
  <c r="AZ27" i="75"/>
  <c r="AJ249" i="2" s="1"/>
  <c r="BI74" i="75"/>
  <c r="AK323" i="2" s="1"/>
  <c r="AZ47" i="75"/>
  <c r="AJ309" i="2" s="1"/>
  <c r="AZ14" i="75"/>
  <c r="AJ217" i="2" s="1"/>
  <c r="AZ48" i="75"/>
  <c r="AJ310" i="2" s="1"/>
  <c r="AZ57" i="75"/>
  <c r="AJ337" i="2" s="1"/>
  <c r="AZ34" i="75"/>
  <c r="AJ272" i="2" s="1"/>
  <c r="BI20" i="75"/>
  <c r="AZ38" i="75"/>
  <c r="AJ286" i="2" s="1"/>
  <c r="AZ31" i="75"/>
  <c r="AJ269" i="2" s="1"/>
  <c r="AZ21" i="75"/>
  <c r="AJ235" i="2" s="1"/>
  <c r="AZ64" i="75"/>
  <c r="AZ85" i="75"/>
  <c r="AJ224" i="2" s="1"/>
  <c r="AZ11" i="75"/>
  <c r="AJ174" i="2" s="1"/>
  <c r="AZ36" i="75"/>
  <c r="AJ284" i="2" s="1"/>
  <c r="AZ62" i="75"/>
  <c r="AJ358" i="2" s="1"/>
  <c r="AZ56" i="75"/>
  <c r="AJ336" i="2" s="1"/>
  <c r="BI64" i="75"/>
  <c r="AK301" i="2" s="1"/>
  <c r="AZ51" i="75"/>
  <c r="AJ329" i="2" s="1"/>
  <c r="BI41" i="75"/>
  <c r="AK262" i="2" s="1"/>
  <c r="BI13" i="75"/>
  <c r="AK184" i="2" s="1"/>
  <c r="AZ55" i="75"/>
  <c r="AJ335" i="2" s="1"/>
  <c r="AZ88" i="75"/>
  <c r="AJ227" i="2" s="1"/>
  <c r="AZ44" i="75"/>
  <c r="AJ306" i="2" s="1"/>
  <c r="AZ28" i="75"/>
  <c r="AJ250" i="2" s="1"/>
  <c r="BI16" i="75"/>
  <c r="AK187" i="2" s="1"/>
  <c r="BI27" i="75"/>
  <c r="AK220" i="2" s="1"/>
  <c r="AZ10" i="75"/>
  <c r="AJ173" i="2" s="1"/>
  <c r="BI105" i="75"/>
  <c r="AK225" i="2" s="1"/>
  <c r="AZ26" i="75"/>
  <c r="AJ248" i="2" s="1"/>
  <c r="BI67" i="75"/>
  <c r="AK316" i="2" s="1"/>
  <c r="BI93" i="75"/>
  <c r="AK354" i="2" s="1"/>
  <c r="BI10" i="75"/>
  <c r="AK181" i="2" s="1"/>
  <c r="BI44" i="75"/>
  <c r="AK265" i="2" s="1"/>
  <c r="AZ37" i="75"/>
  <c r="AJ285" i="2" s="1"/>
  <c r="BI11" i="75"/>
  <c r="AK182" i="2" s="1"/>
  <c r="BI14" i="75"/>
  <c r="AK185" i="2" s="1"/>
  <c r="BI97" i="75"/>
  <c r="AK358" i="2" s="1"/>
  <c r="BI7" i="75"/>
  <c r="AK178" i="2" s="1"/>
  <c r="BI8" i="75"/>
  <c r="AK179" i="2" s="1"/>
  <c r="AZ86" i="75"/>
  <c r="AJ225" i="2" s="1"/>
  <c r="BI9" i="75"/>
  <c r="AK180" i="2" s="1"/>
  <c r="AZ53" i="75"/>
  <c r="AJ331" i="2" s="1"/>
  <c r="AZ39" i="75"/>
  <c r="AJ287" i="2" s="1"/>
  <c r="BI6" i="75"/>
  <c r="AK177" i="2" s="1"/>
  <c r="AZ89" i="75"/>
  <c r="AJ228" i="2" s="1"/>
  <c r="BI49" i="75"/>
  <c r="AK275" i="2" s="1"/>
  <c r="BI23" i="75"/>
  <c r="AK216" i="2" s="1"/>
  <c r="AZ52" i="75"/>
  <c r="AJ330" i="2" s="1"/>
  <c r="BI52" i="75"/>
  <c r="AK278" i="2" s="1"/>
  <c r="AZ23" i="75"/>
  <c r="AJ245" i="2" s="1"/>
  <c r="BI107" i="75"/>
  <c r="AK227" i="2" s="1"/>
  <c r="BI92" i="75"/>
  <c r="AK353" i="2" s="1"/>
  <c r="BI77" i="75"/>
  <c r="AK326" i="2" s="1"/>
  <c r="BI48" i="75"/>
  <c r="AK274" i="2" s="1"/>
  <c r="BI80" i="75"/>
  <c r="AK329" i="2" s="1"/>
  <c r="BI17" i="75"/>
  <c r="AK188" i="2" s="1"/>
  <c r="BI75" i="75"/>
  <c r="AK324" i="2" s="1"/>
  <c r="AZ8" i="75"/>
  <c r="AJ171" i="2" s="1"/>
  <c r="BI53" i="75"/>
  <c r="AK279" i="2" s="1"/>
  <c r="BI95" i="75"/>
  <c r="AK356" i="2" s="1"/>
  <c r="AZ116" i="75"/>
  <c r="BI54" i="75"/>
  <c r="AK280" i="2" s="1"/>
  <c r="AZ5" i="75"/>
  <c r="AJ168" i="2" s="1"/>
  <c r="AZ113" i="75"/>
  <c r="AJ361" i="2" s="1"/>
  <c r="AZ60" i="75"/>
  <c r="AJ340" i="2" s="1"/>
  <c r="BI103" i="75"/>
  <c r="AK212" i="2" s="1"/>
  <c r="BI40" i="75"/>
  <c r="AK261" i="2" s="1"/>
  <c r="AZ33" i="75"/>
  <c r="AJ271" i="2" s="1"/>
  <c r="AZ84" i="75"/>
  <c r="AJ212" i="2" s="1"/>
  <c r="BI38" i="75"/>
  <c r="AK259" i="2" s="1"/>
  <c r="AZ92" i="75"/>
  <c r="AJ231" i="2" s="1"/>
  <c r="AZ32" i="75"/>
  <c r="AJ270" i="2" s="1"/>
  <c r="BI37" i="75"/>
  <c r="AK258" i="2" s="1"/>
  <c r="BI86" i="75"/>
  <c r="AK347" i="2" s="1"/>
  <c r="AZ42" i="75"/>
  <c r="AJ296" i="2" s="1"/>
  <c r="AZ59" i="75"/>
  <c r="AJ339" i="2" s="1"/>
  <c r="BI18" i="75"/>
  <c r="AK189" i="2" s="1"/>
  <c r="BI55" i="75"/>
  <c r="AK281" i="2" s="1"/>
  <c r="BI71" i="75"/>
  <c r="AK320" i="2" s="1"/>
  <c r="BI94" i="75"/>
  <c r="AK355" i="2" s="1"/>
  <c r="BI85" i="75"/>
  <c r="AK346" i="2" s="1"/>
  <c r="AZ30" i="75"/>
  <c r="AJ268" i="2" s="1"/>
  <c r="BI31" i="75"/>
  <c r="AK240" i="2" s="1"/>
  <c r="BI82" i="75"/>
  <c r="AK331" i="2" s="1"/>
  <c r="BI109" i="75"/>
  <c r="AK229" i="2" s="1"/>
  <c r="AZ6" i="75"/>
  <c r="AJ169" i="2" s="1"/>
  <c r="AZ46" i="75"/>
  <c r="AJ308" i="2" s="1"/>
  <c r="AZ25" i="75"/>
  <c r="AJ247" i="2" s="1"/>
  <c r="BI84" i="75"/>
  <c r="AK345" i="2" s="1"/>
  <c r="BI58" i="75"/>
  <c r="AK284" i="2" s="1"/>
  <c r="BI90" i="75"/>
  <c r="AK351" i="2" s="1"/>
  <c r="AZ58" i="75"/>
  <c r="AJ338" i="2" s="1"/>
  <c r="BI114" i="75"/>
  <c r="AZ90" i="75"/>
  <c r="AJ229" i="2" s="1"/>
  <c r="AZ9" i="75"/>
  <c r="AJ172" i="2" s="1"/>
  <c r="BI25" i="75"/>
  <c r="AK218" i="2" s="1"/>
  <c r="BI56" i="75"/>
  <c r="AK282" i="2" s="1"/>
  <c r="BI69" i="75"/>
  <c r="AK318" i="2" s="1"/>
  <c r="AZ19" i="75"/>
  <c r="AJ222" i="2" s="1"/>
  <c r="BI106" i="75"/>
  <c r="AK226" i="2" s="1"/>
  <c r="AZ17" i="75"/>
  <c r="AJ220" i="2" s="1"/>
  <c r="AZ15" i="75"/>
  <c r="AJ218" i="2" s="1"/>
  <c r="BI28" i="75"/>
  <c r="AK221" i="2" s="1"/>
  <c r="BI24" i="75"/>
  <c r="AK217" i="2" s="1"/>
  <c r="BI73" i="75"/>
  <c r="AK322" i="2" s="1"/>
  <c r="BI91" i="75"/>
  <c r="AK352" i="2" s="1"/>
  <c r="AZ7" i="75"/>
  <c r="AJ170" i="2" s="1"/>
  <c r="AZ40" i="75"/>
  <c r="AJ288" i="2" s="1"/>
  <c r="AZ13" i="75"/>
  <c r="AJ216" i="2" s="1"/>
  <c r="BI78" i="75"/>
  <c r="AK327" i="2" s="1"/>
  <c r="AZ18" i="75"/>
  <c r="AJ221" i="2" s="1"/>
  <c r="BI21" i="75"/>
  <c r="AK48" i="2" s="1"/>
  <c r="BI26" i="75"/>
  <c r="AK219" i="2" s="1"/>
  <c r="BI104" i="75"/>
  <c r="AK224" i="2" s="1"/>
  <c r="AZ16" i="75"/>
  <c r="AJ219" i="2" s="1"/>
  <c r="BI116" i="75"/>
  <c r="BI89" i="75"/>
  <c r="AK350" i="2" s="1"/>
  <c r="AZ49" i="75"/>
  <c r="AJ311" i="2" s="1"/>
  <c r="BI108" i="75"/>
  <c r="AK228" i="2" s="1"/>
  <c r="BI81" i="75"/>
  <c r="AK330" i="2" s="1"/>
  <c r="BI43" i="75"/>
  <c r="AK264" i="2" s="1"/>
  <c r="BI113" i="75"/>
  <c r="AK361" i="2" s="1"/>
  <c r="BI36" i="75"/>
  <c r="AK257" i="2" s="1"/>
  <c r="BI117" i="75"/>
  <c r="AK365" i="2" s="1"/>
  <c r="BI60" i="75"/>
  <c r="AK286" i="2" s="1"/>
  <c r="BI50" i="75"/>
  <c r="AK276" i="2" s="1"/>
  <c r="AZ83" i="75"/>
  <c r="AJ210" i="2" s="1"/>
  <c r="BI70" i="75"/>
  <c r="AK319" i="2" s="1"/>
  <c r="BI5" i="75"/>
  <c r="AK176" i="2" s="1"/>
  <c r="AZ91" i="75"/>
  <c r="AJ230" i="2" s="1"/>
  <c r="BI47" i="75"/>
  <c r="AK273" i="2" s="1"/>
  <c r="BI51" i="75"/>
  <c r="AK277" i="2" s="1"/>
  <c r="BI102" i="75"/>
  <c r="AK210" i="2" s="1"/>
  <c r="BI62" i="75"/>
  <c r="AK288" i="2" s="1"/>
  <c r="BI76" i="75"/>
  <c r="AK325" i="2" s="1"/>
  <c r="AZ117" i="75"/>
  <c r="AJ365" i="2" s="1"/>
  <c r="BI115" i="75"/>
  <c r="AK363" i="2" s="1"/>
  <c r="BI39" i="75"/>
  <c r="AK260" i="2" s="1"/>
  <c r="BI45" i="75"/>
  <c r="AK266" i="2" s="1"/>
  <c r="BI61" i="75"/>
  <c r="AK287" i="2" s="1"/>
  <c r="BI32" i="75"/>
  <c r="AK241" i="2" s="1"/>
  <c r="BI12" i="75"/>
  <c r="AK183" i="2" s="1"/>
  <c r="BI88" i="75"/>
  <c r="AK349" i="2" s="1"/>
  <c r="BI87" i="75"/>
  <c r="AK348" i="2" s="1"/>
  <c r="BI72" i="75"/>
  <c r="AK321" i="2" s="1"/>
  <c r="BI111" i="75"/>
  <c r="AK231" i="2" s="1"/>
  <c r="BI65" i="75"/>
  <c r="AK302" i="2" s="1"/>
  <c r="BI59" i="75"/>
  <c r="AK285" i="2" s="1"/>
  <c r="BI110" i="75"/>
  <c r="AK230" i="2" s="1"/>
  <c r="BI15" i="75"/>
  <c r="AK186" i="2" s="1"/>
  <c r="BI34" i="75"/>
  <c r="AK255" i="2" s="1"/>
  <c r="AZ66" i="75"/>
  <c r="AJ214" i="2" s="1"/>
  <c r="BI68" i="75"/>
  <c r="AK317" i="2" s="1"/>
  <c r="AZ17" i="66"/>
  <c r="R73" i="2" s="1"/>
  <c r="BI99" i="75"/>
  <c r="AK214" i="2" s="1"/>
  <c r="AZ20" i="1"/>
  <c r="P76" i="2" s="1"/>
  <c r="BI69" i="76"/>
  <c r="AG318" i="2" s="1"/>
  <c r="BI67" i="76"/>
  <c r="AG316" i="2" s="1"/>
  <c r="BI45" i="76"/>
  <c r="AG266" i="2" s="1"/>
  <c r="BI49" i="76"/>
  <c r="AG275" i="2" s="1"/>
  <c r="BI108" i="76"/>
  <c r="AZ34" i="76"/>
  <c r="AF272" i="2" s="1"/>
  <c r="AZ11" i="76"/>
  <c r="AF174" i="2" s="1"/>
  <c r="BI74" i="76"/>
  <c r="AG323" i="2" s="1"/>
  <c r="AZ36" i="76"/>
  <c r="AF284" i="2" s="1"/>
  <c r="AZ109" i="76"/>
  <c r="AZ38" i="76"/>
  <c r="AF286" i="2" s="1"/>
  <c r="AZ44" i="76"/>
  <c r="AF306" i="2" s="1"/>
  <c r="AZ42" i="76"/>
  <c r="AF296" i="2" s="1"/>
  <c r="AZ28" i="76"/>
  <c r="AF250" i="2" s="1"/>
  <c r="BI34" i="76"/>
  <c r="AG255" i="2" s="1"/>
  <c r="AZ59" i="76"/>
  <c r="AF339" i="2" s="1"/>
  <c r="BI29" i="76"/>
  <c r="AG222" i="2" s="1"/>
  <c r="AZ8" i="76"/>
  <c r="AF171" i="2" s="1"/>
  <c r="AZ30" i="76"/>
  <c r="AF268" i="2" s="1"/>
  <c r="BI11" i="76"/>
  <c r="AG182" i="2" s="1"/>
  <c r="AZ37" i="76"/>
  <c r="AF285" i="2" s="1"/>
  <c r="AZ26" i="76"/>
  <c r="AF248" i="2" s="1"/>
  <c r="BI84" i="76"/>
  <c r="AG345" i="2" s="1"/>
  <c r="BI5" i="76"/>
  <c r="AG176" i="2" s="1"/>
  <c r="AZ64" i="76"/>
  <c r="BI102" i="76"/>
  <c r="AG196" i="2" s="1"/>
  <c r="BI35" i="76"/>
  <c r="AG256" i="2" s="1"/>
  <c r="BI54" i="76"/>
  <c r="AG280" i="2" s="1"/>
  <c r="AZ24" i="76"/>
  <c r="AF246" i="2" s="1"/>
  <c r="BI89" i="76"/>
  <c r="AG350" i="2" s="1"/>
  <c r="BI48" i="76"/>
  <c r="AG274" i="2" s="1"/>
  <c r="AZ52" i="76"/>
  <c r="AF330" i="2" s="1"/>
  <c r="BI58" i="76"/>
  <c r="AG284" i="2" s="1"/>
  <c r="AZ51" i="76"/>
  <c r="AF329" i="2" s="1"/>
  <c r="BI7" i="76"/>
  <c r="AG178" i="2" s="1"/>
  <c r="AZ23" i="76"/>
  <c r="AF245" i="2" s="1"/>
  <c r="AZ10" i="76"/>
  <c r="AF173" i="2" s="1"/>
  <c r="BI65" i="76"/>
  <c r="AG302" i="2" s="1"/>
  <c r="AZ40" i="76"/>
  <c r="AF288" i="2" s="1"/>
  <c r="BI91" i="76"/>
  <c r="AG352" i="2" s="1"/>
  <c r="AZ48" i="76"/>
  <c r="AF310" i="2" s="1"/>
  <c r="BI39" i="76"/>
  <c r="AG260" i="2" s="1"/>
  <c r="AZ13" i="76"/>
  <c r="AF216" i="2" s="1"/>
  <c r="BI62" i="76"/>
  <c r="AG288" i="2" s="1"/>
  <c r="BI6" i="76"/>
  <c r="AG177" i="2" s="1"/>
  <c r="AZ62" i="76"/>
  <c r="AF358" i="2" s="1"/>
  <c r="BI70" i="76"/>
  <c r="AG319" i="2" s="1"/>
  <c r="BI38" i="76"/>
  <c r="AG259" i="2" s="1"/>
  <c r="BI41" i="76"/>
  <c r="AG262" i="2" s="1"/>
  <c r="AZ7" i="76"/>
  <c r="AF170" i="2" s="1"/>
  <c r="BI16" i="76"/>
  <c r="AG187" i="2" s="1"/>
  <c r="BI47" i="76"/>
  <c r="AG273" i="2" s="1"/>
  <c r="AZ57" i="76"/>
  <c r="AF337" i="2" s="1"/>
  <c r="AZ45" i="76"/>
  <c r="AF307" i="2" s="1"/>
  <c r="AZ53" i="76"/>
  <c r="AF331" i="2" s="1"/>
  <c r="BI55" i="76"/>
  <c r="AG281" i="2" s="1"/>
  <c r="BI51" i="76"/>
  <c r="AG277" i="2" s="1"/>
  <c r="BI17" i="76"/>
  <c r="AG188" i="2" s="1"/>
  <c r="BI53" i="76"/>
  <c r="AG279" i="2" s="1"/>
  <c r="BI50" i="76"/>
  <c r="AG276" i="2" s="1"/>
  <c r="AZ6" i="76"/>
  <c r="AF169" i="2" s="1"/>
  <c r="AZ27" i="76"/>
  <c r="AF249" i="2" s="1"/>
  <c r="BI87" i="76"/>
  <c r="AG348" i="2" s="1"/>
  <c r="BI88" i="76"/>
  <c r="AG349" i="2" s="1"/>
  <c r="BI31" i="76"/>
  <c r="AG240" i="2" s="1"/>
  <c r="AZ39" i="76"/>
  <c r="AF287" i="2" s="1"/>
  <c r="AZ46" i="76"/>
  <c r="AF308" i="2" s="1"/>
  <c r="BI105" i="76"/>
  <c r="AG206" i="2" s="1"/>
  <c r="BI73" i="76"/>
  <c r="AG322" i="2" s="1"/>
  <c r="BI18" i="76"/>
  <c r="AG189" i="2" s="1"/>
  <c r="BI92" i="76"/>
  <c r="AG353" i="2" s="1"/>
  <c r="AZ21" i="76"/>
  <c r="AF235" i="2" s="1"/>
  <c r="BI37" i="76"/>
  <c r="AG258" i="2" s="1"/>
  <c r="BI40" i="76"/>
  <c r="AG261" i="2" s="1"/>
  <c r="BI10" i="76"/>
  <c r="AG181" i="2" s="1"/>
  <c r="AZ25" i="76"/>
  <c r="AF247" i="2" s="1"/>
  <c r="BI43" i="76"/>
  <c r="AG264" i="2" s="1"/>
  <c r="BI56" i="76"/>
  <c r="AG282" i="2" s="1"/>
  <c r="AZ110" i="76"/>
  <c r="AZ84" i="76"/>
  <c r="AF201" i="2" s="1"/>
  <c r="BI71" i="76"/>
  <c r="AG320" i="2" s="1"/>
  <c r="BI21" i="76"/>
  <c r="AG48" i="2" s="1"/>
  <c r="AZ108" i="76"/>
  <c r="AZ58" i="76"/>
  <c r="AF338" i="2" s="1"/>
  <c r="AZ33" i="76"/>
  <c r="AF271" i="2" s="1"/>
  <c r="BI80" i="76"/>
  <c r="AG329" i="2" s="1"/>
  <c r="AZ31" i="76"/>
  <c r="AF269" i="2" s="1"/>
  <c r="BI26" i="76"/>
  <c r="AG219" i="2" s="1"/>
  <c r="BI60" i="76"/>
  <c r="AG286" i="2" s="1"/>
  <c r="BI32" i="76"/>
  <c r="AG241" i="2" s="1"/>
  <c r="BI85" i="76"/>
  <c r="AG346" i="2" s="1"/>
  <c r="BI27" i="76"/>
  <c r="AG220" i="2" s="1"/>
  <c r="BI24" i="76"/>
  <c r="AG217" i="2" s="1"/>
  <c r="AZ56" i="76"/>
  <c r="AF336" i="2" s="1"/>
  <c r="BI78" i="76"/>
  <c r="AG327" i="2" s="1"/>
  <c r="BI23" i="76"/>
  <c r="AG216" i="2" s="1"/>
  <c r="BI76" i="76"/>
  <c r="AG325" i="2" s="1"/>
  <c r="AZ14" i="76"/>
  <c r="AF217" i="2" s="1"/>
  <c r="AZ49" i="76"/>
  <c r="AF311" i="2" s="1"/>
  <c r="AZ19" i="76"/>
  <c r="AF222" i="2" s="1"/>
  <c r="BI25" i="76"/>
  <c r="AG218" i="2" s="1"/>
  <c r="AZ5" i="76"/>
  <c r="AF168" i="2" s="1"/>
  <c r="AZ47" i="76"/>
  <c r="AF309" i="2" s="1"/>
  <c r="AZ15" i="76"/>
  <c r="AF218" i="2" s="1"/>
  <c r="AZ17" i="76"/>
  <c r="AF220" i="2" s="1"/>
  <c r="AZ55" i="76"/>
  <c r="AF335" i="2" s="1"/>
  <c r="BI28" i="76"/>
  <c r="AG221" i="2" s="1"/>
  <c r="BI15" i="76"/>
  <c r="AG186" i="2" s="1"/>
  <c r="BI64" i="76"/>
  <c r="AG301" i="2" s="1"/>
  <c r="BI9" i="76"/>
  <c r="AG180" i="2" s="1"/>
  <c r="AZ60" i="76"/>
  <c r="AF340" i="2" s="1"/>
  <c r="BI94" i="76"/>
  <c r="AG355" i="2" s="1"/>
  <c r="BI75" i="76"/>
  <c r="AG324" i="2" s="1"/>
  <c r="BI109" i="76"/>
  <c r="AG363" i="2" s="1"/>
  <c r="BI111" i="76"/>
  <c r="AG365" i="2" s="1"/>
  <c r="AZ32" i="76"/>
  <c r="AF270" i="2" s="1"/>
  <c r="BI104" i="76"/>
  <c r="AG203" i="2" s="1"/>
  <c r="BI13" i="76"/>
  <c r="AG184" i="2" s="1"/>
  <c r="AZ111" i="76"/>
  <c r="AF365" i="2" s="1"/>
  <c r="BI20" i="76"/>
  <c r="AG190" i="2" s="1"/>
  <c r="AZ9" i="76"/>
  <c r="AF172" i="2" s="1"/>
  <c r="AZ83" i="76"/>
  <c r="AF196" i="2" s="1"/>
  <c r="BI68" i="76"/>
  <c r="AG317" i="2" s="1"/>
  <c r="BI107" i="76"/>
  <c r="AG361" i="2" s="1"/>
  <c r="BI93" i="76"/>
  <c r="AG354" i="2" s="1"/>
  <c r="BI82" i="76"/>
  <c r="AG331" i="2" s="1"/>
  <c r="AZ107" i="76"/>
  <c r="AF361" i="2" s="1"/>
  <c r="BI81" i="76"/>
  <c r="AG330" i="2" s="1"/>
  <c r="AZ18" i="76"/>
  <c r="AF221" i="2" s="1"/>
  <c r="BI97" i="76"/>
  <c r="AG358" i="2" s="1"/>
  <c r="BI77" i="76"/>
  <c r="AG326" i="2" s="1"/>
  <c r="BI59" i="76"/>
  <c r="AG285" i="2" s="1"/>
  <c r="BI36" i="76"/>
  <c r="AG257" i="2" s="1"/>
  <c r="BI86" i="76"/>
  <c r="AG347" i="2" s="1"/>
  <c r="BI44" i="76"/>
  <c r="AG265" i="2" s="1"/>
  <c r="BI42" i="76"/>
  <c r="AG263" i="2" s="1"/>
  <c r="BI72" i="76"/>
  <c r="AG321" i="2" s="1"/>
  <c r="BI12" i="76"/>
  <c r="AG183" i="2" s="1"/>
  <c r="BI110" i="76"/>
  <c r="AG364" i="2" s="1"/>
  <c r="AZ16" i="76"/>
  <c r="AF219" i="2" s="1"/>
  <c r="BI8" i="76"/>
  <c r="AG179" i="2" s="1"/>
  <c r="BI14" i="76"/>
  <c r="AG185" i="2" s="1"/>
  <c r="BI90" i="76"/>
  <c r="AG351" i="2" s="1"/>
  <c r="BI95" i="76"/>
  <c r="AG356" i="2" s="1"/>
  <c r="BI52" i="76"/>
  <c r="AG278" i="2" s="1"/>
  <c r="BI61" i="76"/>
  <c r="AG287" i="2" s="1"/>
  <c r="AZ44" i="68"/>
  <c r="V306" i="2" s="1"/>
  <c r="BI70" i="68"/>
  <c r="W318" i="2" s="1"/>
  <c r="BI43" i="68"/>
  <c r="W263" i="2" s="1"/>
  <c r="BI87" i="68"/>
  <c r="W347" i="2" s="1"/>
  <c r="AZ104" i="68"/>
  <c r="AZ55" i="68"/>
  <c r="V335" i="2" s="1"/>
  <c r="AZ28" i="68"/>
  <c r="V250" i="2" s="1"/>
  <c r="BI95" i="68"/>
  <c r="W355" i="2" s="1"/>
  <c r="AZ32" i="68"/>
  <c r="V270" i="2" s="1"/>
  <c r="AZ52" i="68"/>
  <c r="V330" i="2" s="1"/>
  <c r="AZ56" i="68"/>
  <c r="V336" i="2" s="1"/>
  <c r="BI85" i="68"/>
  <c r="W345" i="2" s="1"/>
  <c r="AZ40" i="68"/>
  <c r="V288" i="2" s="1"/>
  <c r="BI50" i="68"/>
  <c r="W275" i="2" s="1"/>
  <c r="AZ105" i="68"/>
  <c r="AZ37" i="68"/>
  <c r="V285" i="2" s="1"/>
  <c r="AZ59" i="68"/>
  <c r="V339" i="2" s="1"/>
  <c r="BI30" i="68"/>
  <c r="W79" i="2" s="1"/>
  <c r="AZ27" i="68"/>
  <c r="V249" i="2" s="1"/>
  <c r="AZ6" i="68"/>
  <c r="V144" i="2" s="1"/>
  <c r="N144" i="2" s="1"/>
  <c r="F144" i="2" s="1"/>
  <c r="I144" i="2" s="1"/>
  <c r="BI26" i="68"/>
  <c r="W75" i="2" s="1"/>
  <c r="BI77" i="68"/>
  <c r="W325" i="2" s="1"/>
  <c r="BI105" i="68"/>
  <c r="BI88" i="68"/>
  <c r="W348" i="2" s="1"/>
  <c r="AZ34" i="68"/>
  <c r="V272" i="2" s="1"/>
  <c r="BI45" i="68"/>
  <c r="W265" i="2" s="1"/>
  <c r="AZ58" i="68"/>
  <c r="V338" i="2" s="1"/>
  <c r="AZ23" i="68"/>
  <c r="V245" i="2" s="1"/>
  <c r="BI74" i="68"/>
  <c r="W322" i="2" s="1"/>
  <c r="BI76" i="68"/>
  <c r="W324" i="2" s="1"/>
  <c r="AZ45" i="68"/>
  <c r="V307" i="2" s="1"/>
  <c r="AZ26" i="68"/>
  <c r="V248" i="2" s="1"/>
  <c r="AZ5" i="68"/>
  <c r="V143" i="2" s="1"/>
  <c r="N143" i="2" s="1"/>
  <c r="F143" i="2" s="1"/>
  <c r="I143" i="2" s="1"/>
  <c r="AZ9" i="68"/>
  <c r="V147" i="2" s="1"/>
  <c r="N147" i="2" s="1"/>
  <c r="F147" i="2" s="1"/>
  <c r="I147" i="2" s="1"/>
  <c r="BI66" i="68"/>
  <c r="W302" i="2" s="1"/>
  <c r="BI46" i="68"/>
  <c r="W266" i="2" s="1"/>
  <c r="AZ42" i="68"/>
  <c r="V296" i="2" s="1"/>
  <c r="AZ21" i="68"/>
  <c r="AZ60" i="68"/>
  <c r="V340" i="2" s="1"/>
  <c r="AZ30" i="68"/>
  <c r="V268" i="2" s="1"/>
  <c r="AZ31" i="68"/>
  <c r="V269" i="2" s="1"/>
  <c r="AZ57" i="68"/>
  <c r="V337" i="2" s="1"/>
  <c r="BI53" i="68"/>
  <c r="W278" i="2" s="1"/>
  <c r="BI79" i="68"/>
  <c r="W327" i="2" s="1"/>
  <c r="BI51" i="68"/>
  <c r="W276" i="2" s="1"/>
  <c r="AZ47" i="68"/>
  <c r="V309" i="2" s="1"/>
  <c r="AZ103" i="68"/>
  <c r="BI89" i="68"/>
  <c r="W349" i="2" s="1"/>
  <c r="AZ33" i="68"/>
  <c r="V271" i="2" s="1"/>
  <c r="AZ62" i="68"/>
  <c r="V358" i="2" s="1"/>
  <c r="AZ46" i="68"/>
  <c r="V308" i="2" s="1"/>
  <c r="BI102" i="68"/>
  <c r="W361" i="2" s="1"/>
  <c r="BI28" i="68"/>
  <c r="W77" i="2" s="1"/>
  <c r="AZ48" i="68"/>
  <c r="V310" i="2" s="1"/>
  <c r="AZ10" i="68"/>
  <c r="V148" i="2" s="1"/>
  <c r="N148" i="2" s="1"/>
  <c r="F148" i="2" s="1"/>
  <c r="I148" i="2" s="1"/>
  <c r="BI12" i="68"/>
  <c r="W159" i="2" s="1"/>
  <c r="N159" i="2" s="1"/>
  <c r="F159" i="2" s="1"/>
  <c r="AZ36" i="68"/>
  <c r="V284" i="2" s="1"/>
  <c r="AZ106" i="68"/>
  <c r="V365" i="2" s="1"/>
  <c r="BI57" i="68"/>
  <c r="W282" i="2" s="1"/>
  <c r="BI42" i="68"/>
  <c r="W262" i="2" s="1"/>
  <c r="BI16" i="68"/>
  <c r="W163" i="2" s="1"/>
  <c r="N163" i="2" s="1"/>
  <c r="F163" i="2" s="1"/>
  <c r="I163" i="2" s="1"/>
  <c r="AZ51" i="68"/>
  <c r="V329" i="2" s="1"/>
  <c r="BI52" i="68"/>
  <c r="W277" i="2" s="1"/>
  <c r="BI20" i="68"/>
  <c r="W141" i="2" s="1"/>
  <c r="BI65" i="68"/>
  <c r="W301" i="2" s="1"/>
  <c r="AZ24" i="68"/>
  <c r="V246" i="2" s="1"/>
  <c r="BI40" i="68"/>
  <c r="W260" i="2" s="1"/>
  <c r="AZ39" i="68"/>
  <c r="V287" i="2" s="1"/>
  <c r="AZ25" i="68"/>
  <c r="V247" i="2" s="1"/>
  <c r="BI13" i="68"/>
  <c r="W160" i="2" s="1"/>
  <c r="N160" i="2" s="1"/>
  <c r="F160" i="2" s="1"/>
  <c r="I160" i="2" s="1"/>
  <c r="AZ53" i="68"/>
  <c r="V331" i="2" s="1"/>
  <c r="BI38" i="68"/>
  <c r="W258" i="2" s="1"/>
  <c r="BI60" i="68"/>
  <c r="W285" i="2" s="1"/>
  <c r="BI73" i="68"/>
  <c r="W321" i="2" s="1"/>
  <c r="AZ38" i="68"/>
  <c r="V286" i="2" s="1"/>
  <c r="BI24" i="68"/>
  <c r="W73" i="2" s="1"/>
  <c r="BI7" i="68"/>
  <c r="W154" i="2" s="1"/>
  <c r="N154" i="2" s="1"/>
  <c r="F154" i="2" s="1"/>
  <c r="I154" i="2" s="1"/>
  <c r="BI71" i="68"/>
  <c r="W319" i="2" s="1"/>
  <c r="AZ7" i="68"/>
  <c r="V145" i="2" s="1"/>
  <c r="N145" i="2" s="1"/>
  <c r="F145" i="2" s="1"/>
  <c r="I145" i="2" s="1"/>
  <c r="AZ11" i="68"/>
  <c r="V149" i="2" s="1"/>
  <c r="N149" i="2" s="1"/>
  <c r="F149" i="2" s="1"/>
  <c r="I149" i="2" s="1"/>
  <c r="AZ8" i="68"/>
  <c r="V146" i="2" s="1"/>
  <c r="N146" i="2" s="1"/>
  <c r="F146" i="2" s="1"/>
  <c r="I146" i="2" s="1"/>
  <c r="BI62" i="68"/>
  <c r="W287" i="2" s="1"/>
  <c r="BI68" i="68"/>
  <c r="W316" i="2" s="1"/>
  <c r="BI10" i="68"/>
  <c r="W157" i="2" s="1"/>
  <c r="N157" i="2" s="1"/>
  <c r="F157" i="2" s="1"/>
  <c r="I157" i="2" s="1"/>
  <c r="BI96" i="68"/>
  <c r="W356" i="2" s="1"/>
  <c r="BI56" i="68"/>
  <c r="W281" i="2" s="1"/>
  <c r="BI49" i="68"/>
  <c r="W274" i="2" s="1"/>
  <c r="BI91" i="68"/>
  <c r="W351" i="2" s="1"/>
  <c r="AZ102" i="68"/>
  <c r="V361" i="2" s="1"/>
  <c r="BI69" i="68"/>
  <c r="W317" i="2" s="1"/>
  <c r="BI17" i="68"/>
  <c r="W164" i="2" s="1"/>
  <c r="N164" i="2" s="1"/>
  <c r="F164" i="2" s="1"/>
  <c r="I164" i="2" s="1"/>
  <c r="AZ49" i="68"/>
  <c r="V311" i="2" s="1"/>
  <c r="BI32" i="68"/>
  <c r="W240" i="2" s="1"/>
  <c r="BI37" i="68"/>
  <c r="W257" i="2" s="1"/>
  <c r="BI33" i="68"/>
  <c r="W241" i="2" s="1"/>
  <c r="BI54" i="68"/>
  <c r="W279" i="2" s="1"/>
  <c r="BI92" i="68"/>
  <c r="W352" i="2" s="1"/>
  <c r="BI29" i="68"/>
  <c r="W78" i="2" s="1"/>
  <c r="BI27" i="68"/>
  <c r="W76" i="2" s="1"/>
  <c r="BI25" i="68"/>
  <c r="W74" i="2" s="1"/>
  <c r="BI36" i="68"/>
  <c r="W256" i="2" s="1"/>
  <c r="BI44" i="68"/>
  <c r="W264" i="2" s="1"/>
  <c r="BI94" i="68"/>
  <c r="W354" i="2" s="1"/>
  <c r="BI6" i="68"/>
  <c r="W153" i="2" s="1"/>
  <c r="N153" i="2" s="1"/>
  <c r="F153" i="2" s="1"/>
  <c r="I153" i="2" s="1"/>
  <c r="BI22" i="68"/>
  <c r="W48" i="2" s="1"/>
  <c r="BI86" i="68"/>
  <c r="W346" i="2" s="1"/>
  <c r="BI75" i="68"/>
  <c r="W323" i="2" s="1"/>
  <c r="BI11" i="68"/>
  <c r="W158" i="2" s="1"/>
  <c r="N158" i="2" s="1"/>
  <c r="F158" i="2" s="1"/>
  <c r="I158" i="2" s="1"/>
  <c r="BI104" i="68"/>
  <c r="W363" i="2" s="1"/>
  <c r="BI61" i="68"/>
  <c r="W286" i="2" s="1"/>
  <c r="BI48" i="68"/>
  <c r="W273" i="2" s="1"/>
  <c r="BI93" i="68"/>
  <c r="W353" i="2" s="1"/>
  <c r="BI5" i="68"/>
  <c r="W152" i="2" s="1"/>
  <c r="N152" i="2" s="1"/>
  <c r="F152" i="2" s="1"/>
  <c r="I152" i="2" s="1"/>
  <c r="BI21" i="68"/>
  <c r="W166" i="2" s="1"/>
  <c r="BI55" i="68"/>
  <c r="W280" i="2" s="1"/>
  <c r="BI106" i="68"/>
  <c r="W365" i="2" s="1"/>
  <c r="BI90" i="68"/>
  <c r="W350" i="2" s="1"/>
  <c r="BI35" i="68"/>
  <c r="W255" i="2" s="1"/>
  <c r="BI81" i="68"/>
  <c r="W329" i="2" s="1"/>
  <c r="AZ19" i="68"/>
  <c r="V79" i="2" s="1"/>
  <c r="BI41" i="68"/>
  <c r="W261" i="2" s="1"/>
  <c r="BI8" i="68"/>
  <c r="W155" i="2" s="1"/>
  <c r="N155" i="2" s="1"/>
  <c r="F155" i="2" s="1"/>
  <c r="I155" i="2" s="1"/>
  <c r="BI103" i="68"/>
  <c r="W362" i="2" s="1"/>
  <c r="BI18" i="68"/>
  <c r="W165" i="2" s="1"/>
  <c r="N165" i="2" s="1"/>
  <c r="F165" i="2" s="1"/>
  <c r="I165" i="2" s="1"/>
  <c r="BI78" i="68"/>
  <c r="W326" i="2" s="1"/>
  <c r="BI83" i="68"/>
  <c r="W331" i="2" s="1"/>
  <c r="BI82" i="68"/>
  <c r="W330" i="2" s="1"/>
  <c r="BI39" i="68"/>
  <c r="W259" i="2" s="1"/>
  <c r="BI72" i="68"/>
  <c r="W320" i="2" s="1"/>
  <c r="BI14" i="68"/>
  <c r="W161" i="2" s="1"/>
  <c r="N161" i="2" s="1"/>
  <c r="F161" i="2" s="1"/>
  <c r="I161" i="2" s="1"/>
  <c r="AZ17" i="68"/>
  <c r="V77" i="2" s="1"/>
  <c r="BI59" i="68"/>
  <c r="W284" i="2" s="1"/>
  <c r="BI9" i="68"/>
  <c r="W156" i="2" s="1"/>
  <c r="N156" i="2" s="1"/>
  <c r="F156" i="2" s="1"/>
  <c r="I156" i="2" s="1"/>
  <c r="AZ13" i="68"/>
  <c r="V73" i="2" s="1"/>
  <c r="BI63" i="68"/>
  <c r="W288" i="2" s="1"/>
  <c r="BI98" i="68"/>
  <c r="W358" i="2" s="1"/>
  <c r="BI15" i="68"/>
  <c r="W162" i="2" s="1"/>
  <c r="N162" i="2" s="1"/>
  <c r="F162" i="2" s="1"/>
  <c r="I162" i="2" s="1"/>
  <c r="AZ16" i="71"/>
  <c r="AB72" i="2" s="1"/>
  <c r="AZ64" i="68"/>
  <c r="V150" i="2" s="1"/>
  <c r="N150" i="2" s="1"/>
  <c r="F150" i="2" s="1"/>
  <c r="I150" i="2" s="1"/>
  <c r="AZ11" i="77"/>
  <c r="AL75" i="2" s="1"/>
  <c r="AZ16" i="73"/>
  <c r="AD72" i="2" s="1"/>
  <c r="BJ28" i="1"/>
  <c r="BK28" i="1" s="1"/>
  <c r="AW17" i="81"/>
  <c r="AV17" i="73"/>
  <c r="BF29" i="74"/>
  <c r="BJ29" i="74"/>
  <c r="BK29" i="74" s="1"/>
  <c r="BE29" i="74"/>
  <c r="AV16" i="74"/>
  <c r="BE28" i="70"/>
  <c r="BF28" i="70"/>
  <c r="BJ28" i="70"/>
  <c r="BK28" i="70" s="1"/>
  <c r="BJ49" i="78"/>
  <c r="BK49" i="78" s="1"/>
  <c r="BE49" i="78"/>
  <c r="BF49" i="78"/>
  <c r="AV22" i="80"/>
  <c r="BJ28" i="74"/>
  <c r="BK28" i="74" s="1"/>
  <c r="BE28" i="74"/>
  <c r="BF28" i="74"/>
  <c r="AV16" i="73"/>
  <c r="AW16" i="73"/>
  <c r="BA16" i="73"/>
  <c r="BB16" i="73" s="1"/>
  <c r="BA13" i="68"/>
  <c r="BB13" i="68" s="1"/>
  <c r="AV13" i="68"/>
  <c r="AW13" i="68"/>
  <c r="BA16" i="71"/>
  <c r="BB16" i="71" s="1"/>
  <c r="AV16" i="71"/>
  <c r="AW16" i="71"/>
  <c r="I24" i="2" l="1"/>
  <c r="BA26" i="78"/>
  <c r="BB26" i="78" s="1"/>
  <c r="AV26" i="78"/>
  <c r="BA22" i="80"/>
  <c r="BB22" i="80" s="1"/>
  <c r="AW17" i="67"/>
  <c r="BA16" i="70"/>
  <c r="BB16" i="70" s="1"/>
  <c r="AV17" i="67"/>
  <c r="BK137" i="71"/>
  <c r="AV16" i="66"/>
  <c r="BE21" i="83"/>
  <c r="AW16" i="81"/>
  <c r="AW16" i="74"/>
  <c r="AZ129" i="71"/>
  <c r="AB365" i="2" s="1"/>
  <c r="N68" i="2"/>
  <c r="F68" i="2" s="1"/>
  <c r="I68" i="2" s="1"/>
  <c r="N81" i="2"/>
  <c r="F81" i="2" s="1"/>
  <c r="I81" i="2" s="1"/>
  <c r="AV17" i="66"/>
  <c r="BF29" i="67"/>
  <c r="AW17" i="66"/>
  <c r="BF28" i="1"/>
  <c r="N91" i="2"/>
  <c r="F91" i="2" s="1"/>
  <c r="I91" i="2" s="1"/>
  <c r="BE21" i="71"/>
  <c r="BF21" i="71"/>
  <c r="BJ21" i="71"/>
  <c r="BK21" i="71" s="1"/>
  <c r="AW23" i="71"/>
  <c r="AV23" i="71"/>
  <c r="BA23" i="71"/>
  <c r="BB23" i="71" s="1"/>
  <c r="N92" i="2"/>
  <c r="F92" i="2" s="1"/>
  <c r="I92" i="2" s="1"/>
  <c r="BE21" i="66"/>
  <c r="BJ21" i="66"/>
  <c r="BK21" i="66" s="1"/>
  <c r="BF21" i="66"/>
  <c r="BF35" i="71"/>
  <c r="BE35" i="71"/>
  <c r="BJ35" i="71"/>
  <c r="BK35" i="71" s="1"/>
  <c r="BE6" i="71"/>
  <c r="BJ6" i="71"/>
  <c r="BK6" i="71" s="1"/>
  <c r="BF6" i="71"/>
  <c r="I159" i="2"/>
  <c r="BF27" i="66"/>
  <c r="BE27" i="66"/>
  <c r="BJ27" i="66"/>
  <c r="BK27" i="66" s="1"/>
  <c r="BJ6" i="66"/>
  <c r="BK6" i="66" s="1"/>
  <c r="BF6" i="66"/>
  <c r="BE6" i="66"/>
  <c r="BF35" i="66"/>
  <c r="BE35" i="66"/>
  <c r="BJ35" i="66"/>
  <c r="BK35" i="66" s="1"/>
  <c r="BJ22" i="71"/>
  <c r="BK22" i="71" s="1"/>
  <c r="BF22" i="71"/>
  <c r="BE22" i="71"/>
  <c r="AW15" i="71"/>
  <c r="AV15" i="71"/>
  <c r="BA15" i="71"/>
  <c r="BB15" i="71" s="1"/>
  <c r="AW13" i="71"/>
  <c r="AV13" i="71"/>
  <c r="BA13" i="71"/>
  <c r="BB13" i="71" s="1"/>
  <c r="BF22" i="66"/>
  <c r="BJ22" i="66"/>
  <c r="BK22" i="66" s="1"/>
  <c r="BE22" i="66"/>
  <c r="BF27" i="71"/>
  <c r="BE27" i="71"/>
  <c r="BJ27" i="71"/>
  <c r="BK27" i="71" s="1"/>
  <c r="BA13" i="66"/>
  <c r="BB13" i="66" s="1"/>
  <c r="AW13" i="66"/>
  <c r="AV13" i="66"/>
  <c r="AV15" i="66"/>
  <c r="AW15" i="66"/>
  <c r="BA15" i="66"/>
  <c r="BB15" i="66" s="1"/>
  <c r="AW23" i="66"/>
  <c r="AV23" i="66"/>
  <c r="BA23" i="66"/>
  <c r="BB23" i="66" s="1"/>
  <c r="BJ29" i="67"/>
  <c r="BK29" i="67" s="1"/>
  <c r="BF5" i="71"/>
  <c r="BJ5" i="71"/>
  <c r="BK5" i="71" s="1"/>
  <c r="BE5" i="71"/>
  <c r="AW5" i="66"/>
  <c r="BA5" i="66"/>
  <c r="BB5" i="66" s="1"/>
  <c r="AV5" i="66"/>
  <c r="BF5" i="66"/>
  <c r="BJ5" i="66"/>
  <c r="BK5" i="66" s="1"/>
  <c r="BE5" i="66"/>
  <c r="AV5" i="71"/>
  <c r="AW5" i="71"/>
  <c r="BA5" i="71"/>
  <c r="BB5" i="71" s="1"/>
  <c r="N211" i="2"/>
  <c r="F211" i="2" s="1"/>
  <c r="I211" i="2" s="1"/>
  <c r="BJ21" i="83"/>
  <c r="BK21" i="83" s="1"/>
  <c r="BA16" i="66"/>
  <c r="BB16" i="66" s="1"/>
  <c r="AW5" i="83"/>
  <c r="AW17" i="70"/>
  <c r="BJ29" i="70"/>
  <c r="BK29" i="70" s="1"/>
  <c r="AV17" i="70"/>
  <c r="BA5" i="83"/>
  <c r="BB5" i="83" s="1"/>
  <c r="BF29" i="70"/>
  <c r="BJ28" i="73"/>
  <c r="BK28" i="73" s="1"/>
  <c r="AV17" i="1"/>
  <c r="AV21" i="80"/>
  <c r="BA21" i="80"/>
  <c r="BB21" i="80" s="1"/>
  <c r="BF39" i="80"/>
  <c r="BE29" i="71"/>
  <c r="BE28" i="73"/>
  <c r="AW17" i="1"/>
  <c r="BJ29" i="71"/>
  <c r="BK29" i="71" s="1"/>
  <c r="BJ39" i="80"/>
  <c r="BK39" i="80" s="1"/>
  <c r="BE29" i="66"/>
  <c r="BF29" i="66"/>
  <c r="AW64" i="69"/>
  <c r="BE24" i="68"/>
  <c r="N107" i="2"/>
  <c r="F107" i="2" s="1"/>
  <c r="I107" i="2" s="1"/>
  <c r="N89" i="2"/>
  <c r="F89" i="2" s="1"/>
  <c r="I89" i="2" s="1"/>
  <c r="BA17" i="74"/>
  <c r="BB17" i="74" s="1"/>
  <c r="AW17" i="74"/>
  <c r="BE29" i="81"/>
  <c r="AV78" i="1"/>
  <c r="BF40" i="80"/>
  <c r="AW78" i="1"/>
  <c r="BJ40" i="80"/>
  <c r="BK40" i="80" s="1"/>
  <c r="AV64" i="69"/>
  <c r="BJ29" i="73"/>
  <c r="BK29" i="73" s="1"/>
  <c r="BJ29" i="81"/>
  <c r="BK29" i="81" s="1"/>
  <c r="BE29" i="73"/>
  <c r="N108" i="2"/>
  <c r="F108" i="2" s="1"/>
  <c r="I108" i="2" s="1"/>
  <c r="N140" i="2"/>
  <c r="F140" i="2" s="1"/>
  <c r="I140" i="2" s="1"/>
  <c r="AW51" i="80"/>
  <c r="BA16" i="81"/>
  <c r="BB16" i="81" s="1"/>
  <c r="AW16" i="70"/>
  <c r="BB129" i="71"/>
  <c r="N46" i="2"/>
  <c r="F46" i="2" s="1"/>
  <c r="I46" i="2" s="1"/>
  <c r="N201" i="2"/>
  <c r="F201" i="2" s="1"/>
  <c r="I201" i="2" s="1"/>
  <c r="N200" i="2"/>
  <c r="F200" i="2" s="1"/>
  <c r="I200" i="2" s="1"/>
  <c r="AW27" i="78"/>
  <c r="BJ24" i="68"/>
  <c r="BK24" i="68" s="1"/>
  <c r="AV27" i="78"/>
  <c r="N190" i="2"/>
  <c r="F190" i="2" s="1"/>
  <c r="I190" i="2" s="1"/>
  <c r="BA51" i="80"/>
  <c r="BB51" i="80" s="1"/>
  <c r="AV84" i="83"/>
  <c r="AW84" i="83"/>
  <c r="BA84" i="83"/>
  <c r="BB84" i="83" s="1"/>
  <c r="AW84" i="84"/>
  <c r="AV84" i="84"/>
  <c r="BA84" i="84"/>
  <c r="BB84" i="84" s="1"/>
  <c r="BA78" i="67"/>
  <c r="BB78" i="67" s="1"/>
  <c r="AW78" i="67"/>
  <c r="AV41" i="82"/>
  <c r="AW41" i="82"/>
  <c r="BA41" i="82"/>
  <c r="BB41" i="82" s="1"/>
  <c r="AW49" i="81"/>
  <c r="AV49" i="81"/>
  <c r="AV60" i="78"/>
  <c r="AW60" i="78"/>
  <c r="AW59" i="78"/>
  <c r="AV59" i="78"/>
  <c r="BA59" i="78"/>
  <c r="BB59" i="78" s="1"/>
  <c r="BJ29" i="1"/>
  <c r="BK29" i="1" s="1"/>
  <c r="BE28" i="66"/>
  <c r="BJ28" i="66"/>
  <c r="BK28" i="66" s="1"/>
  <c r="BE29" i="1"/>
  <c r="BF27" i="74"/>
  <c r="AW25" i="78"/>
  <c r="BJ30" i="83"/>
  <c r="BK30" i="83" s="1"/>
  <c r="N194" i="2"/>
  <c r="F194" i="2" s="1"/>
  <c r="I194" i="2" s="1"/>
  <c r="BJ33" i="83"/>
  <c r="BK33" i="83" s="1"/>
  <c r="BF33" i="83"/>
  <c r="BA15" i="81"/>
  <c r="BB15" i="81" s="1"/>
  <c r="AW15" i="81"/>
  <c r="BE27" i="70"/>
  <c r="BF11" i="83"/>
  <c r="BF26" i="83"/>
  <c r="BJ18" i="83"/>
  <c r="BK18" i="83" s="1"/>
  <c r="BF12" i="83"/>
  <c r="BJ5" i="83"/>
  <c r="BK5" i="83" s="1"/>
  <c r="AV10" i="83"/>
  <c r="AW11" i="83"/>
  <c r="BJ11" i="83"/>
  <c r="BK11" i="83" s="1"/>
  <c r="BF18" i="83"/>
  <c r="BJ12" i="83"/>
  <c r="BK12" i="83" s="1"/>
  <c r="AV15" i="83"/>
  <c r="N204" i="2"/>
  <c r="F204" i="2" s="1"/>
  <c r="I204" i="2" s="1"/>
  <c r="N198" i="2"/>
  <c r="F198" i="2" s="1"/>
  <c r="I198" i="2" s="1"/>
  <c r="BJ9" i="83"/>
  <c r="BK9" i="83" s="1"/>
  <c r="BF29" i="83"/>
  <c r="BE14" i="83"/>
  <c r="BJ15" i="83"/>
  <c r="BK15" i="83" s="1"/>
  <c r="BF15" i="83"/>
  <c r="BE146" i="83"/>
  <c r="AW8" i="83"/>
  <c r="BJ24" i="83"/>
  <c r="BK24" i="83" s="1"/>
  <c r="AW78" i="66"/>
  <c r="AV78" i="66"/>
  <c r="BA78" i="66"/>
  <c r="BB78" i="66" s="1"/>
  <c r="I25" i="2"/>
  <c r="BJ147" i="83"/>
  <c r="BK147" i="83" s="1"/>
  <c r="BE147" i="83"/>
  <c r="BJ19" i="83"/>
  <c r="BK19" i="83" s="1"/>
  <c r="BF31" i="83"/>
  <c r="AV11" i="83"/>
  <c r="BJ7" i="83"/>
  <c r="BK7" i="83" s="1"/>
  <c r="BE31" i="83"/>
  <c r="AV9" i="83"/>
  <c r="BF7" i="83"/>
  <c r="BE19" i="83"/>
  <c r="BJ20" i="83"/>
  <c r="BK20" i="83" s="1"/>
  <c r="BA15" i="83"/>
  <c r="BB15" i="83" s="1"/>
  <c r="AV13" i="83"/>
  <c r="BA8" i="83"/>
  <c r="BB8" i="83" s="1"/>
  <c r="AV12" i="83"/>
  <c r="BA13" i="83"/>
  <c r="BB13" i="83" s="1"/>
  <c r="BJ6" i="83"/>
  <c r="BK6" i="83" s="1"/>
  <c r="BF6" i="83"/>
  <c r="AV17" i="81"/>
  <c r="BE8" i="83"/>
  <c r="BJ8" i="83"/>
  <c r="BK8" i="83" s="1"/>
  <c r="BA17" i="71"/>
  <c r="BB17" i="71" s="1"/>
  <c r="AW16" i="1"/>
  <c r="AV17" i="71"/>
  <c r="BA25" i="78"/>
  <c r="BB25" i="78" s="1"/>
  <c r="AV16" i="1"/>
  <c r="AW17" i="73"/>
  <c r="BJ146" i="83"/>
  <c r="BK146" i="83" s="1"/>
  <c r="BE9" i="83"/>
  <c r="BJ27" i="70"/>
  <c r="BK27" i="70" s="1"/>
  <c r="BE29" i="83"/>
  <c r="AW7" i="83"/>
  <c r="BA7" i="83"/>
  <c r="BB7" i="83" s="1"/>
  <c r="BE26" i="83"/>
  <c r="BF20" i="83"/>
  <c r="BE17" i="83"/>
  <c r="BJ17" i="83"/>
  <c r="BK17" i="83" s="1"/>
  <c r="N360" i="2"/>
  <c r="F360" i="2" s="1"/>
  <c r="I360" i="2" s="1"/>
  <c r="N88" i="2"/>
  <c r="F88" i="2" s="1"/>
  <c r="I88" i="2" s="1"/>
  <c r="N54" i="2"/>
  <c r="F54" i="2" s="1"/>
  <c r="I54" i="2" s="1"/>
  <c r="N45" i="2"/>
  <c r="F45" i="2" s="1"/>
  <c r="I45" i="2" s="1"/>
  <c r="BA10" i="83"/>
  <c r="BB10" i="83" s="1"/>
  <c r="BE5" i="83"/>
  <c r="BE22" i="83"/>
  <c r="AV19" i="83"/>
  <c r="BF22" i="83"/>
  <c r="BA19" i="83"/>
  <c r="BB19" i="83" s="1"/>
  <c r="BE28" i="81"/>
  <c r="BF28" i="81"/>
  <c r="BJ25" i="83"/>
  <c r="BK25" i="83" s="1"/>
  <c r="BJ27" i="83"/>
  <c r="BK27" i="83" s="1"/>
  <c r="BE25" i="83"/>
  <c r="BE27" i="83"/>
  <c r="BJ14" i="83"/>
  <c r="BK14" i="83" s="1"/>
  <c r="BJ36" i="83"/>
  <c r="BK36" i="83" s="1"/>
  <c r="N39" i="2"/>
  <c r="F39" i="2" s="1"/>
  <c r="I39" i="2" s="1"/>
  <c r="N61" i="2"/>
  <c r="F61" i="2" s="1"/>
  <c r="I61" i="2" s="1"/>
  <c r="N67" i="2"/>
  <c r="F67" i="2" s="1"/>
  <c r="I67" i="2" s="1"/>
  <c r="N56" i="2"/>
  <c r="F56" i="2" s="1"/>
  <c r="I56" i="2" s="1"/>
  <c r="N93" i="2"/>
  <c r="F93" i="2" s="1"/>
  <c r="I93" i="2" s="1"/>
  <c r="N58" i="2"/>
  <c r="F58" i="2" s="1"/>
  <c r="I58" i="2" s="1"/>
  <c r="N53" i="2"/>
  <c r="F53" i="2" s="1"/>
  <c r="I53" i="2" s="1"/>
  <c r="N57" i="2"/>
  <c r="F57" i="2" s="1"/>
  <c r="I57" i="2" s="1"/>
  <c r="F31" i="2"/>
  <c r="I31" i="2" s="1"/>
  <c r="N52" i="2"/>
  <c r="F52" i="2" s="1"/>
  <c r="I52" i="2" s="1"/>
  <c r="F36" i="2"/>
  <c r="I36" i="2" s="1"/>
  <c r="BF35" i="83"/>
  <c r="BJ35" i="83"/>
  <c r="BK35" i="83" s="1"/>
  <c r="BE36" i="83"/>
  <c r="BJ28" i="67"/>
  <c r="BK28" i="67" s="1"/>
  <c r="BE28" i="67"/>
  <c r="BF11" i="85"/>
  <c r="BE11" i="85"/>
  <c r="BJ11" i="85"/>
  <c r="BK11" i="85" s="1"/>
  <c r="BJ28" i="71"/>
  <c r="BK28" i="71" s="1"/>
  <c r="AV16" i="67"/>
  <c r="BF10" i="83"/>
  <c r="AW29" i="87"/>
  <c r="AV29" i="87"/>
  <c r="BA29" i="87"/>
  <c r="BB29" i="87" s="1"/>
  <c r="BE6" i="86"/>
  <c r="BF6" i="86"/>
  <c r="BJ6" i="86"/>
  <c r="BK6" i="86" s="1"/>
  <c r="AV9" i="84"/>
  <c r="AW9" i="84"/>
  <c r="BA9" i="84"/>
  <c r="BB9" i="84" s="1"/>
  <c r="AV91" i="86"/>
  <c r="AW91" i="86"/>
  <c r="BA91" i="86"/>
  <c r="BB91" i="86" s="1"/>
  <c r="BF26" i="84"/>
  <c r="BE26" i="84"/>
  <c r="BJ26" i="84"/>
  <c r="BK26" i="84" s="1"/>
  <c r="BF13" i="84"/>
  <c r="BE13" i="84"/>
  <c r="BJ13" i="84"/>
  <c r="BK13" i="84" s="1"/>
  <c r="BF32" i="84"/>
  <c r="BE32" i="84"/>
  <c r="AW7" i="85"/>
  <c r="AV7" i="85"/>
  <c r="AV15" i="87"/>
  <c r="AW15" i="87"/>
  <c r="BA15" i="87"/>
  <c r="BB15" i="87" s="1"/>
  <c r="BE9" i="87"/>
  <c r="BF9" i="87"/>
  <c r="BJ9" i="87"/>
  <c r="BK9" i="87" s="1"/>
  <c r="BE143" i="86"/>
  <c r="BF143" i="86"/>
  <c r="AW22" i="87"/>
  <c r="AV22" i="87"/>
  <c r="BA22" i="87"/>
  <c r="BB22" i="87" s="1"/>
  <c r="AW25" i="86"/>
  <c r="AV25" i="86"/>
  <c r="BA25" i="86"/>
  <c r="BB25" i="86" s="1"/>
  <c r="BF41" i="87"/>
  <c r="BE41" i="87"/>
  <c r="BJ41" i="87"/>
  <c r="BK41" i="87" s="1"/>
  <c r="BE15" i="87"/>
  <c r="BF15" i="87"/>
  <c r="AW6" i="87"/>
  <c r="AV6" i="87"/>
  <c r="BE21" i="87"/>
  <c r="BF21" i="87"/>
  <c r="AV5" i="87"/>
  <c r="AW5" i="87"/>
  <c r="BF12" i="86"/>
  <c r="BE12" i="86"/>
  <c r="BJ12" i="86"/>
  <c r="BK12" i="86" s="1"/>
  <c r="BF28" i="71"/>
  <c r="BA16" i="67"/>
  <c r="BB16" i="67" s="1"/>
  <c r="BF30" i="87"/>
  <c r="BE30" i="87"/>
  <c r="BJ30" i="87"/>
  <c r="BK30" i="87" s="1"/>
  <c r="BF49" i="85"/>
  <c r="BE49" i="85"/>
  <c r="BJ49" i="85"/>
  <c r="BK49" i="85" s="1"/>
  <c r="AW9" i="86"/>
  <c r="AV9" i="86"/>
  <c r="BA9" i="86"/>
  <c r="BB9" i="86" s="1"/>
  <c r="BE47" i="84"/>
  <c r="BF47" i="84"/>
  <c r="AW8" i="84"/>
  <c r="AV8" i="84"/>
  <c r="BA8" i="84"/>
  <c r="BB8" i="84" s="1"/>
  <c r="BE26" i="86"/>
  <c r="BF26" i="86"/>
  <c r="BJ26" i="86"/>
  <c r="BK26" i="86" s="1"/>
  <c r="BF13" i="87"/>
  <c r="BE13" i="87"/>
  <c r="BJ13" i="87"/>
  <c r="BK13" i="87" s="1"/>
  <c r="AW7" i="87"/>
  <c r="AV7" i="87"/>
  <c r="AW15" i="84"/>
  <c r="AV15" i="84"/>
  <c r="BA15" i="84"/>
  <c r="BB15" i="84" s="1"/>
  <c r="BF7" i="84"/>
  <c r="BE7" i="84"/>
  <c r="BJ7" i="84"/>
  <c r="BK7" i="84" s="1"/>
  <c r="AV11" i="84"/>
  <c r="AW11" i="84"/>
  <c r="BA11" i="84"/>
  <c r="BB11" i="84" s="1"/>
  <c r="AV92" i="85"/>
  <c r="AW92" i="85"/>
  <c r="BF29" i="85"/>
  <c r="BE29" i="85"/>
  <c r="BJ29" i="85"/>
  <c r="BK29" i="85" s="1"/>
  <c r="BF12" i="84"/>
  <c r="BE12" i="84"/>
  <c r="BJ12" i="84"/>
  <c r="BK12" i="84" s="1"/>
  <c r="BF29" i="86"/>
  <c r="BE29" i="86"/>
  <c r="BJ29" i="86"/>
  <c r="BK29" i="86" s="1"/>
  <c r="BE45" i="86"/>
  <c r="BF45" i="86"/>
  <c r="BJ45" i="86"/>
  <c r="BK45" i="86" s="1"/>
  <c r="BF11" i="84"/>
  <c r="BE11" i="84"/>
  <c r="BJ11" i="84"/>
  <c r="BK11" i="84" s="1"/>
  <c r="BF25" i="84"/>
  <c r="BE25" i="84"/>
  <c r="AW21" i="85"/>
  <c r="AV21" i="85"/>
  <c r="BA21" i="85"/>
  <c r="BB21" i="85" s="1"/>
  <c r="BE15" i="86"/>
  <c r="BF15" i="86"/>
  <c r="AV6" i="86"/>
  <c r="AW6" i="86"/>
  <c r="BF24" i="83"/>
  <c r="BF30" i="86"/>
  <c r="BE30" i="86"/>
  <c r="BJ30" i="86"/>
  <c r="BK30" i="86" s="1"/>
  <c r="AW29" i="86"/>
  <c r="AV29" i="86"/>
  <c r="BA29" i="86"/>
  <c r="BB29" i="86" s="1"/>
  <c r="AV16" i="84"/>
  <c r="AW16" i="84"/>
  <c r="BA16" i="84"/>
  <c r="BB16" i="84" s="1"/>
  <c r="AW9" i="87"/>
  <c r="AV9" i="87"/>
  <c r="BA9" i="87"/>
  <c r="BB9" i="87" s="1"/>
  <c r="AV27" i="84"/>
  <c r="AW27" i="84"/>
  <c r="AW8" i="85"/>
  <c r="AV8" i="85"/>
  <c r="BA8" i="85"/>
  <c r="BB8" i="85" s="1"/>
  <c r="BF46" i="84"/>
  <c r="BE46" i="84"/>
  <c r="BJ46" i="84"/>
  <c r="BK46" i="84" s="1"/>
  <c r="BF13" i="85"/>
  <c r="BE13" i="85"/>
  <c r="BJ13" i="85"/>
  <c r="BK13" i="85" s="1"/>
  <c r="BE16" i="84"/>
  <c r="BF16" i="84"/>
  <c r="BJ16" i="84"/>
  <c r="BK16" i="84" s="1"/>
  <c r="AW15" i="86"/>
  <c r="AV15" i="86"/>
  <c r="BA15" i="86"/>
  <c r="BB15" i="86" s="1"/>
  <c r="BE7" i="86"/>
  <c r="BF7" i="86"/>
  <c r="BJ7" i="86"/>
  <c r="BK7" i="86" s="1"/>
  <c r="AW11" i="86"/>
  <c r="AV11" i="86"/>
  <c r="BA11" i="86"/>
  <c r="BB11" i="86" s="1"/>
  <c r="BE26" i="85"/>
  <c r="BF26" i="85"/>
  <c r="BF143" i="85"/>
  <c r="BE143" i="85"/>
  <c r="BE12" i="87"/>
  <c r="BF12" i="87"/>
  <c r="BJ12" i="87"/>
  <c r="BK12" i="87" s="1"/>
  <c r="BF29" i="84"/>
  <c r="BE29" i="84"/>
  <c r="BJ29" i="84"/>
  <c r="BK29" i="84" s="1"/>
  <c r="BF45" i="87"/>
  <c r="BE45" i="87"/>
  <c r="BJ45" i="87"/>
  <c r="BK45" i="87" s="1"/>
  <c r="BF11" i="86"/>
  <c r="BE11" i="86"/>
  <c r="BJ11" i="86"/>
  <c r="BK11" i="86" s="1"/>
  <c r="BF25" i="86"/>
  <c r="BE25" i="86"/>
  <c r="AV21" i="86"/>
  <c r="AW21" i="86"/>
  <c r="BA21" i="86"/>
  <c r="BB21" i="86" s="1"/>
  <c r="BF15" i="85"/>
  <c r="BE15" i="85"/>
  <c r="AW6" i="85"/>
  <c r="AV6" i="85"/>
  <c r="BF27" i="86"/>
  <c r="BE27" i="86"/>
  <c r="BJ27" i="86"/>
  <c r="BK27" i="86" s="1"/>
  <c r="BF18" i="84"/>
  <c r="BE18" i="84"/>
  <c r="BJ18" i="84"/>
  <c r="BK18" i="84" s="1"/>
  <c r="AW28" i="84"/>
  <c r="AV28" i="84"/>
  <c r="BF146" i="84"/>
  <c r="BE146" i="84"/>
  <c r="BJ146" i="84"/>
  <c r="BK146" i="84" s="1"/>
  <c r="AW9" i="83"/>
  <c r="BE30" i="84"/>
  <c r="BF30" i="84"/>
  <c r="BJ30" i="84"/>
  <c r="BK30" i="84" s="1"/>
  <c r="AV16" i="86"/>
  <c r="AW16" i="86"/>
  <c r="BA16" i="86"/>
  <c r="BB16" i="86" s="1"/>
  <c r="AW9" i="85"/>
  <c r="AV9" i="85"/>
  <c r="BA9" i="85"/>
  <c r="BB9" i="85" s="1"/>
  <c r="AW27" i="87"/>
  <c r="AV27" i="87"/>
  <c r="AV8" i="87"/>
  <c r="AW8" i="87"/>
  <c r="BA8" i="87"/>
  <c r="BB8" i="87" s="1"/>
  <c r="AV26" i="84"/>
  <c r="AW26" i="84"/>
  <c r="BA26" i="84"/>
  <c r="BB26" i="84" s="1"/>
  <c r="BF13" i="86"/>
  <c r="BE13" i="86"/>
  <c r="BJ13" i="86"/>
  <c r="BK13" i="86" s="1"/>
  <c r="BF16" i="87"/>
  <c r="BE16" i="87"/>
  <c r="BJ16" i="87"/>
  <c r="BK16" i="87" s="1"/>
  <c r="BF33" i="86"/>
  <c r="BE33" i="86"/>
  <c r="BJ33" i="86"/>
  <c r="BK33" i="86" s="1"/>
  <c r="BF24" i="84"/>
  <c r="BE24" i="84"/>
  <c r="BJ24" i="84"/>
  <c r="BK24" i="84" s="1"/>
  <c r="BF7" i="85"/>
  <c r="BE7" i="85"/>
  <c r="BJ7" i="85"/>
  <c r="BK7" i="85" s="1"/>
  <c r="AW11" i="85"/>
  <c r="AV11" i="85"/>
  <c r="BA11" i="85"/>
  <c r="BB11" i="85" s="1"/>
  <c r="BF43" i="84"/>
  <c r="BE43" i="84"/>
  <c r="BJ43" i="84"/>
  <c r="BK43" i="84" s="1"/>
  <c r="BF12" i="85"/>
  <c r="BE12" i="85"/>
  <c r="BJ12" i="85"/>
  <c r="BK12" i="85" s="1"/>
  <c r="BE29" i="87"/>
  <c r="BF29" i="87"/>
  <c r="BJ29" i="87"/>
  <c r="BK29" i="87" s="1"/>
  <c r="AW25" i="87"/>
  <c r="AV25" i="87"/>
  <c r="BA25" i="87"/>
  <c r="BB25" i="87" s="1"/>
  <c r="BF11" i="87"/>
  <c r="BE11" i="87"/>
  <c r="BJ11" i="87"/>
  <c r="BK11" i="87" s="1"/>
  <c r="BE25" i="87"/>
  <c r="BF25" i="87"/>
  <c r="AW90" i="84"/>
  <c r="AV90" i="84"/>
  <c r="BE44" i="84"/>
  <c r="BF44" i="84"/>
  <c r="BJ44" i="84"/>
  <c r="BK44" i="84" s="1"/>
  <c r="BE27" i="87"/>
  <c r="BF27" i="87"/>
  <c r="BJ27" i="87"/>
  <c r="BK27" i="87" s="1"/>
  <c r="BE18" i="86"/>
  <c r="BF18" i="86"/>
  <c r="BJ18" i="86"/>
  <c r="BK18" i="86" s="1"/>
  <c r="BF48" i="84"/>
  <c r="BE48" i="84"/>
  <c r="AV24" i="84"/>
  <c r="AW24" i="84"/>
  <c r="BA24" i="84"/>
  <c r="BB24" i="84" s="1"/>
  <c r="BA12" i="83"/>
  <c r="BB12" i="83" s="1"/>
  <c r="BE13" i="83"/>
  <c r="BF30" i="83"/>
  <c r="AW17" i="87"/>
  <c r="AV17" i="87"/>
  <c r="BA17" i="87"/>
  <c r="BB17" i="87" s="1"/>
  <c r="BF17" i="84"/>
  <c r="BE17" i="84"/>
  <c r="BJ17" i="84"/>
  <c r="BK17" i="84" s="1"/>
  <c r="AW19" i="87"/>
  <c r="AV19" i="87"/>
  <c r="BA19" i="87"/>
  <c r="BB19" i="87" s="1"/>
  <c r="AW27" i="85"/>
  <c r="AV27" i="85"/>
  <c r="AW26" i="86"/>
  <c r="AV26" i="86"/>
  <c r="BA26" i="86"/>
  <c r="BB26" i="86" s="1"/>
  <c r="BE20" i="84"/>
  <c r="BF20" i="84"/>
  <c r="BJ20" i="84"/>
  <c r="BK20" i="84" s="1"/>
  <c r="BE16" i="86"/>
  <c r="BF16" i="86"/>
  <c r="BJ16" i="86"/>
  <c r="BK16" i="86" s="1"/>
  <c r="BF33" i="84"/>
  <c r="BE33" i="84"/>
  <c r="BJ33" i="84"/>
  <c r="BK33" i="84" s="1"/>
  <c r="BE24" i="87"/>
  <c r="BF24" i="87"/>
  <c r="BJ24" i="87"/>
  <c r="BK24" i="87" s="1"/>
  <c r="BF147" i="85"/>
  <c r="BE147" i="85"/>
  <c r="AW12" i="87"/>
  <c r="AV12" i="87"/>
  <c r="BF42" i="84"/>
  <c r="BE42" i="84"/>
  <c r="BJ42" i="84"/>
  <c r="BK42" i="84" s="1"/>
  <c r="AV23" i="87"/>
  <c r="AW23" i="87"/>
  <c r="BA23" i="87"/>
  <c r="BB23" i="87" s="1"/>
  <c r="BE146" i="85"/>
  <c r="BF146" i="85"/>
  <c r="BJ146" i="85"/>
  <c r="BK146" i="85" s="1"/>
  <c r="AV90" i="85"/>
  <c r="AW90" i="85"/>
  <c r="BF10" i="86"/>
  <c r="BE10" i="86"/>
  <c r="AV24" i="86"/>
  <c r="AW24" i="86"/>
  <c r="BA24" i="86"/>
  <c r="BB24" i="86" s="1"/>
  <c r="BF18" i="87"/>
  <c r="BE18" i="87"/>
  <c r="BJ18" i="87"/>
  <c r="BK18" i="87" s="1"/>
  <c r="AV28" i="86"/>
  <c r="AW28" i="86"/>
  <c r="BE48" i="86"/>
  <c r="BF48" i="86"/>
  <c r="BJ13" i="83"/>
  <c r="BK13" i="83" s="1"/>
  <c r="BE8" i="84"/>
  <c r="BF8" i="84"/>
  <c r="BJ8" i="84"/>
  <c r="BK8" i="84" s="1"/>
  <c r="AW17" i="86"/>
  <c r="AV17" i="86"/>
  <c r="BA17" i="86"/>
  <c r="BB17" i="86" s="1"/>
  <c r="BE31" i="86"/>
  <c r="BF31" i="86"/>
  <c r="BJ31" i="86"/>
  <c r="BK31" i="86" s="1"/>
  <c r="BF17" i="87"/>
  <c r="BE17" i="87"/>
  <c r="BJ17" i="87"/>
  <c r="BK17" i="87" s="1"/>
  <c r="AW19" i="84"/>
  <c r="AV19" i="84"/>
  <c r="BA19" i="84"/>
  <c r="BB19" i="84" s="1"/>
  <c r="BE47" i="87"/>
  <c r="BF47" i="87"/>
  <c r="AW13" i="84"/>
  <c r="AV13" i="84"/>
  <c r="BA13" i="84"/>
  <c r="BB13" i="84" s="1"/>
  <c r="BF46" i="87"/>
  <c r="BE46" i="87"/>
  <c r="BJ46" i="87"/>
  <c r="BK46" i="87" s="1"/>
  <c r="BF20" i="87"/>
  <c r="BE20" i="87"/>
  <c r="BJ20" i="87"/>
  <c r="BK20" i="87" s="1"/>
  <c r="AW15" i="85"/>
  <c r="AV15" i="85"/>
  <c r="BA15" i="85"/>
  <c r="BB15" i="85" s="1"/>
  <c r="BE31" i="85"/>
  <c r="BF31" i="85"/>
  <c r="BJ31" i="85"/>
  <c r="BK31" i="85" s="1"/>
  <c r="BF147" i="86"/>
  <c r="BE147" i="86"/>
  <c r="BF19" i="84"/>
  <c r="BE19" i="84"/>
  <c r="AW12" i="85"/>
  <c r="AV12" i="85"/>
  <c r="AW22" i="84"/>
  <c r="AV22" i="84"/>
  <c r="BA22" i="84"/>
  <c r="BB22" i="84" s="1"/>
  <c r="BE43" i="86"/>
  <c r="BF43" i="86"/>
  <c r="BJ43" i="86"/>
  <c r="BK43" i="86" s="1"/>
  <c r="AV93" i="84"/>
  <c r="AW93" i="84"/>
  <c r="BA93" i="84"/>
  <c r="BB93" i="84" s="1"/>
  <c r="BF146" i="86"/>
  <c r="BE146" i="86"/>
  <c r="BJ146" i="86"/>
  <c r="BK146" i="86" s="1"/>
  <c r="AW90" i="87"/>
  <c r="AV90" i="87"/>
  <c r="BA90" i="87"/>
  <c r="BB90" i="87" s="1"/>
  <c r="BF142" i="85"/>
  <c r="BE142" i="85"/>
  <c r="BF10" i="85"/>
  <c r="BE10" i="85"/>
  <c r="BE44" i="85"/>
  <c r="BF44" i="85"/>
  <c r="BJ44" i="85"/>
  <c r="BK44" i="85" s="1"/>
  <c r="BF28" i="86"/>
  <c r="BE28" i="86"/>
  <c r="BJ28" i="86"/>
  <c r="BK28" i="86" s="1"/>
  <c r="AW28" i="87"/>
  <c r="AV28" i="87"/>
  <c r="BF142" i="84"/>
  <c r="BE142" i="84"/>
  <c r="BE8" i="87"/>
  <c r="BF8" i="87"/>
  <c r="BJ8" i="87"/>
  <c r="BK8" i="87" s="1"/>
  <c r="AW29" i="84"/>
  <c r="AV29" i="84"/>
  <c r="BA29" i="84"/>
  <c r="BB29" i="84" s="1"/>
  <c r="BF31" i="87"/>
  <c r="BE31" i="87"/>
  <c r="BJ31" i="87"/>
  <c r="BK31" i="87" s="1"/>
  <c r="BF17" i="86"/>
  <c r="BE17" i="86"/>
  <c r="BJ17" i="86"/>
  <c r="BK17" i="86" s="1"/>
  <c r="AW19" i="86"/>
  <c r="AV19" i="86"/>
  <c r="BA19" i="86"/>
  <c r="BB19" i="86" s="1"/>
  <c r="AW27" i="86"/>
  <c r="AV27" i="86"/>
  <c r="AV13" i="85"/>
  <c r="AW13" i="85"/>
  <c r="BA13" i="85"/>
  <c r="BB13" i="85" s="1"/>
  <c r="BF46" i="86"/>
  <c r="BE46" i="86"/>
  <c r="BJ46" i="86"/>
  <c r="BK46" i="86" s="1"/>
  <c r="BE20" i="85"/>
  <c r="BF20" i="85"/>
  <c r="BJ20" i="85"/>
  <c r="BK20" i="85" s="1"/>
  <c r="BF24" i="85"/>
  <c r="BE24" i="85"/>
  <c r="BJ24" i="85"/>
  <c r="BK24" i="85" s="1"/>
  <c r="BF19" i="87"/>
  <c r="BE19" i="87"/>
  <c r="AW89" i="87"/>
  <c r="AV89" i="87"/>
  <c r="AW12" i="86"/>
  <c r="AV12" i="86"/>
  <c r="BE42" i="87"/>
  <c r="BF42" i="87"/>
  <c r="BJ42" i="87"/>
  <c r="BK42" i="87" s="1"/>
  <c r="AV23" i="85"/>
  <c r="AW23" i="85"/>
  <c r="BA23" i="85"/>
  <c r="BB23" i="85" s="1"/>
  <c r="AV93" i="86"/>
  <c r="AW93" i="86"/>
  <c r="BA93" i="86"/>
  <c r="BB93" i="86" s="1"/>
  <c r="BF143" i="87"/>
  <c r="BE143" i="87"/>
  <c r="BJ143" i="87"/>
  <c r="BK143" i="87" s="1"/>
  <c r="AW21" i="84"/>
  <c r="AV21" i="84"/>
  <c r="BA21" i="84"/>
  <c r="BB21" i="84" s="1"/>
  <c r="AV90" i="86"/>
  <c r="AW90" i="86"/>
  <c r="BE10" i="87"/>
  <c r="BF10" i="87"/>
  <c r="AW24" i="87"/>
  <c r="AV24" i="87"/>
  <c r="BA24" i="87"/>
  <c r="BB24" i="87" s="1"/>
  <c r="BE28" i="84"/>
  <c r="BF28" i="84"/>
  <c r="BJ28" i="84"/>
  <c r="BK28" i="84" s="1"/>
  <c r="BE30" i="85"/>
  <c r="BF30" i="85"/>
  <c r="BJ30" i="85"/>
  <c r="BK30" i="85" s="1"/>
  <c r="BF48" i="85"/>
  <c r="BE48" i="85"/>
  <c r="AV8" i="86"/>
  <c r="AW8" i="86"/>
  <c r="BA8" i="86"/>
  <c r="BB8" i="86" s="1"/>
  <c r="BE10" i="84"/>
  <c r="BF10" i="84"/>
  <c r="BE8" i="85"/>
  <c r="BF8" i="85"/>
  <c r="BJ8" i="85"/>
  <c r="BK8" i="85" s="1"/>
  <c r="BF49" i="84"/>
  <c r="BE49" i="84"/>
  <c r="BJ49" i="84"/>
  <c r="BK49" i="84" s="1"/>
  <c r="BE31" i="84"/>
  <c r="BF31" i="84"/>
  <c r="BJ31" i="84"/>
  <c r="BK31" i="84" s="1"/>
  <c r="BE17" i="85"/>
  <c r="BF17" i="85"/>
  <c r="BJ17" i="85"/>
  <c r="BK17" i="85" s="1"/>
  <c r="BF47" i="86"/>
  <c r="BE47" i="86"/>
  <c r="AW13" i="86"/>
  <c r="AV13" i="86"/>
  <c r="BA13" i="86"/>
  <c r="BB13" i="86" s="1"/>
  <c r="AW26" i="85"/>
  <c r="AV26" i="85"/>
  <c r="BA26" i="85"/>
  <c r="BB26" i="85" s="1"/>
  <c r="BF20" i="86"/>
  <c r="BE20" i="86"/>
  <c r="BJ20" i="86"/>
  <c r="BK20" i="86" s="1"/>
  <c r="BF14" i="84"/>
  <c r="BE14" i="84"/>
  <c r="BJ14" i="84"/>
  <c r="BK14" i="84" s="1"/>
  <c r="BF22" i="84"/>
  <c r="BE22" i="84"/>
  <c r="BJ22" i="84"/>
  <c r="BK22" i="84" s="1"/>
  <c r="BF19" i="86"/>
  <c r="BE19" i="86"/>
  <c r="BF142" i="87"/>
  <c r="BE142" i="87"/>
  <c r="AV22" i="85"/>
  <c r="AW22" i="85"/>
  <c r="BA22" i="85"/>
  <c r="BB22" i="85" s="1"/>
  <c r="BF43" i="87"/>
  <c r="BE43" i="87"/>
  <c r="BJ43" i="87"/>
  <c r="BK43" i="87" s="1"/>
  <c r="AW25" i="84"/>
  <c r="AV25" i="84"/>
  <c r="BA25" i="84"/>
  <c r="BB25" i="84" s="1"/>
  <c r="AW10" i="84"/>
  <c r="AV10" i="84"/>
  <c r="BA10" i="84"/>
  <c r="BB10" i="84" s="1"/>
  <c r="BF5" i="84"/>
  <c r="BE5" i="84"/>
  <c r="BJ5" i="84"/>
  <c r="BK5" i="84" s="1"/>
  <c r="BE41" i="84"/>
  <c r="BF41" i="84"/>
  <c r="BJ41" i="84"/>
  <c r="BK41" i="84" s="1"/>
  <c r="BF142" i="86"/>
  <c r="BE142" i="86"/>
  <c r="BF44" i="86"/>
  <c r="BE44" i="86"/>
  <c r="BJ44" i="86"/>
  <c r="BK44" i="86" s="1"/>
  <c r="BE28" i="87"/>
  <c r="BF28" i="87"/>
  <c r="BJ28" i="87"/>
  <c r="BK28" i="87" s="1"/>
  <c r="AW28" i="85"/>
  <c r="AV28" i="85"/>
  <c r="AV16" i="87"/>
  <c r="AW16" i="87"/>
  <c r="BA16" i="87"/>
  <c r="BB16" i="87" s="1"/>
  <c r="BE47" i="85"/>
  <c r="BF47" i="85"/>
  <c r="BF46" i="85"/>
  <c r="BE46" i="85"/>
  <c r="BJ46" i="85"/>
  <c r="BK46" i="85" s="1"/>
  <c r="BE33" i="87"/>
  <c r="BF33" i="87"/>
  <c r="BJ33" i="87"/>
  <c r="BK33" i="87" s="1"/>
  <c r="BF24" i="86"/>
  <c r="BE24" i="86"/>
  <c r="BJ24" i="86"/>
  <c r="BK24" i="86" s="1"/>
  <c r="BE147" i="84"/>
  <c r="BF147" i="84"/>
  <c r="BF7" i="87"/>
  <c r="BE7" i="87"/>
  <c r="BJ7" i="87"/>
  <c r="BK7" i="87" s="1"/>
  <c r="AW11" i="87"/>
  <c r="AV11" i="87"/>
  <c r="BA11" i="87"/>
  <c r="BB11" i="87" s="1"/>
  <c r="AW12" i="84"/>
  <c r="AV12" i="84"/>
  <c r="AW23" i="84"/>
  <c r="AV23" i="84"/>
  <c r="BA23" i="84"/>
  <c r="BB23" i="84" s="1"/>
  <c r="BF27" i="84"/>
  <c r="BE27" i="84"/>
  <c r="BJ27" i="84"/>
  <c r="BK27" i="84" s="1"/>
  <c r="AV15" i="74"/>
  <c r="AW15" i="74"/>
  <c r="BE48" i="78"/>
  <c r="BJ47" i="86"/>
  <c r="BK47" i="86" s="1"/>
  <c r="BE8" i="86"/>
  <c r="BF8" i="86"/>
  <c r="BJ8" i="86"/>
  <c r="BK8" i="86" s="1"/>
  <c r="AW29" i="85"/>
  <c r="AV29" i="85"/>
  <c r="BA29" i="85"/>
  <c r="BB29" i="85" s="1"/>
  <c r="BF6" i="84"/>
  <c r="BE6" i="84"/>
  <c r="BJ6" i="84"/>
  <c r="BK6" i="84" s="1"/>
  <c r="AV13" i="87"/>
  <c r="AW13" i="87"/>
  <c r="BA13" i="87"/>
  <c r="BB13" i="87" s="1"/>
  <c r="AV26" i="87"/>
  <c r="AW26" i="87"/>
  <c r="BA26" i="87"/>
  <c r="BB26" i="87" s="1"/>
  <c r="AW18" i="86"/>
  <c r="AV18" i="86"/>
  <c r="BA18" i="86"/>
  <c r="BB18" i="86" s="1"/>
  <c r="BF14" i="87"/>
  <c r="BE14" i="87"/>
  <c r="BJ14" i="87"/>
  <c r="BK14" i="87" s="1"/>
  <c r="BE22" i="87"/>
  <c r="BF22" i="87"/>
  <c r="BJ22" i="87"/>
  <c r="BK22" i="87" s="1"/>
  <c r="BF19" i="85"/>
  <c r="BE19" i="85"/>
  <c r="BF9" i="84"/>
  <c r="BE9" i="84"/>
  <c r="BJ9" i="84"/>
  <c r="BK9" i="84" s="1"/>
  <c r="BF143" i="84"/>
  <c r="BE143" i="84"/>
  <c r="AV22" i="86"/>
  <c r="AW22" i="86"/>
  <c r="BA22" i="86"/>
  <c r="BB22" i="86" s="1"/>
  <c r="AV23" i="86"/>
  <c r="AW23" i="86"/>
  <c r="BA23" i="86"/>
  <c r="BB23" i="86" s="1"/>
  <c r="BF45" i="84"/>
  <c r="BE45" i="84"/>
  <c r="BJ45" i="84"/>
  <c r="BK45" i="84" s="1"/>
  <c r="AV10" i="86"/>
  <c r="AW10" i="86"/>
  <c r="BA10" i="86"/>
  <c r="BB10" i="86" s="1"/>
  <c r="BE5" i="86"/>
  <c r="BF5" i="86"/>
  <c r="BJ5" i="86"/>
  <c r="BK5" i="86" s="1"/>
  <c r="BF41" i="85"/>
  <c r="BE41" i="85"/>
  <c r="BJ41" i="85"/>
  <c r="BK41" i="85" s="1"/>
  <c r="BF33" i="85"/>
  <c r="BE33" i="85"/>
  <c r="BF44" i="87"/>
  <c r="BE44" i="87"/>
  <c r="BJ44" i="87"/>
  <c r="BK44" i="87" s="1"/>
  <c r="BF21" i="84"/>
  <c r="BE21" i="84"/>
  <c r="AW5" i="84"/>
  <c r="AV5" i="84"/>
  <c r="BF48" i="87"/>
  <c r="BE48" i="87"/>
  <c r="BF18" i="85"/>
  <c r="BE18" i="85"/>
  <c r="BJ18" i="85"/>
  <c r="BK18" i="85" s="1"/>
  <c r="BJ48" i="78"/>
  <c r="BK48" i="78" s="1"/>
  <c r="BE10" i="83"/>
  <c r="BA27" i="85"/>
  <c r="BB27" i="85" s="1"/>
  <c r="BF49" i="87"/>
  <c r="BE49" i="87"/>
  <c r="BJ49" i="87"/>
  <c r="BK49" i="87" s="1"/>
  <c r="BF6" i="85"/>
  <c r="BE6" i="85"/>
  <c r="BJ6" i="85"/>
  <c r="BK6" i="85" s="1"/>
  <c r="AW91" i="84"/>
  <c r="AV91" i="84"/>
  <c r="BA91" i="84"/>
  <c r="BB91" i="84" s="1"/>
  <c r="BF32" i="86"/>
  <c r="BE32" i="86"/>
  <c r="AW7" i="84"/>
  <c r="AV7" i="84"/>
  <c r="AW18" i="84"/>
  <c r="AV18" i="84"/>
  <c r="BA18" i="84"/>
  <c r="BB18" i="84" s="1"/>
  <c r="BE14" i="85"/>
  <c r="BF14" i="85"/>
  <c r="BJ14" i="85"/>
  <c r="BK14" i="85" s="1"/>
  <c r="BF22" i="85"/>
  <c r="BE22" i="85"/>
  <c r="BJ22" i="85"/>
  <c r="BK22" i="85" s="1"/>
  <c r="BE9" i="86"/>
  <c r="BF9" i="86"/>
  <c r="BJ9" i="86"/>
  <c r="BK9" i="86" s="1"/>
  <c r="AV92" i="84"/>
  <c r="AW92" i="84"/>
  <c r="BF42" i="85"/>
  <c r="BE42" i="85"/>
  <c r="BJ42" i="85"/>
  <c r="BK42" i="85" s="1"/>
  <c r="BF43" i="85"/>
  <c r="BE43" i="85"/>
  <c r="BJ43" i="85"/>
  <c r="BK43" i="85" s="1"/>
  <c r="AW25" i="85"/>
  <c r="AV25" i="85"/>
  <c r="BA25" i="85"/>
  <c r="BB25" i="85" s="1"/>
  <c r="AW10" i="85"/>
  <c r="AV10" i="85"/>
  <c r="BA10" i="85"/>
  <c r="BB10" i="85" s="1"/>
  <c r="BE5" i="85"/>
  <c r="BF5" i="85"/>
  <c r="BJ5" i="85"/>
  <c r="BK5" i="85" s="1"/>
  <c r="AV21" i="87"/>
  <c r="AW21" i="87"/>
  <c r="BA21" i="87"/>
  <c r="BB21" i="87" s="1"/>
  <c r="AW24" i="85"/>
  <c r="AV24" i="85"/>
  <c r="BA24" i="85"/>
  <c r="BB24" i="85" s="1"/>
  <c r="BF21" i="85"/>
  <c r="BE21" i="85"/>
  <c r="AW5" i="86"/>
  <c r="AV5" i="86"/>
  <c r="AW17" i="84"/>
  <c r="AV17" i="84"/>
  <c r="BA17" i="84"/>
  <c r="BB17" i="84" s="1"/>
  <c r="BE16" i="85"/>
  <c r="BF16" i="85"/>
  <c r="BJ16" i="85"/>
  <c r="BK16" i="85" s="1"/>
  <c r="BA12" i="84"/>
  <c r="BB12" i="84" s="1"/>
  <c r="BJ142" i="87"/>
  <c r="BK142" i="87" s="1"/>
  <c r="BJ47" i="85"/>
  <c r="BK47" i="85" s="1"/>
  <c r="BE49" i="86"/>
  <c r="BF49" i="86"/>
  <c r="BJ49" i="86"/>
  <c r="BK49" i="86" s="1"/>
  <c r="BE6" i="87"/>
  <c r="BF6" i="87"/>
  <c r="BJ6" i="87"/>
  <c r="BK6" i="87" s="1"/>
  <c r="AW91" i="85"/>
  <c r="AV91" i="85"/>
  <c r="BA91" i="85"/>
  <c r="BB91" i="85" s="1"/>
  <c r="AW19" i="85"/>
  <c r="AV19" i="85"/>
  <c r="BF26" i="87"/>
  <c r="BE26" i="87"/>
  <c r="BJ26" i="87"/>
  <c r="BK26" i="87" s="1"/>
  <c r="BF32" i="87"/>
  <c r="BE32" i="87"/>
  <c r="AW7" i="86"/>
  <c r="AV7" i="86"/>
  <c r="AW18" i="87"/>
  <c r="AV18" i="87"/>
  <c r="BA18" i="87"/>
  <c r="BB18" i="87" s="1"/>
  <c r="BF14" i="86"/>
  <c r="BE14" i="86"/>
  <c r="BJ14" i="86"/>
  <c r="BK14" i="86" s="1"/>
  <c r="BF22" i="86"/>
  <c r="BE22" i="86"/>
  <c r="BJ22" i="86"/>
  <c r="BK22" i="86" s="1"/>
  <c r="BF9" i="85"/>
  <c r="BE9" i="85"/>
  <c r="BJ9" i="85"/>
  <c r="BK9" i="85" s="1"/>
  <c r="AV92" i="86"/>
  <c r="AW92" i="86"/>
  <c r="BE42" i="86"/>
  <c r="BF42" i="86"/>
  <c r="BJ42" i="86"/>
  <c r="BK42" i="86" s="1"/>
  <c r="BF27" i="85"/>
  <c r="BE27" i="85"/>
  <c r="BJ27" i="85"/>
  <c r="BK27" i="85" s="1"/>
  <c r="BF25" i="85"/>
  <c r="BE25" i="85"/>
  <c r="BJ25" i="85"/>
  <c r="BK25" i="85" s="1"/>
  <c r="BF45" i="85"/>
  <c r="BE45" i="85"/>
  <c r="BJ45" i="85"/>
  <c r="BK45" i="85" s="1"/>
  <c r="AW10" i="87"/>
  <c r="AV10" i="87"/>
  <c r="BA10" i="87"/>
  <c r="BB10" i="87" s="1"/>
  <c r="BE5" i="87"/>
  <c r="BF5" i="87"/>
  <c r="BJ5" i="87"/>
  <c r="BK5" i="87" s="1"/>
  <c r="BF41" i="86"/>
  <c r="BE41" i="86"/>
  <c r="BJ41" i="86"/>
  <c r="BK41" i="86" s="1"/>
  <c r="BF15" i="84"/>
  <c r="BE15" i="84"/>
  <c r="AW6" i="84"/>
  <c r="AV6" i="84"/>
  <c r="BF21" i="86"/>
  <c r="BE21" i="86"/>
  <c r="AW5" i="85"/>
  <c r="AV5" i="85"/>
  <c r="BF36" i="86"/>
  <c r="BE36" i="86"/>
  <c r="BJ36" i="86"/>
  <c r="BK36" i="86" s="1"/>
  <c r="BJ35" i="87"/>
  <c r="BK35" i="87" s="1"/>
  <c r="BE35" i="87"/>
  <c r="BF35" i="87"/>
  <c r="BF35" i="84"/>
  <c r="BJ35" i="84"/>
  <c r="BK35" i="84" s="1"/>
  <c r="BE35" i="84"/>
  <c r="BF36" i="87"/>
  <c r="BJ36" i="87"/>
  <c r="BK36" i="87" s="1"/>
  <c r="BE36" i="87"/>
  <c r="BF35" i="86"/>
  <c r="BE35" i="86"/>
  <c r="BJ35" i="86"/>
  <c r="BK35" i="86" s="1"/>
  <c r="BF36" i="85"/>
  <c r="BE36" i="85"/>
  <c r="BJ36" i="85"/>
  <c r="BK36" i="85" s="1"/>
  <c r="BF36" i="84"/>
  <c r="BJ36" i="84"/>
  <c r="BK36" i="84" s="1"/>
  <c r="BE36" i="84"/>
  <c r="BF35" i="85"/>
  <c r="BE35" i="85"/>
  <c r="BJ35" i="85"/>
  <c r="BK35" i="85" s="1"/>
  <c r="N298" i="2"/>
  <c r="F298" i="2" s="1"/>
  <c r="I298" i="2" s="1"/>
  <c r="N82" i="2"/>
  <c r="F82" i="2" s="1"/>
  <c r="I82" i="2" s="1"/>
  <c r="N37" i="2"/>
  <c r="F37" i="2" s="1"/>
  <c r="I37" i="2" s="1"/>
  <c r="BF27" i="67"/>
  <c r="I109" i="2"/>
  <c r="BF27" i="73"/>
  <c r="BE27" i="81"/>
  <c r="BJ27" i="73"/>
  <c r="BK27" i="73" s="1"/>
  <c r="BE142" i="83"/>
  <c r="BF142" i="83"/>
  <c r="BJ142" i="83"/>
  <c r="BK142" i="83" s="1"/>
  <c r="AW93" i="83"/>
  <c r="AV93" i="83"/>
  <c r="BA93" i="83"/>
  <c r="BB93" i="83" s="1"/>
  <c r="BJ143" i="83"/>
  <c r="BK143" i="83" s="1"/>
  <c r="BF143" i="83"/>
  <c r="BE143" i="83"/>
  <c r="BJ16" i="83"/>
  <c r="BK16" i="83" s="1"/>
  <c r="BF16" i="83"/>
  <c r="BE16" i="83"/>
  <c r="BA6" i="83"/>
  <c r="BB6" i="83" s="1"/>
  <c r="AW6" i="83"/>
  <c r="AV6" i="83"/>
  <c r="AW18" i="83"/>
  <c r="BA18" i="83"/>
  <c r="BB18" i="83" s="1"/>
  <c r="AV18" i="83"/>
  <c r="BF28" i="83"/>
  <c r="BJ28" i="83"/>
  <c r="BK28" i="83" s="1"/>
  <c r="BE28" i="83"/>
  <c r="AV91" i="83"/>
  <c r="AW91" i="83"/>
  <c r="BA91" i="83"/>
  <c r="BB91" i="83" s="1"/>
  <c r="BJ32" i="83"/>
  <c r="BK32" i="83" s="1"/>
  <c r="BF32" i="83"/>
  <c r="BE32" i="83"/>
  <c r="BA16" i="83"/>
  <c r="BB16" i="83" s="1"/>
  <c r="AV16" i="83"/>
  <c r="AW16" i="83"/>
  <c r="AV17" i="83"/>
  <c r="BA17" i="83"/>
  <c r="BB17" i="83" s="1"/>
  <c r="AW17" i="83"/>
  <c r="BA90" i="83"/>
  <c r="BB90" i="83" s="1"/>
  <c r="AV90" i="83"/>
  <c r="AW90" i="83"/>
  <c r="BA92" i="83"/>
  <c r="BB92" i="83" s="1"/>
  <c r="AV92" i="83"/>
  <c r="AW92" i="83"/>
  <c r="BJ27" i="67"/>
  <c r="BK27" i="67" s="1"/>
  <c r="AV15" i="67"/>
  <c r="BF41" i="83"/>
  <c r="BJ41" i="83"/>
  <c r="BK41" i="83" s="1"/>
  <c r="BE41" i="83"/>
  <c r="BF46" i="83"/>
  <c r="BJ46" i="83"/>
  <c r="BK46" i="83" s="1"/>
  <c r="BE46" i="83"/>
  <c r="BJ48" i="83"/>
  <c r="BK48" i="83" s="1"/>
  <c r="BF48" i="83"/>
  <c r="BE48" i="83"/>
  <c r="BF43" i="83"/>
  <c r="BE43" i="83"/>
  <c r="BJ43" i="83"/>
  <c r="BK43" i="83" s="1"/>
  <c r="BA27" i="83"/>
  <c r="BB27" i="83" s="1"/>
  <c r="AV27" i="83"/>
  <c r="AW27" i="83"/>
  <c r="AW26" i="83"/>
  <c r="BA26" i="83"/>
  <c r="BB26" i="83" s="1"/>
  <c r="AV26" i="83"/>
  <c r="AV28" i="83"/>
  <c r="BA28" i="83"/>
  <c r="BB28" i="83" s="1"/>
  <c r="AW28" i="83"/>
  <c r="AW29" i="83"/>
  <c r="BA29" i="83"/>
  <c r="BB29" i="83" s="1"/>
  <c r="AV29" i="83"/>
  <c r="BJ45" i="83"/>
  <c r="BK45" i="83" s="1"/>
  <c r="BE45" i="83"/>
  <c r="BF45" i="83"/>
  <c r="BF47" i="83"/>
  <c r="BJ47" i="83"/>
  <c r="BK47" i="83" s="1"/>
  <c r="BE47" i="83"/>
  <c r="BF44" i="83"/>
  <c r="BE44" i="83"/>
  <c r="BJ44" i="83"/>
  <c r="BK44" i="83" s="1"/>
  <c r="BA22" i="83"/>
  <c r="BB22" i="83" s="1"/>
  <c r="AW22" i="83"/>
  <c r="AV22" i="83"/>
  <c r="BF49" i="83"/>
  <c r="BE49" i="83"/>
  <c r="BJ49" i="83"/>
  <c r="BK49" i="83" s="1"/>
  <c r="AV25" i="83"/>
  <c r="AW25" i="83"/>
  <c r="BA25" i="83"/>
  <c r="BB25" i="83" s="1"/>
  <c r="AW21" i="83"/>
  <c r="AV21" i="83"/>
  <c r="BA21" i="83"/>
  <c r="BB21" i="83" s="1"/>
  <c r="AV24" i="83"/>
  <c r="AW24" i="83"/>
  <c r="BA24" i="83"/>
  <c r="BB24" i="83" s="1"/>
  <c r="BJ42" i="83"/>
  <c r="BK42" i="83" s="1"/>
  <c r="BE42" i="83"/>
  <c r="BF42" i="83"/>
  <c r="AW23" i="83"/>
  <c r="AV23" i="83"/>
  <c r="BA23" i="83"/>
  <c r="BB23" i="83" s="1"/>
  <c r="N252" i="2"/>
  <c r="F252" i="2" s="1"/>
  <c r="I252" i="2" s="1"/>
  <c r="N99" i="2"/>
  <c r="F99" i="2" s="1"/>
  <c r="I99" i="2" s="1"/>
  <c r="N112" i="2"/>
  <c r="F112" i="2" s="1"/>
  <c r="I112" i="2" s="1"/>
  <c r="N41" i="2"/>
  <c r="F41" i="2" s="1"/>
  <c r="I41" i="2" s="1"/>
  <c r="N51" i="2"/>
  <c r="F51" i="2" s="1"/>
  <c r="I51" i="2" s="1"/>
  <c r="N65" i="2"/>
  <c r="F65" i="2" s="1"/>
  <c r="I65" i="2" s="1"/>
  <c r="N60" i="2"/>
  <c r="F60" i="2" s="1"/>
  <c r="I60" i="2" s="1"/>
  <c r="N333" i="2"/>
  <c r="F333" i="2" s="1"/>
  <c r="I333" i="2" s="1"/>
  <c r="N87" i="2"/>
  <c r="F87" i="2" s="1"/>
  <c r="I87" i="2" s="1"/>
  <c r="N125" i="2"/>
  <c r="F125" i="2" s="1"/>
  <c r="I125" i="2" s="1"/>
  <c r="N228" i="2"/>
  <c r="F228" i="2" s="1"/>
  <c r="I228" i="2" s="1"/>
  <c r="BJ27" i="74"/>
  <c r="BK27" i="74" s="1"/>
  <c r="N364" i="2"/>
  <c r="F364" i="2" s="1"/>
  <c r="I364" i="2" s="1"/>
  <c r="N55" i="2"/>
  <c r="F55" i="2" s="1"/>
  <c r="I55" i="2" s="1"/>
  <c r="N64" i="2"/>
  <c r="F64" i="2" s="1"/>
  <c r="I64" i="2" s="1"/>
  <c r="N123" i="2"/>
  <c r="F123" i="2" s="1"/>
  <c r="I123" i="2" s="1"/>
  <c r="N297" i="2"/>
  <c r="F297" i="2" s="1"/>
  <c r="I297" i="2" s="1"/>
  <c r="N315" i="2"/>
  <c r="F315" i="2" s="1"/>
  <c r="I315" i="2" s="1"/>
  <c r="N42" i="2"/>
  <c r="F42" i="2" s="1"/>
  <c r="I42" i="2" s="1"/>
  <c r="N243" i="2"/>
  <c r="F243" i="2" s="1"/>
  <c r="I243" i="2" s="1"/>
  <c r="N138" i="2"/>
  <c r="F138" i="2" s="1"/>
  <c r="I138" i="2" s="1"/>
  <c r="N295" i="2"/>
  <c r="F295" i="2" s="1"/>
  <c r="I295" i="2" s="1"/>
  <c r="N43" i="2"/>
  <c r="F43" i="2" s="1"/>
  <c r="I43" i="2" s="1"/>
  <c r="N106" i="2"/>
  <c r="F106" i="2" s="1"/>
  <c r="I106" i="2" s="1"/>
  <c r="N101" i="2"/>
  <c r="F101" i="2" s="1"/>
  <c r="I101" i="2" s="1"/>
  <c r="N47" i="2"/>
  <c r="F47" i="2" s="1"/>
  <c r="I47" i="2" s="1"/>
  <c r="N100" i="2"/>
  <c r="F100" i="2" s="1"/>
  <c r="I100" i="2" s="1"/>
  <c r="N132" i="2"/>
  <c r="F132" i="2" s="1"/>
  <c r="I132" i="2" s="1"/>
  <c r="N203" i="2"/>
  <c r="F203" i="2" s="1"/>
  <c r="I203" i="2" s="1"/>
  <c r="N40" i="2"/>
  <c r="F40" i="2" s="1"/>
  <c r="I40" i="2" s="1"/>
  <c r="N122" i="2"/>
  <c r="F122" i="2" s="1"/>
  <c r="I122" i="2" s="1"/>
  <c r="N236" i="2"/>
  <c r="F236" i="2" s="1"/>
  <c r="I236" i="2" s="1"/>
  <c r="N239" i="2"/>
  <c r="F239" i="2" s="1"/>
  <c r="I239" i="2" s="1"/>
  <c r="BF20" i="69"/>
  <c r="BE20" i="69"/>
  <c r="BJ20" i="69"/>
  <c r="BK20" i="69" s="1"/>
  <c r="N63" i="2"/>
  <c r="F63" i="2" s="1"/>
  <c r="I63" i="2" s="1"/>
  <c r="BF21" i="68"/>
  <c r="BE21" i="68"/>
  <c r="BJ21" i="68"/>
  <c r="BK21" i="68" s="1"/>
  <c r="BF44" i="78"/>
  <c r="BE44" i="78"/>
  <c r="BJ44" i="78"/>
  <c r="BK44" i="78" s="1"/>
  <c r="BE20" i="82"/>
  <c r="BF20" i="82"/>
  <c r="BJ20" i="82"/>
  <c r="BK20" i="82" s="1"/>
  <c r="BE43" i="78"/>
  <c r="BF43" i="78"/>
  <c r="BJ43" i="78"/>
  <c r="BK43" i="78" s="1"/>
  <c r="BF36" i="80"/>
  <c r="BE36" i="80"/>
  <c r="BJ36" i="80"/>
  <c r="BK36" i="80" s="1"/>
  <c r="BE24" i="67"/>
  <c r="BJ24" i="67"/>
  <c r="BK24" i="67" s="1"/>
  <c r="BF24" i="67"/>
  <c r="BJ24" i="1"/>
  <c r="BK24" i="1" s="1"/>
  <c r="BF24" i="1"/>
  <c r="BE24" i="1"/>
  <c r="N230" i="2"/>
  <c r="F230" i="2" s="1"/>
  <c r="I230" i="2" s="1"/>
  <c r="BE20" i="68"/>
  <c r="BF20" i="68"/>
  <c r="BJ20" i="68"/>
  <c r="BK20" i="68" s="1"/>
  <c r="BE24" i="81"/>
  <c r="BJ24" i="81"/>
  <c r="BK24" i="81" s="1"/>
  <c r="BF24" i="81"/>
  <c r="BF14" i="77"/>
  <c r="BE14" i="77"/>
  <c r="BJ14" i="77"/>
  <c r="BK14" i="77" s="1"/>
  <c r="BE24" i="66"/>
  <c r="BJ24" i="66"/>
  <c r="BK24" i="66" s="1"/>
  <c r="BF24" i="66"/>
  <c r="BE35" i="80"/>
  <c r="BJ35" i="80"/>
  <c r="BK35" i="80" s="1"/>
  <c r="BF35" i="80"/>
  <c r="BE31" i="81"/>
  <c r="BF31" i="81"/>
  <c r="BJ27" i="81"/>
  <c r="BK27" i="81" s="1"/>
  <c r="BA15" i="1"/>
  <c r="BB15" i="1" s="1"/>
  <c r="AV15" i="1"/>
  <c r="AW15" i="67"/>
  <c r="BA15" i="70"/>
  <c r="BB15" i="70" s="1"/>
  <c r="AW15" i="70"/>
  <c r="BJ27" i="1"/>
  <c r="BK27" i="1" s="1"/>
  <c r="BF27" i="1"/>
  <c r="BA15" i="73"/>
  <c r="BB15" i="73" s="1"/>
  <c r="AV15" i="73"/>
  <c r="BE34" i="78"/>
  <c r="BF34" i="78"/>
  <c r="BJ34" i="78"/>
  <c r="BK34" i="78" s="1"/>
  <c r="BE15" i="81"/>
  <c r="BF15" i="81"/>
  <c r="BJ15" i="81"/>
  <c r="BK15" i="81" s="1"/>
  <c r="AW13" i="70"/>
  <c r="BA13" i="70"/>
  <c r="BB13" i="70" s="1"/>
  <c r="AV13" i="70"/>
  <c r="AV10" i="66"/>
  <c r="BA10" i="66"/>
  <c r="BB10" i="66" s="1"/>
  <c r="AW10" i="66"/>
  <c r="AV8" i="67"/>
  <c r="AW8" i="67"/>
  <c r="BA8" i="67"/>
  <c r="BB8" i="67" s="1"/>
  <c r="AV5" i="74"/>
  <c r="BA5" i="74"/>
  <c r="BB5" i="74" s="1"/>
  <c r="AW5" i="74"/>
  <c r="BE8" i="76"/>
  <c r="BJ8" i="76"/>
  <c r="BK8" i="76" s="1"/>
  <c r="BF8" i="76"/>
  <c r="BF33" i="66"/>
  <c r="BJ33" i="66"/>
  <c r="BK33" i="66" s="1"/>
  <c r="BE33" i="66"/>
  <c r="BF33" i="71"/>
  <c r="BE33" i="71"/>
  <c r="BJ33" i="71"/>
  <c r="BK33" i="71" s="1"/>
  <c r="BF13" i="70"/>
  <c r="BJ13" i="70"/>
  <c r="BK13" i="70" s="1"/>
  <c r="BE13" i="70"/>
  <c r="BF31" i="80"/>
  <c r="BE31" i="80"/>
  <c r="BJ31" i="80"/>
  <c r="BK31" i="80" s="1"/>
  <c r="BJ18" i="81"/>
  <c r="BK18" i="81" s="1"/>
  <c r="BF18" i="81"/>
  <c r="BE18" i="81"/>
  <c r="BF12" i="68"/>
  <c r="BE12" i="68"/>
  <c r="BJ12" i="68"/>
  <c r="BK12" i="68" s="1"/>
  <c r="BA8" i="69"/>
  <c r="BB8" i="69" s="1"/>
  <c r="AV8" i="69"/>
  <c r="AW8" i="69"/>
  <c r="BJ17" i="80"/>
  <c r="BK17" i="80" s="1"/>
  <c r="BF17" i="80"/>
  <c r="BE17" i="80"/>
  <c r="AV5" i="1"/>
  <c r="AW5" i="1"/>
  <c r="BA5" i="1"/>
  <c r="BB5" i="1" s="1"/>
  <c r="BE11" i="80"/>
  <c r="BF11" i="80"/>
  <c r="BJ11" i="80"/>
  <c r="BK11" i="80" s="1"/>
  <c r="BF45" i="80"/>
  <c r="BE45" i="80"/>
  <c r="BJ45" i="80"/>
  <c r="BK45" i="80" s="1"/>
  <c r="BF11" i="82"/>
  <c r="BJ11" i="82"/>
  <c r="BK11" i="82" s="1"/>
  <c r="BE11" i="82"/>
  <c r="AV7" i="70"/>
  <c r="BA7" i="70"/>
  <c r="BB7" i="70" s="1"/>
  <c r="AW7" i="70"/>
  <c r="BF14" i="67"/>
  <c r="BE14" i="67"/>
  <c r="BJ14" i="67"/>
  <c r="BK14" i="67" s="1"/>
  <c r="BF52" i="78"/>
  <c r="BJ52" i="78"/>
  <c r="BK52" i="78" s="1"/>
  <c r="BE52" i="78"/>
  <c r="BA17" i="80"/>
  <c r="BB17" i="80" s="1"/>
  <c r="AV17" i="80"/>
  <c r="AW17" i="80"/>
  <c r="BE5" i="74"/>
  <c r="BJ5" i="74"/>
  <c r="BK5" i="74" s="1"/>
  <c r="BF5" i="74"/>
  <c r="BE12" i="70"/>
  <c r="BF12" i="70"/>
  <c r="BJ12" i="70"/>
  <c r="BK12" i="70" s="1"/>
  <c r="AW12" i="73"/>
  <c r="AV12" i="73"/>
  <c r="BA12" i="73"/>
  <c r="BB12" i="73" s="1"/>
  <c r="BE14" i="76"/>
  <c r="BF14" i="76"/>
  <c r="BJ14" i="76"/>
  <c r="BK14" i="76" s="1"/>
  <c r="BJ15" i="78"/>
  <c r="BK15" i="78" s="1"/>
  <c r="BF15" i="78"/>
  <c r="BE15" i="78"/>
  <c r="AW6" i="1"/>
  <c r="AV6" i="1"/>
  <c r="BA6" i="1"/>
  <c r="BB6" i="1" s="1"/>
  <c r="AW5" i="82"/>
  <c r="AV5" i="82"/>
  <c r="BA5" i="82"/>
  <c r="BB5" i="82" s="1"/>
  <c r="BE30" i="80"/>
  <c r="BF30" i="80"/>
  <c r="BJ30" i="80"/>
  <c r="BK30" i="80" s="1"/>
  <c r="BF8" i="66"/>
  <c r="BJ8" i="66"/>
  <c r="BK8" i="66" s="1"/>
  <c r="BE8" i="66"/>
  <c r="BE16" i="80"/>
  <c r="BF16" i="80"/>
  <c r="BJ16" i="80"/>
  <c r="BK16" i="80" s="1"/>
  <c r="AW8" i="73"/>
  <c r="AV8" i="73"/>
  <c r="BA8" i="73"/>
  <c r="BB8" i="73" s="1"/>
  <c r="BE102" i="76"/>
  <c r="BJ102" i="76"/>
  <c r="BK102" i="76" s="1"/>
  <c r="BF102" i="76"/>
  <c r="BJ128" i="73"/>
  <c r="BK128" i="73" s="1"/>
  <c r="BF128" i="73"/>
  <c r="BE128" i="73"/>
  <c r="BE33" i="70"/>
  <c r="BF33" i="70"/>
  <c r="BJ33" i="70"/>
  <c r="BK33" i="70" s="1"/>
  <c r="BF6" i="77"/>
  <c r="BE6" i="77"/>
  <c r="BJ6" i="77"/>
  <c r="BK6" i="77" s="1"/>
  <c r="AW8" i="75"/>
  <c r="BA8" i="75"/>
  <c r="BB8" i="75" s="1"/>
  <c r="AV8" i="75"/>
  <c r="BF9" i="71"/>
  <c r="BE9" i="71"/>
  <c r="BJ9" i="71"/>
  <c r="BK9" i="71" s="1"/>
  <c r="BJ19" i="66"/>
  <c r="BK19" i="66" s="1"/>
  <c r="BF19" i="66"/>
  <c r="BE19" i="66"/>
  <c r="BF7" i="71"/>
  <c r="BJ7" i="71"/>
  <c r="BK7" i="71" s="1"/>
  <c r="BE7" i="71"/>
  <c r="BF17" i="76"/>
  <c r="BE17" i="76"/>
  <c r="BJ17" i="76"/>
  <c r="BK17" i="76" s="1"/>
  <c r="AV7" i="66"/>
  <c r="AW7" i="66"/>
  <c r="BA7" i="66"/>
  <c r="BB7" i="66" s="1"/>
  <c r="BE13" i="71"/>
  <c r="BF13" i="71"/>
  <c r="BJ13" i="71"/>
  <c r="BK13" i="71" s="1"/>
  <c r="BE129" i="74"/>
  <c r="BJ129" i="74"/>
  <c r="BK129" i="74" s="1"/>
  <c r="BF129" i="74"/>
  <c r="BA9" i="67"/>
  <c r="BB9" i="67" s="1"/>
  <c r="AW9" i="67"/>
  <c r="AV9" i="67"/>
  <c r="BF16" i="66"/>
  <c r="BE16" i="66"/>
  <c r="BJ16" i="66"/>
  <c r="BK16" i="66" s="1"/>
  <c r="BE18" i="69"/>
  <c r="BJ18" i="69"/>
  <c r="BK18" i="69" s="1"/>
  <c r="BF18" i="69"/>
  <c r="BE5" i="81"/>
  <c r="BF5" i="81"/>
  <c r="BJ5" i="81"/>
  <c r="BK5" i="81" s="1"/>
  <c r="BE5" i="69"/>
  <c r="BF5" i="69"/>
  <c r="BJ5" i="69"/>
  <c r="BK5" i="69" s="1"/>
  <c r="BA10" i="76"/>
  <c r="BB10" i="76" s="1"/>
  <c r="AW10" i="76"/>
  <c r="AV10" i="76"/>
  <c r="BE20" i="66"/>
  <c r="BF20" i="66"/>
  <c r="BJ20" i="66"/>
  <c r="BK20" i="66" s="1"/>
  <c r="BF26" i="78"/>
  <c r="BE26" i="78"/>
  <c r="BJ26" i="78"/>
  <c r="BK26" i="78" s="1"/>
  <c r="BJ39" i="78"/>
  <c r="BK39" i="78" s="1"/>
  <c r="BE39" i="78"/>
  <c r="BF39" i="78"/>
  <c r="BF20" i="67"/>
  <c r="BJ20" i="67"/>
  <c r="BK20" i="67" s="1"/>
  <c r="BE20" i="67"/>
  <c r="AW18" i="73"/>
  <c r="AV18" i="73"/>
  <c r="BA18" i="73"/>
  <c r="BB18" i="73" s="1"/>
  <c r="BF17" i="77"/>
  <c r="BJ17" i="77"/>
  <c r="BK17" i="77" s="1"/>
  <c r="BE17" i="77"/>
  <c r="BE30" i="1"/>
  <c r="BF30" i="1"/>
  <c r="BJ30" i="1"/>
  <c r="BK30" i="1" s="1"/>
  <c r="BF12" i="71"/>
  <c r="BJ12" i="71"/>
  <c r="BK12" i="71" s="1"/>
  <c r="BE12" i="71"/>
  <c r="AV11" i="69"/>
  <c r="BA11" i="69"/>
  <c r="BB11" i="69" s="1"/>
  <c r="AW11" i="69"/>
  <c r="AV7" i="73"/>
  <c r="AW7" i="73"/>
  <c r="BA7" i="73"/>
  <c r="BB7" i="73" s="1"/>
  <c r="BF29" i="78"/>
  <c r="BE29" i="78"/>
  <c r="BJ29" i="78"/>
  <c r="BK29" i="78" s="1"/>
  <c r="BJ7" i="1"/>
  <c r="BK7" i="1" s="1"/>
  <c r="BF7" i="1"/>
  <c r="BE7" i="1"/>
  <c r="BF34" i="71"/>
  <c r="BJ34" i="71"/>
  <c r="BK34" i="71" s="1"/>
  <c r="BE34" i="71"/>
  <c r="BE34" i="1"/>
  <c r="BF34" i="1"/>
  <c r="BJ34" i="1"/>
  <c r="BK34" i="1" s="1"/>
  <c r="BJ6" i="74"/>
  <c r="BK6" i="74" s="1"/>
  <c r="BF6" i="74"/>
  <c r="BE6" i="74"/>
  <c r="AV8" i="71"/>
  <c r="AW8" i="71"/>
  <c r="BA8" i="71"/>
  <c r="BB8" i="71" s="1"/>
  <c r="BF11" i="69"/>
  <c r="BJ11" i="69"/>
  <c r="BK11" i="69" s="1"/>
  <c r="BE11" i="69"/>
  <c r="AV6" i="70"/>
  <c r="AW6" i="70"/>
  <c r="BA6" i="70"/>
  <c r="BB6" i="70" s="1"/>
  <c r="AV23" i="81"/>
  <c r="AW23" i="81"/>
  <c r="BA23" i="81"/>
  <c r="BB23" i="81" s="1"/>
  <c r="BA23" i="74"/>
  <c r="BB23" i="74" s="1"/>
  <c r="AV23" i="74"/>
  <c r="AW23" i="74"/>
  <c r="BF31" i="74"/>
  <c r="BJ31" i="74"/>
  <c r="BK31" i="74" s="1"/>
  <c r="BE31" i="74"/>
  <c r="BJ31" i="1"/>
  <c r="BK31" i="1" s="1"/>
  <c r="BE31" i="1"/>
  <c r="BF31" i="1"/>
  <c r="AV19" i="71"/>
  <c r="AW19" i="71"/>
  <c r="BA19" i="71"/>
  <c r="BB19" i="71" s="1"/>
  <c r="BE30" i="78"/>
  <c r="BF30" i="78"/>
  <c r="BJ30" i="78"/>
  <c r="BK30" i="78" s="1"/>
  <c r="BA7" i="69"/>
  <c r="BB7" i="69" s="1"/>
  <c r="AW7" i="69"/>
  <c r="AV7" i="69"/>
  <c r="BF27" i="80"/>
  <c r="BE27" i="80"/>
  <c r="BJ27" i="80"/>
  <c r="BK27" i="80" s="1"/>
  <c r="AV9" i="76"/>
  <c r="BA9" i="76"/>
  <c r="BB9" i="76" s="1"/>
  <c r="AW9" i="76"/>
  <c r="AW9" i="75"/>
  <c r="AV9" i="75"/>
  <c r="BA9" i="75"/>
  <c r="BB9" i="75" s="1"/>
  <c r="BE32" i="73"/>
  <c r="BJ32" i="73"/>
  <c r="BK32" i="73" s="1"/>
  <c r="BF32" i="73"/>
  <c r="BE32" i="67"/>
  <c r="BF32" i="67"/>
  <c r="BJ32" i="67"/>
  <c r="BK32" i="67" s="1"/>
  <c r="AV25" i="80"/>
  <c r="BA25" i="80"/>
  <c r="BB25" i="80" s="1"/>
  <c r="AW25" i="80"/>
  <c r="BF47" i="78"/>
  <c r="BJ47" i="78"/>
  <c r="BK47" i="78" s="1"/>
  <c r="BE47" i="78"/>
  <c r="BE36" i="78"/>
  <c r="BF36" i="78"/>
  <c r="BJ36" i="78"/>
  <c r="BK36" i="78" s="1"/>
  <c r="AW9" i="71"/>
  <c r="BA9" i="71"/>
  <c r="BB9" i="71" s="1"/>
  <c r="AV9" i="71"/>
  <c r="AV11" i="73"/>
  <c r="AW11" i="73"/>
  <c r="BA11" i="73"/>
  <c r="BB11" i="73" s="1"/>
  <c r="BJ5" i="70"/>
  <c r="BK5" i="70" s="1"/>
  <c r="BE5" i="70"/>
  <c r="BF5" i="70"/>
  <c r="BE22" i="70"/>
  <c r="BF22" i="70"/>
  <c r="BJ22" i="70"/>
  <c r="BK22" i="70" s="1"/>
  <c r="AV16" i="78"/>
  <c r="BA16" i="78"/>
  <c r="BB16" i="78" s="1"/>
  <c r="AW16" i="78"/>
  <c r="BA6" i="74"/>
  <c r="BB6" i="74" s="1"/>
  <c r="AW6" i="74"/>
  <c r="AV6" i="74"/>
  <c r="BJ10" i="71"/>
  <c r="BK10" i="71" s="1"/>
  <c r="BF10" i="71"/>
  <c r="BE10" i="71"/>
  <c r="BF102" i="75"/>
  <c r="BE102" i="75"/>
  <c r="BJ102" i="75"/>
  <c r="BK102" i="75" s="1"/>
  <c r="AV13" i="67"/>
  <c r="AW13" i="67"/>
  <c r="BA13" i="67"/>
  <c r="BB13" i="67" s="1"/>
  <c r="BE6" i="80"/>
  <c r="BF6" i="80"/>
  <c r="BJ6" i="80"/>
  <c r="BK6" i="80" s="1"/>
  <c r="BF18" i="71"/>
  <c r="BE18" i="71"/>
  <c r="BJ18" i="71"/>
  <c r="BK18" i="71" s="1"/>
  <c r="AW8" i="81"/>
  <c r="AV8" i="81"/>
  <c r="BA8" i="81"/>
  <c r="BB8" i="81" s="1"/>
  <c r="AV18" i="78"/>
  <c r="AW18" i="78"/>
  <c r="BA18" i="78"/>
  <c r="BB18" i="78" s="1"/>
  <c r="AV21" i="67"/>
  <c r="BA21" i="67"/>
  <c r="BB21" i="67" s="1"/>
  <c r="AW21" i="67"/>
  <c r="AV21" i="73"/>
  <c r="BA21" i="73"/>
  <c r="BB21" i="73" s="1"/>
  <c r="AW21" i="73"/>
  <c r="AV21" i="1"/>
  <c r="AW21" i="1"/>
  <c r="BA21" i="1"/>
  <c r="BB21" i="1" s="1"/>
  <c r="BE18" i="67"/>
  <c r="BJ18" i="67"/>
  <c r="BK18" i="67" s="1"/>
  <c r="BF18" i="67"/>
  <c r="BE15" i="66"/>
  <c r="BJ15" i="66"/>
  <c r="BK15" i="66" s="1"/>
  <c r="BF15" i="66"/>
  <c r="AV8" i="82"/>
  <c r="AW8" i="82"/>
  <c r="BA8" i="82"/>
  <c r="BB8" i="82" s="1"/>
  <c r="BJ21" i="1"/>
  <c r="BK21" i="1" s="1"/>
  <c r="BE21" i="1"/>
  <c r="BF21" i="1"/>
  <c r="BE14" i="68"/>
  <c r="BJ14" i="68"/>
  <c r="BK14" i="68" s="1"/>
  <c r="BF14" i="68"/>
  <c r="BF9" i="80"/>
  <c r="BJ9" i="80"/>
  <c r="BK9" i="80" s="1"/>
  <c r="BE9" i="80"/>
  <c r="AW5" i="70"/>
  <c r="BA5" i="70"/>
  <c r="BB5" i="70" s="1"/>
  <c r="AV5" i="70"/>
  <c r="BA10" i="81"/>
  <c r="BB10" i="81" s="1"/>
  <c r="AV10" i="81"/>
  <c r="AW10" i="81"/>
  <c r="AV22" i="78"/>
  <c r="BA22" i="78"/>
  <c r="BB22" i="78" s="1"/>
  <c r="AW22" i="78"/>
  <c r="BA9" i="1"/>
  <c r="BB9" i="1" s="1"/>
  <c r="AW9" i="1"/>
  <c r="AV9" i="1"/>
  <c r="BF12" i="67"/>
  <c r="BE12" i="67"/>
  <c r="BJ12" i="67"/>
  <c r="BK12" i="67" s="1"/>
  <c r="BF19" i="78"/>
  <c r="BJ19" i="78"/>
  <c r="BK19" i="78" s="1"/>
  <c r="BE19" i="78"/>
  <c r="BF9" i="1"/>
  <c r="BJ9" i="1"/>
  <c r="BK9" i="1" s="1"/>
  <c r="BE9" i="1"/>
  <c r="AW8" i="70"/>
  <c r="AV8" i="70"/>
  <c r="BA8" i="70"/>
  <c r="BB8" i="70" s="1"/>
  <c r="BE6" i="68"/>
  <c r="BF6" i="68"/>
  <c r="BJ6" i="68"/>
  <c r="BK6" i="68" s="1"/>
  <c r="BE19" i="74"/>
  <c r="BJ19" i="74"/>
  <c r="BK19" i="74" s="1"/>
  <c r="BF19" i="74"/>
  <c r="BF21" i="67"/>
  <c r="BJ21" i="67"/>
  <c r="BK21" i="67" s="1"/>
  <c r="BE21" i="67"/>
  <c r="BE7" i="73"/>
  <c r="BF7" i="73"/>
  <c r="BJ7" i="73"/>
  <c r="BK7" i="73" s="1"/>
  <c r="BF31" i="78"/>
  <c r="BE31" i="78"/>
  <c r="BJ31" i="78"/>
  <c r="BK31" i="78" s="1"/>
  <c r="AW14" i="68"/>
  <c r="BA14" i="68"/>
  <c r="BB14" i="68" s="1"/>
  <c r="AV14" i="68"/>
  <c r="BE30" i="81"/>
  <c r="BF30" i="81"/>
  <c r="BJ30" i="81"/>
  <c r="BK30" i="81" s="1"/>
  <c r="AW9" i="70"/>
  <c r="BA9" i="70"/>
  <c r="BB9" i="70" s="1"/>
  <c r="AV9" i="70"/>
  <c r="BA9" i="78"/>
  <c r="BB9" i="78" s="1"/>
  <c r="AV9" i="78"/>
  <c r="AW9" i="78"/>
  <c r="BE8" i="81"/>
  <c r="BF8" i="81"/>
  <c r="BJ8" i="81"/>
  <c r="BK8" i="81" s="1"/>
  <c r="BA11" i="75"/>
  <c r="BB11" i="75" s="1"/>
  <c r="AV11" i="75"/>
  <c r="AW11" i="75"/>
  <c r="AV11" i="80"/>
  <c r="BA11" i="80"/>
  <c r="BB11" i="80" s="1"/>
  <c r="AW11" i="80"/>
  <c r="BE7" i="70"/>
  <c r="BF7" i="70"/>
  <c r="BJ7" i="70"/>
  <c r="BK7" i="70" s="1"/>
  <c r="BE34" i="74"/>
  <c r="BF34" i="74"/>
  <c r="BJ34" i="74"/>
  <c r="BK34" i="74" s="1"/>
  <c r="BF34" i="66"/>
  <c r="BJ34" i="66"/>
  <c r="BK34" i="66" s="1"/>
  <c r="BE34" i="66"/>
  <c r="BE9" i="78"/>
  <c r="BF9" i="78"/>
  <c r="BJ9" i="78"/>
  <c r="BK9" i="78" s="1"/>
  <c r="BJ6" i="67"/>
  <c r="BK6" i="67" s="1"/>
  <c r="BF6" i="67"/>
  <c r="BE6" i="67"/>
  <c r="BF22" i="74"/>
  <c r="BJ22" i="74"/>
  <c r="BK22" i="74" s="1"/>
  <c r="BE22" i="74"/>
  <c r="BF22" i="73"/>
  <c r="BE22" i="73"/>
  <c r="BJ22" i="73"/>
  <c r="BK22" i="73" s="1"/>
  <c r="BF6" i="76"/>
  <c r="BE6" i="76"/>
  <c r="BJ6" i="76"/>
  <c r="BK6" i="76" s="1"/>
  <c r="AV23" i="70"/>
  <c r="AW23" i="70"/>
  <c r="BA23" i="70"/>
  <c r="BB23" i="70" s="1"/>
  <c r="BE35" i="67"/>
  <c r="BF35" i="67"/>
  <c r="BJ35" i="67"/>
  <c r="BK35" i="67" s="1"/>
  <c r="AW19" i="81"/>
  <c r="AV19" i="81"/>
  <c r="BA19" i="81"/>
  <c r="BB19" i="81" s="1"/>
  <c r="BJ31" i="67"/>
  <c r="BK31" i="67" s="1"/>
  <c r="BE31" i="67"/>
  <c r="BF31" i="67"/>
  <c r="BJ11" i="74"/>
  <c r="BK11" i="74" s="1"/>
  <c r="BF11" i="74"/>
  <c r="BE11" i="74"/>
  <c r="BF29" i="80"/>
  <c r="BJ29" i="80"/>
  <c r="BK29" i="80" s="1"/>
  <c r="BE29" i="80"/>
  <c r="AW7" i="76"/>
  <c r="AV7" i="76"/>
  <c r="BA7" i="76"/>
  <c r="BB7" i="76" s="1"/>
  <c r="BE15" i="82"/>
  <c r="BF15" i="82"/>
  <c r="BJ15" i="82"/>
  <c r="BK15" i="82" s="1"/>
  <c r="BJ9" i="69"/>
  <c r="BK9" i="69" s="1"/>
  <c r="BF9" i="69"/>
  <c r="BE9" i="69"/>
  <c r="AW10" i="80"/>
  <c r="AV10" i="80"/>
  <c r="BA10" i="80"/>
  <c r="BB10" i="80" s="1"/>
  <c r="BE14" i="81"/>
  <c r="BJ14" i="81"/>
  <c r="BK14" i="81" s="1"/>
  <c r="BF14" i="81"/>
  <c r="AV9" i="82"/>
  <c r="AW9" i="82"/>
  <c r="BA9" i="82"/>
  <c r="BB9" i="82" s="1"/>
  <c r="AV16" i="68"/>
  <c r="BA16" i="68"/>
  <c r="BB16" i="68" s="1"/>
  <c r="AW16" i="68"/>
  <c r="BJ27" i="68"/>
  <c r="BK27" i="68" s="1"/>
  <c r="BE27" i="68"/>
  <c r="BF27" i="68"/>
  <c r="BE9" i="68"/>
  <c r="BF9" i="68"/>
  <c r="BJ9" i="68"/>
  <c r="BK9" i="68" s="1"/>
  <c r="BF17" i="74"/>
  <c r="BE17" i="74"/>
  <c r="BJ17" i="74"/>
  <c r="BK17" i="74" s="1"/>
  <c r="AW6" i="82"/>
  <c r="BA6" i="82"/>
  <c r="BB6" i="82" s="1"/>
  <c r="AV6" i="82"/>
  <c r="BJ5" i="78"/>
  <c r="BK5" i="78" s="1"/>
  <c r="BF5" i="78"/>
  <c r="BE5" i="78"/>
  <c r="AV13" i="80"/>
  <c r="BA13" i="80"/>
  <c r="BB13" i="80" s="1"/>
  <c r="AW13" i="80"/>
  <c r="BJ128" i="74"/>
  <c r="BK128" i="74" s="1"/>
  <c r="BF128" i="74"/>
  <c r="BE128" i="74"/>
  <c r="BE15" i="67"/>
  <c r="BF15" i="67"/>
  <c r="BJ15" i="67"/>
  <c r="BK15" i="67" s="1"/>
  <c r="BE28" i="80"/>
  <c r="BF28" i="80"/>
  <c r="BJ28" i="80"/>
  <c r="BK28" i="80" s="1"/>
  <c r="BE11" i="77"/>
  <c r="BJ11" i="77"/>
  <c r="BK11" i="77" s="1"/>
  <c r="BF11" i="77"/>
  <c r="AW5" i="81"/>
  <c r="BA5" i="81"/>
  <c r="BB5" i="81" s="1"/>
  <c r="AV5" i="81"/>
  <c r="BA83" i="76"/>
  <c r="BB83" i="76" s="1"/>
  <c r="AW83" i="76"/>
  <c r="AV83" i="76"/>
  <c r="AW21" i="74"/>
  <c r="BA21" i="74"/>
  <c r="BB21" i="74" s="1"/>
  <c r="AV21" i="74"/>
  <c r="BJ53" i="78"/>
  <c r="BK53" i="78" s="1"/>
  <c r="BE53" i="78"/>
  <c r="BF53" i="78"/>
  <c r="BF20" i="77"/>
  <c r="BE20" i="77"/>
  <c r="BJ20" i="77"/>
  <c r="BK20" i="77" s="1"/>
  <c r="AW8" i="68"/>
  <c r="AV8" i="68"/>
  <c r="BA8" i="68"/>
  <c r="BB8" i="68" s="1"/>
  <c r="BF20" i="70"/>
  <c r="BJ20" i="70"/>
  <c r="BK20" i="70" s="1"/>
  <c r="BE20" i="70"/>
  <c r="BE20" i="78"/>
  <c r="BF20" i="78"/>
  <c r="BJ20" i="78"/>
  <c r="BK20" i="78" s="1"/>
  <c r="BE16" i="75"/>
  <c r="BJ16" i="75"/>
  <c r="BK16" i="75" s="1"/>
  <c r="BF16" i="75"/>
  <c r="BJ21" i="70"/>
  <c r="BK21" i="70" s="1"/>
  <c r="BE21" i="70"/>
  <c r="BF21" i="70"/>
  <c r="BF17" i="78"/>
  <c r="BJ17" i="78"/>
  <c r="BK17" i="78" s="1"/>
  <c r="BE17" i="78"/>
  <c r="BE12" i="76"/>
  <c r="BJ12" i="76"/>
  <c r="BK12" i="76" s="1"/>
  <c r="BF12" i="76"/>
  <c r="BE17" i="75"/>
  <c r="BF17" i="75"/>
  <c r="BJ17" i="75"/>
  <c r="BK17" i="75" s="1"/>
  <c r="BE5" i="82"/>
  <c r="BJ5" i="82"/>
  <c r="BK5" i="82" s="1"/>
  <c r="BF5" i="82"/>
  <c r="BJ19" i="67"/>
  <c r="BK19" i="67" s="1"/>
  <c r="BF19" i="67"/>
  <c r="BE19" i="67"/>
  <c r="BA9" i="81"/>
  <c r="BB9" i="81" s="1"/>
  <c r="AV9" i="81"/>
  <c r="AW9" i="81"/>
  <c r="BF25" i="68"/>
  <c r="BJ25" i="68"/>
  <c r="BK25" i="68" s="1"/>
  <c r="BE25" i="68"/>
  <c r="BF30" i="67"/>
  <c r="BE30" i="67"/>
  <c r="BJ30" i="67"/>
  <c r="BK30" i="67" s="1"/>
  <c r="BE7" i="78"/>
  <c r="BJ7" i="78"/>
  <c r="BK7" i="78" s="1"/>
  <c r="BF7" i="78"/>
  <c r="AW84" i="76"/>
  <c r="AV84" i="76"/>
  <c r="BA84" i="76"/>
  <c r="BB84" i="76" s="1"/>
  <c r="BA20" i="74"/>
  <c r="BB20" i="74" s="1"/>
  <c r="AW20" i="74"/>
  <c r="AV20" i="74"/>
  <c r="AW20" i="1"/>
  <c r="AV20" i="1"/>
  <c r="BA20" i="1"/>
  <c r="BB20" i="1" s="1"/>
  <c r="BE8" i="75"/>
  <c r="BF8" i="75"/>
  <c r="BJ8" i="75"/>
  <c r="BK8" i="75" s="1"/>
  <c r="BF12" i="69"/>
  <c r="BE12" i="69"/>
  <c r="BJ12" i="69"/>
  <c r="BK12" i="69" s="1"/>
  <c r="BF6" i="70"/>
  <c r="BJ6" i="70"/>
  <c r="BK6" i="70" s="1"/>
  <c r="BE6" i="70"/>
  <c r="BA84" i="74"/>
  <c r="BB84" i="74" s="1"/>
  <c r="AW84" i="74"/>
  <c r="AV84" i="74"/>
  <c r="BF16" i="78"/>
  <c r="BE16" i="78"/>
  <c r="BJ16" i="78"/>
  <c r="BK16" i="78" s="1"/>
  <c r="BE18" i="82"/>
  <c r="BF18" i="82"/>
  <c r="BJ18" i="82"/>
  <c r="BK18" i="82" s="1"/>
  <c r="AW12" i="81"/>
  <c r="AV12" i="81"/>
  <c r="BA12" i="81"/>
  <c r="BB12" i="81" s="1"/>
  <c r="BF7" i="77"/>
  <c r="BJ7" i="77"/>
  <c r="BK7" i="77" s="1"/>
  <c r="BE7" i="77"/>
  <c r="BA11" i="78"/>
  <c r="BB11" i="78" s="1"/>
  <c r="AW11" i="78"/>
  <c r="AV11" i="78"/>
  <c r="BJ18" i="78"/>
  <c r="BK18" i="78" s="1"/>
  <c r="BE18" i="78"/>
  <c r="BF18" i="78"/>
  <c r="BF32" i="80"/>
  <c r="BE32" i="80"/>
  <c r="BJ32" i="80"/>
  <c r="BK32" i="80" s="1"/>
  <c r="BE12" i="80"/>
  <c r="BJ12" i="80"/>
  <c r="BK12" i="80" s="1"/>
  <c r="BF12" i="80"/>
  <c r="AW19" i="78"/>
  <c r="BA19" i="78"/>
  <c r="BB19" i="78" s="1"/>
  <c r="AV19" i="78"/>
  <c r="BE40" i="78"/>
  <c r="BF40" i="78"/>
  <c r="BJ40" i="78"/>
  <c r="BK40" i="78" s="1"/>
  <c r="AW20" i="78"/>
  <c r="AV20" i="78"/>
  <c r="BA20" i="78"/>
  <c r="BB20" i="78" s="1"/>
  <c r="BE5" i="67"/>
  <c r="BJ5" i="67"/>
  <c r="BK5" i="67" s="1"/>
  <c r="BF5" i="67"/>
  <c r="BJ13" i="81"/>
  <c r="BK13" i="81" s="1"/>
  <c r="BE13" i="81"/>
  <c r="BF13" i="81"/>
  <c r="BE12" i="1"/>
  <c r="BF12" i="1"/>
  <c r="BJ12" i="1"/>
  <c r="BK12" i="1" s="1"/>
  <c r="BA10" i="69"/>
  <c r="BB10" i="69" s="1"/>
  <c r="AW10" i="69"/>
  <c r="AV10" i="69"/>
  <c r="BE7" i="81"/>
  <c r="BF7" i="81"/>
  <c r="BJ7" i="81"/>
  <c r="BK7" i="81" s="1"/>
  <c r="BF25" i="80"/>
  <c r="BE25" i="80"/>
  <c r="BJ25" i="80"/>
  <c r="BK25" i="80" s="1"/>
  <c r="BA12" i="74"/>
  <c r="BB12" i="74" s="1"/>
  <c r="AV12" i="74"/>
  <c r="AW12" i="74"/>
  <c r="BE33" i="80"/>
  <c r="BJ33" i="80"/>
  <c r="BK33" i="80" s="1"/>
  <c r="BF33" i="80"/>
  <c r="BE14" i="82"/>
  <c r="BF14" i="82"/>
  <c r="BJ14" i="82"/>
  <c r="BK14" i="82" s="1"/>
  <c r="BA10" i="77"/>
  <c r="BB10" i="77" s="1"/>
  <c r="AV10" i="77"/>
  <c r="AW10" i="77"/>
  <c r="BE30" i="74"/>
  <c r="BJ30" i="74"/>
  <c r="BK30" i="74" s="1"/>
  <c r="BF30" i="74"/>
  <c r="BA18" i="74"/>
  <c r="BB18" i="74" s="1"/>
  <c r="AW18" i="74"/>
  <c r="AV18" i="74"/>
  <c r="BF50" i="78"/>
  <c r="BE50" i="78"/>
  <c r="BJ50" i="78"/>
  <c r="BK50" i="78" s="1"/>
  <c r="AW84" i="75"/>
  <c r="BA84" i="75"/>
  <c r="BB84" i="75" s="1"/>
  <c r="AV84" i="75"/>
  <c r="BF105" i="76"/>
  <c r="BE105" i="76"/>
  <c r="BJ105" i="76"/>
  <c r="BK105" i="76" s="1"/>
  <c r="BA93" i="71"/>
  <c r="BB93" i="71" s="1"/>
  <c r="AV93" i="71"/>
  <c r="AW93" i="71"/>
  <c r="AV7" i="81"/>
  <c r="AW7" i="81"/>
  <c r="BA7" i="81"/>
  <c r="BB7" i="81" s="1"/>
  <c r="BF10" i="74"/>
  <c r="BJ10" i="74"/>
  <c r="BK10" i="74" s="1"/>
  <c r="BE10" i="74"/>
  <c r="BE19" i="1"/>
  <c r="BF19" i="1"/>
  <c r="BJ19" i="1"/>
  <c r="BK19" i="1" s="1"/>
  <c r="AW22" i="1"/>
  <c r="AV22" i="1"/>
  <c r="BA22" i="1"/>
  <c r="BB22" i="1" s="1"/>
  <c r="AW22" i="71"/>
  <c r="AV22" i="71"/>
  <c r="BA22" i="71"/>
  <c r="BB22" i="71" s="1"/>
  <c r="AW12" i="78"/>
  <c r="AV12" i="78"/>
  <c r="BA12" i="78"/>
  <c r="BB12" i="78" s="1"/>
  <c r="BJ22" i="81"/>
  <c r="BK22" i="81" s="1"/>
  <c r="BF22" i="81"/>
  <c r="BE22" i="81"/>
  <c r="AV8" i="77"/>
  <c r="AW8" i="77"/>
  <c r="BA8" i="77"/>
  <c r="BB8" i="77" s="1"/>
  <c r="BE13" i="68"/>
  <c r="BJ13" i="68"/>
  <c r="BK13" i="68" s="1"/>
  <c r="BF13" i="68"/>
  <c r="BF6" i="82"/>
  <c r="BE6" i="82"/>
  <c r="BJ6" i="82"/>
  <c r="BK6" i="82" s="1"/>
  <c r="AV23" i="1"/>
  <c r="AW23" i="1"/>
  <c r="BA23" i="1"/>
  <c r="BB23" i="1" s="1"/>
  <c r="BJ55" i="78"/>
  <c r="BK55" i="78" s="1"/>
  <c r="BF55" i="78"/>
  <c r="BE55" i="78"/>
  <c r="BA19" i="66"/>
  <c r="BB19" i="66" s="1"/>
  <c r="AW19" i="66"/>
  <c r="AV19" i="66"/>
  <c r="BJ31" i="71"/>
  <c r="BK31" i="71" s="1"/>
  <c r="BE31" i="71"/>
  <c r="BF31" i="71"/>
  <c r="AV15" i="68"/>
  <c r="AW15" i="68"/>
  <c r="BA15" i="68"/>
  <c r="BB15" i="68" s="1"/>
  <c r="BE16" i="74"/>
  <c r="BJ16" i="74"/>
  <c r="BK16" i="74" s="1"/>
  <c r="BF16" i="74"/>
  <c r="BE11" i="68"/>
  <c r="BF11" i="68"/>
  <c r="BJ11" i="68"/>
  <c r="BK11" i="68" s="1"/>
  <c r="BF15" i="69"/>
  <c r="BE15" i="69"/>
  <c r="BJ15" i="69"/>
  <c r="BK15" i="69" s="1"/>
  <c r="BE9" i="82"/>
  <c r="BJ9" i="82"/>
  <c r="BK9" i="82" s="1"/>
  <c r="BF9" i="82"/>
  <c r="AW11" i="71"/>
  <c r="BA11" i="71"/>
  <c r="BB11" i="71" s="1"/>
  <c r="AV11" i="71"/>
  <c r="BA20" i="70"/>
  <c r="BB20" i="70" s="1"/>
  <c r="AW20" i="70"/>
  <c r="AV20" i="70"/>
  <c r="AV20" i="66"/>
  <c r="BA20" i="66"/>
  <c r="BB20" i="66" s="1"/>
  <c r="AW20" i="66"/>
  <c r="BF32" i="74"/>
  <c r="BJ32" i="74"/>
  <c r="BK32" i="74" s="1"/>
  <c r="BE32" i="74"/>
  <c r="BE17" i="67"/>
  <c r="BF17" i="67"/>
  <c r="BJ17" i="67"/>
  <c r="BK17" i="67" s="1"/>
  <c r="BF11" i="1"/>
  <c r="BE11" i="1"/>
  <c r="BJ11" i="1"/>
  <c r="BK11" i="1" s="1"/>
  <c r="BJ10" i="68"/>
  <c r="BK10" i="68" s="1"/>
  <c r="BF10" i="68"/>
  <c r="BE10" i="68"/>
  <c r="AW6" i="76"/>
  <c r="AV6" i="76"/>
  <c r="BA6" i="76"/>
  <c r="BB6" i="76" s="1"/>
  <c r="AV11" i="74"/>
  <c r="AW11" i="74"/>
  <c r="BA11" i="74"/>
  <c r="BB11" i="74" s="1"/>
  <c r="BE8" i="80"/>
  <c r="BJ8" i="80"/>
  <c r="BK8" i="80" s="1"/>
  <c r="BF8" i="80"/>
  <c r="BF8" i="77"/>
  <c r="BE8" i="77"/>
  <c r="BJ8" i="77"/>
  <c r="BK8" i="77" s="1"/>
  <c r="AW83" i="75"/>
  <c r="AV83" i="75"/>
  <c r="BA83" i="75"/>
  <c r="BB83" i="75" s="1"/>
  <c r="AW23" i="78"/>
  <c r="AV23" i="78"/>
  <c r="BA23" i="78"/>
  <c r="BB23" i="78" s="1"/>
  <c r="BE7" i="82"/>
  <c r="BJ7" i="82"/>
  <c r="BK7" i="82" s="1"/>
  <c r="BF7" i="82"/>
  <c r="AW94" i="71"/>
  <c r="AV94" i="71"/>
  <c r="BA94" i="71"/>
  <c r="BB94" i="71" s="1"/>
  <c r="BE10" i="1"/>
  <c r="BF10" i="1"/>
  <c r="BJ10" i="1"/>
  <c r="BK10" i="1" s="1"/>
  <c r="BF8" i="71"/>
  <c r="BE8" i="71"/>
  <c r="BJ8" i="71"/>
  <c r="BK8" i="71" s="1"/>
  <c r="AV9" i="80"/>
  <c r="AW9" i="80"/>
  <c r="BA9" i="80"/>
  <c r="BB9" i="80" s="1"/>
  <c r="AV15" i="80"/>
  <c r="AW15" i="80"/>
  <c r="BA15" i="80"/>
  <c r="BB15" i="80" s="1"/>
  <c r="AV83" i="73"/>
  <c r="AW83" i="73"/>
  <c r="BA83" i="73"/>
  <c r="BB83" i="73" s="1"/>
  <c r="BJ33" i="73"/>
  <c r="BK33" i="73" s="1"/>
  <c r="BE33" i="73"/>
  <c r="BF33" i="73"/>
  <c r="BJ33" i="1"/>
  <c r="BK33" i="1" s="1"/>
  <c r="BF33" i="1"/>
  <c r="BE33" i="1"/>
  <c r="AW31" i="78"/>
  <c r="AV31" i="78"/>
  <c r="BA31" i="78"/>
  <c r="BB31" i="78" s="1"/>
  <c r="AV21" i="70"/>
  <c r="AW21" i="70"/>
  <c r="BA21" i="70"/>
  <c r="BB21" i="70" s="1"/>
  <c r="BF13" i="78"/>
  <c r="BE13" i="78"/>
  <c r="BJ13" i="78"/>
  <c r="BK13" i="78" s="1"/>
  <c r="BF13" i="69"/>
  <c r="BE13" i="69"/>
  <c r="BJ13" i="69"/>
  <c r="BK13" i="69" s="1"/>
  <c r="BE15" i="71"/>
  <c r="BJ15" i="71"/>
  <c r="BK15" i="71" s="1"/>
  <c r="BF15" i="71"/>
  <c r="BE11" i="71"/>
  <c r="BF11" i="71"/>
  <c r="BJ11" i="71"/>
  <c r="BK11" i="71" s="1"/>
  <c r="BF19" i="71"/>
  <c r="BJ19" i="71"/>
  <c r="BK19" i="71" s="1"/>
  <c r="BE19" i="71"/>
  <c r="BJ17" i="70"/>
  <c r="BK17" i="70" s="1"/>
  <c r="BE17" i="70"/>
  <c r="BF17" i="70"/>
  <c r="BF14" i="69"/>
  <c r="BE14" i="69"/>
  <c r="BJ14" i="69"/>
  <c r="BK14" i="69" s="1"/>
  <c r="BA6" i="66"/>
  <c r="BB6" i="66" s="1"/>
  <c r="AW6" i="66"/>
  <c r="AV6" i="66"/>
  <c r="BJ42" i="80"/>
  <c r="BK42" i="80" s="1"/>
  <c r="BE42" i="80"/>
  <c r="BF42" i="80"/>
  <c r="BF31" i="70"/>
  <c r="BE31" i="70"/>
  <c r="BJ31" i="70"/>
  <c r="BK31" i="70" s="1"/>
  <c r="BE31" i="66"/>
  <c r="BJ31" i="66"/>
  <c r="BK31" i="66" s="1"/>
  <c r="BF31" i="66"/>
  <c r="AW19" i="74"/>
  <c r="BA19" i="74"/>
  <c r="BB19" i="74" s="1"/>
  <c r="AV19" i="74"/>
  <c r="BJ8" i="1"/>
  <c r="BK8" i="1" s="1"/>
  <c r="BF8" i="1"/>
  <c r="BE8" i="1"/>
  <c r="BJ24" i="80"/>
  <c r="BK24" i="80" s="1"/>
  <c r="BE24" i="80"/>
  <c r="BF24" i="80"/>
  <c r="BE9" i="67"/>
  <c r="BJ9" i="67"/>
  <c r="BK9" i="67" s="1"/>
  <c r="BF9" i="67"/>
  <c r="BJ9" i="75"/>
  <c r="BK9" i="75" s="1"/>
  <c r="BE9" i="75"/>
  <c r="BF9" i="75"/>
  <c r="BA6" i="75"/>
  <c r="BB6" i="75" s="1"/>
  <c r="AW6" i="75"/>
  <c r="AV6" i="75"/>
  <c r="AV8" i="80"/>
  <c r="BA8" i="80"/>
  <c r="BB8" i="80" s="1"/>
  <c r="AW8" i="80"/>
  <c r="AW6" i="81"/>
  <c r="BA6" i="81"/>
  <c r="BB6" i="81" s="1"/>
  <c r="AV6" i="81"/>
  <c r="BE17" i="69"/>
  <c r="BF17" i="69"/>
  <c r="BJ17" i="69"/>
  <c r="BK17" i="69" s="1"/>
  <c r="AV10" i="70"/>
  <c r="BA10" i="70"/>
  <c r="BB10" i="70" s="1"/>
  <c r="AW10" i="70"/>
  <c r="BJ128" i="71"/>
  <c r="BK128" i="71" s="1"/>
  <c r="BE128" i="71"/>
  <c r="BF128" i="71"/>
  <c r="AV7" i="67"/>
  <c r="AW7" i="67"/>
  <c r="BA7" i="67"/>
  <c r="BB7" i="67" s="1"/>
  <c r="BA22" i="70"/>
  <c r="BB22" i="70" s="1"/>
  <c r="AW22" i="70"/>
  <c r="AV22" i="70"/>
  <c r="BA32" i="78"/>
  <c r="BB32" i="78" s="1"/>
  <c r="AW32" i="78"/>
  <c r="AV32" i="78"/>
  <c r="AV7" i="80"/>
  <c r="BA7" i="80"/>
  <c r="BB7" i="80" s="1"/>
  <c r="AW7" i="80"/>
  <c r="AV23" i="73"/>
  <c r="BA23" i="73"/>
  <c r="BB23" i="73" s="1"/>
  <c r="AW23" i="73"/>
  <c r="BJ35" i="81"/>
  <c r="BK35" i="81" s="1"/>
  <c r="BF35" i="81"/>
  <c r="BE35" i="81"/>
  <c r="BE35" i="73"/>
  <c r="BJ35" i="73"/>
  <c r="BK35" i="73" s="1"/>
  <c r="BF35" i="73"/>
  <c r="AW19" i="67"/>
  <c r="BA19" i="67"/>
  <c r="BB19" i="67" s="1"/>
  <c r="AV19" i="67"/>
  <c r="AV29" i="78"/>
  <c r="AW29" i="78"/>
  <c r="BA29" i="78"/>
  <c r="BB29" i="78" s="1"/>
  <c r="BE26" i="68"/>
  <c r="BJ26" i="68"/>
  <c r="BK26" i="68" s="1"/>
  <c r="BF26" i="68"/>
  <c r="BA7" i="1"/>
  <c r="BB7" i="1" s="1"/>
  <c r="AV7" i="1"/>
  <c r="AW7" i="1"/>
  <c r="BJ8" i="78"/>
  <c r="BK8" i="78" s="1"/>
  <c r="BF8" i="78"/>
  <c r="BE8" i="78"/>
  <c r="BJ11" i="67"/>
  <c r="BK11" i="67" s="1"/>
  <c r="BE11" i="67"/>
  <c r="BF11" i="67"/>
  <c r="BJ11" i="73"/>
  <c r="BK11" i="73" s="1"/>
  <c r="BF11" i="73"/>
  <c r="BE11" i="73"/>
  <c r="BE11" i="70"/>
  <c r="BF11" i="70"/>
  <c r="BJ11" i="70"/>
  <c r="BK11" i="70" s="1"/>
  <c r="BF10" i="78"/>
  <c r="BE10" i="78"/>
  <c r="BJ10" i="78"/>
  <c r="BK10" i="78" s="1"/>
  <c r="BF21" i="73"/>
  <c r="BJ21" i="73"/>
  <c r="BK21" i="73" s="1"/>
  <c r="BE21" i="73"/>
  <c r="BE12" i="78"/>
  <c r="BF12" i="78"/>
  <c r="BJ12" i="78"/>
  <c r="BK12" i="78" s="1"/>
  <c r="BJ12" i="75"/>
  <c r="BK12" i="75" s="1"/>
  <c r="BE12" i="75"/>
  <c r="BF12" i="75"/>
  <c r="BF17" i="71"/>
  <c r="BE17" i="71"/>
  <c r="BJ17" i="71"/>
  <c r="BK17" i="71" s="1"/>
  <c r="BF12" i="82"/>
  <c r="BE12" i="82"/>
  <c r="BJ12" i="82"/>
  <c r="BK12" i="82" s="1"/>
  <c r="BJ7" i="66"/>
  <c r="BK7" i="66" s="1"/>
  <c r="BE7" i="66"/>
  <c r="BF7" i="66"/>
  <c r="BJ12" i="77"/>
  <c r="BK12" i="77" s="1"/>
  <c r="BF12" i="77"/>
  <c r="BE12" i="77"/>
  <c r="AV11" i="70"/>
  <c r="AW11" i="70"/>
  <c r="BA11" i="70"/>
  <c r="BB11" i="70" s="1"/>
  <c r="BA6" i="80"/>
  <c r="BB6" i="80" s="1"/>
  <c r="AV6" i="80"/>
  <c r="AW6" i="80"/>
  <c r="BE13" i="66"/>
  <c r="BF13" i="66"/>
  <c r="BJ13" i="66"/>
  <c r="BK13" i="66" s="1"/>
  <c r="BA9" i="74"/>
  <c r="BB9" i="74" s="1"/>
  <c r="AW9" i="74"/>
  <c r="AV9" i="74"/>
  <c r="BE21" i="81"/>
  <c r="BF21" i="81"/>
  <c r="BJ21" i="81"/>
  <c r="BK21" i="81" s="1"/>
  <c r="BE16" i="71"/>
  <c r="BJ16" i="71"/>
  <c r="BK16" i="71" s="1"/>
  <c r="BF16" i="71"/>
  <c r="BF18" i="75"/>
  <c r="BE18" i="75"/>
  <c r="BJ18" i="75"/>
  <c r="BK18" i="75" s="1"/>
  <c r="BA10" i="73"/>
  <c r="BB10" i="73" s="1"/>
  <c r="AW10" i="73"/>
  <c r="AV10" i="73"/>
  <c r="BJ13" i="74"/>
  <c r="BK13" i="74" s="1"/>
  <c r="BE13" i="74"/>
  <c r="BF13" i="74"/>
  <c r="BF20" i="80"/>
  <c r="BE20" i="80"/>
  <c r="BJ20" i="80"/>
  <c r="BK20" i="80" s="1"/>
  <c r="BE12" i="81"/>
  <c r="BF12" i="81"/>
  <c r="BJ12" i="81"/>
  <c r="BK12" i="81" s="1"/>
  <c r="BF15" i="68"/>
  <c r="BE15" i="68"/>
  <c r="BJ15" i="68"/>
  <c r="BK15" i="68" s="1"/>
  <c r="BA19" i="80"/>
  <c r="BB19" i="80" s="1"/>
  <c r="AV19" i="80"/>
  <c r="AW19" i="80"/>
  <c r="BE20" i="73"/>
  <c r="BJ20" i="73"/>
  <c r="BK20" i="73" s="1"/>
  <c r="BF20" i="73"/>
  <c r="BJ14" i="1"/>
  <c r="BK14" i="1" s="1"/>
  <c r="BF14" i="1"/>
  <c r="BE14" i="1"/>
  <c r="BF30" i="71"/>
  <c r="BJ30" i="71"/>
  <c r="BK30" i="71" s="1"/>
  <c r="BE30" i="71"/>
  <c r="AW18" i="81"/>
  <c r="BA18" i="81"/>
  <c r="BB18" i="81" s="1"/>
  <c r="AV18" i="81"/>
  <c r="AV10" i="1"/>
  <c r="BA10" i="1"/>
  <c r="BB10" i="1" s="1"/>
  <c r="AW10" i="1"/>
  <c r="BJ21" i="80"/>
  <c r="BK21" i="80" s="1"/>
  <c r="BF21" i="80"/>
  <c r="BE21" i="80"/>
  <c r="BE103" i="75"/>
  <c r="BJ103" i="75"/>
  <c r="BK103" i="75" s="1"/>
  <c r="BF103" i="75"/>
  <c r="BE10" i="73"/>
  <c r="BJ10" i="73"/>
  <c r="BK10" i="73" s="1"/>
  <c r="BF10" i="73"/>
  <c r="AW22" i="81"/>
  <c r="AV22" i="81"/>
  <c r="BA22" i="81"/>
  <c r="BB22" i="81" s="1"/>
  <c r="BE34" i="81"/>
  <c r="BF34" i="81"/>
  <c r="BJ34" i="81"/>
  <c r="BK34" i="81" s="1"/>
  <c r="AV22" i="67"/>
  <c r="AW22" i="67"/>
  <c r="BA22" i="67"/>
  <c r="BB22" i="67" s="1"/>
  <c r="AV83" i="70"/>
  <c r="AW83" i="70"/>
  <c r="BA83" i="70"/>
  <c r="BB83" i="70" s="1"/>
  <c r="AV8" i="1"/>
  <c r="BA8" i="1"/>
  <c r="BB8" i="1" s="1"/>
  <c r="AW8" i="1"/>
  <c r="BF15" i="1"/>
  <c r="BE15" i="1"/>
  <c r="BJ15" i="1"/>
  <c r="BK15" i="1" s="1"/>
  <c r="BF6" i="73"/>
  <c r="BE6" i="73"/>
  <c r="BJ6" i="73"/>
  <c r="BK6" i="73" s="1"/>
  <c r="AW6" i="71"/>
  <c r="AV6" i="71"/>
  <c r="BA6" i="71"/>
  <c r="BB6" i="71" s="1"/>
  <c r="BF22" i="67"/>
  <c r="BE22" i="67"/>
  <c r="BJ22" i="67"/>
  <c r="BK22" i="67" s="1"/>
  <c r="AV5" i="77"/>
  <c r="AW5" i="77"/>
  <c r="BA5" i="77"/>
  <c r="BB5" i="77" s="1"/>
  <c r="BE11" i="75"/>
  <c r="BJ11" i="75"/>
  <c r="BK11" i="75" s="1"/>
  <c r="BF11" i="75"/>
  <c r="AW6" i="78"/>
  <c r="AV6" i="78"/>
  <c r="BA6" i="78"/>
  <c r="BB6" i="78" s="1"/>
  <c r="BJ6" i="75"/>
  <c r="BK6" i="75" s="1"/>
  <c r="BF6" i="75"/>
  <c r="BE6" i="75"/>
  <c r="AV23" i="67"/>
  <c r="AW23" i="67"/>
  <c r="BA23" i="67"/>
  <c r="BB23" i="67" s="1"/>
  <c r="BJ35" i="1"/>
  <c r="BK35" i="1" s="1"/>
  <c r="BF35" i="1"/>
  <c r="BE35" i="1"/>
  <c r="BJ18" i="77"/>
  <c r="BK18" i="77" s="1"/>
  <c r="BE18" i="77"/>
  <c r="BF18" i="77"/>
  <c r="AW19" i="1"/>
  <c r="BA19" i="1"/>
  <c r="BB19" i="1" s="1"/>
  <c r="AV19" i="1"/>
  <c r="AW24" i="80"/>
  <c r="AV24" i="80"/>
  <c r="BA24" i="80"/>
  <c r="BB24" i="80" s="1"/>
  <c r="AV7" i="78"/>
  <c r="BA7" i="78"/>
  <c r="BB7" i="78" s="1"/>
  <c r="AW7" i="78"/>
  <c r="BJ16" i="73"/>
  <c r="BK16" i="73" s="1"/>
  <c r="BE16" i="73"/>
  <c r="BF16" i="73"/>
  <c r="BF16" i="67"/>
  <c r="BE16" i="67"/>
  <c r="BJ16" i="67"/>
  <c r="BK16" i="67" s="1"/>
  <c r="AW7" i="82"/>
  <c r="AV7" i="82"/>
  <c r="BA7" i="82"/>
  <c r="BB7" i="82" s="1"/>
  <c r="BJ15" i="76"/>
  <c r="BK15" i="76" s="1"/>
  <c r="BF15" i="76"/>
  <c r="BE15" i="76"/>
  <c r="BJ28" i="78"/>
  <c r="BK28" i="78" s="1"/>
  <c r="BF28" i="78"/>
  <c r="BE28" i="78"/>
  <c r="BJ9" i="76"/>
  <c r="BK9" i="76" s="1"/>
  <c r="BE9" i="76"/>
  <c r="BF9" i="76"/>
  <c r="BA11" i="66"/>
  <c r="BB11" i="66" s="1"/>
  <c r="AV11" i="66"/>
  <c r="AW11" i="66"/>
  <c r="BE14" i="73"/>
  <c r="BF14" i="73"/>
  <c r="BJ14" i="73"/>
  <c r="BK14" i="73" s="1"/>
  <c r="AV5" i="69"/>
  <c r="AW5" i="69"/>
  <c r="BA5" i="69"/>
  <c r="BB5" i="69" s="1"/>
  <c r="BF32" i="70"/>
  <c r="BE32" i="70"/>
  <c r="BJ32" i="70"/>
  <c r="BK32" i="70" s="1"/>
  <c r="BF43" i="80"/>
  <c r="BJ43" i="80"/>
  <c r="BK43" i="80" s="1"/>
  <c r="BE43" i="80"/>
  <c r="BE32" i="1"/>
  <c r="BJ32" i="1"/>
  <c r="BK32" i="1" s="1"/>
  <c r="BF32" i="1"/>
  <c r="AW30" i="78"/>
  <c r="BA30" i="78"/>
  <c r="BB30" i="78" s="1"/>
  <c r="AV30" i="78"/>
  <c r="AV9" i="66"/>
  <c r="BA9" i="66"/>
  <c r="BB9" i="66" s="1"/>
  <c r="AW9" i="66"/>
  <c r="AV11" i="81"/>
  <c r="AW11" i="81"/>
  <c r="BA11" i="81"/>
  <c r="BB11" i="81" s="1"/>
  <c r="BJ22" i="1"/>
  <c r="BK22" i="1" s="1"/>
  <c r="BF22" i="1"/>
  <c r="BE22" i="1"/>
  <c r="BE10" i="75"/>
  <c r="BF10" i="75"/>
  <c r="BJ10" i="75"/>
  <c r="BK10" i="75" s="1"/>
  <c r="BF10" i="66"/>
  <c r="BE10" i="66"/>
  <c r="BJ10" i="66"/>
  <c r="BK10" i="66" s="1"/>
  <c r="AW13" i="73"/>
  <c r="AV13" i="73"/>
  <c r="BA13" i="73"/>
  <c r="BB13" i="73" s="1"/>
  <c r="AW84" i="73"/>
  <c r="BA84" i="73"/>
  <c r="BB84" i="73" s="1"/>
  <c r="AV84" i="73"/>
  <c r="BF7" i="69"/>
  <c r="BE7" i="69"/>
  <c r="BJ7" i="69"/>
  <c r="BK7" i="69" s="1"/>
  <c r="BE15" i="73"/>
  <c r="BF15" i="73"/>
  <c r="BJ15" i="73"/>
  <c r="BK15" i="73" s="1"/>
  <c r="AW15" i="78"/>
  <c r="AV15" i="78"/>
  <c r="BA15" i="78"/>
  <c r="BB15" i="78" s="1"/>
  <c r="BE8" i="69"/>
  <c r="BF8" i="69"/>
  <c r="BJ8" i="69"/>
  <c r="BK8" i="69" s="1"/>
  <c r="BJ33" i="67"/>
  <c r="BK33" i="67" s="1"/>
  <c r="BE33" i="67"/>
  <c r="BF33" i="67"/>
  <c r="AW26" i="80"/>
  <c r="BA26" i="80"/>
  <c r="BB26" i="80" s="1"/>
  <c r="AV26" i="80"/>
  <c r="BE28" i="68"/>
  <c r="BF28" i="68"/>
  <c r="BJ28" i="68"/>
  <c r="BK28" i="68" s="1"/>
  <c r="BE13" i="82"/>
  <c r="BF13" i="82"/>
  <c r="BJ13" i="82"/>
  <c r="BK13" i="82" s="1"/>
  <c r="BE37" i="78"/>
  <c r="BJ37" i="78"/>
  <c r="BK37" i="78" s="1"/>
  <c r="BF37" i="78"/>
  <c r="BJ13" i="80"/>
  <c r="BK13" i="80" s="1"/>
  <c r="BF13" i="80"/>
  <c r="BE13" i="80"/>
  <c r="AV8" i="76"/>
  <c r="AW8" i="76"/>
  <c r="BA8" i="76"/>
  <c r="BB8" i="76" s="1"/>
  <c r="BE16" i="69"/>
  <c r="BJ16" i="69"/>
  <c r="BK16" i="69" s="1"/>
  <c r="BF16" i="69"/>
  <c r="BE7" i="80"/>
  <c r="BF7" i="80"/>
  <c r="BJ7" i="80"/>
  <c r="BK7" i="80" s="1"/>
  <c r="BJ7" i="68"/>
  <c r="BK7" i="68" s="1"/>
  <c r="BF7" i="68"/>
  <c r="BE7" i="68"/>
  <c r="AW5" i="78"/>
  <c r="AV5" i="78"/>
  <c r="BA5" i="78"/>
  <c r="BB5" i="78" s="1"/>
  <c r="BA10" i="82"/>
  <c r="BB10" i="82" s="1"/>
  <c r="AW10" i="82"/>
  <c r="AV10" i="82"/>
  <c r="BE20" i="71"/>
  <c r="BF20" i="71"/>
  <c r="BJ20" i="71"/>
  <c r="BK20" i="71" s="1"/>
  <c r="BJ14" i="78"/>
  <c r="BK14" i="78" s="1"/>
  <c r="BF14" i="78"/>
  <c r="BE14" i="78"/>
  <c r="BJ30" i="73"/>
  <c r="BK30" i="73" s="1"/>
  <c r="BF30" i="73"/>
  <c r="BE30" i="73"/>
  <c r="BF27" i="78"/>
  <c r="BJ27" i="78"/>
  <c r="BK27" i="78" s="1"/>
  <c r="BE27" i="78"/>
  <c r="BE8" i="73"/>
  <c r="BF8" i="73"/>
  <c r="BJ8" i="73"/>
  <c r="BK8" i="73" s="1"/>
  <c r="BE54" i="78"/>
  <c r="BF54" i="78"/>
  <c r="BJ54" i="78"/>
  <c r="BK54" i="78" s="1"/>
  <c r="BF29" i="68"/>
  <c r="BE29" i="68"/>
  <c r="BJ29" i="68"/>
  <c r="BK29" i="68" s="1"/>
  <c r="AV22" i="74"/>
  <c r="AW22" i="74"/>
  <c r="BA22" i="74"/>
  <c r="BB22" i="74" s="1"/>
  <c r="BJ25" i="78"/>
  <c r="BK25" i="78" s="1"/>
  <c r="BF25" i="78"/>
  <c r="BE25" i="78"/>
  <c r="AV12" i="1"/>
  <c r="BA12" i="1"/>
  <c r="BB12" i="1" s="1"/>
  <c r="AW12" i="1"/>
  <c r="AW33" i="78"/>
  <c r="AV33" i="78"/>
  <c r="BA33" i="78"/>
  <c r="BB33" i="78" s="1"/>
  <c r="AV10" i="68"/>
  <c r="AW10" i="68"/>
  <c r="BA10" i="68"/>
  <c r="BB10" i="68" s="1"/>
  <c r="BF17" i="73"/>
  <c r="BE17" i="73"/>
  <c r="BJ17" i="73"/>
  <c r="BK17" i="73" s="1"/>
  <c r="AV6" i="69"/>
  <c r="AW6" i="69"/>
  <c r="BA6" i="69"/>
  <c r="BB6" i="69" s="1"/>
  <c r="BF18" i="1"/>
  <c r="BJ18" i="1"/>
  <c r="BK18" i="1" s="1"/>
  <c r="BE18" i="1"/>
  <c r="BF16" i="1"/>
  <c r="BE16" i="1"/>
  <c r="BJ16" i="1"/>
  <c r="BK16" i="1" s="1"/>
  <c r="BJ19" i="73"/>
  <c r="BK19" i="73" s="1"/>
  <c r="BF19" i="73"/>
  <c r="BE19" i="73"/>
  <c r="BE14" i="66"/>
  <c r="BF14" i="66"/>
  <c r="BJ14" i="66"/>
  <c r="BK14" i="66" s="1"/>
  <c r="AV10" i="75"/>
  <c r="BA10" i="75"/>
  <c r="BB10" i="75" s="1"/>
  <c r="AW10" i="75"/>
  <c r="BF14" i="70"/>
  <c r="BE14" i="70"/>
  <c r="BJ14" i="70"/>
  <c r="BK14" i="70" s="1"/>
  <c r="AV28" i="78"/>
  <c r="BA28" i="78"/>
  <c r="BB28" i="78" s="1"/>
  <c r="AW28" i="78"/>
  <c r="AW11" i="76"/>
  <c r="BA11" i="76"/>
  <c r="BB11" i="76" s="1"/>
  <c r="AV11" i="76"/>
  <c r="AW20" i="81"/>
  <c r="BA20" i="81"/>
  <c r="BB20" i="81" s="1"/>
  <c r="AV20" i="81"/>
  <c r="BA6" i="67"/>
  <c r="BB6" i="67" s="1"/>
  <c r="AV6" i="67"/>
  <c r="AW6" i="67"/>
  <c r="BE10" i="82"/>
  <c r="BJ10" i="82"/>
  <c r="BK10" i="82" s="1"/>
  <c r="BF10" i="82"/>
  <c r="AW83" i="74"/>
  <c r="AV83" i="74"/>
  <c r="BA83" i="74"/>
  <c r="BB83" i="74" s="1"/>
  <c r="BF15" i="80"/>
  <c r="BE15" i="80"/>
  <c r="BJ15" i="80"/>
  <c r="BK15" i="80" s="1"/>
  <c r="AW16" i="80"/>
  <c r="BA16" i="80"/>
  <c r="BB16" i="80" s="1"/>
  <c r="AV16" i="80"/>
  <c r="BE24" i="78"/>
  <c r="BJ24" i="78"/>
  <c r="BK24" i="78" s="1"/>
  <c r="BF24" i="78"/>
  <c r="BE32" i="78"/>
  <c r="BF32" i="78"/>
  <c r="BJ32" i="78"/>
  <c r="BK32" i="78" s="1"/>
  <c r="BE13" i="73"/>
  <c r="BF13" i="73"/>
  <c r="BJ13" i="73"/>
  <c r="BK13" i="73" s="1"/>
  <c r="AV7" i="77"/>
  <c r="BA7" i="77"/>
  <c r="BB7" i="77" s="1"/>
  <c r="AW7" i="77"/>
  <c r="BJ5" i="80"/>
  <c r="BK5" i="80" s="1"/>
  <c r="BF5" i="80"/>
  <c r="BE5" i="80"/>
  <c r="BF6" i="1"/>
  <c r="BE6" i="1"/>
  <c r="BJ6" i="1"/>
  <c r="BK6" i="1" s="1"/>
  <c r="AV11" i="1"/>
  <c r="BA11" i="1"/>
  <c r="BB11" i="1" s="1"/>
  <c r="AW11" i="1"/>
  <c r="BF5" i="68"/>
  <c r="BE5" i="68"/>
  <c r="BJ5" i="68"/>
  <c r="BK5" i="68" s="1"/>
  <c r="BF17" i="66"/>
  <c r="BE17" i="66"/>
  <c r="BJ17" i="66"/>
  <c r="BK17" i="66" s="1"/>
  <c r="BJ18" i="70"/>
  <c r="BK18" i="70" s="1"/>
  <c r="BE18" i="70"/>
  <c r="BF18" i="70"/>
  <c r="BF21" i="74"/>
  <c r="BE21" i="74"/>
  <c r="BJ21" i="74"/>
  <c r="BK21" i="74" s="1"/>
  <c r="BF18" i="76"/>
  <c r="BJ18" i="76"/>
  <c r="BK18" i="76" s="1"/>
  <c r="BE18" i="76"/>
  <c r="AV10" i="67"/>
  <c r="BA10" i="67"/>
  <c r="BB10" i="67" s="1"/>
  <c r="AW10" i="67"/>
  <c r="BF5" i="73"/>
  <c r="BJ5" i="73"/>
  <c r="BK5" i="73" s="1"/>
  <c r="BE5" i="73"/>
  <c r="BF13" i="67"/>
  <c r="BJ13" i="67"/>
  <c r="BK13" i="67" s="1"/>
  <c r="BE13" i="67"/>
  <c r="BE7" i="74"/>
  <c r="BF7" i="74"/>
  <c r="BJ7" i="74"/>
  <c r="BK7" i="74" s="1"/>
  <c r="BF20" i="81"/>
  <c r="BJ20" i="81"/>
  <c r="BK20" i="81" s="1"/>
  <c r="BE20" i="81"/>
  <c r="BF14" i="75"/>
  <c r="BE14" i="75"/>
  <c r="BJ14" i="75"/>
  <c r="BK14" i="75" s="1"/>
  <c r="AW18" i="1"/>
  <c r="BA18" i="1"/>
  <c r="BB18" i="1" s="1"/>
  <c r="AV18" i="1"/>
  <c r="AW18" i="66"/>
  <c r="BA18" i="66"/>
  <c r="BB18" i="66" s="1"/>
  <c r="AV18" i="66"/>
  <c r="BJ41" i="80"/>
  <c r="BK41" i="80" s="1"/>
  <c r="BE41" i="80"/>
  <c r="BF41" i="80"/>
  <c r="BA23" i="80"/>
  <c r="BB23" i="80" s="1"/>
  <c r="AW23" i="80"/>
  <c r="AV23" i="80"/>
  <c r="AV18" i="71"/>
  <c r="BA18" i="71"/>
  <c r="BB18" i="71" s="1"/>
  <c r="AW18" i="71"/>
  <c r="AW9" i="68"/>
  <c r="AV9" i="68"/>
  <c r="BA9" i="68"/>
  <c r="BB9" i="68" s="1"/>
  <c r="AW5" i="68"/>
  <c r="AV5" i="68"/>
  <c r="BA5" i="68"/>
  <c r="BB5" i="68" s="1"/>
  <c r="BE10" i="80"/>
  <c r="BJ10" i="80"/>
  <c r="BK10" i="80" s="1"/>
  <c r="BF10" i="80"/>
  <c r="BJ8" i="74"/>
  <c r="BK8" i="74" s="1"/>
  <c r="BF8" i="74"/>
  <c r="BE8" i="74"/>
  <c r="BA6" i="77"/>
  <c r="BB6" i="77" s="1"/>
  <c r="AW6" i="77"/>
  <c r="AV6" i="77"/>
  <c r="BA11" i="82"/>
  <c r="BB11" i="82" s="1"/>
  <c r="AW11" i="82"/>
  <c r="AV11" i="82"/>
  <c r="BA17" i="78"/>
  <c r="BB17" i="78" s="1"/>
  <c r="AW17" i="78"/>
  <c r="AV17" i="78"/>
  <c r="AV12" i="71"/>
  <c r="BA12" i="71"/>
  <c r="BB12" i="71" s="1"/>
  <c r="AW12" i="71"/>
  <c r="BJ23" i="80"/>
  <c r="BK23" i="80" s="1"/>
  <c r="BF23" i="80"/>
  <c r="BE23" i="80"/>
  <c r="BF19" i="70"/>
  <c r="BE19" i="70"/>
  <c r="BJ19" i="70"/>
  <c r="BK19" i="70" s="1"/>
  <c r="BJ34" i="67"/>
  <c r="BK34" i="67" s="1"/>
  <c r="BE34" i="67"/>
  <c r="BF34" i="67"/>
  <c r="AW18" i="68"/>
  <c r="AV18" i="68"/>
  <c r="BA18" i="68"/>
  <c r="BB18" i="68" s="1"/>
  <c r="BF34" i="73"/>
  <c r="BE34" i="73"/>
  <c r="BJ34" i="73"/>
  <c r="BK34" i="73" s="1"/>
  <c r="BJ9" i="70"/>
  <c r="BK9" i="70" s="1"/>
  <c r="BE9" i="70"/>
  <c r="BF9" i="70"/>
  <c r="AV8" i="78"/>
  <c r="AW8" i="78"/>
  <c r="BA8" i="78"/>
  <c r="BB8" i="78" s="1"/>
  <c r="BF6" i="81"/>
  <c r="BE6" i="81"/>
  <c r="BJ6" i="81"/>
  <c r="BK6" i="81" s="1"/>
  <c r="AW5" i="80"/>
  <c r="AV5" i="80"/>
  <c r="BA5" i="80"/>
  <c r="BB5" i="80" s="1"/>
  <c r="AW12" i="70"/>
  <c r="BA12" i="70"/>
  <c r="BB12" i="70" s="1"/>
  <c r="AV12" i="70"/>
  <c r="BE6" i="69"/>
  <c r="BJ6" i="69"/>
  <c r="BK6" i="69" s="1"/>
  <c r="BF6" i="69"/>
  <c r="AV19" i="68"/>
  <c r="AW19" i="68"/>
  <c r="BA19" i="68"/>
  <c r="BB19" i="68" s="1"/>
  <c r="BF35" i="70"/>
  <c r="BE35" i="70"/>
  <c r="BJ35" i="70"/>
  <c r="BK35" i="70" s="1"/>
  <c r="BE35" i="74"/>
  <c r="BF35" i="74"/>
  <c r="BJ35" i="74"/>
  <c r="BK35" i="74" s="1"/>
  <c r="AV19" i="73"/>
  <c r="BA19" i="73"/>
  <c r="BB19" i="73" s="1"/>
  <c r="AW19" i="73"/>
  <c r="BA19" i="70"/>
  <c r="BB19" i="70" s="1"/>
  <c r="AW19" i="70"/>
  <c r="AV19" i="70"/>
  <c r="BE31" i="73"/>
  <c r="BF31" i="73"/>
  <c r="BJ31" i="73"/>
  <c r="BK31" i="73" s="1"/>
  <c r="BJ51" i="78"/>
  <c r="BK51" i="78" s="1"/>
  <c r="BE51" i="78"/>
  <c r="BF51" i="78"/>
  <c r="BJ11" i="81"/>
  <c r="BK11" i="81" s="1"/>
  <c r="BF11" i="81"/>
  <c r="BE11" i="81"/>
  <c r="BF17" i="68"/>
  <c r="BE17" i="68"/>
  <c r="BJ17" i="68"/>
  <c r="BK17" i="68" s="1"/>
  <c r="BJ35" i="78"/>
  <c r="BK35" i="78" s="1"/>
  <c r="BE35" i="78"/>
  <c r="BF35" i="78"/>
  <c r="BF10" i="77"/>
  <c r="BE10" i="77"/>
  <c r="BJ10" i="77"/>
  <c r="BK10" i="77" s="1"/>
  <c r="AV7" i="75"/>
  <c r="AW7" i="75"/>
  <c r="BA7" i="75"/>
  <c r="BB7" i="75" s="1"/>
  <c r="BJ15" i="75"/>
  <c r="BK15" i="75" s="1"/>
  <c r="BF15" i="75"/>
  <c r="BE15" i="75"/>
  <c r="BE22" i="80"/>
  <c r="BJ22" i="80"/>
  <c r="BK22" i="80" s="1"/>
  <c r="BF22" i="80"/>
  <c r="BF9" i="73"/>
  <c r="BJ9" i="73"/>
  <c r="BK9" i="73" s="1"/>
  <c r="BE9" i="73"/>
  <c r="BJ14" i="74"/>
  <c r="BK14" i="74" s="1"/>
  <c r="BE14" i="74"/>
  <c r="BF14" i="74"/>
  <c r="BE33" i="78"/>
  <c r="BF33" i="78"/>
  <c r="BJ33" i="78"/>
  <c r="BK33" i="78" s="1"/>
  <c r="AW5" i="75"/>
  <c r="AV5" i="75"/>
  <c r="BA5" i="75"/>
  <c r="BB5" i="75" s="1"/>
  <c r="AV9" i="69"/>
  <c r="AW9" i="69"/>
  <c r="BA9" i="69"/>
  <c r="BB9" i="69" s="1"/>
  <c r="AV12" i="77"/>
  <c r="BA12" i="77"/>
  <c r="BB12" i="77" s="1"/>
  <c r="AW12" i="77"/>
  <c r="BE32" i="81"/>
  <c r="BF32" i="81"/>
  <c r="BJ32" i="81"/>
  <c r="BK32" i="81" s="1"/>
  <c r="BF9" i="77"/>
  <c r="BE9" i="77"/>
  <c r="BJ9" i="77"/>
  <c r="BK9" i="77" s="1"/>
  <c r="AV21" i="78"/>
  <c r="BA21" i="78"/>
  <c r="BB21" i="78" s="1"/>
  <c r="AW21" i="78"/>
  <c r="BJ22" i="78"/>
  <c r="BK22" i="78" s="1"/>
  <c r="BF22" i="78"/>
  <c r="BE22" i="78"/>
  <c r="AW6" i="73"/>
  <c r="BA6" i="73"/>
  <c r="BB6" i="73" s="1"/>
  <c r="AV6" i="73"/>
  <c r="BE10" i="76"/>
  <c r="BJ10" i="76"/>
  <c r="BK10" i="76" s="1"/>
  <c r="BF10" i="76"/>
  <c r="BE16" i="68"/>
  <c r="BF16" i="68"/>
  <c r="BJ16" i="68"/>
  <c r="BK16" i="68" s="1"/>
  <c r="AW13" i="81"/>
  <c r="AV13" i="81"/>
  <c r="BA13" i="81"/>
  <c r="BB13" i="81" s="1"/>
  <c r="AW13" i="74"/>
  <c r="AV13" i="74"/>
  <c r="BA13" i="74"/>
  <c r="BB13" i="74" s="1"/>
  <c r="BE7" i="76"/>
  <c r="BF7" i="76"/>
  <c r="BJ7" i="76"/>
  <c r="BK7" i="76" s="1"/>
  <c r="BE15" i="74"/>
  <c r="BF15" i="74"/>
  <c r="BJ15" i="74"/>
  <c r="BK15" i="74" s="1"/>
  <c r="BA13" i="1"/>
  <c r="BB13" i="1" s="1"/>
  <c r="AW13" i="1"/>
  <c r="AV13" i="1"/>
  <c r="AW10" i="71"/>
  <c r="AV10" i="71"/>
  <c r="BA10" i="71"/>
  <c r="BB10" i="71" s="1"/>
  <c r="AW8" i="74"/>
  <c r="AV8" i="74"/>
  <c r="BA8" i="74"/>
  <c r="BB8" i="74" s="1"/>
  <c r="AW5" i="73"/>
  <c r="AV5" i="73"/>
  <c r="BA5" i="73"/>
  <c r="BB5" i="73" s="1"/>
  <c r="AW5" i="67"/>
  <c r="AV5" i="67"/>
  <c r="BA5" i="67"/>
  <c r="BB5" i="67" s="1"/>
  <c r="BF8" i="82"/>
  <c r="BJ8" i="82"/>
  <c r="BK8" i="82" s="1"/>
  <c r="BE8" i="82"/>
  <c r="AW21" i="71"/>
  <c r="AV21" i="71"/>
  <c r="BA21" i="71"/>
  <c r="BB21" i="71" s="1"/>
  <c r="BJ44" i="80"/>
  <c r="BK44" i="80" s="1"/>
  <c r="BE44" i="80"/>
  <c r="BF44" i="80"/>
  <c r="AV17" i="68"/>
  <c r="BA17" i="68"/>
  <c r="BB17" i="68" s="1"/>
  <c r="AW17" i="68"/>
  <c r="BJ20" i="1"/>
  <c r="BK20" i="1" s="1"/>
  <c r="BF20" i="1"/>
  <c r="BE20" i="1"/>
  <c r="BJ13" i="75"/>
  <c r="BK13" i="75" s="1"/>
  <c r="BF13" i="75"/>
  <c r="BE13" i="75"/>
  <c r="BF18" i="73"/>
  <c r="BE18" i="73"/>
  <c r="BJ18" i="73"/>
  <c r="BK18" i="73" s="1"/>
  <c r="BJ16" i="76"/>
  <c r="BK16" i="76" s="1"/>
  <c r="BE16" i="76"/>
  <c r="BF16" i="76"/>
  <c r="BJ11" i="66"/>
  <c r="BK11" i="66" s="1"/>
  <c r="BE11" i="66"/>
  <c r="BF11" i="66"/>
  <c r="BJ19" i="81"/>
  <c r="BK19" i="81" s="1"/>
  <c r="BE19" i="81"/>
  <c r="BF19" i="81"/>
  <c r="AW18" i="67"/>
  <c r="BA18" i="67"/>
  <c r="BB18" i="67" s="1"/>
  <c r="AV18" i="67"/>
  <c r="AV14" i="80"/>
  <c r="AW14" i="80"/>
  <c r="BA14" i="80"/>
  <c r="BB14" i="80" s="1"/>
  <c r="BE128" i="70"/>
  <c r="BF128" i="70"/>
  <c r="BJ128" i="70"/>
  <c r="BK128" i="70" s="1"/>
  <c r="BE18" i="68"/>
  <c r="BJ18" i="68"/>
  <c r="BK18" i="68" s="1"/>
  <c r="BF18" i="68"/>
  <c r="AV20" i="67"/>
  <c r="AW20" i="67"/>
  <c r="BA20" i="67"/>
  <c r="BB20" i="67" s="1"/>
  <c r="BE32" i="71"/>
  <c r="BJ32" i="71"/>
  <c r="BK32" i="71" s="1"/>
  <c r="BF32" i="71"/>
  <c r="AW20" i="71"/>
  <c r="BA20" i="71"/>
  <c r="BB20" i="71" s="1"/>
  <c r="AV20" i="71"/>
  <c r="BE7" i="67"/>
  <c r="BF7" i="67"/>
  <c r="BJ7" i="67"/>
  <c r="BK7" i="67" s="1"/>
  <c r="BF9" i="74"/>
  <c r="BE9" i="74"/>
  <c r="BJ9" i="74"/>
  <c r="BK9" i="74" s="1"/>
  <c r="BJ6" i="78"/>
  <c r="BK6" i="78" s="1"/>
  <c r="BE6" i="78"/>
  <c r="BF6" i="78"/>
  <c r="BE17" i="82"/>
  <c r="BF17" i="82"/>
  <c r="BJ17" i="82"/>
  <c r="BK17" i="82" s="1"/>
  <c r="AW7" i="71"/>
  <c r="AV7" i="71"/>
  <c r="BA7" i="71"/>
  <c r="BB7" i="71" s="1"/>
  <c r="BE16" i="70"/>
  <c r="BF16" i="70"/>
  <c r="BJ16" i="70"/>
  <c r="BK16" i="70" s="1"/>
  <c r="BJ38" i="78"/>
  <c r="BK38" i="78" s="1"/>
  <c r="BE38" i="78"/>
  <c r="BF38" i="78"/>
  <c r="BE14" i="71"/>
  <c r="BF14" i="71"/>
  <c r="BJ14" i="71"/>
  <c r="BK14" i="71" s="1"/>
  <c r="BA9" i="73"/>
  <c r="BB9" i="73" s="1"/>
  <c r="AV9" i="73"/>
  <c r="AW9" i="73"/>
  <c r="BF14" i="80"/>
  <c r="BE14" i="80"/>
  <c r="BJ14" i="80"/>
  <c r="BK14" i="80" s="1"/>
  <c r="BA10" i="74"/>
  <c r="BB10" i="74" s="1"/>
  <c r="AW10" i="74"/>
  <c r="AV10" i="74"/>
  <c r="BE26" i="80"/>
  <c r="BF26" i="80"/>
  <c r="BJ26" i="80"/>
  <c r="BK26" i="80" s="1"/>
  <c r="BJ5" i="76"/>
  <c r="BK5" i="76" s="1"/>
  <c r="BF5" i="76"/>
  <c r="BE5" i="76"/>
  <c r="BE5" i="75"/>
  <c r="BF5" i="75"/>
  <c r="BJ5" i="75"/>
  <c r="BK5" i="75" s="1"/>
  <c r="BF18" i="80"/>
  <c r="BJ18" i="80"/>
  <c r="BK18" i="80" s="1"/>
  <c r="BE18" i="80"/>
  <c r="BE12" i="73"/>
  <c r="BJ12" i="73"/>
  <c r="BK12" i="73" s="1"/>
  <c r="BF12" i="73"/>
  <c r="BJ12" i="74"/>
  <c r="BK12" i="74" s="1"/>
  <c r="BF12" i="74"/>
  <c r="BE12" i="74"/>
  <c r="AV12" i="67"/>
  <c r="BA12" i="67"/>
  <c r="BB12" i="67" s="1"/>
  <c r="AW12" i="67"/>
  <c r="BJ20" i="74"/>
  <c r="BK20" i="74" s="1"/>
  <c r="BF20" i="74"/>
  <c r="BE20" i="74"/>
  <c r="BJ30" i="66"/>
  <c r="BK30" i="66" s="1"/>
  <c r="BE30" i="66"/>
  <c r="BF30" i="66"/>
  <c r="BA18" i="70"/>
  <c r="BB18" i="70" s="1"/>
  <c r="AW18" i="70"/>
  <c r="AV18" i="70"/>
  <c r="BJ30" i="70"/>
  <c r="BK30" i="70" s="1"/>
  <c r="BF30" i="70"/>
  <c r="BE30" i="70"/>
  <c r="BJ12" i="66"/>
  <c r="BK12" i="66" s="1"/>
  <c r="BF12" i="66"/>
  <c r="BE12" i="66"/>
  <c r="AV10" i="78"/>
  <c r="AW10" i="78"/>
  <c r="BA10" i="78"/>
  <c r="BB10" i="78" s="1"/>
  <c r="BE8" i="67"/>
  <c r="BF8" i="67"/>
  <c r="BJ8" i="67"/>
  <c r="BK8" i="67" s="1"/>
  <c r="BE131" i="73"/>
  <c r="BF131" i="73"/>
  <c r="BJ131" i="73"/>
  <c r="BK131" i="73" s="1"/>
  <c r="BA7" i="74"/>
  <c r="BB7" i="74" s="1"/>
  <c r="AV7" i="74"/>
  <c r="AW7" i="74"/>
  <c r="AW12" i="66"/>
  <c r="AV12" i="66"/>
  <c r="BA12" i="66"/>
  <c r="BB12" i="66" s="1"/>
  <c r="BE10" i="67"/>
  <c r="BJ10" i="67"/>
  <c r="BK10" i="67" s="1"/>
  <c r="BF10" i="67"/>
  <c r="BJ10" i="81"/>
  <c r="BK10" i="81" s="1"/>
  <c r="BE10" i="81"/>
  <c r="BF10" i="81"/>
  <c r="AV84" i="70"/>
  <c r="AW84" i="70"/>
  <c r="BA84" i="70"/>
  <c r="BB84" i="70" s="1"/>
  <c r="AV7" i="68"/>
  <c r="AW7" i="68"/>
  <c r="BA7" i="68"/>
  <c r="BB7" i="68" s="1"/>
  <c r="BA22" i="73"/>
  <c r="BB22" i="73" s="1"/>
  <c r="AV22" i="73"/>
  <c r="AW22" i="73"/>
  <c r="AW27" i="80"/>
  <c r="AV27" i="80"/>
  <c r="BA27" i="80"/>
  <c r="BB27" i="80" s="1"/>
  <c r="BE34" i="70"/>
  <c r="BF34" i="70"/>
  <c r="BJ34" i="70"/>
  <c r="BK34" i="70" s="1"/>
  <c r="AW22" i="66"/>
  <c r="AV22" i="66"/>
  <c r="BA22" i="66"/>
  <c r="BB22" i="66" s="1"/>
  <c r="BF8" i="68"/>
  <c r="BJ8" i="68"/>
  <c r="BK8" i="68" s="1"/>
  <c r="BE8" i="68"/>
  <c r="BJ15" i="70"/>
  <c r="BK15" i="70" s="1"/>
  <c r="BF15" i="70"/>
  <c r="BE15" i="70"/>
  <c r="AW8" i="66"/>
  <c r="AV8" i="66"/>
  <c r="BA8" i="66"/>
  <c r="BB8" i="66" s="1"/>
  <c r="BJ41" i="78"/>
  <c r="BK41" i="78" s="1"/>
  <c r="BF41" i="78"/>
  <c r="BE41" i="78"/>
  <c r="BF5" i="77"/>
  <c r="BE5" i="77"/>
  <c r="BJ5" i="77"/>
  <c r="BK5" i="77" s="1"/>
  <c r="BE11" i="76"/>
  <c r="BJ11" i="76"/>
  <c r="BK11" i="76" s="1"/>
  <c r="BF11" i="76"/>
  <c r="BJ30" i="68"/>
  <c r="BK30" i="68" s="1"/>
  <c r="BE30" i="68"/>
  <c r="BF30" i="68"/>
  <c r="BA11" i="77"/>
  <c r="BB11" i="77" s="1"/>
  <c r="AW11" i="77"/>
  <c r="AV11" i="77"/>
  <c r="BF8" i="70"/>
  <c r="BJ8" i="70"/>
  <c r="BK8" i="70" s="1"/>
  <c r="BE8" i="70"/>
  <c r="BF16" i="81"/>
  <c r="BE16" i="81"/>
  <c r="BJ16" i="81"/>
  <c r="BK16" i="81" s="1"/>
  <c r="BF9" i="81"/>
  <c r="BE9" i="81"/>
  <c r="BJ9" i="81"/>
  <c r="BK9" i="81" s="1"/>
  <c r="AV5" i="76"/>
  <c r="AW5" i="76"/>
  <c r="BA5" i="76"/>
  <c r="BB5" i="76" s="1"/>
  <c r="BF19" i="77"/>
  <c r="BJ19" i="77"/>
  <c r="BK19" i="77" s="1"/>
  <c r="BE19" i="77"/>
  <c r="BJ32" i="66"/>
  <c r="BK32" i="66" s="1"/>
  <c r="BE32" i="66"/>
  <c r="BF32" i="66"/>
  <c r="BA20" i="73"/>
  <c r="BB20" i="73" s="1"/>
  <c r="AV20" i="73"/>
  <c r="AW20" i="73"/>
  <c r="BE17" i="81"/>
  <c r="BF17" i="81"/>
  <c r="BJ17" i="81"/>
  <c r="BK17" i="81" s="1"/>
  <c r="BF131" i="70"/>
  <c r="BJ131" i="70"/>
  <c r="BK131" i="70" s="1"/>
  <c r="BE131" i="70"/>
  <c r="BA6" i="68"/>
  <c r="BB6" i="68" s="1"/>
  <c r="AW6" i="68"/>
  <c r="AV6" i="68"/>
  <c r="BJ11" i="78"/>
  <c r="BK11" i="78" s="1"/>
  <c r="BE11" i="78"/>
  <c r="BF11" i="78"/>
  <c r="AW11" i="68"/>
  <c r="AV11" i="68"/>
  <c r="BA11" i="68"/>
  <c r="BB11" i="68" s="1"/>
  <c r="AW11" i="67"/>
  <c r="AV11" i="67"/>
  <c r="BA11" i="67"/>
  <c r="BB11" i="67" s="1"/>
  <c r="AV18" i="80"/>
  <c r="AW18" i="80"/>
  <c r="BA18" i="80"/>
  <c r="BB18" i="80" s="1"/>
  <c r="BE5" i="1"/>
  <c r="BJ5" i="1"/>
  <c r="BK5" i="1" s="1"/>
  <c r="BF5" i="1"/>
  <c r="BE10" i="69"/>
  <c r="BJ10" i="69"/>
  <c r="BK10" i="69" s="1"/>
  <c r="BF10" i="69"/>
  <c r="BJ7" i="75"/>
  <c r="BK7" i="75" s="1"/>
  <c r="BE7" i="75"/>
  <c r="BF7" i="75"/>
  <c r="BF10" i="70"/>
  <c r="BJ10" i="70"/>
  <c r="BK10" i="70" s="1"/>
  <c r="BE10" i="70"/>
  <c r="BF131" i="71"/>
  <c r="BE131" i="71"/>
  <c r="BJ131" i="71"/>
  <c r="BK131" i="71" s="1"/>
  <c r="BE18" i="66"/>
  <c r="BF18" i="66"/>
  <c r="BJ18" i="66"/>
  <c r="BK18" i="66" s="1"/>
  <c r="BA13" i="78"/>
  <c r="BB13" i="78" s="1"/>
  <c r="AW13" i="78"/>
  <c r="AV13" i="78"/>
  <c r="BF33" i="74"/>
  <c r="BJ33" i="74"/>
  <c r="BK33" i="74" s="1"/>
  <c r="BE33" i="74"/>
  <c r="AV21" i="81"/>
  <c r="BA21" i="81"/>
  <c r="BB21" i="81" s="1"/>
  <c r="AW21" i="81"/>
  <c r="BE33" i="81"/>
  <c r="BJ33" i="81"/>
  <c r="BK33" i="81" s="1"/>
  <c r="BF33" i="81"/>
  <c r="BA21" i="66"/>
  <c r="BB21" i="66" s="1"/>
  <c r="AV21" i="66"/>
  <c r="AW21" i="66"/>
  <c r="AW13" i="77"/>
  <c r="BA13" i="77"/>
  <c r="BB13" i="77" s="1"/>
  <c r="AV13" i="77"/>
  <c r="BE13" i="1"/>
  <c r="BF13" i="1"/>
  <c r="BJ13" i="1"/>
  <c r="BK13" i="1" s="1"/>
  <c r="BF13" i="76"/>
  <c r="BE13" i="76"/>
  <c r="BJ13" i="76"/>
  <c r="BK13" i="76" s="1"/>
  <c r="BJ18" i="74"/>
  <c r="BK18" i="74" s="1"/>
  <c r="BF18" i="74"/>
  <c r="BE18" i="74"/>
  <c r="BF16" i="82"/>
  <c r="BJ16" i="82"/>
  <c r="BK16" i="82" s="1"/>
  <c r="BE16" i="82"/>
  <c r="BJ21" i="78"/>
  <c r="BK21" i="78" s="1"/>
  <c r="BE21" i="78"/>
  <c r="BF21" i="78"/>
  <c r="BF9" i="66"/>
  <c r="BE9" i="66"/>
  <c r="BJ9" i="66"/>
  <c r="BK9" i="66" s="1"/>
  <c r="BF17" i="1"/>
  <c r="BE17" i="1"/>
  <c r="BJ17" i="1"/>
  <c r="BK17" i="1" s="1"/>
  <c r="N127" i="2"/>
  <c r="F127" i="2" s="1"/>
  <c r="I127" i="2" s="1"/>
  <c r="N299" i="2"/>
  <c r="F299" i="2" s="1"/>
  <c r="I299" i="2" s="1"/>
  <c r="N117" i="2"/>
  <c r="F117" i="2" s="1"/>
  <c r="I117" i="2" s="1"/>
  <c r="N126" i="2"/>
  <c r="F126" i="2" s="1"/>
  <c r="I126" i="2" s="1"/>
  <c r="N116" i="2"/>
  <c r="F116" i="2" s="1"/>
  <c r="I116" i="2" s="1"/>
  <c r="N304" i="2"/>
  <c r="F304" i="2" s="1"/>
  <c r="I304" i="2" s="1"/>
  <c r="N237" i="2"/>
  <c r="F237" i="2" s="1"/>
  <c r="I237" i="2" s="1"/>
  <c r="N296" i="2"/>
  <c r="F296" i="2" s="1"/>
  <c r="I296" i="2" s="1"/>
  <c r="N136" i="2"/>
  <c r="F136" i="2" s="1"/>
  <c r="I136" i="2" s="1"/>
  <c r="N214" i="2"/>
  <c r="F214" i="2" s="1"/>
  <c r="I214" i="2" s="1"/>
  <c r="N314" i="2"/>
  <c r="F314" i="2" s="1"/>
  <c r="I314" i="2" s="1"/>
  <c r="N44" i="2"/>
  <c r="F44" i="2" s="1"/>
  <c r="I44" i="2" s="1"/>
  <c r="N50" i="2"/>
  <c r="F50" i="2" s="1"/>
  <c r="I50" i="2" s="1"/>
  <c r="N210" i="2"/>
  <c r="F210" i="2" s="1"/>
  <c r="I210" i="2" s="1"/>
  <c r="N253" i="2"/>
  <c r="F253" i="2" s="1"/>
  <c r="I253" i="2" s="1"/>
  <c r="N312" i="2"/>
  <c r="F312" i="2" s="1"/>
  <c r="I312" i="2" s="1"/>
  <c r="N191" i="2"/>
  <c r="N62" i="2"/>
  <c r="F62" i="2" s="1"/>
  <c r="I62" i="2" s="1"/>
  <c r="N229" i="2"/>
  <c r="F229" i="2" s="1"/>
  <c r="I229" i="2" s="1"/>
  <c r="N97" i="2"/>
  <c r="F97" i="2" s="1"/>
  <c r="I97" i="2" s="1"/>
  <c r="N309" i="2"/>
  <c r="F309" i="2" s="1"/>
  <c r="I309" i="2" s="1"/>
  <c r="N66" i="2"/>
  <c r="F66" i="2" s="1"/>
  <c r="I66" i="2" s="1"/>
  <c r="N104" i="2"/>
  <c r="F104" i="2" s="1"/>
  <c r="I104" i="2" s="1"/>
  <c r="N137" i="2"/>
  <c r="F137" i="2" s="1"/>
  <c r="I137" i="2" s="1"/>
  <c r="N120" i="2"/>
  <c r="F120" i="2" s="1"/>
  <c r="I120" i="2" s="1"/>
  <c r="N342" i="2"/>
  <c r="F342" i="2" s="1"/>
  <c r="I342" i="2" s="1"/>
  <c r="N95" i="2"/>
  <c r="F95" i="2" s="1"/>
  <c r="I95" i="2" s="1"/>
  <c r="N118" i="2"/>
  <c r="F118" i="2" s="1"/>
  <c r="I118" i="2" s="1"/>
  <c r="N294" i="2"/>
  <c r="F294" i="2" s="1"/>
  <c r="I294" i="2" s="1"/>
  <c r="N69" i="2"/>
  <c r="N86" i="2"/>
  <c r="F86" i="2" s="1"/>
  <c r="I86" i="2" s="1"/>
  <c r="N337" i="2"/>
  <c r="F337" i="2" s="1"/>
  <c r="I337" i="2" s="1"/>
  <c r="N129" i="2"/>
  <c r="F129" i="2" s="1"/>
  <c r="I129" i="2" s="1"/>
  <c r="N365" i="2"/>
  <c r="F365" i="2" s="1"/>
  <c r="I365" i="2" s="1"/>
  <c r="N254" i="2"/>
  <c r="F254" i="2" s="1"/>
  <c r="I254" i="2" s="1"/>
  <c r="N115" i="2"/>
  <c r="F115" i="2" s="1"/>
  <c r="I115" i="2" s="1"/>
  <c r="N302" i="2"/>
  <c r="F302" i="2" s="1"/>
  <c r="I302" i="2" s="1"/>
  <c r="N346" i="2"/>
  <c r="F346" i="2" s="1"/>
  <c r="I346" i="2" s="1"/>
  <c r="N110" i="2"/>
  <c r="N231" i="2"/>
  <c r="F231" i="2" s="1"/>
  <c r="I231" i="2" s="1"/>
  <c r="N354" i="2"/>
  <c r="F354" i="2" s="1"/>
  <c r="I354" i="2" s="1"/>
  <c r="N323" i="2"/>
  <c r="F323" i="2" s="1"/>
  <c r="I323" i="2" s="1"/>
  <c r="N227" i="2"/>
  <c r="F227" i="2" s="1"/>
  <c r="I227" i="2" s="1"/>
  <c r="N269" i="2"/>
  <c r="F269" i="2" s="1"/>
  <c r="I269" i="2" s="1"/>
  <c r="N287" i="2"/>
  <c r="F287" i="2" s="1"/>
  <c r="I287" i="2" s="1"/>
  <c r="N225" i="2"/>
  <c r="F225" i="2" s="1"/>
  <c r="I225" i="2" s="1"/>
  <c r="N224" i="2"/>
  <c r="F224" i="2" s="1"/>
  <c r="I224" i="2" s="1"/>
  <c r="N285" i="2"/>
  <c r="F285" i="2" s="1"/>
  <c r="I285" i="2" s="1"/>
  <c r="N335" i="2"/>
  <c r="F335" i="2" s="1"/>
  <c r="I335" i="2" s="1"/>
  <c r="N356" i="2"/>
  <c r="F356" i="2" s="1"/>
  <c r="I356" i="2" s="1"/>
  <c r="N270" i="2"/>
  <c r="F270" i="2" s="1"/>
  <c r="I270" i="2" s="1"/>
  <c r="N261" i="2"/>
  <c r="F261" i="2" s="1"/>
  <c r="I261" i="2" s="1"/>
  <c r="N318" i="2"/>
  <c r="F318" i="2" s="1"/>
  <c r="I318" i="2" s="1"/>
  <c r="N331" i="2"/>
  <c r="F331" i="2" s="1"/>
  <c r="I331" i="2" s="1"/>
  <c r="N300" i="2"/>
  <c r="F300" i="2" s="1"/>
  <c r="I300" i="2" s="1"/>
  <c r="N240" i="2"/>
  <c r="F240" i="2" s="1"/>
  <c r="I240" i="2" s="1"/>
  <c r="N71" i="2"/>
  <c r="F71" i="2" s="1"/>
  <c r="I71" i="2" s="1"/>
  <c r="N79" i="2"/>
  <c r="F79" i="2" s="1"/>
  <c r="I79" i="2" s="1"/>
  <c r="N361" i="2"/>
  <c r="F361" i="2" s="1"/>
  <c r="I361" i="2" s="1"/>
  <c r="N241" i="2"/>
  <c r="F241" i="2" s="1"/>
  <c r="I241" i="2" s="1"/>
  <c r="N284" i="2"/>
  <c r="F284" i="2" s="1"/>
  <c r="I284" i="2" s="1"/>
  <c r="N344" i="2"/>
  <c r="F344" i="2" s="1"/>
  <c r="I344" i="2" s="1"/>
  <c r="N238" i="2"/>
  <c r="F238" i="2" s="1"/>
  <c r="I238" i="2" s="1"/>
  <c r="N277" i="2"/>
  <c r="F277" i="2" s="1"/>
  <c r="I277" i="2" s="1"/>
  <c r="N113" i="2"/>
  <c r="F113" i="2" s="1"/>
  <c r="I113" i="2" s="1"/>
  <c r="N352" i="2"/>
  <c r="F352" i="2" s="1"/>
  <c r="I352" i="2" s="1"/>
  <c r="N226" i="2"/>
  <c r="F226" i="2" s="1"/>
  <c r="I226" i="2" s="1"/>
  <c r="N265" i="2"/>
  <c r="F265" i="2" s="1"/>
  <c r="I265" i="2" s="1"/>
  <c r="N308" i="2"/>
  <c r="F308" i="2" s="1"/>
  <c r="I308" i="2" s="1"/>
  <c r="N264" i="2"/>
  <c r="F264" i="2" s="1"/>
  <c r="I264" i="2" s="1"/>
  <c r="N248" i="2"/>
  <c r="F248" i="2" s="1"/>
  <c r="I248" i="2" s="1"/>
  <c r="N96" i="2"/>
  <c r="F96" i="2" s="1"/>
  <c r="I96" i="2" s="1"/>
  <c r="N103" i="2"/>
  <c r="F103" i="2" s="1"/>
  <c r="I103" i="2" s="1"/>
  <c r="N247" i="2"/>
  <c r="F247" i="2" s="1"/>
  <c r="I247" i="2" s="1"/>
  <c r="N188" i="2"/>
  <c r="F188" i="2" s="1"/>
  <c r="I188" i="2" s="1"/>
  <c r="N363" i="2"/>
  <c r="F363" i="2" s="1"/>
  <c r="I363" i="2" s="1"/>
  <c r="N272" i="2"/>
  <c r="F272" i="2" s="1"/>
  <c r="I272" i="2" s="1"/>
  <c r="N338" i="2"/>
  <c r="F338" i="2" s="1"/>
  <c r="I338" i="2" s="1"/>
  <c r="N336" i="2"/>
  <c r="F336" i="2" s="1"/>
  <c r="I336" i="2" s="1"/>
  <c r="N282" i="2"/>
  <c r="F282" i="2" s="1"/>
  <c r="I282" i="2" s="1"/>
  <c r="N347" i="2"/>
  <c r="F347" i="2" s="1"/>
  <c r="I347" i="2" s="1"/>
  <c r="N311" i="2"/>
  <c r="F311" i="2" s="1"/>
  <c r="I311" i="2" s="1"/>
  <c r="N278" i="2"/>
  <c r="F278" i="2" s="1"/>
  <c r="I278" i="2" s="1"/>
  <c r="N288" i="2"/>
  <c r="F288" i="2" s="1"/>
  <c r="I288" i="2" s="1"/>
  <c r="N266" i="2"/>
  <c r="F266" i="2" s="1"/>
  <c r="I266" i="2" s="1"/>
  <c r="N135" i="2"/>
  <c r="F135" i="2" s="1"/>
  <c r="I135" i="2" s="1"/>
  <c r="N245" i="2"/>
  <c r="F245" i="2" s="1"/>
  <c r="I245" i="2" s="1"/>
  <c r="N128" i="2"/>
  <c r="F128" i="2" s="1"/>
  <c r="I128" i="2" s="1"/>
  <c r="N301" i="2"/>
  <c r="F301" i="2" s="1"/>
  <c r="I301" i="2" s="1"/>
  <c r="N279" i="2"/>
  <c r="F279" i="2" s="1"/>
  <c r="I279" i="2" s="1"/>
  <c r="N124" i="2"/>
  <c r="F124" i="2" s="1"/>
  <c r="I124" i="2" s="1"/>
  <c r="N83" i="2"/>
  <c r="F83" i="2" s="1"/>
  <c r="I83" i="2" s="1"/>
  <c r="N169" i="2"/>
  <c r="F169" i="2" s="1"/>
  <c r="I169" i="2" s="1"/>
  <c r="N174" i="2"/>
  <c r="F174" i="2" s="1"/>
  <c r="I174" i="2" s="1"/>
  <c r="N351" i="2"/>
  <c r="F351" i="2" s="1"/>
  <c r="I351" i="2" s="1"/>
  <c r="N280" i="2"/>
  <c r="F280" i="2" s="1"/>
  <c r="I280" i="2" s="1"/>
  <c r="N263" i="2"/>
  <c r="F263" i="2" s="1"/>
  <c r="I263" i="2" s="1"/>
  <c r="N317" i="2"/>
  <c r="F317" i="2" s="1"/>
  <c r="I317" i="2" s="1"/>
  <c r="N327" i="2"/>
  <c r="F327" i="2" s="1"/>
  <c r="I327" i="2" s="1"/>
  <c r="N326" i="2"/>
  <c r="F326" i="2" s="1"/>
  <c r="I326" i="2" s="1"/>
  <c r="N319" i="2"/>
  <c r="F319" i="2" s="1"/>
  <c r="I319" i="2" s="1"/>
  <c r="N251" i="2"/>
  <c r="F251" i="2" s="1"/>
  <c r="I251" i="2" s="1"/>
  <c r="N259" i="2"/>
  <c r="F259" i="2" s="1"/>
  <c r="I259" i="2" s="1"/>
  <c r="N343" i="2"/>
  <c r="F343" i="2" s="1"/>
  <c r="I343" i="2" s="1"/>
  <c r="N133" i="2"/>
  <c r="F133" i="2" s="1"/>
  <c r="I133" i="2" s="1"/>
  <c r="N348" i="2"/>
  <c r="F348" i="2" s="1"/>
  <c r="I348" i="2" s="1"/>
  <c r="N339" i="2"/>
  <c r="F339" i="2" s="1"/>
  <c r="I339" i="2" s="1"/>
  <c r="N320" i="2"/>
  <c r="F320" i="2" s="1"/>
  <c r="I320" i="2" s="1"/>
  <c r="N74" i="2"/>
  <c r="F74" i="2" s="1"/>
  <c r="I74" i="2" s="1"/>
  <c r="N324" i="2"/>
  <c r="F324" i="2" s="1"/>
  <c r="I324" i="2" s="1"/>
  <c r="N75" i="2"/>
  <c r="F75" i="2" s="1"/>
  <c r="I75" i="2" s="1"/>
  <c r="N330" i="2"/>
  <c r="F330" i="2" s="1"/>
  <c r="I330" i="2" s="1"/>
  <c r="N250" i="2"/>
  <c r="F250" i="2" s="1"/>
  <c r="I250" i="2" s="1"/>
  <c r="N325" i="2"/>
  <c r="F325" i="2" s="1"/>
  <c r="I325" i="2" s="1"/>
  <c r="N246" i="2"/>
  <c r="F246" i="2" s="1"/>
  <c r="I246" i="2" s="1"/>
  <c r="N271" i="2"/>
  <c r="F271" i="2" s="1"/>
  <c r="I271" i="2" s="1"/>
  <c r="N258" i="2"/>
  <c r="F258" i="2" s="1"/>
  <c r="I258" i="2" s="1"/>
  <c r="N130" i="2"/>
  <c r="F130" i="2" s="1"/>
  <c r="I130" i="2" s="1"/>
  <c r="N341" i="2"/>
  <c r="F341" i="2" s="1"/>
  <c r="I341" i="2" s="1"/>
  <c r="N334" i="2"/>
  <c r="F334" i="2" s="1"/>
  <c r="I334" i="2" s="1"/>
  <c r="N313" i="2"/>
  <c r="F313" i="2" s="1"/>
  <c r="I313" i="2" s="1"/>
  <c r="N233" i="2"/>
  <c r="F233" i="2" s="1"/>
  <c r="I233" i="2" s="1"/>
  <c r="N234" i="2"/>
  <c r="F234" i="2" s="1"/>
  <c r="I234" i="2" s="1"/>
  <c r="N139" i="2"/>
  <c r="F139" i="2" s="1"/>
  <c r="I139" i="2" s="1"/>
  <c r="N268" i="2"/>
  <c r="F268" i="2" s="1"/>
  <c r="I268" i="2" s="1"/>
  <c r="N114" i="2"/>
  <c r="F114" i="2" s="1"/>
  <c r="I114" i="2" s="1"/>
  <c r="N76" i="2"/>
  <c r="F76" i="2" s="1"/>
  <c r="I76" i="2" s="1"/>
  <c r="N273" i="2"/>
  <c r="F273" i="2" s="1"/>
  <c r="I273" i="2" s="1"/>
  <c r="N286" i="2"/>
  <c r="F286" i="2" s="1"/>
  <c r="I286" i="2" s="1"/>
  <c r="N48" i="2"/>
  <c r="F48" i="2" s="1"/>
  <c r="I48" i="2" s="1"/>
  <c r="N244" i="2"/>
  <c r="F244" i="2" s="1"/>
  <c r="I244" i="2" s="1"/>
  <c r="N321" i="2"/>
  <c r="F321" i="2" s="1"/>
  <c r="I321" i="2" s="1"/>
  <c r="N307" i="2"/>
  <c r="F307" i="2" s="1"/>
  <c r="I307" i="2" s="1"/>
  <c r="N349" i="2"/>
  <c r="F349" i="2" s="1"/>
  <c r="I349" i="2" s="1"/>
  <c r="N322" i="2"/>
  <c r="F322" i="2" s="1"/>
  <c r="I322" i="2" s="1"/>
  <c r="N77" i="2"/>
  <c r="F77" i="2" s="1"/>
  <c r="I77" i="2" s="1"/>
  <c r="N131" i="2"/>
  <c r="F131" i="2" s="1"/>
  <c r="I131" i="2" s="1"/>
  <c r="N195" i="2"/>
  <c r="F195" i="2" s="1"/>
  <c r="I195" i="2" s="1"/>
  <c r="N345" i="2"/>
  <c r="F345" i="2" s="1"/>
  <c r="I345" i="2" s="1"/>
  <c r="N316" i="2"/>
  <c r="F316" i="2" s="1"/>
  <c r="I316" i="2" s="1"/>
  <c r="N255" i="2"/>
  <c r="F255" i="2" s="1"/>
  <c r="I255" i="2" s="1"/>
  <c r="N257" i="2"/>
  <c r="F257" i="2" s="1"/>
  <c r="I257" i="2" s="1"/>
  <c r="N256" i="2"/>
  <c r="F256" i="2" s="1"/>
  <c r="I256" i="2" s="1"/>
  <c r="N249" i="2"/>
  <c r="F249" i="2" s="1"/>
  <c r="I249" i="2" s="1"/>
  <c r="N276" i="2"/>
  <c r="F276" i="2" s="1"/>
  <c r="I276" i="2" s="1"/>
  <c r="N78" i="2"/>
  <c r="F78" i="2" s="1"/>
  <c r="I78" i="2" s="1"/>
  <c r="N281" i="2"/>
  <c r="F281" i="2" s="1"/>
  <c r="I281" i="2" s="1"/>
  <c r="N329" i="2"/>
  <c r="F329" i="2" s="1"/>
  <c r="I329" i="2" s="1"/>
  <c r="N305" i="2"/>
  <c r="F305" i="2" s="1"/>
  <c r="I305" i="2" s="1"/>
  <c r="N306" i="2"/>
  <c r="F306" i="2" s="1"/>
  <c r="I306" i="2" s="1"/>
  <c r="N350" i="2"/>
  <c r="F350" i="2" s="1"/>
  <c r="I350" i="2" s="1"/>
  <c r="N134" i="2"/>
  <c r="F134" i="2" s="1"/>
  <c r="I134" i="2" s="1"/>
  <c r="N119" i="2"/>
  <c r="F119" i="2" s="1"/>
  <c r="I119" i="2" s="1"/>
  <c r="N221" i="2"/>
  <c r="F221" i="2" s="1"/>
  <c r="I221" i="2" s="1"/>
  <c r="N172" i="2"/>
  <c r="F172" i="2" s="1"/>
  <c r="I172" i="2" s="1"/>
  <c r="N212" i="2"/>
  <c r="F212" i="2" s="1"/>
  <c r="I212" i="2" s="1"/>
  <c r="N362" i="2"/>
  <c r="F362" i="2" s="1"/>
  <c r="I362" i="2" s="1"/>
  <c r="N218" i="2"/>
  <c r="F218" i="2" s="1"/>
  <c r="I218" i="2" s="1"/>
  <c r="N219" i="2"/>
  <c r="F219" i="2" s="1"/>
  <c r="I219" i="2" s="1"/>
  <c r="N178" i="2"/>
  <c r="F178" i="2" s="1"/>
  <c r="I178" i="2" s="1"/>
  <c r="N170" i="2"/>
  <c r="F170" i="2" s="1"/>
  <c r="I170" i="2" s="1"/>
  <c r="N260" i="2"/>
  <c r="F260" i="2" s="1"/>
  <c r="I260" i="2" s="1"/>
  <c r="N340" i="2"/>
  <c r="F340" i="2" s="1"/>
  <c r="I340" i="2" s="1"/>
  <c r="N358" i="2"/>
  <c r="F358" i="2" s="1"/>
  <c r="I358" i="2" s="1"/>
  <c r="N94" i="2"/>
  <c r="F94" i="2" s="1"/>
  <c r="I94" i="2" s="1"/>
  <c r="N102" i="2"/>
  <c r="F102" i="2" s="1"/>
  <c r="I102" i="2" s="1"/>
  <c r="N177" i="2"/>
  <c r="F177" i="2" s="1"/>
  <c r="I177" i="2" s="1"/>
  <c r="N166" i="2"/>
  <c r="F166" i="2" s="1"/>
  <c r="I166" i="2" s="1"/>
  <c r="N355" i="2"/>
  <c r="F355" i="2" s="1"/>
  <c r="I355" i="2" s="1"/>
  <c r="N105" i="2"/>
  <c r="F105" i="2" s="1"/>
  <c r="I105" i="2" s="1"/>
  <c r="N168" i="2"/>
  <c r="F168" i="2" s="1"/>
  <c r="I168" i="2" s="1"/>
  <c r="N185" i="2"/>
  <c r="F185" i="2" s="1"/>
  <c r="I185" i="2" s="1"/>
  <c r="N184" i="2"/>
  <c r="F184" i="2" s="1"/>
  <c r="I184" i="2" s="1"/>
  <c r="N179" i="2"/>
  <c r="F179" i="2" s="1"/>
  <c r="I179" i="2" s="1"/>
  <c r="N176" i="2"/>
  <c r="F176" i="2" s="1"/>
  <c r="I176" i="2" s="1"/>
  <c r="N72" i="2"/>
  <c r="F72" i="2" s="1"/>
  <c r="I72" i="2" s="1"/>
  <c r="N73" i="2"/>
  <c r="F73" i="2" s="1"/>
  <c r="I73" i="2" s="1"/>
  <c r="N217" i="2"/>
  <c r="F217" i="2" s="1"/>
  <c r="I217" i="2" s="1"/>
  <c r="N216" i="2"/>
  <c r="F216" i="2" s="1"/>
  <c r="I216" i="2" s="1"/>
  <c r="N181" i="2"/>
  <c r="F181" i="2" s="1"/>
  <c r="I181" i="2" s="1"/>
  <c r="N180" i="2"/>
  <c r="F180" i="2" s="1"/>
  <c r="I180" i="2" s="1"/>
  <c r="V235" i="2"/>
  <c r="X235" i="2"/>
  <c r="N274" i="2"/>
  <c r="F274" i="2" s="1"/>
  <c r="I274" i="2" s="1"/>
  <c r="N353" i="2"/>
  <c r="F353" i="2" s="1"/>
  <c r="I353" i="2" s="1"/>
  <c r="N141" i="2"/>
  <c r="N182" i="2"/>
  <c r="F182" i="2" s="1"/>
  <c r="I182" i="2" s="1"/>
  <c r="N173" i="2"/>
  <c r="F173" i="2" s="1"/>
  <c r="I173" i="2" s="1"/>
  <c r="N171" i="2"/>
  <c r="F171" i="2" s="1"/>
  <c r="I171" i="2" s="1"/>
  <c r="N187" i="2"/>
  <c r="F187" i="2" s="1"/>
  <c r="I187" i="2" s="1"/>
  <c r="N189" i="2"/>
  <c r="F189" i="2" s="1"/>
  <c r="I189" i="2" s="1"/>
  <c r="N98" i="2"/>
  <c r="F98" i="2" s="1"/>
  <c r="I98" i="2" s="1"/>
  <c r="N262" i="2"/>
  <c r="F262" i="2" s="1"/>
  <c r="I262" i="2" s="1"/>
  <c r="N310" i="2"/>
  <c r="F310" i="2" s="1"/>
  <c r="I310" i="2" s="1"/>
  <c r="N59" i="2"/>
  <c r="F59" i="2" s="1"/>
  <c r="I59" i="2" s="1"/>
  <c r="N84" i="2"/>
  <c r="F84" i="2" s="1"/>
  <c r="I84" i="2" s="1"/>
  <c r="N206" i="2"/>
  <c r="F206" i="2" s="1"/>
  <c r="I206" i="2" s="1"/>
  <c r="N183" i="2"/>
  <c r="F183" i="2" s="1"/>
  <c r="I183" i="2" s="1"/>
  <c r="N222" i="2"/>
  <c r="F222" i="2" s="1"/>
  <c r="I222" i="2" s="1"/>
  <c r="N196" i="2"/>
  <c r="F196" i="2" s="1"/>
  <c r="I196" i="2" s="1"/>
  <c r="N186" i="2"/>
  <c r="F186" i="2" s="1"/>
  <c r="I186" i="2" s="1"/>
  <c r="N275" i="2"/>
  <c r="F275" i="2" s="1"/>
  <c r="I275" i="2" s="1"/>
  <c r="N85" i="2"/>
  <c r="F85" i="2" s="1"/>
  <c r="I85" i="2" s="1"/>
  <c r="N220" i="2"/>
  <c r="F220" i="2" s="1"/>
  <c r="I220" i="2" s="1"/>
  <c r="F191" i="2" l="1"/>
  <c r="I191" i="2" s="1"/>
  <c r="BK4" i="86"/>
  <c r="BB4" i="86"/>
  <c r="BB4" i="84"/>
  <c r="BB4" i="87"/>
  <c r="BK4" i="84"/>
  <c r="BK4" i="87"/>
  <c r="F141" i="2"/>
  <c r="I141" i="2" s="1"/>
  <c r="F69" i="2"/>
  <c r="I69" i="2" s="1"/>
  <c r="F110" i="2"/>
  <c r="I110" i="2" s="1"/>
  <c r="BK4" i="83"/>
  <c r="BB4" i="83"/>
  <c r="BK4" i="73"/>
  <c r="BB4" i="74"/>
  <c r="BK4" i="66"/>
  <c r="BB4" i="71"/>
  <c r="BK4" i="78"/>
  <c r="BK4" i="81"/>
  <c r="BB4" i="73"/>
  <c r="BB4" i="67"/>
  <c r="BB4" i="80"/>
  <c r="BB4" i="66"/>
  <c r="BK4" i="71"/>
  <c r="BK4" i="67"/>
  <c r="BB4" i="81"/>
  <c r="BK4" i="80"/>
  <c r="BK4" i="69"/>
  <c r="BB4" i="70"/>
  <c r="BK4" i="68"/>
  <c r="BB4" i="1"/>
  <c r="BB4" i="78"/>
  <c r="BK4" i="1"/>
  <c r="BK4" i="74"/>
  <c r="BB4" i="75"/>
  <c r="BK4" i="82"/>
  <c r="BK4" i="77"/>
  <c r="BK4" i="70"/>
  <c r="BK4" i="75"/>
  <c r="BB4" i="82"/>
  <c r="BK4" i="76"/>
  <c r="BB4" i="68"/>
  <c r="BB4" i="77"/>
  <c r="BB4" i="76"/>
  <c r="BB4" i="69"/>
  <c r="N235" i="2"/>
  <c r="F235" i="2" s="1"/>
  <c r="I235" i="2" s="1"/>
  <c r="F13" i="68" l="1"/>
  <c r="F13" i="78"/>
  <c r="F13" i="84"/>
  <c r="F13" i="87"/>
  <c r="F13" i="86"/>
  <c r="F13" i="73"/>
  <c r="F13" i="83"/>
  <c r="F13" i="76"/>
  <c r="F13" i="77"/>
  <c r="F13" i="66"/>
  <c r="F13" i="69"/>
  <c r="G383" i="2"/>
  <c r="F13" i="1"/>
  <c r="F13" i="81"/>
  <c r="F13" i="82"/>
  <c r="F13" i="75"/>
  <c r="F13" i="74"/>
  <c r="F13" i="80"/>
  <c r="F13" i="70"/>
  <c r="F13" i="67"/>
  <c r="F13" i="71"/>
  <c r="AY110" i="85"/>
  <c r="AZ110" i="85" s="1"/>
  <c r="BB107" i="85"/>
  <c r="BH155" i="85"/>
  <c r="BI155" i="85" s="1"/>
  <c r="BK155" i="85" l="1"/>
  <c r="BB110" i="85"/>
  <c r="BB4" i="85" s="1"/>
  <c r="BH158" i="85"/>
  <c r="BK158" i="85" l="1"/>
  <c r="BK4" i="85" s="1"/>
  <c r="F13" i="85" s="1"/>
  <c r="BI158" i="8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8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9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B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1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2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3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4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5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6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7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AW4" authorId="0" shapeId="0" xr:uid="{00000000-0006-0000-18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podľa tohto sa vyfarbuje pole, či sa jedná o sety, alebo veľkobalenia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Jiří Kopenec</author>
  </authors>
  <commentList>
    <comment ref="F22" authorId="0" shapeId="0" xr:uid="{00000000-0006-0000-1A00-000001000000}">
      <text>
        <r>
          <rPr>
            <b/>
            <sz val="12"/>
            <color indexed="81"/>
            <rFont val="Arial"/>
            <family val="2"/>
            <charset val="238"/>
          </rPr>
          <t xml:space="preserve">Odfiltrujte prázdné řádky
</t>
        </r>
        <r>
          <rPr>
            <b/>
            <sz val="10"/>
            <color indexed="81"/>
            <rFont val="Arial"/>
            <family val="2"/>
            <charset val="238"/>
          </rPr>
          <t>zrušte zatržítko u poslední
volby '(Prázné)'</t>
        </r>
      </text>
    </comment>
    <comment ref="F194" authorId="0" shapeId="0" xr:uid="{00000000-0006-0000-1A00-000002000000}">
      <text>
        <r>
          <rPr>
            <b/>
            <sz val="12"/>
            <color indexed="10"/>
            <rFont val="Arial"/>
            <family val="2"/>
            <charset val="238"/>
          </rPr>
          <t>Máš upravený počet ks ?</t>
        </r>
      </text>
    </comment>
    <comment ref="F195" authorId="0" shapeId="0" xr:uid="{00000000-0006-0000-1A00-000003000000}">
      <text>
        <r>
          <rPr>
            <b/>
            <sz val="12"/>
            <color indexed="10"/>
            <rFont val="Arial"/>
            <family val="2"/>
            <charset val="238"/>
          </rPr>
          <t>Máš upravený počet ks ?</t>
        </r>
      </text>
    </comment>
    <comment ref="F196" authorId="0" shapeId="0" xr:uid="{00000000-0006-0000-1A00-000004000000}">
      <text>
        <r>
          <rPr>
            <b/>
            <sz val="12"/>
            <color indexed="10"/>
            <rFont val="Arial"/>
            <family val="2"/>
            <charset val="238"/>
          </rPr>
          <t>Máš upravený počet ks ?</t>
        </r>
      </text>
    </comment>
    <comment ref="F210" authorId="0" shapeId="0" xr:uid="{00000000-0006-0000-1A00-000005000000}">
      <text>
        <r>
          <rPr>
            <b/>
            <sz val="12"/>
            <color indexed="10"/>
            <rFont val="Arial"/>
            <family val="2"/>
            <charset val="238"/>
          </rPr>
          <t>Máš upravený počet ks ?</t>
        </r>
      </text>
    </comment>
    <comment ref="F288" authorId="0" shapeId="0" xr:uid="{00000000-0006-0000-1A00-000006000000}">
      <text>
        <r>
          <rPr>
            <b/>
            <sz val="12"/>
            <color indexed="10"/>
            <rFont val="Arial"/>
            <family val="2"/>
            <charset val="238"/>
          </rPr>
          <t>Máš upravený počet ks ?</t>
        </r>
      </text>
    </comment>
  </commentList>
</comments>
</file>

<file path=xl/sharedStrings.xml><?xml version="1.0" encoding="utf-8"?>
<sst xmlns="http://schemas.openxmlformats.org/spreadsheetml/2006/main" count="34484" uniqueCount="28282">
  <si>
    <t>Jmenovitá délka:</t>
  </si>
  <si>
    <t>30 kg</t>
  </si>
  <si>
    <t>čiastočný výsuv</t>
  </si>
  <si>
    <t>plnovýsuv</t>
  </si>
  <si>
    <t>částečný výsuv</t>
  </si>
  <si>
    <t>CZK</t>
  </si>
  <si>
    <t>SK</t>
  </si>
  <si>
    <t>Menovitá dĺžka:</t>
  </si>
  <si>
    <t xml:space="preserve"> Úvod</t>
  </si>
  <si>
    <t xml:space="preserve"> Objednávka</t>
  </si>
  <si>
    <t xml:space="preserve"> Základní údaje</t>
  </si>
  <si>
    <t>Údaje pro objednávku, zadání slevy od prodejce</t>
  </si>
  <si>
    <t>Pokračovat na:</t>
  </si>
  <si>
    <t>Zpět na:</t>
  </si>
  <si>
    <t xml:space="preserve"> Základné údaje</t>
  </si>
  <si>
    <t>Údaje pre objednávku, zadanie zľavy od predajcu</t>
  </si>
  <si>
    <t>Pokračovať na:</t>
  </si>
  <si>
    <t>Späť na:</t>
  </si>
  <si>
    <t>bočnice:</t>
  </si>
  <si>
    <t>strieborná</t>
  </si>
  <si>
    <t>na skrutky</t>
  </si>
  <si>
    <t>bočnica:</t>
  </si>
  <si>
    <t>chrbát:</t>
  </si>
  <si>
    <t>farba:</t>
  </si>
  <si>
    <t>čelné kovanie:</t>
  </si>
  <si>
    <t>cena kovania:</t>
  </si>
  <si>
    <t xml:space="preserve"> Nápověda</t>
  </si>
  <si>
    <t>Prodejce:</t>
  </si>
  <si>
    <t>Zpět na úvod</t>
  </si>
  <si>
    <t>Název</t>
  </si>
  <si>
    <t>Číslo artiklu</t>
  </si>
  <si>
    <t>Jednotková cena</t>
  </si>
  <si>
    <t>balenie</t>
  </si>
  <si>
    <t>MALOBALENIE :</t>
  </si>
  <si>
    <t>VELKOBALENIE:</t>
  </si>
  <si>
    <t>Odběratel</t>
  </si>
  <si>
    <t>Objednávka</t>
  </si>
  <si>
    <t>Dodací adresa</t>
  </si>
  <si>
    <t>Telefon, fax, e-mail</t>
  </si>
  <si>
    <t>Číslo objednávky</t>
  </si>
  <si>
    <t>Zakázka</t>
  </si>
  <si>
    <t>Počet</t>
  </si>
  <si>
    <t>Celkem</t>
  </si>
  <si>
    <t>Změna</t>
  </si>
  <si>
    <t>kusy</t>
  </si>
  <si>
    <t>celkem</t>
  </si>
  <si>
    <t xml:space="preserve">Cena celkem bez DPH </t>
  </si>
  <si>
    <t xml:space="preserve"> </t>
  </si>
  <si>
    <t>Adresa</t>
  </si>
  <si>
    <t xml:space="preserve">Sleva od prodejce [%]: </t>
  </si>
  <si>
    <t>Odberateľ</t>
  </si>
  <si>
    <t>Dodacia adresa</t>
  </si>
  <si>
    <t>Telefón, fax, e-mail</t>
  </si>
  <si>
    <t xml:space="preserve">Zľava od predajcu [%]: </t>
  </si>
  <si>
    <t>Zákazka</t>
  </si>
  <si>
    <t>Názov</t>
  </si>
  <si>
    <t>balení</t>
  </si>
  <si>
    <t>Celkom</t>
  </si>
  <si>
    <t>Zmena</t>
  </si>
  <si>
    <t>na vruty</t>
  </si>
  <si>
    <t xml:space="preserve">Verze </t>
  </si>
  <si>
    <t>barva:</t>
  </si>
  <si>
    <t>čelní kování:</t>
  </si>
  <si>
    <t>Sleva %</t>
  </si>
  <si>
    <t>Formulář pro identifikační údaje</t>
  </si>
  <si>
    <t xml:space="preserve"> Nápoveda</t>
  </si>
  <si>
    <t>Verzia</t>
  </si>
  <si>
    <t>Cenová hladina:</t>
  </si>
  <si>
    <t>Zľava %</t>
  </si>
  <si>
    <t>stříbrná</t>
  </si>
  <si>
    <t>bílá</t>
  </si>
  <si>
    <t>biela</t>
  </si>
  <si>
    <t>antracit</t>
  </si>
  <si>
    <t>s rozpěrnými pouzdry</t>
  </si>
  <si>
    <t>s rozpernými púzdrami</t>
  </si>
  <si>
    <t>záda:</t>
  </si>
  <si>
    <t>cena kování:</t>
  </si>
  <si>
    <t>Formulár pre identifikačné údaje</t>
  </si>
  <si>
    <t>Späť na úvod</t>
  </si>
  <si>
    <t>Hettich ČR k.s.</t>
  </si>
  <si>
    <t>Jihlavská 3</t>
  </si>
  <si>
    <t>591 01  Žďár nad Sázavou</t>
  </si>
  <si>
    <t>Predajca:</t>
  </si>
  <si>
    <t>Před prvním spuštěním:</t>
  </si>
  <si>
    <t>Nápověda</t>
  </si>
  <si>
    <t>Úvod</t>
  </si>
  <si>
    <t>Pred prvým spustením:</t>
  </si>
  <si>
    <t>Základní ceny</t>
  </si>
  <si>
    <t>Základné ceny</t>
  </si>
  <si>
    <t>Nákupné ceny</t>
  </si>
  <si>
    <t>Nákupní ceny</t>
  </si>
  <si>
    <t>S volitelnou slevou</t>
  </si>
  <si>
    <t>S voliteľnou zľavou</t>
  </si>
  <si>
    <t>Ceny se slevou od prodejce [Základní údaje]</t>
  </si>
  <si>
    <t>Nastavit</t>
  </si>
  <si>
    <t>Nastaviť</t>
  </si>
  <si>
    <t>Ceny so zľavou od predajcu [Základné údaje]</t>
  </si>
  <si>
    <t>Nápoveda</t>
  </si>
  <si>
    <t>Tip:</t>
  </si>
  <si>
    <t>chróm</t>
  </si>
  <si>
    <t>nerez finiš</t>
  </si>
  <si>
    <t>barva relingu:</t>
  </si>
  <si>
    <t>farba relingu:</t>
  </si>
  <si>
    <t>veľkobalenia</t>
  </si>
  <si>
    <t>zásuvka základná</t>
  </si>
  <si>
    <t>výška chrbátu :</t>
  </si>
  <si>
    <t>flexibilné sety</t>
  </si>
  <si>
    <t>STOP CONTROL - samodovieranie</t>
  </si>
  <si>
    <t>SILENT SYSTEM - s tlmením</t>
  </si>
  <si>
    <t>PUSH-TO-OPEN - bez úchytkové</t>
  </si>
  <si>
    <t>Kód predajcu</t>
  </si>
  <si>
    <t>Sklad</t>
  </si>
  <si>
    <t xml:space="preserve"> Základné údaje // Nápoveda</t>
  </si>
  <si>
    <t xml:space="preserve"> Výběr zásuvek</t>
  </si>
  <si>
    <t xml:space="preserve"> Výber zásuviek</t>
  </si>
  <si>
    <t>Vpred na:</t>
  </si>
  <si>
    <t>Vpřed na:</t>
  </si>
  <si>
    <t>Vybrané</t>
  </si>
  <si>
    <t>Vybraté</t>
  </si>
  <si>
    <t>ATIRA</t>
  </si>
  <si>
    <t>výška bočnice :</t>
  </si>
  <si>
    <t>zásuvka s TopSide oceľ.</t>
  </si>
  <si>
    <t>zásuvka s TopSide sklen.</t>
  </si>
  <si>
    <t>zásuvka s 2x relingom</t>
  </si>
  <si>
    <t>zásuvka s 2x relingem</t>
  </si>
  <si>
    <t>zásuvka s TopSide ocel.</t>
  </si>
  <si>
    <t>zásuvka s TopSide skleň.</t>
  </si>
  <si>
    <t>výška zad :</t>
  </si>
  <si>
    <t>STOP CONTROL - samodovírání</t>
  </si>
  <si>
    <t>SILENT SYSTEM - s tlumením</t>
  </si>
  <si>
    <t>flexibilní sety</t>
  </si>
  <si>
    <t>velkobalení</t>
  </si>
  <si>
    <t>Fakturační adresa</t>
  </si>
  <si>
    <t>Fakturačná adresa</t>
  </si>
  <si>
    <t>IČO</t>
  </si>
  <si>
    <t>DIČ / IČDPH</t>
  </si>
  <si>
    <t>Kód prodejce</t>
  </si>
  <si>
    <t>Platnost cenníka od</t>
  </si>
  <si>
    <t>Platnosť cenníku od</t>
  </si>
  <si>
    <t>&lt;&lt;  zpět</t>
  </si>
  <si>
    <t>vpřed  &gt;&gt;</t>
  </si>
  <si>
    <t>&lt;&lt;  späť</t>
  </si>
  <si>
    <t>vpred  &gt;&gt;</t>
  </si>
  <si>
    <t>Čelo na vnútornú zásuvku</t>
  </si>
  <si>
    <t>vonkajšie rozmery zásuvkovej skrinky [mm]</t>
  </si>
  <si>
    <t>Šírka korpusu:</t>
  </si>
  <si>
    <t>Čelo na vnitřní zásuvku</t>
  </si>
  <si>
    <t>vnější rozměry zásuvkové skřínky [mm]</t>
  </si>
  <si>
    <t>Šířka korpusu:</t>
  </si>
  <si>
    <t>Je potrebné vybrať</t>
  </si>
  <si>
    <t>Je potřebné vybrat</t>
  </si>
  <si>
    <t>ks vnitřních čel.</t>
  </si>
  <si>
    <t>ks vnútorných čiel.</t>
  </si>
  <si>
    <t>Vybral si o</t>
  </si>
  <si>
    <t>ks vnútorných čiel VIACEJ.</t>
  </si>
  <si>
    <t>Vybral jsi o</t>
  </si>
  <si>
    <t>ks vnitřních čel VÍCE.</t>
  </si>
  <si>
    <t>Ešte CHÝBA vybrať</t>
  </si>
  <si>
    <t>Ešte CHYBÍ vybrat</t>
  </si>
  <si>
    <t>Počet vnútorných čiel teraz pasuje s počtom zásuviek.</t>
  </si>
  <si>
    <t>Ku každej zásuvke je uvažované jedno predné 2m hliníkové čelo.</t>
  </si>
  <si>
    <t>Ke každé zásuvce je uvažované jedno přední 2m hliníkové čelo.</t>
  </si>
  <si>
    <t>Je nutné vybrať sklenené čelá podľa rozmerov skriniek !</t>
  </si>
  <si>
    <t>Je nutné vybrat skleněné čela podle rozměrů skříněk !</t>
  </si>
  <si>
    <t>Pre výber kliknu tu.</t>
  </si>
  <si>
    <t>Pro výběr kliknu zde.</t>
  </si>
  <si>
    <t>Ku každej zásuvke je uvažované jedno predné 2m hliníkové čelo a priečný reling.</t>
  </si>
  <si>
    <t>Ke každé zásuvce je uvažované jedno přední 2m hliníkové čelo a příčny reling.</t>
  </si>
  <si>
    <t>vonkajšia šírka skrinky</t>
  </si>
  <si>
    <t>šírka výlisku</t>
  </si>
  <si>
    <t>OrgaTray 440 / 480</t>
  </si>
  <si>
    <t>hĺbka zásuvky</t>
  </si>
  <si>
    <t>hĺbka výlisku [mm]</t>
  </si>
  <si>
    <t>vnější šířka skřínky</t>
  </si>
  <si>
    <t>šířka výlisku</t>
  </si>
  <si>
    <t>hloubka výlisku [mm]</t>
  </si>
  <si>
    <t>hloubka zásuvky</t>
  </si>
  <si>
    <t>Špeciálne zásuvky a špeciálne riešenia</t>
  </si>
  <si>
    <t>zásuvka s relingom a individuálne vysokým chrbátom</t>
  </si>
  <si>
    <t>zásuvka s relingem a individuálně vysokými zády</t>
  </si>
  <si>
    <t>zásuvka veľkokapacitná XXL</t>
  </si>
  <si>
    <t>zásuvka velkokapacitní XXL</t>
  </si>
  <si>
    <t>zásuvka s vybráním pod dřez</t>
  </si>
  <si>
    <t>zásuvka s relingem a s vybráním pod dřez</t>
  </si>
  <si>
    <t>zásuvka s vybraním pod drez</t>
  </si>
  <si>
    <t>zásuvka s relingom a s vybraním pod drez</t>
  </si>
  <si>
    <t>zásuvka velkokapacitní pod sporák</t>
  </si>
  <si>
    <t>zásuvka veľkokapacitná pod šporák</t>
  </si>
  <si>
    <t>alebo</t>
  </si>
  <si>
    <t>nebo</t>
  </si>
  <si>
    <t>potravinová skriňa vysoká výsuvná</t>
  </si>
  <si>
    <t>potravinová skriňa vysoká otváravá</t>
  </si>
  <si>
    <t>potravinová skříň vysoká výsuvná</t>
  </si>
  <si>
    <t>potravinová skříň vysoká otvíravá</t>
  </si>
  <si>
    <t>Koľko úrovňový chceš mať reling ?</t>
  </si>
  <si>
    <t>Kolik úrovňový chceš mít reling ?</t>
  </si>
  <si>
    <t>Prípadnú zmenu na inú dĺžku vykonajte v objednávke.</t>
  </si>
  <si>
    <t>Vnitřní krátke bočnice jsou uvažované v jmenovité délce 260mm.</t>
  </si>
  <si>
    <t>Vnútorné krátke bočnice sú uvažované v menovitej dĺžke 260mm.</t>
  </si>
  <si>
    <t>Případnou změnu na jinou délku vykonejte v objednávce.</t>
  </si>
  <si>
    <t>Jmenovitá délka 470 mm:</t>
  </si>
  <si>
    <t>Menovitá dĺžka 470 mm:</t>
  </si>
  <si>
    <t>Maximální výška korpusu skříňky = 750mm.   Maximální šířka korpusu skříňky = 300mm.</t>
  </si>
  <si>
    <t>Maximálna výška korpusu skrinky = 750mm.   Maximálna šírka korpusu skrinky = 300mm.</t>
  </si>
  <si>
    <t>Je potrebné vybrať vnútorné čelá na</t>
  </si>
  <si>
    <t>Je potřebné vybrat vnitřní čela na</t>
  </si>
  <si>
    <t>Ešte CHÝBA vybrať vnútorné čelá na</t>
  </si>
  <si>
    <t>skriňu (skrine).</t>
  </si>
  <si>
    <t>skříň (skříně).</t>
  </si>
  <si>
    <t>Ešte CHYBÍ vybrat vnitřní čela na</t>
  </si>
  <si>
    <t>Vybral si na</t>
  </si>
  <si>
    <t>Vybral jsi na</t>
  </si>
  <si>
    <t>Počet vnitřních čel nyní pasuje s počtem zásuvek.</t>
  </si>
  <si>
    <t>skriňu (skrine) vnútorných čiel VIACEJ.</t>
  </si>
  <si>
    <t>skříň (skříně) vnitřních čel VÍCE.</t>
  </si>
  <si>
    <t>Případnou úpravu počtu hliníkových čel (profilů) vykonej v objednávce.</t>
  </si>
  <si>
    <t>Případnou úpravu počtu hliníkových čel (profilů) a příčných relingů vykonej v objednávce.</t>
  </si>
  <si>
    <t>Prípadnú úpravu počtu hliníkových čiel (profilov) vykonaj v objednávke.</t>
  </si>
  <si>
    <t>Prípadnú úpravu počtu hliníkových čiel (profilov) a priečnych relingov vykonaj v objednávke.</t>
  </si>
  <si>
    <t xml:space="preserve">Zadaj výšku zľavy [%] </t>
  </si>
  <si>
    <t>Zadaj výšku zľavy</t>
  </si>
  <si>
    <t xml:space="preserve">Zadej výšku slevy [%] </t>
  </si>
  <si>
    <t>Zadej výšku slevy</t>
  </si>
  <si>
    <t>vyber farbu povrchovej úpravy</t>
  </si>
  <si>
    <t>vyber zpôsob montáže čelného kovania</t>
  </si>
  <si>
    <t>vyber barvu povrchové úpravy</t>
  </si>
  <si>
    <t>vyber způsob montáže čelního kování</t>
  </si>
  <si>
    <t>Na úvodnej obrazovke :</t>
  </si>
  <si>
    <t>Na úvodní obrazovce :</t>
  </si>
  <si>
    <t>vyber, aké ceny sa budú zobrazovať:</t>
  </si>
  <si>
    <t>vyber, jaké ceny se budou zobrazovat:</t>
  </si>
  <si>
    <t>V levé části obrazovky vyplň identifikační údaje.</t>
  </si>
  <si>
    <t>Ve střední části vyplň výšku slevy od prodejce.</t>
  </si>
  <si>
    <t>Vrať se na úvod a soubor ulož nebo zavři s potvzením změn.</t>
  </si>
  <si>
    <t>Identifikační údaje se budou zobrazovat v hlavičce objednávky.</t>
  </si>
  <si>
    <t>Identifikačné údaje sa budú zobrazovať v hlavičke objednávky.</t>
  </si>
  <si>
    <t>V strednej časti vyplň výšku zľavy od predajcu.</t>
  </si>
  <si>
    <t>V ľavej časti obrazovky vyplň identifikačné údaje.</t>
  </si>
  <si>
    <t>Vrať sa na úvod a súbor ulož, alebo zatvor s potvdením zmien.</t>
  </si>
  <si>
    <t>základní ceny, tj. ceníkové bez slevy</t>
  </si>
  <si>
    <t>nákupní ceny, tj. ceny se slevou od prodejce</t>
  </si>
  <si>
    <t>základné ceny, tj. cenníkové bez zľavy</t>
  </si>
  <si>
    <t>nákupné ceny, tj. ceny so zľavou od predajcu</t>
  </si>
  <si>
    <t>ceny s volitelnou slevou</t>
  </si>
  <si>
    <t>ceny s voliteľnou zľavou</t>
  </si>
  <si>
    <t>Zadáte-li slevu s mínusovým znamínkem, zobrazí se ceny o tuto hodnotu vyšší.</t>
  </si>
  <si>
    <t>Pokiaľ zadáte zľavu s mínusovým znamienkom, zobrazia sa ceny o túto hodnotu vyššie.</t>
  </si>
  <si>
    <t>…</t>
  </si>
  <si>
    <t xml:space="preserve">V stĺpci "Zmena" môžeš upraviť počty kusov jednotlivých položiek. </t>
  </si>
  <si>
    <t>Po úpravě objednávky odfiltruj prázné řádky pomocí filtru ve sloupci "Počet".</t>
  </si>
  <si>
    <t>Po úprave objednávky odfiltruj prázné riadky pomocou filtru v stĺpci "Počet".</t>
  </si>
  <si>
    <t>Pokud chceš objednávku uložit nebo odeslat jako přílohu, vytvoř nový soubor kliknutím na odkaz  'Vytvořit objednávku'.</t>
  </si>
  <si>
    <t>VYTVORIŤ  OBJEDNÁVKU</t>
  </si>
  <si>
    <t>VYTVOŘIT  OBJEDNÁVKU</t>
  </si>
  <si>
    <t>Pokiaľ chceš objednávku uložiť alebo odoslať ako prílohu, vytvor nový súbor kliknutím na odkaz  'Vytvoriť objednávku'.</t>
  </si>
  <si>
    <t>Zásuvky uzké</t>
  </si>
  <si>
    <t>Vysoké potravinové skrine</t>
  </si>
  <si>
    <t>Vysoké potravinové skříně</t>
  </si>
  <si>
    <t>………………</t>
  </si>
  <si>
    <t>Nevymazal si vnútorné čelá !</t>
  </si>
  <si>
    <t>Nevymazal jsi vnitřní čela !</t>
  </si>
  <si>
    <t>zásuvky</t>
  </si>
  <si>
    <t>závesy</t>
  </si>
  <si>
    <t>Zásuvky úzké</t>
  </si>
  <si>
    <t>zásuvka s DesignSide</t>
  </si>
  <si>
    <t>275 mm</t>
  </si>
  <si>
    <t>1200 mm</t>
  </si>
  <si>
    <t>370 mm</t>
  </si>
  <si>
    <t>620 mm</t>
  </si>
  <si>
    <t>min.šířka korp.:</t>
  </si>
  <si>
    <t>min.šírka korp.:</t>
  </si>
  <si>
    <t>max.šířka korp.:</t>
  </si>
  <si>
    <t>max.šírka korp.:</t>
  </si>
  <si>
    <t>min.hl.příbor. :</t>
  </si>
  <si>
    <t>max.hl.příbor.:</t>
  </si>
  <si>
    <t>min.hĺb.príbor.:</t>
  </si>
  <si>
    <t>max.hĺb.príbor.:</t>
  </si>
  <si>
    <t>Volné pole</t>
  </si>
  <si>
    <t>Voľné pole</t>
  </si>
  <si>
    <t>Speciální zásuvky a speciální řešení</t>
  </si>
  <si>
    <t>DIČ</t>
  </si>
  <si>
    <t xml:space="preserve"> =SVYHLEDAT(B1038;'[CP_vzor_2016-HSR-news.xlsm]CENÍK'!$B$4:$I$45000;2;NEPRAVDA)</t>
  </si>
  <si>
    <t xml:space="preserve"> =SVYHLEDAT(B1038;'[CP_vzor_2016-HSR-news.xlsm]CENÍK'!$B$4:$I$45000;8;NEPRAVDA)</t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</si>
  <si>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101</t>
    </r>
  </si>
  <si>
    <t>Actro YOU</t>
  </si>
  <si>
    <t>Quadro YOU</t>
  </si>
  <si>
    <t>10 kg</t>
  </si>
  <si>
    <t>40 kg</t>
  </si>
  <si>
    <t>70 kg</t>
  </si>
  <si>
    <t xml:space="preserve"> Actro YOU 10 / SiSy</t>
  </si>
  <si>
    <t xml:space="preserve"> Actro YOU 40 / SiSy</t>
  </si>
  <si>
    <t xml:space="preserve"> Actro YOU 70 / SiSy</t>
  </si>
  <si>
    <t xml:space="preserve"> Quadro YOU 10 / SiSy</t>
  </si>
  <si>
    <t>spôsob balenia:</t>
  </si>
  <si>
    <t xml:space="preserve">8 - 20 kg </t>
  </si>
  <si>
    <t xml:space="preserve">&lt; 10 kg </t>
  </si>
  <si>
    <t xml:space="preserve">10 - 40 kg </t>
  </si>
  <si>
    <t xml:space="preserve">20 - 70 kg </t>
  </si>
  <si>
    <t xml:space="preserve">10 - 30 kg </t>
  </si>
  <si>
    <t>typ</t>
  </si>
  <si>
    <t>P2O Silent pre Actro</t>
  </si>
  <si>
    <t>P2O Silent pre Quadro</t>
  </si>
  <si>
    <t>ss</t>
  </si>
  <si>
    <t>hliník</t>
  </si>
  <si>
    <t>nerez</t>
  </si>
  <si>
    <t>dub</t>
  </si>
  <si>
    <t>orech</t>
  </si>
  <si>
    <t>dekoratívny profil:</t>
  </si>
  <si>
    <t>žiadna</t>
  </si>
  <si>
    <t>strieborná s logom</t>
  </si>
  <si>
    <t>strieborná bez loga</t>
  </si>
  <si>
    <t>biela s logom</t>
  </si>
  <si>
    <t>biela bez loga</t>
  </si>
  <si>
    <t>antracitová s logom</t>
  </si>
  <si>
    <t>antracitová bez loga</t>
  </si>
  <si>
    <t>krytka:</t>
  </si>
  <si>
    <t>hrúbka boku skrinky:</t>
  </si>
  <si>
    <t>dekorativní profil:</t>
  </si>
  <si>
    <t>vo farbe bočnice</t>
  </si>
  <si>
    <t>v barvě bočnice</t>
  </si>
  <si>
    <t>ořech</t>
  </si>
  <si>
    <t>stříbrná s logem</t>
  </si>
  <si>
    <t>stříbrná bez loga</t>
  </si>
  <si>
    <t>bílá bez loga</t>
  </si>
  <si>
    <t>bílá s logem</t>
  </si>
  <si>
    <t>antracitová s logem</t>
  </si>
  <si>
    <t>tloušťka boku skřínky:</t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</si>
  <si>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139</t>
    </r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</si>
  <si>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187</t>
    </r>
  </si>
  <si>
    <t>AVT 139</t>
  </si>
  <si>
    <t>AVT 187</t>
  </si>
  <si>
    <t>AVT 101</t>
  </si>
  <si>
    <t>AVT 215</t>
  </si>
  <si>
    <t>min.vstavaná výška [mm] :</t>
  </si>
  <si>
    <t>101 mm</t>
  </si>
  <si>
    <t>139 mm</t>
  </si>
  <si>
    <t>187 mm</t>
  </si>
  <si>
    <t>251 mm</t>
  </si>
  <si>
    <t>len SiSy</t>
  </si>
  <si>
    <t xml:space="preserve"> + P2O/SiSy</t>
  </si>
  <si>
    <t>zásuvka ze skleněnou bočnicí</t>
  </si>
  <si>
    <t>zásuvka so sklenenou bočnicou</t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</si>
  <si>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251</t>
    </r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</si>
  <si>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187 Inlay</t>
    </r>
  </si>
  <si>
    <t>AVT 187-In</t>
  </si>
  <si>
    <t>zásuvka nízká (v 77mm)</t>
  </si>
  <si>
    <t>zásuvka nízka (v 77mm)</t>
  </si>
  <si>
    <t>Vnitřní zásuvka - 101 mm s ALU čelem</t>
  </si>
  <si>
    <t>Vnitřní zásuvka - 139 mm s ALU čelem</t>
  </si>
  <si>
    <t>Vnitřní zásuvka - 187 mm s ALU čelem</t>
  </si>
  <si>
    <t>Vnitřní zásuvka - 187 mm se skleněným čelem</t>
  </si>
  <si>
    <t>Vnútorná zásuvka - 101 mm s ALU čelom</t>
  </si>
  <si>
    <t>Vnútorná zásuvka - 139 mm s ALU čelom</t>
  </si>
  <si>
    <t>Vnútorná zásuvka - 187 mm s ALU čelom</t>
  </si>
  <si>
    <t>Je nutné natypovať šírky čiel ?</t>
  </si>
  <si>
    <t>Je nutné natypovat šířky čel ?</t>
  </si>
  <si>
    <t>počet zásuviek</t>
  </si>
  <si>
    <t>počet zadaných čiel</t>
  </si>
  <si>
    <t>potreba čiel v bm (aj s 4mm rezmi)</t>
  </si>
  <si>
    <t>vnútorné s ALU čelom</t>
  </si>
  <si>
    <t>ALU čelo</t>
  </si>
  <si>
    <t>Skleněné čelo</t>
  </si>
  <si>
    <t>Sklenené čelo</t>
  </si>
  <si>
    <t>Vnútorná zásuvka - 187 mm so skleneným čelom</t>
  </si>
  <si>
    <t>nízke čelo = 66 mm</t>
  </si>
  <si>
    <t>vysoké čelo = 130 mm</t>
  </si>
  <si>
    <t>vnut.s sklen. čelom</t>
  </si>
  <si>
    <t>187 In (vnS)</t>
  </si>
  <si>
    <t>187 (vnS)</t>
  </si>
  <si>
    <t>101 (vnA)</t>
  </si>
  <si>
    <t>139 (vnA)</t>
  </si>
  <si>
    <t>187 (vnA)</t>
  </si>
  <si>
    <t xml:space="preserve"> Quadro YOU 30 / SiSy</t>
  </si>
  <si>
    <t xml:space="preserve"> Quadro YOU 30 / P2O</t>
  </si>
  <si>
    <t>jenom SiSy</t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</si>
  <si>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77</t>
    </r>
  </si>
  <si>
    <t>77 mm</t>
  </si>
  <si>
    <t>AVT 77</t>
  </si>
  <si>
    <t>187 In (vnA)</t>
  </si>
  <si>
    <t>zásuvka úzká spodní 101/187</t>
  </si>
  <si>
    <t>zásuvka uzká spodná 101/187</t>
  </si>
  <si>
    <t>zásuvka úzká spodní 139/187</t>
  </si>
  <si>
    <t>zásuvka uzká spodná 139/187</t>
  </si>
  <si>
    <t>zásuvka úzká spodní 2x187</t>
  </si>
  <si>
    <t>zásuvka uzká spodná 2x187</t>
  </si>
  <si>
    <t>101/187 mm</t>
  </si>
  <si>
    <t>139/187 mm</t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</si>
  <si>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101 + 187</t>
    </r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</si>
  <si>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139 + 187</t>
    </r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</si>
  <si>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2 x 187</t>
    </r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</si>
  <si>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2 x 187 Inlay</t>
    </r>
  </si>
  <si>
    <t>cel-101/187</t>
  </si>
  <si>
    <t>cel-139/187</t>
  </si>
  <si>
    <t>cel-2x187</t>
  </si>
  <si>
    <t>cel-2xIn187</t>
  </si>
  <si>
    <t>Konfigurátor   AVANTECH</t>
  </si>
  <si>
    <t>na dno + stabilizátor chrbáta</t>
  </si>
  <si>
    <t>na príchytky čela</t>
  </si>
  <si>
    <t>na chrbát</t>
  </si>
  <si>
    <t>na ALU čelo</t>
  </si>
  <si>
    <t>na Quadro a Actro lišty</t>
  </si>
  <si>
    <t>na 2/2 stabilizátor chrbáta</t>
  </si>
  <si>
    <t>na dno + 1/2 stabilizátor chrbáta</t>
  </si>
  <si>
    <t>Tlačítko "RESET" funguje len pri zapnutej funkcii MAKRO. Pokiaľ nie je zapnutá, musíte polia vymazať ručne.</t>
  </si>
  <si>
    <t>Tlačítko "RESET" funguje jenom při zapnuté funkci MAKRO. Pokud není zapnutá, musíte pole vymazat ručne.</t>
  </si>
  <si>
    <r>
      <t xml:space="preserve">Konfigurátor  </t>
    </r>
    <r>
      <rPr>
        <b/>
        <sz val="16"/>
        <rFont val="Arial"/>
        <family val="2"/>
        <charset val="238"/>
      </rPr>
      <t>AvanTech YOU</t>
    </r>
  </si>
  <si>
    <t>AvanTech YOU</t>
  </si>
  <si>
    <t xml:space="preserve"> Základní údaje // Nápověda</t>
  </si>
  <si>
    <t>způsob balení:</t>
  </si>
  <si>
    <t>žádná</t>
  </si>
  <si>
    <t>chrom</t>
  </si>
  <si>
    <t>zásuvka základní</t>
  </si>
  <si>
    <t>min.vestavná výška [mm] :</t>
  </si>
  <si>
    <t>P2O Silent pro Actro</t>
  </si>
  <si>
    <t>P2O Silent pro Quadro</t>
  </si>
  <si>
    <t>Ve sloupci "Změna" můžeš upravit počty kusů jednotlivých položek.</t>
  </si>
  <si>
    <t>SiSy = tlumení Silent System</t>
  </si>
  <si>
    <t>P2O/SiSy = tlumení s otvíráním bez úchytky Push to open Silent</t>
  </si>
  <si>
    <t>SiSy = tlmenie Silent System</t>
  </si>
  <si>
    <t>P2O/SiSy = tlmenie s otváraním bez úchytky Push to open Silent</t>
  </si>
  <si>
    <t>P2O Silent = tlumení s otvíráním bez úchytky Push to open Silent</t>
  </si>
  <si>
    <t>P2O Silent = tlmenie s otváraním bez úchytky Push to open Silent</t>
  </si>
  <si>
    <t>P2O = otvírání bez úchytky Push to open</t>
  </si>
  <si>
    <t>P2O = otváranie bez úchytky Push to open</t>
  </si>
  <si>
    <t>ENG</t>
  </si>
  <si>
    <t>POL</t>
  </si>
  <si>
    <t>Basic informations</t>
  </si>
  <si>
    <t>Data for ordering, discount from dealer</t>
  </si>
  <si>
    <t>Continue to:</t>
  </si>
  <si>
    <t>Introduction</t>
  </si>
  <si>
    <t>Select drawers</t>
  </si>
  <si>
    <t>Order</t>
  </si>
  <si>
    <t>Back to:</t>
  </si>
  <si>
    <t>Forward to:</t>
  </si>
  <si>
    <t>&lt;&lt;  back</t>
  </si>
  <si>
    <t>forward  &gt;&gt;</t>
  </si>
  <si>
    <t>Basics // Help</t>
  </si>
  <si>
    <t>Help</t>
  </si>
  <si>
    <t>full extension</t>
  </si>
  <si>
    <t>part extension</t>
  </si>
  <si>
    <t>Nominal length:</t>
  </si>
  <si>
    <t>Nominal length 470 mm:</t>
  </si>
  <si>
    <t>STOP CONTROL self closing</t>
  </si>
  <si>
    <t>SILENT SYSTEM damping</t>
  </si>
  <si>
    <t>PUSH TO OPEN no handles</t>
  </si>
  <si>
    <t>packaging:</t>
  </si>
  <si>
    <t>bulk</t>
  </si>
  <si>
    <t>sets</t>
  </si>
  <si>
    <t>Dealer:</t>
  </si>
  <si>
    <t>Customer</t>
  </si>
  <si>
    <t>Billing address</t>
  </si>
  <si>
    <t>Address</t>
  </si>
  <si>
    <t>Delivery address</t>
  </si>
  <si>
    <t>Company´s tax ID number</t>
  </si>
  <si>
    <t>Company´s ID number</t>
  </si>
  <si>
    <t>Phone, fax, e-mail</t>
  </si>
  <si>
    <t>Discount from dealer (%):</t>
  </si>
  <si>
    <t>Order No.</t>
  </si>
  <si>
    <t>Commission</t>
  </si>
  <si>
    <t>Article no.</t>
  </si>
  <si>
    <t>Description</t>
  </si>
  <si>
    <t>packaging</t>
  </si>
  <si>
    <t>Stocking</t>
  </si>
  <si>
    <t>QTY</t>
  </si>
  <si>
    <t>Total</t>
  </si>
  <si>
    <t>Price per unit</t>
  </si>
  <si>
    <t>Change</t>
  </si>
  <si>
    <t>Free field</t>
  </si>
  <si>
    <t>Dealer´s own article no.</t>
  </si>
  <si>
    <t>Version</t>
  </si>
  <si>
    <t>Prices valid from</t>
  </si>
  <si>
    <t>Chosen</t>
  </si>
  <si>
    <t>colour:</t>
  </si>
  <si>
    <t>front fitting:</t>
  </si>
  <si>
    <t>Price level:</t>
  </si>
  <si>
    <t>Discount %</t>
  </si>
  <si>
    <t>silver</t>
  </si>
  <si>
    <t>white</t>
  </si>
  <si>
    <t>antracite</t>
  </si>
  <si>
    <t>chrome</t>
  </si>
  <si>
    <t>stainless finish</t>
  </si>
  <si>
    <t>screw on</t>
  </si>
  <si>
    <t>knock in</t>
  </si>
  <si>
    <t>design profile:</t>
  </si>
  <si>
    <t>same colour as sides</t>
  </si>
  <si>
    <t>aluminium finish</t>
  </si>
  <si>
    <t>oak finish</t>
  </si>
  <si>
    <t>nut finish</t>
  </si>
  <si>
    <t>cover cape:</t>
  </si>
  <si>
    <t>none</t>
  </si>
  <si>
    <t>silver with logo</t>
  </si>
  <si>
    <t>silver without logo</t>
  </si>
  <si>
    <t>white with logo</t>
  </si>
  <si>
    <t>white without logo</t>
  </si>
  <si>
    <t>antracite with logo</t>
  </si>
  <si>
    <t>antracite without logo</t>
  </si>
  <si>
    <t>side panel thickness:</t>
  </si>
  <si>
    <t>Basic prices:</t>
  </si>
  <si>
    <t>Purchase prices:</t>
  </si>
  <si>
    <t>With optional discount</t>
  </si>
  <si>
    <t>drawer side:</t>
  </si>
  <si>
    <t>rear panel:</t>
  </si>
  <si>
    <t>price of fittings:</t>
  </si>
  <si>
    <t>Form for identification data</t>
  </si>
  <si>
    <t>Back to start</t>
  </si>
  <si>
    <t>Start</t>
  </si>
  <si>
    <t>Before first use:</t>
  </si>
  <si>
    <t>Type in your discount from dealer in the middle area.</t>
  </si>
  <si>
    <t>Go back to start and save the file.</t>
  </si>
  <si>
    <t>Type in your contact data in left side area.</t>
  </si>
  <si>
    <t>Your contact data are visible in the header of order.</t>
  </si>
  <si>
    <t>On start screen:</t>
  </si>
  <si>
    <t>choose, which prices shoul be used:</t>
  </si>
  <si>
    <t>basic prices, no discount</t>
  </si>
  <si>
    <t>purchase prices incl. discount from your dealer</t>
  </si>
  <si>
    <t>prices with optional discount</t>
  </si>
  <si>
    <t>discount with negative value means surcharge</t>
  </si>
  <si>
    <t>choose colour</t>
  </si>
  <si>
    <t>choose art of front fitting</t>
  </si>
  <si>
    <t>Define discount (%)</t>
  </si>
  <si>
    <t>Set</t>
  </si>
  <si>
    <t>Prices incl. discount from dealer</t>
  </si>
  <si>
    <t>You have to delete front for internal drawer!</t>
  </si>
  <si>
    <t>basic drawer</t>
  </si>
  <si>
    <t>drawer with glass sides</t>
  </si>
  <si>
    <t>Internal drawer 101 mm with ALU front panel</t>
  </si>
  <si>
    <t>Internal drawer 187 mm with ALU front panel</t>
  </si>
  <si>
    <t>Internal drawer 139 mm with ALU front panel</t>
  </si>
  <si>
    <t>Internal drawer 187 mm with GLASS front panel</t>
  </si>
  <si>
    <t>low drawer 77 mm</t>
  </si>
  <si>
    <t>or</t>
  </si>
  <si>
    <t>narrow drawers 187 + 187 mm</t>
  </si>
  <si>
    <t>narrow drawers 101 + 187 mm</t>
  </si>
  <si>
    <t>narrow drawers 139 + 187 mm</t>
  </si>
  <si>
    <t>tall unit</t>
  </si>
  <si>
    <t>larder unit</t>
  </si>
  <si>
    <t>special drawers</t>
  </si>
  <si>
    <t>Narrow drawers</t>
  </si>
  <si>
    <t>Tall unit</t>
  </si>
  <si>
    <t>drawer side height:</t>
  </si>
  <si>
    <t>rear panel height:</t>
  </si>
  <si>
    <t>min. installation height (mm):</t>
  </si>
  <si>
    <t>SiSy only</t>
  </si>
  <si>
    <t>min. cabinet width:</t>
  </si>
  <si>
    <t>max. cabinet width:</t>
  </si>
  <si>
    <t>min. depth OrgaTray</t>
  </si>
  <si>
    <t>max. depth OrgaTray</t>
  </si>
  <si>
    <t>QTY of aluminium front profiles = QTY of internal drawers.</t>
  </si>
  <si>
    <t>Please adjust QTY of front profiles manually in order sheet.</t>
  </si>
  <si>
    <t>You have to choose glass front panels according to cabinet width.</t>
  </si>
  <si>
    <t>Front panel width necessary?</t>
  </si>
  <si>
    <t>Click here to choose.</t>
  </si>
  <si>
    <t>Front panel for internal drawer</t>
  </si>
  <si>
    <t>Cabinet width (mm)</t>
  </si>
  <si>
    <t>low front panel = 66 mm</t>
  </si>
  <si>
    <t>high front panel = 130 mm</t>
  </si>
  <si>
    <t>Cabinet width:</t>
  </si>
  <si>
    <t>Aluminium front panel</t>
  </si>
  <si>
    <t>Glass front panel</t>
  </si>
  <si>
    <t>You have to choose</t>
  </si>
  <si>
    <t>pcs of internal front panel.</t>
  </si>
  <si>
    <t>Still to choose</t>
  </si>
  <si>
    <t>You chose</t>
  </si>
  <si>
    <t>pcs of internal front panel more.</t>
  </si>
  <si>
    <t>QTY of internal front panel is now aligned with QTY of drawers.</t>
  </si>
  <si>
    <t>You have to choose internal front panels for</t>
  </si>
  <si>
    <t>cabinet(s).</t>
  </si>
  <si>
    <t>Still to choose internal front panels for</t>
  </si>
  <si>
    <t>You chose for</t>
  </si>
  <si>
    <t>cabinet(s) more.</t>
  </si>
  <si>
    <t>Cabinet width</t>
  </si>
  <si>
    <t>OrgaTray width</t>
  </si>
  <si>
    <t>OrgaTray depth</t>
  </si>
  <si>
    <t>drawer depth</t>
  </si>
  <si>
    <t>SiSy = Silent Systém = damping</t>
  </si>
  <si>
    <t>P2O/SiSy = Push to open Silent = damping + no-handle-opening</t>
  </si>
  <si>
    <t>P2O Silent = Push to open Silent = damping + no-handle-opening</t>
  </si>
  <si>
    <t>P2O = Push to open = no-handle-opening</t>
  </si>
  <si>
    <t>Push to open Silent for Actro YOU</t>
  </si>
  <si>
    <t>Push to open Silent for Quadro YOU</t>
  </si>
  <si>
    <t>CREATE ORDER</t>
  </si>
  <si>
    <t>Nominal length 260 mm for internal short drawers.</t>
  </si>
  <si>
    <t>You can change the nominal length manually in order sheet</t>
  </si>
  <si>
    <t>Max. cabinet height 750 mm. Min. cabinet geight 300 mm.</t>
  </si>
  <si>
    <t>You can adjust quantities manually in column "Change"</t>
  </si>
  <si>
    <t>After manual order adjustment you can hide the empty lines using filter in column "QTY"</t>
  </si>
  <si>
    <t>Click on button "Create order" to generate a new file with your order.</t>
  </si>
  <si>
    <t>Zásuvka</t>
  </si>
  <si>
    <t xml:space="preserve">Cena ceľkom bez DPH </t>
  </si>
  <si>
    <t>Poznámka :</t>
  </si>
  <si>
    <t>???</t>
  </si>
  <si>
    <t>AVT101</t>
  </si>
  <si>
    <t>AVT87</t>
  </si>
  <si>
    <t>AVT101-vn</t>
  </si>
  <si>
    <t>AVT87-vn</t>
  </si>
  <si>
    <t>pre 101</t>
  </si>
  <si>
    <t>pre 187</t>
  </si>
  <si>
    <t>potr-v</t>
  </si>
  <si>
    <r>
      <rPr>
        <sz val="10"/>
        <color indexed="9"/>
        <rFont val="Arial"/>
        <family val="2"/>
        <charset val="238"/>
      </rPr>
      <t>.</t>
    </r>
    <r>
      <rPr>
        <sz val="10"/>
        <color indexed="8"/>
        <rFont val="Arial"/>
        <family val="2"/>
        <charset val="238"/>
      </rPr>
      <t>101 + 187 Inlay</t>
    </r>
  </si>
  <si>
    <t>potr-v (IL)</t>
  </si>
  <si>
    <t>potr-o</t>
  </si>
  <si>
    <t>potr-o (IL)</t>
  </si>
  <si>
    <t>potr-o (č=skl)</t>
  </si>
  <si>
    <t>Univerzálny uholník  31x31mm</t>
  </si>
  <si>
    <t>AvanY-bok ľavý /v77/h400/ strieborná</t>
  </si>
  <si>
    <t>AvanY-bok pravý /v77/h400/ strieborná</t>
  </si>
  <si>
    <t>AvanY-bok ľavý /v77/h450/ strieborná</t>
  </si>
  <si>
    <t>AvanY-bok pravý /v77/h450/ strieborná</t>
  </si>
  <si>
    <t>AvanY-bok ľavý /v77/h500/ strieborná</t>
  </si>
  <si>
    <t>AvanY-bok pravý /v77/h500/ strieborná</t>
  </si>
  <si>
    <t>AvanY-bok ľavý /v77/h550/ strieborná</t>
  </si>
  <si>
    <t>AvanY-bok pravý /v77/h550/ strieborná</t>
  </si>
  <si>
    <t>AvanY-bok ľavý /v77/h400/ biela</t>
  </si>
  <si>
    <t>AvanY-bok pravý /v77/h400/ biela</t>
  </si>
  <si>
    <t>AvanY-bok ľavý /v77/h450/ biela</t>
  </si>
  <si>
    <t>AvanY-bok pravý /v77/h450/ biela</t>
  </si>
  <si>
    <t>AvanY-bok ľavý /v77/h500/ biela</t>
  </si>
  <si>
    <t>AvanY-bok pravý /v77/h500/ biela</t>
  </si>
  <si>
    <t>AvanY-bok ľavý /v77/h550/ biela</t>
  </si>
  <si>
    <t>AvanY-bok pravý /v77/h550/ biela</t>
  </si>
  <si>
    <t>AvanY-bok ľavý /v77/h400/ antracit</t>
  </si>
  <si>
    <t>AvanY-bok pravý /v77/h400/ antracit</t>
  </si>
  <si>
    <t>AvanY-bok ľavý /v77/h450/ antracit</t>
  </si>
  <si>
    <t>AvanY-bok pravý /v77/h450/ antracit</t>
  </si>
  <si>
    <t>AvanY-bok ľavý /v77/h500/ antracit</t>
  </si>
  <si>
    <t>AvanY-bok pravý /v77/h500/ antracit</t>
  </si>
  <si>
    <t>AvanY-bok ľavý /v77/h550/ antracit</t>
  </si>
  <si>
    <t>AvanY-bok pravý /v77/h550/ antracit</t>
  </si>
  <si>
    <t>AvanY-príchytka čela k naskrutk./ v77</t>
  </si>
  <si>
    <t>AvanY-príchytka čela s rozp.púzdrom/ v77</t>
  </si>
  <si>
    <t>AvanY-sólo oceľ.boky 101/550mm/antracit</t>
  </si>
  <si>
    <t>AvanY-sólo oceľ.boky 101/600mm/antracit</t>
  </si>
  <si>
    <t>AvanY-sólo oceľ.boky 101/650mm/antracit</t>
  </si>
  <si>
    <t>AvanY-stabilizátor chrbáta</t>
  </si>
  <si>
    <t>AvanY-bok ľavý /v101/h270/ strieborná</t>
  </si>
  <si>
    <t>AvanY-bok pravý /v101/h270/ strieborná</t>
  </si>
  <si>
    <t>AvanY-bok ľavý /v101/h300/ strieborná</t>
  </si>
  <si>
    <t>AvanY-bok pravý /v101/h300/ strieborná</t>
  </si>
  <si>
    <t>AvanY-bok ľavý /v101/h350/ strieborná</t>
  </si>
  <si>
    <t>AvanY-bok pravý /v101/h350/ strieborná</t>
  </si>
  <si>
    <t>AvanY-bok ľavý /v101/h400/ strieborná</t>
  </si>
  <si>
    <t>AvanY-bok pravý /v101/h400/ strieborná</t>
  </si>
  <si>
    <t>AvanY-bok ľavý /v101/h450/ strieborná</t>
  </si>
  <si>
    <t>AvanY-bok pravý /v101/h450/ strieborná</t>
  </si>
  <si>
    <t>AvanY-bok ľavý /v101/h500/ strieborná</t>
  </si>
  <si>
    <t>AvanY-bok pravý /v101/h500/ strieborná</t>
  </si>
  <si>
    <t>AvanY-bok ľavý /v101/h550/ strieborná</t>
  </si>
  <si>
    <t>AvanY-bok pravý /v101/h550/ strieborná</t>
  </si>
  <si>
    <t>AvanY-bok ľavý /v101/h600/ strieborná</t>
  </si>
  <si>
    <t>AvanY-bok pravý /v101/h600/ strieborná</t>
  </si>
  <si>
    <t>AvanY-bok ľavý /v101/h650/ strieborná</t>
  </si>
  <si>
    <t>AvanY-bok pravý /v101/h650/ strieborná</t>
  </si>
  <si>
    <t>AvanY-bok ľavý /v101/h270/ biela</t>
  </si>
  <si>
    <t>AvanY-bok pravý /v101/h270/ biela</t>
  </si>
  <si>
    <t>AvanY-bok ľavý /v101/h300/ biela</t>
  </si>
  <si>
    <t>AvanY-bok pravý /v101/h300/ biela</t>
  </si>
  <si>
    <t>AvanY-bok ľavý /v101/h350/ biela</t>
  </si>
  <si>
    <t>AvanY-bok pravý /v101/h350/ biela</t>
  </si>
  <si>
    <t>AvanY-bok ľavý /v101/h400/ biela</t>
  </si>
  <si>
    <t>AvanY-bok pravý /v101/h400/ biela</t>
  </si>
  <si>
    <t>AvanY-bok ľavý /v101/h450/ biela</t>
  </si>
  <si>
    <t>AvanY-bok pravý /v101/h450/ biela</t>
  </si>
  <si>
    <t>AvanY-bok ľavý /v101/h500/ biela</t>
  </si>
  <si>
    <t>AvanY-bok pravý /v101/h500/ biela</t>
  </si>
  <si>
    <t>AvanY-bok ľavý /v101/h550/ biela</t>
  </si>
  <si>
    <t>AvanY-bok pravý /v101/h550/ biela</t>
  </si>
  <si>
    <t>AvanY-bok ľavý /v101/h600/ biela</t>
  </si>
  <si>
    <t>AvanY-bok pravý /v101/h600/ biela</t>
  </si>
  <si>
    <t>AvanY-bok ľavý /v101/h650/ biela</t>
  </si>
  <si>
    <t>AvanY-bok pravý /v101/h650/ biela</t>
  </si>
  <si>
    <t>AvanY-bok ľavý /v101/h270/ antracit</t>
  </si>
  <si>
    <t>AvanY-bok pravý /v101/h270/ antracit</t>
  </si>
  <si>
    <t>AvanY-bok ľavý /v101/h300/ antracit</t>
  </si>
  <si>
    <t>AvanY-bok pravý /v101/h300/ antracit</t>
  </si>
  <si>
    <t>AvanY-bok ľavý /v101/h350/ antracit</t>
  </si>
  <si>
    <t>AvanY-bok pravý /v101/h350/ antracit</t>
  </si>
  <si>
    <t>AvanY-bok ľavý /v101/h400/ antracit</t>
  </si>
  <si>
    <t>AvanY-bok pravý /v101/h400/ antracit</t>
  </si>
  <si>
    <t>AvanY-bok ľavý /v101/h450/ antracit</t>
  </si>
  <si>
    <t>AvanY-bok pravý /v101/h450/ antracit</t>
  </si>
  <si>
    <t>AvanY-bok ľavý /v101/h500/ antracit</t>
  </si>
  <si>
    <t>AvanY-bok pravý /v101/h500/ antracit</t>
  </si>
  <si>
    <t>AvanY-bok ľavý /v101/h550/ antracit</t>
  </si>
  <si>
    <t>AvanY-bok pravý /v101/h550/ antracit</t>
  </si>
  <si>
    <t>AvanY-bok ľavý /v101/h600/ antracit</t>
  </si>
  <si>
    <t>AvanY-bok pravý /v101/h600/ antracit</t>
  </si>
  <si>
    <t>AvanY-bok ľavý /v101/h650/ antracit</t>
  </si>
  <si>
    <t>AvanY-bok pravý /v101/h650/ antracit</t>
  </si>
  <si>
    <t>AvanY-príchytka čela k naskrutk./ v101</t>
  </si>
  <si>
    <t>AvanY-príchytka čela s rozp.púzdrom/ v101</t>
  </si>
  <si>
    <t>AvanY-bok ľavý /v139/h300/ strieborná</t>
  </si>
  <si>
    <t>AvanY-bok pravý /v139/h300/ strieborná</t>
  </si>
  <si>
    <t>AvanY-bok ľavý /v139/h350/ strieborná</t>
  </si>
  <si>
    <t>AvanY-bok pravý /v139/h350/ strieborná</t>
  </si>
  <si>
    <t>AvanY-bok ľavý /v139/h400/ strieborná</t>
  </si>
  <si>
    <t>AvanY-bok pravý /v139/h400/ strieborná</t>
  </si>
  <si>
    <t>AvanY-bok ľavý /v139/h450/ strieborná</t>
  </si>
  <si>
    <t>AvanY-bok pravý /v139/h450/ strieborná</t>
  </si>
  <si>
    <t>AvanY-bok ľavý /v139/h500/ strieborná</t>
  </si>
  <si>
    <t>AvanY-bok pravý /v139/h500/ strieborná</t>
  </si>
  <si>
    <t>AvanY-bok ľavý /v139/h550/ strieborná</t>
  </si>
  <si>
    <t>AvanY-bok pravý /v139/h550/ strieborná</t>
  </si>
  <si>
    <t>AvanY-bok ľavý /v139/h600/ strieborná</t>
  </si>
  <si>
    <t>AvanY-bok pravý /v139/h600/ strieborná</t>
  </si>
  <si>
    <t>AvanY-bok ľavý /v139/h300/ biela</t>
  </si>
  <si>
    <t>AvanY-bok pravý /v139/h300/ biela</t>
  </si>
  <si>
    <t>AvanY-bok ľavý /v139/h350/ biela</t>
  </si>
  <si>
    <t>AvanY-bok pravý /v139/h350/ biela</t>
  </si>
  <si>
    <t>AvanY-bok ľavý /v139/h400/ biela</t>
  </si>
  <si>
    <t>AvanY-bok pravý /v139/h400/ biela</t>
  </si>
  <si>
    <t>AvanY-bok ľavý /v139/h450/ biela</t>
  </si>
  <si>
    <t>AvanY-bok pravý /v139/h450/ biela</t>
  </si>
  <si>
    <t>AvanY-bok ľavý /v139/h500/ biela</t>
  </si>
  <si>
    <t>AvanY-bok pravý /v139/h500/ biela</t>
  </si>
  <si>
    <t>AvanY-bok ľavý /v139/h550/ biela</t>
  </si>
  <si>
    <t>AvanY-bok pravý /v139/h550/ biela</t>
  </si>
  <si>
    <t>AvanY-bok ľavý /v139/h600/ biela</t>
  </si>
  <si>
    <t>AvanY-bok pravý /v139/h600/ biela</t>
  </si>
  <si>
    <t>AvanY-bok ľavý /v139/h300/ antracit</t>
  </si>
  <si>
    <t>AvanY-bok pravý /v139/h300/ antracit</t>
  </si>
  <si>
    <t>AvanY-bok ľavý /v139/h350/ antracit</t>
  </si>
  <si>
    <t>AvanY-bok pravý /v139/h350/ antracit</t>
  </si>
  <si>
    <t>AvanY-bok ľavý /v139/h400/ antracit</t>
  </si>
  <si>
    <t>AvanY-bok pravý /v139/h400/ antracit</t>
  </si>
  <si>
    <t>AvanY-bok ľavý /v139/h450/ antracit</t>
  </si>
  <si>
    <t>AvanY-bok pravý /v139/h450/ antracit</t>
  </si>
  <si>
    <t>AvanY-bok ľavý /v139/h500/ antracit</t>
  </si>
  <si>
    <t>AvanY-bok pravý /v139/h500/ antracit</t>
  </si>
  <si>
    <t>AvanY-bok ľavý /v139/h550/ antracit</t>
  </si>
  <si>
    <t>AvanY-bok pravý /v139/h550/ antracit</t>
  </si>
  <si>
    <t>AvanY-bok ľavý /v139/h600/ antracit</t>
  </si>
  <si>
    <t>AvanY-bok pravý /v139/h600/ antracit</t>
  </si>
  <si>
    <t>AvanY-príchytka čela k naskrutk./ v139</t>
  </si>
  <si>
    <t>AvanY-príchytka čela s rozp.púzdrom/ v139</t>
  </si>
  <si>
    <t>AvanY-bok ľavý /v187/h270/ strieborná</t>
  </si>
  <si>
    <t>AvanY-bok pravý /v187/h270/ strieborná</t>
  </si>
  <si>
    <t>AvanY-bok ľavý /v187/h300/ strieborná</t>
  </si>
  <si>
    <t>AvanY-bok pravý /v187/h300/ strieborná</t>
  </si>
  <si>
    <t>AvanY-bok ľavý /v187/h350/ strieborná</t>
  </si>
  <si>
    <t>AvanY-bok pravý /v187/h350/ strieborná</t>
  </si>
  <si>
    <t>AvanY-bok ľavý /v187/h400/ strieborná</t>
  </si>
  <si>
    <t>AvanY-bok pravý /v187/h400/ strieborná</t>
  </si>
  <si>
    <t>AvanY-bok ľavý /v187/h450/ strieborná</t>
  </si>
  <si>
    <t>AvanY-bok pravý /v187/h450/ strieborná</t>
  </si>
  <si>
    <t>AvanY-bok ľavý /v187/h500/ strieborná</t>
  </si>
  <si>
    <t>AvanY-bok pravý /v187/h500/ strieborná</t>
  </si>
  <si>
    <t>AvanY-bok ľavý /v187/h550/ strieborná</t>
  </si>
  <si>
    <t>AvanY-bok pravý /v187/h550/ strieborná</t>
  </si>
  <si>
    <t>AvanY-bok ľavý /v187/h600/ strieborná</t>
  </si>
  <si>
    <t>AvanY-bok pravý /v187/h600/ strieborná</t>
  </si>
  <si>
    <t>AvanY-bok ľavý /v187/h650/ strieborná</t>
  </si>
  <si>
    <t>AvanY-bok pravý /v187/h650/ strieborná</t>
  </si>
  <si>
    <t>AvanY-bok ľavý /v187/h270/ biela</t>
  </si>
  <si>
    <t>AvanY-bok pravý /v187/h270/ biela</t>
  </si>
  <si>
    <t>AvanY-bok ľavý /v187/h300/ biela</t>
  </si>
  <si>
    <t>AvanY-bok pravý /v187/h300/ biela</t>
  </si>
  <si>
    <t>AvanY-bok ľavý /v187/h350/ biela</t>
  </si>
  <si>
    <t>AvanY-bok pravý /v187/h350/ biela</t>
  </si>
  <si>
    <t>AvanY-bok ľavý /v187/h400/ biela</t>
  </si>
  <si>
    <t>AvanY-bok pravý /v187/h400/ biela</t>
  </si>
  <si>
    <t>AvanY-bok ľavý /v187/h450/ biela</t>
  </si>
  <si>
    <t>AvanY-bok pravý /v187/h450/ biela</t>
  </si>
  <si>
    <t>AvanY-bok ľavý /v187/h500/ biela</t>
  </si>
  <si>
    <t>AvanY-bok pravý /v187/h500/ biela</t>
  </si>
  <si>
    <t>AvanY-bok ľavý /v187/h550/ biela</t>
  </si>
  <si>
    <t>AvanY-bok pravý /v187/h550/ biela</t>
  </si>
  <si>
    <t>AvanY-bok ľavý /v187/h600/ biela</t>
  </si>
  <si>
    <t>AvanY-bok pravý /v187/h600/ biela</t>
  </si>
  <si>
    <t>AvanY-bok ľavý /v187/h650/ biela</t>
  </si>
  <si>
    <t>AvanY-bok pravý /v187/h650/ biela</t>
  </si>
  <si>
    <t>AvanY-bok ľavý /v187/h270/ antracit</t>
  </si>
  <si>
    <t>AvanY-bok pravý /v187/h270/ antracit</t>
  </si>
  <si>
    <t>AvanY-bok ľavý /v187/h300/ antracit</t>
  </si>
  <si>
    <t>AvanY-bok pravý /v187/h300/ antracit</t>
  </si>
  <si>
    <t>AvanY-bok ľavý /v187/h350/ antracit</t>
  </si>
  <si>
    <t>AvanY-bok pravý /v187/h350/ antracit</t>
  </si>
  <si>
    <t>AvanY-bok ľavý /v187/h400/ antracit</t>
  </si>
  <si>
    <t>AvanY-bok pravý /v187/h400/ antracit</t>
  </si>
  <si>
    <t>AvanY-bok ľavý /v187/h450/ antracit</t>
  </si>
  <si>
    <t>AvanY-bok pravý /v187/h450/ antracit</t>
  </si>
  <si>
    <t>AvanY-bok ľavý /v187/h500/ antracit</t>
  </si>
  <si>
    <t>AvanY-bok pravý /v187/h500/ antracit</t>
  </si>
  <si>
    <t>AvanY-bok ľavý /v187/h550/ antracit</t>
  </si>
  <si>
    <t>AvanY-bok pravý /v187/h550/ antracit</t>
  </si>
  <si>
    <t>AvanY-bok ľavý /v187/h600/ antracit</t>
  </si>
  <si>
    <t>AvanY-bok pravý /v187/h600/ antracit</t>
  </si>
  <si>
    <t>AvanY-bok ľavý /v187/h650/ antracit</t>
  </si>
  <si>
    <t>AvanY-bok pravý /v187/h650/ antracit</t>
  </si>
  <si>
    <t>AvanY-prích.čela k naskrutk./ v187-251</t>
  </si>
  <si>
    <t>AvanY-prích.čela s rozp.púzdrom/ v187-251</t>
  </si>
  <si>
    <t>AvanY-bok ľavý /v251/h350/ strieborná</t>
  </si>
  <si>
    <t>AvanY-bok pravý /v251/h350/ strieborná</t>
  </si>
  <si>
    <t>AvanY-bok ľavý /v251/h400/ strieborná</t>
  </si>
  <si>
    <t>AvanY-bok pravý /v251/h400/ strieborná</t>
  </si>
  <si>
    <t>AvanY-bok ľavý /v251/h450/ strieborná</t>
  </si>
  <si>
    <t>AvanY-bok pravý /v251/h450/ strieborná</t>
  </si>
  <si>
    <t>AvanY-bok ľavý /v251/h500/ strieborná</t>
  </si>
  <si>
    <t>AvanY-bok pravý /v251/h500/ strieborná</t>
  </si>
  <si>
    <t>AvanY-bok ľavý /v251/h550/ strieborná</t>
  </si>
  <si>
    <t>AvanY-bok pravý /v251/h550/ strieborná</t>
  </si>
  <si>
    <t>AvanY-bok ľavý /v251/h600/ strieborná</t>
  </si>
  <si>
    <t>AvanY-bok pravý /v251/h600/ strieborná</t>
  </si>
  <si>
    <t>AvanY-bok ľavý /v251/h650/ strieborná</t>
  </si>
  <si>
    <t>AvanY-bok pravý /v251/h650/ strieborná</t>
  </si>
  <si>
    <t>AvanY-bok ľavý /v251/h350/ biela</t>
  </si>
  <si>
    <t>AvanY-bok pravý /v251/h350/ biela</t>
  </si>
  <si>
    <t>AvanY-bok ľavý /v251/h400/ biela</t>
  </si>
  <si>
    <t>AvanY-bok pravý /v251/h400/ biela</t>
  </si>
  <si>
    <t>AvanY-bok ľavý /v251/h450/ biela</t>
  </si>
  <si>
    <t>AvanY-bok pravý /v251/h450/ biela</t>
  </si>
  <si>
    <t>AvanY-bok ľavý /v251/h500/ biela</t>
  </si>
  <si>
    <t>AvanY-bok pravý /v251/h500/ biela</t>
  </si>
  <si>
    <t>AvanY-bok ľavý /v251/h550/ biela</t>
  </si>
  <si>
    <t>AvanY-bok pravý /v251/h550/ biela</t>
  </si>
  <si>
    <t>AvanY-bok ľavý /v251/h600/ biela</t>
  </si>
  <si>
    <t>AvanY-bok pravý /v251/h600/ biela</t>
  </si>
  <si>
    <t>AvanY-bok ľavý /v251/h650/ biela</t>
  </si>
  <si>
    <t>AvanY-bok pravý /v251/h650/ biela</t>
  </si>
  <si>
    <t>AvanY-bok ľavý /v251/h350/ antracit</t>
  </si>
  <si>
    <t>AvanY-bok pravý /v251/h350/ antracit</t>
  </si>
  <si>
    <t>AvanY-bok ľavý /v251/h400/ antracit</t>
  </si>
  <si>
    <t>AvanY-bok pravý /v251/h400/ antracit</t>
  </si>
  <si>
    <t>AvanY-bok ľavý /v251/h450/ antracit</t>
  </si>
  <si>
    <t>AvanY-bok pravý /v251/h450/ antracit</t>
  </si>
  <si>
    <t>AvanY-bok ľavý /v251/h500/ antracit</t>
  </si>
  <si>
    <t>AvanY-bok pravý /v251/h500/ antracit</t>
  </si>
  <si>
    <t>AvanY-bok ľavý /v251/h550/ antracit</t>
  </si>
  <si>
    <t>AvanY-bok pravý /v251/h550/ antracit</t>
  </si>
  <si>
    <t>AvanY-bok ľavý /v251/h600/ antracit</t>
  </si>
  <si>
    <t>AvanY-bok pravý /v251/h600/ antracit</t>
  </si>
  <si>
    <t>AvanY-bok ľavý /v251/h650/ antracit</t>
  </si>
  <si>
    <t>AvanY-bok pravý /v251/h650/ antracit</t>
  </si>
  <si>
    <t>AvanY-stabiliz.čela k naskrutk./ v251</t>
  </si>
  <si>
    <t>AvanY-stabiliz.čela s rozp.púzdrom/ v251</t>
  </si>
  <si>
    <t>AvanY-bok Inlay ľavý /v187/h350/ strieb.</t>
  </si>
  <si>
    <t>AvanY-bok Inlay pravý /v187/h350/ strieb.</t>
  </si>
  <si>
    <t>AvanY-bok Inlay ľavý /v187/h400/ strieb.</t>
  </si>
  <si>
    <t>AvanY-bok Inlay pravý /v187/h400/ strieb.</t>
  </si>
  <si>
    <t>AvanY-bok Inlay ľavý /v187/h450/ strieb.</t>
  </si>
  <si>
    <t>AvanY-bok Inlay pravý /v187/h450/ strieb.</t>
  </si>
  <si>
    <t>AvanY-bok Inlay ľavý /v187/h500/ strieb.</t>
  </si>
  <si>
    <t>AvanY-bok Inlay pravý /v187/h500/ strieb.</t>
  </si>
  <si>
    <t>AvanY-bok Inlay ľavý /v187/h550/ strieb.</t>
  </si>
  <si>
    <t>AvanY-bok Inlay pravý /v187/h550/ strieb.</t>
  </si>
  <si>
    <t>AvanY-bok Inlay ľavý /v187/h600/ strieb.</t>
  </si>
  <si>
    <t>AvanY-bok Inlay pravý /v187/h600/ strieb.</t>
  </si>
  <si>
    <t>AvanY-bok Inlay ľavý /v187/h650/ strieb.</t>
  </si>
  <si>
    <t>AvanY-bok Inlay pravý /v187/h650/ strieb.</t>
  </si>
  <si>
    <t>AvanY-bok Inlay ľavý /v187/h350/ biela</t>
  </si>
  <si>
    <t>AvanY-bok Inlay pravý /v187/h350/ biela</t>
  </si>
  <si>
    <t>AvanY-bok Inlay ľavý /v187/h400/ biela</t>
  </si>
  <si>
    <t>AvanY-bok Inlay pravý /v187/h400/ biela</t>
  </si>
  <si>
    <t>AvanY-bok Inlay ľavý /v187/h450/ biela</t>
  </si>
  <si>
    <t>AvanY-bok Inlay pravý /v187/h450/ biela</t>
  </si>
  <si>
    <t>AvanY-bok Inlay ľavý /v187/h500/ biela</t>
  </si>
  <si>
    <t>AvanY-bok Inlay pravý /v187/h500/ biela</t>
  </si>
  <si>
    <t>AvanY-bok Inlay ľavý /v187/h550/ biela</t>
  </si>
  <si>
    <t>AvanY-bok Inlay pravý /v187/h550/ biela</t>
  </si>
  <si>
    <t>AvanY-bok Inlay ľavý /v187/h600/ biela</t>
  </si>
  <si>
    <t>AvanY-bok Inlay pravý /v187/h600/ biela</t>
  </si>
  <si>
    <t>AvanY-bok Inlay ľavý /v187/h650/ biela</t>
  </si>
  <si>
    <t>AvanY-bok Inlay pravý /v187/h650/ biela</t>
  </si>
  <si>
    <t>AvanY-bok Inlay ľavý /v187/h350/ antr.</t>
  </si>
  <si>
    <t>AvanY-bok Inlay pravý /v187/h350/ antr.</t>
  </si>
  <si>
    <t>AvanY-bok Inlay ľavý /v187/h400/ antr.</t>
  </si>
  <si>
    <t>AvanY-bok Inlay pravý /v187/h400/ antr.</t>
  </si>
  <si>
    <t>AvanY-bok Inlay ľavý /v187/h450/ antr.</t>
  </si>
  <si>
    <t>AvanY-bok Inlay pravý /v187/h450/ antr.</t>
  </si>
  <si>
    <t>AvanY-bok Inlay ľavý /v187/h500/ antr.</t>
  </si>
  <si>
    <t>AvanY-bok Inlay pravý /v187/h500/ antr.</t>
  </si>
  <si>
    <t>AvanY-bok Inlay ľavý /v187/h550/ antr.</t>
  </si>
  <si>
    <t>AvanY-bok Inlay pravý /v187/h550/ antr.</t>
  </si>
  <si>
    <t>AvanY-bok Inlay ľavý /v187/h600/ antr.</t>
  </si>
  <si>
    <t>AvanY-bok Inlay pravý /v187/h600/ antr.</t>
  </si>
  <si>
    <t>AvanY-bok Inlay ľavý /v187/h650/ antr.</t>
  </si>
  <si>
    <t>AvanY-bok Inlay pravý /v187/h650/ antr.</t>
  </si>
  <si>
    <t>AvanY-prích.čela Inlay k naskrutk./ v187</t>
  </si>
  <si>
    <t>AvanY-prích.čela Inlay s rozp.púzdrom/ v187</t>
  </si>
  <si>
    <t>AvanY-adaptér pre bok Inlay /pre 8mm hr.</t>
  </si>
  <si>
    <t>AvanY-čelo vnút.zásuvky /v101/d2000/strieb.</t>
  </si>
  <si>
    <t>AvanY-čelo vnút.zásuvky /v139/d2000/strieb.</t>
  </si>
  <si>
    <t>AvanY-čelo vnút.zásuvky /v187/d2000/strieb.</t>
  </si>
  <si>
    <t>AvanY-čelo vnút.zásuvky /v101/d2000/biela</t>
  </si>
  <si>
    <t>AvanY-čelo vnút.zásuvky /v139/d2000/biela</t>
  </si>
  <si>
    <t>AvanY-čelo vnút.zásuvky /v187/d2000/biela</t>
  </si>
  <si>
    <t>AvanY-čelo vnút.zásuvky /v101/d2000/antr.</t>
  </si>
  <si>
    <t>AvanY-čelo vnút.zásuvky /v139/d2000/antr.</t>
  </si>
  <si>
    <t>AvanY-čelo vnút.zásuvky /v187/d2000/antr.</t>
  </si>
  <si>
    <t>AvanY-spojky čela vnút.zás./v101/strieb.</t>
  </si>
  <si>
    <t>AvanY-spojky čela vnút.zás./v139/strieb.</t>
  </si>
  <si>
    <t>AvanY-spojky čela vnút.zás./v187/strieb.</t>
  </si>
  <si>
    <t>AvanY-spojky čela vnút.zás./v101/biela</t>
  </si>
  <si>
    <t>AvanY-spojky čela vnút.zás./v139/biela</t>
  </si>
  <si>
    <t>AvanY-spojky čela vnút.zás./v187/biela</t>
  </si>
  <si>
    <t>AvanY-spojky čela vnút.zás./v101/antr.</t>
  </si>
  <si>
    <t>AvanY-spojky čela vnút.zás./v139/antr.</t>
  </si>
  <si>
    <t>AvanY-spojky čela vnút.zás./v187/antr.</t>
  </si>
  <si>
    <t>AvanY-spojky čela vnút.Inlay/v187/strieb.</t>
  </si>
  <si>
    <t>AvanY-spojky čela vnút.Inlay/v187/biela</t>
  </si>
  <si>
    <t>AvanY-spojky čela vnút.Inlay/v187/antr.</t>
  </si>
  <si>
    <t>AvanY-stabilizátor čela vnút.zásuvky</t>
  </si>
  <si>
    <t>AvanY-unášač vnútornej zásuvky ; sivá</t>
  </si>
  <si>
    <t>AvanY-unášač vnútornej zásuvky ; biela</t>
  </si>
  <si>
    <t>AvanY-unášač vnútornej zásuvky ; antracit</t>
  </si>
  <si>
    <t>AvanY-krytka čela vnút.zás./v101/strieb.</t>
  </si>
  <si>
    <t>AvanY-krytka čela vnút.zás./v139/strieb.</t>
  </si>
  <si>
    <t>AvanY-krytka čela vnút.zás./v187/strieb.</t>
  </si>
  <si>
    <t>AvanY-krytka čela vnút.zás./v101/biela</t>
  </si>
  <si>
    <t>AvanY-krytka čela vnút.zás./v139/biela</t>
  </si>
  <si>
    <t>AvanY-krytka čela vnút.zás./v187/biela</t>
  </si>
  <si>
    <t>AvanY-krytka čela vnút.zás./v101/antr.</t>
  </si>
  <si>
    <t>AvanY-krytka čela vnút.zás./v139/antr.</t>
  </si>
  <si>
    <t>AvanY-krytka čela vnút.zás./v187/ant.</t>
  </si>
  <si>
    <t>AvanY-indiv.čelo vnút.zásuv./d2000/strieb.</t>
  </si>
  <si>
    <t>AvanY-indiv.čelo vnút.zásuv./d2000/biela</t>
  </si>
  <si>
    <t>AvanY-indiv.čelo vnút.zásuv./d2000/antr.</t>
  </si>
  <si>
    <t>AvanY-spojky indiv.čela vnút./v187/strieb.</t>
  </si>
  <si>
    <t>AvanY-spojky indiv.čela vnút./v187/biela</t>
  </si>
  <si>
    <t>AvanY-spojky indiv.čela vnút./v187/antr.</t>
  </si>
  <si>
    <t>AvanY-spojky indiv.čela vn.Inlay/v187/strieb.</t>
  </si>
  <si>
    <t>AvanY-spojky indiv.čela vn.Inlay/v187/biela</t>
  </si>
  <si>
    <t>AvanY-spojky indiv.čela vn.Inlay/v187/antr.</t>
  </si>
  <si>
    <t>AvanY-design profil na bok 270/ hliník</t>
  </si>
  <si>
    <t>AvanY-design profil na bok 300/ hliník</t>
  </si>
  <si>
    <t>AvanY-design profil na bok 350/ hliník</t>
  </si>
  <si>
    <t>AvanY-design profil na bok 400/ hliník</t>
  </si>
  <si>
    <t>AvanY-design profil na bok 450/ hliník</t>
  </si>
  <si>
    <t>AvanY-design profil na bok 500/ hliník</t>
  </si>
  <si>
    <t>AvanY-design profil na bok 550/ hliník</t>
  </si>
  <si>
    <t>AvanY-design profil na bok 600/ hliník</t>
  </si>
  <si>
    <t>AvanY-design profil na bok 650/ hliník</t>
  </si>
  <si>
    <t>AvanY-design profil na bok 270/ chróm</t>
  </si>
  <si>
    <t>AvanY-design profil na bok 300/ chróm</t>
  </si>
  <si>
    <t>AvanY-design profil na bok 350/ chróm</t>
  </si>
  <si>
    <t>AvanY-design profil na bok 400/ chróm</t>
  </si>
  <si>
    <t>AvanY-design profil na bok 450/ chróm</t>
  </si>
  <si>
    <t>AvanY-design profil na bok 500/ chróm</t>
  </si>
  <si>
    <t>AvanY-design profil na bok 550/ chróm</t>
  </si>
  <si>
    <t>AvanY-design profil na bok 600/ chróm</t>
  </si>
  <si>
    <t>AvanY-design profil na bok 650/ chróm</t>
  </si>
  <si>
    <t>AvanY-design profil na bok 270/ dub</t>
  </si>
  <si>
    <t>AvanY-design profil na bok 300/ dub</t>
  </si>
  <si>
    <t>AvanY-design profil na bok 350/ dub</t>
  </si>
  <si>
    <t>AvanY-design profil na bok 400/ dub</t>
  </si>
  <si>
    <t>AvanY-design profil na bok 450/ dub</t>
  </si>
  <si>
    <t>AvanY-design profil na bok 500/ dub</t>
  </si>
  <si>
    <t>AvanY-design profil na bok 550/ dub</t>
  </si>
  <si>
    <t>AvanY-design profil na bok 600/ dub</t>
  </si>
  <si>
    <t>AvanY-design profil na bok 650/ dub</t>
  </si>
  <si>
    <t>AvanY-design profil na bok 270/ orech</t>
  </si>
  <si>
    <t>AvanY-design profil na bok 300/ orech</t>
  </si>
  <si>
    <t>AvanY-design profil na bok 350/ orech</t>
  </si>
  <si>
    <t>AvanY-design profil na bok 400/ orech</t>
  </si>
  <si>
    <t>AvanY-design profil na bok 450/ orech</t>
  </si>
  <si>
    <t>AvanY-design profil na bok 500/ orech</t>
  </si>
  <si>
    <t>AvanY-design profil na bok 550/ orech</t>
  </si>
  <si>
    <t>AvanY-design profil na bok 600/ orech</t>
  </si>
  <si>
    <t>AvanY-design profil na bok 650/ orech</t>
  </si>
  <si>
    <t>AvanY-design profil na bok /2000mm/sivá</t>
  </si>
  <si>
    <t>AvanY-DesignCape /v101/dĺ-2000mm/ALU</t>
  </si>
  <si>
    <t>AvanY-DesignCape /v187/dĺ-2000mm/ALU</t>
  </si>
  <si>
    <t>AvanY-DesignCape /v101/dĺ-2000mm/nerez</t>
  </si>
  <si>
    <t>AvanY-DesignCape /v187/dĺ-2000mm/nerez</t>
  </si>
  <si>
    <t>AvanY-krytka s logom Hettich/strieb.</t>
  </si>
  <si>
    <t>AvanY-krytka s logom Hettich/biela</t>
  </si>
  <si>
    <t>AvanY-krytka s logom Hettich/antr.</t>
  </si>
  <si>
    <t>AvanY-krytka bez loga Hettich/strieb.</t>
  </si>
  <si>
    <t>AvanY-krytka bez loga Hettich/biela</t>
  </si>
  <si>
    <t>AvanY-krytka bez loga Hettich/antr.</t>
  </si>
  <si>
    <t>AvanY-Inlay sklenené boky 350mm; 2 x sklo</t>
  </si>
  <si>
    <t>AvanY-Inlay sklenené boky 400mm; 2 x sklo</t>
  </si>
  <si>
    <t>AvanY-Inlay sklenené boky 450mm; 2 x sklo</t>
  </si>
  <si>
    <t>AvanY-Inlay sklenené boky 500mm; 2 x sklo</t>
  </si>
  <si>
    <t>AvanY-Inlay sklenené boky 550mm; 2 x sklo</t>
  </si>
  <si>
    <t>AvanY-Inlay sklenené boky 600mm; 2 x sklo</t>
  </si>
  <si>
    <t>AvanY-Inlay sklenené boky 650mm; 2 x sklo</t>
  </si>
  <si>
    <t>AvanY-sklo pre vnút.čelo /v66/s450/hr16</t>
  </si>
  <si>
    <t>AvanY-sklo pre vnút.čelo /v66/s600/hr16</t>
  </si>
  <si>
    <t>AvanY-sklo pre vnút.čelo /v66/s900/hr16</t>
  </si>
  <si>
    <t>AvanY-sklo pre vnút.čelo /v66/s1200/hr16</t>
  </si>
  <si>
    <t>AvanY-sklo pre vnút.čelo /v66/s450/hr18</t>
  </si>
  <si>
    <t>AvanY-sklo pre vnút.čelo /v66/s600/hr18</t>
  </si>
  <si>
    <t>AvanY-sklo pre vnút.čelo /v66/s900/hr18</t>
  </si>
  <si>
    <t>AvanY-sklo pre vnút.čelo /v66/s1200/hr18</t>
  </si>
  <si>
    <t>AvanY-sklo pre vnút.čelo /v66/s450/hr19</t>
  </si>
  <si>
    <t>AvanY-sklo pre vnút.čelo /v66/s600/hr19</t>
  </si>
  <si>
    <t>AvanY-sklo pre vnút.čelo /v66/s900/hr19</t>
  </si>
  <si>
    <t>AvanY-sklo pre vnút.čelo /v66/s1200/hr19</t>
  </si>
  <si>
    <t>AvanY-sklo pre vnút.čelo /v130/s450/hr16</t>
  </si>
  <si>
    <t>AvanY-sklo pre vnút.čelo /v130/s600/hr16</t>
  </si>
  <si>
    <t>AvanY-sklo pre vnút.čelo /v130/s900/hr16</t>
  </si>
  <si>
    <t>AvanY-sklo pre vnút.čelo /v130/s1200/hr16</t>
  </si>
  <si>
    <t>AvanY-sklo pre vnút.čelo /v130/s450/hr18</t>
  </si>
  <si>
    <t>AvanY-sklo pre vnút.čelo /v130/s600/hr18</t>
  </si>
  <si>
    <t>AvanY-sklo pre vnút.čelo /v130/s900/hr18</t>
  </si>
  <si>
    <t>AvanY-sklo pre vnút.čelo /v130/s1200/hr18</t>
  </si>
  <si>
    <t>AvanY-sklo pre vnút.čelo /v130/s450/hr19</t>
  </si>
  <si>
    <t>AvanY-sklo pre vnút.čelo /v130/s600/hr19</t>
  </si>
  <si>
    <t>AvanY-sklo pre vnút.čelo /v130/s900/hr19</t>
  </si>
  <si>
    <t>AvanY-sklo pre vnút.čelo /v130/s1200/hr19</t>
  </si>
  <si>
    <t>Skrutka s polgul.hlavou 3,5x6,5mm</t>
  </si>
  <si>
    <t>Skrutka s polgul.hlavou 3,5x12mm</t>
  </si>
  <si>
    <t>Skrutka s polgul.hlavou 3,5x20mm</t>
  </si>
  <si>
    <t>Skrutka s polgul.hlavou 3,5x30mm</t>
  </si>
  <si>
    <t>Skrutka s polgul.hlavou M3,5x12mm</t>
  </si>
  <si>
    <t>EURO-skrutka  6,0x14mm / niklovaná</t>
  </si>
  <si>
    <t>Actro You(S) 270/SiSy 10kg; EB21</t>
  </si>
  <si>
    <t>Actro You(S) 300/SiSy 10kg; EB21</t>
  </si>
  <si>
    <t>Actro You(S) 350/SiSy 10kg; EB21</t>
  </si>
  <si>
    <t>Actro You(S) 270/SiSy 10kg; EB21; ľavý</t>
  </si>
  <si>
    <t>Actro You(S) 270/SiSy 10kg; EB21; pravý</t>
  </si>
  <si>
    <t>Actro You(S) 300/SiSy 10kg; EB21; ľavý</t>
  </si>
  <si>
    <t>Actro You(S) 300/SiSy 10kg; EB21; pravý</t>
  </si>
  <si>
    <t>Actro You(S) 350/SiSy 10kg; EB21; ľavý</t>
  </si>
  <si>
    <t>Actro You(S) 350/SiSy 10kg; EB21; pravý</t>
  </si>
  <si>
    <t>Actro You(L) 270/SiSy 40kg; EB21</t>
  </si>
  <si>
    <t>Actro You(L) 300/SiSy 40kg; EB21</t>
  </si>
  <si>
    <t>Actro You(L) 350/SiSy 40kg; EB21</t>
  </si>
  <si>
    <t>Actro You(L) 400/SiSy 40kg; EB21</t>
  </si>
  <si>
    <t>Actro You(L) 450/SiSy 40kg; EB21</t>
  </si>
  <si>
    <t>Actro You(L) 500/SiSy 40kg; EB21</t>
  </si>
  <si>
    <t>Actro You(L) 550/SiSy 40kg; EB21</t>
  </si>
  <si>
    <t>Actro You(L) 600/SiSy 40kg; EB21</t>
  </si>
  <si>
    <t>Actro You(L) 270/SiSy 40kg; EB21; ľavý</t>
  </si>
  <si>
    <t>Actro You(L) 270/SiSy 40kg; EB21; pravý</t>
  </si>
  <si>
    <t>Actro You(L) 300/SiSy 40kg; EB21; ľavý</t>
  </si>
  <si>
    <t>Actro You(L) 300/SiSy 40kg; EB21; pravý</t>
  </si>
  <si>
    <t>Actro You(L) 350/SiSy 40kg; EB21; ľavý</t>
  </si>
  <si>
    <t>Actro You(L) 350/SiSy 40kg; EB21; pravý</t>
  </si>
  <si>
    <t>Actro You(L) 400/SiSy 40kg; EB21; ľavý</t>
  </si>
  <si>
    <t>Actro You(L) 400/SiSy 40kg; EB21; pravý</t>
  </si>
  <si>
    <t>Actro You(L) 450/SiSy 40kg; EB21; ľavý</t>
  </si>
  <si>
    <t>Actro You(L) 450/SiSy 40kg; EB21; pravý</t>
  </si>
  <si>
    <t>Actro You(L) 500/SiSy 40kg; EB21; ľavý</t>
  </si>
  <si>
    <t>Actro You(L) 500/SiSy 40kg; EB21; pravý</t>
  </si>
  <si>
    <t>Actro You(L) 550/SiSy 40kg; EB21; ľavý</t>
  </si>
  <si>
    <t>Actro You(L) 550/SiSy 40kg; EB21; pravý</t>
  </si>
  <si>
    <t>Actro You(L) 600/SiSy 40kg; EB21; ľavý</t>
  </si>
  <si>
    <t>Actro You(L) 600/SiSy 40kg; EB21; pravý</t>
  </si>
  <si>
    <t>Actro You(XL) 450/SiSy 70kg; EB21</t>
  </si>
  <si>
    <t>Actro You(XL) 500/SiSy 70kg; EB21</t>
  </si>
  <si>
    <t>Actro You(XL) 550/SiSy 70kg; EB21</t>
  </si>
  <si>
    <t>Actro You(XL) 600/SiSy 70kg; EB21</t>
  </si>
  <si>
    <t>Actro You(XL) 650/SiSy 70kg; EB21</t>
  </si>
  <si>
    <t>Actro You(XL) 450/SiSy 70kg; EB21; ľavý</t>
  </si>
  <si>
    <t>Actro You(XL) 450/SiSy 70kg; EB21; pravý</t>
  </si>
  <si>
    <t>Actro You(XL) 500/SiSy 70kg; EB21; ľavý</t>
  </si>
  <si>
    <t>Actro You(XL) 500/SiSy 70kg; EB21; pravý</t>
  </si>
  <si>
    <t>Actro You(XL) 550/SiSy 70kg; EB21; ľavý</t>
  </si>
  <si>
    <t>Actro You(XL) 550/SiSy 70kg; EB21; pravý</t>
  </si>
  <si>
    <t>Actro You(XL) 600/SiSy 70kg; EB21; ľavý</t>
  </si>
  <si>
    <t>Actro You(XL) 600/SiSy 70kg; EB21; pravý</t>
  </si>
  <si>
    <t>Actro You(XL) 650/SiSy 70kg; EB21; ľavý</t>
  </si>
  <si>
    <t>Actro You(XL) 650/SiSy 70kg; EB21; pravý</t>
  </si>
  <si>
    <t>Actro You - Push to open Silent; &lt;10kg</t>
  </si>
  <si>
    <t>Actro You - Push to open Silent; 8-20kg</t>
  </si>
  <si>
    <t>Actro You - Push to open Silent; 10-40kg</t>
  </si>
  <si>
    <t>Actro You - Push to open Silent; 20-70kg</t>
  </si>
  <si>
    <t>Push to open Synchro / tyč 2.000 mm</t>
  </si>
  <si>
    <t>Push to open Synchro / spojka</t>
  </si>
  <si>
    <t>Push to open Synchro /dvojitý adap.Actro</t>
  </si>
  <si>
    <t>Push to open Synchro /flexibilný adaptér</t>
  </si>
  <si>
    <t>Push to open Synchro /posunutie tyče</t>
  </si>
  <si>
    <t>Quadro You(S) 270/SiSy 10kg; EB21</t>
  </si>
  <si>
    <t>Quadro You(S) 300/SiSy 10kg; EB21</t>
  </si>
  <si>
    <t>Quadro You(S) 350/SiSy 10kg; EB21</t>
  </si>
  <si>
    <t>Quadro You(S) 270/SiSy 10kg; EB21; ľavý</t>
  </si>
  <si>
    <t>Quadro You(S) 270/SiSy 10kg; EB21; pravý</t>
  </si>
  <si>
    <t>Quadro You(S) 300/SiSy 10kg; EB21; ľavý</t>
  </si>
  <si>
    <t>Quadro You(S) 300/SiSy 10kg; EB21; pravý</t>
  </si>
  <si>
    <t>Quadro You(S) 350/SiSy 10kg; EB21; ľavý</t>
  </si>
  <si>
    <t>Quadro You(S) 350/SiSy 10kg; EB21; pravý</t>
  </si>
  <si>
    <t>Quadro You(M) 270/SiSy 20kg; EB21</t>
  </si>
  <si>
    <t>Quadro You(M) 300/SiSy 20kg; EB21</t>
  </si>
  <si>
    <t>Quadro You(M) 350/SiSy 25kg; EB21</t>
  </si>
  <si>
    <t>Quadro You(M) 400/SiSy 30kg; EB21</t>
  </si>
  <si>
    <t>Quadro You(M) 450/SiSy 30kg; EB21</t>
  </si>
  <si>
    <t>Quadro You(M) 500/SiSy 30kg; EB21</t>
  </si>
  <si>
    <t>Quadro You(M) 550/SiSy 30kg; EB21</t>
  </si>
  <si>
    <t>Quadro You(M) 600/SiSy 25kg; EB21</t>
  </si>
  <si>
    <t>Quadro You(M) 270/SiSy 20kg; EB21; ľavý</t>
  </si>
  <si>
    <t>Quadro You(M) 270/SiSy 20kg; EB21; pravý</t>
  </si>
  <si>
    <t>Quadro You(M) 300/SiSy 20kg; EB21; ľavý</t>
  </si>
  <si>
    <t>Quadro You(M) 300/SiSy 20kg; EB21; pravý</t>
  </si>
  <si>
    <t>Quadro You(M) 350/SiSy 25kg; EB21; ľavý</t>
  </si>
  <si>
    <t>Quadro You(M) 350/SiSy 25kg; EB21; pravý</t>
  </si>
  <si>
    <t>Quadro You(M) 400/SiSy 30kg; EB21; ľavý</t>
  </si>
  <si>
    <t>Quadro You(M) 400/SiSy 30kg; EB21; pravý</t>
  </si>
  <si>
    <t>Quadro You(M) 450/SiSy 30kg; EB21; ľavý</t>
  </si>
  <si>
    <t>Quadro You(M) 450/SiSy 30kg; EB21; pravý</t>
  </si>
  <si>
    <t>Quadro You(M) 500/SiSy 30kg; EB21; ľavý</t>
  </si>
  <si>
    <t>Quadro You(M) 500/SiSy 30kg; EB21; pravý</t>
  </si>
  <si>
    <t>Quadro You(M) 550/SiSy 30kg; EB21; ľavý</t>
  </si>
  <si>
    <t>Quadro You(M) 550/SiSy 30kg; EB21; pravý</t>
  </si>
  <si>
    <t>Quadro You(M) 600/SiSy 25kg; EB21; ľavý</t>
  </si>
  <si>
    <t>Quadro You(M) 600/SiSy 25kg; EB21; pravý</t>
  </si>
  <si>
    <t>Quadro You - Push to open Silent; &lt;10kg</t>
  </si>
  <si>
    <t>Quadro You - Push to open Silent; 8-20kg</t>
  </si>
  <si>
    <t>Quadro You - Push to open Silent; 10-30kg</t>
  </si>
  <si>
    <t>Quadro You(M) 270/P2O 20kg; EB21</t>
  </si>
  <si>
    <t>Quadro You(M) 300/P2O 20kg; EB21</t>
  </si>
  <si>
    <t>Quadro You(M) 350/P2O 25kg; EB21</t>
  </si>
  <si>
    <t>Quadro You(M) 400/P2O 30kg; EB21</t>
  </si>
  <si>
    <t>Quadro You(M) 450/P2O 30kg; EB21</t>
  </si>
  <si>
    <t>Quadro You(M) 500/P2O 30kg; EB21</t>
  </si>
  <si>
    <t>Quadro You(M) 550/P2O 30kg; EB21</t>
  </si>
  <si>
    <t>Quadro You(M) 600/P2O 25kg; EB21</t>
  </si>
  <si>
    <t>Quadro You(M) 270/P2O 20kg; EB21; ľavý</t>
  </si>
  <si>
    <t>Quadro You(M) 270/P2O 20kg; EB21; pravý</t>
  </si>
  <si>
    <t>Quadro You(M) 300/P2O 20kg; EB21; ľavý</t>
  </si>
  <si>
    <t>Quadro You(M) 300/P2O 20kg; EB21; pravý</t>
  </si>
  <si>
    <t>Quadro You(M) 350/P2O 25kg; EB21; ľavý</t>
  </si>
  <si>
    <t>Quadro You(M) 350/P2O 25kg; EB21; pravý</t>
  </si>
  <si>
    <t>Quadro You(M) 400/P2O 30kg; EB21; ľavý</t>
  </si>
  <si>
    <t>Quadro You(M) 400/P2O 30kg; EB21; pravý</t>
  </si>
  <si>
    <t>Quadro You(M) 450/P2O 30kg; EB21; ľavý</t>
  </si>
  <si>
    <t>Quadro You(M) 450/P2O 30kg; EB21; pravý</t>
  </si>
  <si>
    <t>Quadro You(M) 500/P2O 30kg; EB21; ľavý</t>
  </si>
  <si>
    <t>Quadro You(M) 500/P2O 30kg; EB21; pravý</t>
  </si>
  <si>
    <t>Quadro You(M) 550/P2O 30kg; EB21; ľavý</t>
  </si>
  <si>
    <t>Quadro You(M) 550/P2O 30kg; EB21; pravý</t>
  </si>
  <si>
    <t>Quadro You(M) 600/P2O 25kg; EB21; ľavý</t>
  </si>
  <si>
    <t>Quadro You(M) 600/P2O 25kg; EB21; pravý</t>
  </si>
  <si>
    <t>Push to open Synchro / adaptér typ A</t>
  </si>
  <si>
    <t>SENSYS 8657i 165st. B12,5/TH52</t>
  </si>
  <si>
    <t>SENSYS 8657 165st. B12,5/TH52 (bez SiSy)</t>
  </si>
  <si>
    <t>SENSYS 8687 165st. B12,5/TH52 (pre P2O)</t>
  </si>
  <si>
    <t>Podložka SENSYS k naskrut./D=1,5 mm</t>
  </si>
  <si>
    <t>Podlož.SENSYS s predm.skr.D=1,5(exc.)</t>
  </si>
  <si>
    <t>tel. (+421) 032 65 83 885</t>
  </si>
  <si>
    <t>fax (+420) 032 65 83 884</t>
  </si>
  <si>
    <t>hcr-objednavkysr@hettich.com</t>
  </si>
  <si>
    <t>AvanY-design ALprofil Hybrid na bok 270/ strieb.</t>
  </si>
  <si>
    <t>AvanY-design ALprofil Hybrid na bok 300/ strieb.</t>
  </si>
  <si>
    <t>AvanY-design ALprofil Hybrid na bok 350/ strieb.</t>
  </si>
  <si>
    <t>AvanY-design ALprofil Hybrid na bok 400/ strieb.</t>
  </si>
  <si>
    <t>AvanY-design ALprofil Hybrid na bok 450/ strieb.</t>
  </si>
  <si>
    <t>AvanY-design ALprofil Hybrid na bok 500/ strieb.</t>
  </si>
  <si>
    <t>AvanY-design ALprofil Hybrid na bok 550/ strieb.</t>
  </si>
  <si>
    <t>AvanY-design ALprofil Hybrid na bok 600/ strieb.</t>
  </si>
  <si>
    <t>AvanY-design ALprofil Hybrid na bok 650/ strieb.</t>
  </si>
  <si>
    <t>AvanY-design ALprofil Hybrid na bok 270/ biela</t>
  </si>
  <si>
    <t>AvanY-design ALprofil Hybrid na bok 300/ biela</t>
  </si>
  <si>
    <t>AvanY-design ALprofil Hybrid na bok 350/ biela</t>
  </si>
  <si>
    <t>AvanY-design ALprofil Hybrid na bok 400/ biela</t>
  </si>
  <si>
    <t>AvanY-design ALprofil Hybrid na bok 450/ biela</t>
  </si>
  <si>
    <t>AvanY-design ALprofil Hybrid na bok 500/ biela</t>
  </si>
  <si>
    <t>AvanY-design ALprofil Hybrid na bok 550/ biela</t>
  </si>
  <si>
    <t>AvanY-design ALprofil Hybrid na bok 600/ biela</t>
  </si>
  <si>
    <t>AvanY-design ALprofil Hybrid na bok 650/ biela</t>
  </si>
  <si>
    <t>AvanY-design ALprofil Hybrid na bok 270/ antracit</t>
  </si>
  <si>
    <t>AvanY-design ALprofil Hybrid na bok 300/ antracit</t>
  </si>
  <si>
    <t>AvanY-design ALprofil Hybrid na bok 350/ antracit</t>
  </si>
  <si>
    <t>AvanY-design ALprofil Hybrid na bok 400/ antracit</t>
  </si>
  <si>
    <t>AvanY-design ALprofil Hybrid na bok 450/ antracit</t>
  </si>
  <si>
    <t>AvanY-design ALprofil Hybrid na bok 500/ antracit</t>
  </si>
  <si>
    <t>AvanY-design ALprofil Hybrid na bok 550/ antracit</t>
  </si>
  <si>
    <t>AvanY-design ALprofil Hybrid na bok 600/ antracit</t>
  </si>
  <si>
    <t>AvanY-design ALprofil Hybrid na bok 650/ antracit</t>
  </si>
  <si>
    <t>AvanY-design ALprofil Hybrid na bok 270/ nerez</t>
  </si>
  <si>
    <t>AvanY-design ALprofil Hybrid na bok 300/ nerez</t>
  </si>
  <si>
    <t>AvanY-design ALprofil Hybrid na bok 350/ nerez</t>
  </si>
  <si>
    <t>AvanY-design ALprofil Hybrid na bok 400/ nerez</t>
  </si>
  <si>
    <t>AvanY-design ALprofil Hybrid na bok 450/ nerez</t>
  </si>
  <si>
    <t>AvanY-design ALprofil Hybrid na bok 500/ nerez</t>
  </si>
  <si>
    <t>AvanY-design ALprofil Hybrid na bok 550/ nerez</t>
  </si>
  <si>
    <t>AvanY-design ALprofil Hybrid na bok 600/ nerez</t>
  </si>
  <si>
    <t>AvanY-design ALprofil Hybrid na bok 650/ nerez</t>
  </si>
  <si>
    <t>AvanY-sólo oceľ.boky-NW 77/400mm/strieb.</t>
  </si>
  <si>
    <t>AvanY-sólo oceľ.boky-NW 77/450mm/strieb.</t>
  </si>
  <si>
    <t>AvanY-sólo oceľ.boky-NW 77/500mm/strieb.</t>
  </si>
  <si>
    <t>AvanY-sólo oceľ.boky-NW 77/550mm/strieb.</t>
  </si>
  <si>
    <t>AvanY-sólo oceľ.boky-NW 77/400mm/biela</t>
  </si>
  <si>
    <t>AvanY-sólo oceľ.boky-NW 77/450mm/biela</t>
  </si>
  <si>
    <t>AvanY-sólo oceľ.boky-NW 77/500mm/biela</t>
  </si>
  <si>
    <t>AvanY-sólo oceľ.boky-NW 77/550mm/biela</t>
  </si>
  <si>
    <t>AvanY-sólo oceľ.boky-NW 77/400mm/antracit</t>
  </si>
  <si>
    <t>AvanY-sólo oceľ.boky-NW 77/450mm/antracit</t>
  </si>
  <si>
    <t>AvanY-sólo oceľ.boky-NW 77/500mm/antracit</t>
  </si>
  <si>
    <t>AvanY-sólo oceľ.boky-NW 77/550mm/antracit</t>
  </si>
  <si>
    <t>AvanY-sólo oceľ.boky-NW 101/400mm/strieb.</t>
  </si>
  <si>
    <t>AvanY-sólo oceľ.boky-NW 101/450mm/strieb.</t>
  </si>
  <si>
    <t>AvanY-sólo oceľ.boky-NW 101/500mm/strieb.</t>
  </si>
  <si>
    <t>AvanY-sólo oceľ.boky-NW 101/550mm/strieb.</t>
  </si>
  <si>
    <t>AvanY-sólo oceľ.boky-NW 101/600mm/strieb.</t>
  </si>
  <si>
    <t>AvanY-sólo oceľ.boky-NW 101/650mm/strieb.</t>
  </si>
  <si>
    <t>AvanY-sólo oceľ.boky-NW 101/270mm/biela</t>
  </si>
  <si>
    <t>AvanY-sólo oceľ.boky-NW 101/300mm/biela</t>
  </si>
  <si>
    <t>AvanY-sólo oceľ.boky-NW 101/350mm/biela</t>
  </si>
  <si>
    <t>AvanY-sólo oceľ.boky-NW 101/400mm/biela</t>
  </si>
  <si>
    <t>AvanY-sólo oceľ.boky-NW 101/450mm/biela</t>
  </si>
  <si>
    <t>AvanY-sólo oceľ.boky-NW 101/500mm/biela</t>
  </si>
  <si>
    <t>AvanY-sólo oceľ.boky-NW 101/550mm/biela</t>
  </si>
  <si>
    <t>AvanY-sólo oceľ.boky-NW 101/600mm/biela</t>
  </si>
  <si>
    <t>AvanY-sólo oceľ.boky-NW 101/650mm/biela</t>
  </si>
  <si>
    <t>AvanY-sólo oceľ.boky-NW 101/270mm/antracit</t>
  </si>
  <si>
    <t>AvanY-sólo oceľ.boky-NW 101/300mm/antracit</t>
  </si>
  <si>
    <t>AvanY-sólo oceľ.boky-NW 101/350mm/antracit</t>
  </si>
  <si>
    <t>AvanY-sólo oceľ.boky-NW 101/400mm/antracit</t>
  </si>
  <si>
    <t>AvanY-sólo oceľ.boky-NW 101/450mm/antracit</t>
  </si>
  <si>
    <t>AvanY-sólo oceľ.boky-NW 101/500mm/antracit</t>
  </si>
  <si>
    <t>AvanY-sólo oceľ.boky-NW 101/550mm/antracit</t>
  </si>
  <si>
    <t>AvanY-sólo oceľ.boky-NW 101/600mm/antracit</t>
  </si>
  <si>
    <t>AvanY-sólo oceľ.boky-NW 101/650mm/antracit</t>
  </si>
  <si>
    <t>AvanY-sólo oceľ.boky-NW 139/270mm/strieb.</t>
  </si>
  <si>
    <t>AvanY-sólo oceľ.boky-NW 139/300mm/strieb.</t>
  </si>
  <si>
    <t>AvanY-sólo oceľ.boky-NW 139/350mm/strieb.</t>
  </si>
  <si>
    <t>AvanY-sólo oceľ.boky-NW 139/400mm/strieb.</t>
  </si>
  <si>
    <t>AvanY-sólo oceľ.boky-NW 139/450mm/strieb.</t>
  </si>
  <si>
    <t>AvanY-sólo oceľ.boky-NW 139/500mm/strieb.</t>
  </si>
  <si>
    <t>AvanY-sólo oceľ.boky-NW 139/550mm/strieb.</t>
  </si>
  <si>
    <t>AvanY-sólo oceľ.boky-NW 139/600mm/strieb.</t>
  </si>
  <si>
    <t>AvanY-sólo oceľ.boky-NW 139/650mm/strieb.</t>
  </si>
  <si>
    <t>AvanY-sólo oceľ.boky-NW 139/270mm/biela</t>
  </si>
  <si>
    <t>AvanY-sólo oceľ.boky-NW 139/300mm/biela</t>
  </si>
  <si>
    <t>AvanY-sólo oceľ.boky-NW 139/350mm/biela</t>
  </si>
  <si>
    <t>AvanY-sólo oceľ.boky-NW 139/400mm/biela</t>
  </si>
  <si>
    <t>AvanY-sólo oceľ.boky-NW 139/450mm/biela</t>
  </si>
  <si>
    <t>AvanY-sólo oceľ.boky-NW 139/500mm/biela</t>
  </si>
  <si>
    <t>AvanY-sólo oceľ.boky-NW 139/550mm/biela</t>
  </si>
  <si>
    <t>AvanY-sólo oceľ.boky-NW 139/600mm/biela</t>
  </si>
  <si>
    <t>AvanY-sólo oceľ.boky-NW 139/650mm/biela</t>
  </si>
  <si>
    <t>AvanY-sólo oceľ.boky-NW 139/270mm/antracit</t>
  </si>
  <si>
    <t>AvanY-sólo oceľ.boky-NW 139/300mm/antracit</t>
  </si>
  <si>
    <t>AvanY-sólo oceľ.boky-NW 139/350mm/antracit</t>
  </si>
  <si>
    <t>AvanY-sólo oceľ.boky-NW 139/400mm/antracit</t>
  </si>
  <si>
    <t>AvanY-sólo oceľ.boky-NW 139/450mm/antracit</t>
  </si>
  <si>
    <t>AvanY-sólo oceľ.boky-NW 139/500mm/antracit</t>
  </si>
  <si>
    <t>AvanY-sólo oceľ.boky-NW 139/550mm/antracit</t>
  </si>
  <si>
    <t>AvanY-sólo oceľ.boky-NW 139/600mm/antracit</t>
  </si>
  <si>
    <t>AvanY-sólo oceľ.boky-NW 139/650mm/antracit</t>
  </si>
  <si>
    <t>AvanY-sólo oceľ.boky-NW 187/270mm/strieb.</t>
  </si>
  <si>
    <t>AvanY-sólo oceľ.boky-NW 187/300mm/strieb.</t>
  </si>
  <si>
    <t>AvanY-sólo oceľ.boky-NW 187/350mm/strieb.</t>
  </si>
  <si>
    <t>AvanY-sólo oceľ.boky-NW 187/400mm/strieb.</t>
  </si>
  <si>
    <t>AvanY-sólo oceľ.boky-NW 187/450mm/strieb.</t>
  </si>
  <si>
    <t>AvanY-sólo oceľ.boky-NW 187/500mm/strieb.</t>
  </si>
  <si>
    <t>AvanY-sólo oceľ.boky-NW 187/550mm/strieb.</t>
  </si>
  <si>
    <t>AvanY-sólo oceľ.boky-NW 187/600mm/strieb.</t>
  </si>
  <si>
    <t>AvanY-sólo oceľ.boky-NW 187/650mm/strieb.</t>
  </si>
  <si>
    <t>AvanY-sólo oceľ.boky-NW 187/270mm/biela</t>
  </si>
  <si>
    <t>AvanY-sólo oceľ.boky-NW 187/300mm/biela</t>
  </si>
  <si>
    <t>AvanY-sólo oceľ.boky-NW 187/350mm/biela</t>
  </si>
  <si>
    <t>AvanY-sólo oceľ.boky-NW 187/400mm/biela</t>
  </si>
  <si>
    <t>AvanY-sólo oceľ.boky-NW 187/450mm/biela</t>
  </si>
  <si>
    <t>AvanY-sólo oceľ.boky-NW 187/500mm/biela</t>
  </si>
  <si>
    <t>AvanY-sólo oceľ.boky-NW 187/550mm/biela</t>
  </si>
  <si>
    <t>AvanY-sólo oceľ.boky-NW 187/600mm/biela</t>
  </si>
  <si>
    <t>AvanY-sólo oceľ.boky-NW 187/650mm/biela</t>
  </si>
  <si>
    <t>AvanY-sólo oceľ.boky-NW 187/270mm/antracit</t>
  </si>
  <si>
    <t>AvanY-sólo oceľ.boky-NW 187/300mm/antracit</t>
  </si>
  <si>
    <t>AvanY-sólo oceľ.boky-NW 187/350mm/antracit</t>
  </si>
  <si>
    <t>AvanY-sólo oceľ.boky-NW 187/400mm/antracit</t>
  </si>
  <si>
    <t>AvanY-sólo oceľ.boky-NW 187/450mm/antracit</t>
  </si>
  <si>
    <t>AvanY-sólo oceľ.boky-NW 187/500mm/antracit</t>
  </si>
  <si>
    <t>AvanY-sólo oceľ.boky-NW 187/550mm/antracit</t>
  </si>
  <si>
    <t>AvanY-sólo oceľ.boky-NW 187/600mm/antracit</t>
  </si>
  <si>
    <t>AvanY-sólo oceľ.boky-NW 187/650mm/antracit</t>
  </si>
  <si>
    <t>AvanY-sólo oceľ.boky-NW 251/350mm/strieb.</t>
  </si>
  <si>
    <t>AvanY-sólo oceľ.boky-NW 251/400mm/strieb.</t>
  </si>
  <si>
    <t>AvanY-sólo oceľ.boky-NW 251/450mm/strieb.</t>
  </si>
  <si>
    <t>AvanY-sólo oceľ.boky-NW 251/500mm/strieb.</t>
  </si>
  <si>
    <t>AvanY-sólo oceľ.boky-NW 251/550mm/strieb.</t>
  </si>
  <si>
    <t>AvanY-sólo oceľ.boky-NW 251/600mm/strieb.</t>
  </si>
  <si>
    <t>AvanY-sólo oceľ.boky-NW 251/650mm/strieb.</t>
  </si>
  <si>
    <t>AvanY-sólo oceľ.boky-NW 251/350mm/biela</t>
  </si>
  <si>
    <t>AvanY-sólo oceľ.boky-NW 251/400mm/biela</t>
  </si>
  <si>
    <t>AvanY-sólo oceľ.boky-NW 251/450mm/biela</t>
  </si>
  <si>
    <t>AvanY-sólo oceľ.boky-NW 251/500mm/biela</t>
  </si>
  <si>
    <t>AvanY-sólo oceľ.boky-NW 251/550mm/biela</t>
  </si>
  <si>
    <t>AvanY-sólo oceľ.boky-NW 251/600mm/biela</t>
  </si>
  <si>
    <t>AvanY-sólo oceľ.boky-NW 251/650mm/biela</t>
  </si>
  <si>
    <t>AvanY-sólo oceľ.boky-NW 251/350mm/antracit</t>
  </si>
  <si>
    <t>AvanY-sólo oceľ.boky-NW 251/400mm/antracit</t>
  </si>
  <si>
    <t>AvanY-sólo oceľ.boky-NW 251/450mm/antracit</t>
  </si>
  <si>
    <t>AvanY-sólo oceľ.boky-NW 251/500mm/antracit</t>
  </si>
  <si>
    <t>AvanY-sólo oceľ.boky-NW 251/550mm/antracit</t>
  </si>
  <si>
    <t>AvanY-sólo oceľ.boky-NW 251/600mm/antracit</t>
  </si>
  <si>
    <t>AvanY-sólo oceľ.boky-NW 251/650mm/antracit</t>
  </si>
  <si>
    <t>AvanY-sólo boky Inlay-NW 187/350mm/strieb.</t>
  </si>
  <si>
    <t>AvanY-sólo boky Inlay-NW 187/400mm/strieb.</t>
  </si>
  <si>
    <t>AvanY-sólo boky Inlay-NW 187/450mm/strieb.</t>
  </si>
  <si>
    <t>AvanY-sólo boky Inlay-NW 187/500mm/strieb.</t>
  </si>
  <si>
    <t>AvanY-sólo boky Inlay-NW 187/550mm/strieb.</t>
  </si>
  <si>
    <t>AvanY-sólo boky Inlay-NW 187/600mm/strieb.</t>
  </si>
  <si>
    <t>AvanY-sólo boky Inlay-NW 187/650mm/strieb.</t>
  </si>
  <si>
    <t>AvanY-sólo boky Inlay-NW 187/350mm/biela</t>
  </si>
  <si>
    <t>AvanY-sólo boky Inlay-NW 187/400mm/biela</t>
  </si>
  <si>
    <t>AvanY-sólo boky Inlay-NW 187/450mm/biela</t>
  </si>
  <si>
    <t>AvanY-sólo boky Inlay-NW 187/500mm/biela</t>
  </si>
  <si>
    <t>AvanY-sólo boky Inlay-NW 187/550mm/biela</t>
  </si>
  <si>
    <t>AvanY-sólo boky Inlay-NW 187/600mm/biela</t>
  </si>
  <si>
    <t>AvanY-sólo boky Inlay-NW 187/650mm/biela</t>
  </si>
  <si>
    <t>AvanY-sólo boky Inlay-NW 187/350mm/antracit</t>
  </si>
  <si>
    <t>AvanY-sólo boky Inlay-NW 187/400mm/antracit</t>
  </si>
  <si>
    <t>AvanY-sólo boky Inlay-NW 187/450mm/antracit</t>
  </si>
  <si>
    <t>AvanY-sólo boky Inlay-NW 187/500mm/antracit</t>
  </si>
  <si>
    <t>AvanY-sólo boky Inlay-NW 187/550mm/antracit</t>
  </si>
  <si>
    <t>AvanY-sólo boky Inlay-NW 187/600mm/antracit</t>
  </si>
  <si>
    <t>AvanY-sólo boky Inlay-NW 187/650mm/antracit</t>
  </si>
  <si>
    <t>AVAN/AT stabilizátor čela; pre š&gt;600mm</t>
  </si>
  <si>
    <t>Konfik</t>
  </si>
  <si>
    <t>AvanY-prích.čela k naskrutk./ v251 (kompl)</t>
  </si>
  <si>
    <t>AvanY-prích.čela s rozp.púzdrom/ v251 (kompl)</t>
  </si>
  <si>
    <t>AvanY-bok ľavý /v139/h270/ strieborná</t>
  </si>
  <si>
    <t>AvanY-bok pravý /v139/h270/ strieborná</t>
  </si>
  <si>
    <t>AvanY-bok ľavý /v139/h650/ strieborná</t>
  </si>
  <si>
    <t>AvanY-bok pravý /v139/h650/ strieborná</t>
  </si>
  <si>
    <t>AvanY-bok ľavý /v139/h270/ biela</t>
  </si>
  <si>
    <t>AvanY-bok pravý /v139/h270/ biela</t>
  </si>
  <si>
    <t>AvanY-bok ľavý /v139/h650/ biela</t>
  </si>
  <si>
    <t>AvanY-bok pravý /v139/h650/ biela</t>
  </si>
  <si>
    <t>AvanY-bok ľavý /v139/h270/ antracit</t>
  </si>
  <si>
    <t>AvanY-bok pravý /v139/h270/ antracit</t>
  </si>
  <si>
    <t>AvanY-bok ľavý /v139/h650/ antracit</t>
  </si>
  <si>
    <t>AvanY-bok pravý /v139/h650/ antracit</t>
  </si>
  <si>
    <t>2.0.0</t>
  </si>
  <si>
    <t>Kód</t>
  </si>
  <si>
    <t>Prodejní cena</t>
  </si>
  <si>
    <t>Prodejní cena SK</t>
  </si>
  <si>
    <t>#NENÍ_K_DISPOZICI</t>
  </si>
  <si>
    <t>365448</t>
  </si>
  <si>
    <t>9121099 ARCITECH ACTRO 500L 40kgSS 18</t>
  </si>
  <si>
    <t>558434</t>
  </si>
  <si>
    <t>DUPLICITNÍ - SMAZAT</t>
  </si>
  <si>
    <t>558435</t>
  </si>
  <si>
    <t>9265940</t>
  </si>
  <si>
    <t>492046</t>
  </si>
  <si>
    <t>HETTICH  9265940  Úchytka CLIVIA 844 mm, černá matná</t>
  </si>
  <si>
    <t>528672</t>
  </si>
  <si>
    <t>HETTICH - Značková vesta L</t>
  </si>
  <si>
    <t>528671</t>
  </si>
  <si>
    <t>HETTICH - Značková vesta M</t>
  </si>
  <si>
    <t>528670</t>
  </si>
  <si>
    <t>HETTICH - Značková vesta S</t>
  </si>
  <si>
    <t>528673</t>
  </si>
  <si>
    <t>HETTICH - Značková vesta XL</t>
  </si>
  <si>
    <t>9051131</t>
  </si>
  <si>
    <t>407044</t>
  </si>
  <si>
    <t>HETTICH 1.20.420.01.05 Zástrčné spojovací kování typ 1</t>
  </si>
  <si>
    <t>9051130</t>
  </si>
  <si>
    <t>407045</t>
  </si>
  <si>
    <t>HETTICH 1.20.420.02.05 Zástrčné spojovací kování typ 2</t>
  </si>
  <si>
    <t>1.22.070.02.05</t>
  </si>
  <si>
    <t>459887</t>
  </si>
  <si>
    <t>HETTICH 1.22.070.02.05 Spojka středového nosníku úhelník</t>
  </si>
  <si>
    <t>407039</t>
  </si>
  <si>
    <t>HETTICH 1.23.100.00.05 CoFix M základní díl</t>
  </si>
  <si>
    <t>9216269</t>
  </si>
  <si>
    <t>407040</t>
  </si>
  <si>
    <t>HETTICH 1.23.100.01.05 CoFix M závěsný kryt oboustranný</t>
  </si>
  <si>
    <t>407041</t>
  </si>
  <si>
    <t>HETTICH 1.23.100.02.05 CoFix M závěsný kryt jednostranný</t>
  </si>
  <si>
    <t>407042</t>
  </si>
  <si>
    <t>HETTICH 1.23.101.00.05 CoFix M podpěrný díl</t>
  </si>
  <si>
    <t>1000791</t>
  </si>
  <si>
    <t>460893</t>
  </si>
  <si>
    <t>HETTICH 1000791 závěsné kování SAH 302 do zad bílá</t>
  </si>
  <si>
    <t>1004701</t>
  </si>
  <si>
    <t>106491</t>
  </si>
  <si>
    <t>HETTICH 1004701 podpěra Duplo, 5 mm, pozinkováno</t>
  </si>
  <si>
    <t>1004932</t>
  </si>
  <si>
    <t>422108</t>
  </si>
  <si>
    <t>HETTICH 1004932 rozpěrné pouzdro (hmoždinka) č.43 5x13mm</t>
  </si>
  <si>
    <t>1004973</t>
  </si>
  <si>
    <t>460894</t>
  </si>
  <si>
    <t>HETTICH 1004973 závěsný hák pro SAH D6x50mm</t>
  </si>
  <si>
    <t>10067</t>
  </si>
  <si>
    <t>103739</t>
  </si>
  <si>
    <t>HETTICH 10067 Selekta Pro 2000 krytka ramínka šedá</t>
  </si>
  <si>
    <t>10074</t>
  </si>
  <si>
    <t>107698</t>
  </si>
  <si>
    <t>HETTICH 10074 Selekta pro 2000 miska TB22</t>
  </si>
  <si>
    <t>1008289</t>
  </si>
  <si>
    <t>107417</t>
  </si>
  <si>
    <t>HETTICH 1008289 Montážní přípravek BlueJig FR</t>
  </si>
  <si>
    <t>10083</t>
  </si>
  <si>
    <t>108357</t>
  </si>
  <si>
    <t>HETTICH 10083 WingLine 230 skládací dveře sada pro 2 křídla levá</t>
  </si>
  <si>
    <t>10084</t>
  </si>
  <si>
    <t>108359</t>
  </si>
  <si>
    <t>HETTICH 10084 WingLine 230 skládací dveře sada pro 2 křídla pravá</t>
  </si>
  <si>
    <t>10085</t>
  </si>
  <si>
    <t>108251</t>
  </si>
  <si>
    <t>HETTICH 10085 Vrut se zápustnou hlavou 4x16mm</t>
  </si>
  <si>
    <t>1009684</t>
  </si>
  <si>
    <t>518141</t>
  </si>
  <si>
    <t>HETTICH 1009684 MULTI CLIP ČERNÝ PLAST</t>
  </si>
  <si>
    <t>1016560</t>
  </si>
  <si>
    <t>518208</t>
  </si>
  <si>
    <t>HETTICH 1016560 VB 135 PLAST HNĚDÁ VELKOBALENÍ</t>
  </si>
  <si>
    <t>1029518</t>
  </si>
  <si>
    <t>104189</t>
  </si>
  <si>
    <t>HETTICH 1029518 Intermat závěs naložený 110° TH vrut pružina</t>
  </si>
  <si>
    <t>48053</t>
  </si>
  <si>
    <t>208645</t>
  </si>
  <si>
    <t>HETTICH 1029520 Intermat 9943 naložený TH52 zalisování</t>
  </si>
  <si>
    <t>1029520</t>
  </si>
  <si>
    <t>269924</t>
  </si>
  <si>
    <t>HETTICH 1029520 Intermat naložený 110° TH52 zalisování (D10x11mm) DVD</t>
  </si>
  <si>
    <t>1030922</t>
  </si>
  <si>
    <t>169764</t>
  </si>
  <si>
    <t>HETTICH 1030922 Intermat závěs vložený 110° TH vrut pružina</t>
  </si>
  <si>
    <t>1040925</t>
  </si>
  <si>
    <t>185340</t>
  </si>
  <si>
    <t>HETTICH 1040925 opěrka A4 naležato černá</t>
  </si>
  <si>
    <t>1041576</t>
  </si>
  <si>
    <t>107942</t>
  </si>
  <si>
    <t>HETTICH 1041576 Příčka plast 392 mm černá</t>
  </si>
  <si>
    <t>1041577</t>
  </si>
  <si>
    <t>103742</t>
  </si>
  <si>
    <t>HETTICH 1041577 Příchytka čela pro tužkovník 392mm</t>
  </si>
  <si>
    <t>1045466</t>
  </si>
  <si>
    <t>185382</t>
  </si>
  <si>
    <t>HETTICH 1045466 příčka 491 mm ocel černá</t>
  </si>
  <si>
    <t>1047773</t>
  </si>
  <si>
    <t>107058</t>
  </si>
  <si>
    <t>HETTICH 1047773 PŘÍCHYTKA ČELA 292 mm ST2000</t>
  </si>
  <si>
    <t>1049068</t>
  </si>
  <si>
    <t>208647</t>
  </si>
  <si>
    <t>HETTICH 1049068 přepážka 210 mm A5</t>
  </si>
  <si>
    <t>1050479</t>
  </si>
  <si>
    <t>469842</t>
  </si>
  <si>
    <t>HETTICH 1050479 Rastex 15 29 s osazením niklovaný</t>
  </si>
  <si>
    <t>1051428</t>
  </si>
  <si>
    <t>103819</t>
  </si>
  <si>
    <t>HETTICH 1051428 rám na závěsné složky 352/736 mm</t>
  </si>
  <si>
    <t>1051431</t>
  </si>
  <si>
    <t>104633</t>
  </si>
  <si>
    <t>HETTICH 1051431 rám pro skříně s čely 736 x 517 mm</t>
  </si>
  <si>
    <t>1054390</t>
  </si>
  <si>
    <t>185406</t>
  </si>
  <si>
    <t>HETTICH 1054390 Rám na závěsné složky 1136x352 mm, černý</t>
  </si>
  <si>
    <t>1054412</t>
  </si>
  <si>
    <t>179673</t>
  </si>
  <si>
    <t>HETTICH 1054412 rám na závěsné složky 536x352 mm, černý</t>
  </si>
  <si>
    <t>1054629</t>
  </si>
  <si>
    <t>519279</t>
  </si>
  <si>
    <t>HETTICH 1054629 ZAMYKACÍ TYČ STOP CONTROL 8HE</t>
  </si>
  <si>
    <t>1054804</t>
  </si>
  <si>
    <t>185417</t>
  </si>
  <si>
    <t>HETTICH 1054804 zásuvka pro skříň s čely 936 352 (1000 mm), černá</t>
  </si>
  <si>
    <t>1054813</t>
  </si>
  <si>
    <t>185420</t>
  </si>
  <si>
    <t>HETTICH 1054813 zásuvka pro kancelářské skříně 936x517 mm, černá</t>
  </si>
  <si>
    <t>1055525</t>
  </si>
  <si>
    <t>103818</t>
  </si>
  <si>
    <t>HETTICH 1055525 STOP CON.těleso EB292/392 DVD</t>
  </si>
  <si>
    <t>10573</t>
  </si>
  <si>
    <t>107414</t>
  </si>
  <si>
    <t>HETTICH 10573 Accura šablona system 32</t>
  </si>
  <si>
    <t>467555</t>
  </si>
  <si>
    <t>HETTICH 10573 Accura šablona system 32 PD-50</t>
  </si>
  <si>
    <t>1058344</t>
  </si>
  <si>
    <t>103750</t>
  </si>
  <si>
    <t>HETTICH 1058344 FR 402 kolečkový částečný výsuv, 300mm/25kg, bílá</t>
  </si>
  <si>
    <t>1058345</t>
  </si>
  <si>
    <t>103751</t>
  </si>
  <si>
    <t>HETTICH 1058345 FR 402 kolečkový částečný výsuv, 350mm/25kg, bílá</t>
  </si>
  <si>
    <t>1058346</t>
  </si>
  <si>
    <t>103752</t>
  </si>
  <si>
    <t>HETTICH 1058346 FR 402 kolečkový částečný výsuv, 400mm/25kg, bílá</t>
  </si>
  <si>
    <t>1058347</t>
  </si>
  <si>
    <t>103753</t>
  </si>
  <si>
    <t>HETTICH 1058347 FR 402 kolečkový částečný výsuv, 450mm/25kg, bílá</t>
  </si>
  <si>
    <t>1058348</t>
  </si>
  <si>
    <t>103754</t>
  </si>
  <si>
    <t>HETTICH 1058348 FR 402 kolečkový částečný výsuv, 500mm/25kg, bílá</t>
  </si>
  <si>
    <t>1058349</t>
  </si>
  <si>
    <t>103755</t>
  </si>
  <si>
    <t>HETTICH 1058349 FR 402 kolečkový částečný výsuv, 550mm/25kg, bílá</t>
  </si>
  <si>
    <t>1058350</t>
  </si>
  <si>
    <t>103756</t>
  </si>
  <si>
    <t>HETTICH 1058350 FR 402 kolečkový částečný výsuv, 600mm/25kg, bílá</t>
  </si>
  <si>
    <t>1058367</t>
  </si>
  <si>
    <t>300526</t>
  </si>
  <si>
    <t>HETTICH 1058367 Intermat 9936 32mm B-3,5 TH42</t>
  </si>
  <si>
    <t>1058547</t>
  </si>
  <si>
    <t>300535</t>
  </si>
  <si>
    <t>HETTICH 1058547 Intermat 9944 125° B12,5 TH43</t>
  </si>
  <si>
    <t>1061450</t>
  </si>
  <si>
    <t>460634</t>
  </si>
  <si>
    <t>HETTICH 1061450 Atira príchyt čela s rozpernými púzdrami DALNO</t>
  </si>
  <si>
    <t>379550</t>
  </si>
  <si>
    <t>HETTICH 1061450 Atira příchyt čela s rozpěrnými pouzdry</t>
  </si>
  <si>
    <t>103821</t>
  </si>
  <si>
    <t>HETTICH 1061450 Atira příchyt čela, rozpěrná pouzdra</t>
  </si>
  <si>
    <t>1061611</t>
  </si>
  <si>
    <t>103835</t>
  </si>
  <si>
    <t>HETTICH 1061611 FR 402 kolečkový částečný výsuv, 250mm/25kg, bílá</t>
  </si>
  <si>
    <t>1061903</t>
  </si>
  <si>
    <t>131149</t>
  </si>
  <si>
    <t>HETTICH 1061903 INNOTECH záda 70/400 ocel stř</t>
  </si>
  <si>
    <t>1061904</t>
  </si>
  <si>
    <t>136412</t>
  </si>
  <si>
    <t>HETTICH 1061904 INNOTECH záda 70/450 ocel stř</t>
  </si>
  <si>
    <t>1061906</t>
  </si>
  <si>
    <t>185440</t>
  </si>
  <si>
    <t>HETTICH 1061906 INNOTECH záda 70/550 ocel stř</t>
  </si>
  <si>
    <t>1061907</t>
  </si>
  <si>
    <t>119284</t>
  </si>
  <si>
    <t>HETTICH 1061907 INNOTECH záda 70/600 ocel stř</t>
  </si>
  <si>
    <t>1061965</t>
  </si>
  <si>
    <t>379551</t>
  </si>
  <si>
    <t>HETTICH 1061965 ATR/IT-prích.pozdĺž.relingu s rozp.púzdr.</t>
  </si>
  <si>
    <t>106881</t>
  </si>
  <si>
    <t>HETTICH 1061965 Innotech Atira příchyt relingu na čelo s rozpěrným pouzdrem</t>
  </si>
  <si>
    <t>460635</t>
  </si>
  <si>
    <t>HETTICH 1061965 Innotech príchyt rel.na čelo DALNO</t>
  </si>
  <si>
    <t>1062019</t>
  </si>
  <si>
    <t>104687</t>
  </si>
  <si>
    <t>HETTICH 1062019 Innotech bok 470/70 L stříbrná</t>
  </si>
  <si>
    <t>1062020</t>
  </si>
  <si>
    <t>104688</t>
  </si>
  <si>
    <t>HETTICH 1062020 Innotech bok 470/70 P stříbrná</t>
  </si>
  <si>
    <t>1062394</t>
  </si>
  <si>
    <t>119251</t>
  </si>
  <si>
    <t>HETTICH 1062394 Innotech podél.reling 470 stř</t>
  </si>
  <si>
    <t>1062501</t>
  </si>
  <si>
    <t>106900</t>
  </si>
  <si>
    <t>HETTICH 1062501 Atira držák zad 70, levá, stříbrná</t>
  </si>
  <si>
    <t>378430</t>
  </si>
  <si>
    <t>HETTICH 1062501 ATR/IT-držiak chrbáta Ľ /v70/strieborná DALNO</t>
  </si>
  <si>
    <t>1062502</t>
  </si>
  <si>
    <t>106902</t>
  </si>
  <si>
    <t>HETTICH 1062502 Atira držák zad 70, pravá, stříbrná</t>
  </si>
  <si>
    <t>378431</t>
  </si>
  <si>
    <t>HETTICH 1062502 ATR/IT-držiak chrbáta P/v70/strieborná DALNO</t>
  </si>
  <si>
    <t>1062960</t>
  </si>
  <si>
    <t>136413</t>
  </si>
  <si>
    <t>HETTICH 1062960 INNOTECH záda 70/800 ocel stř</t>
  </si>
  <si>
    <t>1063172</t>
  </si>
  <si>
    <t>483324</t>
  </si>
  <si>
    <t>HETTICH 1063172 WingLine 230 nosná kolečka (sada = 1 kus)</t>
  </si>
  <si>
    <t>1063801</t>
  </si>
  <si>
    <t>185448</t>
  </si>
  <si>
    <t>HETTICH 1063801 Atira bok 470/54 L stříbrný</t>
  </si>
  <si>
    <t>1063802</t>
  </si>
  <si>
    <t>185449</t>
  </si>
  <si>
    <t>HETTICH 1063802 Atira bok 470/54 P stříbrný</t>
  </si>
  <si>
    <t>1063806</t>
  </si>
  <si>
    <t>208655</t>
  </si>
  <si>
    <t>HETTICH 1063806 Atira záda 54/600 mm stříbrná</t>
  </si>
  <si>
    <t>1064097</t>
  </si>
  <si>
    <t>185450</t>
  </si>
  <si>
    <t>HETTICH 1064097 rám registratury s čely 400 900 mm SD</t>
  </si>
  <si>
    <t>1065191</t>
  </si>
  <si>
    <t>106878</t>
  </si>
  <si>
    <t>HETTICH 1065191 Atira příchyt čela, vrut</t>
  </si>
  <si>
    <t>378436</t>
  </si>
  <si>
    <t>HETTICH 1065191 ATR/IT-príchytka čela k naskrutkovaniu DALNO</t>
  </si>
  <si>
    <t>1065664</t>
  </si>
  <si>
    <t>185455</t>
  </si>
  <si>
    <t>HETTICH 1065664 zásuvka pro skříň s čely 600</t>
  </si>
  <si>
    <t>1066278</t>
  </si>
  <si>
    <t>518265</t>
  </si>
  <si>
    <t>HETTICH 1066278 SAH 130 levé zalisování</t>
  </si>
  <si>
    <t>1066279</t>
  </si>
  <si>
    <t>518266</t>
  </si>
  <si>
    <t>HETTICH 1066279 SAH 130 pravé zalisování</t>
  </si>
  <si>
    <t>1072393</t>
  </si>
  <si>
    <t>300192</t>
  </si>
  <si>
    <t>HETTICH 1072393 spojovací šroub VHS 35, vrtání 5mm, závit M4, délka 35mm</t>
  </si>
  <si>
    <t>1072987</t>
  </si>
  <si>
    <t>343342</t>
  </si>
  <si>
    <t>HETTICH 1072987 náhradní vozík L pro WingLine 230 10083 L</t>
  </si>
  <si>
    <t>469361</t>
  </si>
  <si>
    <t>HETTICH 1072987 WingLine 230</t>
  </si>
  <si>
    <t>1072988</t>
  </si>
  <si>
    <t>343344</t>
  </si>
  <si>
    <t>HETTICH 1072988 náhradní vozík P pro WingLine 230 10084 R</t>
  </si>
  <si>
    <t>1073339</t>
  </si>
  <si>
    <t>185478</t>
  </si>
  <si>
    <t>HETTICH 1073339 rám pro skříně s čely 400 435 mm</t>
  </si>
  <si>
    <t>1073723</t>
  </si>
  <si>
    <t>536181</t>
  </si>
  <si>
    <t>HETTICH 1073723 kuličkový plnovýsuv KA 5632 400mm/45kg EB12,7 černý</t>
  </si>
  <si>
    <t>1073724</t>
  </si>
  <si>
    <t>536182</t>
  </si>
  <si>
    <t>HETTICH 1073724 kuličkový plnovýsuv KA 5632 450mm/45kg EB12,7 černý</t>
  </si>
  <si>
    <t>1073725</t>
  </si>
  <si>
    <t>536183</t>
  </si>
  <si>
    <t>HETTICH 1073725 kuličkový plnovýsuv KA 5632 500mm/45kg EB12,7 černý</t>
  </si>
  <si>
    <t>1074009</t>
  </si>
  <si>
    <t>107360</t>
  </si>
  <si>
    <t>HETTICH 1074009/77924 INNOTECH reling.tyč1140</t>
  </si>
  <si>
    <t>1074018</t>
  </si>
  <si>
    <t>536178</t>
  </si>
  <si>
    <t>HETTICH 1074018 kuličkový plnovýsuv KA 5632 250mm/45kg EB12,7 černý</t>
  </si>
  <si>
    <t>1074019</t>
  </si>
  <si>
    <t>536179</t>
  </si>
  <si>
    <t>HETTICH 1074019 kuličkový plnovýsuv KA 5632 300mm/45kg EB12,7 černý</t>
  </si>
  <si>
    <t>1074020</t>
  </si>
  <si>
    <t>536180</t>
  </si>
  <si>
    <t>HETTICH 1074020 kuličkový plnovýsuv KA 5632 350mm/45kg EB12,7 černý</t>
  </si>
  <si>
    <t>1074021</t>
  </si>
  <si>
    <t>536184</t>
  </si>
  <si>
    <t>HETTICH 1074021 kuličkový plnovýsuv KA 5632 550mm/45kg EB12,7 černý</t>
  </si>
  <si>
    <t>1074022</t>
  </si>
  <si>
    <t>536185</t>
  </si>
  <si>
    <t>HETTICH 1074022 kuličkový plnovýsuv KA 5632 600mm/45kg EB12,7 černý</t>
  </si>
  <si>
    <t>1077339</t>
  </si>
  <si>
    <t>275608</t>
  </si>
  <si>
    <t>HETTICH 1077339 WingLine 770 závěs kovový díl</t>
  </si>
  <si>
    <t>1077842</t>
  </si>
  <si>
    <t>185498</t>
  </si>
  <si>
    <t>HETTICH 1077842 kartotéková schránka A5 naležato</t>
  </si>
  <si>
    <t>1078660</t>
  </si>
  <si>
    <t>107616</t>
  </si>
  <si>
    <t>HETTICH 1078660 Slide-on závěs naložený 95° TH vrut pružina</t>
  </si>
  <si>
    <t>1078661</t>
  </si>
  <si>
    <t>107617</t>
  </si>
  <si>
    <t>HETTICH 1078661 Slide-on závěs polonaložený 95° TH vrut  pružina</t>
  </si>
  <si>
    <t>1078662</t>
  </si>
  <si>
    <t>107619</t>
  </si>
  <si>
    <t>HETTICH 1078662 Slide-on závěs vložený 95° TH vrut pružina</t>
  </si>
  <si>
    <t>1078663</t>
  </si>
  <si>
    <t>107624</t>
  </si>
  <si>
    <t>HETTICH 1078663 Závěs Slide-on 2333 T43, naložený, k zalisování</t>
  </si>
  <si>
    <t>1078664</t>
  </si>
  <si>
    <t>107625</t>
  </si>
  <si>
    <t>HETTICH 1078664 Závěs Slide-on 2333 T43 k zal</t>
  </si>
  <si>
    <t>1078665</t>
  </si>
  <si>
    <t>107626</t>
  </si>
  <si>
    <t>HETTICH 1078665 Závěs Slide-on 2333 T43 k zalisování</t>
  </si>
  <si>
    <t>1079061</t>
  </si>
  <si>
    <t>103760</t>
  </si>
  <si>
    <t>HETTICH 1079061 Zásuvka na psací potřeby, černá</t>
  </si>
  <si>
    <t>1079090</t>
  </si>
  <si>
    <t>103791</t>
  </si>
  <si>
    <t>HETTICH 1079090 SlideLine 55 horní/spodní vedení 4000mm stříbrná elox</t>
  </si>
  <si>
    <t>1079197</t>
  </si>
  <si>
    <t>106417</t>
  </si>
  <si>
    <t>HETTICH 1079197 Slide-on montážní podložka D0 vrut</t>
  </si>
  <si>
    <t>1079198</t>
  </si>
  <si>
    <t>106340</t>
  </si>
  <si>
    <t>HETTICH 1079198 Slide-on montážní podložka D1,5 vrut</t>
  </si>
  <si>
    <t>1079200</t>
  </si>
  <si>
    <t>103762</t>
  </si>
  <si>
    <t>HETTICH 1079200 Slide-on montážní podložka D5 vrut</t>
  </si>
  <si>
    <t>1079210</t>
  </si>
  <si>
    <t>185503</t>
  </si>
  <si>
    <t>HETTICH 1079210 podložka S2006 Direkt D=1,5 mm</t>
  </si>
  <si>
    <t>1079211</t>
  </si>
  <si>
    <t>152762</t>
  </si>
  <si>
    <t>HETTICH 1079211 podložka S2006 D=3 mm vrut</t>
  </si>
  <si>
    <t>1079212</t>
  </si>
  <si>
    <t>185504</t>
  </si>
  <si>
    <t>HETTICH 1079212 patentovaná montážní podložka "Hettich Direkt", D=5.0 mm</t>
  </si>
  <si>
    <t>1079221</t>
  </si>
  <si>
    <t>488008</t>
  </si>
  <si>
    <t>HETTICH 1079221 podložka S2006 D=0 Eurošroub FAKTUM</t>
  </si>
  <si>
    <t>106418</t>
  </si>
  <si>
    <t>HETTICH 1079221 Slide-on montážní podložka D0 eurošroub</t>
  </si>
  <si>
    <t>1079222</t>
  </si>
  <si>
    <t>229683</t>
  </si>
  <si>
    <t>HETTICH 1079222 Montážní podložka s předmontovanými eurošrouby, D =1.5 mm</t>
  </si>
  <si>
    <t>106419</t>
  </si>
  <si>
    <t>HETTICH 1079222 Slide-on montážní podložka D1,5 eurošroub</t>
  </si>
  <si>
    <t>1079223</t>
  </si>
  <si>
    <t>185505</t>
  </si>
  <si>
    <t>HETTICH 1079223 Slide-on montážní podložka D3 eurošroub</t>
  </si>
  <si>
    <t>1079224</t>
  </si>
  <si>
    <t>185506</t>
  </si>
  <si>
    <t>HETTICH 1079224 Slide-on montážní podložka D5 eurošroub</t>
  </si>
  <si>
    <t>1081304</t>
  </si>
  <si>
    <t>103786</t>
  </si>
  <si>
    <t>HETTICH 1081304 Selekta pro ozdobná krytka na skleněné dveře T22 9</t>
  </si>
  <si>
    <t>1084122</t>
  </si>
  <si>
    <t>165040</t>
  </si>
  <si>
    <t>HETTICH 1084122 přestavitelný rám 534-706 mm</t>
  </si>
  <si>
    <t>1084126</t>
  </si>
  <si>
    <t>107276</t>
  </si>
  <si>
    <t>HETTICH 1084126 přestavitelný rám 368-540 mm černý</t>
  </si>
  <si>
    <t>1084127</t>
  </si>
  <si>
    <t>185516</t>
  </si>
  <si>
    <t>HETTICH 1084127 Přestavitelný rám 534-706 čer</t>
  </si>
  <si>
    <t>1084128</t>
  </si>
  <si>
    <t>128257</t>
  </si>
  <si>
    <t>HETTICH 1084128 rám na závěsné složky s nastavitelnou šířkou, černý, 700-872 mm</t>
  </si>
  <si>
    <t>1084129</t>
  </si>
  <si>
    <t>185517</t>
  </si>
  <si>
    <t>HETTICH 1084129 přestavitelný rám 866-1038 mm černý</t>
  </si>
  <si>
    <t>1084130</t>
  </si>
  <si>
    <t>129684</t>
  </si>
  <si>
    <t>HETTICH 1084130 rám na závěsné složky s nastavitelnou šířkou, černý,1032-1204 mm</t>
  </si>
  <si>
    <t>1084138</t>
  </si>
  <si>
    <t>208669</t>
  </si>
  <si>
    <t>HETTICH 1084138 Přestavirelný rám 700-872 černý</t>
  </si>
  <si>
    <t>10921</t>
  </si>
  <si>
    <t>108284</t>
  </si>
  <si>
    <t>HETTICH 10921 Lift 90 výklopné kování 80-220N</t>
  </si>
  <si>
    <t>10925</t>
  </si>
  <si>
    <t>519272</t>
  </si>
  <si>
    <t>HETTICH 10925 ND BLUE MAX VENTIL 3\2 1/8"</t>
  </si>
  <si>
    <t>115014</t>
  </si>
  <si>
    <t>106346</t>
  </si>
  <si>
    <t>HETTICH 115014 Úchytka VELITRA 272/260 nebo 224 mm imitace nerezi</t>
  </si>
  <si>
    <t>115016</t>
  </si>
  <si>
    <t>106335</t>
  </si>
  <si>
    <t>HETTICH 115016 Úchytka VELITRA 372/260 nebo 320 mm imitace nerezi</t>
  </si>
  <si>
    <t>115017</t>
  </si>
  <si>
    <t>106336</t>
  </si>
  <si>
    <t>HETTICH 115017 Úchytka VELITRA 472/360 nebo 416 mm imitace nerezi</t>
  </si>
  <si>
    <t>115018</t>
  </si>
  <si>
    <t>106337</t>
  </si>
  <si>
    <t>HETTICH 115018 Úchytka VELITRA 204/192 nebo 128 mm imitace nerezi</t>
  </si>
  <si>
    <t>115019</t>
  </si>
  <si>
    <t>106987</t>
  </si>
  <si>
    <t>HETTICH 115019 Úchytka Fermo 64/74 imitace nerezi</t>
  </si>
  <si>
    <t>115020</t>
  </si>
  <si>
    <t>107413</t>
  </si>
  <si>
    <t>HETTICH 115020 Úchytka Fermo 64/74 chrom lesklý</t>
  </si>
  <si>
    <t>115021</t>
  </si>
  <si>
    <t>106663</t>
  </si>
  <si>
    <t>HETTICH 115021 Úchytka STABIA 140/128 mm eloxovaný hliník</t>
  </si>
  <si>
    <t>115022</t>
  </si>
  <si>
    <t>105926</t>
  </si>
  <si>
    <t>HETTICH 115022 Úchytka STABIA 172/160 mm eloxovaný hliník</t>
  </si>
  <si>
    <t>115023</t>
  </si>
  <si>
    <t>106243</t>
  </si>
  <si>
    <t>HETTICH 115023 Úchytka STABIA 108/96 mm eloxovaný hliník</t>
  </si>
  <si>
    <t>115024</t>
  </si>
  <si>
    <t>460817</t>
  </si>
  <si>
    <t>HETTICH 115024 Úchytka STABIA 236/224 mm eloxovaný hliník</t>
  </si>
  <si>
    <t>115028</t>
  </si>
  <si>
    <t>105089</t>
  </si>
  <si>
    <t>HETTICH 115028 Úchytka CAPRIS koncovky L+P eloxovaný hliník</t>
  </si>
  <si>
    <t>115049</t>
  </si>
  <si>
    <t>105090</t>
  </si>
  <si>
    <t>HETTICH 115049 Úchytka CAPRIS kon L+P nikl matný</t>
  </si>
  <si>
    <t>115060</t>
  </si>
  <si>
    <t>105685</t>
  </si>
  <si>
    <t>HETTICH 115060 Úchytka PONTE L205/192 nerez broušený</t>
  </si>
  <si>
    <t>115076</t>
  </si>
  <si>
    <t>105517</t>
  </si>
  <si>
    <t>HETTICH 115076 Úchytka BASILIA L208/192 imitace nerezi</t>
  </si>
  <si>
    <t>115077</t>
  </si>
  <si>
    <t>105513</t>
  </si>
  <si>
    <t>HETTICH 115077 Úchytka COMO 204/192 nerez broušený/imitace nerezi</t>
  </si>
  <si>
    <t>115078</t>
  </si>
  <si>
    <t>106234</t>
  </si>
  <si>
    <t>HETTICH 115078 Úchytka COMO 332/320 mm nerez broušený/imitace nerezi</t>
  </si>
  <si>
    <t>115080</t>
  </si>
  <si>
    <t>106317</t>
  </si>
  <si>
    <t>HETTICH 115080 Úchytka Catana 192 imitace nerezi</t>
  </si>
  <si>
    <t>115081</t>
  </si>
  <si>
    <t>106580</t>
  </si>
  <si>
    <t>HETTICH 115081 Úchytka CATANA 327/320 mm imitace nerezi</t>
  </si>
  <si>
    <t>115090</t>
  </si>
  <si>
    <t>103797</t>
  </si>
  <si>
    <t>HETTICH 115090 Úchytka ESLINGA L2000 eloxovaný hliník</t>
  </si>
  <si>
    <t>115091</t>
  </si>
  <si>
    <t>103798</t>
  </si>
  <si>
    <t>HETTICH 115091 Úchytka LUTETIA 2000 mm eloxovaný hliník</t>
  </si>
  <si>
    <t>115115</t>
  </si>
  <si>
    <t>103799</t>
  </si>
  <si>
    <t>HETTICH 115115 Úchytka LINDAVIA 2000 mm eloxovaný hliník</t>
  </si>
  <si>
    <t>115122</t>
  </si>
  <si>
    <t>105472</t>
  </si>
  <si>
    <t>HETTICH 115122 Úchytka NEAPOLIS 148/96 mm chrom lesklý</t>
  </si>
  <si>
    <t>115127</t>
  </si>
  <si>
    <t>105604</t>
  </si>
  <si>
    <t>HETTICH 115127 Úchytka MISNIA L180/160 eloxovaný hliník</t>
  </si>
  <si>
    <t>115147</t>
  </si>
  <si>
    <t>106579</t>
  </si>
  <si>
    <t>HETTICH 115147 Úchytka CULMEN 136/128 mm eloxovaný hliník</t>
  </si>
  <si>
    <t>115148</t>
  </si>
  <si>
    <t>107623</t>
  </si>
  <si>
    <t>HETTICH 115148 Úchytka CULMEN 168/160 mm eloxovaný hliník</t>
  </si>
  <si>
    <t>115149</t>
  </si>
  <si>
    <t>105907</t>
  </si>
  <si>
    <t>HETTICH 115149 Úchytka CULMEN 200/192 mm eloxovaný hliník</t>
  </si>
  <si>
    <t>115150</t>
  </si>
  <si>
    <t>208612</t>
  </si>
  <si>
    <t>HETTICH 115150 Úchytka CULMEN 232/224 mm eloxovaný hliník</t>
  </si>
  <si>
    <t>115154</t>
  </si>
  <si>
    <t>105671</t>
  </si>
  <si>
    <t>HETTICH 115154 knobka VENUSIA L60/32 imitace nerezi</t>
  </si>
  <si>
    <t>115155</t>
  </si>
  <si>
    <t>105467</t>
  </si>
  <si>
    <t>HETTICH 115155 Knobka VENUSIA 60/32 mm chrom lesklý</t>
  </si>
  <si>
    <t>115156</t>
  </si>
  <si>
    <t>107020</t>
  </si>
  <si>
    <t>HETTICH 115156 Knop Messana 32 imitace nerezi</t>
  </si>
  <si>
    <t>115157</t>
  </si>
  <si>
    <t>105672</t>
  </si>
  <si>
    <t>HETTICH 115157 Knobka MESSANA 42x42x32 mm chrom lesklý</t>
  </si>
  <si>
    <t>115170</t>
  </si>
  <si>
    <t>105475</t>
  </si>
  <si>
    <t>HETTICH 115170 Úchytka BELNA 167/160 mm imitace nerezi</t>
  </si>
  <si>
    <t>115181</t>
  </si>
  <si>
    <t>105522</t>
  </si>
  <si>
    <t>HETTICH 115181 Úchytka MISNIA L116/96 eloxovaný hliník</t>
  </si>
  <si>
    <t>115182</t>
  </si>
  <si>
    <t>106089</t>
  </si>
  <si>
    <t>HETTICH 115182 Úchytka MISNIA L116/96 nikl matný</t>
  </si>
  <si>
    <t>115183</t>
  </si>
  <si>
    <t>105466</t>
  </si>
  <si>
    <t>HETTICH 115183 Úchytka MISNIA L180/160 nikl matný</t>
  </si>
  <si>
    <t>115195</t>
  </si>
  <si>
    <t>105361</t>
  </si>
  <si>
    <t>HETTICH 115195 Úchytka MATILO 138/128 mm nikl matný</t>
  </si>
  <si>
    <t>115203</t>
  </si>
  <si>
    <t>185285</t>
  </si>
  <si>
    <t>HETTICH 115203 Úchytka TOLOSA 126/96 mm nikl matný</t>
  </si>
  <si>
    <t>115208</t>
  </si>
  <si>
    <t>106152</t>
  </si>
  <si>
    <t>HETTICH 115208 Úchytka CLIVIA 300/288 mm eloxovaný hliník</t>
  </si>
  <si>
    <t>115209</t>
  </si>
  <si>
    <t>107265</t>
  </si>
  <si>
    <t>HETTICH 115209 Úchytka CLIVIA 364/352 mm eloxovaný hliník</t>
  </si>
  <si>
    <t>115210</t>
  </si>
  <si>
    <t>208614</t>
  </si>
  <si>
    <t>HETTICH 115210 Úchytka CLIVIA 428/416 mm eloxovaný hliník</t>
  </si>
  <si>
    <t>115214</t>
  </si>
  <si>
    <t>106153</t>
  </si>
  <si>
    <t>HETTICH 115214 Úchytka CLIVIA 556/544 mm eloxovaný hliník</t>
  </si>
  <si>
    <t>115216</t>
  </si>
  <si>
    <t>107567</t>
  </si>
  <si>
    <t>HETTICH 115216 Úchytka CLIVIA 967/2x477,5 mm eloxovaný hliník</t>
  </si>
  <si>
    <t>115217</t>
  </si>
  <si>
    <t>180341</t>
  </si>
  <si>
    <t>HETTICH 115217 Úchytka CLIVIA 1140/2x564 mm eloxovaný hliník</t>
  </si>
  <si>
    <t>115263</t>
  </si>
  <si>
    <t>105834</t>
  </si>
  <si>
    <t>HETTICH 115263 Úchytka BEVIPO 144/128 mm cín</t>
  </si>
  <si>
    <t>115266</t>
  </si>
  <si>
    <t>105974</t>
  </si>
  <si>
    <t>HETTICH 115266 Úchytka CORDUBA 146/128 mm cín</t>
  </si>
  <si>
    <t>115292</t>
  </si>
  <si>
    <t>107255</t>
  </si>
  <si>
    <t>HETTICH 115292 Úchytka FLAVIA 145/96 mm cín</t>
  </si>
  <si>
    <t>115293</t>
  </si>
  <si>
    <t>105675</t>
  </si>
  <si>
    <t>HETTICH 115293 Úchytka FLAVIA 145/96 mm nikl matný</t>
  </si>
  <si>
    <t>115298</t>
  </si>
  <si>
    <t>103805</t>
  </si>
  <si>
    <t>HETTICH 115298 Úchytka SPIRA sada koncovek eloxovaný hliník</t>
  </si>
  <si>
    <t>115312</t>
  </si>
  <si>
    <t>107241</t>
  </si>
  <si>
    <t>HETTICH 115312 Knobka ISSA d40 mm imitace nerezi</t>
  </si>
  <si>
    <t>115314</t>
  </si>
  <si>
    <t>103806</t>
  </si>
  <si>
    <t>HETTICH 115314 Úchytka SPIRA L2000 eloxovaný hliník</t>
  </si>
  <si>
    <t>115353</t>
  </si>
  <si>
    <t>107652</t>
  </si>
  <si>
    <t>HETTICH 115353 Úchytka CLIVIA 172/160 mm eloxovaný hliník</t>
  </si>
  <si>
    <t>115354</t>
  </si>
  <si>
    <t>107279</t>
  </si>
  <si>
    <t>HETTICH 115354 Úchytka CLIVIA 204/192 mm eloxovaný hliník</t>
  </si>
  <si>
    <t>115356</t>
  </si>
  <si>
    <t>106732</t>
  </si>
  <si>
    <t>HETTICH 115356 Úchytka CLIVIA 244/232 mm eloxovaný hliník</t>
  </si>
  <si>
    <t>115358</t>
  </si>
  <si>
    <t>105275</t>
  </si>
  <si>
    <t>HETTICH 115358 Úchytka CLIVIA 344/332 mm eloxovaný hliník</t>
  </si>
  <si>
    <t>115360</t>
  </si>
  <si>
    <t>106734</t>
  </si>
  <si>
    <t>HETTICH 115360 Úchytka CLIVIA 444/432 mm eloxovaný hliník</t>
  </si>
  <si>
    <t>115361</t>
  </si>
  <si>
    <t>105700</t>
  </si>
  <si>
    <t>HETTICH 115361 Úchytka CLIVIA 494/482 mm eloxovaný hliník</t>
  </si>
  <si>
    <t>115363</t>
  </si>
  <si>
    <t>105276</t>
  </si>
  <si>
    <t>HETTICH 115363 Úchytka CLIVIA 744/732 mm eloxovaný hliník</t>
  </si>
  <si>
    <t>115365</t>
  </si>
  <si>
    <t>107022</t>
  </si>
  <si>
    <t>HETTICH 115365 Adaptér pro úchytky na skládané dveře chrom matný</t>
  </si>
  <si>
    <t>115366</t>
  </si>
  <si>
    <t>107054</t>
  </si>
  <si>
    <t>HETTICH 115366 Adaptér pro úchytky na skládané dveře, nikl matný</t>
  </si>
  <si>
    <t>115374</t>
  </si>
  <si>
    <t>457600</t>
  </si>
  <si>
    <t>HETTICH 115374 Úchytka Olisipo s deskou, L 141 mm, B 30 mm, cínový vzhled</t>
  </si>
  <si>
    <t>115385</t>
  </si>
  <si>
    <t>310131</t>
  </si>
  <si>
    <t>HETTICH 115385 Úchytka PONTE 173/160 mm nerez broušený</t>
  </si>
  <si>
    <t>115387</t>
  </si>
  <si>
    <t>310132</t>
  </si>
  <si>
    <t>HETTICH 115387 Úchytka PONTE 333/320 mm nerez broušený</t>
  </si>
  <si>
    <t>1160018</t>
  </si>
  <si>
    <t>133350</t>
  </si>
  <si>
    <t>HETTICH 1160018 Úchytka Anzio 128 nerez broušený</t>
  </si>
  <si>
    <t>1160019</t>
  </si>
  <si>
    <t>154276</t>
  </si>
  <si>
    <t>HETTICH 1160019 Úchytka ANZIO 170/160 mm nerez broušený</t>
  </si>
  <si>
    <t>1160020</t>
  </si>
  <si>
    <t>135134</t>
  </si>
  <si>
    <t>HETTICH 1160020 Úchytka Anzio 224 nerez broušený</t>
  </si>
  <si>
    <t>1160021</t>
  </si>
  <si>
    <t>146741</t>
  </si>
  <si>
    <t>HETTICH 1160021 Úchytka Anzio 288 nerez broušený</t>
  </si>
  <si>
    <t>1160022</t>
  </si>
  <si>
    <t>133349</t>
  </si>
  <si>
    <t>HETTICH 1160022 Úchytka Anzio 352 nerez broušený</t>
  </si>
  <si>
    <t>1160023</t>
  </si>
  <si>
    <t>146742</t>
  </si>
  <si>
    <t>HETTICH 1160023 Úchytka Anzio 480 nerez broušený</t>
  </si>
  <si>
    <t>1160024</t>
  </si>
  <si>
    <t>153625</t>
  </si>
  <si>
    <t>HETTICH 1160024 Úchytka ANZIO 618/608 mm nerez broušený</t>
  </si>
  <si>
    <t>1160025</t>
  </si>
  <si>
    <t>146743</t>
  </si>
  <si>
    <t>HETTICH 1160025 Úchytka ANZIO 746/736 mm nerez broušený</t>
  </si>
  <si>
    <t>1170155</t>
  </si>
  <si>
    <t>141597</t>
  </si>
  <si>
    <t>HETTICH 1170155 Úchytka Salona 160 imitace nerezi</t>
  </si>
  <si>
    <t>1170158</t>
  </si>
  <si>
    <t>134885</t>
  </si>
  <si>
    <t>HETTICH 1170158 Úchytka Vantania 128 imitace nerezi</t>
  </si>
  <si>
    <t>1170173</t>
  </si>
  <si>
    <t>132731</t>
  </si>
  <si>
    <t>HETTICH 1170173 Knobka EMO 25x25 mm imitace nerezi</t>
  </si>
  <si>
    <t>13104</t>
  </si>
  <si>
    <t>103808</t>
  </si>
  <si>
    <t>HETTICH 13104 Trapézové spojovací kování TZ 4 bílá</t>
  </si>
  <si>
    <t>13116</t>
  </si>
  <si>
    <t>104443</t>
  </si>
  <si>
    <t>HETTICH 13116 excentr Rastex 25, bez osazení a povrchové úpravy</t>
  </si>
  <si>
    <t>13118</t>
  </si>
  <si>
    <t>105436</t>
  </si>
  <si>
    <t>HETTICH 13118 Krytka pro Rastex 25 hnědá</t>
  </si>
  <si>
    <t>13127</t>
  </si>
  <si>
    <t>106524</t>
  </si>
  <si>
    <t>HETTICH 13127 Vari podpěrka polic 10 mm pozinkovaný</t>
  </si>
  <si>
    <t>13129</t>
  </si>
  <si>
    <t>183732</t>
  </si>
  <si>
    <t>HETTICH 13129 VARI podpěrka 16 mm chromát</t>
  </si>
  <si>
    <t>13139</t>
  </si>
  <si>
    <t>118991</t>
  </si>
  <si>
    <t>HETTICH 13139 Magnet M71/GP1 4kg bílý</t>
  </si>
  <si>
    <t>13140</t>
  </si>
  <si>
    <t>118992</t>
  </si>
  <si>
    <t>HETTICH 13140 Magnet M71/GP1 4kg hnědý</t>
  </si>
  <si>
    <t>13141</t>
  </si>
  <si>
    <t>118993</t>
  </si>
  <si>
    <t>HETTICH 13141 magnet M72 GP2 5kg bílý</t>
  </si>
  <si>
    <t>13142</t>
  </si>
  <si>
    <t>208384</t>
  </si>
  <si>
    <t>HETTICH 13142 magnet M72 GP2 5 kg hnědý</t>
  </si>
  <si>
    <t>13157</t>
  </si>
  <si>
    <t>105553</t>
  </si>
  <si>
    <t>HETTICH 13157 Magnet M73/GP9 4kg bílý</t>
  </si>
  <si>
    <t>13158</t>
  </si>
  <si>
    <t>105558</t>
  </si>
  <si>
    <t>HETTICH 13158 Magnet M73/GP9 4kg hnědý</t>
  </si>
  <si>
    <t>13233</t>
  </si>
  <si>
    <t>104344</t>
  </si>
  <si>
    <t>HETTICH 13233 Sklopné kování KH 200 mm</t>
  </si>
  <si>
    <t>13235</t>
  </si>
  <si>
    <t>104345</t>
  </si>
  <si>
    <t>HETTICH 13235 Sklopné kování KH 250 mm</t>
  </si>
  <si>
    <t>13297</t>
  </si>
  <si>
    <t>136510</t>
  </si>
  <si>
    <t>HETTICH 13297 držák pro soklovou zásuvku 150 mm</t>
  </si>
  <si>
    <t>13312</t>
  </si>
  <si>
    <t>108318</t>
  </si>
  <si>
    <t>HETTICH 13312/9005647 Příborník 520/300 stříbrný</t>
  </si>
  <si>
    <t>13315</t>
  </si>
  <si>
    <t>160609</t>
  </si>
  <si>
    <t>HETTICH 13315/9005649 Příborník 520/450 stříbrný</t>
  </si>
  <si>
    <t>13337</t>
  </si>
  <si>
    <t>103832</t>
  </si>
  <si>
    <t>HETTICH 13337 zámek cylindrický pákový včetně rozety</t>
  </si>
  <si>
    <t>13392</t>
  </si>
  <si>
    <t>108219</t>
  </si>
  <si>
    <t>HETTICH 13392 Šablona Practica pro InnoTech</t>
  </si>
  <si>
    <t>468805</t>
  </si>
  <si>
    <t>HETTICH 13392 Šablona Practica pro InnoTech PD-50</t>
  </si>
  <si>
    <t>13841</t>
  </si>
  <si>
    <t>179590</t>
  </si>
  <si>
    <t>HETTICH 13841 Accura vrtací těleso pro závěsy</t>
  </si>
  <si>
    <t>467565</t>
  </si>
  <si>
    <t>HETTICH 13841 Accura vrtací těleso pro závěsy PD-50</t>
  </si>
  <si>
    <t>13907</t>
  </si>
  <si>
    <t>119013</t>
  </si>
  <si>
    <t>HETTICH 13907 Dispenza police Arena Classic 300 mm chrom</t>
  </si>
  <si>
    <t>13908</t>
  </si>
  <si>
    <t>105202</t>
  </si>
  <si>
    <t>HETTICH 13908 Dispenza police Arena Classic 400 mm chrom</t>
  </si>
  <si>
    <t>13909</t>
  </si>
  <si>
    <t>108459</t>
  </si>
  <si>
    <t>HETTICH 13909 Dispenza koš 300 mm chrom</t>
  </si>
  <si>
    <t>13936</t>
  </si>
  <si>
    <t>103953</t>
  </si>
  <si>
    <t>HETTICH 13936 Čelní výsuv 2 police, SiSy</t>
  </si>
  <si>
    <t>13952</t>
  </si>
  <si>
    <t>103956</t>
  </si>
  <si>
    <t>HETTICH 13952 distanční lišta pro výsuvy, 25x484x49mm, bílá</t>
  </si>
  <si>
    <t>13957</t>
  </si>
  <si>
    <t>103766</t>
  </si>
  <si>
    <t>HETTICH 13957 excentr Rastex 15, 18 mm, bez osazení, niklováno</t>
  </si>
  <si>
    <t>13958</t>
  </si>
  <si>
    <t>103765</t>
  </si>
  <si>
    <t>HETTICH 13958 excentr Rastex 15, 18 mm, bez osazení, niklováno</t>
  </si>
  <si>
    <t>13961</t>
  </si>
  <si>
    <t>104414</t>
  </si>
  <si>
    <t>HETTICH 13961 excentr Rastex 15, 18 mm, bez osazení a povrchové úpravy</t>
  </si>
  <si>
    <t>13962</t>
  </si>
  <si>
    <t>104417</t>
  </si>
  <si>
    <t>HETTICH 13962 excentr Rastex 15, 18 mm, bez osazení a povrchové úpravy</t>
  </si>
  <si>
    <t>14825</t>
  </si>
  <si>
    <t>108217</t>
  </si>
  <si>
    <t>HETTICH 14825 Exakta lišta s 2 dorazy 1000 mm</t>
  </si>
  <si>
    <t>14826</t>
  </si>
  <si>
    <t>131004</t>
  </si>
  <si>
    <t>HETTICH 14826 Exakta lišta s 2 dorazy 2000 mm</t>
  </si>
  <si>
    <t>14827</t>
  </si>
  <si>
    <t>119017</t>
  </si>
  <si>
    <t>HETTICH 14827 Exakta lišta s 2 dorazy 2500 mm</t>
  </si>
  <si>
    <t>15328</t>
  </si>
  <si>
    <t>183801</t>
  </si>
  <si>
    <t>HETTICH 15328 Exakta lišta s 2 dorazy 1500 mm</t>
  </si>
  <si>
    <t>16048</t>
  </si>
  <si>
    <t>104703</t>
  </si>
  <si>
    <t>HETTICH 16048 spojovací šroub AVB 5, 150mm</t>
  </si>
  <si>
    <t>16173</t>
  </si>
  <si>
    <t>104117</t>
  </si>
  <si>
    <t>HETTICH 16173 KLASSIK D/300-349 levo/L</t>
  </si>
  <si>
    <t>16174</t>
  </si>
  <si>
    <t>104119</t>
  </si>
  <si>
    <t>HETTICH 16174 Klassik D 350-399 L P</t>
  </si>
  <si>
    <t>16175</t>
  </si>
  <si>
    <t>104120</t>
  </si>
  <si>
    <t>HETTICH 16175 Klassik D 400-449 L P</t>
  </si>
  <si>
    <t>16176</t>
  </si>
  <si>
    <t>104124</t>
  </si>
  <si>
    <t>HETTICH 16176 Klassik D 450-507 L P</t>
  </si>
  <si>
    <t>16177</t>
  </si>
  <si>
    <t>104126</t>
  </si>
  <si>
    <t>HETTICH 16177 Klassik D 508-550 L P</t>
  </si>
  <si>
    <t>16178</t>
  </si>
  <si>
    <t>104128</t>
  </si>
  <si>
    <t>HETTICH 16178 Klassik D 551-600 L P</t>
  </si>
  <si>
    <t>16180</t>
  </si>
  <si>
    <t>106511</t>
  </si>
  <si>
    <t>HETTICH 16180 podpěra polic Safety, 5 mm, plast, čirá</t>
  </si>
  <si>
    <t>16181</t>
  </si>
  <si>
    <t>106502</t>
  </si>
  <si>
    <t>HETTICH 16181 podpěra polic, 5 mm, s osazením, pozinkováno</t>
  </si>
  <si>
    <t>16190</t>
  </si>
  <si>
    <t>119018</t>
  </si>
  <si>
    <t>HETTICH 16190 Vrut pojistný 3,0x20 mm</t>
  </si>
  <si>
    <t>19446</t>
  </si>
  <si>
    <t>108245</t>
  </si>
  <si>
    <t>HETTICH 19446 vrták stupňovitý HSS d5/d7mm</t>
  </si>
  <si>
    <t>468809</t>
  </si>
  <si>
    <t>HETTICH 19446 vrták stupňovitý HSS d5/d7mm PD-50</t>
  </si>
  <si>
    <t>19476</t>
  </si>
  <si>
    <t>103853</t>
  </si>
  <si>
    <t>HETTICH 19476 SAH 116 závěsné kování</t>
  </si>
  <si>
    <t>19555</t>
  </si>
  <si>
    <t>208405</t>
  </si>
  <si>
    <t>HETTICH 19555 spojovací šroub Direkta 2 6,3x38 mm</t>
  </si>
  <si>
    <t>19556</t>
  </si>
  <si>
    <t>104231</t>
  </si>
  <si>
    <t>HETTICH 19556 Spojovací šroub Direkta 2 6,3x50 mm</t>
  </si>
  <si>
    <t>19557</t>
  </si>
  <si>
    <t>106523</t>
  </si>
  <si>
    <t>HETTICH 19557 podpěra Sekura 1.1, 5 mm, niklováno</t>
  </si>
  <si>
    <t>19558</t>
  </si>
  <si>
    <t>103856</t>
  </si>
  <si>
    <t>HETTICH 19558 Spojka zad RV 1</t>
  </si>
  <si>
    <t>19639</t>
  </si>
  <si>
    <t>103857</t>
  </si>
  <si>
    <t>HETTICH 19639 Závěs k našroubování s pružinou</t>
  </si>
  <si>
    <t>19640</t>
  </si>
  <si>
    <t>104818</t>
  </si>
  <si>
    <t>HETTICH 19640 Závěs k našroubování bez pružiny</t>
  </si>
  <si>
    <t>20014</t>
  </si>
  <si>
    <t>105514</t>
  </si>
  <si>
    <t>HETTICH 20014 Accura lišta se stupnicí 2000 mm</t>
  </si>
  <si>
    <t>484154</t>
  </si>
  <si>
    <t>HETTICH 20014 Accura lišta se stupnicí 2000mm PD-50</t>
  </si>
  <si>
    <t>20049</t>
  </si>
  <si>
    <t>183824</t>
  </si>
  <si>
    <t>HETTICH 20049 Rastex 15 12 bez osazení nikl</t>
  </si>
  <si>
    <t>20053</t>
  </si>
  <si>
    <t>104405</t>
  </si>
  <si>
    <t>HETTICH 20053 Rastex 15 12 bez osazení a bez povrchové úpravy</t>
  </si>
  <si>
    <t>20058</t>
  </si>
  <si>
    <t>107955</t>
  </si>
  <si>
    <t>HETTICH 20058 kolík Twister DU 232, k zašroubování, 30 mm, černá</t>
  </si>
  <si>
    <t>20060</t>
  </si>
  <si>
    <t>105076</t>
  </si>
  <si>
    <t>HETTICH 20060 kolík Twister DU 262 T, 24,5 mm, pozinkováno, modrá</t>
  </si>
  <si>
    <t>20126</t>
  </si>
  <si>
    <t>103864</t>
  </si>
  <si>
    <t>HETTICH 20126 závěs mini k našroubování</t>
  </si>
  <si>
    <t>20130</t>
  </si>
  <si>
    <t>208407</t>
  </si>
  <si>
    <t>HETTICH 20130 vrtací těleso pro montážní podložky</t>
  </si>
  <si>
    <t>20131</t>
  </si>
  <si>
    <t>183826</t>
  </si>
  <si>
    <t>HETTICH 20131 DrillJig VB vrtací tělo pro kolíky</t>
  </si>
  <si>
    <t>20157</t>
  </si>
  <si>
    <t>105082</t>
  </si>
  <si>
    <t>HETTICH 20157 kolík Twister DU 644, 30 mm, černá</t>
  </si>
  <si>
    <t>20165</t>
  </si>
  <si>
    <t>119021</t>
  </si>
  <si>
    <t>HETTICH 20165 DrillJig pro závěsy 1x35/2x10 mm</t>
  </si>
  <si>
    <t>467559</t>
  </si>
  <si>
    <t>HETTICH 20165 DrillJig pro závěsy 1x35/2x10 mm PD-50</t>
  </si>
  <si>
    <t>20166</t>
  </si>
  <si>
    <t>106343</t>
  </si>
  <si>
    <t>HETTICH 20166 DrillJig VB 1x10 1x20mm</t>
  </si>
  <si>
    <t>467553</t>
  </si>
  <si>
    <t>HETTICH 20166 DrillJig VB 1x10 1x20mm PD-50</t>
  </si>
  <si>
    <t>20167</t>
  </si>
  <si>
    <t>208409</t>
  </si>
  <si>
    <t>HETTICH 20167 vrták d30 mm</t>
  </si>
  <si>
    <t>20168</t>
  </si>
  <si>
    <t>183830</t>
  </si>
  <si>
    <t>HETTICH 20168 vrták D 18 mm</t>
  </si>
  <si>
    <t>20383</t>
  </si>
  <si>
    <t>415830</t>
  </si>
  <si>
    <t>HETTICH 20383 Vertico Synchro sada, naložené dveře, 300-400mm</t>
  </si>
  <si>
    <t>20387</t>
  </si>
  <si>
    <t>183834</t>
  </si>
  <si>
    <t>HETTICH 20387 Vertico Synchro sada, naložené dveře, 450-600mm</t>
  </si>
  <si>
    <t>20388</t>
  </si>
  <si>
    <t>183835</t>
  </si>
  <si>
    <t>HETTICH 20388 Vertico Synchro sada, naložené dveře, 500-600mm</t>
  </si>
  <si>
    <t>20395</t>
  </si>
  <si>
    <t>554495</t>
  </si>
  <si>
    <t>HETTICH 20395 Vertico Synchro sada, vložené dveře, 400-600mm</t>
  </si>
  <si>
    <t>20396</t>
  </si>
  <si>
    <t>183837</t>
  </si>
  <si>
    <t>HETTICH 20396 Vertico Synchro sada, vložené dveře 450-600 mm</t>
  </si>
  <si>
    <t>20397</t>
  </si>
  <si>
    <t>538551</t>
  </si>
  <si>
    <t>HETTICH 20397 Vertico Synchro sada, vložené dveře, 500-600mm</t>
  </si>
  <si>
    <t>20400</t>
  </si>
  <si>
    <t>105320</t>
  </si>
  <si>
    <t>HETTICH 20400 Vertico Mono/Synchro krycí profil pravolevý 2500mm</t>
  </si>
  <si>
    <t>20524</t>
  </si>
  <si>
    <t>181786</t>
  </si>
  <si>
    <t>HETTICH 20524 zásuvka ocel 292/530 mm hliník</t>
  </si>
  <si>
    <t>20532</t>
  </si>
  <si>
    <t>183840</t>
  </si>
  <si>
    <t>HETTICH 20532 ocelová zásuvka 392/714 mm hliník</t>
  </si>
  <si>
    <t>20571</t>
  </si>
  <si>
    <t>162567</t>
  </si>
  <si>
    <t>HETTICH 20571 Podpěra čela hliník</t>
  </si>
  <si>
    <t>20686</t>
  </si>
  <si>
    <t>108240</t>
  </si>
  <si>
    <t>HETTICH 20686 DrillJig VB vrták d20 mm</t>
  </si>
  <si>
    <t>485099</t>
  </si>
  <si>
    <t>HETTICH 20686 DrillJig VB vrták d20 mm PD-50</t>
  </si>
  <si>
    <t>20687</t>
  </si>
  <si>
    <t>119024</t>
  </si>
  <si>
    <t>HETTICH 20687 DrillJig VB vrták d10 mm</t>
  </si>
  <si>
    <t>485100</t>
  </si>
  <si>
    <t>HETTICH 20687 DrillJig VB vrták d10 mm PD-50</t>
  </si>
  <si>
    <t>20688</t>
  </si>
  <si>
    <t>108241</t>
  </si>
  <si>
    <t>HETTICH 20688 DrillJig vrták d35 mm</t>
  </si>
  <si>
    <t>485101</t>
  </si>
  <si>
    <t>HETTICH 20688 DrillJig vrták d35 mm PD-50</t>
  </si>
  <si>
    <t>20689</t>
  </si>
  <si>
    <t>208412</t>
  </si>
  <si>
    <t>HETTICH 20689 DrillJig šroub s vnitřním šestihranem</t>
  </si>
  <si>
    <t>485102</t>
  </si>
  <si>
    <t>HETTICH 20689 DrillJig šroub s vnitřním šestihranem PD-50</t>
  </si>
  <si>
    <t>20695</t>
  </si>
  <si>
    <t>119026</t>
  </si>
  <si>
    <t>HETTICH 20695 DrillJig šestihranný bit</t>
  </si>
  <si>
    <t>485104</t>
  </si>
  <si>
    <t>HETTICH 20695 DrillJig šestihranný bit PD-50</t>
  </si>
  <si>
    <t>20711</t>
  </si>
  <si>
    <t>119027</t>
  </si>
  <si>
    <t>HETTICH 20711 kontejner sada 392/530 mm hliník</t>
  </si>
  <si>
    <t>20712</t>
  </si>
  <si>
    <t>107428</t>
  </si>
  <si>
    <t>HETTICH 20712 kontejner sada 392/730 mm hliník</t>
  </si>
  <si>
    <t>20722</t>
  </si>
  <si>
    <t>119199</t>
  </si>
  <si>
    <t>HETTICH 20722 ocelová zásuvka 392x530 mm hliník</t>
  </si>
  <si>
    <t>20782</t>
  </si>
  <si>
    <t>106484</t>
  </si>
  <si>
    <t>HETTICH 20782 Podpěrka lžičková 5 mm</t>
  </si>
  <si>
    <t>20784</t>
  </si>
  <si>
    <t>107314</t>
  </si>
  <si>
    <t>HETTICH 20784 Rektifikační prvek</t>
  </si>
  <si>
    <t>20831</t>
  </si>
  <si>
    <t>396511</t>
  </si>
  <si>
    <t>HETTICH 20831 Accura ND centrovací kolík 5mm</t>
  </si>
  <si>
    <t>20843</t>
  </si>
  <si>
    <t>119028</t>
  </si>
  <si>
    <t>HETTICH 20843 Trapézové spojování kování TZ 4 niklovaný</t>
  </si>
  <si>
    <t>20864</t>
  </si>
  <si>
    <t>104116</t>
  </si>
  <si>
    <t>HETTICH 20864 Klassik pro výšku korpusu 290-340 mm L</t>
  </si>
  <si>
    <t>20865</t>
  </si>
  <si>
    <t>104118</t>
  </si>
  <si>
    <t>HETTICH 20865 Klassik pro výšku korpusu 365-404 mm L</t>
  </si>
  <si>
    <t>20866</t>
  </si>
  <si>
    <t>104121</t>
  </si>
  <si>
    <t>HETTICH 20866 Klassik D 405-464 L P</t>
  </si>
  <si>
    <t>20867</t>
  </si>
  <si>
    <t>104125</t>
  </si>
  <si>
    <t>HETTICH 20867 Klassik pro výšku korpusu 465-564 mm L</t>
  </si>
  <si>
    <t>20870</t>
  </si>
  <si>
    <t>103879</t>
  </si>
  <si>
    <t>HETTICH 20870 ET 150 závěs na sklo čípkový 105° sada bez pružiny</t>
  </si>
  <si>
    <t>20871</t>
  </si>
  <si>
    <t>103880</t>
  </si>
  <si>
    <t>HETTICH 20871 ET 150 úchytka na sklo levá</t>
  </si>
  <si>
    <t>20872</t>
  </si>
  <si>
    <t>103881</t>
  </si>
  <si>
    <t>HETTICH 20872 ET 150 úchytka na sklo pravá</t>
  </si>
  <si>
    <t>20873</t>
  </si>
  <si>
    <t>105565</t>
  </si>
  <si>
    <t>HETTICH 20873 magnet D7 GP9 černý</t>
  </si>
  <si>
    <t>20891</t>
  </si>
  <si>
    <t>103883</t>
  </si>
  <si>
    <t>HETTICH 20891 Trapézové spojovací kování TZ 4 TD nikl</t>
  </si>
  <si>
    <t>21154</t>
  </si>
  <si>
    <t>119029</t>
  </si>
  <si>
    <t>HETTICH 21154 tlumič dorazu, 6 mm, hnědá</t>
  </si>
  <si>
    <t>21575</t>
  </si>
  <si>
    <t>104130</t>
  </si>
  <si>
    <t>HETTICH 21575 Klassik D 290-340 L s magnetem</t>
  </si>
  <si>
    <t>21577</t>
  </si>
  <si>
    <t>104133</t>
  </si>
  <si>
    <t>HETTICH 21577 Klassik D 365-404 s magnetem L</t>
  </si>
  <si>
    <t>21579</t>
  </si>
  <si>
    <t>104136</t>
  </si>
  <si>
    <t>HETTICH 21579 Klassik pro výšku korpusu 405-464 L s magnetem</t>
  </si>
  <si>
    <t>21581</t>
  </si>
  <si>
    <t>104139</t>
  </si>
  <si>
    <t>HETTICH 21581 Klassik D 465-564 L s magnetem</t>
  </si>
  <si>
    <t>21698</t>
  </si>
  <si>
    <t>104132</t>
  </si>
  <si>
    <t>HETTICH 21698 Klassik D 290-340 P s magnetem</t>
  </si>
  <si>
    <t>21699</t>
  </si>
  <si>
    <t>104135</t>
  </si>
  <si>
    <t>HETTICH 21699 Klassik D 365-404 s magnetem P</t>
  </si>
  <si>
    <t>21700</t>
  </si>
  <si>
    <t>104138</t>
  </si>
  <si>
    <t>HETTICH 21700 Klassik D 405-464 P s magnetem</t>
  </si>
  <si>
    <t>21701</t>
  </si>
  <si>
    <t>104140</t>
  </si>
  <si>
    <t>HETTICH 21701 Klassik D 465-564 P s magnetem</t>
  </si>
  <si>
    <t>21768</t>
  </si>
  <si>
    <t>103896</t>
  </si>
  <si>
    <t>HETTICH 21768 Spojovací kování VB 16</t>
  </si>
  <si>
    <t>22532</t>
  </si>
  <si>
    <t>183860</t>
  </si>
  <si>
    <t>HETTICH 22532 Safety Podpěrka polic 6 mm čirá</t>
  </si>
  <si>
    <t>22534</t>
  </si>
  <si>
    <t>208413</t>
  </si>
  <si>
    <t>HETTICH 22534 Safety podpěrka polic 3 mm čirá</t>
  </si>
  <si>
    <t>22617</t>
  </si>
  <si>
    <t>119030</t>
  </si>
  <si>
    <t>HETTICH 22617 Exakta vrtací těleso</t>
  </si>
  <si>
    <t>485105</t>
  </si>
  <si>
    <t>HETTICH 22617 Exakta vrtací těleso PD-50</t>
  </si>
  <si>
    <t>22737</t>
  </si>
  <si>
    <t>106522</t>
  </si>
  <si>
    <t>HETTICH 22737 Podpěrka polic Univerzal D</t>
  </si>
  <si>
    <t>23680</t>
  </si>
  <si>
    <t>104354</t>
  </si>
  <si>
    <t>HETTICH 23680 důlčík</t>
  </si>
  <si>
    <t>485106</t>
  </si>
  <si>
    <t>HETTICH 23680 důlčík PD-50</t>
  </si>
  <si>
    <t>23994</t>
  </si>
  <si>
    <t>108066</t>
  </si>
  <si>
    <t>HETTICH 23994 TopLine 1 montážní prvek sada</t>
  </si>
  <si>
    <t>24832</t>
  </si>
  <si>
    <t>119031</t>
  </si>
  <si>
    <t>HETTICH 24832 Spojovací úhelník 32 mm</t>
  </si>
  <si>
    <t>24838</t>
  </si>
  <si>
    <t>105315</t>
  </si>
  <si>
    <t>HETTICH 24838 Stavěcí kroužek k 19446</t>
  </si>
  <si>
    <t>468808</t>
  </si>
  <si>
    <t>HETTICH 24838 Stavěcí kroužek k 19446 PD-50</t>
  </si>
  <si>
    <t>24908</t>
  </si>
  <si>
    <t>103899</t>
  </si>
  <si>
    <t>HETTICH 24908 ET 5150 závěs na sklo 170° sada pružina</t>
  </si>
  <si>
    <t>25048</t>
  </si>
  <si>
    <t>107842</t>
  </si>
  <si>
    <t>HETTICH 25048 čočka dorazová 1,5mm zalisování 6mm bílá</t>
  </si>
  <si>
    <t>25049</t>
  </si>
  <si>
    <t>104450</t>
  </si>
  <si>
    <t>HETTICH 25049 VB 20 D poniklovaný</t>
  </si>
  <si>
    <t>25052</t>
  </si>
  <si>
    <t>104996</t>
  </si>
  <si>
    <t>HETTICH 25052 Kolík DU 327/DU 265</t>
  </si>
  <si>
    <t>25056</t>
  </si>
  <si>
    <t>105434</t>
  </si>
  <si>
    <t>HETTICH 25056 Krytka pro Rastex 25 béžová</t>
  </si>
  <si>
    <t>25064</t>
  </si>
  <si>
    <t>104419</t>
  </si>
  <si>
    <t>HETTICH 25064 Rastex 15 19 bez osazení niklovaný</t>
  </si>
  <si>
    <t>25084</t>
  </si>
  <si>
    <t>104702</t>
  </si>
  <si>
    <t>HETTICH 25084 spojovací šroub AVB 5, 65mm</t>
  </si>
  <si>
    <t>25090</t>
  </si>
  <si>
    <t>106485</t>
  </si>
  <si>
    <t>HETTICH 25090 Safety podpěrka polic 5 mm bílá</t>
  </si>
  <si>
    <t>25100</t>
  </si>
  <si>
    <t>106512</t>
  </si>
  <si>
    <t>HETTICH 25100 podpěra Sekura 2,5 mm, niklováno</t>
  </si>
  <si>
    <t>25119</t>
  </si>
  <si>
    <t>103914</t>
  </si>
  <si>
    <t>HETTICH 25119 STB 35 vodící díl (2ks) hnědá</t>
  </si>
  <si>
    <t>25120</t>
  </si>
  <si>
    <t>106951</t>
  </si>
  <si>
    <t>HETTICH 25120 SlideLine 55 horní/spodní vedení 4000mm plast bílá</t>
  </si>
  <si>
    <t>25121</t>
  </si>
  <si>
    <t>106935</t>
  </si>
  <si>
    <t>HETTICH 25121 SlideLine 55 horní/spodní vedení 4000mm plast hnědá</t>
  </si>
  <si>
    <t>25122</t>
  </si>
  <si>
    <t>108209</t>
  </si>
  <si>
    <t>HETTICH 25122 SlideLine 55 vozík 15 kg</t>
  </si>
  <si>
    <t>25123</t>
  </si>
  <si>
    <t>108195</t>
  </si>
  <si>
    <t>HETTICH 25123 SlideLine 55 vodící díl s pružinou hnědá, plast, rovný jazýček</t>
  </si>
  <si>
    <t>25124</t>
  </si>
  <si>
    <t>106488</t>
  </si>
  <si>
    <t>HETTICH 25124 podpěra polic, 5x24 mm</t>
  </si>
  <si>
    <t>25155</t>
  </si>
  <si>
    <t>103971</t>
  </si>
  <si>
    <t>HETTICH 25155 KA 270 kuličkový částečný výsuv, 230-350mm/12kg, drážka 27mm</t>
  </si>
  <si>
    <t>25156</t>
  </si>
  <si>
    <t>104906</t>
  </si>
  <si>
    <t>HETTICH 25156 KA 270 kuličkový částečný výsuv, 350-550mm/12kg, drážka 27mm</t>
  </si>
  <si>
    <t>25166</t>
  </si>
  <si>
    <t>107665</t>
  </si>
  <si>
    <t>HETTICH 25166 seřizovací šroub M10 80 mm</t>
  </si>
  <si>
    <t>25170</t>
  </si>
  <si>
    <t>183870</t>
  </si>
  <si>
    <t>HETTICH 25170 Koncovka se závitem M10</t>
  </si>
  <si>
    <t>25173</t>
  </si>
  <si>
    <t>105283</t>
  </si>
  <si>
    <t>HETTICH 25173 polohovací kování Multiflex</t>
  </si>
  <si>
    <t>25174</t>
  </si>
  <si>
    <t>105281</t>
  </si>
  <si>
    <t>HETTICH 25174 Rastomat, 10 poloh</t>
  </si>
  <si>
    <t>25175</t>
  </si>
  <si>
    <t>105291</t>
  </si>
  <si>
    <t>HETTICH 25175 Rastomat 5 poloh</t>
  </si>
  <si>
    <t>25182</t>
  </si>
  <si>
    <t>103927</t>
  </si>
  <si>
    <t>HETTICH 25182 spojka středového nosníku, set</t>
  </si>
  <si>
    <t>25183</t>
  </si>
  <si>
    <t>105286</t>
  </si>
  <si>
    <t>HETTICH 25183 Postelové spojovací kování, délka 130 mm, sada</t>
  </si>
  <si>
    <t>25185</t>
  </si>
  <si>
    <t>105284</t>
  </si>
  <si>
    <t>HETTICH 25185 Postelové spojovací kování, délka 100 mm, sada</t>
  </si>
  <si>
    <t>25189</t>
  </si>
  <si>
    <t>108008</t>
  </si>
  <si>
    <t>HETTICH 25189 postelový spojovací úhelník, 127 mm</t>
  </si>
  <si>
    <t>25193</t>
  </si>
  <si>
    <t>103931</t>
  </si>
  <si>
    <t>HETTICH 25193 Závěsné kování 42x14,5 mm</t>
  </si>
  <si>
    <t>25194</t>
  </si>
  <si>
    <t>103932</t>
  </si>
  <si>
    <t>HETTICH 25194 Závěsné kování 62x18 mm</t>
  </si>
  <si>
    <t>25197</t>
  </si>
  <si>
    <t>208415</t>
  </si>
  <si>
    <t>HETTICH 25197 Spojovací úhelník 41,5x41,5x16 mm</t>
  </si>
  <si>
    <t>25204</t>
  </si>
  <si>
    <t>105337</t>
  </si>
  <si>
    <t>HETTICH 25204 krytka 35mm záslepka misky plast bílá</t>
  </si>
  <si>
    <t>25205</t>
  </si>
  <si>
    <t>105341</t>
  </si>
  <si>
    <t>HETTICH 25205 krytka 35mm záslepka misky plast hnědá</t>
  </si>
  <si>
    <t>25314</t>
  </si>
  <si>
    <t>103941</t>
  </si>
  <si>
    <t>HETTICH 25314 ET 5150/5160 úchytka na sklo</t>
  </si>
  <si>
    <t>25660</t>
  </si>
  <si>
    <t>106950</t>
  </si>
  <si>
    <t>HETTICH 25660 SlideLine 55 horní/spodní vedení 4000mm plast béžová</t>
  </si>
  <si>
    <t>26081</t>
  </si>
  <si>
    <t>107858</t>
  </si>
  <si>
    <t>HETTICH 26081 TopLine 25 posuvné dveře sada pro 1 křídlo</t>
  </si>
  <si>
    <t>26082</t>
  </si>
  <si>
    <t>107427</t>
  </si>
  <si>
    <t>HETTICH 26082 TopLine 27 posuvné dveře sada pro 2 křídla</t>
  </si>
  <si>
    <t>26083</t>
  </si>
  <si>
    <t>107425</t>
  </si>
  <si>
    <t>HETTICH 26083 TopLine 27 posuvné dveře sada pro 3 křídla</t>
  </si>
  <si>
    <t>26561</t>
  </si>
  <si>
    <t>103972</t>
  </si>
  <si>
    <t>HETTICH 26561 KA 290 200-310 mm kuličkový celovýsuv</t>
  </si>
  <si>
    <t>26562</t>
  </si>
  <si>
    <t>103973</t>
  </si>
  <si>
    <t>HETTICH 26562 KA 290 310-450 mm kuličkový celovýsuv</t>
  </si>
  <si>
    <t>26578</t>
  </si>
  <si>
    <t>103974</t>
  </si>
  <si>
    <t>HETTICH 26578 KA 290 450-550 mm kuličkový celovýsuv</t>
  </si>
  <si>
    <t>27740</t>
  </si>
  <si>
    <t>104245</t>
  </si>
  <si>
    <t>HETTICH 27740 distanční/parkovací kolečko</t>
  </si>
  <si>
    <t>2809</t>
  </si>
  <si>
    <t>103724</t>
  </si>
  <si>
    <t>HETTICH 2809 Asim fix boční kolečko 30 mm</t>
  </si>
  <si>
    <t>2813</t>
  </si>
  <si>
    <t>103725</t>
  </si>
  <si>
    <t>HETTICH 2813 AVIN FIX zásuvkové kolečko 30 mm</t>
  </si>
  <si>
    <t>2814</t>
  </si>
  <si>
    <t>103726</t>
  </si>
  <si>
    <t>HETTICH 2814 AVIN FIX zásuvkové kolečko 50 mm</t>
  </si>
  <si>
    <t>28186</t>
  </si>
  <si>
    <t>183889</t>
  </si>
  <si>
    <t>HETTICH 28186 Dev fix přístrojové kolečko d75 mm</t>
  </si>
  <si>
    <t>29246</t>
  </si>
  <si>
    <t>142116</t>
  </si>
  <si>
    <t>HETTICH 29246 Vari lišta 11x6x3500 mm hliník</t>
  </si>
  <si>
    <t>29249</t>
  </si>
  <si>
    <t>106529</t>
  </si>
  <si>
    <t>HETTICH 29249 Vari podpěrka 11 mm hliník</t>
  </si>
  <si>
    <t>30102</t>
  </si>
  <si>
    <t>183896</t>
  </si>
  <si>
    <t>HETTICH 30102 Dorazový kolík excentr.nikl</t>
  </si>
  <si>
    <t>30103</t>
  </si>
  <si>
    <t>104983</t>
  </si>
  <si>
    <t>HETTICH 30103 Dorazový kolík centrický nikl</t>
  </si>
  <si>
    <t>30105</t>
  </si>
  <si>
    <t>183898</t>
  </si>
  <si>
    <t>HETTICH 30105 Dorazový kolík excentrický nikl</t>
  </si>
  <si>
    <t>30124</t>
  </si>
  <si>
    <t>183900</t>
  </si>
  <si>
    <t>HETTICH 30124 protiplech typ 5514 hnědá</t>
  </si>
  <si>
    <t>30125</t>
  </si>
  <si>
    <t>119033</t>
  </si>
  <si>
    <t>HETTICH 30125 Protikus zámku typ 3011 ocel Ni</t>
  </si>
  <si>
    <t>30765</t>
  </si>
  <si>
    <t>104011</t>
  </si>
  <si>
    <t>HETTICH 30765 KA 1730 kuličkový částečný výsuv, 300mm/10kg, drážka 17mm</t>
  </si>
  <si>
    <t>30766</t>
  </si>
  <si>
    <t>104012</t>
  </si>
  <si>
    <t>HETTICH 30766 KA 1730 kuličkový částečný výsuv, 400mm/10kg, drážka 17mm</t>
  </si>
  <si>
    <t>30767</t>
  </si>
  <si>
    <t>104013</t>
  </si>
  <si>
    <t>HETTICH 30767 KA 1730/450 kuličkový výsuv</t>
  </si>
  <si>
    <t>30768</t>
  </si>
  <si>
    <t>104014</t>
  </si>
  <si>
    <t>HETTICH 30768 KA 1730 kuličkový částečný výsuv, 500mm/10kg, drážka 17mm</t>
  </si>
  <si>
    <t>30769</t>
  </si>
  <si>
    <t>104015</t>
  </si>
  <si>
    <t>HETTICH 30769 KA 1730 550 mm kuličkový výsuv</t>
  </si>
  <si>
    <t>30847</t>
  </si>
  <si>
    <t>131782</t>
  </si>
  <si>
    <t>HETTICH 30847 kabelová průchodka 60 mm bílá</t>
  </si>
  <si>
    <t>30864</t>
  </si>
  <si>
    <t>119034</t>
  </si>
  <si>
    <t>HETTICH 30864 SchwenkFix výklopné kování</t>
  </si>
  <si>
    <t>30866</t>
  </si>
  <si>
    <t>103957</t>
  </si>
  <si>
    <t>HETTICH 30866 závěs ET 5160 pro skleněné dveře, niklováno, matná</t>
  </si>
  <si>
    <t>30891</t>
  </si>
  <si>
    <t>103958</t>
  </si>
  <si>
    <t>HETTICH 30891 pokosové spojovací kování VB 90, 30-270°</t>
  </si>
  <si>
    <t>31571</t>
  </si>
  <si>
    <t>208425</t>
  </si>
  <si>
    <t>HETTICH 31571 Seřizovací kování pro mezistěny</t>
  </si>
  <si>
    <t>33681</t>
  </si>
  <si>
    <t>104016</t>
  </si>
  <si>
    <t>HETTICH 33681 Distanční podložka 3 mm</t>
  </si>
  <si>
    <t>33682</t>
  </si>
  <si>
    <t>104017</t>
  </si>
  <si>
    <t>HETTICH 33682 Distanční podložka 4 mm</t>
  </si>
  <si>
    <t>33683</t>
  </si>
  <si>
    <t>104018</t>
  </si>
  <si>
    <t>HETTICH 33683 Distanční podložka 5 mm</t>
  </si>
  <si>
    <t>351</t>
  </si>
  <si>
    <t>107419</t>
  </si>
  <si>
    <t>HETTICH 351 Šablona Multiblue pro závěsy, podpěrky, spojovací kování</t>
  </si>
  <si>
    <t>469251</t>
  </si>
  <si>
    <t>HETTICH 351 Šablona Multiblue pro závěsy, podpěrky, spojovací kování PD-50</t>
  </si>
  <si>
    <t>40005</t>
  </si>
  <si>
    <t>106614</t>
  </si>
  <si>
    <t>HETTICH 40005 pouzdro 49, M6, vrtání D8x11 mm</t>
  </si>
  <si>
    <t>40006</t>
  </si>
  <si>
    <t>104395</t>
  </si>
  <si>
    <t>HETTICH 40006 Eurošroub 6,3 x 11 mm, půlkulatá hlavička</t>
  </si>
  <si>
    <t>40007</t>
  </si>
  <si>
    <t>104398</t>
  </si>
  <si>
    <t>HETTICH 40007 Eurošroub 6,3 x 13 mm, půlkulatá hlavička</t>
  </si>
  <si>
    <t>40008</t>
  </si>
  <si>
    <t>104399</t>
  </si>
  <si>
    <t>HETTICH 40008 Eurošroub 6,3 x 15 mm, půlkulatá hlavička</t>
  </si>
  <si>
    <t>40067</t>
  </si>
  <si>
    <t>107693</t>
  </si>
  <si>
    <t>HETTICH 40067 Stabilizátor čela VB36</t>
  </si>
  <si>
    <t>40227</t>
  </si>
  <si>
    <t>104021</t>
  </si>
  <si>
    <t>HETTICH 40227 Zdvihátko pro dřevěnou zásuvku</t>
  </si>
  <si>
    <t>40242</t>
  </si>
  <si>
    <t>103980</t>
  </si>
  <si>
    <t>HETTICH 40242 Markant 11 závěs spodní klopny naložený 90° vrut</t>
  </si>
  <si>
    <t>40279</t>
  </si>
  <si>
    <t>119036</t>
  </si>
  <si>
    <t>HETTICH 40279 Držák šatních ramínek výsuvný 310 mm</t>
  </si>
  <si>
    <t>40340</t>
  </si>
  <si>
    <t>105376</t>
  </si>
  <si>
    <t>HETTICH 40340 krytka pro závěs na sklo 4,0-5,2mm typ A (kulatá) zlatá lesk</t>
  </si>
  <si>
    <t>40341</t>
  </si>
  <si>
    <t>105371</t>
  </si>
  <si>
    <t>HETTICH 40341 krytka pro závěs na sklo 4,0-5,2mm typ A (kulatá) chrom lesk</t>
  </si>
  <si>
    <t>40433</t>
  </si>
  <si>
    <t>184002</t>
  </si>
  <si>
    <t>HETTICH 40433 Parallel System pro korpusovou konstrukci rozměr X = 13 mm</t>
  </si>
  <si>
    <t>40437</t>
  </si>
  <si>
    <t>184005</t>
  </si>
  <si>
    <t>HETTICH 40437 Hřídel pro Paralel-System 394-780 mm</t>
  </si>
  <si>
    <t>40438</t>
  </si>
  <si>
    <t>107628</t>
  </si>
  <si>
    <t>HETTICH 40438 Soklová noha 60-80 Systema Top 2000</t>
  </si>
  <si>
    <t>40439</t>
  </si>
  <si>
    <t>184006</t>
  </si>
  <si>
    <t>HETTICH 40439 Soklová noha ST2000  60-80 mm</t>
  </si>
  <si>
    <t>40494</t>
  </si>
  <si>
    <t>105386</t>
  </si>
  <si>
    <t>HETTICH 40494 krytka pro závěs na sklo 4,0-5,2mm typ B (tvar D) zlatá lesk</t>
  </si>
  <si>
    <t>40495</t>
  </si>
  <si>
    <t>105383</t>
  </si>
  <si>
    <t>HETTICH 40495 krytka pro závěs na sklo 4,0-5,2mm typ B (tvar D) chrom lesk</t>
  </si>
  <si>
    <t>40657</t>
  </si>
  <si>
    <t>184022</t>
  </si>
  <si>
    <t>HETTICH 40657 Zátka vřetene BM 8 19</t>
  </si>
  <si>
    <t>40669</t>
  </si>
  <si>
    <t>103989</t>
  </si>
  <si>
    <t>HETTICH 40669 Závěsné kování SAH 305</t>
  </si>
  <si>
    <t>40721</t>
  </si>
  <si>
    <t>108270</t>
  </si>
  <si>
    <t>HETTICH 40721 Lift Exact výklopné kování</t>
  </si>
  <si>
    <t>40722</t>
  </si>
  <si>
    <t>108271</t>
  </si>
  <si>
    <t>HETTICH 40722 Lift Junior 140 výklopné kování</t>
  </si>
  <si>
    <t>41062</t>
  </si>
  <si>
    <t>107444</t>
  </si>
  <si>
    <t>HETTICH 41062 kontejner sada 392/530 mm černý</t>
  </si>
  <si>
    <t>499862</t>
  </si>
  <si>
    <t>HETTICH 41062 kontejner sada 392/530 mm černý 100RY TOYOTA</t>
  </si>
  <si>
    <t>41063</t>
  </si>
  <si>
    <t>299944</t>
  </si>
  <si>
    <t>HETTICH 41063 sada pro kontejner s plnovýsuvy, SiSy, 392/730 mm, černá</t>
  </si>
  <si>
    <t>41064</t>
  </si>
  <si>
    <t>107447</t>
  </si>
  <si>
    <t>HETTICH 41064 kontejner sada 530 392 hliník</t>
  </si>
  <si>
    <t>41065</t>
  </si>
  <si>
    <t>184029</t>
  </si>
  <si>
    <t>HETTICH 41065 kontejner sada 392/730 mm hliník</t>
  </si>
  <si>
    <t>41083</t>
  </si>
  <si>
    <t>107125</t>
  </si>
  <si>
    <t>HETTICH 41083 QUADRO DUPLEX 25/530 LR32-392</t>
  </si>
  <si>
    <t>41171</t>
  </si>
  <si>
    <t>107503</t>
  </si>
  <si>
    <t>HETTICH 41171 sada, 4 dózy s víčky Dispenza</t>
  </si>
  <si>
    <t>41247</t>
  </si>
  <si>
    <t>119039</t>
  </si>
  <si>
    <t>HETTICH 41247 WingLine 220 sada pravá</t>
  </si>
  <si>
    <t>41248</t>
  </si>
  <si>
    <t>119040</t>
  </si>
  <si>
    <t>HETTICH 41248 WingLine 220 sada levá</t>
  </si>
  <si>
    <t>41249</t>
  </si>
  <si>
    <t>119041</t>
  </si>
  <si>
    <t>HETTICH 41249 WingLine 220 horní vodící profil 2000 mm</t>
  </si>
  <si>
    <t>41251</t>
  </si>
  <si>
    <t>119042</t>
  </si>
  <si>
    <t>HETTICH 41251 WingLine 220 dolní vodící profil 2000 mm</t>
  </si>
  <si>
    <t>41296</t>
  </si>
  <si>
    <t>119043</t>
  </si>
  <si>
    <t>HETTICH 41296 šroub 3,5x9,5mm DIN7982 pro široké alu rámečky</t>
  </si>
  <si>
    <t>41321</t>
  </si>
  <si>
    <t>184060</t>
  </si>
  <si>
    <t>HETTICH 41321 Úchytka pro kartotékový box, matný nikl</t>
  </si>
  <si>
    <t>41355</t>
  </si>
  <si>
    <t>104026</t>
  </si>
  <si>
    <t>HETTICH 41355 KA 5632 kuličkový celovýsuv, 700mm/45kg, EB12,7</t>
  </si>
  <si>
    <t>41356</t>
  </si>
  <si>
    <t>184071</t>
  </si>
  <si>
    <t>HETTICH 41356 KA 4932 250mm/60kg EB12,7</t>
  </si>
  <si>
    <t>41357</t>
  </si>
  <si>
    <t>119044</t>
  </si>
  <si>
    <t>HETTICH 41357 KA 4932 300mm/60kg EB12,7</t>
  </si>
  <si>
    <t>41358</t>
  </si>
  <si>
    <t>104062</t>
  </si>
  <si>
    <t>HETTICH 41358 KA 4932 350mm/60kg EB12,7</t>
  </si>
  <si>
    <t>41359</t>
  </si>
  <si>
    <t>104917</t>
  </si>
  <si>
    <t>HETTICH 41359 KA 4932 400mm/60kg EB12,7</t>
  </si>
  <si>
    <t>41361</t>
  </si>
  <si>
    <t>104096</t>
  </si>
  <si>
    <t>HETTICH 41361 KA 4932 450mm/60kg EB12,7</t>
  </si>
  <si>
    <t>41362</t>
  </si>
  <si>
    <t>104919</t>
  </si>
  <si>
    <t>HETTICH 41362 KA 4932 500mm/60kg EB12,7</t>
  </si>
  <si>
    <t>41363</t>
  </si>
  <si>
    <t>184072</t>
  </si>
  <si>
    <t>HETTICH 41363 KA 4932 550mm/60kg EB12,7</t>
  </si>
  <si>
    <t>41364</t>
  </si>
  <si>
    <t>104920</t>
  </si>
  <si>
    <t>HETTICH 41364 KA 4932 600mm/60kg EB12,7</t>
  </si>
  <si>
    <t>41365</t>
  </si>
  <si>
    <t>119046</t>
  </si>
  <si>
    <t>HETTICH 41365 KA 4932 650mm/60kg EB12,7</t>
  </si>
  <si>
    <t>41366</t>
  </si>
  <si>
    <t>119047</t>
  </si>
  <si>
    <t>HETTICH 41366 KA 4932 700mm/60kg EB12,7</t>
  </si>
  <si>
    <t>41371</t>
  </si>
  <si>
    <t>106114</t>
  </si>
  <si>
    <t>HETTICH 41371 KA 5740 pro zásuvné dveře 300mm/14kg</t>
  </si>
  <si>
    <t>41372</t>
  </si>
  <si>
    <t>107508</t>
  </si>
  <si>
    <t>HETTICH 41372 KA 5740 pro zásuvné dveře 350mm/14kg</t>
  </si>
  <si>
    <t>41373</t>
  </si>
  <si>
    <t>105748</t>
  </si>
  <si>
    <t>HETTICH 41373 KA 5740 pro zásuvné dveře 400mm/14kg</t>
  </si>
  <si>
    <t>41374</t>
  </si>
  <si>
    <t>106324</t>
  </si>
  <si>
    <t>HETTICH 41374 KA 5740 pro zásuvné dveře 450mm/14kg</t>
  </si>
  <si>
    <t>41375</t>
  </si>
  <si>
    <t>105268</t>
  </si>
  <si>
    <t>HETTICH 41375 KA 5740 pro zásuvné dveře 500mm/14kg</t>
  </si>
  <si>
    <t>41376</t>
  </si>
  <si>
    <t>105378</t>
  </si>
  <si>
    <t>HETTICH 41376 KA 5740 pro zásuvné dveře 550mm/14kg</t>
  </si>
  <si>
    <t>41377</t>
  </si>
  <si>
    <t>107090</t>
  </si>
  <si>
    <t>HETTICH 41377 KA 5740 pro zásuvné dveře 600mm/14kg</t>
  </si>
  <si>
    <t>41378</t>
  </si>
  <si>
    <t>104009</t>
  </si>
  <si>
    <t>HETTICH 41378 KA 5740 pro zásuvné dveře 650mm/14kg</t>
  </si>
  <si>
    <t>41379</t>
  </si>
  <si>
    <t>105788</t>
  </si>
  <si>
    <t>HETTICH 41379 KA 5740 pro zásuvné dveře 700mm/14kg</t>
  </si>
  <si>
    <t>41389</t>
  </si>
  <si>
    <t>104890</t>
  </si>
  <si>
    <t>HETTICH 41389 KA 4620 300 mm EB19, 90 kg</t>
  </si>
  <si>
    <t>41391</t>
  </si>
  <si>
    <t>104100</t>
  </si>
  <si>
    <t>HETTICH 41391 KA 4620 350 mm EB19 90 kg</t>
  </si>
  <si>
    <t>41392</t>
  </si>
  <si>
    <t>104101</t>
  </si>
  <si>
    <t>HETTICH 41392 KA 4620 400 mm kuličkový celovýsuv EB19 90 kg</t>
  </si>
  <si>
    <t>41393</t>
  </si>
  <si>
    <t>104102</t>
  </si>
  <si>
    <t>HETTICH 41393 KA 4620 450 mm EB19 90 kg</t>
  </si>
  <si>
    <t>41394</t>
  </si>
  <si>
    <t>104103</t>
  </si>
  <si>
    <t>HETTICH 41394 KA 4620 500 mm EB19 90 kg</t>
  </si>
  <si>
    <t>41395</t>
  </si>
  <si>
    <t>104104</t>
  </si>
  <si>
    <t>HETTICH 41395 KA 4620 550 mm EB19 90 kg</t>
  </si>
  <si>
    <t>41396</t>
  </si>
  <si>
    <t>104891</t>
  </si>
  <si>
    <t>HETTICH 41396 KA 4620 600 mm EB19, 90 kg</t>
  </si>
  <si>
    <t>41397</t>
  </si>
  <si>
    <t>104105</t>
  </si>
  <si>
    <t>HETTICH 41397 KA 4620 650 mm EB19 90 kg</t>
  </si>
  <si>
    <t>41398</t>
  </si>
  <si>
    <t>104106</t>
  </si>
  <si>
    <t>HETTICH 41398 KA 4620 kuličkový celovýsuv, 700mm/90kg, EB19</t>
  </si>
  <si>
    <t>41466</t>
  </si>
  <si>
    <t>184073</t>
  </si>
  <si>
    <t>HETTICH 41466 zámek Insert typ 587 niklovaný</t>
  </si>
  <si>
    <t>41618</t>
  </si>
  <si>
    <t>105124</t>
  </si>
  <si>
    <t>HETTICH 41618 Úchytka INSERT pro zámek L587 matný nikl</t>
  </si>
  <si>
    <t>41637</t>
  </si>
  <si>
    <t>104112</t>
  </si>
  <si>
    <t>HETTICH 41637 FR 6142 kolečkový celovýsuv, 350mm/50kg, bílá</t>
  </si>
  <si>
    <t>41641</t>
  </si>
  <si>
    <t>104153</t>
  </si>
  <si>
    <t>HETTICH 41641 FR 6142 kolečkový celovýsuv 450 50 kg bílý</t>
  </si>
  <si>
    <t>41647</t>
  </si>
  <si>
    <t>104217</t>
  </si>
  <si>
    <t>HETTICH 41647 FR 6142 600 mm 50 kg bílý</t>
  </si>
  <si>
    <t>41651</t>
  </si>
  <si>
    <t>104220</t>
  </si>
  <si>
    <t>HETTICH 41651 FR 6142 700 mm 50 kg bílý</t>
  </si>
  <si>
    <t>41653</t>
  </si>
  <si>
    <t>208434</t>
  </si>
  <si>
    <t>HETTICH 41653 FR 6142 750 mm 50 kg bílý</t>
  </si>
  <si>
    <t>41655</t>
  </si>
  <si>
    <t>104278</t>
  </si>
  <si>
    <t>HETTICH 41655 FR 6142 800 mm 50 kg bílý</t>
  </si>
  <si>
    <t>41838</t>
  </si>
  <si>
    <t>184105</t>
  </si>
  <si>
    <t>HETTICH 41838 Zarážka samolepící d16 x 8 mm</t>
  </si>
  <si>
    <t>41841</t>
  </si>
  <si>
    <t>184107</t>
  </si>
  <si>
    <t>HETTICH 41841 Zarážka samolepící d13 x 3,5 mm</t>
  </si>
  <si>
    <t>41936</t>
  </si>
  <si>
    <t>124229</t>
  </si>
  <si>
    <t>HETTICH 41936 DVD držák k nalepení hliník</t>
  </si>
  <si>
    <t>42472</t>
  </si>
  <si>
    <t>162666</t>
  </si>
  <si>
    <t>HETTICH 42472 Držák na boty 690x145x265 mm</t>
  </si>
  <si>
    <t>42473</t>
  </si>
  <si>
    <t>104089</t>
  </si>
  <si>
    <t>HETTICH 42473 výklopný botník, 1 řadý, bílá</t>
  </si>
  <si>
    <t>42474</t>
  </si>
  <si>
    <t>104087</t>
  </si>
  <si>
    <t>HETTICH 42474 výklopný botník, 2 řadý, bílá</t>
  </si>
  <si>
    <t>42475</t>
  </si>
  <si>
    <t>104088</t>
  </si>
  <si>
    <t>HETTICH 42475 výklopný botník, 3 řadý, bílá</t>
  </si>
  <si>
    <t>42507</t>
  </si>
  <si>
    <t>119060</t>
  </si>
  <si>
    <t>HETTICH 42507 DUO Lift 15 (562 3.) hliník</t>
  </si>
  <si>
    <t>42509</t>
  </si>
  <si>
    <t>119061</t>
  </si>
  <si>
    <t>HETTICH 42509 Duo Lift 15 distanční díl hliník</t>
  </si>
  <si>
    <t>43038</t>
  </si>
  <si>
    <t>106428</t>
  </si>
  <si>
    <t>HETTICH 43038 Úhlová podložka S9000 15° zinek</t>
  </si>
  <si>
    <t>43039</t>
  </si>
  <si>
    <t>106165</t>
  </si>
  <si>
    <t>HETTICH 43039 Selekta omezovač úhlu otevření na 90°</t>
  </si>
  <si>
    <t>43052</t>
  </si>
  <si>
    <t>106164</t>
  </si>
  <si>
    <t>HETTICH 43052 omezovač otevření 115° pro Selekta pro</t>
  </si>
  <si>
    <t>43467</t>
  </si>
  <si>
    <t>108316</t>
  </si>
  <si>
    <t>HETTICH 43467 výkres 1:1 Systema Top 2000</t>
  </si>
  <si>
    <t>43472</t>
  </si>
  <si>
    <t>107814</t>
  </si>
  <si>
    <t>HETTICH 43472 Úchytka Balmo 128 imitace nerezi</t>
  </si>
  <si>
    <t>43502</t>
  </si>
  <si>
    <t>107863</t>
  </si>
  <si>
    <t>HETTICH 43502 Úchytka BELLUNO 200/160 nebo 192 mm chrom matný</t>
  </si>
  <si>
    <t>43503</t>
  </si>
  <si>
    <t>162489</t>
  </si>
  <si>
    <t>HETTICH 43503 Úchytka BELLUNO 200/192 nebo 160 mm chrom lesklý</t>
  </si>
  <si>
    <t>43505</t>
  </si>
  <si>
    <t>153332</t>
  </si>
  <si>
    <t>HETTICH 43505 Úchytka BELLUNO 267/256 nebo 224 mm chrom matný</t>
  </si>
  <si>
    <t>43506</t>
  </si>
  <si>
    <t>162490</t>
  </si>
  <si>
    <t>HETTICH 43506 Úchytka BELLUNO 267/256 nebo 224 mm chrom lesklý</t>
  </si>
  <si>
    <t>43642</t>
  </si>
  <si>
    <t>158763</t>
  </si>
  <si>
    <t>HETTICH 43642 Úchytka BELLUNO 130/96 mm chrom matný</t>
  </si>
  <si>
    <t>43643</t>
  </si>
  <si>
    <t>108029</t>
  </si>
  <si>
    <t>HETTICH 43643 Úchytka BELLUNO 130/96 mm chrom lesklý</t>
  </si>
  <si>
    <t>43662</t>
  </si>
  <si>
    <t>108194</t>
  </si>
  <si>
    <t>HETTICH 43662 SlideLine 55 vodící díl šikmý černá</t>
  </si>
  <si>
    <t>44389</t>
  </si>
  <si>
    <t>107735</t>
  </si>
  <si>
    <t>HETTICH 44389 Stop Control těleso SiSy SD</t>
  </si>
  <si>
    <t>44557</t>
  </si>
  <si>
    <t>184323</t>
  </si>
  <si>
    <t>HETTICH 44557 Rozeta typ 2575 matný nikl</t>
  </si>
  <si>
    <t>44563</t>
  </si>
  <si>
    <t>184324</t>
  </si>
  <si>
    <t>HETTICH 44563 klíč typ 27, nikl matný, délka 64mm</t>
  </si>
  <si>
    <t>44742</t>
  </si>
  <si>
    <t>105664</t>
  </si>
  <si>
    <t>HETTICH 44742 Univerzální rohová spojka bílá</t>
  </si>
  <si>
    <t>44744</t>
  </si>
  <si>
    <t>106334</t>
  </si>
  <si>
    <t>HETTICH 44744 Spojovací plech pro čela 200 mm</t>
  </si>
  <si>
    <t>44745</t>
  </si>
  <si>
    <t>104592</t>
  </si>
  <si>
    <t>HETTICH 44745 FrankoFlex 90°</t>
  </si>
  <si>
    <t>44747</t>
  </si>
  <si>
    <t>105986</t>
  </si>
  <si>
    <t>HETTICH 44747 noha Korrekt, 50 mm, černá</t>
  </si>
  <si>
    <t>44750</t>
  </si>
  <si>
    <t>105069</t>
  </si>
  <si>
    <t>HETTICH 44750 RAPID s DU 324 20 mm</t>
  </si>
  <si>
    <t>44757</t>
  </si>
  <si>
    <t>184326</t>
  </si>
  <si>
    <t>HETTICH 44757 vrták-TK d15 mm</t>
  </si>
  <si>
    <t>44758</t>
  </si>
  <si>
    <t>105075</t>
  </si>
  <si>
    <t>HETTICH 44758 Rapid S DU 332 20 mm</t>
  </si>
  <si>
    <t>44759</t>
  </si>
  <si>
    <t>184327</t>
  </si>
  <si>
    <t>HETTICH 44759 Rapid S DU 333 30 mm</t>
  </si>
  <si>
    <t>44763</t>
  </si>
  <si>
    <t>106809</t>
  </si>
  <si>
    <t>HETTICH 44763 Accura vrtací šablona pro úchytky</t>
  </si>
  <si>
    <t>467554</t>
  </si>
  <si>
    <t>HETTICH 44763 Accura vrtací šablona pro úchytky PD-50</t>
  </si>
  <si>
    <t>44764</t>
  </si>
  <si>
    <t>105540</t>
  </si>
  <si>
    <t>HETTICH 44764 Accura lišta se stupnicí 500 mm</t>
  </si>
  <si>
    <t>529617</t>
  </si>
  <si>
    <t>HETTICH 44764 Accura lišta se stupnicí 500 mm PD-50</t>
  </si>
  <si>
    <t>44765</t>
  </si>
  <si>
    <t>105238</t>
  </si>
  <si>
    <t>HETTICH 44765 Accura vrtací těleso pro úchytky vč. vrtacího pouzdra 5mm</t>
  </si>
  <si>
    <t>469005</t>
  </si>
  <si>
    <t>HETTICH 44765 Accura vrtací těleso pro úchytky vč. vrtacího pouzdra 5mm PD-50</t>
  </si>
  <si>
    <t>44766</t>
  </si>
  <si>
    <t>104652</t>
  </si>
  <si>
    <t>HETTICH 44766 vrták spirálový HSS d5mm</t>
  </si>
  <si>
    <t>467552</t>
  </si>
  <si>
    <t>HETTICH 44766 vrták spirálový HSS d5mm PD-50</t>
  </si>
  <si>
    <t>44767</t>
  </si>
  <si>
    <t>159903</t>
  </si>
  <si>
    <t>HETTICH 44767 Accura náhradní těleso s vrtacím pouzdrem 5mm</t>
  </si>
  <si>
    <t>468802</t>
  </si>
  <si>
    <t>HETTICH 44767 Accura náhradní těleso s vrtacím pouzdrem 5mm PD-50</t>
  </si>
  <si>
    <t>44777</t>
  </si>
  <si>
    <t>108220</t>
  </si>
  <si>
    <t>HETTICH 44777 Šablona BlueJig Quadro EB20</t>
  </si>
  <si>
    <t>490657</t>
  </si>
  <si>
    <t>HETTICH 44777 Šablona BlueJig Quadro EB20 PD-50</t>
  </si>
  <si>
    <t>44843</t>
  </si>
  <si>
    <t>106283</t>
  </si>
  <si>
    <t>HETTICH 44843 Mechanický pedál chromovaný vzhled matný</t>
  </si>
  <si>
    <t>44934</t>
  </si>
  <si>
    <t>104296</t>
  </si>
  <si>
    <t>HETTICH 44934 Držák kořenek OrgaTray, uložení na stojato, buk lakovaný</t>
  </si>
  <si>
    <t>45025</t>
  </si>
  <si>
    <t>175578</t>
  </si>
  <si>
    <t>HETTICH 45025 Výklopné kování Lift up 15 16</t>
  </si>
  <si>
    <t>45026</t>
  </si>
  <si>
    <t>105306</t>
  </si>
  <si>
    <t>HETTICH 45026 Výklopné kování Lift UP 18/19</t>
  </si>
  <si>
    <t>45036</t>
  </si>
  <si>
    <t>104076</t>
  </si>
  <si>
    <t>HETTICH 45036 Intermat 9930 T42 K-5, 50°/65°</t>
  </si>
  <si>
    <t>45037</t>
  </si>
  <si>
    <t>208459</t>
  </si>
  <si>
    <t>HETTICH 45037 Intermat 9930 K-5 T43 50 90</t>
  </si>
  <si>
    <t>45044</t>
  </si>
  <si>
    <t>107533</t>
  </si>
  <si>
    <t>HETTICH 45044 Selekta pro 2000 270° naložení 15mm</t>
  </si>
  <si>
    <t>45045</t>
  </si>
  <si>
    <t>412919</t>
  </si>
  <si>
    <t>HETTICH 45045 Selekta PRO 2000 270° naložený, naložení 16mm JIROUŠEK</t>
  </si>
  <si>
    <t>104078</t>
  </si>
  <si>
    <t>HETTICH 45045 Selekta Pro 2000 ramínko S19/16 hmoždinka pružina</t>
  </si>
  <si>
    <t>45046</t>
  </si>
  <si>
    <t>141408</t>
  </si>
  <si>
    <t>HETTICH 45046 Selekta pro 2000 270° naložení 12mm</t>
  </si>
  <si>
    <t>45047</t>
  </si>
  <si>
    <t>107532</t>
  </si>
  <si>
    <t>HETTICH 45047 Selekta pro 2000 270° naložení 12mm</t>
  </si>
  <si>
    <t>45048</t>
  </si>
  <si>
    <t>119327</t>
  </si>
  <si>
    <t>HETTICH 45048 Selekta pro 2000 230° naložený 6,5 mm</t>
  </si>
  <si>
    <t>45049</t>
  </si>
  <si>
    <t>134057</t>
  </si>
  <si>
    <t>HETTICH 45049 Selekta pro 2000 270° naložení 15 mm</t>
  </si>
  <si>
    <t>45051</t>
  </si>
  <si>
    <t>119078</t>
  </si>
  <si>
    <t>HETTICH 45051 Selekta pro 2000 270° naložení 16mm</t>
  </si>
  <si>
    <t>45052</t>
  </si>
  <si>
    <t>184346</t>
  </si>
  <si>
    <t>HETTICH 45052 Selekta pro 2000 270° naložení 12mm</t>
  </si>
  <si>
    <t>45053</t>
  </si>
  <si>
    <t>106125</t>
  </si>
  <si>
    <t>HETTICH 45053 Selekta pro 2000 270°, naložení 12mm</t>
  </si>
  <si>
    <t>45055</t>
  </si>
  <si>
    <t>184348</t>
  </si>
  <si>
    <t>HETTICH 45055 Selekta pro 2000 180° naložení 6,5mm</t>
  </si>
  <si>
    <t>45056</t>
  </si>
  <si>
    <t>184349</t>
  </si>
  <si>
    <t>HETTICH 45056 Selekta pro 2000 E 180° vložený</t>
  </si>
  <si>
    <t>45057</t>
  </si>
  <si>
    <t>184350</t>
  </si>
  <si>
    <t>HETTICH 45057 Selekta pro 2000 230° naložení 11 mm</t>
  </si>
  <si>
    <t>45058</t>
  </si>
  <si>
    <t>184351</t>
  </si>
  <si>
    <t>HETTICH 45058 Selekta pro Ex S19 A5,5 LR32 OZ</t>
  </si>
  <si>
    <t>45063</t>
  </si>
  <si>
    <t>184353</t>
  </si>
  <si>
    <t>HETTICH 45063 Selekta pro Ex.S19 A6,5 32 ZW M</t>
  </si>
  <si>
    <t>45064</t>
  </si>
  <si>
    <t>412921</t>
  </si>
  <si>
    <t>HETTICH 45064 Selekta pro 2000 E 180° vložený JIROUŠEK</t>
  </si>
  <si>
    <t>105217</t>
  </si>
  <si>
    <t>HETTICH 45064 Selekta Pro 2000E ramínko vložený hmoždinka pružina</t>
  </si>
  <si>
    <t>45065</t>
  </si>
  <si>
    <t>104972</t>
  </si>
  <si>
    <t>HETTICH 45065 Selekta pro 2000 230°, naložení 11 mm</t>
  </si>
  <si>
    <t>45066</t>
  </si>
  <si>
    <t>105511</t>
  </si>
  <si>
    <t>HETTICH 45066 Selekta pro čep v ose boku</t>
  </si>
  <si>
    <t>45076</t>
  </si>
  <si>
    <t>107491</t>
  </si>
  <si>
    <t>HETTICH 45076 TopLine 1 posuvné dveře sada pro 2 křídla</t>
  </si>
  <si>
    <t>45077</t>
  </si>
  <si>
    <t>107492</t>
  </si>
  <si>
    <t>HETTICH 45077 TopLine 1 posuvné dveře sada pro 3 křídla</t>
  </si>
  <si>
    <t>45078</t>
  </si>
  <si>
    <t>107844</t>
  </si>
  <si>
    <t>HETTICH 45078 TopLine 1 posuvné dveře sada pro 2 křídla</t>
  </si>
  <si>
    <t>45079</t>
  </si>
  <si>
    <t>107845</t>
  </si>
  <si>
    <t>HETTICH 45079 TopLine 1 posuvné dveře sada pro 3 křídla</t>
  </si>
  <si>
    <t>45080</t>
  </si>
  <si>
    <t>107470</t>
  </si>
  <si>
    <t>HETTICH 45080 STB 11 posuvné dveře sada pro 2 křídla</t>
  </si>
  <si>
    <t>45081</t>
  </si>
  <si>
    <t>107703</t>
  </si>
  <si>
    <t>HETTICH 45081 STB 11 posuvné dveře sada pro 3 křídla</t>
  </si>
  <si>
    <t>45082</t>
  </si>
  <si>
    <t>107471</t>
  </si>
  <si>
    <t>HETTICH 45082 STB 12 posuvné dveře sada pro 2 křídla</t>
  </si>
  <si>
    <t>45083</t>
  </si>
  <si>
    <t>107704</t>
  </si>
  <si>
    <t>HETTICH 45083 STB 12 posuvné dveře sada pro 3 křídla</t>
  </si>
  <si>
    <t>45097</t>
  </si>
  <si>
    <t>119079</t>
  </si>
  <si>
    <t>HETTICH 45097 TopLine 1 horní vedení 6000mm stříbrná surová</t>
  </si>
  <si>
    <t>45150</t>
  </si>
  <si>
    <t>107416</t>
  </si>
  <si>
    <t>HETTICH 45150 Šablona Bluejig pro závěsy a podložky</t>
  </si>
  <si>
    <t>45167</t>
  </si>
  <si>
    <t>119084</t>
  </si>
  <si>
    <t>HETTICH 45167 vrut 3,5x12 půlkulatá hlava zinek bílý PZ2</t>
  </si>
  <si>
    <t>45168</t>
  </si>
  <si>
    <t>177538</t>
  </si>
  <si>
    <t>HETTICH 45168 vrut PZ 3,5x20 půlkulatá hlava zinek bílý</t>
  </si>
  <si>
    <t>45169</t>
  </si>
  <si>
    <t>107686</t>
  </si>
  <si>
    <t>HETTICH 45169 šroub+pouzdro pro T43</t>
  </si>
  <si>
    <t>45199</t>
  </si>
  <si>
    <t>107705</t>
  </si>
  <si>
    <t>HETTICH 45199 STB 15 posuvné dveře sada pro 2 křídla</t>
  </si>
  <si>
    <t>45200</t>
  </si>
  <si>
    <t>107707</t>
  </si>
  <si>
    <t>HETTICH 45200 STB 15 posuvné dveře sada pro 3 křídla</t>
  </si>
  <si>
    <t>45201</t>
  </si>
  <si>
    <t>106970</t>
  </si>
  <si>
    <t>HETTICH 45201 STB 15 spodní vedení 6000mm stříbrná elox</t>
  </si>
  <si>
    <t>45234</t>
  </si>
  <si>
    <t>104094</t>
  </si>
  <si>
    <t>HETTICH 45234 SlideLine 56 posuvné dveře sada pro 2 křídla</t>
  </si>
  <si>
    <t>45235</t>
  </si>
  <si>
    <t>107615</t>
  </si>
  <si>
    <t>HETTICH 45235 SlideLine 56 posuvné dveře sada pro 3 křídla</t>
  </si>
  <si>
    <t>45286</t>
  </si>
  <si>
    <t>104606</t>
  </si>
  <si>
    <t>HETTICH 45286 Quadro V6 skrytý celovýsuv, 320mm/25kg, bok 16mm, pár, SiSy</t>
  </si>
  <si>
    <t>45296</t>
  </si>
  <si>
    <t>104758</t>
  </si>
  <si>
    <t>HETTICH 45296 Quadro V6 skrytý celovýsuv, 580mm/30kg, bok 16mm, pár, SiSy</t>
  </si>
  <si>
    <t>45297</t>
  </si>
  <si>
    <t>104784</t>
  </si>
  <si>
    <t>HETTICH 45297 Quadro V6 skrytý celovýsuv, 600mm/30kg, bok 16mm, pár, SiSy</t>
  </si>
  <si>
    <t>45315</t>
  </si>
  <si>
    <t>107546</t>
  </si>
  <si>
    <t>HETTICH 45315 Vertico Mono sada, vložené dveře</t>
  </si>
  <si>
    <t>45316</t>
  </si>
  <si>
    <t>131679</t>
  </si>
  <si>
    <t>HETTICH 45316 VerticoSynchro krycí profil na tažné lanko 600mm</t>
  </si>
  <si>
    <t>45317</t>
  </si>
  <si>
    <t>107545</t>
  </si>
  <si>
    <t>HETTICH 45317 TopLine 110 sada pro 2 křídla</t>
  </si>
  <si>
    <t>45319</t>
  </si>
  <si>
    <t>336258</t>
  </si>
  <si>
    <t>HETTICH 45319 Adaptér pro uchycení v šikmině</t>
  </si>
  <si>
    <t>45555</t>
  </si>
  <si>
    <t>105612</t>
  </si>
  <si>
    <t>HETTICH 45555 InnoFit start montážní přípravek</t>
  </si>
  <si>
    <t>484152</t>
  </si>
  <si>
    <t>HETTICH 45555 InnoFit start montážní přípravek PD-50</t>
  </si>
  <si>
    <t>45741</t>
  </si>
  <si>
    <t>105933</t>
  </si>
  <si>
    <t>HETTICH 45741 Zámek západkový Z23</t>
  </si>
  <si>
    <t>45742</t>
  </si>
  <si>
    <t>184365</t>
  </si>
  <si>
    <t>HETTICH 45742 rozvorový zámek Z23 levý</t>
  </si>
  <si>
    <t>45749</t>
  </si>
  <si>
    <t>184366</t>
  </si>
  <si>
    <t>HETTICH 45749 zámek zásuvkový-pákový 16,5 mm Z25</t>
  </si>
  <si>
    <t>45813</t>
  </si>
  <si>
    <t>184377</t>
  </si>
  <si>
    <t>HETTICH 45813 Soklový kluzák s ochranou hrany</t>
  </si>
  <si>
    <t>45814</t>
  </si>
  <si>
    <t>184378</t>
  </si>
  <si>
    <t>HETTICH 45814 Kolečko s rejdem bez brzdy</t>
  </si>
  <si>
    <t>45815</t>
  </si>
  <si>
    <t>184379</t>
  </si>
  <si>
    <t>HETTICH 45815 Kolečko s rejdem a brzdou</t>
  </si>
  <si>
    <t>45827</t>
  </si>
  <si>
    <t>119087</t>
  </si>
  <si>
    <t>HETTICH 45827 Change plus ocelový sloup 1400 mm</t>
  </si>
  <si>
    <t>45836</t>
  </si>
  <si>
    <t>104176</t>
  </si>
  <si>
    <t>HETTICH 45836 Change plus ocelový sloup 654/120 mm</t>
  </si>
  <si>
    <t>45855</t>
  </si>
  <si>
    <t>153573</t>
  </si>
  <si>
    <t>HETTICH 45855 kabelová průchodka 60 mm matná černá</t>
  </si>
  <si>
    <t>45859</t>
  </si>
  <si>
    <t>107036</t>
  </si>
  <si>
    <t>HETTICH 45859 kabelová průchodka 60 mm hliník</t>
  </si>
  <si>
    <t>45861</t>
  </si>
  <si>
    <t>105391</t>
  </si>
  <si>
    <t>HETTICH 45861 kabelová průchodka 60 mm imitace nerezi</t>
  </si>
  <si>
    <t>45864</t>
  </si>
  <si>
    <t>184386</t>
  </si>
  <si>
    <t>HETTICH 45864 kabelová průchodka 80 mm chrom</t>
  </si>
  <si>
    <t>45865</t>
  </si>
  <si>
    <t>208464</t>
  </si>
  <si>
    <t>HETTICH 45865 kabelová průchodka 80 mm černý mat</t>
  </si>
  <si>
    <t>45869</t>
  </si>
  <si>
    <t>105401</t>
  </si>
  <si>
    <t>HETTICH 45869 kabelová průchodka 80 mm hliník</t>
  </si>
  <si>
    <t>45871</t>
  </si>
  <si>
    <t>153217</t>
  </si>
  <si>
    <t>HETTICH 45871 kabelová průchodka 80 mm imitace nerezi</t>
  </si>
  <si>
    <t>45872</t>
  </si>
  <si>
    <t>119222</t>
  </si>
  <si>
    <t>HETTICH 45872 kabelová průchodka 80 mm matný chrom</t>
  </si>
  <si>
    <t>45968</t>
  </si>
  <si>
    <t>104275</t>
  </si>
  <si>
    <t>HETTICH 45968 Kabelový držák jednoduchý</t>
  </si>
  <si>
    <t>45969</t>
  </si>
  <si>
    <t>104274</t>
  </si>
  <si>
    <t>HETTICH 45969 Kabelový držák dvojitý</t>
  </si>
  <si>
    <t>45976</t>
  </si>
  <si>
    <t>103735</t>
  </si>
  <si>
    <t>HETTICH 45976 Stolová podnož kulatá, výška 715 mm, hliník</t>
  </si>
  <si>
    <t>45988</t>
  </si>
  <si>
    <t>107731</t>
  </si>
  <si>
    <t>HETTICH 45988 Stolová podnož oblouk 715 hliník</t>
  </si>
  <si>
    <t>46011</t>
  </si>
  <si>
    <t>107911</t>
  </si>
  <si>
    <t>HETTICH 46011 traverza 1000 mm hliník</t>
  </si>
  <si>
    <t>46013</t>
  </si>
  <si>
    <t>124233</t>
  </si>
  <si>
    <t>HETTICH 46013 traverza 1400 mm hliník</t>
  </si>
  <si>
    <t>46014</t>
  </si>
  <si>
    <t>184397</t>
  </si>
  <si>
    <t>HETTICH 46014 traverza 1600 mm hliník</t>
  </si>
  <si>
    <t>46016</t>
  </si>
  <si>
    <t>208465</t>
  </si>
  <si>
    <t>HETTICH 46016 traverza 2000 mm hliník</t>
  </si>
  <si>
    <t>46019</t>
  </si>
  <si>
    <t>162196</t>
  </si>
  <si>
    <t>HETTICH 46019 traverza 900-1400 mm hliník</t>
  </si>
  <si>
    <t>46021</t>
  </si>
  <si>
    <t>184398</t>
  </si>
  <si>
    <t>HETTICH 46021 traverza 1500-2000 mm hliník</t>
  </si>
  <si>
    <t>46048</t>
  </si>
  <si>
    <t>208466</t>
  </si>
  <si>
    <t>HETTICH 46048 Ayo stolová noha 1200/60 mm chrom</t>
  </si>
  <si>
    <t>46049</t>
  </si>
  <si>
    <t>175464</t>
  </si>
  <si>
    <t>HETTICH 46049 Ayo stolová noha 1200/60 mm imitace nerezi</t>
  </si>
  <si>
    <t>46051</t>
  </si>
  <si>
    <t>106018</t>
  </si>
  <si>
    <t>HETTICH 46051 AYO stolová noha 1200/60 mm matná černá</t>
  </si>
  <si>
    <t>46064</t>
  </si>
  <si>
    <t>105902</t>
  </si>
  <si>
    <t>HETTICH 46064 JELANI stolová noha 690/80 mm nerez</t>
  </si>
  <si>
    <t>46065</t>
  </si>
  <si>
    <t>184405</t>
  </si>
  <si>
    <t>HETTICH 46065 Jelani stolová noha 690/80 mm černá</t>
  </si>
  <si>
    <t>46066</t>
  </si>
  <si>
    <t>124234</t>
  </si>
  <si>
    <t>HETTICH 46066 Jengo stolové nohy hliník sklopné</t>
  </si>
  <si>
    <t>46071</t>
  </si>
  <si>
    <t>107788</t>
  </si>
  <si>
    <t>HETTICH 46071 vrták-TK d35 mm</t>
  </si>
  <si>
    <t>46073</t>
  </si>
  <si>
    <t>184407</t>
  </si>
  <si>
    <t>HETTICH 46073 TK-vrták D26</t>
  </si>
  <si>
    <t>46074</t>
  </si>
  <si>
    <t>184408</t>
  </si>
  <si>
    <t>HETTICH 46074 TK-vrták D25</t>
  </si>
  <si>
    <t>46075</t>
  </si>
  <si>
    <t>184409</t>
  </si>
  <si>
    <t>HETTICH 46075 TK-vrták D24</t>
  </si>
  <si>
    <t>46076</t>
  </si>
  <si>
    <t>184410</t>
  </si>
  <si>
    <t>HETTICH 46076 TK-vrták D22,3</t>
  </si>
  <si>
    <t>46077</t>
  </si>
  <si>
    <t>184411</t>
  </si>
  <si>
    <t>HETTICH 46077 vrták-TK d20 mm</t>
  </si>
  <si>
    <t>46078</t>
  </si>
  <si>
    <t>108246</t>
  </si>
  <si>
    <t>HETTICH 46078 vrták-TK d19 mm</t>
  </si>
  <si>
    <t>46079</t>
  </si>
  <si>
    <t>184412</t>
  </si>
  <si>
    <t>HETTICH 46079 vrták-TK D10 mm</t>
  </si>
  <si>
    <t>46080</t>
  </si>
  <si>
    <t>104127</t>
  </si>
  <si>
    <t>HETTICH 46080 Multiclip, plast, černá</t>
  </si>
  <si>
    <t>46081</t>
  </si>
  <si>
    <t>107789</t>
  </si>
  <si>
    <t>HETTICH 46081 vrták-TK d8 mm</t>
  </si>
  <si>
    <t>46082</t>
  </si>
  <si>
    <t>184413</t>
  </si>
  <si>
    <t>HETTICH 46082 vrták-TK d6 mm</t>
  </si>
  <si>
    <t>46083</t>
  </si>
  <si>
    <t>180634</t>
  </si>
  <si>
    <t>HETTICH 46083 vrták-TK d5 mm</t>
  </si>
  <si>
    <t>46084</t>
  </si>
  <si>
    <t>208467</t>
  </si>
  <si>
    <t>HETTICH 46084 vrták d8 mm s pouzdrem</t>
  </si>
  <si>
    <t>467630</t>
  </si>
  <si>
    <t>HETTICH 46084 vrták d8 mm s pouzdrem PD-50</t>
  </si>
  <si>
    <t>46085</t>
  </si>
  <si>
    <t>108238</t>
  </si>
  <si>
    <t>HETTICH 46085 DrillJig vrták d2,5 mm</t>
  </si>
  <si>
    <t>485107</t>
  </si>
  <si>
    <t>HETTICH 46085 DrillJig vrták d2,5 mm PD-50</t>
  </si>
  <si>
    <t>46086</t>
  </si>
  <si>
    <t>184414</t>
  </si>
  <si>
    <t>HETTICH 46086 vrták-TK d40 mm</t>
  </si>
  <si>
    <t>46087</t>
  </si>
  <si>
    <t>208468</t>
  </si>
  <si>
    <t>HETTICH 46087 vrták TK d18 mm</t>
  </si>
  <si>
    <t>46088</t>
  </si>
  <si>
    <t>108247</t>
  </si>
  <si>
    <t>HETTICH 46088 vrták-TK d3 mm</t>
  </si>
  <si>
    <t>46103</t>
  </si>
  <si>
    <t>104630</t>
  </si>
  <si>
    <t>HETTICH 46103 závěsný hák 6x50 mm, hmoždinka 8x40 mm</t>
  </si>
  <si>
    <t>46285</t>
  </si>
  <si>
    <t>208474</t>
  </si>
  <si>
    <t>HETTICH 46285 magnet D2 GP9 černý</t>
  </si>
  <si>
    <t>46286</t>
  </si>
  <si>
    <t>184445</t>
  </si>
  <si>
    <t>HETTICH 46286 magnet LM 5103 chrom</t>
  </si>
  <si>
    <t>46287</t>
  </si>
  <si>
    <t>119096</t>
  </si>
  <si>
    <t>HETTICH 46287 magnet LM 5103 niklovaný</t>
  </si>
  <si>
    <t>46289</t>
  </si>
  <si>
    <t>208475</t>
  </si>
  <si>
    <t>HETTICH 46289 magnet LM 5203 chrom</t>
  </si>
  <si>
    <t>46291</t>
  </si>
  <si>
    <t>208476</t>
  </si>
  <si>
    <t>HETTICH 46291 magnet LM 5203 niklovaný</t>
  </si>
  <si>
    <t>46293</t>
  </si>
  <si>
    <t>184447</t>
  </si>
  <si>
    <t>HETTICH 46293 magnet LM 5402 chrom</t>
  </si>
  <si>
    <t>46294</t>
  </si>
  <si>
    <t>105550</t>
  </si>
  <si>
    <t>HETTICH 46294 magnet LM 5402 niklovaný</t>
  </si>
  <si>
    <t>46298</t>
  </si>
  <si>
    <t>170406</t>
  </si>
  <si>
    <t>HETTICH 46298 zámek 321 pro skleněné dveře</t>
  </si>
  <si>
    <t>46413</t>
  </si>
  <si>
    <t>119100</t>
  </si>
  <si>
    <t>HETTICH 46413 DrillJig pro závěsy 1x35/2x2,5 mm</t>
  </si>
  <si>
    <t>467560</t>
  </si>
  <si>
    <t>HETTICH 46413 DrillJig pro závěsy 1x35/2x2,5 mm PD-50</t>
  </si>
  <si>
    <t>46416</t>
  </si>
  <si>
    <t>107855</t>
  </si>
  <si>
    <t>HETTICH 46416 TopLine 25 horní vedení 3500mm stříbrná surová</t>
  </si>
  <si>
    <t>46417</t>
  </si>
  <si>
    <t>107002</t>
  </si>
  <si>
    <t>HETTICH 46417 TopLine 27 horní vedení 3500mm stříbrná surová</t>
  </si>
  <si>
    <t>46419</t>
  </si>
  <si>
    <t>458018</t>
  </si>
  <si>
    <t>HETTICH 46419 STB 11 profil dolní 6000 mm alu</t>
  </si>
  <si>
    <t>46420</t>
  </si>
  <si>
    <t>119101</t>
  </si>
  <si>
    <t>HETTICH 46420 STB 12 dolní vedení 6000mm stříbrná surová</t>
  </si>
  <si>
    <t>46481</t>
  </si>
  <si>
    <t>104134</t>
  </si>
  <si>
    <t>HETTICH 46481 Žaluziový zámek Z23</t>
  </si>
  <si>
    <t>46482</t>
  </si>
  <si>
    <t>107030</t>
  </si>
  <si>
    <t>HETTICH 46482 protiplech typ 6195</t>
  </si>
  <si>
    <t>46499</t>
  </si>
  <si>
    <t>104137</t>
  </si>
  <si>
    <t>HETTICH 46499 zámek 326 na skleněné posuvné dveře</t>
  </si>
  <si>
    <t>46628</t>
  </si>
  <si>
    <t>184525</t>
  </si>
  <si>
    <t>HETTICH 46628 vrták d8 mm</t>
  </si>
  <si>
    <t>512156</t>
  </si>
  <si>
    <t>HETTICH 46628 vrták d8 mm PD-50</t>
  </si>
  <si>
    <t>46629</t>
  </si>
  <si>
    <t>184526</t>
  </si>
  <si>
    <t>HETTICH 46629 Accura přenášecí čep pro výsuvy</t>
  </si>
  <si>
    <t>468801</t>
  </si>
  <si>
    <t>HETTICH 46629 Accura přenášecí čep pro výsuvy PD-50</t>
  </si>
  <si>
    <t>46641</t>
  </si>
  <si>
    <t>177533</t>
  </si>
  <si>
    <t>HETTICH 46641 SlideLine 55 vozík 15 kg</t>
  </si>
  <si>
    <t>46642</t>
  </si>
  <si>
    <t>106489</t>
  </si>
  <si>
    <t>HETTICH 46642 podpěra polic Duplo, 5 mm, niklováno</t>
  </si>
  <si>
    <t>46694</t>
  </si>
  <si>
    <t>105972</t>
  </si>
  <si>
    <t>HETTICH 46694 Jengo nohy stolové 710/50 chrom</t>
  </si>
  <si>
    <t>46695</t>
  </si>
  <si>
    <t>184569</t>
  </si>
  <si>
    <t>HETTICH 46695 Tlumič dorazu 8 mm transparentní</t>
  </si>
  <si>
    <t>46735</t>
  </si>
  <si>
    <t>299945</t>
  </si>
  <si>
    <t>HETTICH 46735 sada kontejner s částečnými a plnovýsuvy, SiSy, 392x530 mm, černá</t>
  </si>
  <si>
    <t>46737</t>
  </si>
  <si>
    <t>299946</t>
  </si>
  <si>
    <t>HETTICH 46737 kontejner sada 392/730 mm černá SiSy</t>
  </si>
  <si>
    <t>46744</t>
  </si>
  <si>
    <t>104930</t>
  </si>
  <si>
    <t>HETTICH 46744 kontejner sada 244 530 černý</t>
  </si>
  <si>
    <t>46746</t>
  </si>
  <si>
    <t>299948</t>
  </si>
  <si>
    <t>HETTICH 46746 kontejner sada 392/730 mm černá SiSy</t>
  </si>
  <si>
    <t>46748</t>
  </si>
  <si>
    <t>104952</t>
  </si>
  <si>
    <t>HETTICH 46748 kontejner sada 244/530 mm hliník</t>
  </si>
  <si>
    <t>46787</t>
  </si>
  <si>
    <t>104142</t>
  </si>
  <si>
    <t>HETTICH 46787 středový závěs seřiditelný skládací dveře vrut</t>
  </si>
  <si>
    <t>46788</t>
  </si>
  <si>
    <t>106088</t>
  </si>
  <si>
    <t>HETTICH 46788 SlideLine 56 vodící profil 6000 mm hliník</t>
  </si>
  <si>
    <t>46789</t>
  </si>
  <si>
    <t>106961</t>
  </si>
  <si>
    <t>HETTICH 46789 STB 35 spodní vedení 3500mm plast bílá</t>
  </si>
  <si>
    <t>46790</t>
  </si>
  <si>
    <t>106976</t>
  </si>
  <si>
    <t>HETTICH 46790 STB 35 spodní vedení 3500mm plast hnědá</t>
  </si>
  <si>
    <t>46791</t>
  </si>
  <si>
    <t>106959</t>
  </si>
  <si>
    <t>HETTICH 46791 STB 35 spodní vedení 3500mm plast borovice</t>
  </si>
  <si>
    <t>46801</t>
  </si>
  <si>
    <t>107087</t>
  </si>
  <si>
    <t>HETTICH 46801 žaluziový zámek pravý Z23</t>
  </si>
  <si>
    <t>46802</t>
  </si>
  <si>
    <t>107077</t>
  </si>
  <si>
    <t>HETTICH 46802 žaluziový zámek levý Z23</t>
  </si>
  <si>
    <t>46810</t>
  </si>
  <si>
    <t>107573</t>
  </si>
  <si>
    <t>HETTICH 46810 protikus pro cylind.zámek žhliníkz</t>
  </si>
  <si>
    <t>46814</t>
  </si>
  <si>
    <t>208483</t>
  </si>
  <si>
    <t>HETTICH 46814 InnoTech zásuvka pod sporák 100 mm</t>
  </si>
  <si>
    <t>46816</t>
  </si>
  <si>
    <t>108443</t>
  </si>
  <si>
    <t>HETTICH 46816 InnoTech zásuvka pod sporák 150</t>
  </si>
  <si>
    <t>46836</t>
  </si>
  <si>
    <t>484236</t>
  </si>
  <si>
    <t>HETTICH 46836 kabelový kanál k nalepení 1050mm plast černý</t>
  </si>
  <si>
    <t>46840</t>
  </si>
  <si>
    <t>180296</t>
  </si>
  <si>
    <t>HETTICH 46840 Držák na stolovou desku</t>
  </si>
  <si>
    <t>46848</t>
  </si>
  <si>
    <t>106266</t>
  </si>
  <si>
    <t>HETTICH 46848 závěs SEPA 39mm mosaz matná</t>
  </si>
  <si>
    <t>47115</t>
  </si>
  <si>
    <t>184598</t>
  </si>
  <si>
    <t>HETTICH 47115 zámek pro držák pro PC černý</t>
  </si>
  <si>
    <t>47116</t>
  </si>
  <si>
    <t>130377</t>
  </si>
  <si>
    <t>HETTICH 47116 Zakladač  A4 pro zavěšení</t>
  </si>
  <si>
    <t>47216</t>
  </si>
  <si>
    <t>103858</t>
  </si>
  <si>
    <t>HETTICH 47216 přední adaptér Quadro pro montáž nasazením, pravo/levý, béžové</t>
  </si>
  <si>
    <t>47221</t>
  </si>
  <si>
    <t>106944</t>
  </si>
  <si>
    <t>HETTICH 47221 SlideLine 56 profil 6000 mm tmavě eloxovaný hliník</t>
  </si>
  <si>
    <t>47222</t>
  </si>
  <si>
    <t>103906</t>
  </si>
  <si>
    <t>HETTICH 47222 BlueMax mini, typ 2</t>
  </si>
  <si>
    <t>47353</t>
  </si>
  <si>
    <t>119104</t>
  </si>
  <si>
    <t>HETTICH 47353 čočka dorazová 1,5mm zalisování 6mm béžová</t>
  </si>
  <si>
    <t>47392</t>
  </si>
  <si>
    <t>119105</t>
  </si>
  <si>
    <t>HETTICH 47392 SlideLine 55 doraz k zalisování</t>
  </si>
  <si>
    <t>47452</t>
  </si>
  <si>
    <t>107650</t>
  </si>
  <si>
    <t>HETTICH 47452 Eurošroub 6,3 x 14 mm</t>
  </si>
  <si>
    <t>47458</t>
  </si>
  <si>
    <t>105070</t>
  </si>
  <si>
    <t>HETTICH 47458 kolík rychlomontážní RAPID S DU 325, 30 mm, pozinkováno, modrá</t>
  </si>
  <si>
    <t>47498</t>
  </si>
  <si>
    <t>184613</t>
  </si>
  <si>
    <t>HETTICH 47498 kulisový výsuvv 390 vodící profil</t>
  </si>
  <si>
    <t>47499</t>
  </si>
  <si>
    <t>184614</t>
  </si>
  <si>
    <t>HETTICH 47499 vodící profil 440 mm kulisový výsuv</t>
  </si>
  <si>
    <t>47500</t>
  </si>
  <si>
    <t>128260</t>
  </si>
  <si>
    <t>HETTICH 47500 kulisový výsuv Quadro Big Duplex horní vodící profil, 490 mm</t>
  </si>
  <si>
    <t>47501</t>
  </si>
  <si>
    <t>184615</t>
  </si>
  <si>
    <t>HETTICH 47501 vodící profil 540 mm kulisový výsuv</t>
  </si>
  <si>
    <t>47502</t>
  </si>
  <si>
    <t>108200</t>
  </si>
  <si>
    <t>HETTICH 47502 vodící profil 590 mm pro kulisový výsuv</t>
  </si>
  <si>
    <t>47503</t>
  </si>
  <si>
    <t>184616</t>
  </si>
  <si>
    <t>HETTICH 47503 vodící profil 640 mm kulisový výsuv</t>
  </si>
  <si>
    <t>47504</t>
  </si>
  <si>
    <t>184617</t>
  </si>
  <si>
    <t>HETTICH 47504 vodící profil pro kulisový výsuv 690 mm</t>
  </si>
  <si>
    <t>47505</t>
  </si>
  <si>
    <t>184618</t>
  </si>
  <si>
    <t>HETTICH 47505 kulisový výsuv Quadro Big Duplex horní vodící profil 740 mm</t>
  </si>
  <si>
    <t>47506</t>
  </si>
  <si>
    <t>184619</t>
  </si>
  <si>
    <t>HETTICH 47506 vodící profil pro kulisový výsuv 790 mm</t>
  </si>
  <si>
    <t>47507</t>
  </si>
  <si>
    <t>184620</t>
  </si>
  <si>
    <t>HETTICH 47507 kulisový výsuv Quadro Big Duplex horní vodící profil 840 mm</t>
  </si>
  <si>
    <t>47508</t>
  </si>
  <si>
    <t>184621</t>
  </si>
  <si>
    <t>HETTICH 47508 vodící profil pro kulisový výsuv 890 mm</t>
  </si>
  <si>
    <t>47509</t>
  </si>
  <si>
    <t>184622</t>
  </si>
  <si>
    <t>HETTICH 47509 vodící profil 940 mm kulisový výsuv</t>
  </si>
  <si>
    <t>47510</t>
  </si>
  <si>
    <t>184623</t>
  </si>
  <si>
    <t>HETTICH 47510 vodící profil 990 mm kulisový výsuv</t>
  </si>
  <si>
    <t>47511</t>
  </si>
  <si>
    <t>128258</t>
  </si>
  <si>
    <t>HETTICH 47511 vodící díl pro Quadro 50x50 mm</t>
  </si>
  <si>
    <t>47608</t>
  </si>
  <si>
    <t>104163</t>
  </si>
  <si>
    <t>HETTICH 47608 Pokosový spoj VB 160</t>
  </si>
  <si>
    <t>47609</t>
  </si>
  <si>
    <t>184626</t>
  </si>
  <si>
    <t>HETTICH 47609 podpěra police Sekura 8, 5 mm, niklováno, transparentní</t>
  </si>
  <si>
    <t>47612</t>
  </si>
  <si>
    <t>105539</t>
  </si>
  <si>
    <t>HETTICH 47612 Vari nosná lišta, 10x5x3500 mm, nikl</t>
  </si>
  <si>
    <t>47614</t>
  </si>
  <si>
    <t>184627</t>
  </si>
  <si>
    <t>HETTICH 47614 VARI lišta 16x6x3500 mm nikl</t>
  </si>
  <si>
    <t>47615</t>
  </si>
  <si>
    <t>107529</t>
  </si>
  <si>
    <t>HETTICH 47615 šatní tyč, oválná, 15/30/2000, chrom</t>
  </si>
  <si>
    <t>47616</t>
  </si>
  <si>
    <t>107530</t>
  </si>
  <si>
    <t>HETTICH 47616 Šatní tyč oválná 30 15 5000 mm chrom</t>
  </si>
  <si>
    <t>47630</t>
  </si>
  <si>
    <t>106171</t>
  </si>
  <si>
    <t>HETTICH 47630 opěrná noha 150 mm černá</t>
  </si>
  <si>
    <t>47631</t>
  </si>
  <si>
    <t>105955</t>
  </si>
  <si>
    <t>HETTICH 47631 Opěrná noha 170 mm černá</t>
  </si>
  <si>
    <t>47632</t>
  </si>
  <si>
    <t>105958</t>
  </si>
  <si>
    <t>HETTICH 47632 opěrná noha, 190 mm, černá</t>
  </si>
  <si>
    <t>47633</t>
  </si>
  <si>
    <t>105292</t>
  </si>
  <si>
    <t>HETTICH 47633 postelové kování Varifix, set</t>
  </si>
  <si>
    <t>47634</t>
  </si>
  <si>
    <t>108016</t>
  </si>
  <si>
    <t>HETTICH 47634 postelový spojovací set StabiloFIX</t>
  </si>
  <si>
    <t>47635</t>
  </si>
  <si>
    <t>350559</t>
  </si>
  <si>
    <t>HETTICH 47635 POSTELOVÝ SPOJ. ÚHELNÍK 226MM KUSOVNÍK HBL</t>
  </si>
  <si>
    <t>108009</t>
  </si>
  <si>
    <t>HETTICH 47635 postelový spojovací úhelník, 226 mm</t>
  </si>
  <si>
    <t>47643</t>
  </si>
  <si>
    <t>103720</t>
  </si>
  <si>
    <t>HETTICH 47643 Narážecí matice M8</t>
  </si>
  <si>
    <t>47645</t>
  </si>
  <si>
    <t>104230</t>
  </si>
  <si>
    <t>HETTICH 47645 Soklová destička se závitem M8</t>
  </si>
  <si>
    <t>47646</t>
  </si>
  <si>
    <t>107654</t>
  </si>
  <si>
    <t>HETTICH 47646 seřizovací šroub se závitem M10</t>
  </si>
  <si>
    <t>47647</t>
  </si>
  <si>
    <t>208486</t>
  </si>
  <si>
    <t>HETTICH 47647 Soklová noha 80-120 mm Systema Top 2000</t>
  </si>
  <si>
    <t>47654</t>
  </si>
  <si>
    <t>92413</t>
  </si>
  <si>
    <t>HETTICH 47654 kluzák k nalisování Korrekt</t>
  </si>
  <si>
    <t>47655</t>
  </si>
  <si>
    <t>104965</t>
  </si>
  <si>
    <t>HETTICH 47655 Korrekt kluzák 2 pouzdra</t>
  </si>
  <si>
    <t>47661</t>
  </si>
  <si>
    <t>106060</t>
  </si>
  <si>
    <t>HETTICH 47661 podpěra polic Titan</t>
  </si>
  <si>
    <t>47914</t>
  </si>
  <si>
    <t>104932</t>
  </si>
  <si>
    <t>HETTICH 47914 Kabelová průchodka 80 bílá</t>
  </si>
  <si>
    <t>47915</t>
  </si>
  <si>
    <t>208489</t>
  </si>
  <si>
    <t>HETTICH 47915 kabelová průchodka 80 mm hnědá</t>
  </si>
  <si>
    <t>48037</t>
  </si>
  <si>
    <t>107957</t>
  </si>
  <si>
    <t>HETTICH 48037 Twister DU 319</t>
  </si>
  <si>
    <t>48038</t>
  </si>
  <si>
    <t>398691</t>
  </si>
  <si>
    <t>HETTICH 48038 Twister DU 320 T 30 mm</t>
  </si>
  <si>
    <t>48051</t>
  </si>
  <si>
    <t>104190</t>
  </si>
  <si>
    <t>HETTICH 48051 Intermat závěs polonaložený 110° TH vrut pružina</t>
  </si>
  <si>
    <t>104192</t>
  </si>
  <si>
    <t>HETTICH 48053 Intermat 9943 T43 K0, naložený, k zalisování</t>
  </si>
  <si>
    <t>48054</t>
  </si>
  <si>
    <t>184638</t>
  </si>
  <si>
    <t>HETTICH 48054 Intermat 9943 T43 K9,5</t>
  </si>
  <si>
    <t>48055</t>
  </si>
  <si>
    <t>184639</t>
  </si>
  <si>
    <t>HETTICH 48055 INTERMAT 9943 T43 K16 k zalisov</t>
  </si>
  <si>
    <t>4807080</t>
  </si>
  <si>
    <t>223272</t>
  </si>
  <si>
    <t>HETTICH 4807080 ND spojka BlueMax 19 (č.1317)</t>
  </si>
  <si>
    <t>48096</t>
  </si>
  <si>
    <t>104199</t>
  </si>
  <si>
    <t>HETTICH 48096 Intermat závěs úhlový naložený 45°/95° TH vrut pružina</t>
  </si>
  <si>
    <t>48259</t>
  </si>
  <si>
    <t>208492</t>
  </si>
  <si>
    <t>HETTICH 48259 Dveřní zábrana - klapačka</t>
  </si>
  <si>
    <t>48305</t>
  </si>
  <si>
    <t>184658</t>
  </si>
  <si>
    <t>HETTICH 48305 Lock držák pro PC černý</t>
  </si>
  <si>
    <t>48354</t>
  </si>
  <si>
    <t>107123</t>
  </si>
  <si>
    <t>HETTICH 48354 Quadro V6+ 420 mm EB12,5, SiSy L+P</t>
  </si>
  <si>
    <t>48359</t>
  </si>
  <si>
    <t>105271</t>
  </si>
  <si>
    <t>HETTICH 48359 Quadro V6+/520 EB10,5 SiSy</t>
  </si>
  <si>
    <t>48428</t>
  </si>
  <si>
    <t>95423</t>
  </si>
  <si>
    <t>HETTICH 48428 Můstek vložený 600 mm hliník</t>
  </si>
  <si>
    <t>48429</t>
  </si>
  <si>
    <t>184683</t>
  </si>
  <si>
    <t>HETTICH 48429 můstek vložený 288 hliník</t>
  </si>
  <si>
    <t>48432</t>
  </si>
  <si>
    <t>184684</t>
  </si>
  <si>
    <t>HETTICH 48432 podpěra čela</t>
  </si>
  <si>
    <t>48437</t>
  </si>
  <si>
    <t>159902</t>
  </si>
  <si>
    <t>HETTICH 48437 BlueJig značkovací šablona</t>
  </si>
  <si>
    <t>48531</t>
  </si>
  <si>
    <t>119271</t>
  </si>
  <si>
    <t>HETTICH 48531 Change plus montážní kříž 1000x1000 mm</t>
  </si>
  <si>
    <t>48532</t>
  </si>
  <si>
    <t>119270</t>
  </si>
  <si>
    <t>HETTICH 48532 Change plus základní deska 820 mm</t>
  </si>
  <si>
    <t>48533</t>
  </si>
  <si>
    <t>106327</t>
  </si>
  <si>
    <t>HETTICH 48533 Change plus montážní kříž 800x800 mm</t>
  </si>
  <si>
    <t>48534</t>
  </si>
  <si>
    <t>106323</t>
  </si>
  <si>
    <t>HETTICH 48534 Change plus základní deska d720 mm hliník</t>
  </si>
  <si>
    <t>48535</t>
  </si>
  <si>
    <t>106325</t>
  </si>
  <si>
    <t>HETTICH 48535 Change plus montážní kříž 600x600 mm</t>
  </si>
  <si>
    <t>48577</t>
  </si>
  <si>
    <t>106610</t>
  </si>
  <si>
    <t>HETTICH 48577 rozpěrné pouzdro (hmoždinka) č.43 5x13mm</t>
  </si>
  <si>
    <t>48578</t>
  </si>
  <si>
    <t>119112</t>
  </si>
  <si>
    <t>HETTICH 48578 Rozpěrné pouzdro M4 5 mm</t>
  </si>
  <si>
    <t>48586</t>
  </si>
  <si>
    <t>105417</t>
  </si>
  <si>
    <t>HETTICH 48586 Krytka pro otvor D= 5mm bílá</t>
  </si>
  <si>
    <t>48596</t>
  </si>
  <si>
    <t>104949</t>
  </si>
  <si>
    <t>HETTICH 48596 klíč typ 09, nikl vysoký lesk, délka 70mm</t>
  </si>
  <si>
    <t>48676</t>
  </si>
  <si>
    <t>106322</t>
  </si>
  <si>
    <t>HETTICH 48676 Change plus základní deska, průměr 620 mm</t>
  </si>
  <si>
    <t>48678</t>
  </si>
  <si>
    <t>182756</t>
  </si>
  <si>
    <t>HETTICH 48678 otočná police Arena Classic 800x800 mm</t>
  </si>
  <si>
    <t>48771</t>
  </si>
  <si>
    <t>104215</t>
  </si>
  <si>
    <t>HETTICH 48771 Bluejig šablona označovací pro úchytky</t>
  </si>
  <si>
    <t>485108</t>
  </si>
  <si>
    <t>HETTICH 48771 šablona BlueJig pro úchytky PD-50</t>
  </si>
  <si>
    <t>48890</t>
  </si>
  <si>
    <t>104298</t>
  </si>
  <si>
    <t>HETTICH 48890 věšák na kravaty a pásky, 300mm, nikl</t>
  </si>
  <si>
    <t>49087</t>
  </si>
  <si>
    <t>124237</t>
  </si>
  <si>
    <t>HETTICH 49087 Portero 3 výsuvný koš pod dřez</t>
  </si>
  <si>
    <t>49234</t>
  </si>
  <si>
    <t>105349</t>
  </si>
  <si>
    <t>HETTICH 49234 výsuvný a výkyvný věšák na ručníky 2-ramenný</t>
  </si>
  <si>
    <t>49235</t>
  </si>
  <si>
    <t>108341</t>
  </si>
  <si>
    <t>HETTICH 49235 výsuvný a výkyvný věšák na ručníky 3-ramenný</t>
  </si>
  <si>
    <t>49248</t>
  </si>
  <si>
    <t>184715</t>
  </si>
  <si>
    <t>HETTICH 49248 dělící příčka Dispenza Arena Classic</t>
  </si>
  <si>
    <t>49446</t>
  </si>
  <si>
    <t>106600</t>
  </si>
  <si>
    <t>HETTICH 49446 Potah žehlícího prkna</t>
  </si>
  <si>
    <t>49473</t>
  </si>
  <si>
    <t>103897</t>
  </si>
  <si>
    <t>HETTICH 49473 Bin.it DUO II - 400 mm odpadkový koš černý</t>
  </si>
  <si>
    <t>49474</t>
  </si>
  <si>
    <t>105239</t>
  </si>
  <si>
    <t>HETTICH 49474 Bin.it DUO II 2x20l odpadkový koš</t>
  </si>
  <si>
    <t>49476</t>
  </si>
  <si>
    <t>119198</t>
  </si>
  <si>
    <t>HETTICH 49476 Bin.it Duo I odpadkový koš šedý</t>
  </si>
  <si>
    <t>49477</t>
  </si>
  <si>
    <t>184718</t>
  </si>
  <si>
    <t>HETTICH 49477 Bin.it Duo I</t>
  </si>
  <si>
    <t>50314</t>
  </si>
  <si>
    <t>119121</t>
  </si>
  <si>
    <t>HETTICH 50314 Krytka spojovacího úhelníku bílá</t>
  </si>
  <si>
    <t>51264</t>
  </si>
  <si>
    <t>107647</t>
  </si>
  <si>
    <t>HETTICH 51264 Eurošroub 6,3 x 10,5 mm, plochá zápustná hlava</t>
  </si>
  <si>
    <t>51265</t>
  </si>
  <si>
    <t>104394</t>
  </si>
  <si>
    <t>HETTICH 51265 Eurošroub 6,3 x 14 mm        SD</t>
  </si>
  <si>
    <t>51425</t>
  </si>
  <si>
    <t>103731</t>
  </si>
  <si>
    <t>HETTICH 51425 Šablona BlueJig MT</t>
  </si>
  <si>
    <t>51426</t>
  </si>
  <si>
    <t>107339</t>
  </si>
  <si>
    <t>HETTICH 51426 Multitech podélný reling, 400mm, bílá</t>
  </si>
  <si>
    <t>51427</t>
  </si>
  <si>
    <t>107340</t>
  </si>
  <si>
    <t>HETTICH 51427 MultiTech relingové tyče 400 mm šedé</t>
  </si>
  <si>
    <t>51484</t>
  </si>
  <si>
    <t>107345</t>
  </si>
  <si>
    <t>HETTICH 51484 MultiTech reling 500 mm šedý</t>
  </si>
  <si>
    <t>51485</t>
  </si>
  <si>
    <t>107346</t>
  </si>
  <si>
    <t>HETTICH 51485 MultiTech reling 550 mm bílý</t>
  </si>
  <si>
    <t>51487</t>
  </si>
  <si>
    <t>106873</t>
  </si>
  <si>
    <t>HETTICH 51487 MultiTech příchytky čela vnitřní zásuvky 86 mm bílé L+P</t>
  </si>
  <si>
    <t>51489</t>
  </si>
  <si>
    <t>106868</t>
  </si>
  <si>
    <t>HETTICH 51489 MultiTech příchytky čela vnitřní zásuvky 118 mm bílé L+P</t>
  </si>
  <si>
    <t>51497</t>
  </si>
  <si>
    <t>107273</t>
  </si>
  <si>
    <t>HETTICH 51497 MultiTech sada rám závěsná registratura 450 mm</t>
  </si>
  <si>
    <t>517912</t>
  </si>
  <si>
    <t>HETTICH 51497 MULTITECH SET RÁM ZÁV.REGIST. 450MM</t>
  </si>
  <si>
    <t>51499</t>
  </si>
  <si>
    <t>107274</t>
  </si>
  <si>
    <t>HETTICH 51499 MultiTech sada rám závěsná registratura 500 mm</t>
  </si>
  <si>
    <t>51500</t>
  </si>
  <si>
    <t>107993</t>
  </si>
  <si>
    <t>HETTICH 51500 Multitech zamykací tyč s 5 trny</t>
  </si>
  <si>
    <t>51501</t>
  </si>
  <si>
    <t>107270</t>
  </si>
  <si>
    <t>HETTICH 51501 MultiTech sada rám závěsná registratura 550 mm</t>
  </si>
  <si>
    <t>51502</t>
  </si>
  <si>
    <t>184720</t>
  </si>
  <si>
    <t>HETTICH 51502 kyvný doraz Maxi Stop</t>
  </si>
  <si>
    <t>52095</t>
  </si>
  <si>
    <t>184721</t>
  </si>
  <si>
    <t>HETTICH 52095 Závěs pro skládané dveře, stavitelný</t>
  </si>
  <si>
    <t>52799</t>
  </si>
  <si>
    <t>184722</t>
  </si>
  <si>
    <t>HETTICH 52799 Eurošroub 6,3 x 18 mm</t>
  </si>
  <si>
    <t>52996</t>
  </si>
  <si>
    <t>108248</t>
  </si>
  <si>
    <t>HETTICH 52996 Šroub 5x16 mm</t>
  </si>
  <si>
    <t>53012</t>
  </si>
  <si>
    <t>106514</t>
  </si>
  <si>
    <t>HETTICH 53012 podpěra Sekura 7, 5 mm, niklováno</t>
  </si>
  <si>
    <t>53817</t>
  </si>
  <si>
    <t>108231</t>
  </si>
  <si>
    <t>HETTICH 53817 vrták d8 mm pravý</t>
  </si>
  <si>
    <t>53818</t>
  </si>
  <si>
    <t>208505</t>
  </si>
  <si>
    <t>HETTICH 53818 vrták d8 mm levý</t>
  </si>
  <si>
    <t>53819</t>
  </si>
  <si>
    <t>184726</t>
  </si>
  <si>
    <t>HETTICH 53819 vrták 12 mm pravý</t>
  </si>
  <si>
    <t>53820</t>
  </si>
  <si>
    <t>184727</t>
  </si>
  <si>
    <t>HETTICH 53820 vrták 12 mm levý</t>
  </si>
  <si>
    <t>53941</t>
  </si>
  <si>
    <t>184728</t>
  </si>
  <si>
    <t>HETTICH 53941 vrták 14 mm pravý</t>
  </si>
  <si>
    <t>53942</t>
  </si>
  <si>
    <t>184729</t>
  </si>
  <si>
    <t>HETTICH 53942 vrták 14 mm levý</t>
  </si>
  <si>
    <t>53949</t>
  </si>
  <si>
    <t>108227</t>
  </si>
  <si>
    <t>HETTICH 53949 vrták d5 mm levý</t>
  </si>
  <si>
    <t>53950</t>
  </si>
  <si>
    <t>108228</t>
  </si>
  <si>
    <t>HETTICH 53950 vrták d5 mm pravý</t>
  </si>
  <si>
    <t>53951</t>
  </si>
  <si>
    <t>108224</t>
  </si>
  <si>
    <t>HETTICH 53951 vrták d10 mm levý</t>
  </si>
  <si>
    <t>53952</t>
  </si>
  <si>
    <t>179456</t>
  </si>
  <si>
    <t>HETTICH 53952 vrták d10 mm pravý</t>
  </si>
  <si>
    <t>54998</t>
  </si>
  <si>
    <t>106863</t>
  </si>
  <si>
    <t>HETTICH 54998 MultiTech příchytka čela 86/118/150/214 k zalisování</t>
  </si>
  <si>
    <t>56014</t>
  </si>
  <si>
    <t>105520</t>
  </si>
  <si>
    <t>HETTICH 56014 Quadro 25 výsuv pro psací podložku</t>
  </si>
  <si>
    <t>56614</t>
  </si>
  <si>
    <t>106759</t>
  </si>
  <si>
    <t>HETTICH 56614 spojka zad RV 7 D, niklováno</t>
  </si>
  <si>
    <t>58243</t>
  </si>
  <si>
    <t>107659</t>
  </si>
  <si>
    <t>HETTICH 58243 Vrut PanHead 4,0 x 12 mm</t>
  </si>
  <si>
    <t>58588</t>
  </si>
  <si>
    <t>184737</t>
  </si>
  <si>
    <t>HETTICH 58588 kabelová průchodka 60 mm šedá</t>
  </si>
  <si>
    <t>58590</t>
  </si>
  <si>
    <t>184738</t>
  </si>
  <si>
    <t>HETTICH 58590 kabelová průchodka 80 mm šedá</t>
  </si>
  <si>
    <t>58797</t>
  </si>
  <si>
    <t>104980</t>
  </si>
  <si>
    <t>HETTICH 58797 Dorazový kolík niklovaný</t>
  </si>
  <si>
    <t>60576</t>
  </si>
  <si>
    <t>104338</t>
  </si>
  <si>
    <t>HETTICH 60576 Intermat doplňkový tlumič na ramínko 9943/9936/9944 naložený</t>
  </si>
  <si>
    <t>60577</t>
  </si>
  <si>
    <t>104339</t>
  </si>
  <si>
    <t>HETTICH 60577 Tlumič klipový K9,5 SiSy</t>
  </si>
  <si>
    <t>60578</t>
  </si>
  <si>
    <t>104340</t>
  </si>
  <si>
    <t>HETTICH 60578 Tlumič klipový K16 SiSy</t>
  </si>
  <si>
    <t>60579</t>
  </si>
  <si>
    <t>104341</t>
  </si>
  <si>
    <t>HETTICH 60579 Intermat doplňkový tlumič na dno/půdu (polo)naložený vrut</t>
  </si>
  <si>
    <t>60580</t>
  </si>
  <si>
    <t>104342</t>
  </si>
  <si>
    <t>HETTICH 60580 tlumič k našroubování vložený</t>
  </si>
  <si>
    <t>60581</t>
  </si>
  <si>
    <t>104343</t>
  </si>
  <si>
    <t>HETTICH 60581 Intermat doplňkový tlumič na misku 9943/9944 TH naložený</t>
  </si>
  <si>
    <t>60685</t>
  </si>
  <si>
    <t>107839</t>
  </si>
  <si>
    <t>HETTICH 60685 tlumič SiSy externí naložený/polonaložený k zavrtání</t>
  </si>
  <si>
    <t>60687</t>
  </si>
  <si>
    <t>104346</t>
  </si>
  <si>
    <t>HETTICH 60687 tlumič SiSy externí naložený/polonaložený adaptér křížový vrut</t>
  </si>
  <si>
    <t>60832</t>
  </si>
  <si>
    <t>104347</t>
  </si>
  <si>
    <t>HETTICH 60832 Lištový závěs s pružinou</t>
  </si>
  <si>
    <t>61258</t>
  </si>
  <si>
    <t>519270</t>
  </si>
  <si>
    <t>HETTICH 61258 ND BLUE MAX RYCHLOUP. VŘETENO Č.1322</t>
  </si>
  <si>
    <t>61266</t>
  </si>
  <si>
    <t>106912</t>
  </si>
  <si>
    <t>HETTICH 61266 BM prodloužení pravítka 1500 mm</t>
  </si>
  <si>
    <t>61268</t>
  </si>
  <si>
    <t>106915</t>
  </si>
  <si>
    <t>HETTICH 61268 prodloužení stolu</t>
  </si>
  <si>
    <t>61285</t>
  </si>
  <si>
    <t>105456</t>
  </si>
  <si>
    <t>HETTICH 61285 BM kyvný doraz pravý levý</t>
  </si>
  <si>
    <t>61347</t>
  </si>
  <si>
    <t>519259</t>
  </si>
  <si>
    <t>HETTICH 61347 ND BLUE MAX Č.309 PROFIL SE STUPNICÍ</t>
  </si>
  <si>
    <t>61351</t>
  </si>
  <si>
    <t>106252</t>
  </si>
  <si>
    <t>HETTICH 61351 BM sklopný doraz pravý</t>
  </si>
  <si>
    <t>61353</t>
  </si>
  <si>
    <t>106253</t>
  </si>
  <si>
    <t>HETTICH 61353 Sklopný doraz levý</t>
  </si>
  <si>
    <t>61546</t>
  </si>
  <si>
    <t>106946</t>
  </si>
  <si>
    <t>HETTICH 61546 SlideLine 55 horní/spodní vedení 4000mm plast šedá</t>
  </si>
  <si>
    <t>61652</t>
  </si>
  <si>
    <t>108230</t>
  </si>
  <si>
    <t>HETTICH 61652 vrták 7,5mm pravý</t>
  </si>
  <si>
    <t>61653</t>
  </si>
  <si>
    <t>108229</t>
  </si>
  <si>
    <t>HETTICH 61653 vrták 7,5mm levý</t>
  </si>
  <si>
    <t>61832</t>
  </si>
  <si>
    <t>161650</t>
  </si>
  <si>
    <t>HETTICH 61832 Plastový krycí profil 2000 mm</t>
  </si>
  <si>
    <t>61851</t>
  </si>
  <si>
    <t>105989</t>
  </si>
  <si>
    <t>HETTICH 61851 noha Korrekt, 100 mm, černá</t>
  </si>
  <si>
    <t>61852</t>
  </si>
  <si>
    <t>105994</t>
  </si>
  <si>
    <t>HETTICH 61852 noha Korrekt, 130 mm, černá</t>
  </si>
  <si>
    <t>61854</t>
  </si>
  <si>
    <t>104975</t>
  </si>
  <si>
    <t>HETTICH 61854 kluzák k našroubování Korrekt</t>
  </si>
  <si>
    <t>61855</t>
  </si>
  <si>
    <t>106882</t>
  </si>
  <si>
    <t>HETTICH 61855 příchyt soklu Korrekt, k našroubování</t>
  </si>
  <si>
    <t>62000</t>
  </si>
  <si>
    <t>108233</t>
  </si>
  <si>
    <t>HETTICH 62000 vrták středící 5 mm</t>
  </si>
  <si>
    <t>529579</t>
  </si>
  <si>
    <t>HETTICH 62000 vrták středící 5 mm PD-50</t>
  </si>
  <si>
    <t>62001</t>
  </si>
  <si>
    <t>108234</t>
  </si>
  <si>
    <t>HETTICH 62001 středící vrták 3mm</t>
  </si>
  <si>
    <t>62002</t>
  </si>
  <si>
    <t>184766</t>
  </si>
  <si>
    <t>HETTICH 62002 sada 5 vrtáků 3-8 mm</t>
  </si>
  <si>
    <t>62004</t>
  </si>
  <si>
    <t>184767</t>
  </si>
  <si>
    <t>HETTICH 62004 adaptér pro závitové skoby 18 mm</t>
  </si>
  <si>
    <t>62005</t>
  </si>
  <si>
    <t>208509</t>
  </si>
  <si>
    <t>HETTICH 62005 vrták HS do dřeva d5/50 mm</t>
  </si>
  <si>
    <t>62006</t>
  </si>
  <si>
    <t>184768</t>
  </si>
  <si>
    <t>HETTICH 62006 spirálový vrták 8 mm</t>
  </si>
  <si>
    <t>62204</t>
  </si>
  <si>
    <t>153880</t>
  </si>
  <si>
    <t>HETTICH 62204 Krytka pro otvor D=8 mm béžová</t>
  </si>
  <si>
    <t>63016</t>
  </si>
  <si>
    <t>133778</t>
  </si>
  <si>
    <t>HETTICH 63016 Závitové pouzdro M4 15 mm</t>
  </si>
  <si>
    <t>63017</t>
  </si>
  <si>
    <t>106601</t>
  </si>
  <si>
    <t>HETTICH 63017 pouzdro M4 22 mm</t>
  </si>
  <si>
    <t>63549</t>
  </si>
  <si>
    <t>106594</t>
  </si>
  <si>
    <t>HETTICH 63549 Policová pojistka D=5 mm</t>
  </si>
  <si>
    <t>63598</t>
  </si>
  <si>
    <t>106062</t>
  </si>
  <si>
    <t>HETTICH 63598 podpěra polic Titan 2</t>
  </si>
  <si>
    <t>64872</t>
  </si>
  <si>
    <t>105022</t>
  </si>
  <si>
    <t>HETTICH 64872 kolík DU 322, 6,7 mm, pozinkováno</t>
  </si>
  <si>
    <t>64908</t>
  </si>
  <si>
    <t>106633</t>
  </si>
  <si>
    <t>HETTICH 64908 Pouzdro M4 18 mm</t>
  </si>
  <si>
    <t>65370</t>
  </si>
  <si>
    <t>105028</t>
  </si>
  <si>
    <t>HETTICH 65370 kolík DU 426 pro VB 35/36, 6,7 mm, bez povrchové úpravy</t>
  </si>
  <si>
    <t>65480</t>
  </si>
  <si>
    <t>106267</t>
  </si>
  <si>
    <t>HETTICH 65480 speciální šroub 5,5x50 mm, hmoždinka do zdiva 8x40 mm</t>
  </si>
  <si>
    <t>65501</t>
  </si>
  <si>
    <t>104500</t>
  </si>
  <si>
    <t>HETTICH 65501 excentr VB 35, 16 mm, poniklovaný</t>
  </si>
  <si>
    <t>65503</t>
  </si>
  <si>
    <t>104445</t>
  </si>
  <si>
    <t>HETTICH 65503 excentr VB 35, 16 mm, plast, bílá</t>
  </si>
  <si>
    <t>65504</t>
  </si>
  <si>
    <t>104488</t>
  </si>
  <si>
    <t>HETTICH 65504 excentr VB 35, 16 mm, plast, hnědá</t>
  </si>
  <si>
    <t>65505</t>
  </si>
  <si>
    <t>104501</t>
  </si>
  <si>
    <t>HETTICH 65505 excentr VB 35, 19 mm, poniklovaný</t>
  </si>
  <si>
    <t>65507</t>
  </si>
  <si>
    <t>104489</t>
  </si>
  <si>
    <t>HETTICH 65507 excentr VB 35, 19 mm, plast, bílá</t>
  </si>
  <si>
    <t>65509</t>
  </si>
  <si>
    <t>104468</t>
  </si>
  <si>
    <t>HETTICH 65509 excentr VB 35, 16 mm, poniklovaný</t>
  </si>
  <si>
    <t>65511</t>
  </si>
  <si>
    <t>104453</t>
  </si>
  <si>
    <t>HETTICH 65511 VB 35 16 plast bílý</t>
  </si>
  <si>
    <t>65513</t>
  </si>
  <si>
    <t>104478</t>
  </si>
  <si>
    <t>HETTICH 65513 excentr VB 35, 19 mm, poniklovaný</t>
  </si>
  <si>
    <t>65515</t>
  </si>
  <si>
    <t>104465</t>
  </si>
  <si>
    <t>HETTICH 65515 excentr VB 35, 19 mm, plast, bílá</t>
  </si>
  <si>
    <t>65516</t>
  </si>
  <si>
    <t>104466</t>
  </si>
  <si>
    <t>HETTICH 65516 excentr VB 35, 19 mm, plast, hnědá</t>
  </si>
  <si>
    <t>65519</t>
  </si>
  <si>
    <t>104541</t>
  </si>
  <si>
    <t>HETTICH 65519 VB 36 M 16, bílý</t>
  </si>
  <si>
    <t>65521</t>
  </si>
  <si>
    <t>104553</t>
  </si>
  <si>
    <t>HETTICH 65521 excentr VB 36, 19 mm, poniklovaný</t>
  </si>
  <si>
    <t>65523</t>
  </si>
  <si>
    <t>104545</t>
  </si>
  <si>
    <t>HETTICH 65523 excentr VB 36, 19 mm, plast, bílá</t>
  </si>
  <si>
    <t>65525</t>
  </si>
  <si>
    <t>104538</t>
  </si>
  <si>
    <t>HETTICH 65525 excentr VB 36, 16 mm, poniklovaný</t>
  </si>
  <si>
    <t>65527</t>
  </si>
  <si>
    <t>104463</t>
  </si>
  <si>
    <t>HETTICH 65527 VB 36 16 plast bílý</t>
  </si>
  <si>
    <t>65528</t>
  </si>
  <si>
    <t>104502</t>
  </si>
  <si>
    <t>HETTICH 65528 VB 36 16 plast hnědý</t>
  </si>
  <si>
    <t>65529</t>
  </si>
  <si>
    <t>104554</t>
  </si>
  <si>
    <t>HETTICH 65529 excentr VB 36, 19 mm, poniklovaný</t>
  </si>
  <si>
    <t>65531</t>
  </si>
  <si>
    <t>104507</t>
  </si>
  <si>
    <t>HETTICH 65531 excentr VB 36, 19 mm, plast, bílá</t>
  </si>
  <si>
    <t>65532</t>
  </si>
  <si>
    <t>104503</t>
  </si>
  <si>
    <t>HETTICH 65532 excentr VB 36, 19 mm, plast, hnědá</t>
  </si>
  <si>
    <t>65534</t>
  </si>
  <si>
    <t>105038</t>
  </si>
  <si>
    <t>HETTICH 65534 kolík DU 648 pro VB 35/36, 6,7 mm, bez povrchové úpravy</t>
  </si>
  <si>
    <t>65536</t>
  </si>
  <si>
    <t>105057</t>
  </si>
  <si>
    <t>HETTICH 65536 kolík dvojitý DU 867 pro VB 35/36, 6,7 mm, bez povrchové úpravy</t>
  </si>
  <si>
    <t>65540</t>
  </si>
  <si>
    <t>105023</t>
  </si>
  <si>
    <t>HETTICH 65540 kolík DU 328, 6,7 mm, pozinkováno</t>
  </si>
  <si>
    <t>65561</t>
  </si>
  <si>
    <t>108236</t>
  </si>
  <si>
    <t>HETTICH 65561 vrták d8 mm pravý</t>
  </si>
  <si>
    <t>65562</t>
  </si>
  <si>
    <t>108235</t>
  </si>
  <si>
    <t>HETTICH 65562 vrták d8 mm levý</t>
  </si>
  <si>
    <t>66065</t>
  </si>
  <si>
    <t>107121</t>
  </si>
  <si>
    <t>HETTICH 66065 Quadro 40 BM 455-680 mm</t>
  </si>
  <si>
    <t>66075</t>
  </si>
  <si>
    <t>107120</t>
  </si>
  <si>
    <t>HETTICH 66075 Quadro 40 BM 330-490 mm</t>
  </si>
  <si>
    <t>66079</t>
  </si>
  <si>
    <t>107119</t>
  </si>
  <si>
    <t>HETTICH 66079 Quadro 40 BM 270-395 mm</t>
  </si>
  <si>
    <t>66900</t>
  </si>
  <si>
    <t>106952</t>
  </si>
  <si>
    <t>HETTICH 66900 SlideLine 55 horní/spodní vedení 4000mm plast černá</t>
  </si>
  <si>
    <t>66933</t>
  </si>
  <si>
    <t>104880</t>
  </si>
  <si>
    <t>HETTICH 66933 KA 1730 330 mm kuličkový výsuv</t>
  </si>
  <si>
    <t>6731</t>
  </si>
  <si>
    <t>103732</t>
  </si>
  <si>
    <t>HETTICH 6731 Závěs čípkový bílý</t>
  </si>
  <si>
    <t>68637</t>
  </si>
  <si>
    <t>105577</t>
  </si>
  <si>
    <t>HETTICH 68637 lisovací matrice VB36 35</t>
  </si>
  <si>
    <t>69599</t>
  </si>
  <si>
    <t>104390</t>
  </si>
  <si>
    <t>HETTICH 69599 Perfekt 5224 W45 26 T42 95°</t>
  </si>
  <si>
    <t>69600</t>
  </si>
  <si>
    <t>107582</t>
  </si>
  <si>
    <t>HETTICH 69600 Perfekt 5204 slide-on vložený 45° na vrtané sklo</t>
  </si>
  <si>
    <t>69603</t>
  </si>
  <si>
    <t>104391</t>
  </si>
  <si>
    <t>HETTICH 69603 Perfekt závěs úhlový rámový 90°/95° TH slide-on vrut pružina</t>
  </si>
  <si>
    <t>69607</t>
  </si>
  <si>
    <t>104393</t>
  </si>
  <si>
    <t>HETTICH 69607 Perfekt závěs úhlový na sklo rámový mini 90°/95° slide-on pružina</t>
  </si>
  <si>
    <t>69609</t>
  </si>
  <si>
    <t>107557</t>
  </si>
  <si>
    <t>HETTICH 69609 Perfekt 5224 W90 T42 26 95° (závěs a montážní podložka)</t>
  </si>
  <si>
    <t>69846</t>
  </si>
  <si>
    <t>107828</t>
  </si>
  <si>
    <t>HETTICH 69846 Tlumič universální k našroubování vložený</t>
  </si>
  <si>
    <t>69933</t>
  </si>
  <si>
    <t>104396</t>
  </si>
  <si>
    <t>HETTICH 69933 Závěs čípkový niklovaný</t>
  </si>
  <si>
    <t>69934</t>
  </si>
  <si>
    <t>104397</t>
  </si>
  <si>
    <t>HETTICH 69934 ET 5150 Z závěs na sklo středový 170° pružina</t>
  </si>
  <si>
    <t>70025</t>
  </si>
  <si>
    <t>184783</t>
  </si>
  <si>
    <t>HETTICH 70025 vrták BM 3 mm pravý</t>
  </si>
  <si>
    <t>70026</t>
  </si>
  <si>
    <t>184784</t>
  </si>
  <si>
    <t>HETTICH 70026 vrták 3 mm levý</t>
  </si>
  <si>
    <t>70032</t>
  </si>
  <si>
    <t>184785</t>
  </si>
  <si>
    <t>HETTICH 70032 třmen bez matrice pro BlueMax</t>
  </si>
  <si>
    <t>70033</t>
  </si>
  <si>
    <t>108223</t>
  </si>
  <si>
    <t>HETTICH 70033 sada vrtáků BlueMax mini typ 3</t>
  </si>
  <si>
    <t>70051</t>
  </si>
  <si>
    <t>105369</t>
  </si>
  <si>
    <t>HETTICH 70051 krytka pro závěs na sklo 4,0-5,2mm typ A (kulatá) černá</t>
  </si>
  <si>
    <t>70052</t>
  </si>
  <si>
    <t>105379</t>
  </si>
  <si>
    <t>HETTICH 70052 krytka pro závěs na sklo 4,0-5,2mm typ B (tvar D) černá</t>
  </si>
  <si>
    <t>70131</t>
  </si>
  <si>
    <t>105873</t>
  </si>
  <si>
    <t>HETTICH 70131 Efua stolová noha 710/50 mm chrom</t>
  </si>
  <si>
    <t>70132</t>
  </si>
  <si>
    <t>105880</t>
  </si>
  <si>
    <t>HETTICH 70132 Efua stolová noha 710/50 mm imitace nerezi</t>
  </si>
  <si>
    <t>70133</t>
  </si>
  <si>
    <t>106002</t>
  </si>
  <si>
    <t>HETTICH 70133 Efua stolová noha 710/50 mm matná černá</t>
  </si>
  <si>
    <t>70134</t>
  </si>
  <si>
    <t>107473</t>
  </si>
  <si>
    <t>HETTICH 70134 Efua stolové nohy 710/60 chrom</t>
  </si>
  <si>
    <t>70135</t>
  </si>
  <si>
    <t>105890</t>
  </si>
  <si>
    <t>HETTICH 70135 Efua nohy 710/60 mm sada imitace nerezi</t>
  </si>
  <si>
    <t>70136</t>
  </si>
  <si>
    <t>184787</t>
  </si>
  <si>
    <t>HETTICH 70136 Efua stolové nohy 710 60 mm matná černá</t>
  </si>
  <si>
    <t>70139</t>
  </si>
  <si>
    <t>105892</t>
  </si>
  <si>
    <t>HETTICH 70139 Efua stolová noha 710/60 mm bílá</t>
  </si>
  <si>
    <t>70143</t>
  </si>
  <si>
    <t>184789</t>
  </si>
  <si>
    <t>HETTICH 70143 Efua stolové nohy 710/80 mm chrom</t>
  </si>
  <si>
    <t>70144</t>
  </si>
  <si>
    <t>183474</t>
  </si>
  <si>
    <t>HETTICH 70144 Efua nohy 710/80 mm sada imitace nerezi</t>
  </si>
  <si>
    <t>70145</t>
  </si>
  <si>
    <t>106003</t>
  </si>
  <si>
    <t>HETTICH 70145 Efua stolové nohy 710/80 mm matná černá</t>
  </si>
  <si>
    <t>70149</t>
  </si>
  <si>
    <t>105998</t>
  </si>
  <si>
    <t>HETTICH 70149 Femi stolová noha 710/60 mm matná černá</t>
  </si>
  <si>
    <t>70151</t>
  </si>
  <si>
    <t>105988</t>
  </si>
  <si>
    <t>HETTICH 70151 noha Korrekt, 80 mm, černá</t>
  </si>
  <si>
    <t>70152</t>
  </si>
  <si>
    <t>105975</t>
  </si>
  <si>
    <t>HETTICH 70152 noha Korrekt, 110 mm, černá</t>
  </si>
  <si>
    <t>70153</t>
  </si>
  <si>
    <t>105984</t>
  </si>
  <si>
    <t>HETTICH 70153 noha Korrekt, 180 mm, černá</t>
  </si>
  <si>
    <t>70207</t>
  </si>
  <si>
    <t>105867</t>
  </si>
  <si>
    <t>HETTICH 70207 Femi stolová noha 650/60 mm matná černá</t>
  </si>
  <si>
    <t>70208</t>
  </si>
  <si>
    <t>107676</t>
  </si>
  <si>
    <t>HETTICH 70208 Femi stolová noha 650-750/60 mm chrom</t>
  </si>
  <si>
    <t>70211</t>
  </si>
  <si>
    <t>184791</t>
  </si>
  <si>
    <t>HETTICH 70211 Femi stolová noha 650/60 mm imitace nerezi</t>
  </si>
  <si>
    <t>70212</t>
  </si>
  <si>
    <t>184792</t>
  </si>
  <si>
    <t>HETTICH 70212 Femi stolová noha 650/60 mm matná černá</t>
  </si>
  <si>
    <t>70216</t>
  </si>
  <si>
    <t>133650</t>
  </si>
  <si>
    <t>HETTICH 70216 Sada pro montáž 1 krycí desky</t>
  </si>
  <si>
    <t>70263</t>
  </si>
  <si>
    <t>103849</t>
  </si>
  <si>
    <t>HETTICH 70263 Accura lišta se stupnicí 1000mm</t>
  </si>
  <si>
    <t>467551</t>
  </si>
  <si>
    <t>HETTICH 70263 Accura lišta se stupnicí 1000mm PD-50</t>
  </si>
  <si>
    <t>378767</t>
  </si>
  <si>
    <t>HETTICH 70263 SZYNA ZE SKALĄ  L1000MM ALUM.</t>
  </si>
  <si>
    <t>70264</t>
  </si>
  <si>
    <t>184804</t>
  </si>
  <si>
    <t>HETTICH 70264 Accura lišta se stupnicí 1500 mm</t>
  </si>
  <si>
    <t>469250</t>
  </si>
  <si>
    <t>HETTICH 70264 Accura lišta se stupnicí 1500 mm PD-50</t>
  </si>
  <si>
    <t>70265</t>
  </si>
  <si>
    <t>119122</t>
  </si>
  <si>
    <t>HETTICH 70265 Accura vrtací těleso pro výsuvy</t>
  </si>
  <si>
    <t>467561</t>
  </si>
  <si>
    <t>HETTICH 70265 Accura vrtací těleso pro výsuvy PD-50</t>
  </si>
  <si>
    <t>378768</t>
  </si>
  <si>
    <t>HETTICH 70265 'SZABLON ALUM.</t>
  </si>
  <si>
    <t>70266</t>
  </si>
  <si>
    <t>119123</t>
  </si>
  <si>
    <t>HETTICH 70266 Accura doraz pro demont.korpus</t>
  </si>
  <si>
    <t>467562</t>
  </si>
  <si>
    <t>HETTICH 70266 Accura doraz pro demont.korpus PD-50</t>
  </si>
  <si>
    <t>378769</t>
  </si>
  <si>
    <t>HETTICH 70266 'ZDERZAK REGULOWANY DO POJ. BOKÓW</t>
  </si>
  <si>
    <t>70267</t>
  </si>
  <si>
    <t>122616</t>
  </si>
  <si>
    <t>HETTICH 70267 Accura stavitelný doraz</t>
  </si>
  <si>
    <t>467563</t>
  </si>
  <si>
    <t>HETTICH 70267 Accura stavitelný doraz PD-50</t>
  </si>
  <si>
    <t>70268</t>
  </si>
  <si>
    <t>108416</t>
  </si>
  <si>
    <t>HETTICH 70268 vrták d5 mm s pouzdrem</t>
  </si>
  <si>
    <t>467558</t>
  </si>
  <si>
    <t>HETTICH 70268 vrták d5 mm s pouzdrem PD-50</t>
  </si>
  <si>
    <t>378771</t>
  </si>
  <si>
    <t>HETTICH 70268 'WIERTŁO TULEJOWE D5MM</t>
  </si>
  <si>
    <t>70269</t>
  </si>
  <si>
    <t>108232</t>
  </si>
  <si>
    <t>HETTICH 70269 vrták d5 mm ND k 70268 (108416)</t>
  </si>
  <si>
    <t>467556</t>
  </si>
  <si>
    <t>HETTICH 70269 vrták d5 mm PD-50</t>
  </si>
  <si>
    <t>70284</t>
  </si>
  <si>
    <t>122617</t>
  </si>
  <si>
    <t>HETTICH 70284 Výsuv pro klávesnici černý</t>
  </si>
  <si>
    <t>70289</t>
  </si>
  <si>
    <t>105532</t>
  </si>
  <si>
    <t>HETTICH 70289 Výsuv pro klávesnici šedý, s podložkou pro myš</t>
  </si>
  <si>
    <t>70292</t>
  </si>
  <si>
    <t>105132</t>
  </si>
  <si>
    <t>HETTICH 70292 Krytka spojovacího úhelníku šedá</t>
  </si>
  <si>
    <t>70554</t>
  </si>
  <si>
    <t>154317</t>
  </si>
  <si>
    <t>HETTICH 70554 3/4-otočná police sada Arena Classic 820 mm</t>
  </si>
  <si>
    <t>70664</t>
  </si>
  <si>
    <t>106469</t>
  </si>
  <si>
    <t>HETTICH 70664 nosič šatní tyče SL 322, nikl</t>
  </si>
  <si>
    <t>70666</t>
  </si>
  <si>
    <t>119132</t>
  </si>
  <si>
    <t>HETTICH 70666 Nosič šatní tyče SL 323 DD nikl</t>
  </si>
  <si>
    <t>70668</t>
  </si>
  <si>
    <t>350560</t>
  </si>
  <si>
    <t>HETTICH 70668 NOSIČ ŠATNÍ TYČE SL 786 DD NI</t>
  </si>
  <si>
    <t>119133</t>
  </si>
  <si>
    <t>HETTICH 70668 nosič šatní tyče SL 786, nikl</t>
  </si>
  <si>
    <t>70676</t>
  </si>
  <si>
    <t>107739</t>
  </si>
  <si>
    <t>HETTICH 70676 nosič šatní tyče SL 781, nikl</t>
  </si>
  <si>
    <t>70690</t>
  </si>
  <si>
    <t>105574</t>
  </si>
  <si>
    <t>HETTICH 70690 výsuvný věšák na ručníky 410mm 1-ramenný chrom</t>
  </si>
  <si>
    <t>70692</t>
  </si>
  <si>
    <t>184843</t>
  </si>
  <si>
    <t>HETTICH 70692 výsuvný věšák na ručníky 410mm 2-ramenný chrom</t>
  </si>
  <si>
    <t>70693</t>
  </si>
  <si>
    <t>105588</t>
  </si>
  <si>
    <t>HETTICH 70693 výsuvný věšák na ručníky 370mm 1-ramenný chrom</t>
  </si>
  <si>
    <t>70694</t>
  </si>
  <si>
    <t>179112</t>
  </si>
  <si>
    <t>HETTICH 70694 výsuvný věšák na ručníky 370mm 2-ramenný chrom</t>
  </si>
  <si>
    <t>70711</t>
  </si>
  <si>
    <t>119135</t>
  </si>
  <si>
    <t>HETTICH 70711 Krytka pro Rastex 25 černá</t>
  </si>
  <si>
    <t>70712</t>
  </si>
  <si>
    <t>105372</t>
  </si>
  <si>
    <t>HETTICH 70712 krytka pro závěs na sklo 4,0-5,2mm typ A (kulatá) nikl mat</t>
  </si>
  <si>
    <t>70713</t>
  </si>
  <si>
    <t>105384</t>
  </si>
  <si>
    <t>HETTICH 70713 krytka pro závěs na sklo 4,0-5,2mm typ B (tvar D) nikl mat</t>
  </si>
  <si>
    <t>70732</t>
  </si>
  <si>
    <t>107028</t>
  </si>
  <si>
    <t>HETTICH 70732 protikus pro zámek</t>
  </si>
  <si>
    <t>70900</t>
  </si>
  <si>
    <t>519261</t>
  </si>
  <si>
    <t>HETTICH 70900 ND BLUE MAX Č.527</t>
  </si>
  <si>
    <t>70961</t>
  </si>
  <si>
    <t>107608</t>
  </si>
  <si>
    <t>HETTICH 70961 SlideLine 55 horní/spodní vedení 4000mm tmavě hnědá elox</t>
  </si>
  <si>
    <t>70962</t>
  </si>
  <si>
    <t>107610</t>
  </si>
  <si>
    <t>HETTICH 70962 SlideLine 55 vozík 30 kg</t>
  </si>
  <si>
    <t>70963</t>
  </si>
  <si>
    <t>104418</t>
  </si>
  <si>
    <t>HETTICH 70963 SlideLine 55 doraz kov/plast</t>
  </si>
  <si>
    <t>70983</t>
  </si>
  <si>
    <t>108364</t>
  </si>
  <si>
    <t>HETTICH 70983 WingLine 77 sada L</t>
  </si>
  <si>
    <t>70984</t>
  </si>
  <si>
    <t>104424</t>
  </si>
  <si>
    <t>HETTICH 70984 WingLine 77 sada P</t>
  </si>
  <si>
    <t>70985</t>
  </si>
  <si>
    <t>104425</t>
  </si>
  <si>
    <t>HETTICH 70985 Wing 77 spodní vedení 3200mm stříbrná elox</t>
  </si>
  <si>
    <t>70986</t>
  </si>
  <si>
    <t>104426</t>
  </si>
  <si>
    <t>HETTICH 70986 Wing 77 skládací dveře sada pro 2 křídla</t>
  </si>
  <si>
    <t>70987</t>
  </si>
  <si>
    <t>108350</t>
  </si>
  <si>
    <t>HETTICH 70987 Wing 77 skládací dveře sada pro 4 křídla</t>
  </si>
  <si>
    <t>71054</t>
  </si>
  <si>
    <t>105428</t>
  </si>
  <si>
    <t>HETTICH 71054 krytka Rastex 15, plast, bílá</t>
  </si>
  <si>
    <t>71055</t>
  </si>
  <si>
    <t>105430</t>
  </si>
  <si>
    <t>HETTICH 71055 krytka Rastex 15, plast, hnědá</t>
  </si>
  <si>
    <t>71081</t>
  </si>
  <si>
    <t>519267</t>
  </si>
  <si>
    <t>HETTICH 71081 ND BLUE MAX OZUBENÉ KOLO VRT. HLAVY Z=32MM Č.1311</t>
  </si>
  <si>
    <t>71082</t>
  </si>
  <si>
    <t>519256</t>
  </si>
  <si>
    <t>HETTICH 71082 ND BLUE MAX Č.1313</t>
  </si>
  <si>
    <t>71084</t>
  </si>
  <si>
    <t>519257</t>
  </si>
  <si>
    <t>HETTICH 71084 ND BLUE MAX Č.1319</t>
  </si>
  <si>
    <t>71085</t>
  </si>
  <si>
    <t>519265</t>
  </si>
  <si>
    <t>HETTICH 71085 ND BLUE MAX OCHRANNÝ KRYT PŘEDNÍ Č.1336A</t>
  </si>
  <si>
    <t>71086</t>
  </si>
  <si>
    <t>519266</t>
  </si>
  <si>
    <t>HETTICH 71086 ND BLUE MAX OCHRANNÝ KRYT PŘEDNÍ VLEVO Č.1336B</t>
  </si>
  <si>
    <t>71089</t>
  </si>
  <si>
    <t>519271</t>
  </si>
  <si>
    <t>HETTICH 71089 ND BLUE MAX ŠROUB S RUKOJETÍ M8X25 Č.327</t>
  </si>
  <si>
    <t>71091</t>
  </si>
  <si>
    <t>519269</t>
  </si>
  <si>
    <t>HETTICH 71091 ND BLUE MAX PRUŽINA TLAČNÉHO DÍLU M8 Č.809</t>
  </si>
  <si>
    <t>71109</t>
  </si>
  <si>
    <t>107614</t>
  </si>
  <si>
    <t>HETTICH 71109 SlideLine 56 horní/spodní vedení 3000mm tmavá elox</t>
  </si>
  <si>
    <t>71110</t>
  </si>
  <si>
    <t>104429</t>
  </si>
  <si>
    <t>HETTICH 71110 SlideLine 56 horní/spodní vedení 3000mm stříbrná elox</t>
  </si>
  <si>
    <t>71113</t>
  </si>
  <si>
    <t>106925</t>
  </si>
  <si>
    <t>HETTICH 71113 TopLine 1 horní vedení 3000mm stříbrná surová</t>
  </si>
  <si>
    <t>71115</t>
  </si>
  <si>
    <t>106965</t>
  </si>
  <si>
    <t>HETTICH 71115 STB 15 spodní vedení 3000mm stříbrná elox</t>
  </si>
  <si>
    <t>71116</t>
  </si>
  <si>
    <t>106958</t>
  </si>
  <si>
    <t>HETTICH 71116 STB 12 spodní vedení 3000mm stříbrná surová</t>
  </si>
  <si>
    <t>71117</t>
  </si>
  <si>
    <t>458362</t>
  </si>
  <si>
    <t>HETTICH 71117 STB 11 spodní vedení 3000mm stříbrná surová</t>
  </si>
  <si>
    <t>71544</t>
  </si>
  <si>
    <t>106054</t>
  </si>
  <si>
    <t>HETTICH 71544 Šroub k úchytkám M4x12 mm</t>
  </si>
  <si>
    <t>71545</t>
  </si>
  <si>
    <t>104435</t>
  </si>
  <si>
    <t>HETTICH 71545 Šroub k úchytkám M4x14 mm</t>
  </si>
  <si>
    <t>71546</t>
  </si>
  <si>
    <t>106055</t>
  </si>
  <si>
    <t>HETTICH 71546 Šroub k úchytkám M4x16 mm</t>
  </si>
  <si>
    <t>71547</t>
  </si>
  <si>
    <t>104887</t>
  </si>
  <si>
    <t>HETTICH 71547 Šroub k úchytkám M4x18 mm</t>
  </si>
  <si>
    <t>71548</t>
  </si>
  <si>
    <t>208521</t>
  </si>
  <si>
    <t>HETTICH 71548 Šroub k úchytkám M4x20 mm</t>
  </si>
  <si>
    <t>71549</t>
  </si>
  <si>
    <t>104888</t>
  </si>
  <si>
    <t>HETTICH 71549 Šroub k úchytkám M4x22 mm</t>
  </si>
  <si>
    <t>71555</t>
  </si>
  <si>
    <t>107583</t>
  </si>
  <si>
    <t>HETTICH 71555 Šroub k úchytkám M4x24 mm</t>
  </si>
  <si>
    <t>71556</t>
  </si>
  <si>
    <t>107584</t>
  </si>
  <si>
    <t>HETTICH 71556 Šroub k úchytkám M4x26 mm</t>
  </si>
  <si>
    <t>71557</t>
  </si>
  <si>
    <t>104437</t>
  </si>
  <si>
    <t>HETTICH 71557 Šroub k úchytkám M4x28 mm</t>
  </si>
  <si>
    <t>71558</t>
  </si>
  <si>
    <t>107574</t>
  </si>
  <si>
    <t>HETTICH 71558 Šroub k úchytkám M4x30 mm</t>
  </si>
  <si>
    <t>71559</t>
  </si>
  <si>
    <t>104438</t>
  </si>
  <si>
    <t>HETTICH 71559 Šroub k úchytkám M4x32 mm</t>
  </si>
  <si>
    <t>71560</t>
  </si>
  <si>
    <t>184873</t>
  </si>
  <si>
    <t>HETTICH 71560 Šroub k úchytkám M4x34 mm</t>
  </si>
  <si>
    <t>71562</t>
  </si>
  <si>
    <t>184875</t>
  </si>
  <si>
    <t>HETTICH 71562 Šroub k úchytkám M4x38 mm</t>
  </si>
  <si>
    <t>71563</t>
  </si>
  <si>
    <t>184876</t>
  </si>
  <si>
    <t>HETTICH 71563 Šroub k úchytkám M4x40 mm</t>
  </si>
  <si>
    <t>71648</t>
  </si>
  <si>
    <t>104439</t>
  </si>
  <si>
    <t>HETTICH 71648 625 středový závěs skládací dveře vrut</t>
  </si>
  <si>
    <t>71721</t>
  </si>
  <si>
    <t>184877</t>
  </si>
  <si>
    <t>HETTICH 71721 vrták 7 mm levý</t>
  </si>
  <si>
    <t>71722</t>
  </si>
  <si>
    <t>184878</t>
  </si>
  <si>
    <t>HETTICH 71722 vrták 7 mm pravý</t>
  </si>
  <si>
    <t>71723</t>
  </si>
  <si>
    <t>184879</t>
  </si>
  <si>
    <t>HETTICH 71723 vrták BM 4 mm levý</t>
  </si>
  <si>
    <t>71833</t>
  </si>
  <si>
    <t>107535</t>
  </si>
  <si>
    <t>HETTICH 71833 Kování pro seřízení čela zásuvk</t>
  </si>
  <si>
    <t>71835</t>
  </si>
  <si>
    <t>104881</t>
  </si>
  <si>
    <t>HETTICH 71835 KA 1730 kuličkový částečný výsuv, 350mm/10kg, drážka 17mm</t>
  </si>
  <si>
    <t>71836</t>
  </si>
  <si>
    <t>104882</t>
  </si>
  <si>
    <t>HETTICH 71836 KA 1730/380 kuličkový výsuv</t>
  </si>
  <si>
    <t>71840</t>
  </si>
  <si>
    <t>107630</t>
  </si>
  <si>
    <t>HETTICH 71840 Soklová nožička Euro 100 mm</t>
  </si>
  <si>
    <t>71841</t>
  </si>
  <si>
    <t>107631</t>
  </si>
  <si>
    <t>HETTICH 71841 Soklová nožička Euro 130 mm</t>
  </si>
  <si>
    <t>71842</t>
  </si>
  <si>
    <t>107633</t>
  </si>
  <si>
    <t>HETTICH 71842 Soklová nožička Euro 150 mm</t>
  </si>
  <si>
    <t>71843</t>
  </si>
  <si>
    <t>105973</t>
  </si>
  <si>
    <t>HETTICH 71843 Soklová noha Euro 180 mm</t>
  </si>
  <si>
    <t>71844</t>
  </si>
  <si>
    <t>103865</t>
  </si>
  <si>
    <t>HETTICH 71844 Adaptér - prodloužení 50 mm</t>
  </si>
  <si>
    <t>350561</t>
  </si>
  <si>
    <t>HETTICH 71844 ADAPTÉR - PRODLOUŽENÍ 50 MM</t>
  </si>
  <si>
    <t>71845</t>
  </si>
  <si>
    <t>106887</t>
  </si>
  <si>
    <t>HETTICH 71845 Příchytka soklové clony k rekt. nožkám Euro</t>
  </si>
  <si>
    <t>71847</t>
  </si>
  <si>
    <t>104966</t>
  </si>
  <si>
    <t>HETTICH 71847 kluzák k našroubování Euro</t>
  </si>
  <si>
    <t>71848</t>
  </si>
  <si>
    <t>177940</t>
  </si>
  <si>
    <t>HETTICH 71848 kluzák k našroubování Euro</t>
  </si>
  <si>
    <t>71855</t>
  </si>
  <si>
    <t>184881</t>
  </si>
  <si>
    <t>HETTICH 71855 Šroub k úchytkám M4x42 mm</t>
  </si>
  <si>
    <t>71856</t>
  </si>
  <si>
    <t>107771</t>
  </si>
  <si>
    <t>HETTICH 71856 Šroub k úchytkám M4x45 mm</t>
  </si>
  <si>
    <t>71870</t>
  </si>
  <si>
    <t>184882</t>
  </si>
  <si>
    <t>HETTICH 71870 soklový úhelník, se závitem M8</t>
  </si>
  <si>
    <t>71896</t>
  </si>
  <si>
    <t>184883</t>
  </si>
  <si>
    <t>HETTICH 71896 vrták d2 mm levý</t>
  </si>
  <si>
    <t>71897</t>
  </si>
  <si>
    <t>184884</t>
  </si>
  <si>
    <t>HETTICH 71897 vrták d2 mm pravý</t>
  </si>
  <si>
    <t>71925</t>
  </si>
  <si>
    <t>108250</t>
  </si>
  <si>
    <t>HETTICH 71925 Vrut 3,5x16 mm zápustná hlava</t>
  </si>
  <si>
    <t>71948</t>
  </si>
  <si>
    <t>104412</t>
  </si>
  <si>
    <t>HETTICH 71948 Rastex 15/16 s osazením Ni</t>
  </si>
  <si>
    <t>71950</t>
  </si>
  <si>
    <t>104423</t>
  </si>
  <si>
    <t>HETTICH 71950 Rastex 15 19 s osazením niklovaný</t>
  </si>
  <si>
    <t>71952</t>
  </si>
  <si>
    <t>104430</t>
  </si>
  <si>
    <t>HETTICH 71952 Rastex 15 22 s osazením Nikl</t>
  </si>
  <si>
    <t>72026</t>
  </si>
  <si>
    <t>107558</t>
  </si>
  <si>
    <t>HETTICH 72026 Krytka spojovac.úhelníku černá</t>
  </si>
  <si>
    <t>72039</t>
  </si>
  <si>
    <t>184886</t>
  </si>
  <si>
    <t>HETTICH 72039 vrták D=6 mm pravý</t>
  </si>
  <si>
    <t>72040</t>
  </si>
  <si>
    <t>184887</t>
  </si>
  <si>
    <t>HETTICH 72040 vrták 6 mm levý</t>
  </si>
  <si>
    <t>72053</t>
  </si>
  <si>
    <t>208524</t>
  </si>
  <si>
    <t>HETTICH 72053 Trapézové spojovací kování TZ 28</t>
  </si>
  <si>
    <t>72120</t>
  </si>
  <si>
    <t>107791</t>
  </si>
  <si>
    <t>HETTICH 72120 Tlumič dorazu 8 mm transparentní</t>
  </si>
  <si>
    <t>72134</t>
  </si>
  <si>
    <t>104454</t>
  </si>
  <si>
    <t>HETTICH 72134 ET 582 závěs pro vestavěnou lednici naložený 95° vrut pružina</t>
  </si>
  <si>
    <t>72144</t>
  </si>
  <si>
    <t>184889</t>
  </si>
  <si>
    <t>HETTICH 72144 vrtáky sada BlueMax M.2 4</t>
  </si>
  <si>
    <t>72146</t>
  </si>
  <si>
    <t>184890</t>
  </si>
  <si>
    <t>HETTICH 72146 Přítlačné patky</t>
  </si>
  <si>
    <t>72147</t>
  </si>
  <si>
    <t>184891</t>
  </si>
  <si>
    <t>HETTICH 72147 matrice VB18 20 BlueMax mini</t>
  </si>
  <si>
    <t>72148</t>
  </si>
  <si>
    <t>184892</t>
  </si>
  <si>
    <t>HETTICH 72148 Lisovací matrice VB35 36 BlueMax mini</t>
  </si>
  <si>
    <t>72150</t>
  </si>
  <si>
    <t>184893</t>
  </si>
  <si>
    <t>HETTICH 72150 podpěra prodlužovacího pravítka BlueMax</t>
  </si>
  <si>
    <t>72151</t>
  </si>
  <si>
    <t>107421</t>
  </si>
  <si>
    <t>HETTICH 72151 BlueMax M sada pevných dorazů</t>
  </si>
  <si>
    <t>72152</t>
  </si>
  <si>
    <t>208525</t>
  </si>
  <si>
    <t>HETTICH 72152 Rychloupínací páky 2 ks</t>
  </si>
  <si>
    <t>72163</t>
  </si>
  <si>
    <t>184894</t>
  </si>
  <si>
    <t>HETTICH 72163 vrták BM 4 mm pravý</t>
  </si>
  <si>
    <t>72213</t>
  </si>
  <si>
    <t>208528</t>
  </si>
  <si>
    <t>HETTICH 72213 zámek trojcestný jednostranný 15 pravý</t>
  </si>
  <si>
    <t>72214</t>
  </si>
  <si>
    <t>184897</t>
  </si>
  <si>
    <t>HETTICH 72214 Trojcestný zámek D15  k přišroubování levý</t>
  </si>
  <si>
    <t>72251</t>
  </si>
  <si>
    <t>103776</t>
  </si>
  <si>
    <t>HETTICH 72251 Otočná tyč 6/5 mm, délka 1000 mm</t>
  </si>
  <si>
    <t>72253</t>
  </si>
  <si>
    <t>103777</t>
  </si>
  <si>
    <t>HETTICH 72253 Otočná tyč 6/5 1500 mm</t>
  </si>
  <si>
    <t>72266</t>
  </si>
  <si>
    <t>108391</t>
  </si>
  <si>
    <t>HETTICH 72266 Zamykací hák pravý</t>
  </si>
  <si>
    <t>72267</t>
  </si>
  <si>
    <t>108390</t>
  </si>
  <si>
    <t>HETTICH 72267 Zamykací hák levý</t>
  </si>
  <si>
    <t>72274</t>
  </si>
  <si>
    <t>108201</t>
  </si>
  <si>
    <t>HETTICH 72274 Vedení zamykací tyče</t>
  </si>
  <si>
    <t>72300</t>
  </si>
  <si>
    <t>104471</t>
  </si>
  <si>
    <t>HETTICH 72300/77894 Zámek zásuvkový Z23 18mm</t>
  </si>
  <si>
    <t>72501</t>
  </si>
  <si>
    <t>104472</t>
  </si>
  <si>
    <t>HETTICH 72501 zámek na posuvné dveře Z23</t>
  </si>
  <si>
    <t>72502</t>
  </si>
  <si>
    <t>104473</t>
  </si>
  <si>
    <t>HETTICH 72502 Zámek zásuvkový pákový Z23</t>
  </si>
  <si>
    <t>72509</t>
  </si>
  <si>
    <t>104945</t>
  </si>
  <si>
    <t>HETTICH 72509 Demontážní klíč Z23 Z25</t>
  </si>
  <si>
    <t>72510</t>
  </si>
  <si>
    <t>107595</t>
  </si>
  <si>
    <t>HETTICH 72510 zámek skříňový 530 15 pravý Ni</t>
  </si>
  <si>
    <t>72511</t>
  </si>
  <si>
    <t>107592</t>
  </si>
  <si>
    <t>HETTICH 72511 zámek skříňový 530 15 levý niklovaný</t>
  </si>
  <si>
    <t>72682</t>
  </si>
  <si>
    <t>104475</t>
  </si>
  <si>
    <t>HETTICH 72682 zámek typ 320 pro skleněné dveře Nikl</t>
  </si>
  <si>
    <t>72683</t>
  </si>
  <si>
    <t>104476</t>
  </si>
  <si>
    <t>HETTICH 72683 Zámek 321 pro skleněné dveře Ni</t>
  </si>
  <si>
    <t>72684</t>
  </si>
  <si>
    <t>107018</t>
  </si>
  <si>
    <t>HETTICH 72684 Protikus zámku ocel niklovaná</t>
  </si>
  <si>
    <t>72686</t>
  </si>
  <si>
    <t>119356</t>
  </si>
  <si>
    <t>HETTICH 72686 zámek rozvorový Z23</t>
  </si>
  <si>
    <t>72687</t>
  </si>
  <si>
    <t>107967</t>
  </si>
  <si>
    <t>HETTICH 72687 Rozvorová tyč 10x3 1000 mm</t>
  </si>
  <si>
    <t>72688</t>
  </si>
  <si>
    <t>119357</t>
  </si>
  <si>
    <t>HETTICH 72688 Rozvorová tyč 10 x 3 1600 mm  SD</t>
  </si>
  <si>
    <t>72919</t>
  </si>
  <si>
    <t>104487</t>
  </si>
  <si>
    <t>HETTICH 72919 WingLine 26/77 vodící profil 2000 mm</t>
  </si>
  <si>
    <t>72959</t>
  </si>
  <si>
    <t>104491</t>
  </si>
  <si>
    <t>HETTICH 72959 Intermat 9924 naložený mini 26mm</t>
  </si>
  <si>
    <t>72960</t>
  </si>
  <si>
    <t>104492</t>
  </si>
  <si>
    <t>HETTICH 72960 Intermat závěs vrtané sklo naložený 95° (bez krytky) pružina</t>
  </si>
  <si>
    <t>72965</t>
  </si>
  <si>
    <t>104494</t>
  </si>
  <si>
    <t>HETTICH 72965 Intermat 9924 polonaložený mini 26mm</t>
  </si>
  <si>
    <t>72966</t>
  </si>
  <si>
    <t>104495</t>
  </si>
  <si>
    <t>HETTICH 72966 Intermat 9924 vložený mini 26mm</t>
  </si>
  <si>
    <t>72967</t>
  </si>
  <si>
    <t>104496</t>
  </si>
  <si>
    <t>HETTICH 72967 Intermat závěs vrtané sklo polonaložený 95° (bez krytky) pružina</t>
  </si>
  <si>
    <t>72968</t>
  </si>
  <si>
    <t>104497</t>
  </si>
  <si>
    <t>HETTICH 72968 Intermat závěs vrtané sklo vložený 95° (bez krytky) pružina</t>
  </si>
  <si>
    <t>73005</t>
  </si>
  <si>
    <t>499456</t>
  </si>
  <si>
    <t>HETTICH 73005 náhradní díl BM Modular 2027 - Sparepartnr. 2038</t>
  </si>
  <si>
    <t>73007</t>
  </si>
  <si>
    <t>519258</t>
  </si>
  <si>
    <t>HETTICH 73007 ND BLUE MAX Č.2114 PRAVÍTKO 800 MM</t>
  </si>
  <si>
    <t>73213</t>
  </si>
  <si>
    <t>103863</t>
  </si>
  <si>
    <t>HETTICH 73213 Quadro zadní adaptér pro výsuvné police, pravo/levý, bílá</t>
  </si>
  <si>
    <t>73276</t>
  </si>
  <si>
    <t>106191</t>
  </si>
  <si>
    <t>HETTICH 73276 KA 5632 kuličkový celovýsuv, 250mm/45kg, EB12,7</t>
  </si>
  <si>
    <t>73277</t>
  </si>
  <si>
    <t>106229</t>
  </si>
  <si>
    <t>HETTICH 73277 KA 5632 kuličkový celovýsuv, 300mm/45kg, EB12,7</t>
  </si>
  <si>
    <t>73278</t>
  </si>
  <si>
    <t>106231</t>
  </si>
  <si>
    <t>HETTICH 73278 KA 5632 kuličkový celovýsuv, 350mm/45kg, EB12,7</t>
  </si>
  <si>
    <t>73279</t>
  </si>
  <si>
    <t>328512</t>
  </si>
  <si>
    <t>HETTICH 73279 KA 5632 400 mm EB12,7 45 kg DVD</t>
  </si>
  <si>
    <t>106242</t>
  </si>
  <si>
    <t>HETTICH 73279 KA 5632 kuličkový celovýsuv, 400mm/45kg, EB12,7</t>
  </si>
  <si>
    <t>73280</t>
  </si>
  <si>
    <t>106276</t>
  </si>
  <si>
    <t>HETTICH 73280 KA 5632 kuličkový celovýsuv, 450mm/45kg, EB12,7</t>
  </si>
  <si>
    <t>364749</t>
  </si>
  <si>
    <t>HETTICH 73280 KA 5632/450 EB12,7 45 kg plnov. 100ryD</t>
  </si>
  <si>
    <t>73281</t>
  </si>
  <si>
    <t>106293</t>
  </si>
  <si>
    <t>HETTICH 73281 KA 5632 kuličkový celovýsuv, 500mm/45kg, EB12,7</t>
  </si>
  <si>
    <t>73282</t>
  </si>
  <si>
    <t>106299</t>
  </si>
  <si>
    <t>HETTICH 73282 KA 5632 kuličkový celovýsuv, 550mm/45kg, EB12,7</t>
  </si>
  <si>
    <t>73283</t>
  </si>
  <si>
    <t>531347</t>
  </si>
  <si>
    <t>HETTICH 73283 KA 5632 kuličkový celovýsuv 600mm/45kg EB12,7 Zn</t>
  </si>
  <si>
    <t>531348</t>
  </si>
  <si>
    <t>HETTICH 73283 KA 5632 kuličkový celovýsuv 700mm/45kg EB12,7 černý</t>
  </si>
  <si>
    <t>106331</t>
  </si>
  <si>
    <t>HETTICH 73283 KA 5632 kuličkový celovýsuv, 600mm/45kg, EB12,7</t>
  </si>
  <si>
    <t>73284</t>
  </si>
  <si>
    <t>106339</t>
  </si>
  <si>
    <t>HETTICH 73284 KA 5632 kuličkový celovýsuv, 650mm/45kg, EB12,7</t>
  </si>
  <si>
    <t>73318</t>
  </si>
  <si>
    <t>107029</t>
  </si>
  <si>
    <t>HETTICH 73318 protikus k zámku niklovaný</t>
  </si>
  <si>
    <t>45198</t>
  </si>
  <si>
    <t>104091</t>
  </si>
  <si>
    <t>HETTICH 73347 vyrovnávací kování hnědá</t>
  </si>
  <si>
    <t>73456</t>
  </si>
  <si>
    <t>104410</t>
  </si>
  <si>
    <t>HETTICH 73456 excentr Rastex 15, 16 mm, bez osazení, niklováno</t>
  </si>
  <si>
    <t>73459</t>
  </si>
  <si>
    <t>184957</t>
  </si>
  <si>
    <t>HETTICH 73459 Rastex 15 16 s osazením niklovaný velkobalení</t>
  </si>
  <si>
    <t>73460</t>
  </si>
  <si>
    <t>184958</t>
  </si>
  <si>
    <t>HETTICH 73460 RASTEX 15/19 s osazením nikl</t>
  </si>
  <si>
    <t>73481</t>
  </si>
  <si>
    <t>104957</t>
  </si>
  <si>
    <t>HETTICH 73481 příchyt soklu do drážky Korrekt</t>
  </si>
  <si>
    <t>73504</t>
  </si>
  <si>
    <t>103814</t>
  </si>
  <si>
    <t>HETTICH 73504 Moving Corner 900x900 mm levý stříbrný</t>
  </si>
  <si>
    <t>73505</t>
  </si>
  <si>
    <t>105618</t>
  </si>
  <si>
    <t>HETTICH 73505 Moving Corner 540 mm, P, stříbrný</t>
  </si>
  <si>
    <t>73564</t>
  </si>
  <si>
    <t>119146</t>
  </si>
  <si>
    <t>HETTICH 73564 Dispenza koš chrom 300 mm</t>
  </si>
  <si>
    <t>73565</t>
  </si>
  <si>
    <t>105207</t>
  </si>
  <si>
    <t>HETTICH 73565 Dispenza koš 400 chrom</t>
  </si>
  <si>
    <t>73615</t>
  </si>
  <si>
    <t>106518</t>
  </si>
  <si>
    <t>HETTICH 73615 Podpěrka skleněné police plast</t>
  </si>
  <si>
    <t>73616</t>
  </si>
  <si>
    <t>104522</t>
  </si>
  <si>
    <t>HETTICH 73616 policová spojka VB 135, plast, bílá</t>
  </si>
  <si>
    <t>73618</t>
  </si>
  <si>
    <t>104524</t>
  </si>
  <si>
    <t>HETTICH 73618 Toolex VB 54 16</t>
  </si>
  <si>
    <t>73619</t>
  </si>
  <si>
    <t>106100</t>
  </si>
  <si>
    <t>HETTICH 73619 Toolex VB 54 19</t>
  </si>
  <si>
    <t>73630</t>
  </si>
  <si>
    <t>106603</t>
  </si>
  <si>
    <t>HETTICH 73630 Držák výsuvů FR 302-402-602</t>
  </si>
  <si>
    <t>73747</t>
  </si>
  <si>
    <t>184989</t>
  </si>
  <si>
    <t>HETTICH 73747 kabelová průchodka 60 mm černá</t>
  </si>
  <si>
    <t>73748</t>
  </si>
  <si>
    <t>184990</t>
  </si>
  <si>
    <t>HETTICH 73748 kabelová průchodka 80 mm černá</t>
  </si>
  <si>
    <t>73751</t>
  </si>
  <si>
    <t>104400</t>
  </si>
  <si>
    <t>HETTICH 73751 Eurošroub 4,5 x 13,5 mm</t>
  </si>
  <si>
    <t>73752</t>
  </si>
  <si>
    <t>107769</t>
  </si>
  <si>
    <t>HETTICH 73752 Eurošroub 6,3 x 12,5 mm</t>
  </si>
  <si>
    <t>73788</t>
  </si>
  <si>
    <t>119218</t>
  </si>
  <si>
    <t>HETTICH 73788 Exakta stavitelný doraz</t>
  </si>
  <si>
    <t>73889</t>
  </si>
  <si>
    <t>184995</t>
  </si>
  <si>
    <t>HETTICH 73889 Eurošroub 6,3 x 15 mm</t>
  </si>
  <si>
    <t>73890</t>
  </si>
  <si>
    <t>184996</t>
  </si>
  <si>
    <t>HETTICH 73890 Eurošroub strmá zápustná hlava 6,3 x 10,5 mm</t>
  </si>
  <si>
    <t>73905</t>
  </si>
  <si>
    <t>104527</t>
  </si>
  <si>
    <t>HETTICH 73905 Intermat závěs naložený 125° TH vrut pružina</t>
  </si>
  <si>
    <t>73906</t>
  </si>
  <si>
    <t>104528</t>
  </si>
  <si>
    <t>HETTICH 73906 Intermat naložený 125° TH52 zalisování</t>
  </si>
  <si>
    <t>73913</t>
  </si>
  <si>
    <t>104529</t>
  </si>
  <si>
    <t>HETTICH 73913 Intermat závěs dveře 32mm naložený 95° TH vrut pružina</t>
  </si>
  <si>
    <t>73917</t>
  </si>
  <si>
    <t>104530</t>
  </si>
  <si>
    <t>HETTICH 73917 Intermat závěs dveře 32mm polonaložený 95° TH vrut pružina</t>
  </si>
  <si>
    <t>73921</t>
  </si>
  <si>
    <t>104531</t>
  </si>
  <si>
    <t>HETTICH 73921 Intermat závěs dveře 32mm vložený 95° TH vrut pružina</t>
  </si>
  <si>
    <t>73922</t>
  </si>
  <si>
    <t>185007</t>
  </si>
  <si>
    <t>HETTICH 73922 Intermat 9936 T43 K16 vložený</t>
  </si>
  <si>
    <t>73928</t>
  </si>
  <si>
    <t>104535</t>
  </si>
  <si>
    <t>HETTICH 73928 Intermat závěs úhlový vložený 30°/95° TH vrut pružina</t>
  </si>
  <si>
    <t>73932</t>
  </si>
  <si>
    <t>104536</t>
  </si>
  <si>
    <t>HETTICH 73932 Intermat závěs úhlový vložený 45°/95° TH vrut pružina</t>
  </si>
  <si>
    <t>73936</t>
  </si>
  <si>
    <t>104537</t>
  </si>
  <si>
    <t>HETTICH 73936 Intermat závěs úhlový naložený -30°/125° TH vrut pružina</t>
  </si>
  <si>
    <t>74134</t>
  </si>
  <si>
    <t>131490</t>
  </si>
  <si>
    <t>HETTICH 74134 Úchytka BALMO 149/128 mm chrom matný</t>
  </si>
  <si>
    <t>74430</t>
  </si>
  <si>
    <t>104313</t>
  </si>
  <si>
    <t>HETTICH 74430 Držák nožů OrgaTray, buk lakovaný</t>
  </si>
  <si>
    <t>74668</t>
  </si>
  <si>
    <t>169415</t>
  </si>
  <si>
    <t>HETTICH 74668 Kluzák Universal narážecí</t>
  </si>
  <si>
    <t>74688</t>
  </si>
  <si>
    <t>104997</t>
  </si>
  <si>
    <t>HETTICH 74688 kolík DU 321, 6,7 mm</t>
  </si>
  <si>
    <t>74805</t>
  </si>
  <si>
    <t>122620</t>
  </si>
  <si>
    <t>HETTICH 74805 Podpěrka polic</t>
  </si>
  <si>
    <t>74862</t>
  </si>
  <si>
    <t>106622</t>
  </si>
  <si>
    <t>HETTICH 74862 Quadro 12 EB392/292 LR32</t>
  </si>
  <si>
    <t>74863</t>
  </si>
  <si>
    <t>82594</t>
  </si>
  <si>
    <t>HETTICH 74863 Výsuv KA 270 292/392 mm L+P</t>
  </si>
  <si>
    <t>74864</t>
  </si>
  <si>
    <t>104900</t>
  </si>
  <si>
    <t>HETTICH 74864 KA 270 EB 392/292 mm ET 730 LR32</t>
  </si>
  <si>
    <t>74865</t>
  </si>
  <si>
    <t>92432</t>
  </si>
  <si>
    <t>HETTICH 74865 Quadro Duplex 45, 400, EB 292/392</t>
  </si>
  <si>
    <t>74879</t>
  </si>
  <si>
    <t>106415</t>
  </si>
  <si>
    <t>HETTICH 74879 zámek zásuvkový pákový 18mm Z23    SD</t>
  </si>
  <si>
    <t>75514</t>
  </si>
  <si>
    <t>185031</t>
  </si>
  <si>
    <t>HETTICH 75514 zásuvka ocel 292 530 mm černá</t>
  </si>
  <si>
    <t>75547</t>
  </si>
  <si>
    <t>92434</t>
  </si>
  <si>
    <t>HETTICH 75547 Stop Control zamykací tyč 7,5 HE</t>
  </si>
  <si>
    <t>75554</t>
  </si>
  <si>
    <t>92433</t>
  </si>
  <si>
    <t>HETTICH 75554 Podpěra čela černá</t>
  </si>
  <si>
    <t>75555</t>
  </si>
  <si>
    <t>106459</t>
  </si>
  <si>
    <t>HETTICH 75555 Podpěrka čela pro rám regist</t>
  </si>
  <si>
    <t>75808</t>
  </si>
  <si>
    <t>364750</t>
  </si>
  <si>
    <t>HETTICH 75808 Spojka pro výsuv.polici Quadro 100ryD</t>
  </si>
  <si>
    <t>104549</t>
  </si>
  <si>
    <t>HETTICH 75808 spojky a adaptér pro výsuvnou polici Quadro 25 / Quadro V6 L+P</t>
  </si>
  <si>
    <t>75845</t>
  </si>
  <si>
    <t>185072</t>
  </si>
  <si>
    <t>HETTICH 75845 zamykací tyč Stop Control Plus 6 HE+1 SD</t>
  </si>
  <si>
    <t>75846</t>
  </si>
  <si>
    <t>185073</t>
  </si>
  <si>
    <t>HETTICH 75846 zamykací tyč Stop Control plus 7+1 HE</t>
  </si>
  <si>
    <t>75880</t>
  </si>
  <si>
    <t>185100</t>
  </si>
  <si>
    <t>HETTICH 75880 zamykací tyč Stop Control plus 11,5 HE</t>
  </si>
  <si>
    <t>75887</t>
  </si>
  <si>
    <t>185106</t>
  </si>
  <si>
    <t>HETTICH 75887 zamykací tyč Stop Control plus 15 HE</t>
  </si>
  <si>
    <t>76024</t>
  </si>
  <si>
    <t>519260</t>
  </si>
  <si>
    <t>HETTICH 76024 ND BLUE MAX Č.501(BOSCH 0.821.300.311)</t>
  </si>
  <si>
    <t>76205</t>
  </si>
  <si>
    <t>519263</t>
  </si>
  <si>
    <t>HETTICH 76205 ND BLUE MAX HLAVNÍ VŘETENO</t>
  </si>
  <si>
    <t>76222</t>
  </si>
  <si>
    <t>119155</t>
  </si>
  <si>
    <t>HETTICH 76222 Speciální šroub 5 x 14 mm</t>
  </si>
  <si>
    <t>76470</t>
  </si>
  <si>
    <t>107600</t>
  </si>
  <si>
    <t>HETTICH 76470 SlideLine 97 horní vedení 5000mm stříbrná elox</t>
  </si>
  <si>
    <t>167489</t>
  </si>
  <si>
    <t>HETTICH 76470/2 SlideLine 97 horní vedení 2000mm stříbrná elox</t>
  </si>
  <si>
    <t>167491</t>
  </si>
  <si>
    <t>HETTICH 76470/3 SlideLine 97 horní vedení 3000mm stříbrná elox</t>
  </si>
  <si>
    <t>76471</t>
  </si>
  <si>
    <t>107596</t>
  </si>
  <si>
    <t>HETTICH 76471 SlideLine 97 nosný profil 5000mm stříbrná elox</t>
  </si>
  <si>
    <t>76741</t>
  </si>
  <si>
    <t>516277</t>
  </si>
  <si>
    <t>HETTICH 76471/1,5 SlideLine 97 nosný profil pro usazení vozíků a skla 1500 mm</t>
  </si>
  <si>
    <t>167492</t>
  </si>
  <si>
    <t>HETTICH 76471/2 SlideLine 97 nosný profil 2000mm stříbrná elox</t>
  </si>
  <si>
    <t>167493</t>
  </si>
  <si>
    <t>HETTICH 76471/3 SlideLine 97 nosný profil 3000mm stříbrná elox</t>
  </si>
  <si>
    <t>76472</t>
  </si>
  <si>
    <t>108212</t>
  </si>
  <si>
    <t>HETTICH 76472 SlideLine 97 vozík</t>
  </si>
  <si>
    <t>76473</t>
  </si>
  <si>
    <t>106985</t>
  </si>
  <si>
    <t>HETTICH 76473 SlideLine 97 těsnící profil pro sklo 5mm, 5000mm plast</t>
  </si>
  <si>
    <t>167480</t>
  </si>
  <si>
    <t>HETTICH 76473/2 SlideLine 97 těsnící profil pro sklo 5mm, 2000mm plast</t>
  </si>
  <si>
    <t>167481</t>
  </si>
  <si>
    <t>HETTICH 76473/3 SlideLine 97 těsnící profil pro sklo 5mm, 3000mm plast</t>
  </si>
  <si>
    <t>76474</t>
  </si>
  <si>
    <t>106986</t>
  </si>
  <si>
    <t>HETTICH 76474 SlideLine 97 těsnící profil pro sklo 6mm, 5000mm plast</t>
  </si>
  <si>
    <t>167533</t>
  </si>
  <si>
    <t>HETTICH 76474/2 SlideLine 97 těsnící profil pro sklo 6mm, 2000mm plast</t>
  </si>
  <si>
    <t>167534</t>
  </si>
  <si>
    <t>HETTICH 76474/3 SlideLine 97 těsnící profil pro sklo 6mm, 3000mm plast</t>
  </si>
  <si>
    <t>76475</t>
  </si>
  <si>
    <t>104252</t>
  </si>
  <si>
    <t>HETTICH 76475 SlideLine 97 doraz a pojistka</t>
  </si>
  <si>
    <t>76476</t>
  </si>
  <si>
    <t>107284</t>
  </si>
  <si>
    <t>HETTICH 76476 SlideLine 97 rámový profil 5000mm stříbrná elox</t>
  </si>
  <si>
    <t>167482</t>
  </si>
  <si>
    <t>HETTICH 76476/2 SlideLine 97 rámový profil 2000mm stříbrná elox</t>
  </si>
  <si>
    <t>167483</t>
  </si>
  <si>
    <t>HETTICH 76476/3 SlideLine 97 rámový profil 3000mm stříbrná elox</t>
  </si>
  <si>
    <t>76477</t>
  </si>
  <si>
    <t>107785</t>
  </si>
  <si>
    <t>HETTICH 76477 SlideLine 97 těsnící profil 5000mm plast</t>
  </si>
  <si>
    <t>167484</t>
  </si>
  <si>
    <t>HETTICH 76477/2 SlideLine 97 těsnící profil 2000mm plast</t>
  </si>
  <si>
    <t>167485</t>
  </si>
  <si>
    <t>HETTICH 76477/3 SlideLine 97 těsnící profil 3000mm plast</t>
  </si>
  <si>
    <t>76478</t>
  </si>
  <si>
    <t>104248</t>
  </si>
  <si>
    <t>HETTICH 76478 SlideLine 97 spodní vedení 5000mm stříbrná elox</t>
  </si>
  <si>
    <t>167536</t>
  </si>
  <si>
    <t>HETTICH 76478/2 SlideLine 97 spodní vedení 2000mm stříbrná elox</t>
  </si>
  <si>
    <t>167537</t>
  </si>
  <si>
    <t>HETTICH 76478/3 SlideLine 97 spodní vedení 3000mm stříbrná elox</t>
  </si>
  <si>
    <t>76479</t>
  </si>
  <si>
    <t>107607</t>
  </si>
  <si>
    <t>HETTICH 76479 SlideLine 97 spodní vedení rámové 5000mm stříbrná elox</t>
  </si>
  <si>
    <t>167487</t>
  </si>
  <si>
    <t>HETTICH 76479/2 SlideLine 97 spodní vedení rámové 2000mm stříbrná elox</t>
  </si>
  <si>
    <t>167488</t>
  </si>
  <si>
    <t>HETTICH 76479/3 SlideLine 97 spodní vedení rámové 3000mm stříbrná elox</t>
  </si>
  <si>
    <t>76480</t>
  </si>
  <si>
    <t>105109</t>
  </si>
  <si>
    <t>HETTICH 76480 SlideLine 97 koncovka</t>
  </si>
  <si>
    <t>76481</t>
  </si>
  <si>
    <t>104562</t>
  </si>
  <si>
    <t>HETTICH 76481 SlideLine 97 úchytka</t>
  </si>
  <si>
    <t>76482</t>
  </si>
  <si>
    <t>107013</t>
  </si>
  <si>
    <t>HETTICH 76482 SlideLine 97 adaptér</t>
  </si>
  <si>
    <t>76483</t>
  </si>
  <si>
    <t>104564</t>
  </si>
  <si>
    <t>HETTICH 76483 Zámek tlačný SlideLine 97 chrom matný</t>
  </si>
  <si>
    <t>76484</t>
  </si>
  <si>
    <t>105611</t>
  </si>
  <si>
    <t>HETTICH 76484 SlideLine 97 montážní přípravek</t>
  </si>
  <si>
    <t>76490</t>
  </si>
  <si>
    <t>519254</t>
  </si>
  <si>
    <t>HETTICH 76490 ND BLUE MAX Č.1106</t>
  </si>
  <si>
    <t>76493</t>
  </si>
  <si>
    <t>519268</t>
  </si>
  <si>
    <t>HETTICH 76493 ND BLUE MAX PRACOVNÍ STŮL Č.2113</t>
  </si>
  <si>
    <t>76496</t>
  </si>
  <si>
    <t>519255</t>
  </si>
  <si>
    <t>HETTICH 76496 ND BLUE MAX Č.1119</t>
  </si>
  <si>
    <t>76497</t>
  </si>
  <si>
    <t>185124</t>
  </si>
  <si>
    <t>HETTICH 76497 zátka pro upínací pouzdro</t>
  </si>
  <si>
    <t>76501</t>
  </si>
  <si>
    <t>380394</t>
  </si>
  <si>
    <t>HETTICH 76501 Blue Max díl č. 1165a</t>
  </si>
  <si>
    <t>76508</t>
  </si>
  <si>
    <t>226855</t>
  </si>
  <si>
    <t>HETTICH 76508 Blue Max náhradní díl č.1552</t>
  </si>
  <si>
    <t>76558</t>
  </si>
  <si>
    <t>104937</t>
  </si>
  <si>
    <t>HETTICH 76558 Kabelový kanál plast stříbrný</t>
  </si>
  <si>
    <t>76570</t>
  </si>
  <si>
    <t>519264</t>
  </si>
  <si>
    <t>HETTICH 76570 ND BLUE MAX NOŽNÍ PEDÁL Č.506</t>
  </si>
  <si>
    <t>77470</t>
  </si>
  <si>
    <t>519273</t>
  </si>
  <si>
    <t>HETTICH 77470 ND BLUU MAX 8 č.123</t>
  </si>
  <si>
    <t>77478</t>
  </si>
  <si>
    <t>465006</t>
  </si>
  <si>
    <t>HETTICH 77478 Blue Max náhradní díl hadička</t>
  </si>
  <si>
    <t>77483</t>
  </si>
  <si>
    <t>519262</t>
  </si>
  <si>
    <t>HETTICH 77483 ND BLUE MAX Č.618 SPÍNAČ MOTORU</t>
  </si>
  <si>
    <t>77524</t>
  </si>
  <si>
    <t>185132</t>
  </si>
  <si>
    <t>HETTICH 77524 zamykací tyč Stop Control 5,5 HE</t>
  </si>
  <si>
    <t>77566</t>
  </si>
  <si>
    <t>185133</t>
  </si>
  <si>
    <t>HETTICH 77566 BlueMax mini P 400 50 3 0,8 TH</t>
  </si>
  <si>
    <t>77567</t>
  </si>
  <si>
    <t>185134</t>
  </si>
  <si>
    <t>HETTICH 77567 BlueMax mini P 230 50 3 0,8 TH</t>
  </si>
  <si>
    <t>77602</t>
  </si>
  <si>
    <t>106636</t>
  </si>
  <si>
    <t>HETTICH 77602 kontejner sada 392/530 mm černý</t>
  </si>
  <si>
    <t>77610</t>
  </si>
  <si>
    <t>157970</t>
  </si>
  <si>
    <t>HETTICH 77610 BlueMax mini 400V 50Hz</t>
  </si>
  <si>
    <t>77643</t>
  </si>
  <si>
    <t>104569</t>
  </si>
  <si>
    <t>HETTICH 77643 Intermat závěs úhlový naložený -45°/125° TH vrut pružina</t>
  </si>
  <si>
    <t>77644</t>
  </si>
  <si>
    <t>104570</t>
  </si>
  <si>
    <t>HETTICH 77644 Intermat závěs úhlový naložený 20°/95° TH vrut pružina</t>
  </si>
  <si>
    <t>77682</t>
  </si>
  <si>
    <t>185152</t>
  </si>
  <si>
    <t>HETTICH 77682 Intermat 9936 W20 T43 K-9</t>
  </si>
  <si>
    <t>77690</t>
  </si>
  <si>
    <t>104572</t>
  </si>
  <si>
    <t>HETTICH 77690 Intermat závěs úhlový naložený 30°/95° TH vrut pružina</t>
  </si>
  <si>
    <t>77699</t>
  </si>
  <si>
    <t>104573</t>
  </si>
  <si>
    <t>HETTICH 77699 Intermat závěs úhlový zcela naložený 45°/95° TH vrut pružina</t>
  </si>
  <si>
    <t>77708</t>
  </si>
  <si>
    <t>104574</t>
  </si>
  <si>
    <t>HETTICH 77708 Intermat závěs slepý úhel vložený 90°/95° TH vrut pružina</t>
  </si>
  <si>
    <t>77709</t>
  </si>
  <si>
    <t>105804</t>
  </si>
  <si>
    <t>HETTICH 77709 Intermat 9936 W90 T43 K5</t>
  </si>
  <si>
    <t>77710</t>
  </si>
  <si>
    <t>104575</t>
  </si>
  <si>
    <t>HETTICH 77710 Intermat 9936 W90 TB43 K5</t>
  </si>
  <si>
    <t>77734</t>
  </si>
  <si>
    <t>105606</t>
  </si>
  <si>
    <t>HETTICH 77734 Selekta Pro 2000 miska TH vrut</t>
  </si>
  <si>
    <t>77735</t>
  </si>
  <si>
    <t>105602</t>
  </si>
  <si>
    <t>HETTICH 77735 Selekta pro 2000 miska T23</t>
  </si>
  <si>
    <t>77736</t>
  </si>
  <si>
    <t>104576</t>
  </si>
  <si>
    <t>HETTICH 77736 Selekta Pro 2000 miska TH 52x9 vrut</t>
  </si>
  <si>
    <t>417269</t>
  </si>
  <si>
    <t>HETTICH 77736 Selekta PRO 2000 miska TX32/52x9 JIROUŠEK</t>
  </si>
  <si>
    <t>77800</t>
  </si>
  <si>
    <t>106676</t>
  </si>
  <si>
    <t>HETTICH 77800 Výsuv pro klávesnici KA 3434, 300mm / 20kg</t>
  </si>
  <si>
    <t>77801</t>
  </si>
  <si>
    <t>106695</t>
  </si>
  <si>
    <t>HETTICH 77801 Výsuv pro klávesnici KA 3434, 350mm / 20kg</t>
  </si>
  <si>
    <t>77802</t>
  </si>
  <si>
    <t>106705</t>
  </si>
  <si>
    <t>HETTICH 77802 Výsuv pro klávesnici KA 3434, 400mm / 20kg</t>
  </si>
  <si>
    <t>77803</t>
  </si>
  <si>
    <t>106718</t>
  </si>
  <si>
    <t>HETTICH 77803 Výsuv pro klávesnici KA 3434, 450mm / 20kg</t>
  </si>
  <si>
    <t>77804</t>
  </si>
  <si>
    <t>106736</t>
  </si>
  <si>
    <t>HETTICH 77804 Výsuv pro klávesnici KA 3434, 500mm / 20kg</t>
  </si>
  <si>
    <t>77805</t>
  </si>
  <si>
    <t>106744</t>
  </si>
  <si>
    <t>HETTICH 77805 Výsuv pro klávesnici KA 3434, 550mm / 20kg</t>
  </si>
  <si>
    <t>77884</t>
  </si>
  <si>
    <t>106679</t>
  </si>
  <si>
    <t>HETTICH 77884 zámek trojcestný jednostranný, sada</t>
  </si>
  <si>
    <t>77892</t>
  </si>
  <si>
    <t>105894</t>
  </si>
  <si>
    <t>HETTICH 77892 zámek rozvorový Z23 sada pravý</t>
  </si>
  <si>
    <t>77893</t>
  </si>
  <si>
    <t>107547</t>
  </si>
  <si>
    <t>HETTICH 77893 zámek rozvorový Z23 sada levý</t>
  </si>
  <si>
    <t>77894</t>
  </si>
  <si>
    <t>104585</t>
  </si>
  <si>
    <t>HETTICH 77894 zámek zásuvkový Z23 18 mm</t>
  </si>
  <si>
    <t>77943</t>
  </si>
  <si>
    <t>106612</t>
  </si>
  <si>
    <t>HETTICH 77943 Selekta pro kytka na sklo T22 zinek</t>
  </si>
  <si>
    <t>78091</t>
  </si>
  <si>
    <t>484153</t>
  </si>
  <si>
    <t>HETTICH 78091 raznice pro fixaci boků a dna Atira PD-50</t>
  </si>
  <si>
    <t>78093</t>
  </si>
  <si>
    <t>106647</t>
  </si>
  <si>
    <t>HETTICH 78093 Practica úhelník pro vrtací šablony AvanTech You, ArciTech</t>
  </si>
  <si>
    <t>468804</t>
  </si>
  <si>
    <t>HETTICH 78093 Practica úhelník pro vrtací šablony AvanTech You, ArciTech PD-50</t>
  </si>
  <si>
    <t>78095</t>
  </si>
  <si>
    <t>108412</t>
  </si>
  <si>
    <t>HETTICH 78095 vrták d3 mm s pouzdrem</t>
  </si>
  <si>
    <t>467557</t>
  </si>
  <si>
    <t>HETTICH 78095 vrták d3 mm s pouzdrem PD-50</t>
  </si>
  <si>
    <t>78096</t>
  </si>
  <si>
    <t>108237</t>
  </si>
  <si>
    <t>HETTICH 78096 vrták d10 mm s pouzdrem</t>
  </si>
  <si>
    <t>468807</t>
  </si>
  <si>
    <t>HETTICH 78096 vrták d10 mm s pouzdrem PD-50</t>
  </si>
  <si>
    <t>78920</t>
  </si>
  <si>
    <t>185196</t>
  </si>
  <si>
    <t>HETTICH 78920 Pouzdro M5x11 mm pro závěs 625</t>
  </si>
  <si>
    <t>79004</t>
  </si>
  <si>
    <t>175280</t>
  </si>
  <si>
    <t>HETTICH 79004 vrták d3 mm</t>
  </si>
  <si>
    <t>467564</t>
  </si>
  <si>
    <t>HETTICH 79004 vrták d3 mm PD-50</t>
  </si>
  <si>
    <t>79005</t>
  </si>
  <si>
    <t>185200</t>
  </si>
  <si>
    <t>HETTICH 79005 vrták d10 mm</t>
  </si>
  <si>
    <t>481420</t>
  </si>
  <si>
    <t>HETTICH 79005 vrták d10 mm PD-50</t>
  </si>
  <si>
    <t>79013</t>
  </si>
  <si>
    <t>108374</t>
  </si>
  <si>
    <t>HETTICH 79013 WingLine 230 horní vedení 2400mm bílá elox/plast</t>
  </si>
  <si>
    <t>79014</t>
  </si>
  <si>
    <t>132024</t>
  </si>
  <si>
    <t>HETTICH 79014 WingLine 230 horní vedení 2400 mm černý</t>
  </si>
  <si>
    <t>79015</t>
  </si>
  <si>
    <t>108363</t>
  </si>
  <si>
    <t>HETTICH 79015 WingLine 230 skládací dveře sada pro 4 křídla pravá + levá</t>
  </si>
  <si>
    <t>79054</t>
  </si>
  <si>
    <t>106758</t>
  </si>
  <si>
    <t>HETTICH 79054 KA 1730 kuličkový částečný výsuv, 200mm/10kg, drážka 17mm</t>
  </si>
  <si>
    <t>79055</t>
  </si>
  <si>
    <t>106760</t>
  </si>
  <si>
    <t>HETTICH 79055 KA 1730 kuličkový částečný výsuv, 250mm/10kg, drážka 17mm</t>
  </si>
  <si>
    <t>79056</t>
  </si>
  <si>
    <t>104883</t>
  </si>
  <si>
    <t>HETTICH 79056 KA 1730 430 mm Kuličkový výsuv</t>
  </si>
  <si>
    <t>79057</t>
  </si>
  <si>
    <t>104884</t>
  </si>
  <si>
    <t>HETTICH 79057 KA 1730 480 mm kuličkový výsuv</t>
  </si>
  <si>
    <t>79118</t>
  </si>
  <si>
    <t>104609</t>
  </si>
  <si>
    <t>HETTICH 79118 Everfix spojovací kování</t>
  </si>
  <si>
    <t>79173</t>
  </si>
  <si>
    <t>106854</t>
  </si>
  <si>
    <t>HETTICH 79173 MultiTech příchyt čela 54, zalisování</t>
  </si>
  <si>
    <t>79323</t>
  </si>
  <si>
    <t>106361</t>
  </si>
  <si>
    <t>HETTICH 79323 Intermat distanční podložka S9000 pod montážní podložku D3</t>
  </si>
  <si>
    <t>79325</t>
  </si>
  <si>
    <t>106363</t>
  </si>
  <si>
    <t>HETTICH 79325 Intermat distanční podložka S9000 pod montážní podložku D10</t>
  </si>
  <si>
    <t>79373</t>
  </si>
  <si>
    <t>104631</t>
  </si>
  <si>
    <t>HETTICH 79373 Závěs klipový na skládané dveře</t>
  </si>
  <si>
    <t>79382</t>
  </si>
  <si>
    <t>106384</t>
  </si>
  <si>
    <t>HETTICH 79382 podložka pro rámovou konstrukci D=0 mm</t>
  </si>
  <si>
    <t>79386</t>
  </si>
  <si>
    <t>104704</t>
  </si>
  <si>
    <t>HETTICH 79386 spojovací šroub AVB 5, 100mm</t>
  </si>
  <si>
    <t>79389</t>
  </si>
  <si>
    <t>108283</t>
  </si>
  <si>
    <t>HETTICH 79389 Lift 90 výklopné kování 180N</t>
  </si>
  <si>
    <t>79397</t>
  </si>
  <si>
    <t>108273</t>
  </si>
  <si>
    <t>HETTICH 79397 Lift Junior 90 výklopné kování</t>
  </si>
  <si>
    <t>79438</t>
  </si>
  <si>
    <t>107694</t>
  </si>
  <si>
    <t>HETTICH 79438 Stabilizátor bílý plast</t>
  </si>
  <si>
    <t>79451</t>
  </si>
  <si>
    <t>104408</t>
  </si>
  <si>
    <t>HETTICH 79451 Rastex 15 15 s osazením niklovaný</t>
  </si>
  <si>
    <t>79457</t>
  </si>
  <si>
    <t>104406</t>
  </si>
  <si>
    <t>HETTICH 79457 excentr Rastex 15, 15 mm, bez osazení, niklováno</t>
  </si>
  <si>
    <t>79462</t>
  </si>
  <si>
    <t>208591</t>
  </si>
  <si>
    <t>HETTICH 79462 Rastex 15 15 bez osazení a bez povrchové úpravy</t>
  </si>
  <si>
    <t>79467</t>
  </si>
  <si>
    <t>185226</t>
  </si>
  <si>
    <t>HETTICH 79467 Rastex 15 16 bez osazení a bez povrchové úpravy</t>
  </si>
  <si>
    <t>79471</t>
  </si>
  <si>
    <t>104420</t>
  </si>
  <si>
    <t>HETTICH 79471 Rastex 15/19 bez osazení a povrchové úpravy</t>
  </si>
  <si>
    <t>79476</t>
  </si>
  <si>
    <t>107291</t>
  </si>
  <si>
    <t>HETTICH 79476 Rastex 15/22 bez osaz.bez pú</t>
  </si>
  <si>
    <t>79478</t>
  </si>
  <si>
    <t>185230</t>
  </si>
  <si>
    <t>HETTICH 79478 Rastex 15 29 s osazením niklovaný</t>
  </si>
  <si>
    <t>79479</t>
  </si>
  <si>
    <t>104434</t>
  </si>
  <si>
    <t>HETTICH 79479 Rastex 15 29 s osazením niklovaný</t>
  </si>
  <si>
    <t>79484</t>
  </si>
  <si>
    <t>104431</t>
  </si>
  <si>
    <t>HETTICH 79484 Rastex 15 29 bez osazení Nikl</t>
  </si>
  <si>
    <t>79488</t>
  </si>
  <si>
    <t>104433</t>
  </si>
  <si>
    <t>HETTICH 79488 Rastex 15 29 bez osazení bez povrchové úpravy</t>
  </si>
  <si>
    <t>79490</t>
  </si>
  <si>
    <t>105429</t>
  </si>
  <si>
    <t>HETTICH 79490 krytka Rastex 15, plast, černá</t>
  </si>
  <si>
    <t>79491</t>
  </si>
  <si>
    <t>105427</t>
  </si>
  <si>
    <t>HETTICH 79491 krytka Rastex 15, plast, borovice</t>
  </si>
  <si>
    <t>79521</t>
  </si>
  <si>
    <t>105027</t>
  </si>
  <si>
    <t>HETTICH 79521 kolík DU 425 bez povrchové úpravy</t>
  </si>
  <si>
    <t>79523</t>
  </si>
  <si>
    <t>156851</t>
  </si>
  <si>
    <t>HETTICH 79523 kolík DU 428 bez povrchové úpravy</t>
  </si>
  <si>
    <t>79525</t>
  </si>
  <si>
    <t>185232</t>
  </si>
  <si>
    <t>HETTICH 79525 Šroub koncový M4 8 mm</t>
  </si>
  <si>
    <t>79527</t>
  </si>
  <si>
    <t>185233</t>
  </si>
  <si>
    <t>HETTICH 79527 Šroub koncový M4 9 mm</t>
  </si>
  <si>
    <t>79529</t>
  </si>
  <si>
    <t>106604</t>
  </si>
  <si>
    <t>HETTICH 79529 Pouzdro č.30 M4 plast bílý</t>
  </si>
  <si>
    <t>79539</t>
  </si>
  <si>
    <t>106602</t>
  </si>
  <si>
    <t>HETTICH 79539 pouzdro č.33 vrtání D10x11mm M6</t>
  </si>
  <si>
    <t>79540</t>
  </si>
  <si>
    <t>106606</t>
  </si>
  <si>
    <t>HETTICH 79540 pouzdro č.100 vrtání D10x13mm M6</t>
  </si>
  <si>
    <t>79552</t>
  </si>
  <si>
    <t>105059</t>
  </si>
  <si>
    <t>HETTICH 79552 kolík DU 883 pro Rastex 15</t>
  </si>
  <si>
    <t>79554</t>
  </si>
  <si>
    <t>105058</t>
  </si>
  <si>
    <t>HETTICH 79554 kolík DU 880 pro Rastex 15</t>
  </si>
  <si>
    <t>79568</t>
  </si>
  <si>
    <t>105053</t>
  </si>
  <si>
    <t>HETTICH 79568 kolík dvojitý DU 853 pro Rastex 15, 79 mm, pozinkováno</t>
  </si>
  <si>
    <t>79580</t>
  </si>
  <si>
    <t>105061</t>
  </si>
  <si>
    <t>HETTICH 79580 kolík kloubový DU 860 pro Rastex 15, 39 mm, pozinkováno</t>
  </si>
  <si>
    <t>79602</t>
  </si>
  <si>
    <t>158792</t>
  </si>
  <si>
    <t>HETTICH 79602 kolík DU 868 pro Rastex 15</t>
  </si>
  <si>
    <t>79641</t>
  </si>
  <si>
    <t>104467</t>
  </si>
  <si>
    <t>HETTICH 79641 VB 35 19 plast černý</t>
  </si>
  <si>
    <t>79642</t>
  </si>
  <si>
    <t>104464</t>
  </si>
  <si>
    <t>HETTICH 79642 VB 35 16 plast černý</t>
  </si>
  <si>
    <t>79643</t>
  </si>
  <si>
    <t>104498</t>
  </si>
  <si>
    <t>HETTICH 79643 excentr VB 35, 19 mm, plast, černá</t>
  </si>
  <si>
    <t>79644</t>
  </si>
  <si>
    <t>104486</t>
  </si>
  <si>
    <t>HETTICH 79644 VB 35 M 16 plast černý</t>
  </si>
  <si>
    <t>79645</t>
  </si>
  <si>
    <t>185238</t>
  </si>
  <si>
    <t>HETTICH 79645 VB 36 16 plast černý</t>
  </si>
  <si>
    <t>79646</t>
  </si>
  <si>
    <t>104520</t>
  </si>
  <si>
    <t>HETTICH 79646 VB 36 19 plast černý</t>
  </si>
  <si>
    <t>79647</t>
  </si>
  <si>
    <t>104543</t>
  </si>
  <si>
    <t>HETTICH 79647 VB 36M 16 plast černý</t>
  </si>
  <si>
    <t>79648</t>
  </si>
  <si>
    <t>104550</t>
  </si>
  <si>
    <t>HETTICH 79648 VB 36M 19 plast černý</t>
  </si>
  <si>
    <t>79649</t>
  </si>
  <si>
    <t>104675</t>
  </si>
  <si>
    <t>HETTICH 79649 VB 135 plast černý</t>
  </si>
  <si>
    <t>79650</t>
  </si>
  <si>
    <t>105039</t>
  </si>
  <si>
    <t>HETTICH 79650 kolík DU 648 chromátováno</t>
  </si>
  <si>
    <t>79659</t>
  </si>
  <si>
    <t>119172</t>
  </si>
  <si>
    <t>HETTICH 79659 Spojovací šroub VSH 32 27mm</t>
  </si>
  <si>
    <t>79660</t>
  </si>
  <si>
    <t>104677</t>
  </si>
  <si>
    <t>HETTICH 79660 Spojovací šroub VSH 32 35mm</t>
  </si>
  <si>
    <t>79664</t>
  </si>
  <si>
    <t>104679</t>
  </si>
  <si>
    <t>HETTICH 79664 Spojovací plech pro čela 80 mm</t>
  </si>
  <si>
    <t>79665</t>
  </si>
  <si>
    <t>178288</t>
  </si>
  <si>
    <t>HETTICH 79665 Spojovací úhelník 31x31x25 mm</t>
  </si>
  <si>
    <t>79666</t>
  </si>
  <si>
    <t>104680</t>
  </si>
  <si>
    <t>HETTICH 79666 Spojovací díl pro čela VB 15</t>
  </si>
  <si>
    <t>79689</t>
  </si>
  <si>
    <t>104967</t>
  </si>
  <si>
    <t>HETTICH 79689 Korrekt kluzák 2 hmoždinky</t>
  </si>
  <si>
    <t>79690</t>
  </si>
  <si>
    <t>107948</t>
  </si>
  <si>
    <t>HETTICH 79690 příchytka soklové lišty TurboClip, pro čelní soklové lišty</t>
  </si>
  <si>
    <t>79691</t>
  </si>
  <si>
    <t>107949</t>
  </si>
  <si>
    <t>HETTICH 79691 Turbo-clip pro boční lišty</t>
  </si>
  <si>
    <t>79692</t>
  </si>
  <si>
    <t>104353</t>
  </si>
  <si>
    <t>HETTICH 79692 šablona-důlčík pro Everfix</t>
  </si>
  <si>
    <t>79693</t>
  </si>
  <si>
    <t>104976</t>
  </si>
  <si>
    <t>HETTICH 79693 Kluzák Planform k našroubování</t>
  </si>
  <si>
    <t>79694</t>
  </si>
  <si>
    <t>104956</t>
  </si>
  <si>
    <t>HETTICH 79694 Příchyt soklu pro tloušťku 19 mm</t>
  </si>
  <si>
    <t>79709</t>
  </si>
  <si>
    <t>106516</t>
  </si>
  <si>
    <t>HETTICH 79709 podpěra skleněné police, 5 mm, pozinkováno</t>
  </si>
  <si>
    <t>79710</t>
  </si>
  <si>
    <t>106515</t>
  </si>
  <si>
    <t>HETTICH 79710 podpěra skleněné police, 3 mm, pozinkováno</t>
  </si>
  <si>
    <t>79711</t>
  </si>
  <si>
    <t>106466</t>
  </si>
  <si>
    <t>HETTICH 79711 Sekura 7 podpěrka polic 3 mm</t>
  </si>
  <si>
    <t>79713</t>
  </si>
  <si>
    <t>106061</t>
  </si>
  <si>
    <t>HETTICH 79713 podpěra polic Titan 1</t>
  </si>
  <si>
    <t>79714</t>
  </si>
  <si>
    <t>106064</t>
  </si>
  <si>
    <t>HETTICH 79714 podpěra polic Titan 3</t>
  </si>
  <si>
    <t>79716</t>
  </si>
  <si>
    <t>104691</t>
  </si>
  <si>
    <t>HETTICH 79716 závěsné kování SAH 215</t>
  </si>
  <si>
    <t>79717</t>
  </si>
  <si>
    <t>104692</t>
  </si>
  <si>
    <t>HETTICH 79717 závěsné kování SAH 216</t>
  </si>
  <si>
    <t>79719</t>
  </si>
  <si>
    <t>104694</t>
  </si>
  <si>
    <t>HETTICH 79719 SAH krytka 215 216 15 mm bílá</t>
  </si>
  <si>
    <t>79723</t>
  </si>
  <si>
    <t>104695</t>
  </si>
  <si>
    <t>HETTICH 79723 SAH krytka 215/216, 15 mm šedá</t>
  </si>
  <si>
    <t>79724</t>
  </si>
  <si>
    <t>104696</t>
  </si>
  <si>
    <t>HETTICH 79724 SAH 130 závěsné kování bílé</t>
  </si>
  <si>
    <t>79725</t>
  </si>
  <si>
    <t>208599</t>
  </si>
  <si>
    <t>HETTICH 79725 SAH 130 krytka plast bílý</t>
  </si>
  <si>
    <t>79726</t>
  </si>
  <si>
    <t>104698</t>
  </si>
  <si>
    <t>HETTICH 79726 SAH 130 krytka plast stříbrný</t>
  </si>
  <si>
    <t>79736</t>
  </si>
  <si>
    <t>208600</t>
  </si>
  <si>
    <t>HETTICH 79736 zámek zásuvkový Z23 přestavitelný</t>
  </si>
  <si>
    <t>79788</t>
  </si>
  <si>
    <t>133575</t>
  </si>
  <si>
    <t>HETTICH 79788 protiplech typ 4516 niklovaný</t>
  </si>
  <si>
    <t>9000894</t>
  </si>
  <si>
    <t>107986</t>
  </si>
  <si>
    <t>HETTICH 9000894 Šatní tyč oválná 15/30/5000 mm</t>
  </si>
  <si>
    <t>350568</t>
  </si>
  <si>
    <t>HETTICH 9000894 šatní tyč oválná 30x15x5000mm nikl matný</t>
  </si>
  <si>
    <t>9002503</t>
  </si>
  <si>
    <t>378440</t>
  </si>
  <si>
    <t>HETTICH 9002503 ATR/IT-prích.pozdĺž.relingu k naskrutk. DALNO</t>
  </si>
  <si>
    <t>119268</t>
  </si>
  <si>
    <t>HETTICH 9002503 Innotech Atira příchyt relingu na čelo na vrut</t>
  </si>
  <si>
    <t>9003473</t>
  </si>
  <si>
    <t>185534</t>
  </si>
  <si>
    <t>HETTICH 9003473 Atira příchytka zad 57 stříbrná L</t>
  </si>
  <si>
    <t>9003474</t>
  </si>
  <si>
    <t>185535</t>
  </si>
  <si>
    <t>HETTICH 9003474 Atira příchytka zad 57 stříbrná P</t>
  </si>
  <si>
    <t>9004068</t>
  </si>
  <si>
    <t>160748</t>
  </si>
  <si>
    <t>HETTICH 9004068 INNOTECH záda 144/400ocel stř</t>
  </si>
  <si>
    <t>9004071</t>
  </si>
  <si>
    <t>185540</t>
  </si>
  <si>
    <t>HETTICH 9004071 INNOTECH záda 144/550ocel stř</t>
  </si>
  <si>
    <t>9004072</t>
  </si>
  <si>
    <t>119286</t>
  </si>
  <si>
    <t>HETTICH 9004072 INNOTECH záda 144/600ocel stř</t>
  </si>
  <si>
    <t>9004472</t>
  </si>
  <si>
    <t>208677</t>
  </si>
  <si>
    <t>HETTICH 9004472 Příchytka čela pro tužkovník 392 mm</t>
  </si>
  <si>
    <t>9005558</t>
  </si>
  <si>
    <t>106513</t>
  </si>
  <si>
    <t>HETTICH 9005558 podpěra Sekura 6, 5 mm, niklováno</t>
  </si>
  <si>
    <t>9005604</t>
  </si>
  <si>
    <t>288349</t>
  </si>
  <si>
    <t>HETTICH 9005604 Intermat závěs naložený 110° TH vrut PTO</t>
  </si>
  <si>
    <t>9005930</t>
  </si>
  <si>
    <t>119207</t>
  </si>
  <si>
    <t>HETTICH 9005930 Přepážky k příborníku/78 mm</t>
  </si>
  <si>
    <t>9005931</t>
  </si>
  <si>
    <t>106659</t>
  </si>
  <si>
    <t>HETTICH 9005931 Dělící prvek OrgaTray 590, 128mm, stříbrná</t>
  </si>
  <si>
    <t>9007183</t>
  </si>
  <si>
    <t>107952</t>
  </si>
  <si>
    <t>HETTICH 9007183 zásuvka na psací potřeby hliník</t>
  </si>
  <si>
    <t>9007204</t>
  </si>
  <si>
    <t>106837</t>
  </si>
  <si>
    <t>HETTICH 9007204 dělící příčka 392 mm, plast, hliník</t>
  </si>
  <si>
    <t>9007210</t>
  </si>
  <si>
    <t>103773</t>
  </si>
  <si>
    <t>HETTICH 9007210 přepážka 220 mm A5 hliník</t>
  </si>
  <si>
    <t>9007355</t>
  </si>
  <si>
    <t>106903</t>
  </si>
  <si>
    <t>HETTICH 9007355 Atira držák zad 144, levá, stříbrná</t>
  </si>
  <si>
    <t>378432</t>
  </si>
  <si>
    <t>HETTICH 9007355 ATR/IT-držiak chrbáta Ľ /v144/strieborná DALNO</t>
  </si>
  <si>
    <t>9007356</t>
  </si>
  <si>
    <t>106904</t>
  </si>
  <si>
    <t>HETTICH 9007356 Atira držák zad 144, pravá, stříbrná</t>
  </si>
  <si>
    <t>378433</t>
  </si>
  <si>
    <t>HETTICH 9007356 ATR/IT-držiak chrbáta P/v144/strieborná DALNO</t>
  </si>
  <si>
    <t>9007651</t>
  </si>
  <si>
    <t>104708</t>
  </si>
  <si>
    <t>HETTICH 9007651 závěsná lišta SAH, typ B, 3 m</t>
  </si>
  <si>
    <t>9010110</t>
  </si>
  <si>
    <t>185578</t>
  </si>
  <si>
    <t>HETTICH 9010110 Sekura 1.1 podpěrka</t>
  </si>
  <si>
    <t>350570</t>
  </si>
  <si>
    <t>HETTICH 901011001 PODPĚRKA SEKURA 1.1 2Z D5 -NI- VERP GZ01245</t>
  </si>
  <si>
    <t>9011390</t>
  </si>
  <si>
    <t>185582</t>
  </si>
  <si>
    <t>HETTICH 9011390 ocelová příčka 292 mm hliník (20533)</t>
  </si>
  <si>
    <t>9011869</t>
  </si>
  <si>
    <t>107003</t>
  </si>
  <si>
    <t>HETTICH 9011869 Org@Wall univerzální profil 1800 mm</t>
  </si>
  <si>
    <t>9011894</t>
  </si>
  <si>
    <t>185633</t>
  </si>
  <si>
    <t>HETTICH 9011894 rám pro skříně s čely 352x371 (435 mm) hliník</t>
  </si>
  <si>
    <t>9011907</t>
  </si>
  <si>
    <t>185634</t>
  </si>
  <si>
    <t>HETTICH 9011907 rám pro skříně s čely 352x836 (900 mm) hliník</t>
  </si>
  <si>
    <t>9011908</t>
  </si>
  <si>
    <t>185635</t>
  </si>
  <si>
    <t>HETTICH 9011908 rám pro skříně s čely 352x936 (1000 mm) hliník</t>
  </si>
  <si>
    <t>9011940</t>
  </si>
  <si>
    <t>185648</t>
  </si>
  <si>
    <t>HETTICH 9011940 rám na závěsné složky 371x517 (435 mm) hliník</t>
  </si>
  <si>
    <t>9012148</t>
  </si>
  <si>
    <t>130374</t>
  </si>
  <si>
    <t>HETTICH 9012148 ORG@Wall univerzální profil 2900 mm</t>
  </si>
  <si>
    <t>9014651</t>
  </si>
  <si>
    <t>208682</t>
  </si>
  <si>
    <t>HETTICH 9014651 Orgastore 100 přepážka</t>
  </si>
  <si>
    <t>9015069</t>
  </si>
  <si>
    <t>208686</t>
  </si>
  <si>
    <t>HETTICH 9015069 InnoTech záda 176/600 mm stříbrná</t>
  </si>
  <si>
    <t>9021105</t>
  </si>
  <si>
    <t>104979</t>
  </si>
  <si>
    <t>HETTICH 9021105 VISTA kluzák k našroubování</t>
  </si>
  <si>
    <t>9021314</t>
  </si>
  <si>
    <t>300816</t>
  </si>
  <si>
    <t>HETTICH 9021314 Eurošroub 6,3x14,5mm zinek bílý</t>
  </si>
  <si>
    <t>9027831</t>
  </si>
  <si>
    <t>106888</t>
  </si>
  <si>
    <t>HETTICH 9027831 Atira držák zad 176, levá, stříbrná</t>
  </si>
  <si>
    <t>378434</t>
  </si>
  <si>
    <t>HETTICH 9027831 ATR/IT-držiak chrbáta Ľ /v176/strieborná DALNO</t>
  </si>
  <si>
    <t>9027832</t>
  </si>
  <si>
    <t>106889</t>
  </si>
  <si>
    <t>HETTICH 9027832 Atira držák zad 176, pravá, stříbrná</t>
  </si>
  <si>
    <t>378435</t>
  </si>
  <si>
    <t>HETTICH 9027832 ATR/IT-držiak chrbáta P/v176/strieborná DALNO</t>
  </si>
  <si>
    <t>902808500</t>
  </si>
  <si>
    <t>176434</t>
  </si>
  <si>
    <t>HETTICH 902808500 FRANKOFLEX 90°</t>
  </si>
  <si>
    <t>9028546</t>
  </si>
  <si>
    <t>105997</t>
  </si>
  <si>
    <t>HETTICH 9028546 VISTA soklová noha 100 mm</t>
  </si>
  <si>
    <t>9028869</t>
  </si>
  <si>
    <t>106599</t>
  </si>
  <si>
    <t>HETTICH 9028869 Rastomat 6 poloh</t>
  </si>
  <si>
    <t>9037034</t>
  </si>
  <si>
    <t>483735</t>
  </si>
  <si>
    <t>HETTICH 9037034 závěs Slide-on 2333 naložený TB 45x9,5mm vrut</t>
  </si>
  <si>
    <t>9037043</t>
  </si>
  <si>
    <t>131485</t>
  </si>
  <si>
    <t>HETTICH 9037043 sada zásuvka na psací potřeby + K</t>
  </si>
  <si>
    <t>9037044</t>
  </si>
  <si>
    <t>146841</t>
  </si>
  <si>
    <t>HETTICH 9037044 sada zásuvka na psací potřeby + K</t>
  </si>
  <si>
    <t>9037349</t>
  </si>
  <si>
    <t>483734</t>
  </si>
  <si>
    <t>HETTICH 9037349 závěs Slide-on 2333 polonaložený TB 45x9,5mm vrut</t>
  </si>
  <si>
    <t>9037351</t>
  </si>
  <si>
    <t>483733</t>
  </si>
  <si>
    <t>HETTICH 9037351 závěs Slide-on 2333 vložený TB 45x9,5mm vrut</t>
  </si>
  <si>
    <t>9039362</t>
  </si>
  <si>
    <t>119299</t>
  </si>
  <si>
    <t>HETTICH 9039362 Můstek 392 mm černý SD</t>
  </si>
  <si>
    <t>9039372</t>
  </si>
  <si>
    <t>105751</t>
  </si>
  <si>
    <t>HETTICH 9039372 Můstek 392 mm hliníkum finiš</t>
  </si>
  <si>
    <t>9039373</t>
  </si>
  <si>
    <t>105755</t>
  </si>
  <si>
    <t>HETTICH 9039373 Můstek vložený 600 mm černý</t>
  </si>
  <si>
    <t>9039917</t>
  </si>
  <si>
    <t>107689</t>
  </si>
  <si>
    <t>HETTICH 9039917 závěsný rám 343x244x343 mm černý</t>
  </si>
  <si>
    <t>9039919</t>
  </si>
  <si>
    <t>185692</t>
  </si>
  <si>
    <t>HETTICH 9039919 závěsný rám 343x244x344 mm hliník</t>
  </si>
  <si>
    <t>9039924</t>
  </si>
  <si>
    <t>107690</t>
  </si>
  <si>
    <t>HETTICH 9039924 závěsný rám k postavení do zásuvky 510x244x350 SD</t>
  </si>
  <si>
    <t>9039927</t>
  </si>
  <si>
    <t>107188</t>
  </si>
  <si>
    <t>HETTICH 9039927 závěsný rám 504x244x343 mm hliník</t>
  </si>
  <si>
    <t>9040230</t>
  </si>
  <si>
    <t>103783</t>
  </si>
  <si>
    <t>HETTICH 9040230 TopLine 110 horní nosný profil 3000 mm</t>
  </si>
  <si>
    <t>9040651</t>
  </si>
  <si>
    <t>300844</t>
  </si>
  <si>
    <t>HETTICH 9040651 Selekta PRO 2000 ramínko, naložení 14 mm, k přišroubování, nikl</t>
  </si>
  <si>
    <t>9042420</t>
  </si>
  <si>
    <t>300561</t>
  </si>
  <si>
    <t>HETTICH 9042420 Intermat 9973 B12,5 TH43 P2O</t>
  </si>
  <si>
    <t>9042637</t>
  </si>
  <si>
    <t>288350</t>
  </si>
  <si>
    <t>HETTICH 9042637 Intermat závěs polonaložený 110° TH vrut PTO</t>
  </si>
  <si>
    <t>9043310</t>
  </si>
  <si>
    <t>300565</t>
  </si>
  <si>
    <t>HETTICH 9043310 Intermat 9944 W-30 B12 TB42</t>
  </si>
  <si>
    <t>9043361</t>
  </si>
  <si>
    <t>418294</t>
  </si>
  <si>
    <t>HETTICH 9043361 Intermat naložený bez pružiny P2O</t>
  </si>
  <si>
    <t>9043363</t>
  </si>
  <si>
    <t>288351</t>
  </si>
  <si>
    <t>HETTICH 9043363 Intermat závěs vložený 110° TH vrut PTO</t>
  </si>
  <si>
    <t>9043379</t>
  </si>
  <si>
    <t>300578</t>
  </si>
  <si>
    <t>HETTICH 9043379 Intermat 9944 125° B12,5 TB42</t>
  </si>
  <si>
    <t>9043556</t>
  </si>
  <si>
    <t>300608</t>
  </si>
  <si>
    <t>HETTICH 9043556 Intermat 9966 W90 B22 TH42 P2O</t>
  </si>
  <si>
    <t>9043557</t>
  </si>
  <si>
    <t>399349</t>
  </si>
  <si>
    <t>HETTICH 9043557 Intermat 9966 W90 B22 TH43 P2O</t>
  </si>
  <si>
    <t>9043679</t>
  </si>
  <si>
    <t>300658</t>
  </si>
  <si>
    <t>HETTICH 9043679 Intermat 9936 W45 B6 TB48</t>
  </si>
  <si>
    <t>9043750</t>
  </si>
  <si>
    <t>300664</t>
  </si>
  <si>
    <t>HETTICH 9043750 Intermat 9936 W90 B5 TB42</t>
  </si>
  <si>
    <t>9043751</t>
  </si>
  <si>
    <t>300665</t>
  </si>
  <si>
    <t>HETTICH 9043751 Intermat 9936 W90 B22 TB42</t>
  </si>
  <si>
    <t>9044820</t>
  </si>
  <si>
    <t>300676</t>
  </si>
  <si>
    <t>HETTICH 9044820 Intermat 9930 W50 65° TB42</t>
  </si>
  <si>
    <t>9044823</t>
  </si>
  <si>
    <t>300677</t>
  </si>
  <si>
    <t>HETTICH 9044823 Intermat 9930 W50 65° TH48</t>
  </si>
  <si>
    <t>9044841</t>
  </si>
  <si>
    <t>300694</t>
  </si>
  <si>
    <t>HETTICH 9044841 Intermat 9966 W90 B5 TH42 P2O</t>
  </si>
  <si>
    <t>9044844</t>
  </si>
  <si>
    <t>300697</t>
  </si>
  <si>
    <t>HETTICH 9044844 Intermat 9936 pro slepý úhel naložený TH52 vrut</t>
  </si>
  <si>
    <t>9044858</t>
  </si>
  <si>
    <t>300704</t>
  </si>
  <si>
    <t>HETTICH 9044858 Intermat 9966 32mm B12,5 TH42</t>
  </si>
  <si>
    <t>9044888</t>
  </si>
  <si>
    <t>300722</t>
  </si>
  <si>
    <t>HETTICH 9044888 Intermat 9966 32mm B12,5 TB42</t>
  </si>
  <si>
    <t>9047392</t>
  </si>
  <si>
    <t>460574</t>
  </si>
  <si>
    <t>HETTICH 9047392 Quadro V6 260 EB10,5 SiSy Ľ DALNO</t>
  </si>
  <si>
    <t>9047393</t>
  </si>
  <si>
    <t>460575</t>
  </si>
  <si>
    <t>HETTICH 9047393 Quadro V6 260 EB10,5 SiSy P DALNO</t>
  </si>
  <si>
    <t>9047443</t>
  </si>
  <si>
    <t>460570</t>
  </si>
  <si>
    <t>HETTICH 9047443 Quadro V6 350 EB10,5 SiSy Ľ DALNO</t>
  </si>
  <si>
    <t>9047444</t>
  </si>
  <si>
    <t>460571</t>
  </si>
  <si>
    <t>HETTICH 9047444 Quadro V6 350 EB10,5 SiSy P DALNO</t>
  </si>
  <si>
    <t>9047450</t>
  </si>
  <si>
    <t>460568</t>
  </si>
  <si>
    <t>HETTICH 9047450 Quadro V6 420 EB10,5 SiSy Ľ DALNO</t>
  </si>
  <si>
    <t>9047452</t>
  </si>
  <si>
    <t>378441</t>
  </si>
  <si>
    <t>HETTICH 9047452 Quadro V6/470 SiSy 30kg /ľavý /EB 10,5 DALNO</t>
  </si>
  <si>
    <t>9047453</t>
  </si>
  <si>
    <t>378442</t>
  </si>
  <si>
    <t>HETTICH 9047453 Quadro V6/470 SiSy 30kg /pravý /EB 10,5 DALNO</t>
  </si>
  <si>
    <t>9047454</t>
  </si>
  <si>
    <t>131977</t>
  </si>
  <si>
    <t>HETTICH 9047454 Quadro V6/520 EB10,5 SiSy L</t>
  </si>
  <si>
    <t>9047636</t>
  </si>
  <si>
    <t>185725</t>
  </si>
  <si>
    <t>HETTICH 9047636 Quadro V6 580 mm EB20 SiSy P</t>
  </si>
  <si>
    <t>9047647</t>
  </si>
  <si>
    <t>185726</t>
  </si>
  <si>
    <t>HETTICH 9047647 Quadro V6 300 mm EB20 SiSy L</t>
  </si>
  <si>
    <t>9047648</t>
  </si>
  <si>
    <t>185727</t>
  </si>
  <si>
    <t>HETTICH 9047648 Quadro V6 300 mm EB20 SiSy P</t>
  </si>
  <si>
    <t>9047662</t>
  </si>
  <si>
    <t>350573</t>
  </si>
  <si>
    <t>HETTICH 9047662 Quadro V6 350 mm EB20 SiSy L MIREAL</t>
  </si>
  <si>
    <t>185730</t>
  </si>
  <si>
    <t>HETTICH 9047662 Quadro V6 350mm/30kg EB20 SiSy L</t>
  </si>
  <si>
    <t>9047666</t>
  </si>
  <si>
    <t>350574</t>
  </si>
  <si>
    <t>HETTICH 9047666 Quadro V6 350mm/30kg EB20 SiSy P</t>
  </si>
  <si>
    <t>9047735</t>
  </si>
  <si>
    <t>178598</t>
  </si>
  <si>
    <t>HETTICH 9047735 Quadro V6 400 mm EB20 SiSy L</t>
  </si>
  <si>
    <t>350577</t>
  </si>
  <si>
    <t>HETTICH 904773503 Quadro V6 400 mm EB20 SiSy L</t>
  </si>
  <si>
    <t>9047736</t>
  </si>
  <si>
    <t>178599</t>
  </si>
  <si>
    <t>HETTICH 9047736 Quadro V6 400 mm EB20 SiSy P</t>
  </si>
  <si>
    <t>350578</t>
  </si>
  <si>
    <t>HETTICH 904773603 Quadro V6 400 mm EB20 SiSy  P</t>
  </si>
  <si>
    <t>9047751</t>
  </si>
  <si>
    <t>178600</t>
  </si>
  <si>
    <t>HETTICH 9047751 Quadro V6 450 mm EB20 SiSy L</t>
  </si>
  <si>
    <t>364751</t>
  </si>
  <si>
    <t>HETTICH 9047751 QUADRO V6/450 EB20 Sil.Syst.L 100ryD</t>
  </si>
  <si>
    <t>350579</t>
  </si>
  <si>
    <t>HETTICH 904775110 Quadro V6 450 mm EB20 SiSy  L</t>
  </si>
  <si>
    <t>9047752</t>
  </si>
  <si>
    <t>178602</t>
  </si>
  <si>
    <t>HETTICH 9047752 Quadro V6 450 mm EB20 SiSy P</t>
  </si>
  <si>
    <t>364752</t>
  </si>
  <si>
    <t>HETTICH 9047752 QUADRO V6/450 EB20 Sil.Syst.P 100ryD</t>
  </si>
  <si>
    <t>904775202</t>
  </si>
  <si>
    <t>350576</t>
  </si>
  <si>
    <t>HETTICH 904775202 QUADRO V6 450MM EB20 SILENT SYSTEM PLNOVÝSUV PRAVÝ</t>
  </si>
  <si>
    <t>350580</t>
  </si>
  <si>
    <t>HETTICH 904775210 Quadro V6 450 mm EB20 SiSy  P</t>
  </si>
  <si>
    <t>9047770</t>
  </si>
  <si>
    <t>178606</t>
  </si>
  <si>
    <t>HETTICH 9047770 Quadro V6 500 mm EB20 SiSy L</t>
  </si>
  <si>
    <t>9047771</t>
  </si>
  <si>
    <t>178607</t>
  </si>
  <si>
    <t>HETTICH 9047771 Quadro V6 500 mm EB20 SiSy P</t>
  </si>
  <si>
    <t>9047774</t>
  </si>
  <si>
    <t>178608</t>
  </si>
  <si>
    <t>HETTICH 9047774 Quadro V6 550 mm EB20 SiSy L</t>
  </si>
  <si>
    <t>350581</t>
  </si>
  <si>
    <t>HETTICH 904777410 Quadro V6 550 mm EB20 SiSy  L</t>
  </si>
  <si>
    <t>9047775</t>
  </si>
  <si>
    <t>178609</t>
  </si>
  <si>
    <t>HETTICH 9047775 Quadro V6 550 mm EB20 SiSy P</t>
  </si>
  <si>
    <t>350582</t>
  </si>
  <si>
    <t>HETTICH 904777510 Quadro V6 550 mm EB20 SiSy  P</t>
  </si>
  <si>
    <t>9047863</t>
  </si>
  <si>
    <t>107956</t>
  </si>
  <si>
    <t>HETTICH 9047863 kolík Twister DU 243, k zašroubování, 20 mm, pozinkováno, zelená</t>
  </si>
  <si>
    <t>185738</t>
  </si>
  <si>
    <t>HETTICH 9047863 Twister DU 243 20 mm zinkovaný</t>
  </si>
  <si>
    <t>9047978</t>
  </si>
  <si>
    <t>107959</t>
  </si>
  <si>
    <t>HETTICH 9047978 kolík Twister DU 320, k zašroubování, 30 mm, pozinkováno, černá</t>
  </si>
  <si>
    <t>9049306</t>
  </si>
  <si>
    <t>208692</t>
  </si>
  <si>
    <t>HETTICH 9049306 Quadro V6/250 mm EB20 SiSy L</t>
  </si>
  <si>
    <t>9049307</t>
  </si>
  <si>
    <t>208693</t>
  </si>
  <si>
    <t>HETTICH 9049307 Quadro V6 250 mm EB20 SiSy P</t>
  </si>
  <si>
    <t>9049686</t>
  </si>
  <si>
    <t>229123</t>
  </si>
  <si>
    <t>HETTICH 9049686 zásuvka na psací potřeby</t>
  </si>
  <si>
    <t>9057402</t>
  </si>
  <si>
    <t>106972</t>
  </si>
  <si>
    <t>HETTICH 9057402 kuličkový celovýsuv KA 5332 350 mm, EB12,7 30 kg</t>
  </si>
  <si>
    <t>9057403</t>
  </si>
  <si>
    <t>106995</t>
  </si>
  <si>
    <t>HETTICH 9057403 KA 5332 400 mm EB12,7 30 kg</t>
  </si>
  <si>
    <t>9057404</t>
  </si>
  <si>
    <t>185775</t>
  </si>
  <si>
    <t>HETTICH 9057404 KA 5332 450 mm EB12,7 30 kg</t>
  </si>
  <si>
    <t>9057405</t>
  </si>
  <si>
    <t>107004</t>
  </si>
  <si>
    <t>HETTICH 9057405 KA 5332 500 mm EB12,7 30 kg</t>
  </si>
  <si>
    <t>9057407</t>
  </si>
  <si>
    <t>107025</t>
  </si>
  <si>
    <t>HETTICH 9057407 KA 5332 550 mm EB12,7 30 kg</t>
  </si>
  <si>
    <t>9061151</t>
  </si>
  <si>
    <t>208694</t>
  </si>
  <si>
    <t>HETTICH 9061151 ocelová zásuvka 392/714 mm černá</t>
  </si>
  <si>
    <t>9061152</t>
  </si>
  <si>
    <t>103816</t>
  </si>
  <si>
    <t>HETTICH 9061152 Ocelová zásuvka 514/392 č.DVD</t>
  </si>
  <si>
    <t>482907</t>
  </si>
  <si>
    <t>HETTICH 9061152 ocelová zásuvka 514/392 černá</t>
  </si>
  <si>
    <t>9064670</t>
  </si>
  <si>
    <t>185781</t>
  </si>
  <si>
    <t>HETTICH 9064670 Úchytka CAPUA 372/320 nebo 360 mm imitace nerezi</t>
  </si>
  <si>
    <t>9064671</t>
  </si>
  <si>
    <t>161952</t>
  </si>
  <si>
    <t>HETTICH 9064671 Úchytka CAPUA 472/460 mm imitace nerezi</t>
  </si>
  <si>
    <t>9064890</t>
  </si>
  <si>
    <t>484145</t>
  </si>
  <si>
    <t>HETTICH 9064890 VB 35 M/16 plast bílý</t>
  </si>
  <si>
    <t>9065426</t>
  </si>
  <si>
    <t>105843</t>
  </si>
  <si>
    <t>HETTICH 9065426 Úchytka ATHENA 170/160 mm imitace nerezi</t>
  </si>
  <si>
    <t>9065427</t>
  </si>
  <si>
    <t>107375</t>
  </si>
  <si>
    <t>HETTICH 9065427 Úchytka ATHENA 160 mm eloxovaný hliník</t>
  </si>
  <si>
    <t>9065611</t>
  </si>
  <si>
    <t>105285</t>
  </si>
  <si>
    <t>HETTICH 9065611 Úchytka GENOA 170/128 mm chrom lesklý</t>
  </si>
  <si>
    <t>9065612</t>
  </si>
  <si>
    <t>106675</t>
  </si>
  <si>
    <t>HETTICH 9065612 Úchytka Genoa 128 imitace nerezi</t>
  </si>
  <si>
    <t>9065627</t>
  </si>
  <si>
    <t>105897</t>
  </si>
  <si>
    <t>HETTICH 9065627 Knobka VIGILIA L60/32 chrom lesklý</t>
  </si>
  <si>
    <t>9065628</t>
  </si>
  <si>
    <t>106024</t>
  </si>
  <si>
    <t>HETTICH 9065628 Knopka VIGILIA L60/32 imitace nerezi</t>
  </si>
  <si>
    <t>9065634</t>
  </si>
  <si>
    <t>106338</t>
  </si>
  <si>
    <t>HETTICH 9065634 Úchytka VERONIA 144/128 mm chrom lesklý</t>
  </si>
  <si>
    <t>9065669</t>
  </si>
  <si>
    <t>185789</t>
  </si>
  <si>
    <t>HETTICH 9065669 zásuvka na psací potřeby čern</t>
  </si>
  <si>
    <t>9065857</t>
  </si>
  <si>
    <t>185792</t>
  </si>
  <si>
    <t>HETTICH 9065857 Cargo 90° IQ plus 200 mm</t>
  </si>
  <si>
    <t>9065860</t>
  </si>
  <si>
    <t>159009</t>
  </si>
  <si>
    <t>HETTICH 9065860 Cargo 90° IQ plus 300 mm</t>
  </si>
  <si>
    <t>9065861</t>
  </si>
  <si>
    <t>185793</t>
  </si>
  <si>
    <t>HETTICH 9065861 Cargo 90° IQ plus police 200 mm</t>
  </si>
  <si>
    <t>9065862</t>
  </si>
  <si>
    <t>159011</t>
  </si>
  <si>
    <t>HETTICH 9065862 Cargo 90° IQ plus police 300 mm</t>
  </si>
  <si>
    <t>9065870</t>
  </si>
  <si>
    <t>460572</t>
  </si>
  <si>
    <t>HETTICH 9065870 Quadro V6 300 EB10,5 SiSy Ľ DALNO</t>
  </si>
  <si>
    <t>9065871</t>
  </si>
  <si>
    <t>460573</t>
  </si>
  <si>
    <t>HETTICH 9065871 Quadro V6 300 EB10,5 SiSy P DALNO</t>
  </si>
  <si>
    <t>9065916</t>
  </si>
  <si>
    <t>488300</t>
  </si>
  <si>
    <t>HETTICH 9065916 Quadro V6 470mm/30kg EB12,5 SiSy L</t>
  </si>
  <si>
    <t>9065917</t>
  </si>
  <si>
    <t>488301</t>
  </si>
  <si>
    <t>HETTICH 9065917 Quadro V6 470mm/30kg EB12,5 SiSy P</t>
  </si>
  <si>
    <t>9066464</t>
  </si>
  <si>
    <t>185805</t>
  </si>
  <si>
    <t>HETTICH 9066464 Cargo 90° IQ plus police 150 mm</t>
  </si>
  <si>
    <t>9066486</t>
  </si>
  <si>
    <t>185806</t>
  </si>
  <si>
    <t>HETTICH 9066486 vnitřní výsuv Cargo IQ Plus 90° stříbrný</t>
  </si>
  <si>
    <t>9069804</t>
  </si>
  <si>
    <t>106542</t>
  </si>
  <si>
    <t>HETTICH 9069804 Úchytka AOSTA 144/128 mm nerez broušený</t>
  </si>
  <si>
    <t>9069805</t>
  </si>
  <si>
    <t>106826</t>
  </si>
  <si>
    <t>HETTICH 9069805 Úchytka AOSTA 176/160 mm nerez broušený</t>
  </si>
  <si>
    <t>9069806</t>
  </si>
  <si>
    <t>107398</t>
  </si>
  <si>
    <t>HETTICH 9069806 Úchytka AOSTA 208/192 mm nerez broušený</t>
  </si>
  <si>
    <t>9069807</t>
  </si>
  <si>
    <t>105373</t>
  </si>
  <si>
    <t>HETTICH 9069807 Úchytka AOSTA 240/224 mm nerez broušený</t>
  </si>
  <si>
    <t>9069808</t>
  </si>
  <si>
    <t>107320</t>
  </si>
  <si>
    <t>HETTICH 9069808 Úchytka AOSTA 336/320 mm nerez broušený</t>
  </si>
  <si>
    <t>9069815</t>
  </si>
  <si>
    <t>133525</t>
  </si>
  <si>
    <t>HETTICH 9069815 Úchytka ASOPUS 106/96 mm nerez broušený</t>
  </si>
  <si>
    <t>9069818</t>
  </si>
  <si>
    <t>107621</t>
  </si>
  <si>
    <t>HETTICH 9069818 Úchytka ASOPUS 138/128 mm nerez broušený</t>
  </si>
  <si>
    <t>9069821</t>
  </si>
  <si>
    <t>107496</t>
  </si>
  <si>
    <t>HETTICH 9069821 Úchytka ASOPUS 234/224 mm nerez broušený</t>
  </si>
  <si>
    <t>9069865</t>
  </si>
  <si>
    <t>105060</t>
  </si>
  <si>
    <t>HETTICH 9069865 Úchytka ASOPUS 330/320 mm nerez broušený</t>
  </si>
  <si>
    <t>9069867</t>
  </si>
  <si>
    <t>185839</t>
  </si>
  <si>
    <t>HETTICH 9069867 Úchytka AVENIO 298/288 mm nikl matný</t>
  </si>
  <si>
    <t>9069868</t>
  </si>
  <si>
    <t>106136</t>
  </si>
  <si>
    <t>HETTICH 9069868 Úchytka AVENIO 202/192 mm nikl matný</t>
  </si>
  <si>
    <t>9069873</t>
  </si>
  <si>
    <t>185841</t>
  </si>
  <si>
    <t>HETTICH 9069873 Úchytka AVENIO 362/352 mm nikl matný</t>
  </si>
  <si>
    <t>9069877</t>
  </si>
  <si>
    <t>105531</t>
  </si>
  <si>
    <t>HETTICH 9069877 Úchytka AVENIO 298/288 mm chrom matný</t>
  </si>
  <si>
    <t>9069890</t>
  </si>
  <si>
    <t>106077</t>
  </si>
  <si>
    <t>HETTICH 9069890 Úchytka BREMA 170/128 mm imitace nerezi</t>
  </si>
  <si>
    <t>9069892</t>
  </si>
  <si>
    <t>105530</t>
  </si>
  <si>
    <t>HETTICH 9069892 Úchytka AVENIO 363/352 mm chrom matný</t>
  </si>
  <si>
    <t>9069893</t>
  </si>
  <si>
    <t>106404</t>
  </si>
  <si>
    <t>HETTICH 9069893 Úchytka BREMA 172/160 mm imitace nerezi</t>
  </si>
  <si>
    <t>9069900</t>
  </si>
  <si>
    <t>185844</t>
  </si>
  <si>
    <t>HETTICH 9069900 Úchytka AVENIO 362/352 chrom lesklý</t>
  </si>
  <si>
    <t>9069907</t>
  </si>
  <si>
    <t>185846</t>
  </si>
  <si>
    <t>HETTICH 9069907 Úchytka AVENIO 136/128 mm nikl matný</t>
  </si>
  <si>
    <t>9069909</t>
  </si>
  <si>
    <t>185847</t>
  </si>
  <si>
    <t>HETTICH 9069909 Úchytka AVENIO 170/160 mm nikl matný</t>
  </si>
  <si>
    <t>9069919</t>
  </si>
  <si>
    <t>185850</t>
  </si>
  <si>
    <t>HETTICH 9069919 Úchytka AVENIO 72/64 mm nikl matný</t>
  </si>
  <si>
    <t>9069927</t>
  </si>
  <si>
    <t>107485</t>
  </si>
  <si>
    <t>HETTICH 9069927 Úchytka AVENIO 298/288 mm imitace nerezi</t>
  </si>
  <si>
    <t>9069942</t>
  </si>
  <si>
    <t>185855</t>
  </si>
  <si>
    <t>HETTICH 9069942 Úchytka ASOPUS 104/96 mm nerez broušený</t>
  </si>
  <si>
    <t>9069943</t>
  </si>
  <si>
    <t>185856</t>
  </si>
  <si>
    <t>HETTICH 9069943 Úchytka AVENIO 72/64 mm chrom matný</t>
  </si>
  <si>
    <t>9070025</t>
  </si>
  <si>
    <t>106204</t>
  </si>
  <si>
    <t>HETTICH 9070025 Úchytka AVENIO 362/352 mm imitace nerezi</t>
  </si>
  <si>
    <t>9070054</t>
  </si>
  <si>
    <t>185877</t>
  </si>
  <si>
    <t>HETTICH 9070054 Úchytka AVENIO 104/96 chrom matný</t>
  </si>
  <si>
    <t>9070075</t>
  </si>
  <si>
    <t>165696</t>
  </si>
  <si>
    <t>HETTICH 9070075 Úchytka AVENIO 136/128 mm chrom lesklý</t>
  </si>
  <si>
    <t>9070095</t>
  </si>
  <si>
    <t>161961</t>
  </si>
  <si>
    <t>HETTICH 9070095 Úchytka TRENTO 93/32 mm chrom lesklý</t>
  </si>
  <si>
    <t>9070101</t>
  </si>
  <si>
    <t>107258</t>
  </si>
  <si>
    <t>HETTICH 9070101 Úchytka ASOPUS 136/128 mm nerez broušený</t>
  </si>
  <si>
    <t>9070102</t>
  </si>
  <si>
    <t>133002</t>
  </si>
  <si>
    <t>HETTICH 9070102 Úchytka ASOPUS 108/96 mm nerez broušený</t>
  </si>
  <si>
    <t>9070103</t>
  </si>
  <si>
    <t>122895</t>
  </si>
  <si>
    <t>HETTICH 9070103 Úchytka ASOPUS 140/128 mm nerez broušený</t>
  </si>
  <si>
    <t>9070104</t>
  </si>
  <si>
    <t>105806</t>
  </si>
  <si>
    <t>HETTICH 9070104 Úchytka BREMA 234/192 mm imitace nerezi</t>
  </si>
  <si>
    <t>9070105</t>
  </si>
  <si>
    <t>185883</t>
  </si>
  <si>
    <t>HETTICH 9070105 Úchytka ASOPUS 204/192 mm nerez broušený</t>
  </si>
  <si>
    <t>9070106</t>
  </si>
  <si>
    <t>106271</t>
  </si>
  <si>
    <t>HETTICH 9070106 Úchytka BREMA 236/224 mm imitace nerezi</t>
  </si>
  <si>
    <t>9070107</t>
  </si>
  <si>
    <t>105071</t>
  </si>
  <si>
    <t>HETTICH 9070107 Úchytka BREMA 298/256 mm imitace herezi</t>
  </si>
  <si>
    <t>9070108</t>
  </si>
  <si>
    <t>105673</t>
  </si>
  <si>
    <t>HETTICH 9070108 Úchytka BREMA 300/288 mm imitace nerezi</t>
  </si>
  <si>
    <t>9070109</t>
  </si>
  <si>
    <t>105686</t>
  </si>
  <si>
    <t>HETTICH 9070109 Úchytka BREMA 394/352 mm imitace nerezi</t>
  </si>
  <si>
    <t>9070110</t>
  </si>
  <si>
    <t>106465</t>
  </si>
  <si>
    <t>HETTICH 9070110 Úchytka BREMA 428/416 mm imitace nerezi</t>
  </si>
  <si>
    <t>9070111</t>
  </si>
  <si>
    <t>107107</t>
  </si>
  <si>
    <t>HETTICH 9070111 Úchytka ASOPUS 364/352 mm nerez broušený</t>
  </si>
  <si>
    <t>9070112</t>
  </si>
  <si>
    <t>106543</t>
  </si>
  <si>
    <t>HETTICH 9070112 Úchytka BREMA 460/448 mm imitace nerezi</t>
  </si>
  <si>
    <t>9070113</t>
  </si>
  <si>
    <t>107992</t>
  </si>
  <si>
    <t>HETTICH 9070113 Úchytka BREMA 682/640 mm imitace nerezi</t>
  </si>
  <si>
    <t>9070117</t>
  </si>
  <si>
    <t>124331</t>
  </si>
  <si>
    <t>HETTICH 9070117 Úchytka ASOPUS 172/160 mm nerez broušený</t>
  </si>
  <si>
    <t>9070118</t>
  </si>
  <si>
    <t>136595</t>
  </si>
  <si>
    <t>HETTICH 9070118 Úchytka ASOPUS 236/224 mm nerez broušený</t>
  </si>
  <si>
    <t>9070119</t>
  </si>
  <si>
    <t>519413</t>
  </si>
  <si>
    <t>HETTICH 9070119 Úchytka ASOPUS 332/320 nerez broušený</t>
  </si>
  <si>
    <t>9070120</t>
  </si>
  <si>
    <t>105381</t>
  </si>
  <si>
    <t>HETTICH 9070120 Úchytka ASOPUS 492/480 mm nerez broušený</t>
  </si>
  <si>
    <t>9070121</t>
  </si>
  <si>
    <t>104995</t>
  </si>
  <si>
    <t>HETTICH 9070121 Úchytka TRENTO 93/32 mm imitace nerezi</t>
  </si>
  <si>
    <t>9070122</t>
  </si>
  <si>
    <t>105716</t>
  </si>
  <si>
    <t>HETTICH 9070122 Úchytka ASOPUS 716/704 mm nerez broušený</t>
  </si>
  <si>
    <t>9070124</t>
  </si>
  <si>
    <t>105083</t>
  </si>
  <si>
    <t>HETTICH 9070124 Úchytka ASOPUS 170/160 mm nerez broušený</t>
  </si>
  <si>
    <t>9070125</t>
  </si>
  <si>
    <t>108030</t>
  </si>
  <si>
    <t>HETTICH 9070125 Úchytka TRENTO 171/96 mm imitace nerezi</t>
  </si>
  <si>
    <t>9070138</t>
  </si>
  <si>
    <t>106763</t>
  </si>
  <si>
    <t>HETTICH 9070138 Úchytka Aboa nerez broušený zápustná</t>
  </si>
  <si>
    <t>9070263</t>
  </si>
  <si>
    <t>106105</t>
  </si>
  <si>
    <t>HETTICH 9070263 Knobka AGRINUM d14 mm nerez broušený</t>
  </si>
  <si>
    <t>9070264</t>
  </si>
  <si>
    <t>105149</t>
  </si>
  <si>
    <t>HETTICH 9070264 Knobka AGRINUM d18 mm nerez broušený</t>
  </si>
  <si>
    <t>9070420</t>
  </si>
  <si>
    <t>178682</t>
  </si>
  <si>
    <t>HETTICH 9070420 Úchytka ASOPUS 202/192 mm nerez broušený</t>
  </si>
  <si>
    <t>9070421</t>
  </si>
  <si>
    <t>105452</t>
  </si>
  <si>
    <t>HETTICH 9070421 Úchytka ASOPUS 362/352 mm nerez broušený</t>
  </si>
  <si>
    <t>9070429</t>
  </si>
  <si>
    <t>105333</t>
  </si>
  <si>
    <t>HETTICH 9070429 Úchytka AVENIO 136/128 mm imitace nerezi</t>
  </si>
  <si>
    <t>9070439</t>
  </si>
  <si>
    <t>185936</t>
  </si>
  <si>
    <t>HETTICH 9070439 Úchytka AVENIO 104/96 mm imitace nerezi</t>
  </si>
  <si>
    <t>9070444</t>
  </si>
  <si>
    <t>185940</t>
  </si>
  <si>
    <t>HETTICH 9070444 Úchytka AVENIO 74/64 mm chrom matný</t>
  </si>
  <si>
    <t>9070446</t>
  </si>
  <si>
    <t>185942</t>
  </si>
  <si>
    <t>HETTICH 9070446 Úchytka VADA 111/96 mm nerez broušený</t>
  </si>
  <si>
    <t>9070448</t>
  </si>
  <si>
    <t>105098</t>
  </si>
  <si>
    <t>HETTICH 9070448 Úchytka AVENIO 138/128 mm nerez broušený</t>
  </si>
  <si>
    <t>9070457</t>
  </si>
  <si>
    <t>182275</t>
  </si>
  <si>
    <t>HETTICH 9070457 Úchytka VADA 222/192 mm</t>
  </si>
  <si>
    <t>9070466</t>
  </si>
  <si>
    <t>185959</t>
  </si>
  <si>
    <t>HETTICH 9070466 Úchytka VADA 295/256 mm nerez broušený</t>
  </si>
  <si>
    <t>9070492</t>
  </si>
  <si>
    <t>105432</t>
  </si>
  <si>
    <t>HETTICH 9070492 Úchytka BATHIA 118/96 mm chrom lesklý</t>
  </si>
  <si>
    <t>9070493</t>
  </si>
  <si>
    <t>107604</t>
  </si>
  <si>
    <t>HETTICH 9070493 Úchytka BATHIA 118/96 mm imitace nerezi</t>
  </si>
  <si>
    <t>9070494</t>
  </si>
  <si>
    <t>185968</t>
  </si>
  <si>
    <t>HETTICH 9070494 Úchytka VADA 392/352 mm nerez broušený</t>
  </si>
  <si>
    <t>9070496</t>
  </si>
  <si>
    <t>208706</t>
  </si>
  <si>
    <t>HETTICH 9070496 KA 5332 250 mm EB12,7 30 kg</t>
  </si>
  <si>
    <t>9070498</t>
  </si>
  <si>
    <t>208707</t>
  </si>
  <si>
    <t>HETTICH 9070498 KA 5332 300 mm EB12,7 30 kg</t>
  </si>
  <si>
    <t>9070501</t>
  </si>
  <si>
    <t>182273</t>
  </si>
  <si>
    <t>HETTICH 9070501 Úchytka VADA 149/128 mm nerez broušený</t>
  </si>
  <si>
    <t>9070508</t>
  </si>
  <si>
    <t>105883</t>
  </si>
  <si>
    <t>HETTICH 9070508 Úchytka BATHIA 151/128 mm chrom lesklý</t>
  </si>
  <si>
    <t>9070509</t>
  </si>
  <si>
    <t>182277</t>
  </si>
  <si>
    <t>HETTICH 9070509 Úchytka VADA 335/288 mm nerez broušený</t>
  </si>
  <si>
    <t>9070510</t>
  </si>
  <si>
    <t>105470</t>
  </si>
  <si>
    <t>HETTICH 9070510 Knobka VALENTIA 79 mm cín</t>
  </si>
  <si>
    <t>9070511</t>
  </si>
  <si>
    <t>185970</t>
  </si>
  <si>
    <t>HETTICH 9070511 Úchytka AVENIO 74/64 mm nikl matný</t>
  </si>
  <si>
    <t>9070512</t>
  </si>
  <si>
    <t>185971</t>
  </si>
  <si>
    <t>HETTICH 9070512 Úchytka AVENIO 74/64 mm imitace nerezi</t>
  </si>
  <si>
    <t>9070513</t>
  </si>
  <si>
    <t>105181</t>
  </si>
  <si>
    <t>HETTICH 9070513 Knobka VALENTIA 79 mm starozlatá</t>
  </si>
  <si>
    <t>9070516</t>
  </si>
  <si>
    <t>106504</t>
  </si>
  <si>
    <t>HETTICH 9070516 Úchytka BATHIA 151/128 mm imitace nerezi</t>
  </si>
  <si>
    <t>9070520</t>
  </si>
  <si>
    <t>104993</t>
  </si>
  <si>
    <t>HETTICH 9070520 Knobka BONA d30 chrom lesklý</t>
  </si>
  <si>
    <t>9070521</t>
  </si>
  <si>
    <t>185976</t>
  </si>
  <si>
    <t>HETTICH 9070521 Úchytka AVENIO 106/96 mm chrom matný</t>
  </si>
  <si>
    <t>9070522</t>
  </si>
  <si>
    <t>185977</t>
  </si>
  <si>
    <t>HETTICH 9070522 Úchytka AVENIO 106/96 mm nikl matný</t>
  </si>
  <si>
    <t>9070523</t>
  </si>
  <si>
    <t>105832</t>
  </si>
  <si>
    <t>HETTICH 9070523 Knobka BONA d30 mm imitace nerezi</t>
  </si>
  <si>
    <t>9070527</t>
  </si>
  <si>
    <t>165284</t>
  </si>
  <si>
    <t>HETTICH 9070527 Úchytka AVENIO 106/96 mm imitace nerezi</t>
  </si>
  <si>
    <t>9070540</t>
  </si>
  <si>
    <t>185985</t>
  </si>
  <si>
    <t>HETTICH 9070540 Úchytka AVENIO 138/128 mm chrom matný</t>
  </si>
  <si>
    <t>9070548</t>
  </si>
  <si>
    <t>105437</t>
  </si>
  <si>
    <t>HETTICH 9070548 Úchytka AVENIO 170/160 mm chrom lesklý</t>
  </si>
  <si>
    <t>9070552</t>
  </si>
  <si>
    <t>185992</t>
  </si>
  <si>
    <t>HETTICH 9070552 Úchytka AVENIO 170/160 mm chrom matný</t>
  </si>
  <si>
    <t>9070556</t>
  </si>
  <si>
    <t>106764</t>
  </si>
  <si>
    <t>HETTICH 9070556 Knobka BORGOA d35 mm imitace nerezi</t>
  </si>
  <si>
    <t>9070557</t>
  </si>
  <si>
    <t>107486</t>
  </si>
  <si>
    <t>HETTICH 9070557 Úchytka AVENIO 170/160 mm imitace nerezi</t>
  </si>
  <si>
    <t>9070562</t>
  </si>
  <si>
    <t>416104</t>
  </si>
  <si>
    <t>HETTICH 9070562 Knopka Serbinum, nerez kartáčovaná</t>
  </si>
  <si>
    <t>9070565</t>
  </si>
  <si>
    <t>124268</t>
  </si>
  <si>
    <t>HETTICH 9070565 Knobka BORGOA d41/35 mm nikl matný</t>
  </si>
  <si>
    <t>9070567</t>
  </si>
  <si>
    <t>106043</t>
  </si>
  <si>
    <t>HETTICH 9070567 Knobka BORGOA průměr 41/35 mm chrom matný</t>
  </si>
  <si>
    <t>9070568</t>
  </si>
  <si>
    <t>106159</t>
  </si>
  <si>
    <t>HETTICH 9070568 Knobka SIPONTUM d25 mm nerez broušený</t>
  </si>
  <si>
    <t>9070572</t>
  </si>
  <si>
    <t>185997</t>
  </si>
  <si>
    <t>HETTICH 9070572 Úchytka AVENIO 202/192 mm chrom matný</t>
  </si>
  <si>
    <t>9070574</t>
  </si>
  <si>
    <t>106108</t>
  </si>
  <si>
    <t>HETTICH 9070574 Knobka BORGOA d35 mm chrom lesklý</t>
  </si>
  <si>
    <t>9070575</t>
  </si>
  <si>
    <t>107207</t>
  </si>
  <si>
    <t>HETTICH 9070575 Knobka SOLVA d30 mm zlatá lesklá</t>
  </si>
  <si>
    <t>9070577</t>
  </si>
  <si>
    <t>165283</t>
  </si>
  <si>
    <t>HETTICH 9070577 Úchytka AVENIO 202/192 mm imitace nerezi</t>
  </si>
  <si>
    <t>9070580</t>
  </si>
  <si>
    <t>106192</t>
  </si>
  <si>
    <t>HETTICH 9070580 Knobka SPALATUM d30 mm nerez broušený</t>
  </si>
  <si>
    <t>9070581</t>
  </si>
  <si>
    <t>185998</t>
  </si>
  <si>
    <t>HETTICH 9070581 Knobka CIRPI d30 mm chrom matný</t>
  </si>
  <si>
    <t>9070583</t>
  </si>
  <si>
    <t>106163</t>
  </si>
  <si>
    <t>HETTICH 9070583 Úchytka TICINUM 50/32 mm eloxovaný hliník</t>
  </si>
  <si>
    <t>9070585</t>
  </si>
  <si>
    <t>175315</t>
  </si>
  <si>
    <t>HETTICH 9070585 Knobka CIRPI d30 mm chrom lesklý</t>
  </si>
  <si>
    <t>9070586</t>
  </si>
  <si>
    <t>105222</t>
  </si>
  <si>
    <t>HETTICH 9070586 Knobka CIRPI d30 nikl matný</t>
  </si>
  <si>
    <t>9070588</t>
  </si>
  <si>
    <t>106348</t>
  </si>
  <si>
    <t>HETTICH 9070588 Úchytka TICINUM 70 50 mm eloxovaný hliník</t>
  </si>
  <si>
    <t>9070589</t>
  </si>
  <si>
    <t>208709</t>
  </si>
  <si>
    <t>HETTICH 9070589 Knobka CIRPI d30 bílá lesklá</t>
  </si>
  <si>
    <t>9070593</t>
  </si>
  <si>
    <t>105739</t>
  </si>
  <si>
    <t>HETTICH 9070593 Úchytka TICINUM 90/70 mm eloxovaný hliník</t>
  </si>
  <si>
    <t>9070602</t>
  </si>
  <si>
    <t>186004</t>
  </si>
  <si>
    <t>HETTICH 9070602 Úchytka AVENIO 104/96 mm chrom lesklý</t>
  </si>
  <si>
    <t>9070605</t>
  </si>
  <si>
    <t>186007</t>
  </si>
  <si>
    <t>HETTICH 9070605 Úchytka AVENIO 72/64 mm chrom lesklý</t>
  </si>
  <si>
    <t>9070619</t>
  </si>
  <si>
    <t>186013</t>
  </si>
  <si>
    <t>HETTICH 9070619 Úchytka AVENIO 138/128 mm nikl matný</t>
  </si>
  <si>
    <t>9070624</t>
  </si>
  <si>
    <t>186014</t>
  </si>
  <si>
    <t>HETTICH 9070624 Úchytka CORIA 151/128 mm chrom lesklý</t>
  </si>
  <si>
    <t>9070625</t>
  </si>
  <si>
    <t>186015</t>
  </si>
  <si>
    <t>HETTICH 9070625 Úchytka AVENIO 138/128 mm chrom lesklý</t>
  </si>
  <si>
    <t>9070674</t>
  </si>
  <si>
    <t>208711</t>
  </si>
  <si>
    <t>HETTICH 9070674 Úchytka HALE 156/96 mm imitace nerezi</t>
  </si>
  <si>
    <t>9070675</t>
  </si>
  <si>
    <t>106155</t>
  </si>
  <si>
    <t>HETTICH 9070675 Úchytka DINIA 118/96 mm imitace nerezi</t>
  </si>
  <si>
    <t>9070681</t>
  </si>
  <si>
    <t>106185</t>
  </si>
  <si>
    <t>HETTICH 9070681 Úchytka DINIA 143/128 mm imitace nerezi</t>
  </si>
  <si>
    <t>9070693</t>
  </si>
  <si>
    <t>107023</t>
  </si>
  <si>
    <t>HETTICH 9070693 Úchytka DODONA 120/92 mm nerez broušený</t>
  </si>
  <si>
    <t>9070722</t>
  </si>
  <si>
    <t>106802</t>
  </si>
  <si>
    <t>HETTICH 9070722 Úchytka NICIA 184/160 mm imitace nerezi</t>
  </si>
  <si>
    <t>9070723</t>
  </si>
  <si>
    <t>105929</t>
  </si>
  <si>
    <t>HETTICH 9070723 Úchytka NICIA 221/192 mm imitace nerezi</t>
  </si>
  <si>
    <t>9070732</t>
  </si>
  <si>
    <t>153597</t>
  </si>
  <si>
    <t>HETTICH 9070732 Úchytka HALE 444/384 mm imitace nerezi</t>
  </si>
  <si>
    <t>9070733</t>
  </si>
  <si>
    <t>122625</t>
  </si>
  <si>
    <t>HETTICH 9070733 Úchytka HALE 394/334 mm imitace nerezi</t>
  </si>
  <si>
    <t>9070734</t>
  </si>
  <si>
    <t>105021</t>
  </si>
  <si>
    <t>HETTICH 9070734 Úchytka HALE 344/284 mm imitace nerezi</t>
  </si>
  <si>
    <t>9070735</t>
  </si>
  <si>
    <t>106793</t>
  </si>
  <si>
    <t>HETTICH 9070735 Knobka DANUM d30 mm nerez broušený</t>
  </si>
  <si>
    <t>9070736</t>
  </si>
  <si>
    <t>105560</t>
  </si>
  <si>
    <t>HETTICH 9070736 Úchytka HALE 494/434 mm imitace nerezi</t>
  </si>
  <si>
    <t>9070738</t>
  </si>
  <si>
    <t>105015</t>
  </si>
  <si>
    <t>HETTICH 9070738 Úchytka HALE 544/484 mm imitace nerezi</t>
  </si>
  <si>
    <t>9070740</t>
  </si>
  <si>
    <t>208716</t>
  </si>
  <si>
    <t>HETTICH 9070740 Knobka DANUM d25 mm nerez broušený</t>
  </si>
  <si>
    <t>9070742</t>
  </si>
  <si>
    <t>186038</t>
  </si>
  <si>
    <t>HETTICH 9070742 Úchytka HALE 294/234 mm imitace nerezi</t>
  </si>
  <si>
    <t>9070743</t>
  </si>
  <si>
    <t>180808</t>
  </si>
  <si>
    <t>HETTICH 9070743 Úchytka HALE 844/784 mm imitace nerezi</t>
  </si>
  <si>
    <t>9070744</t>
  </si>
  <si>
    <t>179651</t>
  </si>
  <si>
    <t>HETTICH 9070744 knopka DANUM d20 mm nerez broušený</t>
  </si>
  <si>
    <t>9070747</t>
  </si>
  <si>
    <t>186041</t>
  </si>
  <si>
    <t>HETTICH 9070747 Úchytka HALE 967/2x453,5 mm imitace nerezi</t>
  </si>
  <si>
    <t>9070750</t>
  </si>
  <si>
    <t>122626</t>
  </si>
  <si>
    <t>HETTICH 9070750 Úchytka HALE 188/128 mm imitace nerezi</t>
  </si>
  <si>
    <t>9070752</t>
  </si>
  <si>
    <t>106354</t>
  </si>
  <si>
    <t>HETTICH 9070752 Úchytka DINIA 143/128 mm chrom matný</t>
  </si>
  <si>
    <t>9070753</t>
  </si>
  <si>
    <t>186043</t>
  </si>
  <si>
    <t>HETTICH 9070753 Úchytka HALE 540/480 mm imitace nerezi</t>
  </si>
  <si>
    <t>9070754</t>
  </si>
  <si>
    <t>106616</t>
  </si>
  <si>
    <t>HETTICH 9070754 Úchytka DINIA 118/96 mm chrom matný</t>
  </si>
  <si>
    <t>9070758</t>
  </si>
  <si>
    <t>107383</t>
  </si>
  <si>
    <t>HETTICH 9070758 Úchytka HALE 412/352 mm imitace nerezi</t>
  </si>
  <si>
    <t>9070759</t>
  </si>
  <si>
    <t>107597</t>
  </si>
  <si>
    <t>HETTICH 9070759 Úchytka HALE 348/288 imitace nerezi</t>
  </si>
  <si>
    <t>9070763</t>
  </si>
  <si>
    <t>105566</t>
  </si>
  <si>
    <t>HETTICH 9070763 Úchytka HALE 284/224 mm imitace nerezi</t>
  </si>
  <si>
    <t>9070765</t>
  </si>
  <si>
    <t>107198</t>
  </si>
  <si>
    <t>HETTICH 9070765 Úchytka HALE 252/192 mm imitace nerezi</t>
  </si>
  <si>
    <t>9070796</t>
  </si>
  <si>
    <t>106314</t>
  </si>
  <si>
    <t>HETTICH 9070796 Úchytka HALE 220/160 mm imitace nerezi</t>
  </si>
  <si>
    <t>9070803</t>
  </si>
  <si>
    <t>106587</t>
  </si>
  <si>
    <t>HETTICH 9070803 Úchytka HALE 508/448 mm chrom lesklý</t>
  </si>
  <si>
    <t>9070807</t>
  </si>
  <si>
    <t>208717</t>
  </si>
  <si>
    <t>HETTICH 9070807 Úchytka HALE 156/96 mm chrom lesklý</t>
  </si>
  <si>
    <t>9070809</t>
  </si>
  <si>
    <t>479327</t>
  </si>
  <si>
    <t>HETTICH 9070809 Úchytka HALE 188/128 mm chrom lesklý</t>
  </si>
  <si>
    <t>9070811</t>
  </si>
  <si>
    <t>105362</t>
  </si>
  <si>
    <t>HETTICH 9070811 Úchytka HALE 220/160 mm chrom lesklý</t>
  </si>
  <si>
    <t>9070813</t>
  </si>
  <si>
    <t>105162</t>
  </si>
  <si>
    <t>HETTICH 9070813 Úchytka HALE 348/288 mm chrom lesklý</t>
  </si>
  <si>
    <t>9070816</t>
  </si>
  <si>
    <t>107564</t>
  </si>
  <si>
    <t>HETTICH 9070816 Úchytka HALE 540/480 mm chrom lesklý</t>
  </si>
  <si>
    <t>9070821</t>
  </si>
  <si>
    <t>106591</t>
  </si>
  <si>
    <t>HETTICH 9070821 Úchytka HALE 284/224 mm chrom lesklý</t>
  </si>
  <si>
    <t>9070825</t>
  </si>
  <si>
    <t>105769</t>
  </si>
  <si>
    <t>HETTICH 9070825 Úchytka HALE 412/352 mm chrom lesklý</t>
  </si>
  <si>
    <t>9070943</t>
  </si>
  <si>
    <t>107183</t>
  </si>
  <si>
    <t>HETTICH 9070943 Úchytka MALACA 136/128 mm cín</t>
  </si>
  <si>
    <t>9070945</t>
  </si>
  <si>
    <t>108022</t>
  </si>
  <si>
    <t>HETTICH 9070945 Úchytka MALACA 136/128 mm starozlatá</t>
  </si>
  <si>
    <t>9070957</t>
  </si>
  <si>
    <t>106762</t>
  </si>
  <si>
    <t>HETTICH 9070957 Knop Monacum D10 nerez broušený</t>
  </si>
  <si>
    <t>9070958</t>
  </si>
  <si>
    <t>106562</t>
  </si>
  <si>
    <t>HETTICH 9070958 Knop Monacum D14 nerez broušený</t>
  </si>
  <si>
    <t>9070967</t>
  </si>
  <si>
    <t>106565</t>
  </si>
  <si>
    <t>HETTICH 9070967 Úchytka SALVIA 156/96 mm nerez broušený; průměr 10 mm</t>
  </si>
  <si>
    <t>9070970</t>
  </si>
  <si>
    <t>105148</t>
  </si>
  <si>
    <t>HETTICH 9070970 Úchytka NARONA 108/96 mm nerez broušený</t>
  </si>
  <si>
    <t>9070972</t>
  </si>
  <si>
    <t>105032</t>
  </si>
  <si>
    <t>HETTICH 9070972 Úchytka SALVIA 188/128 mm nerez broušený; průměr 10 mm</t>
  </si>
  <si>
    <t>9070973</t>
  </si>
  <si>
    <t>107563</t>
  </si>
  <si>
    <t>HETTICH 9070973 Úchytka NARONA 140/128 mm nerez broušený</t>
  </si>
  <si>
    <t>9070975</t>
  </si>
  <si>
    <t>107645</t>
  </si>
  <si>
    <t>HETTICH 9070975 Úchytka NARONA 172/160 mm nerez broušený</t>
  </si>
  <si>
    <t>9070976</t>
  </si>
  <si>
    <t>106899</t>
  </si>
  <si>
    <t>HETTICH 9070976 Úchytka NICIA 148/128 mm nikl matný</t>
  </si>
  <si>
    <t>9070979</t>
  </si>
  <si>
    <t>105651</t>
  </si>
  <si>
    <t>HETTICH 9070979 Úchytka NARONA 396/384 mm nerez broušený</t>
  </si>
  <si>
    <t>9070982</t>
  </si>
  <si>
    <t>105338</t>
  </si>
  <si>
    <t>HETTICH 9070982 Úchytka SALVIA 252/192 mm nerez broušený; průměr 10 mm</t>
  </si>
  <si>
    <t>9070983</t>
  </si>
  <si>
    <t>186106</t>
  </si>
  <si>
    <t>HETTICH 9070983 Úchytka NICIA 112/96 mm chrom lesklý</t>
  </si>
  <si>
    <t>9070984</t>
  </si>
  <si>
    <t>106742</t>
  </si>
  <si>
    <t>HETTICH 9070984 Úchytka SALVIA 284/224 mm nerez broušený; průměr 10 mm</t>
  </si>
  <si>
    <t>9070985</t>
  </si>
  <si>
    <t>107310</t>
  </si>
  <si>
    <t>HETTICH 9070985 Úchytka NICIA 112/96 mm imitace nerezi</t>
  </si>
  <si>
    <t>9070986</t>
  </si>
  <si>
    <t>162260</t>
  </si>
  <si>
    <t>HETTICH 9070986 Úchytka NICIA 112/96 mm chrom matný</t>
  </si>
  <si>
    <t>9070988</t>
  </si>
  <si>
    <t>122629</t>
  </si>
  <si>
    <t>HETTICH 9070988 Úchytka SALVIA 316/256 mm nerez broušený; průměr 10 mm</t>
  </si>
  <si>
    <t>9070992</t>
  </si>
  <si>
    <t>166651</t>
  </si>
  <si>
    <t>HETTICH 9070992 Úchytka NARONA 204/192 mm nerez broušený</t>
  </si>
  <si>
    <t>9070993</t>
  </si>
  <si>
    <t>106134</t>
  </si>
  <si>
    <t>HETTICH 9070993 Úchytka SALVIA 380/320 mm nerez broušený; průměr 10 mm</t>
  </si>
  <si>
    <t>9070995</t>
  </si>
  <si>
    <t>105761</t>
  </si>
  <si>
    <t>HETTICH 9070995 Úchytka NARONA 300/288 mm nerez broušený</t>
  </si>
  <si>
    <t>9070996</t>
  </si>
  <si>
    <t>186109</t>
  </si>
  <si>
    <t>HETTICH 9070996 Úchytka SALVIA 412/352 mm nerez broušený; průměr 10 mm</t>
  </si>
  <si>
    <t>9070997</t>
  </si>
  <si>
    <t>107288</t>
  </si>
  <si>
    <t>HETTICH 9070997 Úchytka NICIA 184/160 mm chrom lesklý</t>
  </si>
  <si>
    <t>9070998</t>
  </si>
  <si>
    <t>105811</t>
  </si>
  <si>
    <t>HETTICH 9070998 Úchytka NARONA 332/320 mm nerez broušený</t>
  </si>
  <si>
    <t>9071000</t>
  </si>
  <si>
    <t>107509</t>
  </si>
  <si>
    <t>HETTICH 9071000 Úchytka NARONA 492/480 mm nerez broušený</t>
  </si>
  <si>
    <t>9071001</t>
  </si>
  <si>
    <t>105529</t>
  </si>
  <si>
    <t>HETTICH 9071001 Úchytka NICIA 184/160 mm chrom matný</t>
  </si>
  <si>
    <t>9071003</t>
  </si>
  <si>
    <t>107304</t>
  </si>
  <si>
    <t>HETTICH 9071003 Úchytka SALVIA 157/96 mm nerez broušený; průměr 12 mm</t>
  </si>
  <si>
    <t>9071005</t>
  </si>
  <si>
    <t>107376</t>
  </si>
  <si>
    <t>HETTICH 9071005 Úchytka SALVIA 188/128 mm nerez broušený; průměr 12 mm</t>
  </si>
  <si>
    <t>9071008</t>
  </si>
  <si>
    <t>107088</t>
  </si>
  <si>
    <t>HETTICH 9071008 Úchytka SALVIA 220/160 mm nerez broušený; průměr 12 mm</t>
  </si>
  <si>
    <t>9071009</t>
  </si>
  <si>
    <t>107476</t>
  </si>
  <si>
    <t>HETTICH 9071009 Úchytka SALVIA 252/192 mm nerez broušený; průměr 12 mm</t>
  </si>
  <si>
    <t>9071010</t>
  </si>
  <si>
    <t>105762</t>
  </si>
  <si>
    <t>HETTICH 9071010 Úchytka NARONA 652/640 mm nerez broušený</t>
  </si>
  <si>
    <t>9071012</t>
  </si>
  <si>
    <t>107306</t>
  </si>
  <si>
    <t>HETTICH 9071012 Úchytka SALVIA 284/224 mm nerez broušený; průměr 12 mm</t>
  </si>
  <si>
    <t>9071013</t>
  </si>
  <si>
    <t>105842</t>
  </si>
  <si>
    <t>HETTICH 9071013 Úchytka NARONA 748/736 mm nerez broušený</t>
  </si>
  <si>
    <t>9071014</t>
  </si>
  <si>
    <t>106980</t>
  </si>
  <si>
    <t>HETTICH 9071014 Úchytka NICIA 112/96 mm nikl matný</t>
  </si>
  <si>
    <t>9071016</t>
  </si>
  <si>
    <t>105192</t>
  </si>
  <si>
    <t>HETTICH 9071016 Úchytka NICIA 184/160 mm nikl matný</t>
  </si>
  <si>
    <t>9071017</t>
  </si>
  <si>
    <t>107262</t>
  </si>
  <si>
    <t>HETTICH 9071017 Úchytka SALVIA 316/256 mm nerez broušený; průměr 12 mm</t>
  </si>
  <si>
    <t>9071018</t>
  </si>
  <si>
    <t>181828</t>
  </si>
  <si>
    <t>HETTICH 9071018 Úchytka NICIA 221/192 mm chrom lesklý</t>
  </si>
  <si>
    <t>9071019</t>
  </si>
  <si>
    <t>106186</t>
  </si>
  <si>
    <t>HETTICH 9071019 Úchytka NICIA 221/192 mm nikl matný</t>
  </si>
  <si>
    <t>9071020</t>
  </si>
  <si>
    <t>105924</t>
  </si>
  <si>
    <t>HETTICH 9071020 Úchytka SALVIA 348/288 mm nerez broušený; průměr 12 mm</t>
  </si>
  <si>
    <t>9071021</t>
  </si>
  <si>
    <t>105667</t>
  </si>
  <si>
    <t>HETTICH 9071021 Úchytka SALVIA 380/320 mm nerez broušený; průměr 12 mm</t>
  </si>
  <si>
    <t>9071023</t>
  </si>
  <si>
    <t>106435</t>
  </si>
  <si>
    <t>HETTICH 9071023 Úchytka SALVIA 412/352 mm nerez broušený; průměr 12 mm</t>
  </si>
  <si>
    <t>9071024</t>
  </si>
  <si>
    <t>105582</t>
  </si>
  <si>
    <t>HETTICH 9071024 Úchytka SALVIA 444/384 mm nerez broušený; průměr 12 mm</t>
  </si>
  <si>
    <t>9071026</t>
  </si>
  <si>
    <t>106747</t>
  </si>
  <si>
    <t>HETTICH 9071026 Úchytka SALVIA 508/448 mm nerez broušený; průměr 12 mm</t>
  </si>
  <si>
    <t>9071027</t>
  </si>
  <si>
    <t>105418</t>
  </si>
  <si>
    <t>HETTICH 9071027 Úchytka SALVIA 540/480 mm nerez broušený; průměr 12 mm</t>
  </si>
  <si>
    <t>9071030</t>
  </si>
  <si>
    <t>106988</t>
  </si>
  <si>
    <t>HETTICH 9071030 Úchytka SALVIA 700/640 mm nerez broušený; průměr 12 mm</t>
  </si>
  <si>
    <t>9071037</t>
  </si>
  <si>
    <t>106050</t>
  </si>
  <si>
    <t>HETTICH 9071037 Úchytka NICIA 148/128 chrom lesklý</t>
  </si>
  <si>
    <t>9071038</t>
  </si>
  <si>
    <t>105923</t>
  </si>
  <si>
    <t>HETTICH 9071038 Úchytka SALVIA 796/736 mm nerez broušený; průměr 12 mm</t>
  </si>
  <si>
    <t>9071041</t>
  </si>
  <si>
    <t>105925</t>
  </si>
  <si>
    <t>HETTICH 9071041 Úchytka SALVIA 1020/2x480 mm nerez broušený; průměr 12 mm</t>
  </si>
  <si>
    <t>9071043</t>
  </si>
  <si>
    <t>181017</t>
  </si>
  <si>
    <t>HETTICH 9071043 Úchytka SALVIA 1500/2x720 mm nerez broušený; průměr 12 mm</t>
  </si>
  <si>
    <t>9071045</t>
  </si>
  <si>
    <t>105660</t>
  </si>
  <si>
    <t>HETTICH 9071045 Úchytka SALVIA 158/96 mm nerez broušený; průměr 14 mm</t>
  </si>
  <si>
    <t>9071046</t>
  </si>
  <si>
    <t>107594</t>
  </si>
  <si>
    <t>HETTICH 9071046 Úchytka SALVIA 188/128 mm nerez broušený; průměr 14 mm</t>
  </si>
  <si>
    <t>9071049</t>
  </si>
  <si>
    <t>186121</t>
  </si>
  <si>
    <t>HETTICH 9071049 Úchytka NICIA 258/224 mm chrom lesklý</t>
  </si>
  <si>
    <t>9071050</t>
  </si>
  <si>
    <t>105573</t>
  </si>
  <si>
    <t>HETTICH 9071050 Úchytka SALVIA 252/192 mm nerez broušený; průměr 14 mm</t>
  </si>
  <si>
    <t>9071051</t>
  </si>
  <si>
    <t>106158</t>
  </si>
  <si>
    <t>HETTICH 9071051 Úchytka SALVIA 284/224 mm nerez broušený; průměr 14 mm</t>
  </si>
  <si>
    <t>9071053</t>
  </si>
  <si>
    <t>106151</t>
  </si>
  <si>
    <t>HETTICH 9071053 Úchytka SALVIA 348/288 mm nerez broušený; průměr 14 mm</t>
  </si>
  <si>
    <t>9071054</t>
  </si>
  <si>
    <t>105257</t>
  </si>
  <si>
    <t>HETTICH 9071054 Úchytka SALVIA 380/320 mm nerez broušený; průměr 14 mm</t>
  </si>
  <si>
    <t>9071055</t>
  </si>
  <si>
    <t>105064</t>
  </si>
  <si>
    <t>HETTICH 9071055 Úchytka SALVIA 412/352 mm nerez broušený; průměr 14 mm</t>
  </si>
  <si>
    <t>9071058</t>
  </si>
  <si>
    <t>106156</t>
  </si>
  <si>
    <t>HETTICH 9071058 Úchytka SALVIA 508/448 mm nerez broušený; průměr 14 mm</t>
  </si>
  <si>
    <t>9071060</t>
  </si>
  <si>
    <t>106761</t>
  </si>
  <si>
    <t>HETTICH 9071060 Úchytka Nidum 96 eloxovaný hliník zápustná</t>
  </si>
  <si>
    <t>9071063</t>
  </si>
  <si>
    <t>186122</t>
  </si>
  <si>
    <t>HETTICH 9071063 Úchytka NICIA 258/224 mm chrom matný</t>
  </si>
  <si>
    <t>9071067</t>
  </si>
  <si>
    <t>106617</t>
  </si>
  <si>
    <t>HETTICH 9071067 Úchytka NICIA 148/128 mm imitace nerezi</t>
  </si>
  <si>
    <t>9071068</t>
  </si>
  <si>
    <t>186124</t>
  </si>
  <si>
    <t>HETTICH 9071068 Úchytka NICIA 258/224 mm imitace nerezi</t>
  </si>
  <si>
    <t>9071071</t>
  </si>
  <si>
    <t>105388</t>
  </si>
  <si>
    <t>HETTICH 9071071 Úchytka Nidum 128 eloxovaný hliník zápustná</t>
  </si>
  <si>
    <t>9071073</t>
  </si>
  <si>
    <t>107319</t>
  </si>
  <si>
    <t>HETTICH 9071073 Úchytka Nidum 160 eloxovaný hliník zápustná</t>
  </si>
  <si>
    <t>9071075</t>
  </si>
  <si>
    <t>106090</t>
  </si>
  <si>
    <t>HETTICH 9071075 Úchytka Nidum 192 eloxovaný hliník zápustná</t>
  </si>
  <si>
    <t>9071111</t>
  </si>
  <si>
    <t>106813</t>
  </si>
  <si>
    <t>HETTICH 9071111 Úchytka SALVIA 540/480 mm nerez broušený</t>
  </si>
  <si>
    <t>9071112</t>
  </si>
  <si>
    <t>106067</t>
  </si>
  <si>
    <t>HETTICH 9071112 Úchytka SALVIA 700/640 mm nerez broušený</t>
  </si>
  <si>
    <t>9071116</t>
  </si>
  <si>
    <t>107442</t>
  </si>
  <si>
    <t>HETTICH 9071116 Úchytka SALVIA 1020/2x480 mm nerez broušený</t>
  </si>
  <si>
    <t>9071120</t>
  </si>
  <si>
    <t>179409</t>
  </si>
  <si>
    <t>HETTICH 9071120 Úchytka SALVIA 1500 2x720 mm nerez broušený</t>
  </si>
  <si>
    <t>9071205</t>
  </si>
  <si>
    <t>389660</t>
  </si>
  <si>
    <t>HETTICH 9071205 Sensys 8645i 110° MERCI celopaleta</t>
  </si>
  <si>
    <t>361873</t>
  </si>
  <si>
    <t>HETTICH 9071205 Sensys 8645i 110° TH52 nalože DVD</t>
  </si>
  <si>
    <t>104717</t>
  </si>
  <si>
    <t>HETTICH 9071205 Sensys závěs naložený 110° TH vrut SiSy</t>
  </si>
  <si>
    <t>9071206</t>
  </si>
  <si>
    <t>104718</t>
  </si>
  <si>
    <t>HETTICH 9071206 Sensys závěs polonaložený 110° TH vrut SiSy</t>
  </si>
  <si>
    <t>9071207</t>
  </si>
  <si>
    <t>104719</t>
  </si>
  <si>
    <t>HETTICH 9071207 Sensys závěs vložený 110° TH vrut SiSy</t>
  </si>
  <si>
    <t>9071208</t>
  </si>
  <si>
    <t>129392</t>
  </si>
  <si>
    <t>HETTICH 9071208 Sensys 8645i 110° TH53 naložený SiSy</t>
  </si>
  <si>
    <t>9071210</t>
  </si>
  <si>
    <t>160560</t>
  </si>
  <si>
    <t>HETTICH 9071210 Sensys 8645i 110° TH53 vložený SiSy</t>
  </si>
  <si>
    <t>9071215</t>
  </si>
  <si>
    <t>350585</t>
  </si>
  <si>
    <t>HETTICH 9071215 Sensys polonaložený TH eurošroub SiSy</t>
  </si>
  <si>
    <t>9071216</t>
  </si>
  <si>
    <t>255812</t>
  </si>
  <si>
    <t>HETTICH 9071216 SENSYS TH 110° vložený LM</t>
  </si>
  <si>
    <t>9071223</t>
  </si>
  <si>
    <t>412623</t>
  </si>
  <si>
    <t>HETTICH 9071223 Sensys 8645i B12.5 SiSy 45x9.5 PL</t>
  </si>
  <si>
    <t>208727</t>
  </si>
  <si>
    <t>HETTICH 9071223 Sensys závěs naložený 110° TB vrut SiSy</t>
  </si>
  <si>
    <t>9071259</t>
  </si>
  <si>
    <t>232346</t>
  </si>
  <si>
    <t>HETTICH 9071259 Sensys závěs naložený 110° TH vrut pružina</t>
  </si>
  <si>
    <t>9071260</t>
  </si>
  <si>
    <t>232347</t>
  </si>
  <si>
    <t>HETTICH 9071260 Sensys závěs polonaložený 110° TH vrut pružina</t>
  </si>
  <si>
    <t>9071261</t>
  </si>
  <si>
    <t>232348</t>
  </si>
  <si>
    <t>HETTICH 9071261 Sensys závěs vložený 110° TH vrut pružina</t>
  </si>
  <si>
    <t>9071262</t>
  </si>
  <si>
    <t>232349</t>
  </si>
  <si>
    <t>HETTICH 9071262 Sensys 8645 110° TH53</t>
  </si>
  <si>
    <t>9071313</t>
  </si>
  <si>
    <t>245723</t>
  </si>
  <si>
    <t>HETTICH 9071313 Sensys závěs naložený 110° TH vrut PTO</t>
  </si>
  <si>
    <t>9071314</t>
  </si>
  <si>
    <t>245724</t>
  </si>
  <si>
    <t>HETTICH 9071314 Sensys 8675 110° TH52 P2O</t>
  </si>
  <si>
    <t>9071575</t>
  </si>
  <si>
    <t>128312</t>
  </si>
  <si>
    <t>HETTICH 9071575 Sensys montážní podložka křížová D0 vrut</t>
  </si>
  <si>
    <t>9071576</t>
  </si>
  <si>
    <t>380309</t>
  </si>
  <si>
    <t>HETTICH 9071576 Podložka 8099 D=1,5 vrut</t>
  </si>
  <si>
    <t>455040</t>
  </si>
  <si>
    <t>HETTICH 9071576 Podložka 8099 D=1,5 vrut PL</t>
  </si>
  <si>
    <t>106403</t>
  </si>
  <si>
    <t>HETTICH 9071576 Sensys montážní podložka křížová D1,5 vrut</t>
  </si>
  <si>
    <t>9071577</t>
  </si>
  <si>
    <t>350588</t>
  </si>
  <si>
    <t>HETTICH 9071577 podložka 8099 D=3 mm</t>
  </si>
  <si>
    <t>118057</t>
  </si>
  <si>
    <t>HETTICH 9071577 Sensys montážní podložka křížová D3 vrut</t>
  </si>
  <si>
    <t>9071578</t>
  </si>
  <si>
    <t>106405</t>
  </si>
  <si>
    <t>HETTICH 9071578 Sensys montážní podložka křížová D5 vrut</t>
  </si>
  <si>
    <t>9071585</t>
  </si>
  <si>
    <t>208732</t>
  </si>
  <si>
    <t>HETTICH 9071585 podložka 8099 Het.Direkt D=0</t>
  </si>
  <si>
    <t>9071586</t>
  </si>
  <si>
    <t>186169</t>
  </si>
  <si>
    <t>HETTICH 9071586 Podložka 8099 HetDir.D=1,5 LM</t>
  </si>
  <si>
    <t>9071587</t>
  </si>
  <si>
    <t>186170</t>
  </si>
  <si>
    <t>HETTICH 9071587 podložka 8099 D=3 Direkt</t>
  </si>
  <si>
    <t>350589</t>
  </si>
  <si>
    <t>HETTICH 907158701 podložka 8099 D=3 mm "Direkt"</t>
  </si>
  <si>
    <t>9071588</t>
  </si>
  <si>
    <t>186171</t>
  </si>
  <si>
    <t>HETTICH 9071588 podložka 8099 D=5 mm</t>
  </si>
  <si>
    <t>9071596</t>
  </si>
  <si>
    <t>136276</t>
  </si>
  <si>
    <t>HETTICH 9071596 Podložka 8099 D=1,5 na hmoždi</t>
  </si>
  <si>
    <t>9071597</t>
  </si>
  <si>
    <t>106453</t>
  </si>
  <si>
    <t>HETTICH 9071597 podložka 8099 D=3 mm s předmontovanými vruty</t>
  </si>
  <si>
    <t>9071598</t>
  </si>
  <si>
    <t>186173</t>
  </si>
  <si>
    <t>HETTICH 9071598 podložka 8099 D=5 mm na hmoždinka</t>
  </si>
  <si>
    <t>9071606</t>
  </si>
  <si>
    <t>265770</t>
  </si>
  <si>
    <t>HETTICH 9071606 montážní podložka s rozpěrnými pouzdry, D=1.5 mm</t>
  </si>
  <si>
    <t>9071615</t>
  </si>
  <si>
    <t>265773</t>
  </si>
  <si>
    <t>HETTICH 9071615 montážní podložka k zalisování D=0.0 mm</t>
  </si>
  <si>
    <t>9071618</t>
  </si>
  <si>
    <t>265776</t>
  </si>
  <si>
    <t>HETTICH 9071618 podložka Sensys 8099 k zalisování</t>
  </si>
  <si>
    <t>9071625</t>
  </si>
  <si>
    <t>119302</t>
  </si>
  <si>
    <t>HETTICH 9071625 Sensys montážní podložka křížová D0 eurošroub</t>
  </si>
  <si>
    <t>350590</t>
  </si>
  <si>
    <t>HETTICH 907162500 PODLOŽKA 8099 D0 EUROŠROUBY</t>
  </si>
  <si>
    <t>9071626</t>
  </si>
  <si>
    <t>311077</t>
  </si>
  <si>
    <t>HETTICH 9071626 podložka 8099 D=1,5 Euro DVD</t>
  </si>
  <si>
    <t>389661</t>
  </si>
  <si>
    <t>HETTICH 9071626 Podložka 8099 D=1,5 MERCI celopaleta</t>
  </si>
  <si>
    <t>119240</t>
  </si>
  <si>
    <t>HETTICH 9071626 Sensys montážní podložka křížová D1,5 eurošroub</t>
  </si>
  <si>
    <t>9071627</t>
  </si>
  <si>
    <t>154410</t>
  </si>
  <si>
    <t>HETTICH 9071627 Sensys montážní podložka křížová D3 eurošroub</t>
  </si>
  <si>
    <t>9071628</t>
  </si>
  <si>
    <t>186174</t>
  </si>
  <si>
    <t>HETTICH 9071628 Sensys montážní podložka křížová D5 eurošroub</t>
  </si>
  <si>
    <t>9071629</t>
  </si>
  <si>
    <t>106382</t>
  </si>
  <si>
    <t>HETTICH 9071629 montážní podložka Sensys D=8 eurošroub</t>
  </si>
  <si>
    <t>9071645</t>
  </si>
  <si>
    <t>208733</t>
  </si>
  <si>
    <t>HETTICH 9071645 montážní podložka s předmontovanými eurošrouby, D=0.0 mm</t>
  </si>
  <si>
    <t>9071646</t>
  </si>
  <si>
    <t>208734</t>
  </si>
  <si>
    <t>HETTICH 9071646 MPL Sensys Euro D1,5 s excentrem a předmontovanými eurovruty</t>
  </si>
  <si>
    <t>9071647</t>
  </si>
  <si>
    <t>208735</t>
  </si>
  <si>
    <t>HETTICH 9071647 montážní podložka s předmontovanými krátkými eurošrouby, D=3mm</t>
  </si>
  <si>
    <t>9071648</t>
  </si>
  <si>
    <t>208736</t>
  </si>
  <si>
    <t>HETTICH 9071648 MPL Sensys Euro D5 s excentrem a předmontovanými eurovruty</t>
  </si>
  <si>
    <t>9071651</t>
  </si>
  <si>
    <t>186176</t>
  </si>
  <si>
    <t>HETTICH 9071651 podložka 8099 D=1,5 mm</t>
  </si>
  <si>
    <t>9071655</t>
  </si>
  <si>
    <t>106406</t>
  </si>
  <si>
    <t>HETTICH 9071655 Sensys montážní podložka křížová D0 excentr vrut</t>
  </si>
  <si>
    <t>9071656</t>
  </si>
  <si>
    <t>106412</t>
  </si>
  <si>
    <t>HETTICH 9071656 Sensys montážní podložka křížová D1,5 excentr hmoždinka</t>
  </si>
  <si>
    <t>9071657</t>
  </si>
  <si>
    <t>106413</t>
  </si>
  <si>
    <t>HETTICH 9071657 Sensys montážní podložka křížová D3 excentr hmoždinka</t>
  </si>
  <si>
    <t>9071658</t>
  </si>
  <si>
    <t>106414</t>
  </si>
  <si>
    <t>HETTICH 9071658 Sensys montážní podložka křížová D5 excentr vrut</t>
  </si>
  <si>
    <t>9071661</t>
  </si>
  <si>
    <t>265778</t>
  </si>
  <si>
    <t>HETTICH 9071661 montážní podložka s rozpěrnými pouzdry D=1.5 mm</t>
  </si>
  <si>
    <t>9071662</t>
  </si>
  <si>
    <t>265779</t>
  </si>
  <si>
    <t>HETTICH 9071662 montážní podložka s rozpěrnými pouzdry D=3.0 mm</t>
  </si>
  <si>
    <t>9071665</t>
  </si>
  <si>
    <t>186179</t>
  </si>
  <si>
    <t>HETTICH 9071665 Sensys podložka 8099 D=0 mm Euro</t>
  </si>
  <si>
    <t>9071666</t>
  </si>
  <si>
    <t>135716</t>
  </si>
  <si>
    <t>HETTICH 9071666 Sensys podložka 8099 excentr D=1,5 mm eurovrut</t>
  </si>
  <si>
    <t>9071667</t>
  </si>
  <si>
    <t>135714</t>
  </si>
  <si>
    <t>HETTICH 9071667 Sensys podložka 8099 D=3 mm excentr eurošroub</t>
  </si>
  <si>
    <t>9071668</t>
  </si>
  <si>
    <t>135719</t>
  </si>
  <si>
    <t>HETTICH 9071668 Sensys podložka 8099 D=5 mm excentr eurošroub</t>
  </si>
  <si>
    <t>9071670</t>
  </si>
  <si>
    <t>175920</t>
  </si>
  <si>
    <t>HETTICH 9071670 podložka 8099 excentrická D=0 mm</t>
  </si>
  <si>
    <t>9071671</t>
  </si>
  <si>
    <t>106416</t>
  </si>
  <si>
    <t>HETTICH 9071671 podložka 8099 excentrická D=1,5 mm předmontovaný vrut</t>
  </si>
  <si>
    <t>9071672</t>
  </si>
  <si>
    <t>208737</t>
  </si>
  <si>
    <t>HETTICH 9071672 podložka 8099 excentrická D=3 mm vrut</t>
  </si>
  <si>
    <t>9071673</t>
  </si>
  <si>
    <t>186180</t>
  </si>
  <si>
    <t>HETTICH 9071673 podložka 8099 D=5 mm excentr předmontovaný vrut</t>
  </si>
  <si>
    <t>9071680</t>
  </si>
  <si>
    <t>265781</t>
  </si>
  <si>
    <t>HETTICH 9071680 podložka Sensys 8099 k zalisování</t>
  </si>
  <si>
    <t>9071718</t>
  </si>
  <si>
    <t>106168</t>
  </si>
  <si>
    <t>HETTICH 9071718 Úchytka EGARA L155/128 starobronz</t>
  </si>
  <si>
    <t>9071719</t>
  </si>
  <si>
    <t>106184</t>
  </si>
  <si>
    <t>HETTICH 9071719 Úchytka Egara 128 starozlatá</t>
  </si>
  <si>
    <t>9071720</t>
  </si>
  <si>
    <t>106258</t>
  </si>
  <si>
    <t>HETTICH 9071720 Úchytka Egara 128 cín broušený</t>
  </si>
  <si>
    <t>9071836</t>
  </si>
  <si>
    <t>106971</t>
  </si>
  <si>
    <t>HETTICH 9071836 Úchytka NICA 158/128 mm světle hnědá kůže</t>
  </si>
  <si>
    <t>9071837</t>
  </si>
  <si>
    <t>106573</t>
  </si>
  <si>
    <t>HETTICH 9071837 Úchytka NICA 158/128 mm Tmavě hnědá kůže</t>
  </si>
  <si>
    <t>9071838</t>
  </si>
  <si>
    <t>107402</t>
  </si>
  <si>
    <t>HETTICH 9071838 Úchytka NICA 158/128 mm černá kůže</t>
  </si>
  <si>
    <t>9071839</t>
  </si>
  <si>
    <t>107247</t>
  </si>
  <si>
    <t>HETTICH 9071839 Úchytka NICA/126/96 mm světle hnědá kůže</t>
  </si>
  <si>
    <t>9071840</t>
  </si>
  <si>
    <t>105282</t>
  </si>
  <si>
    <t>HETTICH 9071840 Úchytka NICA 158/96 mm tmavě hnědá kůže</t>
  </si>
  <si>
    <t>9071841</t>
  </si>
  <si>
    <t>141407</t>
  </si>
  <si>
    <t>HETTICH 9071841 Úchytka NICA kožená/126/96 mm černá kůže</t>
  </si>
  <si>
    <t>9071842</t>
  </si>
  <si>
    <t>107382</t>
  </si>
  <si>
    <t>HETTICH 9071842 Úchytka NICA 94/64 mm světle hnědá kůže</t>
  </si>
  <si>
    <t>9071844</t>
  </si>
  <si>
    <t>105067</t>
  </si>
  <si>
    <t>HETTICH 9071844 Úchytka NICA 94/64 mm černá kůže</t>
  </si>
  <si>
    <t>9071927</t>
  </si>
  <si>
    <t>107228</t>
  </si>
  <si>
    <t>HETTICH 9071927 Úchytka TORINO 232/192 nebo 160 mm chrom lesklý</t>
  </si>
  <si>
    <t>9072354</t>
  </si>
  <si>
    <t>467517</t>
  </si>
  <si>
    <t>HETTICH 9072354 omezovač úhlu otevření 110°&gt;90° pro závěs Sensys</t>
  </si>
  <si>
    <t>9072524</t>
  </si>
  <si>
    <t>300279</t>
  </si>
  <si>
    <t>HETTICH 9072524 Sensys závěs alu rámeček naložený 95° SiSy</t>
  </si>
  <si>
    <t>9072525</t>
  </si>
  <si>
    <t>300280</t>
  </si>
  <si>
    <t>HETTICH 9072525 Sensys 8638i polonaložený alu B3 SiSy</t>
  </si>
  <si>
    <t>9072526</t>
  </si>
  <si>
    <t>300281</t>
  </si>
  <si>
    <t>HETTICH 9072526 Sensys 8638i vložený alu B-4 SiSy</t>
  </si>
  <si>
    <t>9072527</t>
  </si>
  <si>
    <t>300282</t>
  </si>
  <si>
    <t>HETTICH 9072527 Sensys 8638 hliník B12,5 TA32 naložený</t>
  </si>
  <si>
    <t>9072528</t>
  </si>
  <si>
    <t>300283</t>
  </si>
  <si>
    <t>HETTICH 9072528 závěs polonaložený Sensys 8638 alu pružina</t>
  </si>
  <si>
    <t>9072529</t>
  </si>
  <si>
    <t>300284</t>
  </si>
  <si>
    <t>HETTICH 9072529 Sensys 8638 hliník B-4 TA32 vložený</t>
  </si>
  <si>
    <t>9072530</t>
  </si>
  <si>
    <t>300285</t>
  </si>
  <si>
    <t>HETTICH 9072530 Sensys závěs alu rámeček naložený 95° PTO</t>
  </si>
  <si>
    <t>9072531</t>
  </si>
  <si>
    <t>300286</t>
  </si>
  <si>
    <t>HETTICH 9072531 závěs polonaložený Sensys 8668 alu PTO</t>
  </si>
  <si>
    <t>9072532</t>
  </si>
  <si>
    <t>300287</t>
  </si>
  <si>
    <t>HETTICH 9072532 Sensys 8668 hliník B-4 TA32 P2O</t>
  </si>
  <si>
    <t>9072533</t>
  </si>
  <si>
    <t>300288</t>
  </si>
  <si>
    <t>HETTICH 9072533 podložka úhlová Sensys 5°</t>
  </si>
  <si>
    <t>208746</t>
  </si>
  <si>
    <t>HETTICH 9072533 Sensys úhlový klínek 5° zamac nikl</t>
  </si>
  <si>
    <t>9072534</t>
  </si>
  <si>
    <t>300289</t>
  </si>
  <si>
    <t>HETTICH 9072534 podložka úhlová Sensys 10°</t>
  </si>
  <si>
    <t>208747</t>
  </si>
  <si>
    <t>HETTICH 9072534 Sensys úhlový klínek 10° zamac nikl</t>
  </si>
  <si>
    <t>9072535</t>
  </si>
  <si>
    <t>300290</t>
  </si>
  <si>
    <t>HETTICH 9072535 podložka úhlová Sensys 15°</t>
  </si>
  <si>
    <t>9072536</t>
  </si>
  <si>
    <t>300291</t>
  </si>
  <si>
    <t>HETTICH 9072536 podložka úhlová Sensys 20°</t>
  </si>
  <si>
    <t>9072537</t>
  </si>
  <si>
    <t>300292</t>
  </si>
  <si>
    <t>HETTICH 9072537 paralelní adaptér k montážní podložce, D=8.0 mm</t>
  </si>
  <si>
    <t>9072538</t>
  </si>
  <si>
    <t>300293</t>
  </si>
  <si>
    <t>HETTICH 9072538 přídavné distanční podložky k montážním podložkám, D=12.0 mm</t>
  </si>
  <si>
    <t>9072539</t>
  </si>
  <si>
    <t>300294</t>
  </si>
  <si>
    <t>HETTICH 9072539 přídavná distanční podložka k montážním podložkám, D =22.0 mm</t>
  </si>
  <si>
    <t>9072540</t>
  </si>
  <si>
    <t>300295</t>
  </si>
  <si>
    <t>HETTICH 9072540 omezovač otevření 110°&gt;85° pro 8645i</t>
  </si>
  <si>
    <t>207142</t>
  </si>
  <si>
    <t>HETTICH 9072540 Sensys omezovač úhlu otevření 110°&gt;85° pro Sensys SiSy</t>
  </si>
  <si>
    <t>9072541</t>
  </si>
  <si>
    <t>300296</t>
  </si>
  <si>
    <t>HETTICH 9072541 Sensys omezovač úhlu otevření 95°&gt;85° pro dveře 32mm</t>
  </si>
  <si>
    <t>9072542</t>
  </si>
  <si>
    <t>300297</t>
  </si>
  <si>
    <t>HETTICH 9072542 omezovač otevření 95°&gt;85° pro Sensys 8638i úzký alu rámeček</t>
  </si>
  <si>
    <t>9072543</t>
  </si>
  <si>
    <t>300846</t>
  </si>
  <si>
    <t>HETTICH 9072543 Selekta Pro 2000 miska TH 52x9 vrut černá</t>
  </si>
  <si>
    <t>9072545</t>
  </si>
  <si>
    <t>300848</t>
  </si>
  <si>
    <t>HETTICH 9072545 Selekta pro 2000 miska k našroubování černá</t>
  </si>
  <si>
    <t>9072546</t>
  </si>
  <si>
    <t>300849</t>
  </si>
  <si>
    <t>HETTICH 9072546 miska Selekta pro 2000 k zalisování černá</t>
  </si>
  <si>
    <t>9072547</t>
  </si>
  <si>
    <t>300850</t>
  </si>
  <si>
    <t>HETTICH 9072547 Selekta Pro 2000 ramínko S19/15 hmoždinka pružina černá</t>
  </si>
  <si>
    <t>9072548</t>
  </si>
  <si>
    <t>308098</t>
  </si>
  <si>
    <t>HETTICH 9072548 Optimat Plus 4 FM závěs čelní rám 110° podložka TB vrut pružina</t>
  </si>
  <si>
    <t>9072555</t>
  </si>
  <si>
    <t>300767</t>
  </si>
  <si>
    <t>HETTICH 9072555 Intermat 9943 B12,5 TB42</t>
  </si>
  <si>
    <t>9072563</t>
  </si>
  <si>
    <t>300775</t>
  </si>
  <si>
    <t>HETTICH 9072563 Intermat 9973 B12,5 TH43 P2O</t>
  </si>
  <si>
    <t>9072587</t>
  </si>
  <si>
    <t>422197</t>
  </si>
  <si>
    <t>HETTICH 9072587 tlumič SiSy na misku závěsu, naložený, TB45x9.5mm</t>
  </si>
  <si>
    <t>9073567</t>
  </si>
  <si>
    <t>300298</t>
  </si>
  <si>
    <t>HETTICH 9073567 Sensys 8645i B12,5 TH58, s předmontovanými pouzdry SiSy</t>
  </si>
  <si>
    <t>9073595</t>
  </si>
  <si>
    <t>300315</t>
  </si>
  <si>
    <t>HETTICH 9073595 distanční podložka pod misku 1,8mm TH</t>
  </si>
  <si>
    <t>9073596</t>
  </si>
  <si>
    <t>300316</t>
  </si>
  <si>
    <t>HETTICH 9073596 adaptér pro zmenšení hloubky otvoru pro misku, TH 52, TS, 2.7 mm</t>
  </si>
  <si>
    <t>9073597</t>
  </si>
  <si>
    <t>300317</t>
  </si>
  <si>
    <t>HETTICH 9073597 distanční podložka pod misku 1,8 mm TB</t>
  </si>
  <si>
    <t>9073598</t>
  </si>
  <si>
    <t>300318</t>
  </si>
  <si>
    <t>HETTICH 9073598 adaptér pro zmenšení hloubky otvoru pro misku, TB, 2.7 mm</t>
  </si>
  <si>
    <t>9073605</t>
  </si>
  <si>
    <t>421498</t>
  </si>
  <si>
    <t>HETTICH 9073605 Sensys 8645i 110° TH52, naložený, vrut, SiSy</t>
  </si>
  <si>
    <t>9073606</t>
  </si>
  <si>
    <t>518650</t>
  </si>
  <si>
    <t>HETTICH 9073606 Sensys 8645i polonaložený 110° TH52 SiSy vrut</t>
  </si>
  <si>
    <t>9073608</t>
  </si>
  <si>
    <t>518648</t>
  </si>
  <si>
    <t>HETTICH 9073608 Sensys 8645i 110° naložený SiSy zalisování</t>
  </si>
  <si>
    <t>9073609</t>
  </si>
  <si>
    <t>518651</t>
  </si>
  <si>
    <t>HETTICH 9073609 Sensys 8645I 110° polonaložený SiSy zalisování</t>
  </si>
  <si>
    <t>9073611</t>
  </si>
  <si>
    <t>482727</t>
  </si>
  <si>
    <t>HETTICH 9073611 Sensys 8645i naložený SiSy rychlomontáž Flash DALNO</t>
  </si>
  <si>
    <t>9073614</t>
  </si>
  <si>
    <t>379133</t>
  </si>
  <si>
    <t>HETTICH 9073614 Sensys 8645i 110° TH55, naložený, SiSy, FIX</t>
  </si>
  <si>
    <t>9073618</t>
  </si>
  <si>
    <t>421302</t>
  </si>
  <si>
    <t>HETTICH 9073618 Sensys závěs polonaložený 110° TB vrut SiSy</t>
  </si>
  <si>
    <t>9073619</t>
  </si>
  <si>
    <t>421307</t>
  </si>
  <si>
    <t>HETTICH 9073619 Sensys závěs vložený 110° TB vrut SiSy</t>
  </si>
  <si>
    <t>9073620</t>
  </si>
  <si>
    <t>518674</t>
  </si>
  <si>
    <t>HETTICH 9073620 Sensys 8645i 110° naložený TB45 zalisování (D8x11mm)</t>
  </si>
  <si>
    <t>9073626</t>
  </si>
  <si>
    <t>378084</t>
  </si>
  <si>
    <t>HETTICH 9073626 Sensys závěs naložený 110° TB Fix SiSy</t>
  </si>
  <si>
    <t>9073627</t>
  </si>
  <si>
    <t>421305</t>
  </si>
  <si>
    <t>HETTICH 9073627 Sensys závěs polonaložený 110° TB Fix SiSy</t>
  </si>
  <si>
    <t>9073628</t>
  </si>
  <si>
    <t>369978</t>
  </si>
  <si>
    <t>HETTICH 9073628 Sensys závěs vložený 110° TB Fix SiSy</t>
  </si>
  <si>
    <t>9073638</t>
  </si>
  <si>
    <t>479345</t>
  </si>
  <si>
    <t>HETTICH 9073638 Sensys 8645 TH 52 naložený vrut DALNO</t>
  </si>
  <si>
    <t>9073641</t>
  </si>
  <si>
    <t>482734</t>
  </si>
  <si>
    <t>HETTICH 9073641 Sensys 8645 naložený zalisování DALNO</t>
  </si>
  <si>
    <t>9073644</t>
  </si>
  <si>
    <t>380515</t>
  </si>
  <si>
    <t>HETTICH 9073644 Sensys 8645 B12,5 TS55, naložený</t>
  </si>
  <si>
    <t>9073647</t>
  </si>
  <si>
    <t>421300</t>
  </si>
  <si>
    <t>HETTICH 9073647 Sensys závěs naložený 110° TB vrut pružina</t>
  </si>
  <si>
    <t>9073648</t>
  </si>
  <si>
    <t>421303</t>
  </si>
  <si>
    <t>HETTICH 9073648 Sensys závěs polonaložený 110° TB vrut pružina</t>
  </si>
  <si>
    <t>9073649</t>
  </si>
  <si>
    <t>421308</t>
  </si>
  <si>
    <t>HETTICH 9073649 Sensys závěs vložený 110° TB vrut pružina</t>
  </si>
  <si>
    <t>9073653</t>
  </si>
  <si>
    <t>416651</t>
  </si>
  <si>
    <t>HETTICH 9073653 Sensys závěs naložený 110° TB Fix pružina</t>
  </si>
  <si>
    <t>9073654</t>
  </si>
  <si>
    <t>421306</t>
  </si>
  <si>
    <t>HETTICH 9073654 Sensys závěs polonaložený 110° TB Fix pružina</t>
  </si>
  <si>
    <t>9073655</t>
  </si>
  <si>
    <t>421310</t>
  </si>
  <si>
    <t>HETTICH 9073655 Sensys závěs vložený 110° TB Fix pružina</t>
  </si>
  <si>
    <t>9073662</t>
  </si>
  <si>
    <t>417105</t>
  </si>
  <si>
    <t>HETTICH 9073662 Sensys závěs naložený 110° TH vrut PTO</t>
  </si>
  <si>
    <t>9073664</t>
  </si>
  <si>
    <t>412580</t>
  </si>
  <si>
    <t>HETTICH 9073664 Sensys 8675 110° TH52 P2O</t>
  </si>
  <si>
    <t>9073665</t>
  </si>
  <si>
    <t>482728</t>
  </si>
  <si>
    <t>HETTICH 9073665 Sensys 8675 naložený PTO zalisování DALNO</t>
  </si>
  <si>
    <t>245726</t>
  </si>
  <si>
    <t>HETTICH 9073665/9071316 Sensys 8675 naložený 110° PTO TH zalisování</t>
  </si>
  <si>
    <t>9073666</t>
  </si>
  <si>
    <t>500475</t>
  </si>
  <si>
    <t>HETTICH 9073666 Sensys 8675 polonaložený 110° PTO, TH52x5,5mm, k zalisování</t>
  </si>
  <si>
    <t>9073667</t>
  </si>
  <si>
    <t>514062</t>
  </si>
  <si>
    <t>HETTICH 9073667 Sensys 8675 vložený 110° PTO, TH52x5,5mm, k zalisování</t>
  </si>
  <si>
    <t>9073670</t>
  </si>
  <si>
    <t>488005</t>
  </si>
  <si>
    <t>HETTICH 9073670 Sensys 8675 vložený 110° P2O THS rychlomontáž Fix</t>
  </si>
  <si>
    <t>9073671</t>
  </si>
  <si>
    <t>421301</t>
  </si>
  <si>
    <t>HETTICH 9073671 Sensys závěs naložený 110° TB vrut PTO</t>
  </si>
  <si>
    <t>9073672</t>
  </si>
  <si>
    <t>421304</t>
  </si>
  <si>
    <t>HETTICH 9073672 Sensys závěs polonaložený 110° TB vrut PTO</t>
  </si>
  <si>
    <t>9073673</t>
  </si>
  <si>
    <t>421309</t>
  </si>
  <si>
    <t>HETTICH 9073673 Sensys závěs vložený 110° TB vrut PTO</t>
  </si>
  <si>
    <t>9073677</t>
  </si>
  <si>
    <t>416652</t>
  </si>
  <si>
    <t>HETTICH 9073677 Sensys závěs naložený 110° TB Fix PTO</t>
  </si>
  <si>
    <t>9073678</t>
  </si>
  <si>
    <t>367204</t>
  </si>
  <si>
    <t>HETTICH 9073678 Sensys závěs polonaložený 110° TB Fix PTO</t>
  </si>
  <si>
    <t>9073679</t>
  </si>
  <si>
    <t>421311</t>
  </si>
  <si>
    <t>HETTICH 9073679 Sensys závěs vložený 110° TB Fix PTO</t>
  </si>
  <si>
    <t>9073686</t>
  </si>
  <si>
    <t>518649</t>
  </si>
  <si>
    <t>HETTICH 9073686 Sensys závěs naložený 110° TH hmoždinka SiSy</t>
  </si>
  <si>
    <t>9073704</t>
  </si>
  <si>
    <t>518657</t>
  </si>
  <si>
    <t>HETTICH 9073704 Sensys závěs naložený 110° TH hmoždinka PTO</t>
  </si>
  <si>
    <t>9075006</t>
  </si>
  <si>
    <t>481511</t>
  </si>
  <si>
    <t>HETTICH 9075006 Podložka 8099 D=1,5 vrut</t>
  </si>
  <si>
    <t>9075008</t>
  </si>
  <si>
    <t>418011</t>
  </si>
  <si>
    <t>HETTICH 9075008 podložka Sensys/Intermat D=5 vrut niklovaná</t>
  </si>
  <si>
    <t>9075009</t>
  </si>
  <si>
    <t>462459</t>
  </si>
  <si>
    <t>HETTICH 9075009 Sensys podložka D=8 vrut</t>
  </si>
  <si>
    <t>9075056</t>
  </si>
  <si>
    <t>518865</t>
  </si>
  <si>
    <t>HETTICH 9075056 PODLOŽKA 8099 D1,5 EUROŠROUBY</t>
  </si>
  <si>
    <t>9075061</t>
  </si>
  <si>
    <t>501125</t>
  </si>
  <si>
    <t>HETTICH 9075061 Sensys/Intermat podložka excentr D=1,5 mm eurošroub</t>
  </si>
  <si>
    <t>9075062</t>
  </si>
  <si>
    <t>417285</t>
  </si>
  <si>
    <t>HETTICH 9075062 podložka s excentrem D=3 eurošroub</t>
  </si>
  <si>
    <t>9075072</t>
  </si>
  <si>
    <t>518873</t>
  </si>
  <si>
    <t>HETTICH 9075072 podložka 8099 excentr D=3 hmoždinka</t>
  </si>
  <si>
    <t>9075083</t>
  </si>
  <si>
    <t>491268</t>
  </si>
  <si>
    <t>HETTICH 9075083 Sensys podložka 8099 D=5 mm excentr eurošroub</t>
  </si>
  <si>
    <t>9075085</t>
  </si>
  <si>
    <t>461688</t>
  </si>
  <si>
    <t>HETTICH 9075085 montážní podložka vrut D=0 s excentrem</t>
  </si>
  <si>
    <t>9075086</t>
  </si>
  <si>
    <t>421499</t>
  </si>
  <si>
    <t>HETTICH 9075086 montážní podložka vrut D=1,5 s excentrem</t>
  </si>
  <si>
    <t>9075087</t>
  </si>
  <si>
    <t>514958</t>
  </si>
  <si>
    <t>HETTICH 9075087 podložka 8099 excentrická D=3 mm vrut</t>
  </si>
  <si>
    <t>9075088</t>
  </si>
  <si>
    <t>491269</t>
  </si>
  <si>
    <t>HETTICH 9075088 podložka 8099 D=5 mm excentr předmontovaný vrut</t>
  </si>
  <si>
    <t>9075100</t>
  </si>
  <si>
    <t>300324</t>
  </si>
  <si>
    <t>HETTICH 9075100 podložka Sensys lineární k zalisování D=5 mm</t>
  </si>
  <si>
    <t>9076418</t>
  </si>
  <si>
    <t>264193</t>
  </si>
  <si>
    <t>HETTICH 9076418 upevňovací šroub 4x12 mm</t>
  </si>
  <si>
    <t>9076440</t>
  </si>
  <si>
    <t>362244</t>
  </si>
  <si>
    <t>HETTICH 9076440 Sensys omezovač úhlu otevření 110°&gt;85° pro Sensys dveře 10mm</t>
  </si>
  <si>
    <t>9076738</t>
  </si>
  <si>
    <t>264194</t>
  </si>
  <si>
    <t>HETTICH 9076738 adaptér Sensys pro skleněné dveře</t>
  </si>
  <si>
    <t>9076930</t>
  </si>
  <si>
    <t>548176</t>
  </si>
  <si>
    <t>HETTICH 9076930 Easys krycí profil 800mm</t>
  </si>
  <si>
    <t>9077588</t>
  </si>
  <si>
    <t>146890</t>
  </si>
  <si>
    <t>HETTICH 9077588 Cargo 90° IQ plus 150 mm</t>
  </si>
  <si>
    <t>9077601</t>
  </si>
  <si>
    <t>146891</t>
  </si>
  <si>
    <t>HETTICH 9077601 Cargo 90° IQ plus police 150 mm</t>
  </si>
  <si>
    <t>9077616</t>
  </si>
  <si>
    <t>186232</t>
  </si>
  <si>
    <t>HETTICH 9077616 Cargo 90° IQ plus 150 mm</t>
  </si>
  <si>
    <t>9077861</t>
  </si>
  <si>
    <t>104725</t>
  </si>
  <si>
    <t>HETTICH 9077861 podložka plastová pro úchytky na skleněné dveře d8x0,5mm</t>
  </si>
  <si>
    <t>9078139</t>
  </si>
  <si>
    <t>106531</t>
  </si>
  <si>
    <t>HETTICH 9078139 Easys pohonná jednotka</t>
  </si>
  <si>
    <t>9078220</t>
  </si>
  <si>
    <t>186235</t>
  </si>
  <si>
    <t>HETTICH 9078220 OrgaLine sada 536 mm černá</t>
  </si>
  <si>
    <t>9078222</t>
  </si>
  <si>
    <t>186237</t>
  </si>
  <si>
    <t>HETTICH 9078222 OrgaLine sada 936 mm černá</t>
  </si>
  <si>
    <t>9078475</t>
  </si>
  <si>
    <t>105857</t>
  </si>
  <si>
    <t>HETTICH 9078475 AFIO stolová noha čtvercová 700/60x60 mm nerez</t>
  </si>
  <si>
    <t>9078512</t>
  </si>
  <si>
    <t>106545</t>
  </si>
  <si>
    <t>HETTICH 9078512 BALA DRIVE dvojkolečko</t>
  </si>
  <si>
    <t>9078515</t>
  </si>
  <si>
    <t>106427</t>
  </si>
  <si>
    <t>HETTICH 9078515 Bala D-Lock dvojkolečko</t>
  </si>
  <si>
    <t>9078538</t>
  </si>
  <si>
    <t>105001</t>
  </si>
  <si>
    <t>HETTICH 9078538 Dilip fix kontejnerové kolečko</t>
  </si>
  <si>
    <t>9078539</t>
  </si>
  <si>
    <t>105767</t>
  </si>
  <si>
    <t>HETTICH 9078539 Dilip Drive kontejnerové kolečko</t>
  </si>
  <si>
    <t>9078565</t>
  </si>
  <si>
    <t>107082</t>
  </si>
  <si>
    <t>HETTICH 9078565 Quadro 12 LR32 EB392 mm SiSy L+P</t>
  </si>
  <si>
    <t>9078571</t>
  </si>
  <si>
    <t>186338</t>
  </si>
  <si>
    <t>HETTICH 9078571 rychlomontážní kontejner 530 3x Q</t>
  </si>
  <si>
    <t>9078607</t>
  </si>
  <si>
    <t>186353</t>
  </si>
  <si>
    <t>HETTICH 9078607 rychlomontážní kontejner 530 1xQD</t>
  </si>
  <si>
    <t>9078618</t>
  </si>
  <si>
    <t>108169</t>
  </si>
  <si>
    <t>HETTICH 9078618 cylindrická vložka Z25 18001-18020</t>
  </si>
  <si>
    <t>9078620</t>
  </si>
  <si>
    <t>104214</t>
  </si>
  <si>
    <t>HETTICH 9078620 Cylindrická vložka Z25, 18001-18050</t>
  </si>
  <si>
    <t>9078642</t>
  </si>
  <si>
    <t>153292</t>
  </si>
  <si>
    <t>HETTICH 9078642 cylindrická vložka Z23 18034</t>
  </si>
  <si>
    <t>9078644</t>
  </si>
  <si>
    <t>153294</t>
  </si>
  <si>
    <t>HETTICH 9078644 cylindrická vložka Z23 18036</t>
  </si>
  <si>
    <t>9078645</t>
  </si>
  <si>
    <t>153295</t>
  </si>
  <si>
    <t>HETTICH 9078645 cylindrická vložka Z23 18037</t>
  </si>
  <si>
    <t>9078646</t>
  </si>
  <si>
    <t>153296</t>
  </si>
  <si>
    <t>HETTICH 9078646 cylindrická vložka Z23 18038</t>
  </si>
  <si>
    <t>9078650</t>
  </si>
  <si>
    <t>186366</t>
  </si>
  <si>
    <t>HETTICH 9078650 cylindrická vložka Z23 18039</t>
  </si>
  <si>
    <t>9078656</t>
  </si>
  <si>
    <t>186369</t>
  </si>
  <si>
    <t>HETTICH 9078656 cylindrická vložka Z23 18040</t>
  </si>
  <si>
    <t>9078660</t>
  </si>
  <si>
    <t>186372</t>
  </si>
  <si>
    <t>HETTICH 9078660 cylindrická vložka Z23 18041</t>
  </si>
  <si>
    <t>9078663</t>
  </si>
  <si>
    <t>107540</t>
  </si>
  <si>
    <t>HETTICH 9078663 Napojení zámku Stop Control</t>
  </si>
  <si>
    <t>9078664</t>
  </si>
  <si>
    <t>186374</t>
  </si>
  <si>
    <t>HETTICH 9078664 cylindrická vložka Z23 18042</t>
  </si>
  <si>
    <t>9078670</t>
  </si>
  <si>
    <t>186377</t>
  </si>
  <si>
    <t>HETTICH 9078670 cylindrická vložka Z23 18044</t>
  </si>
  <si>
    <t>9078671</t>
  </si>
  <si>
    <t>186378</t>
  </si>
  <si>
    <t>HETTICH 9078671 sada napojení zámku Stop Control</t>
  </si>
  <si>
    <t>9078675</t>
  </si>
  <si>
    <t>186380</t>
  </si>
  <si>
    <t>HETTICH 9078675 cylindrická vložka Z23 18046</t>
  </si>
  <si>
    <t>9078678</t>
  </si>
  <si>
    <t>186382</t>
  </si>
  <si>
    <t>HETTICH 9078678 cylindrická vložka Z23 18047</t>
  </si>
  <si>
    <t>9078679</t>
  </si>
  <si>
    <t>186383</t>
  </si>
  <si>
    <t>HETTICH 9078679 cylindrická vložka Z23 18048</t>
  </si>
  <si>
    <t>9078680</t>
  </si>
  <si>
    <t>186384</t>
  </si>
  <si>
    <t>HETTICH 9078680 cylindrická vložka Z23 18049</t>
  </si>
  <si>
    <t>9078681</t>
  </si>
  <si>
    <t>107153</t>
  </si>
  <si>
    <t>HETTICH 9078681 QUADRO DUPLEX 60 400 X=13 SD</t>
  </si>
  <si>
    <t>9078684</t>
  </si>
  <si>
    <t>186387</t>
  </si>
  <si>
    <t>HETTICH 9078684 cylindrická vložka Z23 18050</t>
  </si>
  <si>
    <t>9078687</t>
  </si>
  <si>
    <t>134379</t>
  </si>
  <si>
    <t>HETTICH 9078687 cylindrická vložka Z25 18001</t>
  </si>
  <si>
    <t>9078691</t>
  </si>
  <si>
    <t>186390</t>
  </si>
  <si>
    <t>HETTICH 9078691 cylindrická vložka Z25 18003</t>
  </si>
  <si>
    <t>9078694</t>
  </si>
  <si>
    <t>107124</t>
  </si>
  <si>
    <t>HETTICH 9078694 Quadro Duplex 60 400 x=22 mm</t>
  </si>
  <si>
    <t>9078703</t>
  </si>
  <si>
    <t>186397</t>
  </si>
  <si>
    <t>HETTICH 9078703 cylindrická vložka Z25 18009</t>
  </si>
  <si>
    <t>9078709</t>
  </si>
  <si>
    <t>107520</t>
  </si>
  <si>
    <t>HETTICH 9078709 Samodovírací těleso, pro korpusovou konstrukci X=13</t>
  </si>
  <si>
    <t>9078710</t>
  </si>
  <si>
    <t>107516</t>
  </si>
  <si>
    <t>HETTICH 9078710 Stop Control Quadro x=22</t>
  </si>
  <si>
    <t>9078711</t>
  </si>
  <si>
    <t>107733</t>
  </si>
  <si>
    <t>HETTICH 9078711 STOP CONTR.QUADRO X=13 SiS SD</t>
  </si>
  <si>
    <t>9078712</t>
  </si>
  <si>
    <t>107518</t>
  </si>
  <si>
    <t>HETTICH 9078712  Samodovírací těleso se SiSy, pro nekonečnou konstrukci X=22</t>
  </si>
  <si>
    <t>9078717</t>
  </si>
  <si>
    <t>107248</t>
  </si>
  <si>
    <t>HETTICH 9078717 Quadro Duplex 70 ST 600 x=13</t>
  </si>
  <si>
    <t>9078719</t>
  </si>
  <si>
    <t>107148</t>
  </si>
  <si>
    <t>HETTICH 9078719 Quadro Duplex 70 ST 600 x-22 mm</t>
  </si>
  <si>
    <t>9078797</t>
  </si>
  <si>
    <t>104317</t>
  </si>
  <si>
    <t>HETTICH 9078797 Držák pro PC průsvitný plast</t>
  </si>
  <si>
    <t>9078801</t>
  </si>
  <si>
    <t>107037</t>
  </si>
  <si>
    <t>HETTICH 9078801 kabelová průchdka 90x120x80 mm imitace nerezi</t>
  </si>
  <si>
    <t>9078860</t>
  </si>
  <si>
    <t>108174</t>
  </si>
  <si>
    <t>HETTICH 9078860 Cylindrická vložka Z23 18001-18020 nikl</t>
  </si>
  <si>
    <t>9078861</t>
  </si>
  <si>
    <t>108175</t>
  </si>
  <si>
    <t>HETTICH 9078861 Cylindrická vložka Z23 18001-18050 nikl</t>
  </si>
  <si>
    <t>9078862</t>
  </si>
  <si>
    <t>232810</t>
  </si>
  <si>
    <t>HETTICH 9078862 cylindrická vložka Z23 18001    SD</t>
  </si>
  <si>
    <t>108176</t>
  </si>
  <si>
    <t>HETTICH 9078862 Cylindrická vložka Z23 18001 nikl</t>
  </si>
  <si>
    <t>9078863</t>
  </si>
  <si>
    <t>186454</t>
  </si>
  <si>
    <t>HETTICH 9078863 zámek pákový cylindrický 15mm</t>
  </si>
  <si>
    <t>9078865</t>
  </si>
  <si>
    <t>108177</t>
  </si>
  <si>
    <t>HETTICH 9078865 cylindrická vložka Z23 18002</t>
  </si>
  <si>
    <t>9078866</t>
  </si>
  <si>
    <t>106908</t>
  </si>
  <si>
    <t>HETTICH 9078866 DrillJig označovací šablona</t>
  </si>
  <si>
    <t>490697</t>
  </si>
  <si>
    <t>HETTICH 9078866 DrillJig označovací šablona PD-50</t>
  </si>
  <si>
    <t>9078867</t>
  </si>
  <si>
    <t>108184</t>
  </si>
  <si>
    <t>HETTICH 9078867 cylindrická vložka Z23 18003</t>
  </si>
  <si>
    <t>9078871</t>
  </si>
  <si>
    <t>108187</t>
  </si>
  <si>
    <t>HETTICH 9078871 Cylindrická vložka Z23 18004</t>
  </si>
  <si>
    <t>9078874</t>
  </si>
  <si>
    <t>108188</t>
  </si>
  <si>
    <t>HETTICH 9078874 cylindrická vložka Z23 18005</t>
  </si>
  <si>
    <t>9078877</t>
  </si>
  <si>
    <t>108189</t>
  </si>
  <si>
    <t>HETTICH 9078877 cylindrická vložka Z23 18006</t>
  </si>
  <si>
    <t>9078878</t>
  </si>
  <si>
    <t>135726</t>
  </si>
  <si>
    <t>HETTICH 9078878 cylindrická vložka Z23 18007</t>
  </si>
  <si>
    <t>9078886</t>
  </si>
  <si>
    <t>108190</t>
  </si>
  <si>
    <t>HETTICH 9078886 cylindrická vložka Z23 18008</t>
  </si>
  <si>
    <t>9078887</t>
  </si>
  <si>
    <t>186466</t>
  </si>
  <si>
    <t>HETTICH 9078887 zámek zásuvkový Z25</t>
  </si>
  <si>
    <t>9078888</t>
  </si>
  <si>
    <t>135727</t>
  </si>
  <si>
    <t>HETTICH 9078888 cylindrická vložka Z23 18009</t>
  </si>
  <si>
    <t>9078889</t>
  </si>
  <si>
    <t>186467</t>
  </si>
  <si>
    <t>HETTICH 9078889 zámek zásuvkový Z25 sada</t>
  </si>
  <si>
    <t>9078890</t>
  </si>
  <si>
    <t>135728</t>
  </si>
  <si>
    <t>HETTICH 9078890 cylindrická vložka Z23 18010</t>
  </si>
  <si>
    <t>9078894</t>
  </si>
  <si>
    <t>135730</t>
  </si>
  <si>
    <t>HETTICH 9078894 cylindrická vložka Z23 18011</t>
  </si>
  <si>
    <t>9078895</t>
  </si>
  <si>
    <t>104942</t>
  </si>
  <si>
    <t>HETTICH 9078895 zámek na 2-křídlé dveře Z23</t>
  </si>
  <si>
    <t>9078899</t>
  </si>
  <si>
    <t>135731</t>
  </si>
  <si>
    <t>HETTICH 9078899 cylindrická vložka Z23 18012</t>
  </si>
  <si>
    <t>9078902</t>
  </si>
  <si>
    <t>135732</t>
  </si>
  <si>
    <t>HETTICH 9078902 cylindrická vložka Z23 18013</t>
  </si>
  <si>
    <t>9078904</t>
  </si>
  <si>
    <t>135733</t>
  </si>
  <si>
    <t>HETTICH 9078904 cylindrická vložka Z23 18014</t>
  </si>
  <si>
    <t>9078910</t>
  </si>
  <si>
    <t>186476</t>
  </si>
  <si>
    <t>HETTICH 9078910 zámek na posuvné dveře Z25</t>
  </si>
  <si>
    <t>9078911</t>
  </si>
  <si>
    <t>135734</t>
  </si>
  <si>
    <t>HETTICH 9078911 cylindrická vložka Z23 18015</t>
  </si>
  <si>
    <t>9078912</t>
  </si>
  <si>
    <t>135735</t>
  </si>
  <si>
    <t>HETTICH 9078912 cylindrická vložka Z23 18016</t>
  </si>
  <si>
    <t>9078915</t>
  </si>
  <si>
    <t>135737</t>
  </si>
  <si>
    <t>HETTICH 9078915 cylindrická vložka Z23 18017</t>
  </si>
  <si>
    <t>9078917</t>
  </si>
  <si>
    <t>135738</t>
  </si>
  <si>
    <t>HETTICH 9078917 cylindrická vložka Z23 18018</t>
  </si>
  <si>
    <t>9078920</t>
  </si>
  <si>
    <t>135739</t>
  </si>
  <si>
    <t>HETTICH 9078920 cylindrická vložka Z23 18019</t>
  </si>
  <si>
    <t>9078931</t>
  </si>
  <si>
    <t>153284</t>
  </si>
  <si>
    <t>HETTICH 9078931 cylindrická vložka Z23 18026</t>
  </si>
  <si>
    <t>9078934</t>
  </si>
  <si>
    <t>153286</t>
  </si>
  <si>
    <t>HETTICH 9078934 cylindrická vložka Z23 18028</t>
  </si>
  <si>
    <t>9078941</t>
  </si>
  <si>
    <t>153290</t>
  </si>
  <si>
    <t>HETTICH 9078941 cylindrická vložka Z23 18032</t>
  </si>
  <si>
    <t>9078943</t>
  </si>
  <si>
    <t>153291</t>
  </si>
  <si>
    <t>HETTICH 9078943 cylindrická vložka Z23 18033</t>
  </si>
  <si>
    <t>9078980</t>
  </si>
  <si>
    <t>104946</t>
  </si>
  <si>
    <t>HETTICH 9078980 Generální hlavní klíč Z23 25</t>
  </si>
  <si>
    <t>9078982</t>
  </si>
  <si>
    <t>104601</t>
  </si>
  <si>
    <t>HETTICH 9078982 Hlavní klíč Z23 Z25 18001-18500</t>
  </si>
  <si>
    <t>9078990</t>
  </si>
  <si>
    <t>182546</t>
  </si>
  <si>
    <t>HETTICH 9078990 klíč Z23 Z25 polotovar 18001-18500</t>
  </si>
  <si>
    <t>9079207</t>
  </si>
  <si>
    <t>161716</t>
  </si>
  <si>
    <t>HETTICH 9079207 Držák kořenek OrgaTray, uložení na ležato, buk lakovaný</t>
  </si>
  <si>
    <t>9079222</t>
  </si>
  <si>
    <t>106977</t>
  </si>
  <si>
    <t>HETTICH 9079222 InnoTech ukončovací profil 470 mm plast chrom</t>
  </si>
  <si>
    <t>9079226</t>
  </si>
  <si>
    <t>106982</t>
  </si>
  <si>
    <t>HETTICH 9079226 InnoTech ukončovací profil 520 mm plast chrom</t>
  </si>
  <si>
    <t>9079232</t>
  </si>
  <si>
    <t>104265</t>
  </si>
  <si>
    <t>HETTICH 9079232 stabilizátor čela pro široké zásuvky Atira, ArciTech, AvanTech</t>
  </si>
  <si>
    <t>9079298</t>
  </si>
  <si>
    <t>107792</t>
  </si>
  <si>
    <t>HETTICH 9079298 čočka dorazová 1,5mm zalisování 5mm transparent</t>
  </si>
  <si>
    <t>9079333</t>
  </si>
  <si>
    <t>107696</t>
  </si>
  <si>
    <t>HETTICH 9079333 InnoTech boční stabilizátor</t>
  </si>
  <si>
    <t>9079390</t>
  </si>
  <si>
    <t>108035</t>
  </si>
  <si>
    <t>HETTICH 9079390 Unašeč dveří pro vestavné lednice</t>
  </si>
  <si>
    <t>9079402</t>
  </si>
  <si>
    <t>108218</t>
  </si>
  <si>
    <t>HETTICH 9079402 Šablona BlueJig pro kolíky</t>
  </si>
  <si>
    <t>469252</t>
  </si>
  <si>
    <t>HETTICH 9079402 Šablona BlueJig pro kolíky PD-50</t>
  </si>
  <si>
    <t>9079437</t>
  </si>
  <si>
    <t>107144</t>
  </si>
  <si>
    <t>HETTICH 9079437 Quadro V6 450 mm BM SiSy L+P</t>
  </si>
  <si>
    <t>9079454</t>
  </si>
  <si>
    <t>107154</t>
  </si>
  <si>
    <t>HETTICH 9079454 Quadro V6 500 mm BM SiSy L+P</t>
  </si>
  <si>
    <t>9079486</t>
  </si>
  <si>
    <t>186693</t>
  </si>
  <si>
    <t>HETTICH 9079486 Quadro V6 350 mm BM SiSy L+P</t>
  </si>
  <si>
    <t>9079512</t>
  </si>
  <si>
    <t>391625</t>
  </si>
  <si>
    <t>HETTICH 9079512 ND BlueMax č.11759 (vřeteno)</t>
  </si>
  <si>
    <t>318188</t>
  </si>
  <si>
    <t>HETTICH 9079512 ND BlueMax č.528 (cylindr)</t>
  </si>
  <si>
    <t>ET Nr.11602</t>
  </si>
  <si>
    <t>537538</t>
  </si>
  <si>
    <t>HETTICH 907951200 Náhradní díl č.11602 Bowexkupplung Innenteil</t>
  </si>
  <si>
    <t>ET Nr.11910</t>
  </si>
  <si>
    <t>537537</t>
  </si>
  <si>
    <t>HETTICH 907951200 Náhradní díl č.11910 Bowexkupplung Aussenteil</t>
  </si>
  <si>
    <t>9079523</t>
  </si>
  <si>
    <t>107210</t>
  </si>
  <si>
    <t>HETTICH 9079523 Quadro V6 400 mm BM SiSy L+P</t>
  </si>
  <si>
    <t>9079526</t>
  </si>
  <si>
    <t>107517</t>
  </si>
  <si>
    <t>HETTICH 9079526 KA 5740 Sada příslušenství</t>
  </si>
  <si>
    <t>9079555</t>
  </si>
  <si>
    <t>104752</t>
  </si>
  <si>
    <t>HETTICH 9079555 Spojovací kování VB 25 T</t>
  </si>
  <si>
    <t>9079557</t>
  </si>
  <si>
    <t>104753</t>
  </si>
  <si>
    <t>HETTICH 9079557 VB 35 T spojovací kování</t>
  </si>
  <si>
    <t>9079561</t>
  </si>
  <si>
    <t>106474</t>
  </si>
  <si>
    <t>HETTICH 9079561 Pokosový spoj VB 90-180 T</t>
  </si>
  <si>
    <t>9079575</t>
  </si>
  <si>
    <t>104756</t>
  </si>
  <si>
    <t>HETTICH 9079575 spojovací šroub AVB 4,65 mm</t>
  </si>
  <si>
    <t>9079579</t>
  </si>
  <si>
    <t>107175</t>
  </si>
  <si>
    <t>HETTICH 9079579 Spojovací šroub AVB 4 100 mm</t>
  </si>
  <si>
    <t>9079583</t>
  </si>
  <si>
    <t>164941</t>
  </si>
  <si>
    <t>HETTICH 9079583 Spojovací šroub AVB 4 165 mm</t>
  </si>
  <si>
    <t>9079590</t>
  </si>
  <si>
    <t>107988</t>
  </si>
  <si>
    <t>HETTICH 9079590 šatní tyč, oválná, 15/30/3000mm, hliník</t>
  </si>
  <si>
    <t>9079593</t>
  </si>
  <si>
    <t>106480</t>
  </si>
  <si>
    <t>HETTICH 9079593 Lift Basic podpěra výklopných dvířek</t>
  </si>
  <si>
    <t>9079618</t>
  </si>
  <si>
    <t>106288</t>
  </si>
  <si>
    <t>HETTICH 9079618 pružiny 150N ND pro Lift Advanced</t>
  </si>
  <si>
    <t>9079619</t>
  </si>
  <si>
    <t>106289</t>
  </si>
  <si>
    <t>HETTICH 9079619 pružiny 200N ND pro Lift Advanced</t>
  </si>
  <si>
    <t>9079622</t>
  </si>
  <si>
    <t>106292</t>
  </si>
  <si>
    <t>HETTICH 9079622 pružiny 250N ND pro Lift Advanced</t>
  </si>
  <si>
    <t>9079624</t>
  </si>
  <si>
    <t>106294</t>
  </si>
  <si>
    <t>HETTICH 9079624 pružiny 300N ND pro Lift Advanced</t>
  </si>
  <si>
    <t>9079626</t>
  </si>
  <si>
    <t>106300</t>
  </si>
  <si>
    <t>HETTICH 9079626 pružiny 350N ND pro Lift Advanced</t>
  </si>
  <si>
    <t>9079628</t>
  </si>
  <si>
    <t>106303</t>
  </si>
  <si>
    <t>HETTICH 9079628 pružiny 400N ND pro Lift Advanced</t>
  </si>
  <si>
    <t>9079630</t>
  </si>
  <si>
    <t>106304</t>
  </si>
  <si>
    <t>HETTICH 9079630 pružiny 450N ND pro Lift Advanced</t>
  </si>
  <si>
    <t>9079632</t>
  </si>
  <si>
    <t>106305</t>
  </si>
  <si>
    <t>HETTICH 9079632 pružiny 500N ND pro Lift Advanced</t>
  </si>
  <si>
    <t>9079635</t>
  </si>
  <si>
    <t>106307</t>
  </si>
  <si>
    <t>HETTICH 9079635 pružiny 550N ND pro Lift Advanced</t>
  </si>
  <si>
    <t>9079637</t>
  </si>
  <si>
    <t>106308</t>
  </si>
  <si>
    <t>HETTICH 9079637 pružiny 600N ND pro Lift Advanced</t>
  </si>
  <si>
    <t>9079644</t>
  </si>
  <si>
    <t>106311</t>
  </si>
  <si>
    <t>HETTICH 9079644 pružiny 650N ND pro Lift Advanced</t>
  </si>
  <si>
    <t>9079645</t>
  </si>
  <si>
    <t>106312</t>
  </si>
  <si>
    <t>HETTICH 9079645 pružiny 700N ND pro Lift Advanced</t>
  </si>
  <si>
    <t>9079647</t>
  </si>
  <si>
    <t>129256</t>
  </si>
  <si>
    <t>HETTICH 9079647 pružiny ND 750N pro Lift Advanced</t>
  </si>
  <si>
    <t>9079650</t>
  </si>
  <si>
    <t>106315</t>
  </si>
  <si>
    <t>HETTICH 9079650 pružiny 800N ND pro Lift Advanced</t>
  </si>
  <si>
    <t>9079651</t>
  </si>
  <si>
    <t>129257</t>
  </si>
  <si>
    <t>HETTICH 9079651 pružiny 850N ND pro Lift Advanced</t>
  </si>
  <si>
    <t>9079710</t>
  </si>
  <si>
    <t>104375</t>
  </si>
  <si>
    <t>HETTICH 9079710 Easys napájecí kabel 1800 mm</t>
  </si>
  <si>
    <t>9079713</t>
  </si>
  <si>
    <t>313889</t>
  </si>
  <si>
    <t>HETTICH 9079713 šatní tyč oválná 30x15x3000mm bílá poplastovaná</t>
  </si>
  <si>
    <t>9079716</t>
  </si>
  <si>
    <t>104356</t>
  </si>
  <si>
    <t>HETTICH 9079716 Duo Lift Basic 600-830 mm černý</t>
  </si>
  <si>
    <t>9079718</t>
  </si>
  <si>
    <t>208790</t>
  </si>
  <si>
    <t>HETTICH 9079718 Nosič šatní tyče bílý</t>
  </si>
  <si>
    <t>9079719</t>
  </si>
  <si>
    <t>104323</t>
  </si>
  <si>
    <t>HETTICH 9079719 Nosič šatní tyče hliník barva</t>
  </si>
  <si>
    <t>9079720</t>
  </si>
  <si>
    <t>104357</t>
  </si>
  <si>
    <t>HETTICH 9079720 Duo Lift Basic 830-1150 mm černý</t>
  </si>
  <si>
    <t>9079723</t>
  </si>
  <si>
    <t>119209</t>
  </si>
  <si>
    <t>HETTICH 9079723 Duo Lift Basic distanční díl černý</t>
  </si>
  <si>
    <t>9079810</t>
  </si>
  <si>
    <t>106099</t>
  </si>
  <si>
    <t>HETTICH 9079810 Odkapávací mřížka 600 mm</t>
  </si>
  <si>
    <t>9079812</t>
  </si>
  <si>
    <t>105623</t>
  </si>
  <si>
    <t>HETTICH 9079812 Odkapávací mřížka 900 mm</t>
  </si>
  <si>
    <t>9079862</t>
  </si>
  <si>
    <t>107388</t>
  </si>
  <si>
    <t>HETTICH 9079862 Ochranná rohož 1200x580 mm hliník</t>
  </si>
  <si>
    <t>9079872</t>
  </si>
  <si>
    <t>107566</t>
  </si>
  <si>
    <t>HETTICH 9079872 Single Lift 12 (562 8.) levý</t>
  </si>
  <si>
    <t>9079874</t>
  </si>
  <si>
    <t>107570</t>
  </si>
  <si>
    <t>HETTICH 9079874 Single Lift 12 (562 7.) P</t>
  </si>
  <si>
    <t>9079877</t>
  </si>
  <si>
    <t>104243</t>
  </si>
  <si>
    <t>HETTICH 9079877 Single Lift 12 distanční díl 20 mm</t>
  </si>
  <si>
    <t>9079878</t>
  </si>
  <si>
    <t>104355</t>
  </si>
  <si>
    <t>HETTICH 9079878 sklopná šatní tyč DUO Lift 10, 750-1170mm, alu finiš</t>
  </si>
  <si>
    <t>9079880</t>
  </si>
  <si>
    <t>104242</t>
  </si>
  <si>
    <t>HETTICH 9079880 Duo Lift 10 distanční díl, hliník</t>
  </si>
  <si>
    <t>9079882</t>
  </si>
  <si>
    <t>119204</t>
  </si>
  <si>
    <t>HETTICH 9079882 sklopná šatní tyč DUO Lift 18, 750-1150mm, alu finiš</t>
  </si>
  <si>
    <t>350595</t>
  </si>
  <si>
    <t>HETTICH 907988200 Duo Lift 18 hliník</t>
  </si>
  <si>
    <t>9079885</t>
  </si>
  <si>
    <t>119205</t>
  </si>
  <si>
    <t>HETTICH 9079885 Duo Lift 18 distanční díl hliník</t>
  </si>
  <si>
    <t>9079903</t>
  </si>
  <si>
    <t>105241</t>
  </si>
  <si>
    <t>HETTICH 9079903 Bin.it Easy 1x15l odpadkový koš</t>
  </si>
  <si>
    <t>9079904</t>
  </si>
  <si>
    <t>186830</t>
  </si>
  <si>
    <t>HETTICH 9079904 koš na prádlo 300 221x296x475 mm</t>
  </si>
  <si>
    <t>9079908</t>
  </si>
  <si>
    <t>105224</t>
  </si>
  <si>
    <t>HETTICH 9079908 koš na prádlo 400 321x296x475 mm</t>
  </si>
  <si>
    <t>9079914</t>
  </si>
  <si>
    <t>107660</t>
  </si>
  <si>
    <t>HETTICH 9079914 Výsuvný rám pro koš na prádlo</t>
  </si>
  <si>
    <t>9079921</t>
  </si>
  <si>
    <t>106141</t>
  </si>
  <si>
    <t>HETTICH 9079921 InnoTech VariO odpadkový sada</t>
  </si>
  <si>
    <t>9079925</t>
  </si>
  <si>
    <t>133348</t>
  </si>
  <si>
    <t>HETTICH 9079925 Bin.it Drop 5L černý</t>
  </si>
  <si>
    <t>9079926</t>
  </si>
  <si>
    <t>105240</t>
  </si>
  <si>
    <t>HETTICH 9079926 Bin.it Space 2x15l odpadkový koš</t>
  </si>
  <si>
    <t>9079929</t>
  </si>
  <si>
    <t>105244</t>
  </si>
  <si>
    <t>HETTICH 9079929 Bin.it Easy 2x7,5l odpadkový koš</t>
  </si>
  <si>
    <t>9079937</t>
  </si>
  <si>
    <t>107688</t>
  </si>
  <si>
    <t>HETTICH 9079937 výsuvné otočné zrcadlo 305/1155 mm</t>
  </si>
  <si>
    <t>350597</t>
  </si>
  <si>
    <t>HETTICH 907993700 výsuvné a otočné kování na zrcadlo 305x1155 mm, stříbrný</t>
  </si>
  <si>
    <t>9079941</t>
  </si>
  <si>
    <t>105189</t>
  </si>
  <si>
    <t>HETTICH 9079941 3/4 otočná police Arena Style sada</t>
  </si>
  <si>
    <t>9079944</t>
  </si>
  <si>
    <t>208798</t>
  </si>
  <si>
    <t>HETTICH 9079944 Easys senzor-externí snímač</t>
  </si>
  <si>
    <t>9079960</t>
  </si>
  <si>
    <t>107712</t>
  </si>
  <si>
    <t>HETTICH 9079960 Výsuvný věšák na kalhoty 600 mm</t>
  </si>
  <si>
    <t>9079962</t>
  </si>
  <si>
    <t>153846</t>
  </si>
  <si>
    <t>HETTICH 9079962 Výsuvný věšák na kalhoty 800 mm</t>
  </si>
  <si>
    <t>9079963</t>
  </si>
  <si>
    <t>107734</t>
  </si>
  <si>
    <t>HETTICH 9079963 Výsuvný věšák na kalhoty 1000 mm</t>
  </si>
  <si>
    <t>350599</t>
  </si>
  <si>
    <t>HETTICH 907996300 výsuvný věšák na kalhoty montáž mezi boky korpusu 1000 mm</t>
  </si>
  <si>
    <t>9079964</t>
  </si>
  <si>
    <t>119195</t>
  </si>
  <si>
    <t>HETTICH 9079964 Výsuvný věšák na kalhoty 600 mm</t>
  </si>
  <si>
    <t>9079968</t>
  </si>
  <si>
    <t>153640</t>
  </si>
  <si>
    <t>HETTICH 9079968 věšák na kalhoty, výsuvný, 800mm, stříbrná</t>
  </si>
  <si>
    <t>9079971</t>
  </si>
  <si>
    <t>107758</t>
  </si>
  <si>
    <t>HETTICH 9079971 Výsuvný věšák na kalhoty 1000 mm</t>
  </si>
  <si>
    <t>9080011</t>
  </si>
  <si>
    <t>105621</t>
  </si>
  <si>
    <t>HETTICH 9080011 Moving Corner police Arena Style 400 mm</t>
  </si>
  <si>
    <t>9080036</t>
  </si>
  <si>
    <t>106532</t>
  </si>
  <si>
    <t>HETTICH 9080036 otočná police 1/2 kruhová Arena Style 850 mm</t>
  </si>
  <si>
    <t>9080040</t>
  </si>
  <si>
    <t>107543</t>
  </si>
  <si>
    <t>HETTICH 9080040  Otočné kování rohové dolní skříně se skládanými dveřmi Revo 90°</t>
  </si>
  <si>
    <t>9080042</t>
  </si>
  <si>
    <t>107380</t>
  </si>
  <si>
    <t>HETTICH 9080042 Revo 90° police Arena Style 800x800 mm chrom</t>
  </si>
  <si>
    <t>9080079</t>
  </si>
  <si>
    <t>142117</t>
  </si>
  <si>
    <t>HETTICH 9080079 Dispenza celodrátěný koš 400 mm stříbrný</t>
  </si>
  <si>
    <t>9080085</t>
  </si>
  <si>
    <t>107995</t>
  </si>
  <si>
    <t>HETTICH 9080085 zamykací tyč Stop Control 6+1 HE</t>
  </si>
  <si>
    <t>9080099</t>
  </si>
  <si>
    <t>107549</t>
  </si>
  <si>
    <t>HETTICH 9080099 Zamykací tyč STOP CONTR.7HE+1</t>
  </si>
  <si>
    <t>9080102</t>
  </si>
  <si>
    <t>186888</t>
  </si>
  <si>
    <t>HETTICH 9080102 zamykací tyč Stop control 7,5+1 HE</t>
  </si>
  <si>
    <t>9080105</t>
  </si>
  <si>
    <t>108395</t>
  </si>
  <si>
    <t>HETTICH 9080105 zamykací tyč Stop Control 8+1 HE</t>
  </si>
  <si>
    <t>9080107</t>
  </si>
  <si>
    <t>107960</t>
  </si>
  <si>
    <t>HETTICH 9080107 zamykací tyč Stop Control 9+1 HE</t>
  </si>
  <si>
    <t>9080109</t>
  </si>
  <si>
    <t>107548</t>
  </si>
  <si>
    <t>HETTICH 9080109 zamykací tyč Stop Control 10+1 HE</t>
  </si>
  <si>
    <t>45293</t>
  </si>
  <si>
    <t>104711</t>
  </si>
  <si>
    <t>HETTICH 9080237 Quadro V6 skrytý celovýsuv, 500mm/30kg, bok 16mm, pár, SiSy</t>
  </si>
  <si>
    <t>9080291</t>
  </si>
  <si>
    <t>186959</t>
  </si>
  <si>
    <t>HETTICH 9080291 KA 4932 AM 350mm/60kg EB12,7</t>
  </si>
  <si>
    <t>9080292</t>
  </si>
  <si>
    <t>186960</t>
  </si>
  <si>
    <t>HETTICH 9080292 KA 4932 AM 400mm/60kg EB12,7</t>
  </si>
  <si>
    <t>9080293</t>
  </si>
  <si>
    <t>153586</t>
  </si>
  <si>
    <t>HETTICH 9080293 KA 4932 AM 450mm/60kg EB12,7</t>
  </si>
  <si>
    <t>9080294</t>
  </si>
  <si>
    <t>186961</t>
  </si>
  <si>
    <t>HETTICH 9080294 KA 4932 AM 500mm/60kg EB12,7</t>
  </si>
  <si>
    <t>9080296</t>
  </si>
  <si>
    <t>107962</t>
  </si>
  <si>
    <t>HETTICH 9080296 KA 4932 AM 600mm/60kg EB12,7</t>
  </si>
  <si>
    <t>9080470</t>
  </si>
  <si>
    <t>108065</t>
  </si>
  <si>
    <t>HETTICH 9080470 KA 5632 300 mm EB12,7 40 kg Stop COntrol L+P</t>
  </si>
  <si>
    <t>9080474</t>
  </si>
  <si>
    <t>108132</t>
  </si>
  <si>
    <t>HETTICH 9080474 KA 5632 400 mm EB12,7 40 kg Stop Control L+P</t>
  </si>
  <si>
    <t>9080475</t>
  </si>
  <si>
    <t>108155</t>
  </si>
  <si>
    <t>HETTICH 9080475 KA 5632 450 mm EB12,7 40 kg Stop Control</t>
  </si>
  <si>
    <t>9080476</t>
  </si>
  <si>
    <t>108192</t>
  </si>
  <si>
    <t>HETTICH 9080476 KA 5632 500 mm SC EB12,7 40 kg</t>
  </si>
  <si>
    <t>9080478</t>
  </si>
  <si>
    <t>108221</t>
  </si>
  <si>
    <t>HETTICH 9080478 KA 5632 550 mm EB12,7 40 kg Stop Control</t>
  </si>
  <si>
    <t>9080479</t>
  </si>
  <si>
    <t>108299</t>
  </si>
  <si>
    <t>HETTICH 9080479 KA 5632 600 mm EB12,7 40 kg Stop Control L+P</t>
  </si>
  <si>
    <t>9080480</t>
  </si>
  <si>
    <t>186973</t>
  </si>
  <si>
    <t>HETTICH 9080480 KA 5632 650 mm EB12,7 40 kg Stop Control L+P</t>
  </si>
  <si>
    <t>9080481</t>
  </si>
  <si>
    <t>108302</t>
  </si>
  <si>
    <t>HETTICH 9080481 KA 5632 700 mm EB12,7 40 kg Stop Control</t>
  </si>
  <si>
    <t>9080761</t>
  </si>
  <si>
    <t>208807</t>
  </si>
  <si>
    <t>HETTICH 9080761 Demontážní drát</t>
  </si>
  <si>
    <t>9080838</t>
  </si>
  <si>
    <t>187008</t>
  </si>
  <si>
    <t>HETTICH 9080838 Úchytka CELISTA 160/128 mm imitace nerezi</t>
  </si>
  <si>
    <t>9080851</t>
  </si>
  <si>
    <t>425026</t>
  </si>
  <si>
    <t>HETTICH 9080851 Úchytka Ponoka, 96 mm, Chrom lesklý</t>
  </si>
  <si>
    <t>9080859</t>
  </si>
  <si>
    <t>159281</t>
  </si>
  <si>
    <t>HETTICH 9080859 Úchytka CAROLINA 180/160 mm imitace nerezi</t>
  </si>
  <si>
    <t>9081327</t>
  </si>
  <si>
    <t>187021</t>
  </si>
  <si>
    <t>HETTICH 9081327 kabelová průchodka 80 mm černá</t>
  </si>
  <si>
    <t>9081328</t>
  </si>
  <si>
    <t>187022</t>
  </si>
  <si>
    <t>HETTICH 9081328 kabelová průchodka 80 mm hliník</t>
  </si>
  <si>
    <t>9081330</t>
  </si>
  <si>
    <t>187024</t>
  </si>
  <si>
    <t>HETTICH 9081330 kabelová průchodka 60 mm černá</t>
  </si>
  <si>
    <t>9081331</t>
  </si>
  <si>
    <t>107041</t>
  </si>
  <si>
    <t>HETTICH 9081331 kabelová průchodka 60 mm hliník</t>
  </si>
  <si>
    <t>9081332</t>
  </si>
  <si>
    <t>187025</t>
  </si>
  <si>
    <t>HETTICH 9081332 kabelová průchodka 60 mm šedá</t>
  </si>
  <si>
    <t>9081657</t>
  </si>
  <si>
    <t>288653</t>
  </si>
  <si>
    <t>HETTICH 9081657 montážní pomůcka pro omezovač úhlu</t>
  </si>
  <si>
    <t>9081923</t>
  </si>
  <si>
    <t>264195</t>
  </si>
  <si>
    <t>HETTICH 9081923 Sensys adaptér pro skleněné dveře</t>
  </si>
  <si>
    <t>9082130</t>
  </si>
  <si>
    <t>187045</t>
  </si>
  <si>
    <t>HETTICH 9082130 zásuvka na psací potřeby 292 mm</t>
  </si>
  <si>
    <t>9082136</t>
  </si>
  <si>
    <t>153046</t>
  </si>
  <si>
    <t>HETTICH 9082136 Úchytka CELISTA 160/128 mm černá matná</t>
  </si>
  <si>
    <t>9082137</t>
  </si>
  <si>
    <t>133883</t>
  </si>
  <si>
    <t>HETTICH 9082137 Úchytka CELISTA 160/128 mm bílá matná</t>
  </si>
  <si>
    <t>9082221</t>
  </si>
  <si>
    <t>187055</t>
  </si>
  <si>
    <t>HETTICH 9082221 dělící příčka Arens Classic stříbrná</t>
  </si>
  <si>
    <t>9082232</t>
  </si>
  <si>
    <t>187062</t>
  </si>
  <si>
    <t>HETTICH 9082232 Revo 90° police Arena Classic stříbrná 800x800 mm</t>
  </si>
  <si>
    <t>9082233</t>
  </si>
  <si>
    <t>187063</t>
  </si>
  <si>
    <t>HETTICH 9082233 Revo 90° police Arena Classic stříbrná 900x900 mm</t>
  </si>
  <si>
    <t>9082247</t>
  </si>
  <si>
    <t>187067</t>
  </si>
  <si>
    <t>HETTICH 9082247 Dispenza police Arena Classic 300 mm stříbrná</t>
  </si>
  <si>
    <t>9082249</t>
  </si>
  <si>
    <t>187068</t>
  </si>
  <si>
    <t>HETTICH 9082249 Dispenza police Arena Classic 400 mm stříbrná</t>
  </si>
  <si>
    <t>9082353</t>
  </si>
  <si>
    <t>104368</t>
  </si>
  <si>
    <t>HETTICH 9082353 Easys sada montážních profilů, L750 mm</t>
  </si>
  <si>
    <t>9082356</t>
  </si>
  <si>
    <t>161050</t>
  </si>
  <si>
    <t>HETTICH 9082356 Easys sada montážních profilů 1000 mm</t>
  </si>
  <si>
    <t>9082357</t>
  </si>
  <si>
    <t>104367</t>
  </si>
  <si>
    <t>HETTICH 9082357 Easys instalační sada</t>
  </si>
  <si>
    <t>9082358</t>
  </si>
  <si>
    <t>104369</t>
  </si>
  <si>
    <t>HETTICH 9082358 Easys montážní úhelník</t>
  </si>
  <si>
    <t>9082360</t>
  </si>
  <si>
    <t>104374</t>
  </si>
  <si>
    <t>HETTICH 9082360 Easys rozdělovač</t>
  </si>
  <si>
    <t>9082362</t>
  </si>
  <si>
    <t>104373</t>
  </si>
  <si>
    <t>HETTICH 9082362 Easys prodlužovací kabel 1500</t>
  </si>
  <si>
    <t>9082363</t>
  </si>
  <si>
    <t>104370</t>
  </si>
  <si>
    <t>HETTICH 9082363 Easys síťový napájecí zdroj</t>
  </si>
  <si>
    <t>9082364</t>
  </si>
  <si>
    <t>104371</t>
  </si>
  <si>
    <t>HETTICH 9082364 Easys držák napájecího zdroje</t>
  </si>
  <si>
    <t>9082365</t>
  </si>
  <si>
    <t>104363</t>
  </si>
  <si>
    <t>HETTICH 9082365 Easys doraz k zapuštění</t>
  </si>
  <si>
    <t>9082379</t>
  </si>
  <si>
    <t>208824</t>
  </si>
  <si>
    <t>HETTICH 9082379 zásuvka na psací potřeby hliník</t>
  </si>
  <si>
    <t>9082429</t>
  </si>
  <si>
    <t>107651</t>
  </si>
  <si>
    <t>HETTICH 9082429 Šroub pro misku-sklo 5,5-6,5</t>
  </si>
  <si>
    <t>9082612</t>
  </si>
  <si>
    <t>350600</t>
  </si>
  <si>
    <t>HETTICH 9082612 krytka pro ramínko závěsu (kromě 165°) bez loga nikl</t>
  </si>
  <si>
    <t>9082774</t>
  </si>
  <si>
    <t>518907</t>
  </si>
  <si>
    <t>HETTICH 9082774 Sensys krytka ramínka, logo Hettich</t>
  </si>
  <si>
    <t>9083739</t>
  </si>
  <si>
    <t>485069</t>
  </si>
  <si>
    <t>HETTICH 9083739 Quadro V6 520mm/30kg EB12,5 SiSy L</t>
  </si>
  <si>
    <t>9083740</t>
  </si>
  <si>
    <t>485070</t>
  </si>
  <si>
    <t>HETTICH 9083740 Quadro V6 520mm/30kg EB12,5 SiSy P</t>
  </si>
  <si>
    <t>9084515</t>
  </si>
  <si>
    <t>208827</t>
  </si>
  <si>
    <t>HETTICH 9084515 vrtací šablona BlueJig Quadro Start</t>
  </si>
  <si>
    <t>548086</t>
  </si>
  <si>
    <t>HETTICH 9084515 vrtací šablona BlueJig Quadro Start PD-50</t>
  </si>
  <si>
    <t>9084790</t>
  </si>
  <si>
    <t>187178</t>
  </si>
  <si>
    <t>HETTICH 9084790 Easys kabel antikolizní ochrany</t>
  </si>
  <si>
    <t>9084794</t>
  </si>
  <si>
    <t>187179</t>
  </si>
  <si>
    <t>HETTICH 9084794 Easys kabel "Y" pro senzor</t>
  </si>
  <si>
    <t>9085654</t>
  </si>
  <si>
    <t>208854</t>
  </si>
  <si>
    <t>HETTICH 9085654 Spojovací šroub AVB 4 Slim 100 mm</t>
  </si>
  <si>
    <t>9086247</t>
  </si>
  <si>
    <t>119291</t>
  </si>
  <si>
    <t>HETTICH 9086247 Innotech podél.rel.vn.zás.470</t>
  </si>
  <si>
    <t>9086348</t>
  </si>
  <si>
    <t>187240</t>
  </si>
  <si>
    <t>HETTICH 9086348 tužkovnice 392 mm, černý plast</t>
  </si>
  <si>
    <t>9086400</t>
  </si>
  <si>
    <t>187241</t>
  </si>
  <si>
    <t>HETTICH 9086400 Easys vrtací přípravek</t>
  </si>
  <si>
    <t>9086687</t>
  </si>
  <si>
    <t>105901</t>
  </si>
  <si>
    <t>HETTICH 9086687 Úchytka Touch-In 172 imitace nerezi zápustná</t>
  </si>
  <si>
    <t>9086688</t>
  </si>
  <si>
    <t>119243</t>
  </si>
  <si>
    <t>HETTICH 9086688 Úchytka TOUCH-IN hranatá 181/172 mm chrom lesklý</t>
  </si>
  <si>
    <t>9086689</t>
  </si>
  <si>
    <t>107062</t>
  </si>
  <si>
    <t>HETTICH 9086689 Úchytka TOUCH-IN kulatá nerez broušený</t>
  </si>
  <si>
    <t>9086690</t>
  </si>
  <si>
    <t>159884</t>
  </si>
  <si>
    <t>HETTICH 9086690 Úchytka TOUCH-IN kulatá chrom lesklý</t>
  </si>
  <si>
    <t>9086691</t>
  </si>
  <si>
    <t>106193</t>
  </si>
  <si>
    <t>HETTICH 9086691 Úchytka Touch-In 172 imitace nerezi zápustná</t>
  </si>
  <si>
    <t>9086693</t>
  </si>
  <si>
    <t>105695</t>
  </si>
  <si>
    <t>HETTICH 9086693 Úchytka TOUCH-IN kulatá nerez broušený</t>
  </si>
  <si>
    <t>9086694</t>
  </si>
  <si>
    <t>105656</t>
  </si>
  <si>
    <t>HETTICH 9086694 Úchytka TOUCH-IN kulatá chrom lesklý</t>
  </si>
  <si>
    <t>9086695</t>
  </si>
  <si>
    <t>130326</t>
  </si>
  <si>
    <t>HETTICH 9086695 Krytka Touch-In hranatá výplň plast ABS nelakovaná</t>
  </si>
  <si>
    <t>9086696</t>
  </si>
  <si>
    <t>127861</t>
  </si>
  <si>
    <t>HETTICH 9086696 Krytka Touch-In hranatá výplň imitace nerezi</t>
  </si>
  <si>
    <t>9086698</t>
  </si>
  <si>
    <t>108332</t>
  </si>
  <si>
    <t>HETTICH 9086698 Úchytka TOUCH-IN kulatá výplň</t>
  </si>
  <si>
    <t>9086714</t>
  </si>
  <si>
    <t>104372</t>
  </si>
  <si>
    <t>HETTICH 9086714 Easys úhelník pro záda</t>
  </si>
  <si>
    <t>9087529</t>
  </si>
  <si>
    <t>545332</t>
  </si>
  <si>
    <t>HETTICH 9087529 Sensys závěs rámový slepý úhel naložený 90°/95° TH vrut SiSy</t>
  </si>
  <si>
    <t>9088016</t>
  </si>
  <si>
    <t>300327</t>
  </si>
  <si>
    <t>HETTICH 9088016 Sensys 8639I 95° W30 naložený SiSy</t>
  </si>
  <si>
    <t>9088017</t>
  </si>
  <si>
    <t>300328</t>
  </si>
  <si>
    <t>HETTICH 9088017 Sensys 8639I W30 B-16 TH52 SiSy</t>
  </si>
  <si>
    <t>9088018</t>
  </si>
  <si>
    <t>300329</t>
  </si>
  <si>
    <t>HETTICH 9088018 Sensys 8639i úhlový 45° plně naložený W45 B9 TH52 SiSy vrut</t>
  </si>
  <si>
    <t>9088019</t>
  </si>
  <si>
    <t>104801</t>
  </si>
  <si>
    <t>HETTICH 9088019 Sensys závěs úhlový naložený 45°/95° TH vrut SiSy</t>
  </si>
  <si>
    <t>9088020</t>
  </si>
  <si>
    <t>300331</t>
  </si>
  <si>
    <t>HETTICH 9088020 Sensys 8639i úhlový 45° vložený W45 B-25 TH52 SiSy vrut</t>
  </si>
  <si>
    <t>9088021</t>
  </si>
  <si>
    <t>104802</t>
  </si>
  <si>
    <t>HETTICH 9088021 Sensys závěs slepý úhel vložený 90°/95° TH vrut SiSy</t>
  </si>
  <si>
    <t>9088022</t>
  </si>
  <si>
    <t>300332</t>
  </si>
  <si>
    <t>HETTICH 9088022 Sensys závěs úhlový naložený 30°/95° TB vrut SiSy</t>
  </si>
  <si>
    <t>9088024</t>
  </si>
  <si>
    <t>300334</t>
  </si>
  <si>
    <t>HETTICH 9088024 Sensys závěs úhlový zcela naložený 45°/95° TB vrut SiSy</t>
  </si>
  <si>
    <t>9088025</t>
  </si>
  <si>
    <t>300335</t>
  </si>
  <si>
    <t>HETTICH 9088025 Sensys 8639i W45 B-2 TB52 SiSy</t>
  </si>
  <si>
    <t>9088027</t>
  </si>
  <si>
    <t>300337</t>
  </si>
  <si>
    <t>HETTICH 9088027 Sensys závěs slepý úhel vložený 90°/95° TB vrut SiSy</t>
  </si>
  <si>
    <t>9088036</t>
  </si>
  <si>
    <t>300340</t>
  </si>
  <si>
    <t>HETTICH 9088036 Sensys 8639i W45 B9 TH53 SiSy</t>
  </si>
  <si>
    <t>9088037</t>
  </si>
  <si>
    <t>300341</t>
  </si>
  <si>
    <t>HETTICH 9088037 Sensys 8639i W45 B-2 TH53 SiSy</t>
  </si>
  <si>
    <t>9088039</t>
  </si>
  <si>
    <t>300343</t>
  </si>
  <si>
    <t>HETTICH 9088039 Sensys 8639i W90 B4 TH53 SiSy</t>
  </si>
  <si>
    <t>9088045</t>
  </si>
  <si>
    <t>300349</t>
  </si>
  <si>
    <t>HETTICH 9088045 Sensys 8639i 95° W90 vložený SiSy</t>
  </si>
  <si>
    <t>9088070</t>
  </si>
  <si>
    <t>300350</t>
  </si>
  <si>
    <t>HETTICH 9088070 Sensys 8639i W30 B2 THS55 SiSy</t>
  </si>
  <si>
    <t>9088076</t>
  </si>
  <si>
    <t>300356</t>
  </si>
  <si>
    <t>HETTICH 9088076 Sensys závěs úhlový naložený 30°/95° TB Fix SiSy</t>
  </si>
  <si>
    <t>9088078</t>
  </si>
  <si>
    <t>300358</t>
  </si>
  <si>
    <t>HETTICH 9088078 Sensys závěs úhlový zcela naložený 45°/95° TB Fix SiSy</t>
  </si>
  <si>
    <t>9088081</t>
  </si>
  <si>
    <t>300361</t>
  </si>
  <si>
    <t>HETTICH 9088081 Sensys závěs slepý úhel vložený 90°/95° TB Fix SiSy</t>
  </si>
  <si>
    <t>9088084</t>
  </si>
  <si>
    <t>482715</t>
  </si>
  <si>
    <t>HETTICH 9088084 Sensys 8639i úhlový 45° naložený SiSy hmoždinky DALNO</t>
  </si>
  <si>
    <t>9088087</t>
  </si>
  <si>
    <t>482710</t>
  </si>
  <si>
    <t>HETTICH 9088087 Sensys 8639i slepý úhel vložený SiSy hmoždinky DALNO</t>
  </si>
  <si>
    <t>300367</t>
  </si>
  <si>
    <t>HETTICH 9088087 Sensys 8639i W90 B4 TH58 SiSy</t>
  </si>
  <si>
    <t>9088102</t>
  </si>
  <si>
    <t>300376</t>
  </si>
  <si>
    <t>HETTICH 9088102 Sensys 8639 95° W45 B9 TH52</t>
  </si>
  <si>
    <t>9088103</t>
  </si>
  <si>
    <t>300377</t>
  </si>
  <si>
    <t>HETTICH 9088103 Sensys 8639 W45 B-2 TH52</t>
  </si>
  <si>
    <t>9088104</t>
  </si>
  <si>
    <t>300378</t>
  </si>
  <si>
    <t>HETTICH 9088104 Sensys 8639 W45 B-25 TH52</t>
  </si>
  <si>
    <t>9088105</t>
  </si>
  <si>
    <t>300379</t>
  </si>
  <si>
    <t>HETTICH 9088105 Sensys 8639 W90 B4 TH52</t>
  </si>
  <si>
    <t>9088176</t>
  </si>
  <si>
    <t>300404</t>
  </si>
  <si>
    <t>HETTICH 9088176 Sensys 8669 W30 B2 TH52 P2O</t>
  </si>
  <si>
    <t>9088177</t>
  </si>
  <si>
    <t>300405</t>
  </si>
  <si>
    <t>HETTICH 9088177 Sensys 8669 W30 B-16 TH52 P2O</t>
  </si>
  <si>
    <t>9088178</t>
  </si>
  <si>
    <t>300406</t>
  </si>
  <si>
    <t>HETTICH 9088178 Sensys 8669 W45 B9 TH52 P2O</t>
  </si>
  <si>
    <t>9088179</t>
  </si>
  <si>
    <t>300407</t>
  </si>
  <si>
    <t>HETTICH 9088179 Sensys 8669 95° TH 52 W45 P2O</t>
  </si>
  <si>
    <t>9088180</t>
  </si>
  <si>
    <t>300408</t>
  </si>
  <si>
    <t>HETTICH 9088180 Sensys 8669 W45 B-25 TH52</t>
  </si>
  <si>
    <t>9088181</t>
  </si>
  <si>
    <t>250871</t>
  </si>
  <si>
    <t>HETTICH 9088181 Sensys 95° W90 TH52 P2O</t>
  </si>
  <si>
    <t>9088199</t>
  </si>
  <si>
    <t>300415</t>
  </si>
  <si>
    <t>HETTICH 9088199 Sensys 8669 W90 B4 TH53</t>
  </si>
  <si>
    <t>9088223</t>
  </si>
  <si>
    <t>300427</t>
  </si>
  <si>
    <t>HETTICH 9088223 Sensys 8669 W90 B4 TB55 P2O</t>
  </si>
  <si>
    <t>9088229</t>
  </si>
  <si>
    <t>482711</t>
  </si>
  <si>
    <t>HETTICH 9088229 Sensys 8669 slepý úhel vložený PTO hmoždinky DALNO</t>
  </si>
  <si>
    <t>9088242</t>
  </si>
  <si>
    <t>300434</t>
  </si>
  <si>
    <t>HETTICH 9088242 lineární montážní podložka k zalisování, D=0,5 mm</t>
  </si>
  <si>
    <t>9088243</t>
  </si>
  <si>
    <t>300435</t>
  </si>
  <si>
    <t>HETTICH 9088243 podložka Sensys linearní k zalisování D=3 mm</t>
  </si>
  <si>
    <t>9088245</t>
  </si>
  <si>
    <t>300437</t>
  </si>
  <si>
    <t>HETTICH 9088245 podložka Sensys lineární na vrut D=3 mm</t>
  </si>
  <si>
    <t>9088248</t>
  </si>
  <si>
    <t>300440</t>
  </si>
  <si>
    <t>HETTICH 9088248 9084931 podložka 8000 D=4,5 vrut</t>
  </si>
  <si>
    <t>9088249</t>
  </si>
  <si>
    <t>105422</t>
  </si>
  <si>
    <t>HETTICH 9088249 Sensys krytka ramínka</t>
  </si>
  <si>
    <t>482716</t>
  </si>
  <si>
    <t>HETTICH 9088249 Sensys krytka ramínka DALNO</t>
  </si>
  <si>
    <t>9088250</t>
  </si>
  <si>
    <t>105425</t>
  </si>
  <si>
    <t>HETTICH 9088250 Sensys krytka ramínka logo Hettich</t>
  </si>
  <si>
    <t>9088251</t>
  </si>
  <si>
    <t>105408</t>
  </si>
  <si>
    <t>HETTICH 9088251 Sensys krytka pro misku TH</t>
  </si>
  <si>
    <t>9088252</t>
  </si>
  <si>
    <t>300444</t>
  </si>
  <si>
    <t>HETTICH 9088252 Sensys krytka pro misku TB</t>
  </si>
  <si>
    <t>9088253</t>
  </si>
  <si>
    <t>391749</t>
  </si>
  <si>
    <t>HETTICH 9088253 Omezovač úhlu otevření pro Intermat 9943</t>
  </si>
  <si>
    <t>9088254</t>
  </si>
  <si>
    <t>410423</t>
  </si>
  <si>
    <t>HETTICH 9088254 Omezovač úhlu otevření pro Intermat 9936 a 9936 W 95°=&gt;85°</t>
  </si>
  <si>
    <t>9089566</t>
  </si>
  <si>
    <t>365267</t>
  </si>
  <si>
    <t>HETTICH 9089566 ozdobný adaptér P2O, obsidián</t>
  </si>
  <si>
    <t>9089585</t>
  </si>
  <si>
    <t>301111</t>
  </si>
  <si>
    <t>HETTICH 9089585 Push-To-Open Lock k našroubování</t>
  </si>
  <si>
    <t>9089586</t>
  </si>
  <si>
    <t>301112</t>
  </si>
  <si>
    <t>HETTICH 9089586 Push-To-Open Pin 14mm na plochu</t>
  </si>
  <si>
    <t>9089587</t>
  </si>
  <si>
    <t>301113</t>
  </si>
  <si>
    <t>HETTICH 9089587 Push-To-Open Pin 37 mm na plochu</t>
  </si>
  <si>
    <t>9089588</t>
  </si>
  <si>
    <t>301114</t>
  </si>
  <si>
    <t>HETTICH 9089588 Push-To-Open Pin 14 mm k našroubování</t>
  </si>
  <si>
    <t>9089589</t>
  </si>
  <si>
    <t>301115</t>
  </si>
  <si>
    <t>HETTICH 9089589 Push-To-Open Pin 37 mm k zavrtání</t>
  </si>
  <si>
    <t>9089590</t>
  </si>
  <si>
    <t>301116</t>
  </si>
  <si>
    <t>HETTICH 9089590 Push-To-Open magnet 14 mm na plochu</t>
  </si>
  <si>
    <t>9089595</t>
  </si>
  <si>
    <t>301121</t>
  </si>
  <si>
    <t>HETTICH 9089595 Push-To-Open Lock k našroubování</t>
  </si>
  <si>
    <t>9089597</t>
  </si>
  <si>
    <t>301123</t>
  </si>
  <si>
    <t>HETTICH 9089597 Push-To-Open Pin 37 mm silný</t>
  </si>
  <si>
    <t>9089599</t>
  </si>
  <si>
    <t>301125</t>
  </si>
  <si>
    <t>HETTICH 9089599 Push-To-Open Pin 37mm silný</t>
  </si>
  <si>
    <t>9089601</t>
  </si>
  <si>
    <t>288337</t>
  </si>
  <si>
    <t>HETTICH 9089601 pístek P2O s čočkou 37mm s adaptérem</t>
  </si>
  <si>
    <t>9089602</t>
  </si>
  <si>
    <t>288338</t>
  </si>
  <si>
    <t>HETTICH 9089602 pístek P2O s čočkou 14mm k zavrtání</t>
  </si>
  <si>
    <t>9089603</t>
  </si>
  <si>
    <t>288339</t>
  </si>
  <si>
    <t>HETTICH 9089603 pístek P2O s čočkou 37mm k zavrtání</t>
  </si>
  <si>
    <t>9089604</t>
  </si>
  <si>
    <t>288344</t>
  </si>
  <si>
    <t>HETTICH 9089604 pístek P2O s magnetem 14 s adaptérem</t>
  </si>
  <si>
    <t>9089606</t>
  </si>
  <si>
    <t>288346</t>
  </si>
  <si>
    <t>HETTICH 9089606 pístek P2O s magnetem 14 k zavrtání</t>
  </si>
  <si>
    <t>9089609</t>
  </si>
  <si>
    <t>301127</t>
  </si>
  <si>
    <t>HETTICH 9089609 Push-To-Open Lock k našroubování</t>
  </si>
  <si>
    <t>908961000</t>
  </si>
  <si>
    <t>288340</t>
  </si>
  <si>
    <t>HETTICH 9089610 pístek P2O s čočkou 14mm silný</t>
  </si>
  <si>
    <t>9089613</t>
  </si>
  <si>
    <t>288343</t>
  </si>
  <si>
    <t>HETTICH 9089613 pístek P2O s čočkou 37mm silný (k zapuštění)</t>
  </si>
  <si>
    <t>9089629</t>
  </si>
  <si>
    <t>301132</t>
  </si>
  <si>
    <t>HETTICH 9089629 Push-To-Open magnet 14 mm na plochu antracit</t>
  </si>
  <si>
    <t>9089630</t>
  </si>
  <si>
    <t>301133</t>
  </si>
  <si>
    <t>HETTICH 9089630 Push-To-Open magnet 37 mm na plochu antracit</t>
  </si>
  <si>
    <t>9089631</t>
  </si>
  <si>
    <t>301134</t>
  </si>
  <si>
    <t>HETTICH 9089631 Push-To-Open magnet 14mm k zavrtání antracit</t>
  </si>
  <si>
    <t>9089634</t>
  </si>
  <si>
    <t>301137</t>
  </si>
  <si>
    <t>HETTICH 9089634 Push-To-Open Lock k našroubování</t>
  </si>
  <si>
    <t>9089636</t>
  </si>
  <si>
    <t>301139</t>
  </si>
  <si>
    <t>HETTICH 9089636 Push-To-Open Pin 37 mm silný na plochu antracit</t>
  </si>
  <si>
    <t>9089637</t>
  </si>
  <si>
    <t>301140</t>
  </si>
  <si>
    <t>HETTICH 9089637 Push-To-Open Pin 14 mm silný</t>
  </si>
  <si>
    <t>9089638</t>
  </si>
  <si>
    <t>301141</t>
  </si>
  <si>
    <t>HETTICH 9089638 Push-To-Open Pin 37 mm silný k zavrtání antracit</t>
  </si>
  <si>
    <t>9090107</t>
  </si>
  <si>
    <t>300793</t>
  </si>
  <si>
    <t>HETTICH 9090107 Intermat 9930 W50 65° TH58</t>
  </si>
  <si>
    <t>9090109</t>
  </si>
  <si>
    <t>208857</t>
  </si>
  <si>
    <t>HETTICH 9090109 Intermat závěs roh. skříň 50°/65° TH Sensys vrut</t>
  </si>
  <si>
    <t>9090113</t>
  </si>
  <si>
    <t>300445</t>
  </si>
  <si>
    <t>HETTICH 9090113 Intermat 9930 W50 65° Fix</t>
  </si>
  <si>
    <t>9090115</t>
  </si>
  <si>
    <t>300797</t>
  </si>
  <si>
    <t>HETTICH 9090115 Intermat závěs roh. skříň 50°/65° TB Sensys vrut</t>
  </si>
  <si>
    <t>9090116</t>
  </si>
  <si>
    <t>300798</t>
  </si>
  <si>
    <t>HETTICH 9090116 Intermat 9930 W50 65° TB53</t>
  </si>
  <si>
    <t>9090119</t>
  </si>
  <si>
    <t>300446</t>
  </si>
  <si>
    <t>HETTICH 9090119 Intermat 9930 W50 65° Fix</t>
  </si>
  <si>
    <t>9090260</t>
  </si>
  <si>
    <t>264196</t>
  </si>
  <si>
    <t>HETTICH 9090260 Sensys závěs dveře 32mm naložený 95° TH vrut SiSy</t>
  </si>
  <si>
    <t>9090270</t>
  </si>
  <si>
    <t>264200</t>
  </si>
  <si>
    <t>HETTICH 9090270 Sensys závěs dveře 32mm polonaložený 95° TH vrut SiSy</t>
  </si>
  <si>
    <t>9090280</t>
  </si>
  <si>
    <t>264204</t>
  </si>
  <si>
    <t>HETTICH 9090280 Sensys závěs dveře 32mm vložený 95° TH vrut SiSy</t>
  </si>
  <si>
    <t>9090290</t>
  </si>
  <si>
    <t>264208</t>
  </si>
  <si>
    <t>HETTICH 9090290 Sensys závěs dveře 32mm naložený 95° TB vrut SiSy</t>
  </si>
  <si>
    <t>9090291</t>
  </si>
  <si>
    <t>264209</t>
  </si>
  <si>
    <t>HETTICH 9090291 Sensys 8631i B12,5 TB53 SiSy</t>
  </si>
  <si>
    <t>9090300</t>
  </si>
  <si>
    <t>264213</t>
  </si>
  <si>
    <t>HETTICH 9090300 Sensys závěs dveře 32mm polonaložený 95° TB vrut SiSy</t>
  </si>
  <si>
    <t>9090310</t>
  </si>
  <si>
    <t>264217</t>
  </si>
  <si>
    <t>HETTICH 9090310 Sensys 8631i vložený 95° SiSy, tl. až 32mm, 45x9.5, vrut</t>
  </si>
  <si>
    <t>9090350</t>
  </si>
  <si>
    <t>264221</t>
  </si>
  <si>
    <t>HETTICH 9090350 Sensys 8631 B12,5 TH52</t>
  </si>
  <si>
    <t>9090756</t>
  </si>
  <si>
    <t>264245</t>
  </si>
  <si>
    <t>HETTICH 9090756 Sensys omezovač úhlu otevření 165°&gt;105°/120° pro 165°</t>
  </si>
  <si>
    <t>350603</t>
  </si>
  <si>
    <t>HETTICH 909075600 omezovač otevření 165°&gt;105° A 120° pro Sensys 8657 a 8687</t>
  </si>
  <si>
    <t>9090845</t>
  </si>
  <si>
    <t>288348</t>
  </si>
  <si>
    <t>HETTICH 9090845 P2O protikus k našroubování</t>
  </si>
  <si>
    <t>9090846</t>
  </si>
  <si>
    <t>301142</t>
  </si>
  <si>
    <t>HETTICH 9090846 Push-To-Open protikus k zalisování</t>
  </si>
  <si>
    <t>9090864</t>
  </si>
  <si>
    <t>300465</t>
  </si>
  <si>
    <t>HETTICH 9090864 Sensys omezovač úhlu otevření 165°&gt;90°/135° pro 165°</t>
  </si>
  <si>
    <t>350604</t>
  </si>
  <si>
    <t>HETTICH 909086400 omezovač otevření 165°&gt;90° A 135° pro Sensys 8657 a 8687</t>
  </si>
  <si>
    <t>9090869</t>
  </si>
  <si>
    <t>301143</t>
  </si>
  <si>
    <t>HETTICH 9090869 Push-To-Open protikus k našroubování</t>
  </si>
  <si>
    <t>9090882</t>
  </si>
  <si>
    <t>300466</t>
  </si>
  <si>
    <t>HETTICH 9090882 Sensys podložka rámová D=0 mm</t>
  </si>
  <si>
    <t>9090884</t>
  </si>
  <si>
    <t>397948</t>
  </si>
  <si>
    <t>HETTICH 9090884 podložka Sensys křížová k našroubování, rám, D=4,5 mm</t>
  </si>
  <si>
    <t>9090888</t>
  </si>
  <si>
    <t>456732</t>
  </si>
  <si>
    <t>HETTICH 9090888 montážní pomůcka pro zapuštění Push to open</t>
  </si>
  <si>
    <t>9090967</t>
  </si>
  <si>
    <t>518721</t>
  </si>
  <si>
    <t>HETTICH 9090967 SENSYS 8631I 95° B12,5 TH52 OBSIDIÁN</t>
  </si>
  <si>
    <t>9091224</t>
  </si>
  <si>
    <t>518854</t>
  </si>
  <si>
    <t>HETTICH 9091224 Sensys 8631i naložený 95° úzký alu rámeček SiSy obsidián</t>
  </si>
  <si>
    <t>9091225</t>
  </si>
  <si>
    <t>518855</t>
  </si>
  <si>
    <t>HETTICH 9091225 Sensys 8631i polonaložený 95° úzký alu rámeček SiSy obsidián</t>
  </si>
  <si>
    <t>9091226</t>
  </si>
  <si>
    <t>518856</t>
  </si>
  <si>
    <t>HETTICH 9091226 Sensys 8631i vložený 95° úzký alu rámeček SiSy obsidián</t>
  </si>
  <si>
    <t>9091230</t>
  </si>
  <si>
    <t>518857</t>
  </si>
  <si>
    <t>HETTICH 9091230 SENSYS 8661 ALU B12,5 TA32 BEZ PRUŽINY OBSIDIÁN</t>
  </si>
  <si>
    <t>9091231</t>
  </si>
  <si>
    <t>518858</t>
  </si>
  <si>
    <t>HETTICH 9091231 SENSYS 8661 ALU B3 TA32 BEZ PRUŽINY OBSIDIÁN</t>
  </si>
  <si>
    <t>9091232</t>
  </si>
  <si>
    <t>518859</t>
  </si>
  <si>
    <t>HETTICH 9091232 SENSYS 8661 ALU B-4 TA32 BEZ PRUŽINY OBSIDIÁN</t>
  </si>
  <si>
    <t>9091460</t>
  </si>
  <si>
    <t>554075</t>
  </si>
  <si>
    <t>HETTICH 9091460 Sensys závěs dveře 32mm naložený 95° TS vrut SiSy</t>
  </si>
  <si>
    <t>9091490</t>
  </si>
  <si>
    <t>502482</t>
  </si>
  <si>
    <t>HETTICH 9091490 Sensys 8631 naložený 95° pružina, tl. až 32mm, 52x5.5, vrut</t>
  </si>
  <si>
    <t>9091520</t>
  </si>
  <si>
    <t>421312</t>
  </si>
  <si>
    <t>HETTICH 9091520 Sensys závěs dveře 32mm naložený 95° TB vrut pružina</t>
  </si>
  <si>
    <t>9091530</t>
  </si>
  <si>
    <t>421314</t>
  </si>
  <si>
    <t>HETTICH 9091530 Sensys závěs dveře 32mm polonaložený 95° TB vrut pružina</t>
  </si>
  <si>
    <t>9091540</t>
  </si>
  <si>
    <t>421316</t>
  </si>
  <si>
    <t>HETTICH 9091540 Sensys 8631 vložený 95° pružina, tl. až 32mm, 45x9.5, vrut</t>
  </si>
  <si>
    <t>9091580</t>
  </si>
  <si>
    <t>402364</t>
  </si>
  <si>
    <t>HETTICH 9091580 Sensys 8661 B12,5 TH52 P2O</t>
  </si>
  <si>
    <t>9091610</t>
  </si>
  <si>
    <t>421313</t>
  </si>
  <si>
    <t>HETTICH 9091610 Sensys závěs dveře 32mm naložený 95° TB vrut PTO</t>
  </si>
  <si>
    <t>9091620</t>
  </si>
  <si>
    <t>421315</t>
  </si>
  <si>
    <t>HETTICH 9091620 Sensys závěs dveře 32mm polonaložený 95° TB vrut PTO</t>
  </si>
  <si>
    <t>9091630</t>
  </si>
  <si>
    <t>421317</t>
  </si>
  <si>
    <t>HETTICH 9091630 Sensys 8661 vložený 95° P2O, tl. až 32mm, 45x9.5, vrut</t>
  </si>
  <si>
    <t>9091738</t>
  </si>
  <si>
    <t>344691</t>
  </si>
  <si>
    <t>HETTICH 9091738 Sensys závěs naložený 110° TH vrut SiSy OBS</t>
  </si>
  <si>
    <t>9091739</t>
  </si>
  <si>
    <t>344692</t>
  </si>
  <si>
    <t>HETTICH 9091739 Sensys 8645i B3 TH52 SiSy obsidián</t>
  </si>
  <si>
    <t>9091740</t>
  </si>
  <si>
    <t>344693</t>
  </si>
  <si>
    <t>HETTICH 9091740 Sensys 8645i B-4 TH52 SiSy obsidián</t>
  </si>
  <si>
    <t>9091741</t>
  </si>
  <si>
    <t>344694</t>
  </si>
  <si>
    <t>HETTICH 9091741 Sensys závěs naložený 110° TH vrut PTO OBS</t>
  </si>
  <si>
    <t>9091742</t>
  </si>
  <si>
    <t>344695</t>
  </si>
  <si>
    <t>HETTICH 9091742 Sensys 8675 B3 TH52 P2O obsidián</t>
  </si>
  <si>
    <t>9091743</t>
  </si>
  <si>
    <t>344696</t>
  </si>
  <si>
    <t>HETTICH 9091743 Sensys 8675 B-4 TH52 P2O obsidián</t>
  </si>
  <si>
    <t>9091744</t>
  </si>
  <si>
    <t>344697</t>
  </si>
  <si>
    <t>HETTICH 9091744 Sensys 8638i naložený B12,5 SiSy pro alu rámeček obsidián</t>
  </si>
  <si>
    <t>9091745</t>
  </si>
  <si>
    <t>344698</t>
  </si>
  <si>
    <t>HETTICH 9091745 Sensys 8639i W30 B2 TH52 SiSy obsidián</t>
  </si>
  <si>
    <t>9091746</t>
  </si>
  <si>
    <t>344699</t>
  </si>
  <si>
    <t>HETTICH 9091746 Sensys 8639i W45 B9 TH52 SiSy obsidián</t>
  </si>
  <si>
    <t>9091747</t>
  </si>
  <si>
    <t>344700</t>
  </si>
  <si>
    <t>HETTICH 9091747 Sensys 8639i W45 B-2 TH52 SiSy obsidián</t>
  </si>
  <si>
    <t>9091748</t>
  </si>
  <si>
    <t>344701</t>
  </si>
  <si>
    <t>HETTICH 9091748 Sensys 8639i W90 B4 TH52 SiSy obsidián</t>
  </si>
  <si>
    <t>9091749</t>
  </si>
  <si>
    <t>344702</t>
  </si>
  <si>
    <t>HETTICH 9091749 Sensys 8669 W30 B2 TH52 P2O obsidián</t>
  </si>
  <si>
    <t>9091752</t>
  </si>
  <si>
    <t>344705</t>
  </si>
  <si>
    <t>HETTICH 9091752 Sensys 8669 W90 B4 TH52 P2O obsidián</t>
  </si>
  <si>
    <t>9091753</t>
  </si>
  <si>
    <t>344706</t>
  </si>
  <si>
    <t>HETTICH 9091753 Sensys 8631i B12,5 TH52 SiSy obsidián</t>
  </si>
  <si>
    <t>9091754</t>
  </si>
  <si>
    <t>518722</t>
  </si>
  <si>
    <t>HETTICH 9091754 Sensys 8631i naložený 95° dveře až 32mm TH52 hmoždinky Obsidián</t>
  </si>
  <si>
    <t>9091755</t>
  </si>
  <si>
    <t>344707</t>
  </si>
  <si>
    <t>HETTICH 9091755 Sensys 8631i B3 TH52 SiSy obsidián</t>
  </si>
  <si>
    <t>9091756</t>
  </si>
  <si>
    <t>344708</t>
  </si>
  <si>
    <t>HETTICH 9091756 Sensys 8631i B-4 TH52 SiSy obsidián</t>
  </si>
  <si>
    <t>9091757</t>
  </si>
  <si>
    <t>518724</t>
  </si>
  <si>
    <t>HETTICH 9091757 SENSYS 8631I 95° B-4 TH58 OBSIDIÁN</t>
  </si>
  <si>
    <t>9091758</t>
  </si>
  <si>
    <t>344709</t>
  </si>
  <si>
    <t>HETTICH 9091758 Sensys 8661 B12,5 TH52 P2O obsidián</t>
  </si>
  <si>
    <t>9091760</t>
  </si>
  <si>
    <t>344711</t>
  </si>
  <si>
    <t>HETTICH 9091760 Sensys 8661 B-4 TH52 P2O obsidián</t>
  </si>
  <si>
    <t>9091761</t>
  </si>
  <si>
    <t>344712</t>
  </si>
  <si>
    <t>HETTICH 9091761 Sensys 8646i B12,5 TH52 SiSy obsidián</t>
  </si>
  <si>
    <t>9091762</t>
  </si>
  <si>
    <t>344713</t>
  </si>
  <si>
    <t>HETTICH 9091762 Sensys 8646i B3 TH52 SiSy obsidián</t>
  </si>
  <si>
    <t>9091763</t>
  </si>
  <si>
    <t>344714</t>
  </si>
  <si>
    <t>HETTICH 9091763 Sensys 8646i B-4 TH52 SiSy obsidián</t>
  </si>
  <si>
    <t>9091764</t>
  </si>
  <si>
    <t>344715</t>
  </si>
  <si>
    <t>HETTICH 9091764 závěs Sensys naložený TH dveře od 10mm PTO obsidián</t>
  </si>
  <si>
    <t>9091765</t>
  </si>
  <si>
    <t>344716</t>
  </si>
  <si>
    <t>HETTICH 9091765 Sensys 8676 B3 TH52 P2O obsidián</t>
  </si>
  <si>
    <t>9091767</t>
  </si>
  <si>
    <t>344718</t>
  </si>
  <si>
    <t>HETTICH 9091767 Sensys závěs nulový přesah naložený 165° TH vrut SiSy OBS</t>
  </si>
  <si>
    <t>9091768</t>
  </si>
  <si>
    <t>344719</t>
  </si>
  <si>
    <t>HETTICH 9091768 Sensys 8657i B3 TH52 SiSy obsidián</t>
  </si>
  <si>
    <t>9091769</t>
  </si>
  <si>
    <t>344720</t>
  </si>
  <si>
    <t>HETTICH 9091769 Sensys závěs nulový přesah naložený 165° TH vrut PTO OBS</t>
  </si>
  <si>
    <t>9091770</t>
  </si>
  <si>
    <t>344721</t>
  </si>
  <si>
    <t>HETTICH 9091770 Sensys 8687 B3 TH52 P2O obsidián</t>
  </si>
  <si>
    <t>9091771</t>
  </si>
  <si>
    <t>482730</t>
  </si>
  <si>
    <t>HETTICH 9091771 Sensys 8645i naložený SiSy obsidián hmoždinky DALNO</t>
  </si>
  <si>
    <t>556522</t>
  </si>
  <si>
    <t>HETTICH 9091771 Sensys závěs naložený 110° SiSy hmoždinka TH obsidián</t>
  </si>
  <si>
    <t>9091772</t>
  </si>
  <si>
    <t>518665</t>
  </si>
  <si>
    <t>HETTICH 9091772 Sensys polonaložený 110° SiSy TH hmoždinka obsidián</t>
  </si>
  <si>
    <t>9091773</t>
  </si>
  <si>
    <t>518667</t>
  </si>
  <si>
    <t>HETTICH 9091773 SENSYS 8645I 110° B-4 TH58 OBSIDIÁN</t>
  </si>
  <si>
    <t>9091774</t>
  </si>
  <si>
    <t>482729</t>
  </si>
  <si>
    <t>HETTICH 9091774 Sensys 8675 naložený PTO obsidián hmoždinky DALNO</t>
  </si>
  <si>
    <t>9091775</t>
  </si>
  <si>
    <t>518668</t>
  </si>
  <si>
    <t>HETTICH 9091775 SENSYS 8675 110° B3 TH58 BEZ PRUŽINY PRO PUSH TO OPEN OBSIDIÁN</t>
  </si>
  <si>
    <t>9091776</t>
  </si>
  <si>
    <t>518669</t>
  </si>
  <si>
    <t>HETTICH 9091776 SENSYS 8675 110° B-4 TH58 BEZ PRUŽINY PRO PUSH TO OPEN OBSIDIÁN</t>
  </si>
  <si>
    <t>9091777</t>
  </si>
  <si>
    <t>518828</t>
  </si>
  <si>
    <t>HETTICH 9091777 SENSYS 8639I W30 B2 TH58 OBSIDIÁN</t>
  </si>
  <si>
    <t>9091778</t>
  </si>
  <si>
    <t>518833</t>
  </si>
  <si>
    <t>HETTICH 9091778 SENSYS 8639I W45 B9 TH58 OBSIDIÁN</t>
  </si>
  <si>
    <t>9091779</t>
  </si>
  <si>
    <t>482733</t>
  </si>
  <si>
    <t>HETTICH 9091779 Sensys 8639i úhlový 45° naložený SiSy obsidián hmoždinky DALNO</t>
  </si>
  <si>
    <t>9091780</t>
  </si>
  <si>
    <t>482725</t>
  </si>
  <si>
    <t>HETTICH 9091780 Sensys 8639i slepý úhel vložený SiSy obsidián hmoždinky DALNO</t>
  </si>
  <si>
    <t>9091781</t>
  </si>
  <si>
    <t>518829</t>
  </si>
  <si>
    <t>HETTICH 9091781 SENSYS 8669 W30 B2 TH58 BEZ PRUŽINY OBSIDIÁN</t>
  </si>
  <si>
    <t>9091782</t>
  </si>
  <si>
    <t>518835</t>
  </si>
  <si>
    <t>HETTICH 9091782 SENSYS 8669 W45 B9 TH58 BEZ PRUŽINY OBSIDIÁN</t>
  </si>
  <si>
    <t>9091783</t>
  </si>
  <si>
    <t>518834</t>
  </si>
  <si>
    <t>HETTICH 9091783 SENSYS 8669 W45 B-2 TH58 BEZ PRUŽINY OBSIDIÁN</t>
  </si>
  <si>
    <t>9091785</t>
  </si>
  <si>
    <t>518723</t>
  </si>
  <si>
    <t>HETTICH 9091785 SENSYS 8631I 95° B3 TH58 OBSIDIÁN</t>
  </si>
  <si>
    <t>9091786</t>
  </si>
  <si>
    <t>518725</t>
  </si>
  <si>
    <t>HETTICH 9091786 SENSYS 8661 95° B12,5 TH58 BEZ PRUŽINY OBSIDIÁN</t>
  </si>
  <si>
    <t>9091787</t>
  </si>
  <si>
    <t>518726</t>
  </si>
  <si>
    <t>HETTICH 9091787 SENSYS 8661 95° B3 TH58 BEZ PRUŽINY OBSIDIÁN</t>
  </si>
  <si>
    <t>9091788</t>
  </si>
  <si>
    <t>518727</t>
  </si>
  <si>
    <t>HETTICH 9091788 SENSYS 8661 95° B-4 TH58 BEZ PRUŽINY OBSIDIÁN</t>
  </si>
  <si>
    <t>9091789</t>
  </si>
  <si>
    <t>482731</t>
  </si>
  <si>
    <t>HETTICH 9091789 Sensys 8657i 165° naložený SiSy obsidián hmoždinky DALNO</t>
  </si>
  <si>
    <t>556521</t>
  </si>
  <si>
    <t>HETTICH 9091789 Sensys naložený 165° nulový přesah SiSy TH hmoždinka obsidián</t>
  </si>
  <si>
    <t>9091790</t>
  </si>
  <si>
    <t>518816</t>
  </si>
  <si>
    <t>HETTICH 9091790 SENSYS 8657I 165° B3 TH58 OBSIDIÁN</t>
  </si>
  <si>
    <t>9091791</t>
  </si>
  <si>
    <t>482732</t>
  </si>
  <si>
    <t>HETTICH 9091791 Sensys 8687 165° naložený PTO obsidián hmoždinky DALNO</t>
  </si>
  <si>
    <t>9091792</t>
  </si>
  <si>
    <t>518817</t>
  </si>
  <si>
    <t>HETTICH 9091792 SENSYS 8687 165° B3 TH58 BEZ PRUŽINY OBSIDIÁN</t>
  </si>
  <si>
    <t>9091793</t>
  </si>
  <si>
    <t>518767</t>
  </si>
  <si>
    <t>HETTICH 9091793 Sensys 8646i naložený pro tenké dveře SiSy obsidián hmoždinka</t>
  </si>
  <si>
    <t>9091794</t>
  </si>
  <si>
    <t>518768</t>
  </si>
  <si>
    <t>HETTICH 9091794 SENSYS 8646I B3 TH58 OBSIDIÁN</t>
  </si>
  <si>
    <t>9091795</t>
  </si>
  <si>
    <t>518769</t>
  </si>
  <si>
    <t>HETTICH 9091795 SENSYS 8646I B-4 TH58 OBSIDIÁN</t>
  </si>
  <si>
    <t>9091796</t>
  </si>
  <si>
    <t>518770</t>
  </si>
  <si>
    <t>HETTICH 9091796 SENSYS 8676 B12,5 TH58 BEZ PRUŽINY OBSIDIÁN</t>
  </si>
  <si>
    <t>9091797</t>
  </si>
  <si>
    <t>518771</t>
  </si>
  <si>
    <t>HETTICH 9091797 SENSYS 8676 B3 TH58 BEZ PRUŽINY OBSIDIÁN</t>
  </si>
  <si>
    <t>9091798</t>
  </si>
  <si>
    <t>518772</t>
  </si>
  <si>
    <t>HETTICH 9091798 SENSYS 8676 B-4 TH58 BEZ PRUŽINY OBSIDIÁN</t>
  </si>
  <si>
    <t>9091799</t>
  </si>
  <si>
    <t>500607</t>
  </si>
  <si>
    <t>HETTICH 9091799 Sensys montážní podložka křížová D0 eurošroub OBS</t>
  </si>
  <si>
    <t>9091800</t>
  </si>
  <si>
    <t>511817</t>
  </si>
  <si>
    <t>HETTICH 9091800 montážní podložka Sensys D=1,5 eurošroub obsidián</t>
  </si>
  <si>
    <t>9091801</t>
  </si>
  <si>
    <t>512330</t>
  </si>
  <si>
    <t>HETTICH 9091801 montážní podložka Sensys D=3 eurošroub obsidián</t>
  </si>
  <si>
    <t>9091802</t>
  </si>
  <si>
    <t>511818</t>
  </si>
  <si>
    <t>HETTICH 9091802 montážní podložka Sensys D=5 eurošroub obsidián</t>
  </si>
  <si>
    <t>9091803</t>
  </si>
  <si>
    <t>344722</t>
  </si>
  <si>
    <t>HETTICH 9091803 křížová podložka s předmontovanými eurošrouby, D0, s excentrem</t>
  </si>
  <si>
    <t>9091804</t>
  </si>
  <si>
    <t>344723</t>
  </si>
  <si>
    <t>HETTICH 9091804 podložka Sensys excentr, eurošroub, D=1,5mm, obsidián</t>
  </si>
  <si>
    <t>9091805</t>
  </si>
  <si>
    <t>344724</t>
  </si>
  <si>
    <t>HETTICH 9091805 montážní podložka Sensys excentr eurošroub D=3 obsidián</t>
  </si>
  <si>
    <t>9091806</t>
  </si>
  <si>
    <t>344725</t>
  </si>
  <si>
    <t>HETTICH 9091806 MC82D-LR37*32-D5 obsidián</t>
  </si>
  <si>
    <t>9091808</t>
  </si>
  <si>
    <t>518887</t>
  </si>
  <si>
    <t>HETTICH 9091808 PODLOŽKA 8099 D1,5 DIREKT OBSIDIÁN</t>
  </si>
  <si>
    <t>9091811</t>
  </si>
  <si>
    <t>344726</t>
  </si>
  <si>
    <t>HETTICH 9091811 Sensys montážní podložka křížová mezis. D0 excentr hmoždinka OBS</t>
  </si>
  <si>
    <t>9091812</t>
  </si>
  <si>
    <t>344727</t>
  </si>
  <si>
    <t>HETTICH 9091812 Sensys montážní podložka křížová mez. D1,5 excentr hmoždinka OBS</t>
  </si>
  <si>
    <t>9091813</t>
  </si>
  <si>
    <t>344728</t>
  </si>
  <si>
    <t>HETTICH 9091813 Sensys montážní podložka křížová mezis. D3 excentr hmoždinka OBS</t>
  </si>
  <si>
    <t>9091814</t>
  </si>
  <si>
    <t>344729</t>
  </si>
  <si>
    <t>HETTICH 9091814 Sensys montážní podložka křížová mezis. D5 excentr hmoždinka OBS</t>
  </si>
  <si>
    <t>9091815</t>
  </si>
  <si>
    <t>518891</t>
  </si>
  <si>
    <t>HETTICH 9091815 montážní podložka lineární D0,5 vrut Obsidián</t>
  </si>
  <si>
    <t>9091820</t>
  </si>
  <si>
    <t>479346</t>
  </si>
  <si>
    <t>HETTICH 9091820 krytka ramínka Sensys kovová bez loga obsidián DALNO</t>
  </si>
  <si>
    <t>9091821</t>
  </si>
  <si>
    <t>344733</t>
  </si>
  <si>
    <t>HETTICH 9091821 Sensys krytka ramínka logo Hettich OBS</t>
  </si>
  <si>
    <t>9091822</t>
  </si>
  <si>
    <t>344734</t>
  </si>
  <si>
    <t>HETTICH 9091822 Sensys krytka pro misku TH OBS</t>
  </si>
  <si>
    <t>9091991</t>
  </si>
  <si>
    <t>518844</t>
  </si>
  <si>
    <t>HETTICH 9091991 SENSYS 8638I ALU B12,5 TA32 OBSIDIÁN</t>
  </si>
  <si>
    <t>9094270</t>
  </si>
  <si>
    <t>308058</t>
  </si>
  <si>
    <t>HETTICH 9094270 Sensys závěs dveře 10mm naložený 110° TH vrut SiSy</t>
  </si>
  <si>
    <t>9094276</t>
  </si>
  <si>
    <t>372560</t>
  </si>
  <si>
    <t>HETTICH 9094276 Sensys 8646i, Základna závěsu 12.5 mm, TH 58, naložený, SiSy</t>
  </si>
  <si>
    <t>9094280</t>
  </si>
  <si>
    <t>308454</t>
  </si>
  <si>
    <t>HETTICH 9094280 Sensys závěs dveře 10mm polonaložený 110° TH vrut SiSy</t>
  </si>
  <si>
    <t>9094281</t>
  </si>
  <si>
    <t>399146</t>
  </si>
  <si>
    <t>HETTICH 9094281 Sensys 8646i B3 TH53 polonaložený pro tenké dveře SiSy</t>
  </si>
  <si>
    <t>9094286</t>
  </si>
  <si>
    <t>399264</t>
  </si>
  <si>
    <t>HETTICH 9094286 Sensys 8646i B3, TH58, polonaložený pro tenké dveře, SiSy</t>
  </si>
  <si>
    <t>9094290</t>
  </si>
  <si>
    <t>308455</t>
  </si>
  <si>
    <t>HETTICH 9094290 Sensys závěs dveře 10mm vložený 110° TH vrut SiSy</t>
  </si>
  <si>
    <t>9094291</t>
  </si>
  <si>
    <t>399267</t>
  </si>
  <si>
    <t>HETTICH 9094291 Sensys 8646i B-4, TH53, vložený pro tenké dveře, SiSy</t>
  </si>
  <si>
    <t>9094296</t>
  </si>
  <si>
    <t>399268</t>
  </si>
  <si>
    <t>HETTICH 9094296 Sensys 8646i B-4, TH58, vložený pro tenké dveře, SiSy</t>
  </si>
  <si>
    <t>9094300</t>
  </si>
  <si>
    <t>421318</t>
  </si>
  <si>
    <t>HETTICH 9094300 Sensys závěs dveře 10mm naložený 110° TB vrut SiSy</t>
  </si>
  <si>
    <t>9094310</t>
  </si>
  <si>
    <t>421321</t>
  </si>
  <si>
    <t>HETTICH 9094310 Sensys závěs dveře 10mm polonaložený 110° TB vrut SiSy</t>
  </si>
  <si>
    <t>9094320</t>
  </si>
  <si>
    <t>421324</t>
  </si>
  <si>
    <t>HETTICH 9094320 Sensys závěs dveře 10mm vložený 110° TB vrut SiSy</t>
  </si>
  <si>
    <t>9094360</t>
  </si>
  <si>
    <t>300468</t>
  </si>
  <si>
    <t>HETTICH 9094360 Sensys 8646 B12,5 TH52</t>
  </si>
  <si>
    <t>9094361</t>
  </si>
  <si>
    <t>300469</t>
  </si>
  <si>
    <t>HETTICH 9094361 Sensys 8646 B12,5 TH53</t>
  </si>
  <si>
    <t>9094366</t>
  </si>
  <si>
    <t>300470</t>
  </si>
  <si>
    <t>HETTICH 9094366 Sensys 8646 B12,5 TH58</t>
  </si>
  <si>
    <t>9094370</t>
  </si>
  <si>
    <t>300471</t>
  </si>
  <si>
    <t>HETTICH 9094370 Sensys závěs dveře 10mm polonaložený 110° TH vrut pružina</t>
  </si>
  <si>
    <t>9094371</t>
  </si>
  <si>
    <t>300472</t>
  </si>
  <si>
    <t>HETTICH 9094371 Sensys 8646 B3 TH53</t>
  </si>
  <si>
    <t>9094376</t>
  </si>
  <si>
    <t>300473</t>
  </si>
  <si>
    <t>HETTICH 9094376 Sensys závěs dveře 10mm polonaložený 110° TH hmoždinka</t>
  </si>
  <si>
    <t>9094380</t>
  </si>
  <si>
    <t>300474</t>
  </si>
  <si>
    <t>HETTICH 9094380 Sensys závěs dveře 10mm vložený 110° TH vrut pružina</t>
  </si>
  <si>
    <t>9094390</t>
  </si>
  <si>
    <t>421319</t>
  </si>
  <si>
    <t>HETTICH 9094390 Sensys závěs dveře 10mm naložený 110° TB vrut pružina</t>
  </si>
  <si>
    <t>9094400</t>
  </si>
  <si>
    <t>421322</t>
  </si>
  <si>
    <t>HETTICH 9094400 Sensys závěs dveře 10mm polonaložený 110° TB vrut pružina</t>
  </si>
  <si>
    <t>9094410</t>
  </si>
  <si>
    <t>421325</t>
  </si>
  <si>
    <t>HETTICH 9094410 Sensys závěs dveře 10mm vložený 110° TB vrut pružina</t>
  </si>
  <si>
    <t>9094450</t>
  </si>
  <si>
    <t>336503</t>
  </si>
  <si>
    <t>HETTICH 9094450 Sensys závěs dveře 10mm naložený 110° TH vrut PTO</t>
  </si>
  <si>
    <t>9094451</t>
  </si>
  <si>
    <t>399131</t>
  </si>
  <si>
    <t>HETTICH 9094451 Sensys 8676 B12,5 TH53 110° naložený pro tenké dveře P2O</t>
  </si>
  <si>
    <t>9094456</t>
  </si>
  <si>
    <t>399134</t>
  </si>
  <si>
    <t>HETTICH 9094456 Sensys 8676 naložený 110° dvířko 10mm, 52x5,5 PTO hmoždinka</t>
  </si>
  <si>
    <t>9094460</t>
  </si>
  <si>
    <t>336506</t>
  </si>
  <si>
    <t>HETTICH 9094460 Sensys závěs dveře 10mm polonaložený 110° TH vrut PTO</t>
  </si>
  <si>
    <t>9094461</t>
  </si>
  <si>
    <t>399138</t>
  </si>
  <si>
    <t>HETTICH 9094461 Sensys 8676 B12,5 TH53 polonaložený pro tenké dveře P2O</t>
  </si>
  <si>
    <t>9094466</t>
  </si>
  <si>
    <t>399141</t>
  </si>
  <si>
    <t>HETTICH 9094466 Sensys 8676 B12,5 TH58 polonaložený pro tenké dveře P2O</t>
  </si>
  <si>
    <t>9094470</t>
  </si>
  <si>
    <t>346823</t>
  </si>
  <si>
    <t>HETTICH 9094470 Sensys závěs dveře 10mm vložený 110° TH vrut PTO</t>
  </si>
  <si>
    <t>9094476</t>
  </si>
  <si>
    <t>399317</t>
  </si>
  <si>
    <t>HETTICH 9094476 Sensys 8676 B-4 TH58, vložený, P2O</t>
  </si>
  <si>
    <t>9094480</t>
  </si>
  <si>
    <t>421320</t>
  </si>
  <si>
    <t>HETTICH 9094480 Sensys závěs dveře 10mm naložený 110° TB vrut PTO</t>
  </si>
  <si>
    <t>9094486</t>
  </si>
  <si>
    <t>500604</t>
  </si>
  <si>
    <t>HETTICH 9094486 Sensys 8676 naložený 110° dvířko 10mm, 45x9,5 PTO hmoždinka</t>
  </si>
  <si>
    <t>9094490</t>
  </si>
  <si>
    <t>421323</t>
  </si>
  <si>
    <t>HETTICH 9094490 Sensys závěs dveře 10mm polonaložený 110° TB vrut PTO</t>
  </si>
  <si>
    <t>9094500</t>
  </si>
  <si>
    <t>421326</t>
  </si>
  <si>
    <t>HETTICH 9094500 Sensys závěs dveře 10mm vložený 110° TB vrut PTO</t>
  </si>
  <si>
    <t>9097899</t>
  </si>
  <si>
    <t>127859</t>
  </si>
  <si>
    <t>HETTICH 9097899 Úchytka TOLFO 76/32 mm imitace nerezi</t>
  </si>
  <si>
    <t>9097900</t>
  </si>
  <si>
    <t>159282</t>
  </si>
  <si>
    <t>HETTICH 9097900 Úchytka TOLFO 76/32 mm chrom lesklý</t>
  </si>
  <si>
    <t>9097922</t>
  </si>
  <si>
    <t>187265</t>
  </si>
  <si>
    <t>HETTICH 9097922 Easys úhelník pro záda typ B</t>
  </si>
  <si>
    <t>9097923</t>
  </si>
  <si>
    <t>104365</t>
  </si>
  <si>
    <t>HETTICH 9097923 Easys držák rozdělovače</t>
  </si>
  <si>
    <t>9097946</t>
  </si>
  <si>
    <t>178645</t>
  </si>
  <si>
    <t>HETTICH 9097946 Úchytka VERONIA 176/160 mm imitace nerezi</t>
  </si>
  <si>
    <t>9097947</t>
  </si>
  <si>
    <t>179458</t>
  </si>
  <si>
    <t>HETTICH 9097947 Úchytka VERONIA 176/160 mm chrom lesklý</t>
  </si>
  <si>
    <t>9097950</t>
  </si>
  <si>
    <t>156953</t>
  </si>
  <si>
    <t>HETTICH 9097950 Úchytka RIALTO 189/160 mm imitace nerezi</t>
  </si>
  <si>
    <t>9097953</t>
  </si>
  <si>
    <t>162146</t>
  </si>
  <si>
    <t>HETTICH 9097953 Úchytka RIALTO 189/160 mm chrom lesklý</t>
  </si>
  <si>
    <t>9098724</t>
  </si>
  <si>
    <t>187272</t>
  </si>
  <si>
    <t>HETTICH 9098724 Atira příchyt čela, DesignSide, vrut</t>
  </si>
  <si>
    <t>9099023</t>
  </si>
  <si>
    <t>368016</t>
  </si>
  <si>
    <t>HETTICH 9099023 těsnění pro nožní pedál BM8</t>
  </si>
  <si>
    <t>9099042</t>
  </si>
  <si>
    <t>354218</t>
  </si>
  <si>
    <t>HETTICH 9099042 pružina 250N (13886/45033) pro HLB - píst obě strany</t>
  </si>
  <si>
    <t>9099043</t>
  </si>
  <si>
    <t>411999</t>
  </si>
  <si>
    <t>HETTICH 9099043 pružina 320N (1896NQ/KN479) pro HLB - píst obě strany</t>
  </si>
  <si>
    <t>9099044</t>
  </si>
  <si>
    <t>136406</t>
  </si>
  <si>
    <t>HETTICH 9099044 pružina 380N (13888/45035) pro HLB - píst obě strany</t>
  </si>
  <si>
    <t>9099540</t>
  </si>
  <si>
    <t>264246</t>
  </si>
  <si>
    <t>HETTICH 9099540 Sensys závěs dveře nulový přesah naložený 165° TH vrut SiSy</t>
  </si>
  <si>
    <t>9099541</t>
  </si>
  <si>
    <t>264247</t>
  </si>
  <si>
    <t>HETTICH 9099541 Sensys 8657i TH53 165° SiSy naložený</t>
  </si>
  <si>
    <t>9099542</t>
  </si>
  <si>
    <t>482712</t>
  </si>
  <si>
    <t>HETTICH 9099542 Sensys 8657i 165° naložený SiSy rychlomontáž Flash DALNO</t>
  </si>
  <si>
    <t>264248</t>
  </si>
  <si>
    <t>HETTICH 9099542 Sensys 8657i TH54 165° naložený SiSy</t>
  </si>
  <si>
    <t>9099543</t>
  </si>
  <si>
    <t>264249</t>
  </si>
  <si>
    <t>HETTICH 9099543 Sensys 8657i TH55 165° naložený SiSy</t>
  </si>
  <si>
    <t>9099546</t>
  </si>
  <si>
    <t>300477</t>
  </si>
  <si>
    <t>HETTICH 9099546 Sensys 8657i 165° B12,5 TH58 SiSy</t>
  </si>
  <si>
    <t>9099550</t>
  </si>
  <si>
    <t>264251</t>
  </si>
  <si>
    <t>HETTICH 9099550 Sensys závěs dveře velký úhel polonaložený 165° TH vrut SiSy</t>
  </si>
  <si>
    <t>350605</t>
  </si>
  <si>
    <t>HETTICH 909955001 Sensys 8657i 165° B3 TH52 SiSy</t>
  </si>
  <si>
    <t>9099551</t>
  </si>
  <si>
    <t>264252</t>
  </si>
  <si>
    <t>HETTICH 9099551 Sensys závěs polonaložený 165° TH lisování SiSy</t>
  </si>
  <si>
    <t>9099553</t>
  </si>
  <si>
    <t>264254</t>
  </si>
  <si>
    <t>HETTICH 9099553 Sensys 8657i TH55 165° SiSy polonaložený</t>
  </si>
  <si>
    <t>9099556</t>
  </si>
  <si>
    <t>300478</t>
  </si>
  <si>
    <t>HETTICH 9099556 Sensys závěs polonaložený 165° TH hmoždinka SiSy</t>
  </si>
  <si>
    <t>9099560</t>
  </si>
  <si>
    <t>264256</t>
  </si>
  <si>
    <t>HETTICH 9099560 Sensys závěs dveře nulový přesah naložený 165° TB vrut SiSy</t>
  </si>
  <si>
    <t>9099561</t>
  </si>
  <si>
    <t>264257</t>
  </si>
  <si>
    <t>HETTICH 9099561 Sensys 8657i B12,5 TB53 SiSy</t>
  </si>
  <si>
    <t>9099563</t>
  </si>
  <si>
    <t>264259</t>
  </si>
  <si>
    <t>HETTICH 9099563 Sensys závěs dveře nulový přesah naložený 165° TB Fix SiSy</t>
  </si>
  <si>
    <t>9099573</t>
  </si>
  <si>
    <t>264264</t>
  </si>
  <si>
    <t>HETTICH 9099573 Sensys 8657i B3 TB55 SiSy</t>
  </si>
  <si>
    <t>9099576</t>
  </si>
  <si>
    <t>300480</t>
  </si>
  <si>
    <t>HETTiCH 9099576 Sensys 8657i 165° B3 TB58 SiSy</t>
  </si>
  <si>
    <t>9099600</t>
  </si>
  <si>
    <t>264266</t>
  </si>
  <si>
    <t>HETTICH 9099600 Sensys závěs dveře nulový přesah naložený 165° TH vrut pružina</t>
  </si>
  <si>
    <t>9099601</t>
  </si>
  <si>
    <t>264267</t>
  </si>
  <si>
    <t>HETTICH 9099601 Sensys 8657 TH53 165°</t>
  </si>
  <si>
    <t>9099603</t>
  </si>
  <si>
    <t>264268</t>
  </si>
  <si>
    <t>HETTICH 9099603 Sensys 8657 TH55 165°</t>
  </si>
  <si>
    <t>9099610</t>
  </si>
  <si>
    <t>264269</t>
  </si>
  <si>
    <t>HETTICH 9099610 Sensys závěs dveře velký úhel polonaložený 165° TH vrut pružina</t>
  </si>
  <si>
    <t>9099620</t>
  </si>
  <si>
    <t>264272</t>
  </si>
  <si>
    <t>HETTICH 9099620 Sensys závěs dveře nulový přesah naložený 165° TB vrut pružina</t>
  </si>
  <si>
    <t>9099623</t>
  </si>
  <si>
    <t>264274</t>
  </si>
  <si>
    <t>HETTICH 9099623 Sensys závěs dveře nulový přesah naložený 165° TB Fix pružina</t>
  </si>
  <si>
    <t>9099660</t>
  </si>
  <si>
    <t>264278</t>
  </si>
  <si>
    <t>HETTICH 9099660 Sensys závěs dveře nulový přesah naložený 165° TH vrut PTO</t>
  </si>
  <si>
    <t>9099661</t>
  </si>
  <si>
    <t>264279</t>
  </si>
  <si>
    <t>HETTICH 9099661 Sensys 8687 B12,5 TH53, naložený, P2O</t>
  </si>
  <si>
    <t>9099663</t>
  </si>
  <si>
    <t>264280</t>
  </si>
  <si>
    <t>HETTICH 9099663 Sensys 8687 B12,5 TH55 P2O</t>
  </si>
  <si>
    <t>9099666</t>
  </si>
  <si>
    <t>482713</t>
  </si>
  <si>
    <t>HETTICH 9099666 Sensys 8687 165° naložený PTO hmoždinky DALNO</t>
  </si>
  <si>
    <t>9099670</t>
  </si>
  <si>
    <t>264281</t>
  </si>
  <si>
    <t>HETTICH 9099670 Sensys závěs dveře velký úhel polonaložený 165° TH vrut PTO</t>
  </si>
  <si>
    <t>9099680</t>
  </si>
  <si>
    <t>264284</t>
  </si>
  <si>
    <t>HETTICH 9099680 Sensys závěs dveře nulový přesah naložený 165° TB vrut PTO</t>
  </si>
  <si>
    <t>9099683</t>
  </si>
  <si>
    <t>264286</t>
  </si>
  <si>
    <t>HETTICH 9099683 Sensys závěs dveře nulový přesah naložený 165° TB Fix PTO</t>
  </si>
  <si>
    <t>9099750</t>
  </si>
  <si>
    <t>288352</t>
  </si>
  <si>
    <t>HETTICH 9099750 Sensys závěs nulový přesah naložený 165° TH IN vrut pružina</t>
  </si>
  <si>
    <t>9099751</t>
  </si>
  <si>
    <t>300489</t>
  </si>
  <si>
    <t>HETTICH 9099751 Sensys 8657 165° Intermat B12</t>
  </si>
  <si>
    <t>9099756</t>
  </si>
  <si>
    <t>300491</t>
  </si>
  <si>
    <t>HETTICH 9099756 Sensys 8657 165° Intermat B12 TH48</t>
  </si>
  <si>
    <t>9099760</t>
  </si>
  <si>
    <t>288353</t>
  </si>
  <si>
    <t>HETTICH 9099760 Sensys závěs polonaložený 165° TH Intermat vrut pružina</t>
  </si>
  <si>
    <t>9099810</t>
  </si>
  <si>
    <t>298415</t>
  </si>
  <si>
    <t>HETTICH 9099810 Sensys 8687 T42 K0 165° P2O</t>
  </si>
  <si>
    <t>9099820</t>
  </si>
  <si>
    <t>300505</t>
  </si>
  <si>
    <t>HETTICH 9099820 Sensys 8687 165° Intermat B3 P2O</t>
  </si>
  <si>
    <t>9099870</t>
  </si>
  <si>
    <t>300517</t>
  </si>
  <si>
    <t>HETTICH 9099870 Sensys krytka ramínka plast</t>
  </si>
  <si>
    <t>482718</t>
  </si>
  <si>
    <t>HETTICH 9099870 Sensys krytka ramínka plast DALNO</t>
  </si>
  <si>
    <t>9099871</t>
  </si>
  <si>
    <t>300518</t>
  </si>
  <si>
    <t>HETTICH 9099871 Sensys krytka ramínka 165° logo Hettich SiSy</t>
  </si>
  <si>
    <t>9100037</t>
  </si>
  <si>
    <t>288354</t>
  </si>
  <si>
    <t>HETTICH 9100037 Sensys tlumič otevření pro 165° naložený SiSy</t>
  </si>
  <si>
    <t>9100116</t>
  </si>
  <si>
    <t>300520</t>
  </si>
  <si>
    <t>HETTICH 9100116 tlumení otvírání pro závěs Sensys 165°</t>
  </si>
  <si>
    <t>9100852</t>
  </si>
  <si>
    <t>161055</t>
  </si>
  <si>
    <t>HETTICH 9100852 Easys prodlužení napájecího kabelu 2000 mm</t>
  </si>
  <si>
    <t>9101019</t>
  </si>
  <si>
    <t>208868</t>
  </si>
  <si>
    <t>HETTICH 9101019 cylindrická vložka Z23 18001-18500 SD</t>
  </si>
  <si>
    <t>9101552</t>
  </si>
  <si>
    <t>105363</t>
  </si>
  <si>
    <t>HETTICH 9101552 Intermat krytka ramínka bez loga ocel nikl</t>
  </si>
  <si>
    <t>9102082</t>
  </si>
  <si>
    <t>208689</t>
  </si>
  <si>
    <t>HETTICH 9102082 Intermat krytka ramínka logo Hettich ocel nikl</t>
  </si>
  <si>
    <t>9102858</t>
  </si>
  <si>
    <t>463364</t>
  </si>
  <si>
    <t>HETTICH 9102858 Quadro V6+ 470mm EB10,5 SiSy Ľ DALNO</t>
  </si>
  <si>
    <t>460576</t>
  </si>
  <si>
    <t>378443</t>
  </si>
  <si>
    <t>HETTICH 9102858 Quadro V6+/470 SiSy 50kg /ľavý /EB 10,5 DALNO</t>
  </si>
  <si>
    <t>9102860</t>
  </si>
  <si>
    <t>460577</t>
  </si>
  <si>
    <t>HETTICH 9102860 Quadro V6+ 470mm EB10,5 SiSy P DALNO</t>
  </si>
  <si>
    <t>463365</t>
  </si>
  <si>
    <t>378444</t>
  </si>
  <si>
    <t>HETTICH 9102860 Quadro V6+/470 SiSy 50kg /pravý /EB 10,5 DALNO</t>
  </si>
  <si>
    <t>9103006</t>
  </si>
  <si>
    <t>300521</t>
  </si>
  <si>
    <t>HETTICH 9103006 Sensys omezovač úhlu otevření 95°&gt;85° pro dveře 32mm pružina PTO</t>
  </si>
  <si>
    <t>9104107</t>
  </si>
  <si>
    <t>105554</t>
  </si>
  <si>
    <t>HETTICH 9104107 Atira příchyty čela vnitřní zásuvky 70, stříbrná</t>
  </si>
  <si>
    <t>460646</t>
  </si>
  <si>
    <t>HETTICH 9104107 Innotech roh.spoj.čiela vn. z70 DALNO</t>
  </si>
  <si>
    <t>9104118</t>
  </si>
  <si>
    <t>106754</t>
  </si>
  <si>
    <t>HETTICH 9104118 Innotech roh.spoj.čela100 144</t>
  </si>
  <si>
    <t>9105101</t>
  </si>
  <si>
    <t>103790</t>
  </si>
  <si>
    <t>HETTICH 9105101 Bin.it. Flex 500/600 odpadkový koš</t>
  </si>
  <si>
    <t>9105118</t>
  </si>
  <si>
    <t>178636</t>
  </si>
  <si>
    <t>HETTICH 9105118 Quadro V6 500 mm EB20 P2O L</t>
  </si>
  <si>
    <t>9105119</t>
  </si>
  <si>
    <t>178637</t>
  </si>
  <si>
    <t>HETTICH 9105119 Quadro V6 500 mm EB20 P2O P</t>
  </si>
  <si>
    <t>9105121</t>
  </si>
  <si>
    <t>178632</t>
  </si>
  <si>
    <t>HETTICH 9105121 Quadro V6 400 mm EB20 P2O L</t>
  </si>
  <si>
    <t>9105122</t>
  </si>
  <si>
    <t>178633</t>
  </si>
  <si>
    <t>HETTICH 9105122 Quadro V6 400 mm EB20 P2O P</t>
  </si>
  <si>
    <t>9105123</t>
  </si>
  <si>
    <t>187422</t>
  </si>
  <si>
    <t>HETTICH 9105123 Quadro V6 300 mm EB20 P2O L</t>
  </si>
  <si>
    <t>9105124</t>
  </si>
  <si>
    <t>187423</t>
  </si>
  <si>
    <t>HETTICH 9105124 Quadro V6 300 mm EB20 P2O P</t>
  </si>
  <si>
    <t>9105601</t>
  </si>
  <si>
    <t>301419</t>
  </si>
  <si>
    <t>HETTICH 9105601 Quadro 25 300 mm EB20 na čep SiSy</t>
  </si>
  <si>
    <t>9105602</t>
  </si>
  <si>
    <t>301420</t>
  </si>
  <si>
    <t>HETTICH 9105602 Quadro 25 300 mm EB20 na čep SiSy</t>
  </si>
  <si>
    <t>9105613</t>
  </si>
  <si>
    <t>301431</t>
  </si>
  <si>
    <t>HETTICH 9105613 Quadro 25 500 mm EB20 na čep Stop Control L</t>
  </si>
  <si>
    <t>9105614</t>
  </si>
  <si>
    <t>301432</t>
  </si>
  <si>
    <t>HETTICH 9105614 Quadro 25 500 mm EB20 na čep Stop Control P</t>
  </si>
  <si>
    <t>9105623</t>
  </si>
  <si>
    <t>350607</t>
  </si>
  <si>
    <t>HETTICH 910562300 QUADRO 25 350MM EB20 NA ČEP SILENT SYSTEM ČÁSTEČNÝ VÝSUV LEVÝ</t>
  </si>
  <si>
    <t>9105624</t>
  </si>
  <si>
    <t>350608</t>
  </si>
  <si>
    <t>HETTICH 910562400 QUADRO 2 350MM EB20 NA ČEP SILENT SYSTEM ČÁSTEČNÝ VÝSUV PRAVÝ</t>
  </si>
  <si>
    <t>9105627</t>
  </si>
  <si>
    <t>301443</t>
  </si>
  <si>
    <t>HETTICH 9105627 Quadro 25 400 mm EB20 SiSy</t>
  </si>
  <si>
    <t>9105628</t>
  </si>
  <si>
    <t>301444</t>
  </si>
  <si>
    <t>HETTICH 9105628 Quadro 25 400 mm EB20 SiSy</t>
  </si>
  <si>
    <t>9105630</t>
  </si>
  <si>
    <t>350610</t>
  </si>
  <si>
    <t>HETTICH 910563000 QUADRO 25 450MM EB20 NA ČEP SILENT SYSTEM ČÁSTEČNÝ VÝSUV PRAVÝ</t>
  </si>
  <si>
    <t>9105633</t>
  </si>
  <si>
    <t>301449</t>
  </si>
  <si>
    <t>HETTICH 9105633 Quadro 25 550 mm EB20 SiSy L</t>
  </si>
  <si>
    <t>9105634</t>
  </si>
  <si>
    <t>301450</t>
  </si>
  <si>
    <t>HETTICH 9105634 Quadro 25 550 mm EB20 SiSy</t>
  </si>
  <si>
    <t>9105639</t>
  </si>
  <si>
    <t>301455</t>
  </si>
  <si>
    <t>HETTICH 9105639 Quadro 25 300mm EB20 Stop Control L</t>
  </si>
  <si>
    <t>9105640</t>
  </si>
  <si>
    <t>301456</t>
  </si>
  <si>
    <t>HETTICH 9105640 Quadro 25 300mm EB20 Stop Control P</t>
  </si>
  <si>
    <t>9105643</t>
  </si>
  <si>
    <t>301459</t>
  </si>
  <si>
    <t>HETTICH 9105643 Quadro 25 350 mm EB20 Stop Control</t>
  </si>
  <si>
    <t>9105644</t>
  </si>
  <si>
    <t>301460</t>
  </si>
  <si>
    <t>HETTICH 9105644 Quadro 25 350 mm EB20 Stop Control</t>
  </si>
  <si>
    <t>9105647</t>
  </si>
  <si>
    <t>301463</t>
  </si>
  <si>
    <t>HETTICH 9105647 Quadro 25 400 mm EB20 Stop Control L</t>
  </si>
  <si>
    <t>9105648</t>
  </si>
  <si>
    <t>301464</t>
  </si>
  <si>
    <t>HETTICH 9105648 Quadro 25 400 mm EB20 Stop Control P</t>
  </si>
  <si>
    <t>9105651</t>
  </si>
  <si>
    <t>185367</t>
  </si>
  <si>
    <t>HETTICH 9105651 Quadro 25 450 mm EB20 L</t>
  </si>
  <si>
    <t>9105652</t>
  </si>
  <si>
    <t>185368</t>
  </si>
  <si>
    <t>HETTICH 9105652 Quadro 25 450 mm EB20 P</t>
  </si>
  <si>
    <t>9105655</t>
  </si>
  <si>
    <t>301469</t>
  </si>
  <si>
    <t>HETTICH 9105655 Quadro 25 500 mm EB20 Stop Control</t>
  </si>
  <si>
    <t>9105656</t>
  </si>
  <si>
    <t>301470</t>
  </si>
  <si>
    <t>HETTICH 9105656 Quadro 25 500 mm EB20 Stop Control</t>
  </si>
  <si>
    <t>9105659</t>
  </si>
  <si>
    <t>301473</t>
  </si>
  <si>
    <t>HETTICH 9105659 Quadro 25 550 mm EB20 Stop Control</t>
  </si>
  <si>
    <t>350613</t>
  </si>
  <si>
    <t>HETTICH 9105659 Quadro 25 550mm EB20 Stop Control L</t>
  </si>
  <si>
    <t>9105660</t>
  </si>
  <si>
    <t>301474</t>
  </si>
  <si>
    <t>HETTICH 9105660 Quadro 25 550 mm EB20 Stop Control</t>
  </si>
  <si>
    <t>350614</t>
  </si>
  <si>
    <t>HETTICH 9105660 Quadro 25 550mm EB20 Stop Control P</t>
  </si>
  <si>
    <t>9105665</t>
  </si>
  <si>
    <t>301479</t>
  </si>
  <si>
    <t>HETTICH 9105665 Quadro 20 300 mm EB20 SiSy L</t>
  </si>
  <si>
    <t>9105666</t>
  </si>
  <si>
    <t>301480</t>
  </si>
  <si>
    <t>HETTICH 9105666 Quadro 20 300 mm EB20 SiSy P</t>
  </si>
  <si>
    <t>9105669</t>
  </si>
  <si>
    <t>260339</t>
  </si>
  <si>
    <t>HETTICH 9105669 Quadro 25 350 mm EB20 SiSy L</t>
  </si>
  <si>
    <t>9105670</t>
  </si>
  <si>
    <t>260340</t>
  </si>
  <si>
    <t>HETTICH 9105670 Quadro 25 350 EB20 SiSy P</t>
  </si>
  <si>
    <t>9105673</t>
  </si>
  <si>
    <t>301485</t>
  </si>
  <si>
    <t>HETTICH 9105673 Quadro 25 400 mm EB20 SiSy</t>
  </si>
  <si>
    <t>9105674</t>
  </si>
  <si>
    <t>301486</t>
  </si>
  <si>
    <t>HETTICH 9105674 Quadro 25 400 mm EB20 SiSy</t>
  </si>
  <si>
    <t>9105677</t>
  </si>
  <si>
    <t>260341</t>
  </si>
  <si>
    <t>HETTICH 9105677 Quadro 25 450 mm EB20 SiSy L</t>
  </si>
  <si>
    <t>9105678</t>
  </si>
  <si>
    <t>260342</t>
  </si>
  <si>
    <t>HETTICH 9105678 Quadro 25 450 mm EB20 SiSy P</t>
  </si>
  <si>
    <t>9105682</t>
  </si>
  <si>
    <t>260343</t>
  </si>
  <si>
    <t>HETTICH 9105682 Quadro 25 350 mm EB20 SiSy L</t>
  </si>
  <si>
    <t>9105683</t>
  </si>
  <si>
    <t>260344</t>
  </si>
  <si>
    <t>HETTICH 9105683 Quadro 25 350 mm EB20 SiSy P</t>
  </si>
  <si>
    <t>9105686</t>
  </si>
  <si>
    <t>301493</t>
  </si>
  <si>
    <t>HETTICH 9105686 Quadro 25 550 mm EB20 SiSy</t>
  </si>
  <si>
    <t>9105687</t>
  </si>
  <si>
    <t>301494</t>
  </si>
  <si>
    <t>HETTICH 9105687 Quadro 25 550 mm EB20 SiSy</t>
  </si>
  <si>
    <t>9105735</t>
  </si>
  <si>
    <t>153731</t>
  </si>
  <si>
    <t>HETTICH 9105735 Úchytka Intra 192 imitace nerezi/chrom lesklý</t>
  </si>
  <si>
    <t>9105737</t>
  </si>
  <si>
    <t>134824</t>
  </si>
  <si>
    <t>HETTICH 9105737 Úchytka Intra 192 chrom matný/chrom lesklý</t>
  </si>
  <si>
    <t>9105742</t>
  </si>
  <si>
    <t>154358</t>
  </si>
  <si>
    <t>HETTICH 9105742 Úchytka ZENGA 201/192 mm chrom lesklý levá</t>
  </si>
  <si>
    <t>9105743</t>
  </si>
  <si>
    <t>160075</t>
  </si>
  <si>
    <t>HETTICH 9105743 Úchytka ZENGA 201/192 mm imitace nerezi levá</t>
  </si>
  <si>
    <t>9105746</t>
  </si>
  <si>
    <t>156951</t>
  </si>
  <si>
    <t>HETTICH 9105746 Úchytka ZENGA 201/192 mm chrom lesklý pravá</t>
  </si>
  <si>
    <t>9105747</t>
  </si>
  <si>
    <t>160076</t>
  </si>
  <si>
    <t>HETTICH 9105747 Úchytka ZENGA 201/192 mm imitace nerezi pravá</t>
  </si>
  <si>
    <t>9105793</t>
  </si>
  <si>
    <t>135212</t>
  </si>
  <si>
    <t>HETTICH 9105793 Úchytka MILO 40 16 mm chrom lesklý</t>
  </si>
  <si>
    <t>9105794</t>
  </si>
  <si>
    <t>135213</t>
  </si>
  <si>
    <t>HETTICH 9105794 Úchytka MILO 40/16 mm imitace nerezi</t>
  </si>
  <si>
    <t>9105801</t>
  </si>
  <si>
    <t>135214</t>
  </si>
  <si>
    <t>HETTICH 9105801 Úchytka LAMEZIA 295 mm chrom lesklý</t>
  </si>
  <si>
    <t>9105802</t>
  </si>
  <si>
    <t>135215</t>
  </si>
  <si>
    <t>HETTICH 9105802 Úchytka LAMEZIA 345 mm chrom lesklý</t>
  </si>
  <si>
    <t>9105803</t>
  </si>
  <si>
    <t>162376</t>
  </si>
  <si>
    <t>HETTICH 9105803 Úchytka LAMEZIA 395 mm chrom lesklý</t>
  </si>
  <si>
    <t>9105805</t>
  </si>
  <si>
    <t>136591</t>
  </si>
  <si>
    <t>HETTICH 9105805 Úchytka LAMEZIA 445 mm chrom lesklý</t>
  </si>
  <si>
    <t>9105806</t>
  </si>
  <si>
    <t>179443</t>
  </si>
  <si>
    <t>HETTICH 9105806 Úchytka LAMEZIA 495 mm chrom lesklý</t>
  </si>
  <si>
    <t>9105807</t>
  </si>
  <si>
    <t>136278</t>
  </si>
  <si>
    <t>HETTICH 9105807 Úchytka LAMEZIA 595 mm chrom lesklý</t>
  </si>
  <si>
    <t>9105809</t>
  </si>
  <si>
    <t>153407</t>
  </si>
  <si>
    <t>HETTICH 9105809 Úchytka LAMEZIA 795 mm chrom lesklý</t>
  </si>
  <si>
    <t>9105810</t>
  </si>
  <si>
    <t>154154</t>
  </si>
  <si>
    <t>HETTICH 9105810 Úchytka LAMEZIA 895 mm chrom lesklý</t>
  </si>
  <si>
    <t>9105811</t>
  </si>
  <si>
    <t>144001</t>
  </si>
  <si>
    <t>HETTICH 9105811 Úchytka LAMEZIA 995 mm chrom lesklý</t>
  </si>
  <si>
    <t>9105813</t>
  </si>
  <si>
    <t>153411</t>
  </si>
  <si>
    <t>HETTICH 9105813 Úchytka LAMEZIA 1195 mm chrom lesklý</t>
  </si>
  <si>
    <t>9105816</t>
  </si>
  <si>
    <t>136074</t>
  </si>
  <si>
    <t>HETTICH 9105816 Úchytka LAMEZIA 345 mm imitace nerezi</t>
  </si>
  <si>
    <t>9105819</t>
  </si>
  <si>
    <t>130475</t>
  </si>
  <si>
    <t>HETTICH 9105819 Úchytka LAMEZIA L395 imitace nerezi</t>
  </si>
  <si>
    <t>9105820</t>
  </si>
  <si>
    <t>142099</t>
  </si>
  <si>
    <t>HETTICH 9105820 Úchytka LAMEZIA L445 imitace nerezi</t>
  </si>
  <si>
    <t>9105821</t>
  </si>
  <si>
    <t>130474</t>
  </si>
  <si>
    <t>HETTICH 9105821 Úchytka LAMEZIA L495 imitace nerezi</t>
  </si>
  <si>
    <t>9105822</t>
  </si>
  <si>
    <t>494485</t>
  </si>
  <si>
    <t>HETTICH 9105822 Úchytka LAMEZIA L595 imitace nerezi</t>
  </si>
  <si>
    <t>9105823</t>
  </si>
  <si>
    <t>494486</t>
  </si>
  <si>
    <t>HETTICH 9105823 Úchytka LAMEZIA L795 imitace nerezi</t>
  </si>
  <si>
    <t>9105825</t>
  </si>
  <si>
    <t>169767</t>
  </si>
  <si>
    <t>HETTICH 9105825 Úchytka LAMEZIA 995 mm imitace nerezi</t>
  </si>
  <si>
    <t>9105826</t>
  </si>
  <si>
    <t>160721</t>
  </si>
  <si>
    <t>HETTICH 9105826 Úchytka LAMEZIA 1195 mm imitace nerezi</t>
  </si>
  <si>
    <t>9105827</t>
  </si>
  <si>
    <t>180613</t>
  </si>
  <si>
    <t>HETTICH 9105827 Úchytka LAMEZIA 295 mm eloxovaný hliník</t>
  </si>
  <si>
    <t>9105828</t>
  </si>
  <si>
    <t>180777</t>
  </si>
  <si>
    <t>HETTICH 9105828 Úchytka LAMEZIA 345 mm eloxovaný hliník</t>
  </si>
  <si>
    <t>9105829</t>
  </si>
  <si>
    <t>187457</t>
  </si>
  <si>
    <t>HETTICH 9105829 Úchytka LAMEZIA 395 mm eloxovaný hliník</t>
  </si>
  <si>
    <t>9105830</t>
  </si>
  <si>
    <t>160775</t>
  </si>
  <si>
    <t>HETTICH 9105830 Úchytka LAMEZIA 445 mm eloxovaný hliník</t>
  </si>
  <si>
    <t>9105831</t>
  </si>
  <si>
    <t>187458</t>
  </si>
  <si>
    <t>HETTICH 9105831 Úchytka LAMEZIA 495 mm eloxovaný hliník</t>
  </si>
  <si>
    <t>9105832</t>
  </si>
  <si>
    <t>165398</t>
  </si>
  <si>
    <t>HETTICH 9105832 Úchytka LAMEZIA 595 mm eloxovaný hliník</t>
  </si>
  <si>
    <t>9105833</t>
  </si>
  <si>
    <t>160774</t>
  </si>
  <si>
    <t>HETTICH 9105833 Úchytka LAMEZIA 795 mm eloxovaný hliník</t>
  </si>
  <si>
    <t>9105834</t>
  </si>
  <si>
    <t>135908</t>
  </si>
  <si>
    <t>HETTICH 9105834 Úchytka LAMEZIA 895 mm eloxovaný hliník</t>
  </si>
  <si>
    <t>9105835</t>
  </si>
  <si>
    <t>187459</t>
  </si>
  <si>
    <t>HETTICH 9105835 Úchytka LAMEZIA 995 mm eloxovaný hliník</t>
  </si>
  <si>
    <t>9105836</t>
  </si>
  <si>
    <t>154522</t>
  </si>
  <si>
    <t>HETTICH 9105836 Úchytka LAMEZIA 1195 mm eloxovaný hliník</t>
  </si>
  <si>
    <t>9105837</t>
  </si>
  <si>
    <t>135770</t>
  </si>
  <si>
    <t>HETTICH 9105837 Úchytka NUBIA 245 192 mm imitace nerezi</t>
  </si>
  <si>
    <t>9105838</t>
  </si>
  <si>
    <t>132100</t>
  </si>
  <si>
    <t>HETTICH 9105838 Úchytka NUBIA 309/256 mm imitace nerezi</t>
  </si>
  <si>
    <t>9105839</t>
  </si>
  <si>
    <t>144163</t>
  </si>
  <si>
    <t>HETTICH 9105839 Úchytka NUBIA 373/256 mm imitace nerezi</t>
  </si>
  <si>
    <t>9105840</t>
  </si>
  <si>
    <t>144164</t>
  </si>
  <si>
    <t>HETTICH 9105840 Úchytka NUBIA 437/352 nebo 192 mm imitace nerezi</t>
  </si>
  <si>
    <t>9105850</t>
  </si>
  <si>
    <t>161056</t>
  </si>
  <si>
    <t>HETTICH 9105850 Easys protikolizní čidlo</t>
  </si>
  <si>
    <t>9105907</t>
  </si>
  <si>
    <t>178634</t>
  </si>
  <si>
    <t>HETTICH 9105907 Quadro V6 450 mm EB20 P2O L</t>
  </si>
  <si>
    <t>9105908</t>
  </si>
  <si>
    <t>178635</t>
  </si>
  <si>
    <t>HETTICH 9105908 Quadro V6 450 mm EB20 P2O P</t>
  </si>
  <si>
    <t>9105927</t>
  </si>
  <si>
    <t>208884</t>
  </si>
  <si>
    <t>HETTICH 9105927 cylindrická vložka Z23 18051-18100</t>
  </si>
  <si>
    <t>9105929</t>
  </si>
  <si>
    <t>187465</t>
  </si>
  <si>
    <t>HETTICH 9105929 Quadro V6 350 mm EB20 P2O L</t>
  </si>
  <si>
    <t>364759</t>
  </si>
  <si>
    <t>HETTICH 9105929 QUADRO V6/350 EB20 Push t.o.L 100ryD</t>
  </si>
  <si>
    <t>9105931</t>
  </si>
  <si>
    <t>187466</t>
  </si>
  <si>
    <t>HETTICH 9105931 Quadro V6 350 mm EB20 P2O P</t>
  </si>
  <si>
    <t>364760</t>
  </si>
  <si>
    <t>HETTICH 9105931 QUADRO V6/350 EB20 Push t.o.P 100ryD</t>
  </si>
  <si>
    <t>9106101</t>
  </si>
  <si>
    <t>179678</t>
  </si>
  <si>
    <t>HETTICH 9106101 vrták d35 mm pravý</t>
  </si>
  <si>
    <t>490659</t>
  </si>
  <si>
    <t>HETTICH 9106101 vrták d35 mm pravý PD-50</t>
  </si>
  <si>
    <t>9106102</t>
  </si>
  <si>
    <t>187469</t>
  </si>
  <si>
    <t>HETTICH 9106102 vrták d15 mm pravý</t>
  </si>
  <si>
    <t>9106103</t>
  </si>
  <si>
    <t>208885</t>
  </si>
  <si>
    <t>HETTICH 9106103 vrták VHM 30 mm pravý</t>
  </si>
  <si>
    <t>9106104</t>
  </si>
  <si>
    <t>187470</t>
  </si>
  <si>
    <t>HETTICH 9106104 vrták VHM d20 mm pravý</t>
  </si>
  <si>
    <t>9106105</t>
  </si>
  <si>
    <t>187471</t>
  </si>
  <si>
    <t>HETTICH 9106105 vrták VHM 30 mm levý</t>
  </si>
  <si>
    <t>9106107</t>
  </si>
  <si>
    <t>187472</t>
  </si>
  <si>
    <t>HETTICH 9106107 vrták VHM 15 mm levý</t>
  </si>
  <si>
    <t>9106108</t>
  </si>
  <si>
    <t>187473</t>
  </si>
  <si>
    <t>HETTICH 9106108 vrták VHM 18 mm levý</t>
  </si>
  <si>
    <t>9106110</t>
  </si>
  <si>
    <t>187474</t>
  </si>
  <si>
    <t>HETTICH 9106110 vrták VHM 18 mm pravý</t>
  </si>
  <si>
    <t>9106112</t>
  </si>
  <si>
    <t>187476</t>
  </si>
  <si>
    <t>HETTICH 9106112 vrták VHM 19 mm pravý</t>
  </si>
  <si>
    <t>9106113</t>
  </si>
  <si>
    <t>187477</t>
  </si>
  <si>
    <t>HETTICH 9106113 vrták VHM 20 mm levý</t>
  </si>
  <si>
    <t>9106115</t>
  </si>
  <si>
    <t>187479</t>
  </si>
  <si>
    <t>HETTICH 9106115 vrták VHM 24 mm pravý</t>
  </si>
  <si>
    <t>9106116</t>
  </si>
  <si>
    <t>187480</t>
  </si>
  <si>
    <t>HETTICH 9106116 vrták VHM 25 mm levý</t>
  </si>
  <si>
    <t>9106117</t>
  </si>
  <si>
    <t>187481</t>
  </si>
  <si>
    <t>HETTICH 9106117 53943 vrták 25 mm pravý</t>
  </si>
  <si>
    <t>9106118</t>
  </si>
  <si>
    <t>187482</t>
  </si>
  <si>
    <t>HETTICH 9106118 vrták VHM 26 mm levý</t>
  </si>
  <si>
    <t>9106120</t>
  </si>
  <si>
    <t>187484</t>
  </si>
  <si>
    <t>HETTICH 9106120 vrták VHM 35 mm levý</t>
  </si>
  <si>
    <t>9106121</t>
  </si>
  <si>
    <t>187485</t>
  </si>
  <si>
    <t>HETTICH 9106121/69250 vrták 40 mm pravý</t>
  </si>
  <si>
    <t>9106166</t>
  </si>
  <si>
    <t>131308</t>
  </si>
  <si>
    <t>HETTICH 9106166 Úchytka NUBIA 245/192 mm chrom lesklý</t>
  </si>
  <si>
    <t>9106167</t>
  </si>
  <si>
    <t>131309</t>
  </si>
  <si>
    <t>HETTICH 9106167 Úchytka NUBIA 309/256 mm chrom lesklý</t>
  </si>
  <si>
    <t>9106168</t>
  </si>
  <si>
    <t>161774</t>
  </si>
  <si>
    <t>HETTICH 9106168 Úchytka NUBIA 373/256 mm chrom lesklý</t>
  </si>
  <si>
    <t>9106169</t>
  </si>
  <si>
    <t>131310</t>
  </si>
  <si>
    <t>HETTICH 9106169 Úchytka NUBIA 437/352 nebo 192 mm chrom lesklý</t>
  </si>
  <si>
    <t>9106449</t>
  </si>
  <si>
    <t>187486</t>
  </si>
  <si>
    <t>HETTICH 9106449 Easys prodlužovací kabel/2500 mm</t>
  </si>
  <si>
    <t>9106451</t>
  </si>
  <si>
    <t>161054</t>
  </si>
  <si>
    <t>HETTICH 9106451 Easys doraz na bok seřiditelný</t>
  </si>
  <si>
    <t>9106986</t>
  </si>
  <si>
    <t>474365</t>
  </si>
  <si>
    <t>HETTICH 9106986 podložka pod paralelní adaptér s eurošrouby D=0mm</t>
  </si>
  <si>
    <t>9106988</t>
  </si>
  <si>
    <t>502098</t>
  </si>
  <si>
    <t>HETTICH 9106988 montážní podložka pod paralelní adaptér D=3 eurošroub</t>
  </si>
  <si>
    <t>9106989</t>
  </si>
  <si>
    <t>311111</t>
  </si>
  <si>
    <t>HETTICH 9106989 adaptér k přišroubování, D=0.0 mm, k přišroubování</t>
  </si>
  <si>
    <t>9106990</t>
  </si>
  <si>
    <t>318186</t>
  </si>
  <si>
    <t>HETTICH 9106990 adaptér D=1,5 mm vrut</t>
  </si>
  <si>
    <t>9106991</t>
  </si>
  <si>
    <t>313723</t>
  </si>
  <si>
    <t>HETTICH 9106991 adaptér D=3.0 mm k našroubování</t>
  </si>
  <si>
    <t>9109703</t>
  </si>
  <si>
    <t>187487</t>
  </si>
  <si>
    <t>HETTICH 9109703 Úchytka UTINUM 138/128 mm imitace nerezi</t>
  </si>
  <si>
    <t>9110645</t>
  </si>
  <si>
    <t>536199</t>
  </si>
  <si>
    <t>HETTICH 9110645 vrtací šablona pro dorazy Easys</t>
  </si>
  <si>
    <t>9111129</t>
  </si>
  <si>
    <t>187516</t>
  </si>
  <si>
    <t>HETTICH 9111129 kontejner sada 392/530 mm černý</t>
  </si>
  <si>
    <t>9111141</t>
  </si>
  <si>
    <t>187527</t>
  </si>
  <si>
    <t>HETTICH 9111141 sada kontejner s plnovýsuvy s přesahem P2O 392x530 mm černá</t>
  </si>
  <si>
    <t>9111247</t>
  </si>
  <si>
    <t>187549</t>
  </si>
  <si>
    <t>HETTICH 9111247 Quadro 25 320 mm EB20 P2O L+P</t>
  </si>
  <si>
    <t>9111275</t>
  </si>
  <si>
    <t>301495</t>
  </si>
  <si>
    <t>HETTICH 9111275 Quadro 20 250 mm EB20 na čep P2O L</t>
  </si>
  <si>
    <t>9111276</t>
  </si>
  <si>
    <t>301496</t>
  </si>
  <si>
    <t>HETTICH 9111276 Quadro 20 250 mm EB20 na čep P2O P</t>
  </si>
  <si>
    <t>9111355</t>
  </si>
  <si>
    <t>178680</t>
  </si>
  <si>
    <t>HETTICH 9111355 Quadro V6 550 mm EB20 P2O L</t>
  </si>
  <si>
    <t>9111356</t>
  </si>
  <si>
    <t>178681</t>
  </si>
  <si>
    <t>HETTICH 9111356 Quadro V6 550 mm EB20 P2O P</t>
  </si>
  <si>
    <t>9111357</t>
  </si>
  <si>
    <t>208887</t>
  </si>
  <si>
    <t>HETTICH 9111357 Quadro V6 520 mm EB20 P2O L</t>
  </si>
  <si>
    <t>9111358</t>
  </si>
  <si>
    <t>208888</t>
  </si>
  <si>
    <t>HETTICH 9111358 Quadro V6 520 mm EB20 P2O P</t>
  </si>
  <si>
    <t>9111359</t>
  </si>
  <si>
    <t>301361</t>
  </si>
  <si>
    <t>HETTICH 9111359 Quadro V6 250mm EB20 PTO L</t>
  </si>
  <si>
    <t>9111360</t>
  </si>
  <si>
    <t>301362</t>
  </si>
  <si>
    <t>HETTICH 9111360 Quadro V6 250mm EB20 PTO P</t>
  </si>
  <si>
    <t>9111484</t>
  </si>
  <si>
    <t>187562</t>
  </si>
  <si>
    <t>HETTICH 9111484 zásuvka na psací potřeby hliník</t>
  </si>
  <si>
    <t>9112583</t>
  </si>
  <si>
    <t>106827</t>
  </si>
  <si>
    <t>HETTICH 9112583 Knop Almus chrom lesklý</t>
  </si>
  <si>
    <t>9112588</t>
  </si>
  <si>
    <t>105387</t>
  </si>
  <si>
    <t>HETTICH 9112588 Knop Almus nikl matný</t>
  </si>
  <si>
    <t>9112590</t>
  </si>
  <si>
    <t>153733</t>
  </si>
  <si>
    <t>HETTICH 9112590 Knobka ALMUS d12 mm chrom matný</t>
  </si>
  <si>
    <t>9112591</t>
  </si>
  <si>
    <t>135768</t>
  </si>
  <si>
    <t>HETTICH 9112591 Úchytka Salacia 128 cín</t>
  </si>
  <si>
    <t>9112594</t>
  </si>
  <si>
    <t>160503</t>
  </si>
  <si>
    <t>HETTICH 9112594 Úchytka SALACIA 151/128 mm starocín</t>
  </si>
  <si>
    <t>9112595</t>
  </si>
  <si>
    <t>105077</t>
  </si>
  <si>
    <t>HETTICH 9112595 Úchytka CORIA 151/128 mm imitace nerezi</t>
  </si>
  <si>
    <t>9112596</t>
  </si>
  <si>
    <t>107278</t>
  </si>
  <si>
    <t>HETTICH 9112596 Úchytka CORIA 151/128 mm nikl matný</t>
  </si>
  <si>
    <t>9112597</t>
  </si>
  <si>
    <t>154567</t>
  </si>
  <si>
    <t>HETTICH 9112597 Úchytka Coria 128 chrom matný</t>
  </si>
  <si>
    <t>9112599</t>
  </si>
  <si>
    <t>170393</t>
  </si>
  <si>
    <t>HETTICH 9112599 Úchytka GALLENO d35 mm nikl matný</t>
  </si>
  <si>
    <t>9112600</t>
  </si>
  <si>
    <t>142101</t>
  </si>
  <si>
    <t>HETTICH 9112600 Úchytka BRACARA 150/128 mm cín</t>
  </si>
  <si>
    <t>9112601</t>
  </si>
  <si>
    <t>133307</t>
  </si>
  <si>
    <t>HETTICH 9112601 Úchytka LURO 138/128 mm cín</t>
  </si>
  <si>
    <t>9112607</t>
  </si>
  <si>
    <t>107684</t>
  </si>
  <si>
    <t>HETTICH 9112607 knopka TARRACO 49/16 mm cín</t>
  </si>
  <si>
    <t>9112613</t>
  </si>
  <si>
    <t>133475</t>
  </si>
  <si>
    <t>HETTICH 9112613 Úchytka FECTIO 210/160 mm imitace nerezi</t>
  </si>
  <si>
    <t>9112615</t>
  </si>
  <si>
    <t>135079</t>
  </si>
  <si>
    <t>HETTICH 9112615 Úchytka FECTIO 210/160 mm chrom matný</t>
  </si>
  <si>
    <t>9112619</t>
  </si>
  <si>
    <t>105687</t>
  </si>
  <si>
    <t>HETTICH 9112619 Úchytka BRUXELLA L180/160 mm imitace nerezi</t>
  </si>
  <si>
    <t>9112623</t>
  </si>
  <si>
    <t>105420</t>
  </si>
  <si>
    <t>HETTICH 9112623 Úchytka CARVO 158/128 mm imitace nerezi</t>
  </si>
  <si>
    <t>9112631</t>
  </si>
  <si>
    <t>105936</t>
  </si>
  <si>
    <t>HETTICH 9112631 Úchytka BRACARA 114/96 mm cín</t>
  </si>
  <si>
    <t>9112633</t>
  </si>
  <si>
    <t>146843</t>
  </si>
  <si>
    <t>HETTICH 9112633 Úchytka NOVAE d19 mm nikl matný</t>
  </si>
  <si>
    <t>9112634</t>
  </si>
  <si>
    <t>106104</t>
  </si>
  <si>
    <t>HETTICH 9112634 Knobka NOVAE d19 mm chrom lesklý</t>
  </si>
  <si>
    <t>9112635</t>
  </si>
  <si>
    <t>162488</t>
  </si>
  <si>
    <t>HETTICH 9112635 Úchytka VESONTIO 148/128 mm cín</t>
  </si>
  <si>
    <t>9112637</t>
  </si>
  <si>
    <t>179681</t>
  </si>
  <si>
    <t>HETTICH 9112637 Úchytka NURSIA 168/160 mm imitace nerezi</t>
  </si>
  <si>
    <t>9112644</t>
  </si>
  <si>
    <t>187582</t>
  </si>
  <si>
    <t>HETTICH 9112644 Knobka LADERA d35 mm nikl matný</t>
  </si>
  <si>
    <t>9112646</t>
  </si>
  <si>
    <t>166169</t>
  </si>
  <si>
    <t>HETTICH 9112646 Úchytka FOSSA d40 cín</t>
  </si>
  <si>
    <t>9112650</t>
  </si>
  <si>
    <t>128560</t>
  </si>
  <si>
    <t>HETTICH 9112650 Úchytka POTOVIO 144/128 mm cín</t>
  </si>
  <si>
    <t>9112651</t>
  </si>
  <si>
    <t>134884</t>
  </si>
  <si>
    <t>HETTICH 9112651 Úchytka GISSI 140/128 mm cín</t>
  </si>
  <si>
    <t>9112652</t>
  </si>
  <si>
    <t>107048</t>
  </si>
  <si>
    <t>HETTICH 9112652 Knobka BARCINO d30 mm cín</t>
  </si>
  <si>
    <t>9112653</t>
  </si>
  <si>
    <t>170361</t>
  </si>
  <si>
    <t>HETTICH 9112653 Úchytka EBURACO d33 mm cín</t>
  </si>
  <si>
    <t>9112654</t>
  </si>
  <si>
    <t>187583</t>
  </si>
  <si>
    <t>HETTICH 9112654 Knobka EBURACO d33 mm starocín</t>
  </si>
  <si>
    <t>9112655</t>
  </si>
  <si>
    <t>165985</t>
  </si>
  <si>
    <t>HETTICH 9112655 Úchytka LORICA 100/64 mm cín</t>
  </si>
  <si>
    <t>9112660</t>
  </si>
  <si>
    <t>107019</t>
  </si>
  <si>
    <t>HETTICH 9112660 Úchytka FORLI 204/192 nebo 160 mm chrom lesklý</t>
  </si>
  <si>
    <t>9112662</t>
  </si>
  <si>
    <t>167469</t>
  </si>
  <si>
    <t>HETTICH 9112662 Úchytka MEDUNO 80x29 mm cín</t>
  </si>
  <si>
    <t>9112664</t>
  </si>
  <si>
    <t>133762</t>
  </si>
  <si>
    <t>HETTICH 9112664 Knobka ARIMINI 34x34 mm chrom lesklý/černá lesklá</t>
  </si>
  <si>
    <t>9112909</t>
  </si>
  <si>
    <t>187585</t>
  </si>
  <si>
    <t>HETTICH 9112909 Úchytka TOLOSA 157/128 mm chrom matný</t>
  </si>
  <si>
    <t>9112914</t>
  </si>
  <si>
    <t>160720</t>
  </si>
  <si>
    <t>HETTICH 9112914 Úchytka MATILO 138/128 mm chrom matný</t>
  </si>
  <si>
    <t>9112915</t>
  </si>
  <si>
    <t>105419</t>
  </si>
  <si>
    <t>HETTICH 9112915 Úchytka SUASA 202/160 mm imitace nerezi</t>
  </si>
  <si>
    <t>9112916</t>
  </si>
  <si>
    <t>181757</t>
  </si>
  <si>
    <t>HETTICH 9112916 Úchytka SUASA 202/160 mm chrom lesklý</t>
  </si>
  <si>
    <t>9112938</t>
  </si>
  <si>
    <t>133686</t>
  </si>
  <si>
    <t>HETTICH 9112938 Úchytka TORNEA 138/128 chrom lesklý</t>
  </si>
  <si>
    <t>9112940</t>
  </si>
  <si>
    <t>124267</t>
  </si>
  <si>
    <t>HETTICH 9112940 Úchytka TORNEA 132/128 imitace nerezi</t>
  </si>
  <si>
    <t>9112941</t>
  </si>
  <si>
    <t>136544</t>
  </si>
  <si>
    <t>HETTICH 9112941 Úchytka TORNEA 202/192 chrom lesklý</t>
  </si>
  <si>
    <t>9112943</t>
  </si>
  <si>
    <t>122608</t>
  </si>
  <si>
    <t>HETTICH 9112943 Úchytka TORNEA 202/192 imitace nerezi</t>
  </si>
  <si>
    <t>9112981</t>
  </si>
  <si>
    <t>208891</t>
  </si>
  <si>
    <t>HETTICH 9112981 Náhradní klíč Z23 Z25 18001-18500</t>
  </si>
  <si>
    <t>9113007</t>
  </si>
  <si>
    <t>208892</t>
  </si>
  <si>
    <t>HETTICH 9113007 těleso SiSy pro Quadro 12 levé</t>
  </si>
  <si>
    <t>9113179</t>
  </si>
  <si>
    <t>165938</t>
  </si>
  <si>
    <t>HETTICH 9113179 Úchytka ALBERTA 110/96 mm starozlatá</t>
  </si>
  <si>
    <t>9113180</t>
  </si>
  <si>
    <t>131781</t>
  </si>
  <si>
    <t>HETTICH 9113180 Úchytka ALBERTA 110/96 mm starocín</t>
  </si>
  <si>
    <t>9113181</t>
  </si>
  <si>
    <t>159207</t>
  </si>
  <si>
    <t>HETTICH 9113181 Úchytka ALBERTA 110/96 mm imitace nerezi</t>
  </si>
  <si>
    <t>9113182</t>
  </si>
  <si>
    <t>154385</t>
  </si>
  <si>
    <t>HETTICH 9113182 Úchytka Chalcis 288 imitace nerezi</t>
  </si>
  <si>
    <t>9113183</t>
  </si>
  <si>
    <t>161149</t>
  </si>
  <si>
    <t>HETTICH 9113183 Úchytka Chalcis 128 imitace nerezi</t>
  </si>
  <si>
    <t>9113210</t>
  </si>
  <si>
    <t>153734</t>
  </si>
  <si>
    <t>HETTICH 9113210 Úchytka VANTANIA 144/128 chrom matný</t>
  </si>
  <si>
    <t>9113211</t>
  </si>
  <si>
    <t>153735</t>
  </si>
  <si>
    <t>HETTICH 9113211 Úchytka Vantania 128 chrom lesklý</t>
  </si>
  <si>
    <t>9113212</t>
  </si>
  <si>
    <t>122887</t>
  </si>
  <si>
    <t>HETTICH 9113212 Úchytka CHEAM 227/192 mm imitace nerezi</t>
  </si>
  <si>
    <t>9113220</t>
  </si>
  <si>
    <t>187594</t>
  </si>
  <si>
    <t>HETTICH 9113220 Knobka ESSA d32 starocín</t>
  </si>
  <si>
    <t>9113221</t>
  </si>
  <si>
    <t>153719</t>
  </si>
  <si>
    <t>HETTICH 9113221 Knobka ESSA d32 mm starozlatá</t>
  </si>
  <si>
    <t>9113222</t>
  </si>
  <si>
    <t>187595</t>
  </si>
  <si>
    <t>HETTICH 9113222 Knobka ESSA d32 mm cín</t>
  </si>
  <si>
    <t>9113223</t>
  </si>
  <si>
    <t>187596</t>
  </si>
  <si>
    <t>HETTICH 9113223 Knobka ESSA d32 mm staroměď</t>
  </si>
  <si>
    <t>9113224</t>
  </si>
  <si>
    <t>159666</t>
  </si>
  <si>
    <t>HETTICH 9113224 Knobka FOGO 25x25 mm imitace nerezi</t>
  </si>
  <si>
    <t>9113225</t>
  </si>
  <si>
    <t>165268</t>
  </si>
  <si>
    <t>HETTICH 9113225 Úchytka HAIDA 126/96 mm imitace nerezi</t>
  </si>
  <si>
    <t>9113227</t>
  </si>
  <si>
    <t>156856</t>
  </si>
  <si>
    <t>HETTICH 9113227 Úchytka Haida 96 starozlatá</t>
  </si>
  <si>
    <t>9113228</t>
  </si>
  <si>
    <t>165805</t>
  </si>
  <si>
    <t>HETTICH 9113228 Úchytka MATANE 105/64 mm imitace nerezi</t>
  </si>
  <si>
    <t>9113247</t>
  </si>
  <si>
    <t>154120</t>
  </si>
  <si>
    <t>HETTICH 9113247 Úchytka AOSTA 112/96 mm nerez broušený</t>
  </si>
  <si>
    <t>9113248</t>
  </si>
  <si>
    <t>165147</t>
  </si>
  <si>
    <t>HETTICH 9113248 Úchytka AOSTA 272/256 mm nerez broušený</t>
  </si>
  <si>
    <t>9113250</t>
  </si>
  <si>
    <t>175665</t>
  </si>
  <si>
    <t>HETTICH 9113250/Úchytka AOSTA 368/352 mm nerez broušený</t>
  </si>
  <si>
    <t>9113251</t>
  </si>
  <si>
    <t>133035</t>
  </si>
  <si>
    <t>HETTICH 9113251 Úchytka AOSTA 400/384 mm nerez broušený</t>
  </si>
  <si>
    <t>9113252</t>
  </si>
  <si>
    <t>154020</t>
  </si>
  <si>
    <t>HETTICH 9113252 Úchytka AOSTA 432/416 mm nerez broušený</t>
  </si>
  <si>
    <t>9113255</t>
  </si>
  <si>
    <t>165077</t>
  </si>
  <si>
    <t>HETTICH 9113255 Úchytka AOSTA 600/584 mm nerez broušený</t>
  </si>
  <si>
    <t>9113257</t>
  </si>
  <si>
    <t>134626</t>
  </si>
  <si>
    <t>HETTICH 9113257 Úchytka AOSTA 700/684 mm nerez broušený</t>
  </si>
  <si>
    <t>9113258</t>
  </si>
  <si>
    <t>134627</t>
  </si>
  <si>
    <t>HETTICH 9113258 Úchytka AOSTA 800/784 mm nerez broušený</t>
  </si>
  <si>
    <t>9113286</t>
  </si>
  <si>
    <t>161600</t>
  </si>
  <si>
    <t>HETTICH 9113286 Knobka SOLVA d30 mm starozlatá</t>
  </si>
  <si>
    <t>9113292</t>
  </si>
  <si>
    <t>187622</t>
  </si>
  <si>
    <t>HETTICH 9113292 Úchytka TERRANDA 146 128 mm imitace nerezi</t>
  </si>
  <si>
    <t>9113293</t>
  </si>
  <si>
    <t>165057</t>
  </si>
  <si>
    <t>HETTICH 9113293 Knobka ALTEDO d50 mm imitace nerezi</t>
  </si>
  <si>
    <t>9113297</t>
  </si>
  <si>
    <t>136435</t>
  </si>
  <si>
    <t>HETTICH 9113297 Úchytka ROVIGO 160 chrom lesklý</t>
  </si>
  <si>
    <t>9113298</t>
  </si>
  <si>
    <t>129883</t>
  </si>
  <si>
    <t>HETTICH 9113298 Úchytka ROVIGO 175/160 mm imitace nerezi</t>
  </si>
  <si>
    <t>9113299</t>
  </si>
  <si>
    <t>170440</t>
  </si>
  <si>
    <t>HETTICH 9113299 Úchytka ROVIGO 239/224 mm chrom lesklý</t>
  </si>
  <si>
    <t>9113300</t>
  </si>
  <si>
    <t>165365</t>
  </si>
  <si>
    <t>HETTICH 9113300 Úchytka ROVIGO 239/224 mm imitace nerezi</t>
  </si>
  <si>
    <t>9113327</t>
  </si>
  <si>
    <t>187627</t>
  </si>
  <si>
    <t>HETTICH 9113327 Úchytka TERRANDA 112/96 mm imitace nerezi</t>
  </si>
  <si>
    <t>9113347</t>
  </si>
  <si>
    <t>170935</t>
  </si>
  <si>
    <t>HETTICH 9113347 distanční pouzdro 5mm úchytky na skleněné dveře</t>
  </si>
  <si>
    <t>9113368</t>
  </si>
  <si>
    <t>182727</t>
  </si>
  <si>
    <t>HETTICH 9113368 Knobka SALEMI d30 mm imitace nerezi</t>
  </si>
  <si>
    <t>9113371</t>
  </si>
  <si>
    <t>162570</t>
  </si>
  <si>
    <t>HETTICH 9113371 Úchytka FELINA 240/160 mm imitace nerezi</t>
  </si>
  <si>
    <t>9113373</t>
  </si>
  <si>
    <t>132874</t>
  </si>
  <si>
    <t>HETTICH 9113373 Úchytka FELINA 240/160 mm chrom lesklý</t>
  </si>
  <si>
    <t>9113397</t>
  </si>
  <si>
    <t>162961</t>
  </si>
  <si>
    <t>HETTICH 9113397 Knobka LONDA 50x50/32 mm chrom lesklý</t>
  </si>
  <si>
    <t>9113404</t>
  </si>
  <si>
    <t>154546</t>
  </si>
  <si>
    <t>HETTICH 9113404 Úchytka SOLDA 180/160 mm chrom lesklý</t>
  </si>
  <si>
    <t>9113429</t>
  </si>
  <si>
    <t>165182</t>
  </si>
  <si>
    <t>HETTICH 9113429 Knobka PONTI 26x13 mm starobronz</t>
  </si>
  <si>
    <t>9113430</t>
  </si>
  <si>
    <t>187645</t>
  </si>
  <si>
    <t>HETTICH 9113430 Úchytka PONZONE 152/128 mm starobronz</t>
  </si>
  <si>
    <t>9113445</t>
  </si>
  <si>
    <t>162496</t>
  </si>
  <si>
    <t>HETTICH 9113445 Úchytka OSIMO 120/96 mm starocín</t>
  </si>
  <si>
    <t>9113451</t>
  </si>
  <si>
    <t>178381</t>
  </si>
  <si>
    <t>HETTICH 9113451 Knobka AGNA 20x50x25 mm hnědá kůže/imitace nerezi</t>
  </si>
  <si>
    <t>9113453</t>
  </si>
  <si>
    <t>187650</t>
  </si>
  <si>
    <t>HETTICH 9113453 Úchytka AGLIANO 110/96 mm hnědá kůže imitace nerezi</t>
  </si>
  <si>
    <t>9113454</t>
  </si>
  <si>
    <t>177898</t>
  </si>
  <si>
    <t>HETTICH 9113454 Úchytka AGLIANO 142/128 mm hnědá kůže/imitace nerezi</t>
  </si>
  <si>
    <t>9113467</t>
  </si>
  <si>
    <t>159728</t>
  </si>
  <si>
    <t>HETTICH 9113467 Úchytka PARMA 138/128 mm imitace nerezi</t>
  </si>
  <si>
    <t>9113468</t>
  </si>
  <si>
    <t>166165</t>
  </si>
  <si>
    <t>HETTICH 9113468 Úchytka PARMA 138/128 mm chrom lesklý</t>
  </si>
  <si>
    <t>9113483</t>
  </si>
  <si>
    <t>182728</t>
  </si>
  <si>
    <t>HETTICH 9113483 Úchytka SAVELLI 140/128 mm imitace nerezi</t>
  </si>
  <si>
    <t>9113501</t>
  </si>
  <si>
    <t>163191</t>
  </si>
  <si>
    <t>HETTICH 9113501 Úchytka EVISA 168/128 mm chrom lesklý</t>
  </si>
  <si>
    <t>9113502</t>
  </si>
  <si>
    <t>187670</t>
  </si>
  <si>
    <t>HETTICH 9113502 Úchytka EVISA 168/128 mm imitace nerezi</t>
  </si>
  <si>
    <t>9113508</t>
  </si>
  <si>
    <t>187672</t>
  </si>
  <si>
    <t>HETTICH 9113508 Úchytka DUBLINA 168/160 mm černá kůže</t>
  </si>
  <si>
    <t>9113509</t>
  </si>
  <si>
    <t>179032</t>
  </si>
  <si>
    <t>HETTICH 9113509 Úchytka DUBLINA 168/160 mm Tmavě hnědá kůže</t>
  </si>
  <si>
    <t>9113511</t>
  </si>
  <si>
    <t>160074</t>
  </si>
  <si>
    <t>HETTICH 9113511 Úchytka LUCCA 168/160 mm imitace nerezi</t>
  </si>
  <si>
    <t>9113514</t>
  </si>
  <si>
    <t>106756</t>
  </si>
  <si>
    <t>HETTICH 9113514 Úchytka TOLOSA 157/128 mm nikl matný</t>
  </si>
  <si>
    <t>9113564</t>
  </si>
  <si>
    <t>161047</t>
  </si>
  <si>
    <t>HETTICH 9113564 Knobka SION d16 mm nerez broušený</t>
  </si>
  <si>
    <t>9113565</t>
  </si>
  <si>
    <t>182317</t>
  </si>
  <si>
    <t>HETTICH 9113565 Knobka ONEX d22 mm nerez broušený</t>
  </si>
  <si>
    <t>9113594</t>
  </si>
  <si>
    <t>127985</t>
  </si>
  <si>
    <t>HETTICH 9113594 Knobka FILAGA d20 mm Tmavě hnědá kůže/nikl matný</t>
  </si>
  <si>
    <t>9113635</t>
  </si>
  <si>
    <t>134055</t>
  </si>
  <si>
    <t>HETTICH 9113635 Knobka ALVITO 21x21 mm chrom lesklý</t>
  </si>
  <si>
    <t>9113645</t>
  </si>
  <si>
    <t>182316</t>
  </si>
  <si>
    <t>HETTICH 9113645 Úchytka Gela 128 světle hnědá kůže</t>
  </si>
  <si>
    <t>9113646</t>
  </si>
  <si>
    <t>131687</t>
  </si>
  <si>
    <t>HETTICH 9113646 Úchytka Gela 128 tmavě hnědá kůže</t>
  </si>
  <si>
    <t>9113647</t>
  </si>
  <si>
    <t>187687</t>
  </si>
  <si>
    <t>HETTICH 9113647 Úchytka Gela 128 černá kůže</t>
  </si>
  <si>
    <t>9113648</t>
  </si>
  <si>
    <t>409643</t>
  </si>
  <si>
    <t>HETTICH 9113648 Knop Galati světle hnědá kůže</t>
  </si>
  <si>
    <t>9113649</t>
  </si>
  <si>
    <t>136583</t>
  </si>
  <si>
    <t>HETTICH 9113649 Knobka GALATI 27x57 mm Tmavě hnědá kůže</t>
  </si>
  <si>
    <t>409644</t>
  </si>
  <si>
    <t>HETTICH 9113649 Knop Galati tmavě hnědá kůže</t>
  </si>
  <si>
    <t>9113650</t>
  </si>
  <si>
    <t>187688</t>
  </si>
  <si>
    <t>HETTICH 9113650 Úchytka GALATI 13x27x57 mm černá kůže</t>
  </si>
  <si>
    <t>9113651</t>
  </si>
  <si>
    <t>376385</t>
  </si>
  <si>
    <t>HETTICH 9113651 Příchyt pro úchytky Gela a Galati chrom matný</t>
  </si>
  <si>
    <t>9113652</t>
  </si>
  <si>
    <t>187689</t>
  </si>
  <si>
    <t>HETTICH 9113652 Příchyt pro úchytky chrom lesklý</t>
  </si>
  <si>
    <t>9113653</t>
  </si>
  <si>
    <t>187690</t>
  </si>
  <si>
    <t>HETTICH 9113653 Příchyt pro úchytky Gela a Galati nikl matný</t>
  </si>
  <si>
    <t>9113654</t>
  </si>
  <si>
    <t>187691</t>
  </si>
  <si>
    <t>HETTICH 9113654 Příchyt pro úchytky Gela a Galati starobronz</t>
  </si>
  <si>
    <t>9113678</t>
  </si>
  <si>
    <t>187699</t>
  </si>
  <si>
    <t>HETTICH 9113678 Úchytka OPERA 200/160 mm chrom lesklý</t>
  </si>
  <si>
    <t>9113681</t>
  </si>
  <si>
    <t>141477</t>
  </si>
  <si>
    <t>HETTICH 9113681 Úchytka OPERA 232/192 mm chrom lesklý</t>
  </si>
  <si>
    <t>9113691</t>
  </si>
  <si>
    <t>128504</t>
  </si>
  <si>
    <t>HETTICH 9113691 Úchytka FILAGA d32 mm světle-hnědá kůže/nikl matný</t>
  </si>
  <si>
    <t>9113694</t>
  </si>
  <si>
    <t>134751</t>
  </si>
  <si>
    <t>HETTICH 9113694 Knobka FILAGA d20 mm černá kůže/nikl matný</t>
  </si>
  <si>
    <t>9113696</t>
  </si>
  <si>
    <t>159302</t>
  </si>
  <si>
    <t>HETTICH 9113696 Knobka SAVA 25x25 mm chrom lesklý</t>
  </si>
  <si>
    <t>9113699</t>
  </si>
  <si>
    <t>180807</t>
  </si>
  <si>
    <t>HETTICH 9113699 Knobka LODI 25x25 mm chrom lesklý</t>
  </si>
  <si>
    <t>9113712</t>
  </si>
  <si>
    <t>159301</t>
  </si>
  <si>
    <t>HETTICH 9113712 Úchytka SATURNIA 140/128 mm chrom lesklý</t>
  </si>
  <si>
    <t>9113719</t>
  </si>
  <si>
    <t>160607</t>
  </si>
  <si>
    <t>HETTICH 9113719 Knobka ARIMINI 34x34 mm chrom lesklý/bílá lesklá</t>
  </si>
  <si>
    <t>9113733</t>
  </si>
  <si>
    <t>162247</t>
  </si>
  <si>
    <t>HETTICH 9113733 Úchytka CATANA 199/192 mm eloxovaný hliník</t>
  </si>
  <si>
    <t>9113800</t>
  </si>
  <si>
    <t>130554</t>
  </si>
  <si>
    <t>HETTICH 9113800 Úchytka INTRA L204/192 chrom lesklý/chrom matný</t>
  </si>
  <si>
    <t>9113907</t>
  </si>
  <si>
    <t>208900</t>
  </si>
  <si>
    <t>HETTICH 9113907 Quadro V6 420 mm EB10,5 P2O L</t>
  </si>
  <si>
    <t>460578</t>
  </si>
  <si>
    <t>HETTICH 9113907 Quadro V6 420 mm EB10,5 P2O L DALNO</t>
  </si>
  <si>
    <t>9113938</t>
  </si>
  <si>
    <t>460579</t>
  </si>
  <si>
    <t>HETTICH 9113938 Quadro V6 420 mm EB10,5 P2O P DALNO</t>
  </si>
  <si>
    <t>9113945</t>
  </si>
  <si>
    <t>460584</t>
  </si>
  <si>
    <t>HETTICH 9113945 Quadro V6 260 mm EB10,5 P2O L DALNO</t>
  </si>
  <si>
    <t>9113951</t>
  </si>
  <si>
    <t>460585</t>
  </si>
  <si>
    <t>HETTICH 9113951 Quadro V6 260 mm EB10,5 P2O P DALNO</t>
  </si>
  <si>
    <t>9114036</t>
  </si>
  <si>
    <t>153736</t>
  </si>
  <si>
    <t>HETTICH 9114036 Knop Almus imitace nerezi</t>
  </si>
  <si>
    <t>9114271</t>
  </si>
  <si>
    <t>133031</t>
  </si>
  <si>
    <t>HETTICH 9114271 KA 4532 kuličkový celovýsuv, 300mm/35kg, SiSy</t>
  </si>
  <si>
    <t>9114273</t>
  </si>
  <si>
    <t>132546</t>
  </si>
  <si>
    <t>HETTICH 9114273 KA 4532 kuličkový celovýsuv, 350mm/35kg, SiSy</t>
  </si>
  <si>
    <t>9114274</t>
  </si>
  <si>
    <t>252179</t>
  </si>
  <si>
    <t>HETTICH 9114274 1 KA 4532 400 mm SiSy "TN"</t>
  </si>
  <si>
    <t>132333</t>
  </si>
  <si>
    <t>HETTICH 9114274 KA 4532 kuličkový celovýsuv, 400mm/35kg, SiSy</t>
  </si>
  <si>
    <t>9114275</t>
  </si>
  <si>
    <t>252180</t>
  </si>
  <si>
    <t>HETTICH 9114275 1 KA 4532 450 mm SiSy "TN"</t>
  </si>
  <si>
    <t>132334</t>
  </si>
  <si>
    <t>HETTICH 9114275 KA 4532 kuličkový celovýsuv, 450mm/35kg, SiSy</t>
  </si>
  <si>
    <t>9114276</t>
  </si>
  <si>
    <t>252181</t>
  </si>
  <si>
    <t>HETTICH 9114276 1 KA 4532 500 mm SiSy "TN"</t>
  </si>
  <si>
    <t>130802</t>
  </si>
  <si>
    <t>HETTICH 9114276 KA 4532 kuličkový celovýsuv, 500mm/35kg, SiSy</t>
  </si>
  <si>
    <t>9114277</t>
  </si>
  <si>
    <t>252182</t>
  </si>
  <si>
    <t>HETTICH 9114277 1 KA 4532 550 mm SiSy "TN"</t>
  </si>
  <si>
    <t>130254</t>
  </si>
  <si>
    <t>HETTICH 9114277 KA 4532 550 mm SiSy</t>
  </si>
  <si>
    <t>9114278</t>
  </si>
  <si>
    <t>252183</t>
  </si>
  <si>
    <t>HETTICH 9114278 1 KA 4532 600 mm SiSy "TN"</t>
  </si>
  <si>
    <t>133032</t>
  </si>
  <si>
    <t>HETTICH 9114278 KA 4532 600 mm SiSy</t>
  </si>
  <si>
    <t>9114279</t>
  </si>
  <si>
    <t>133033</t>
  </si>
  <si>
    <t>HETTICH 9114279 KA 4532 650 mm SiSy</t>
  </si>
  <si>
    <t>9114280</t>
  </si>
  <si>
    <t>133034</t>
  </si>
  <si>
    <t>HETTICH 9114280 KA 4532 700 mm SiSy</t>
  </si>
  <si>
    <t>9114281</t>
  </si>
  <si>
    <t>141950</t>
  </si>
  <si>
    <t>HETTICH 9114281 KA 4532 kuličkový celovýsuv, 300mm/35kg, PTO</t>
  </si>
  <si>
    <t>9114282</t>
  </si>
  <si>
    <t>133414</t>
  </si>
  <si>
    <t>HETTICH 9114282 KA 4532 kuličkový celovýsuv, 350mm/35kg, PTO</t>
  </si>
  <si>
    <t>9114283</t>
  </si>
  <si>
    <t>133815</t>
  </si>
  <si>
    <t>HETTICH 9114283 KA 4532 kuličkový celovýsuv, 400mm/35kg, PTO</t>
  </si>
  <si>
    <t>9114284</t>
  </si>
  <si>
    <t>133030</t>
  </si>
  <si>
    <t>HETTICH 9114284 KA 4532 kuličkový celovýsuv, 450mm/35kg, PTO</t>
  </si>
  <si>
    <t>9114285</t>
  </si>
  <si>
    <t>130803</t>
  </si>
  <si>
    <t>HETTICH 9114285 KA 4532 kuličkový celovýsuv, 500mm/35kg, PTO</t>
  </si>
  <si>
    <t>9114286</t>
  </si>
  <si>
    <t>171320</t>
  </si>
  <si>
    <t>HETTICH 9114286 KA 4532 kuličkový celovýsuv, 550mm/35kg, PTO</t>
  </si>
  <si>
    <t>9114288</t>
  </si>
  <si>
    <t>135860</t>
  </si>
  <si>
    <t>HETTICH 9114288 KA 4532 600 mm P2O</t>
  </si>
  <si>
    <t>9114289</t>
  </si>
  <si>
    <t>187802</t>
  </si>
  <si>
    <t>HETTICH 9114289 KA 4532 650 mm P2O</t>
  </si>
  <si>
    <t>9114290</t>
  </si>
  <si>
    <t>132729</t>
  </si>
  <si>
    <t>HETTICH 9114290 KA 4532 700 mm P2O</t>
  </si>
  <si>
    <t>9114539</t>
  </si>
  <si>
    <t>159686</t>
  </si>
  <si>
    <t>HETTICH 9114539 Úchytka MEANA 180/128 mm imitace nerezi</t>
  </si>
  <si>
    <t>9114548</t>
  </si>
  <si>
    <t>187806</t>
  </si>
  <si>
    <t>HETTICH 9114548 KA 4532 BM 300 Silent System</t>
  </si>
  <si>
    <t>9114553</t>
  </si>
  <si>
    <t>187807</t>
  </si>
  <si>
    <t>HETTICH 9114553 KA 4532 BM 350 Silent System</t>
  </si>
  <si>
    <t>9114554</t>
  </si>
  <si>
    <t>187808</t>
  </si>
  <si>
    <t>HETTICH 9114554 KA 4532 BM 400 mm SiSy</t>
  </si>
  <si>
    <t>9114555</t>
  </si>
  <si>
    <t>187809</t>
  </si>
  <si>
    <t>HETTICH 9114555 KA 4532 BM 450 mm SiSy</t>
  </si>
  <si>
    <t>9114557</t>
  </si>
  <si>
    <t>146965</t>
  </si>
  <si>
    <t>HETTICH 9114557 KA 4532 BM 500 mm SiSy</t>
  </si>
  <si>
    <t>9114558</t>
  </si>
  <si>
    <t>187810</t>
  </si>
  <si>
    <t>HETTICH 9114558 KA 4532 BM 550 mm SiSy</t>
  </si>
  <si>
    <t>9114559</t>
  </si>
  <si>
    <t>187811</t>
  </si>
  <si>
    <t>HETTICH 9114559 KA 4532 BM 600 mm SiSy</t>
  </si>
  <si>
    <t>9114560</t>
  </si>
  <si>
    <t>187812</t>
  </si>
  <si>
    <t>HETTICH 9114560 KA 4532 BM 650 mm SiSy</t>
  </si>
  <si>
    <t>9114561</t>
  </si>
  <si>
    <t>187813</t>
  </si>
  <si>
    <t>HETTICH 9114561 KA 4532 BM 700 mm SiSy</t>
  </si>
  <si>
    <t>9114562</t>
  </si>
  <si>
    <t>187814</t>
  </si>
  <si>
    <t>HETTICH 9114562 KA 4532 BM 300 mm P2O</t>
  </si>
  <si>
    <t>9114580</t>
  </si>
  <si>
    <t>187815</t>
  </si>
  <si>
    <t>HETTICH 9114580 KA 4532 BM 350 mm P2O</t>
  </si>
  <si>
    <t>9114581</t>
  </si>
  <si>
    <t>187816</t>
  </si>
  <si>
    <t>HETTICH 9114581 KA 4532 BM 400 mm P2O</t>
  </si>
  <si>
    <t>9114582</t>
  </si>
  <si>
    <t>135518</t>
  </si>
  <si>
    <t>HETTICH 9114582 KA 4532 BM 450 mm P2O L+P</t>
  </si>
  <si>
    <t>9114583</t>
  </si>
  <si>
    <t>160744</t>
  </si>
  <si>
    <t>HETTICH 9114583 KA 4532 BM 500 mm P2O</t>
  </si>
  <si>
    <t>9114584</t>
  </si>
  <si>
    <t>187817</t>
  </si>
  <si>
    <t>HETTICH 9114584 KA 4532 BM 550 mm P2O</t>
  </si>
  <si>
    <t>9114585</t>
  </si>
  <si>
    <t>144392</t>
  </si>
  <si>
    <t>HETTICH 9114585 KA 4532 BM 600 mm P2O</t>
  </si>
  <si>
    <t>9114586</t>
  </si>
  <si>
    <t>187818</t>
  </si>
  <si>
    <t>HETTICH 9114586 KA 4532 BM 650 mm P2O</t>
  </si>
  <si>
    <t>9114587</t>
  </si>
  <si>
    <t>196094</t>
  </si>
  <si>
    <t>HETTICH 9114587 KA 4532 BM 700 mm P2O</t>
  </si>
  <si>
    <t>9114747</t>
  </si>
  <si>
    <t>103801</t>
  </si>
  <si>
    <t>HETTICH 9114747 Úchytka NEAPOLIS 148/96 mm imitace nerezi</t>
  </si>
  <si>
    <t>9115216</t>
  </si>
  <si>
    <t>180361</t>
  </si>
  <si>
    <t>HETTICH 9115216 SlideLine 55 PLUS distanční díl</t>
  </si>
  <si>
    <t>9115217</t>
  </si>
  <si>
    <t>180358</t>
  </si>
  <si>
    <t>HETTICH 9115217 SlideLine 55 PLUS vodící díl</t>
  </si>
  <si>
    <t>9115218</t>
  </si>
  <si>
    <t>133018</t>
  </si>
  <si>
    <t>HETTICH 9115218 SlideLine 55 PLUS doraz</t>
  </si>
  <si>
    <t>9115219</t>
  </si>
  <si>
    <t>180359</t>
  </si>
  <si>
    <t>HETTICH 9115219 SlideLine 55 PLUS vozík</t>
  </si>
  <si>
    <t>9115386</t>
  </si>
  <si>
    <t>208904</t>
  </si>
  <si>
    <t>HETTICH 9115386 Náhradní klíč Z23 Z25 18501-19000</t>
  </si>
  <si>
    <t>9115954</t>
  </si>
  <si>
    <t>133016</t>
  </si>
  <si>
    <t>HETTICH 9115954 SlideLine 55 plus vozík</t>
  </si>
  <si>
    <t>9115955</t>
  </si>
  <si>
    <t>133015</t>
  </si>
  <si>
    <t>HETTICH 9115955 SlideLine 55 plus vodící díl</t>
  </si>
  <si>
    <t>9115956</t>
  </si>
  <si>
    <t>187898</t>
  </si>
  <si>
    <t>HETTICH 9115956 Distanční lišta 12x484x49 bílá</t>
  </si>
  <si>
    <t>9116019</t>
  </si>
  <si>
    <t>187907</t>
  </si>
  <si>
    <t>HETTICH 9116019 Rastex 15 12 mm bez osazení bez povrchové úpravy</t>
  </si>
  <si>
    <t>9116092</t>
  </si>
  <si>
    <t>379615</t>
  </si>
  <si>
    <t>HETTICH 9116092 Sensys miska závěsu na sklo nalepovací</t>
  </si>
  <si>
    <t>9116231</t>
  </si>
  <si>
    <t>412279</t>
  </si>
  <si>
    <t>HETTICH 9116231  distanční podložka</t>
  </si>
  <si>
    <t>9116339</t>
  </si>
  <si>
    <t>379614</t>
  </si>
  <si>
    <t>HETTICH 9116339 Sensys miska závěsu na sklo nalepovací</t>
  </si>
  <si>
    <t>9116394</t>
  </si>
  <si>
    <t>467501</t>
  </si>
  <si>
    <t>HETTICH 9116394 Intermat 9930 50/65° TH52 obsidián</t>
  </si>
  <si>
    <t>9116398</t>
  </si>
  <si>
    <t>482735</t>
  </si>
  <si>
    <t>HETTICH 9116398 Intermat 9930 rohové dvířko PTO obsidián hmoždinky DALNO</t>
  </si>
  <si>
    <t>9116464</t>
  </si>
  <si>
    <t>518227</t>
  </si>
  <si>
    <t>HETTICH 9116464 VB 36/16 PLAST BÍLÁ VELKOBALENÍ</t>
  </si>
  <si>
    <t>9116491</t>
  </si>
  <si>
    <t>518229</t>
  </si>
  <si>
    <t>HETTICH 9116491 VB 36/16 plast hnědá velkobalení</t>
  </si>
  <si>
    <t>9116508</t>
  </si>
  <si>
    <t>104542</t>
  </si>
  <si>
    <t>HETTICH 9116508 VB 36 M 16 plast hnědý</t>
  </si>
  <si>
    <t>9116945</t>
  </si>
  <si>
    <t>464982</t>
  </si>
  <si>
    <t>HETTICH 9116945 excentr VB 35 M, 19 mm, plast, hnědá</t>
  </si>
  <si>
    <t>9117211</t>
  </si>
  <si>
    <t>159827</t>
  </si>
  <si>
    <t>HETTICH 9117211 Dispenza rám 30 1900-2300 mm ClickFix</t>
  </si>
  <si>
    <t>9117212</t>
  </si>
  <si>
    <t>187926</t>
  </si>
  <si>
    <t>HETTICH 9117212 Dispenza rám ClickFixx 40 1200-1600 mm</t>
  </si>
  <si>
    <t>9117214</t>
  </si>
  <si>
    <t>187928</t>
  </si>
  <si>
    <t>HETTICH 9117214 Dispenza rám ClickFixx 40 1900-2300 mm</t>
  </si>
  <si>
    <t>9117223</t>
  </si>
  <si>
    <t>187936</t>
  </si>
  <si>
    <t>HETTICH 9117223 Dispenza plnovýsuv 100 kg ClickFix</t>
  </si>
  <si>
    <t>9117305</t>
  </si>
  <si>
    <t>208912</t>
  </si>
  <si>
    <t>HETTICH 9117305 Atira celovýsuv, Quadro V6, 470mm/30kg, bok 18mm, levá, PTO</t>
  </si>
  <si>
    <t>378445</t>
  </si>
  <si>
    <t>HETTICH 9117305 Quadro V6/470 P2O 30kg /ľavý /EB 10,5 DALNO</t>
  </si>
  <si>
    <t>9117306</t>
  </si>
  <si>
    <t>208913</t>
  </si>
  <si>
    <t>HETTICH 9117306 Atira celovýsuv, Quadro V6, 470mm/30kg, bok 18mm, pravá, PTO</t>
  </si>
  <si>
    <t>378446</t>
  </si>
  <si>
    <t>HETTICH 9117306 Quadro V6/470 P2O 30kg /pravý /EB 10,5 DALNO</t>
  </si>
  <si>
    <t>9117341</t>
  </si>
  <si>
    <t>300319</t>
  </si>
  <si>
    <t>HETTICH 9117341 podložka Sensys lineární k našroubování, D=1,5mm</t>
  </si>
  <si>
    <t>9117342</t>
  </si>
  <si>
    <t>397942</t>
  </si>
  <si>
    <t>HETTICH 9117342 podložka Sensys lineární k našroubování, D=3 mm</t>
  </si>
  <si>
    <t>9117344</t>
  </si>
  <si>
    <t>403746</t>
  </si>
  <si>
    <t>HETTICH 9117344 lineární podložka D=1,5 s excentrem, k zalisování</t>
  </si>
  <si>
    <t>9117366</t>
  </si>
  <si>
    <t>301264</t>
  </si>
  <si>
    <t>HETTICH 9117366 Quadro V6+ 470 mm EB12,5 P2O</t>
  </si>
  <si>
    <t>9117367</t>
  </si>
  <si>
    <t>301265</t>
  </si>
  <si>
    <t>HETTICH 9117367 Quadro V6+ 470 mm EB12,5 P2O P</t>
  </si>
  <si>
    <t>9117370</t>
  </si>
  <si>
    <t>301266</t>
  </si>
  <si>
    <t>HETTICH 9117370 Quadro V6+ 620 mm EB12,5 P2O</t>
  </si>
  <si>
    <t>9117371</t>
  </si>
  <si>
    <t>301267</t>
  </si>
  <si>
    <t>HETTICH 9117371 Quadro V6+ 620mm EB12,5 P2O</t>
  </si>
  <si>
    <t>9117372</t>
  </si>
  <si>
    <t>460580</t>
  </si>
  <si>
    <t>HETTICH 9117372 Quadro V6 350 mm EB10,5 P2O L DALNO</t>
  </si>
  <si>
    <t>9117373</t>
  </si>
  <si>
    <t>460581</t>
  </si>
  <si>
    <t>HETTICH 9117373 Quadro V6 350 mm EB10,5 P2O P DALNO</t>
  </si>
  <si>
    <t>9117388</t>
  </si>
  <si>
    <t>479347</t>
  </si>
  <si>
    <t>HETTICH 9117388 podložka 8099 přímá k zalisování excentr D=3mm DALNO</t>
  </si>
  <si>
    <t>9117396</t>
  </si>
  <si>
    <t>208916</t>
  </si>
  <si>
    <t>HETTICH 9117396 Quadro V6 300 mm EB10,5 P2O L</t>
  </si>
  <si>
    <t>460582</t>
  </si>
  <si>
    <t>HETTICH 9117396 Quadro V6 300 mm EB10,5 P2O L DALNO</t>
  </si>
  <si>
    <t>9117397</t>
  </si>
  <si>
    <t>208917</t>
  </si>
  <si>
    <t>HETTICH 9117397 Quadro V6 300 mm EB10,5 P2O P</t>
  </si>
  <si>
    <t>460583</t>
  </si>
  <si>
    <t>HETTICH 9117397 Quadro V6 300 mm EB10,5 P2O P DALNO</t>
  </si>
  <si>
    <t>9117416</t>
  </si>
  <si>
    <t>161740</t>
  </si>
  <si>
    <t>HETTICH 9117416 dveřní lišta, tloušťka dveří 16 mm 15 mm, 2050 mm</t>
  </si>
  <si>
    <t>9117418</t>
  </si>
  <si>
    <t>161741</t>
  </si>
  <si>
    <t>HETTICH 9117418 TopLine M/35 dveřní lišta 2,05 m</t>
  </si>
  <si>
    <t>9117471</t>
  </si>
  <si>
    <t>516210</t>
  </si>
  <si>
    <t>HETTICH 9117471 podložka Sensys lineární k našroubování, D=1,5 mm obsidián</t>
  </si>
  <si>
    <t>9117472</t>
  </si>
  <si>
    <t>397950</t>
  </si>
  <si>
    <t>HETTICH 9117472 podložka Sensys lineární k našroubování, D=3 mm obsidián</t>
  </si>
  <si>
    <t>9117473</t>
  </si>
  <si>
    <t>208918</t>
  </si>
  <si>
    <t>HETTICH 9117473 Quadro V6 350 mm EB12,5 P2O L</t>
  </si>
  <si>
    <t>9117474</t>
  </si>
  <si>
    <t>208919</t>
  </si>
  <si>
    <t>HETTICH 9117474 Quadro V6 350 mm EB12,5 P2O P</t>
  </si>
  <si>
    <t>9117483</t>
  </si>
  <si>
    <t>136297</t>
  </si>
  <si>
    <t>HETTICH 9117483 spojka Quadro V6+ L</t>
  </si>
  <si>
    <t>9117485</t>
  </si>
  <si>
    <t>136298</t>
  </si>
  <si>
    <t>HETTICH 9117485 spojka Quadro V6+ P</t>
  </si>
  <si>
    <t>9117488</t>
  </si>
  <si>
    <t>465965</t>
  </si>
  <si>
    <t>HETTICH 9117488 podložka Sensys lineární excentr hmoždinka D=1,5 obsidián DALNO</t>
  </si>
  <si>
    <t>9117661</t>
  </si>
  <si>
    <t>175456</t>
  </si>
  <si>
    <t>HETTICH 9117661 Quadro V6+ 420 mm EB20 SiSy L+P</t>
  </si>
  <si>
    <t>9117734</t>
  </si>
  <si>
    <t>518662</t>
  </si>
  <si>
    <t>HETTICH 9117734 SENSYS 8645I 110° B12,5 TH52 OBSIDIÁN</t>
  </si>
  <si>
    <t>9117735</t>
  </si>
  <si>
    <t>518663</t>
  </si>
  <si>
    <t>HETTICH 9117735 SENSYS 8645I 110° B12,5 TH58 OBSIDIÁN</t>
  </si>
  <si>
    <t>9117736</t>
  </si>
  <si>
    <t>518664</t>
  </si>
  <si>
    <t>HETTICH 9117736 SENSYS 8645I 110° B3 TH52 OBSIDIÁN</t>
  </si>
  <si>
    <t>9117737</t>
  </si>
  <si>
    <t>518666</t>
  </si>
  <si>
    <t>HETTICH 9117737 SENSYS 8645I 110° B-4 TH52 OBSIDIÁN</t>
  </si>
  <si>
    <t>9117782</t>
  </si>
  <si>
    <t>301229</t>
  </si>
  <si>
    <t>HETTICH 9117782 InnoTech/Atira stabilizátor čela vnitřní zásuvky</t>
  </si>
  <si>
    <t>9118374</t>
  </si>
  <si>
    <t>301369</t>
  </si>
  <si>
    <t>HETTICH 9118374 Quadro V6 420 mm EB20 P2O</t>
  </si>
  <si>
    <t>9118375</t>
  </si>
  <si>
    <t>301370</t>
  </si>
  <si>
    <t>HETTICH 9118375 Quadro V6 420 mm EB20 P2O</t>
  </si>
  <si>
    <t>9118477</t>
  </si>
  <si>
    <t>208939</t>
  </si>
  <si>
    <t>HETTICH 9118477 SlideLine 55 PLUS aktivátor</t>
  </si>
  <si>
    <t>9118521</t>
  </si>
  <si>
    <t>187985</t>
  </si>
  <si>
    <t>HETTICH 9118521 Úchytka OVADA 266/192 nebo 160 mm chrom lesklý</t>
  </si>
  <si>
    <t>9118524</t>
  </si>
  <si>
    <t>187987</t>
  </si>
  <si>
    <t>HETTICH 9118524 Úchytka OVADA 139/96 mm chrom lesklý</t>
  </si>
  <si>
    <t>9118858</t>
  </si>
  <si>
    <t>188010</t>
  </si>
  <si>
    <t>HETTICH 9118858 Úchytka BREMA 138/96 mm imitace nerezi</t>
  </si>
  <si>
    <t>9119446</t>
  </si>
  <si>
    <t>105827</t>
  </si>
  <si>
    <t>HETTICH 9119446 nožka LANO SQ 30x30/100 mm stříbrná</t>
  </si>
  <si>
    <t>9119447</t>
  </si>
  <si>
    <t>208942</t>
  </si>
  <si>
    <t>HETTICH 9119447 Lano SQ 30 noha 120 mm stříbrný</t>
  </si>
  <si>
    <t>9119448</t>
  </si>
  <si>
    <t>184509</t>
  </si>
  <si>
    <t>HETTICH 9119448 noha Lano SQ 30x30 mm 150 stříbrná</t>
  </si>
  <si>
    <t>9119543</t>
  </si>
  <si>
    <t>208948</t>
  </si>
  <si>
    <t>HETTICH 9119543 46491 Lano SQ 46 noha 100 stříbrná</t>
  </si>
  <si>
    <t>9119546</t>
  </si>
  <si>
    <t>208951</t>
  </si>
  <si>
    <t>HETTICH 9119546 Lano SQ 46 noha 200 mm stříbrná</t>
  </si>
  <si>
    <t>9119552</t>
  </si>
  <si>
    <t>208957</t>
  </si>
  <si>
    <t>HETTICH 9119552 46307 Lano RO 40 noha 100 mm stříbrná</t>
  </si>
  <si>
    <t>9119553</t>
  </si>
  <si>
    <t>208958</t>
  </si>
  <si>
    <t>HETTICH 9119553 46308 Lano RO 40 noha 120 mm stříbrná</t>
  </si>
  <si>
    <t>9119554</t>
  </si>
  <si>
    <t>208959</t>
  </si>
  <si>
    <t>HETTICH 9119554 noha Lano RO 40x40x150 mm stříbrná</t>
  </si>
  <si>
    <t>9119584</t>
  </si>
  <si>
    <t>202680</t>
  </si>
  <si>
    <t>HETTICH 9119584 SlideLine 55 PLUS tlumič levá</t>
  </si>
  <si>
    <t>9119585</t>
  </si>
  <si>
    <t>202681</t>
  </si>
  <si>
    <t>HETTICH 9119585 SlideLine 55 PLUS tlumič pravá</t>
  </si>
  <si>
    <t>9119586</t>
  </si>
  <si>
    <t>208964</t>
  </si>
  <si>
    <t>HETTICH 9119586 SlideLine 55 plus tlumič P</t>
  </si>
  <si>
    <t>9119587</t>
  </si>
  <si>
    <t>208965</t>
  </si>
  <si>
    <t>HETTICH 9119587 SlideLine 55 plus tlumič L</t>
  </si>
  <si>
    <t>9120134</t>
  </si>
  <si>
    <t>188072</t>
  </si>
  <si>
    <t>HETTICH 9120134 Úchytka STABIA 2924/13x224 mm eloxovaný hliník</t>
  </si>
  <si>
    <t>9120199</t>
  </si>
  <si>
    <t>188075</t>
  </si>
  <si>
    <t>HETTICH 9120199 Úchytka NURSIA 168/160 mm chrom matný</t>
  </si>
  <si>
    <t>9121093</t>
  </si>
  <si>
    <t>225468</t>
  </si>
  <si>
    <t>HETTICH 9121093 Arcitech Actro 450, 40kg, SiSy, 18, L</t>
  </si>
  <si>
    <t>9121094</t>
  </si>
  <si>
    <t>225469</t>
  </si>
  <si>
    <t>HETTICH 9121094 Arcitech Actro 450, 40kg, SiSy, 18, P</t>
  </si>
  <si>
    <t>9121099</t>
  </si>
  <si>
    <t>225472</t>
  </si>
  <si>
    <t>HETTICH 9121099 Arcitech Actro 500, 40kg, SiSy, 18, L</t>
  </si>
  <si>
    <t>9121100</t>
  </si>
  <si>
    <t>225473</t>
  </si>
  <si>
    <t>HETTICH 9121100 Arcitech Actro 500, 40kg, SiSy, 18, P</t>
  </si>
  <si>
    <t>9121201</t>
  </si>
  <si>
    <t>225526</t>
  </si>
  <si>
    <t>HETTICH 9121201 ArciTech bok 350/94 mm stříbrný L</t>
  </si>
  <si>
    <t>9121202</t>
  </si>
  <si>
    <t>225527</t>
  </si>
  <si>
    <t>HETTICH 9121202 ArciTech bok 350/94 mm stříbrný P</t>
  </si>
  <si>
    <t>9121205</t>
  </si>
  <si>
    <t>225530</t>
  </si>
  <si>
    <t>HETTICH 9121205 Arcitech bok 450/94 L stříbrný</t>
  </si>
  <si>
    <t>9121206</t>
  </si>
  <si>
    <t>225532</t>
  </si>
  <si>
    <t>HETTICH 9121206 Arcitech bok 450/94 P stříbrný</t>
  </si>
  <si>
    <t>9121207</t>
  </si>
  <si>
    <t>225533</t>
  </si>
  <si>
    <t>HETTICH 9121207 Arcitech bok 500/94 L stříbrný</t>
  </si>
  <si>
    <t>9121208</t>
  </si>
  <si>
    <t>225534</t>
  </si>
  <si>
    <t>HETTICH 9121208 Arcitech bok 500/94 P stříbrný</t>
  </si>
  <si>
    <t>9121221</t>
  </si>
  <si>
    <t>225548</t>
  </si>
  <si>
    <t>HETTICH 9121221 ArciTech bok 450/126 mm stříbrný L</t>
  </si>
  <si>
    <t>9121222</t>
  </si>
  <si>
    <t>225549</t>
  </si>
  <si>
    <t>HETTICH 9121222 ArciTech bok 126/450 mm stříbrný P</t>
  </si>
  <si>
    <t>9121223</t>
  </si>
  <si>
    <t>225550</t>
  </si>
  <si>
    <t>HETTICH 9121223 ArciTech bok 126/500 mm stříbrný L</t>
  </si>
  <si>
    <t>9121224</t>
  </si>
  <si>
    <t>225551</t>
  </si>
  <si>
    <t>HETTICH 9121224 ArciTech bok 126/500 mm stříbrný P</t>
  </si>
  <si>
    <t>9121247</t>
  </si>
  <si>
    <t>225568</t>
  </si>
  <si>
    <t>HETTICH 9121247 ArciTech bočnice 94, 450mm, průmysl, levá, bílá</t>
  </si>
  <si>
    <t>9121248</t>
  </si>
  <si>
    <t>225569</t>
  </si>
  <si>
    <t>HETTICH 9121248 ArciTech bočnice 94, 450mm, průmysl, pravá, bílá</t>
  </si>
  <si>
    <t>9121249</t>
  </si>
  <si>
    <t>225570</t>
  </si>
  <si>
    <t>HETTICH 9121249 ArciTech bočnice 94, 500mm, průmysl, levá, bílá</t>
  </si>
  <si>
    <t>9121250</t>
  </si>
  <si>
    <t>225571</t>
  </si>
  <si>
    <t>HETTICH 9121250 ArciTech bočnice 94, 500mm, průmysl, pravá, bílá</t>
  </si>
  <si>
    <t>9121265</t>
  </si>
  <si>
    <t>225587</t>
  </si>
  <si>
    <t>HETTICH 9121265 ArciTech bok 126/500 mm bílý L</t>
  </si>
  <si>
    <t>9121266</t>
  </si>
  <si>
    <t>225589</t>
  </si>
  <si>
    <t>HETTICH 9121266 ArciTech bok 126/500 mm bílý P</t>
  </si>
  <si>
    <t>9121267</t>
  </si>
  <si>
    <t>225590</t>
  </si>
  <si>
    <t>HETTICH 9121267 ArciTech bok 126/550 mm bílý L</t>
  </si>
  <si>
    <t>9121268</t>
  </si>
  <si>
    <t>225591</t>
  </si>
  <si>
    <t>HETTICH 9121268 ArciTech bok 550/126 mm bílý P</t>
  </si>
  <si>
    <t>9121285</t>
  </si>
  <si>
    <t>225600</t>
  </si>
  <si>
    <t>HETTICH 9121285 ArciTech bok 94/350 mm antracit L</t>
  </si>
  <si>
    <t>9121286</t>
  </si>
  <si>
    <t>225602</t>
  </si>
  <si>
    <t>HETTICH 9121286 ArciTech bok 94/350 mm antracit P</t>
  </si>
  <si>
    <t>9121289</t>
  </si>
  <si>
    <t>225605</t>
  </si>
  <si>
    <t>HETTICH 9121289 ArciTech bok 94/450 mm antracit L</t>
  </si>
  <si>
    <t>9121290</t>
  </si>
  <si>
    <t>225606</t>
  </si>
  <si>
    <t>HETTICH 9121290 ArciTech bok 94/450 mm antracit P</t>
  </si>
  <si>
    <t>9121291</t>
  </si>
  <si>
    <t>225607</t>
  </si>
  <si>
    <t>HETTICH 9121291 ArciTech bok 94/500 mm antracit L</t>
  </si>
  <si>
    <t>9121292</t>
  </si>
  <si>
    <t>225608</t>
  </si>
  <si>
    <t>HETTICH 9121292 ArciTech bok 500/94 mm antracit P</t>
  </si>
  <si>
    <t>9121343</t>
  </si>
  <si>
    <t>225660</t>
  </si>
  <si>
    <t>HETTICH 9121343 ArciTech záda 78/600 mm stříbrná</t>
  </si>
  <si>
    <t>9121354</t>
  </si>
  <si>
    <t>225670</t>
  </si>
  <si>
    <t>HETTICH 9121354 ArciTech záda 94/400 mm stříbrná</t>
  </si>
  <si>
    <t>9121356</t>
  </si>
  <si>
    <t>225671</t>
  </si>
  <si>
    <t>HETTICH 9121356 ArciTech záda 94/450 mm stříbrná</t>
  </si>
  <si>
    <t>9121360</t>
  </si>
  <si>
    <t>225673</t>
  </si>
  <si>
    <t>HETTICH 9121360 ArciTech záda 94/550 mm stříbrná</t>
  </si>
  <si>
    <t>9121362</t>
  </si>
  <si>
    <t>225674</t>
  </si>
  <si>
    <t>HETTICH 9121362 ArciTech záda 94/600 mm stříbrná</t>
  </si>
  <si>
    <t>9121366</t>
  </si>
  <si>
    <t>225676</t>
  </si>
  <si>
    <t>HETTICH 9121366 ArciTech záda 94/800 mm stříbrná</t>
  </si>
  <si>
    <t>9121370</t>
  </si>
  <si>
    <t>225678</t>
  </si>
  <si>
    <t>HETTICH 9121370 ArciTech záda 94/1000 mm stříbrná</t>
  </si>
  <si>
    <t>9121374</t>
  </si>
  <si>
    <t>225679</t>
  </si>
  <si>
    <t>HETTICH 9121374 ArciTech záda 94/1200 mm stříbrná</t>
  </si>
  <si>
    <t>9121378</t>
  </si>
  <si>
    <t>225682</t>
  </si>
  <si>
    <t>HETTICH 9121378 ArciTech záda 94, 350mm, bílá</t>
  </si>
  <si>
    <t>9121414</t>
  </si>
  <si>
    <t>225701</t>
  </si>
  <si>
    <t>HETTICH 9121414 ArciTech záda 94/600 mm antracit</t>
  </si>
  <si>
    <t>9121418</t>
  </si>
  <si>
    <t>225703</t>
  </si>
  <si>
    <t>HETTICH 9121418 ArciTech záda 94/800 mm antracitt</t>
  </si>
  <si>
    <t>9121420</t>
  </si>
  <si>
    <t>225704</t>
  </si>
  <si>
    <t>HETTICH 9121420 ArciTech záda 94/900 mm antracit</t>
  </si>
  <si>
    <t>9121422</t>
  </si>
  <si>
    <t>225705</t>
  </si>
  <si>
    <t>HETTICH 9121422 ArciTech záda 94/1000 mm antracit</t>
  </si>
  <si>
    <t>9121426</t>
  </si>
  <si>
    <t>225706</t>
  </si>
  <si>
    <t>HETTICH 9121426 ArciTech záda 94/1200 mm antracit</t>
  </si>
  <si>
    <t>9121434</t>
  </si>
  <si>
    <t>225712</t>
  </si>
  <si>
    <t>HETTICH 9121434 ArciTech záda 126/450 mm stříbrná</t>
  </si>
  <si>
    <t>9121440</t>
  </si>
  <si>
    <t>225715</t>
  </si>
  <si>
    <t>HETTICH 9121440 ArciTech záda 126/600 mm stříbrná</t>
  </si>
  <si>
    <t>9121468</t>
  </si>
  <si>
    <t>225729</t>
  </si>
  <si>
    <t>HETTICH 9121468 ArciTech záda 126/700 mm bílá</t>
  </si>
  <si>
    <t>9121480</t>
  </si>
  <si>
    <t>225735</t>
  </si>
  <si>
    <t>HETTICH 9121480 ArciTech záda 126/300 mm antracit</t>
  </si>
  <si>
    <t>9121492</t>
  </si>
  <si>
    <t>225741</t>
  </si>
  <si>
    <t>HETTICH 9121492 ArciTech záda 126/600 mm antracit</t>
  </si>
  <si>
    <t>9121498</t>
  </si>
  <si>
    <t>225744</t>
  </si>
  <si>
    <t>HETTICH 9121498 ArciTech záda 126/900 mm antracit</t>
  </si>
  <si>
    <t>9121500</t>
  </si>
  <si>
    <t>225745</t>
  </si>
  <si>
    <t>HETTICH 9121500 ArciTech záda 126/1000 mm antracit</t>
  </si>
  <si>
    <t>9121510</t>
  </si>
  <si>
    <t>225750</t>
  </si>
  <si>
    <t>HETTICH 9121510 ArciTech záda 186/400 mm stříbrná</t>
  </si>
  <si>
    <t>9121518</t>
  </si>
  <si>
    <t>225754</t>
  </si>
  <si>
    <t>HETTICH 9121518 ArciTech záda 186/600 mm stříbrná</t>
  </si>
  <si>
    <t>9121522</t>
  </si>
  <si>
    <t>225756</t>
  </si>
  <si>
    <t>HETTICH 9121522 ArciTech záda 186/800 mm stříbrná</t>
  </si>
  <si>
    <t>9121524</t>
  </si>
  <si>
    <t>225757</t>
  </si>
  <si>
    <t>HETTICH 9121524 ArciTech záda 186/900 mm stříbrná</t>
  </si>
  <si>
    <t>9121526</t>
  </si>
  <si>
    <t>225758</t>
  </si>
  <si>
    <t>HETTICH 9121526 ArciTech záda 186/1000 mm stříbrná</t>
  </si>
  <si>
    <t>9121530</t>
  </si>
  <si>
    <t>225759</t>
  </si>
  <si>
    <t>HETTICH 9121530 ArciTech záda 186/1200 mm stříbrná</t>
  </si>
  <si>
    <t>9121588</t>
  </si>
  <si>
    <t>225789</t>
  </si>
  <si>
    <t>HETTICH 9121588 ArciTech záda 218/400 mm stříbrná</t>
  </si>
  <si>
    <t>9121590</t>
  </si>
  <si>
    <t>225790</t>
  </si>
  <si>
    <t>HETTICH 9121590 ArciTech záda 218/450 mm stříbrná</t>
  </si>
  <si>
    <t>9121594</t>
  </si>
  <si>
    <t>225792</t>
  </si>
  <si>
    <t>HETTICH 9121594 ArciTech záda 218/550 mm stříbrná</t>
  </si>
  <si>
    <t>9121596</t>
  </si>
  <si>
    <t>225793</t>
  </si>
  <si>
    <t>HETTICH 9121596 ArciTech záda 218/600 mm stříbrná</t>
  </si>
  <si>
    <t>9121636</t>
  </si>
  <si>
    <t>225813</t>
  </si>
  <si>
    <t>HETTICH 9121636 ArciTech záda 218/300 mm antracit</t>
  </si>
  <si>
    <t>9121674</t>
  </si>
  <si>
    <t>225832</t>
  </si>
  <si>
    <t>HETTICH 9121674 ArciTech záda 250/600 mm stříbrná</t>
  </si>
  <si>
    <t>9121678</t>
  </si>
  <si>
    <t>225834</t>
  </si>
  <si>
    <t>HETTICH 9121678 ArciTech záda 250/800 mm stříbrná</t>
  </si>
  <si>
    <t>9121680</t>
  </si>
  <si>
    <t>225835</t>
  </si>
  <si>
    <t>HETTICH 9121680 ArciTech záda 250/900 mm stříbrná</t>
  </si>
  <si>
    <t>9121682</t>
  </si>
  <si>
    <t>225836</t>
  </si>
  <si>
    <t>HETTICH 9121682 ArciTech záda 250/1000 mm stříbrná</t>
  </si>
  <si>
    <t>9121686</t>
  </si>
  <si>
    <t>225837</t>
  </si>
  <si>
    <t>HETTICH 9121686 ArciTech záda 250/1200 mm stříbrná</t>
  </si>
  <si>
    <t>9121718</t>
  </si>
  <si>
    <t>225854</t>
  </si>
  <si>
    <t>HETTICH 9121718 ArciTech záda 250/400 mm antracit</t>
  </si>
  <si>
    <t>9121732</t>
  </si>
  <si>
    <t>225861</t>
  </si>
  <si>
    <t>HETTICH 9121732 ArciTech záda 250/900 mm antracit</t>
  </si>
  <si>
    <t>9121738</t>
  </si>
  <si>
    <t>225863</t>
  </si>
  <si>
    <t>HETTICH 9121738 ArciTech záda 250/1200 mm antracit</t>
  </si>
  <si>
    <t>9121821</t>
  </si>
  <si>
    <t>225905</t>
  </si>
  <si>
    <t>HETTICH 9121821 ArciTech příchyt zad/78 mm bílý L</t>
  </si>
  <si>
    <t>9121822</t>
  </si>
  <si>
    <t>225906</t>
  </si>
  <si>
    <t>HETTICH 9121822 ArciTech příchyt zad 78 mm bílá P</t>
  </si>
  <si>
    <t>9121823</t>
  </si>
  <si>
    <t>225907</t>
  </si>
  <si>
    <t>HETTICH 9121823 ArciTech příchyt zad/78 mm antracit L</t>
  </si>
  <si>
    <t>9121824</t>
  </si>
  <si>
    <t>225908</t>
  </si>
  <si>
    <t>HETTICH 9121824 ArciTech příchyt zad 78 mm antracit P</t>
  </si>
  <si>
    <t>9121827</t>
  </si>
  <si>
    <t>225909</t>
  </si>
  <si>
    <t>HETTICH 9121827 Arcitech příchytka zad 94 L stříbrná</t>
  </si>
  <si>
    <t>9121828</t>
  </si>
  <si>
    <t>225910</t>
  </si>
  <si>
    <t>HETTICH 9121828 Arcitech příchytka zad 94 P stříbrná</t>
  </si>
  <si>
    <t>9121829</t>
  </si>
  <si>
    <t>225911</t>
  </si>
  <si>
    <t>HETTICH 9121829 ArciTech držák zad 94, levá, bílá</t>
  </si>
  <si>
    <t>9121830</t>
  </si>
  <si>
    <t>225912</t>
  </si>
  <si>
    <t>HETTICH 9121830 ArciTech držák zad 94, pravá, bílá</t>
  </si>
  <si>
    <t>9121831</t>
  </si>
  <si>
    <t>225913</t>
  </si>
  <si>
    <t>HETTICH 9121831 ArciTech držák zad 94, levá, antracit</t>
  </si>
  <si>
    <t>9121832</t>
  </si>
  <si>
    <t>225914</t>
  </si>
  <si>
    <t>HETTICH 9121832 ArciTech držák zad 94, pravá, antracit</t>
  </si>
  <si>
    <t>9121835</t>
  </si>
  <si>
    <t>225915</t>
  </si>
  <si>
    <t>HETTICH 9121835 Arcitech příchytka zad 126 L stříbrná</t>
  </si>
  <si>
    <t>9121836</t>
  </si>
  <si>
    <t>225916</t>
  </si>
  <si>
    <t>HETTICH 9121836 Arcitech příchytka zad 126 P stříbrná</t>
  </si>
  <si>
    <t>9121837</t>
  </si>
  <si>
    <t>225917</t>
  </si>
  <si>
    <t>HETTICH 9121837 ArciTech držák zad 126, levá, bílá</t>
  </si>
  <si>
    <t>9121838</t>
  </si>
  <si>
    <t>225918</t>
  </si>
  <si>
    <t>HETTICH 9121838 ArciTech držák zad 126, pravá, bílá</t>
  </si>
  <si>
    <t>9121839</t>
  </si>
  <si>
    <t>225919</t>
  </si>
  <si>
    <t>HETTICH 9121839 ArciTech držák zad 126, levá, antracit</t>
  </si>
  <si>
    <t>9121840</t>
  </si>
  <si>
    <t>225920</t>
  </si>
  <si>
    <t>HETTICH 9121840 ArciTech držák zad 126, pravá, antracit</t>
  </si>
  <si>
    <t>9121843</t>
  </si>
  <si>
    <t>225921</t>
  </si>
  <si>
    <t>HETTICH 9121843 Arcitech příchytka zad 186 L stříbrná</t>
  </si>
  <si>
    <t>9121844</t>
  </si>
  <si>
    <t>225922</t>
  </si>
  <si>
    <t>HETTICH 9121844 Arcitech příchytka zad 186 P stříbrná</t>
  </si>
  <si>
    <t>9121845</t>
  </si>
  <si>
    <t>225923</t>
  </si>
  <si>
    <t>HETTICH 9121845 ArciTech držák zad 186, levá, bílá</t>
  </si>
  <si>
    <t>9121846</t>
  </si>
  <si>
    <t>225924</t>
  </si>
  <si>
    <t>HETTICH 9121846 ArciTech držák zad 186, pravá, bílá</t>
  </si>
  <si>
    <t>9121847</t>
  </si>
  <si>
    <t>225925</t>
  </si>
  <si>
    <t>HETTICH 9121847 ArciTech držák zad 186, levá, antracit</t>
  </si>
  <si>
    <t>9121848</t>
  </si>
  <si>
    <t>225926</t>
  </si>
  <si>
    <t>HETTICH 9121848 ArciTech držák zad 186, pravá, antracit</t>
  </si>
  <si>
    <t>9121851</t>
  </si>
  <si>
    <t>225927</t>
  </si>
  <si>
    <t>HETTICH 9121851 Arcitech příchytka zad 218 L stříbrná</t>
  </si>
  <si>
    <t>9121852</t>
  </si>
  <si>
    <t>225928</t>
  </si>
  <si>
    <t>HETTICH 9121852 Arcitech příchytka zad 218 P stříbrná</t>
  </si>
  <si>
    <t>9121853</t>
  </si>
  <si>
    <t>225929</t>
  </si>
  <si>
    <t>HETTICH 9121853 ArciTech držák zad 218, levá, bílá</t>
  </si>
  <si>
    <t>9121854</t>
  </si>
  <si>
    <t>225930</t>
  </si>
  <si>
    <t>HETTICH 9121854 ArciTech držák zad 218, pravá, bílá</t>
  </si>
  <si>
    <t>9121855</t>
  </si>
  <si>
    <t>225931</t>
  </si>
  <si>
    <t>HETTICH 9121855 ArciTech držák zad 218, levá, antracit</t>
  </si>
  <si>
    <t>9121856</t>
  </si>
  <si>
    <t>225932</t>
  </si>
  <si>
    <t>HETTICH 9121856 ArciTech držák zad 218, pravá, antracit</t>
  </si>
  <si>
    <t>9121859</t>
  </si>
  <si>
    <t>225933</t>
  </si>
  <si>
    <t>HETTICH 9121859 Arcitech příchytka zad 250 L stříbrná</t>
  </si>
  <si>
    <t>9121860</t>
  </si>
  <si>
    <t>225934</t>
  </si>
  <si>
    <t>HETTICH 9121860 Arcitech příchytka zad 250 P stříbrná</t>
  </si>
  <si>
    <t>9121861</t>
  </si>
  <si>
    <t>225935</t>
  </si>
  <si>
    <t>HETTICH 9121861 ArciTech držák zad 250, levá, bílá</t>
  </si>
  <si>
    <t>9121862</t>
  </si>
  <si>
    <t>225936</t>
  </si>
  <si>
    <t>HETTICH 9121862 ArciTech držák zad 250, pravá, bílá</t>
  </si>
  <si>
    <t>9121863</t>
  </si>
  <si>
    <t>225937</t>
  </si>
  <si>
    <t>HETTICH 9121863 ArciTech držák zad 250, levá, antracit</t>
  </si>
  <si>
    <t>9121864</t>
  </si>
  <si>
    <t>225938</t>
  </si>
  <si>
    <t>HETTICH 9121864 ArciTech držák zad 250, pravá, antracit</t>
  </si>
  <si>
    <t>9121867</t>
  </si>
  <si>
    <t>225939</t>
  </si>
  <si>
    <t>HETTICH 9121867 Arcitech příchytka zad 282 L stříbrná</t>
  </si>
  <si>
    <t>9121868</t>
  </si>
  <si>
    <t>225940</t>
  </si>
  <si>
    <t>HETTICH 9121868 Arcitech příchytka zad 282 P stříbrná</t>
  </si>
  <si>
    <t>9121869</t>
  </si>
  <si>
    <t>225941</t>
  </si>
  <si>
    <t>HETTICH 9121869 ArciTech držák zad 282, levá, bílá</t>
  </si>
  <si>
    <t>9121870</t>
  </si>
  <si>
    <t>225942</t>
  </si>
  <si>
    <t>HETTICH 9121870 ArciTech držák zad 282, pravá, bílá</t>
  </si>
  <si>
    <t>9121871</t>
  </si>
  <si>
    <t>225943</t>
  </si>
  <si>
    <t>HETTICH 9121871 ArciTech držák zad 282, levá, antracit</t>
  </si>
  <si>
    <t>9121872</t>
  </si>
  <si>
    <t>225944</t>
  </si>
  <si>
    <t>HETTICH 9121872 ArciTech držák zad 282, pravá, antracit</t>
  </si>
  <si>
    <t>9121953</t>
  </si>
  <si>
    <t>225957</t>
  </si>
  <si>
    <t>HETTICH 9121953 ArciTech reling 270 mm stříbrrný L</t>
  </si>
  <si>
    <t>9121954</t>
  </si>
  <si>
    <t>225958</t>
  </si>
  <si>
    <t>HETTICH 9121954 ArciTech reling 270 mm stříbrný P</t>
  </si>
  <si>
    <t>9121955</t>
  </si>
  <si>
    <t>225959</t>
  </si>
  <si>
    <t>HETTICH 9121955 ArciTech reling 270 mm antracit L</t>
  </si>
  <si>
    <t>9121956</t>
  </si>
  <si>
    <t>225960</t>
  </si>
  <si>
    <t>HETTICH 9121956 ArciTech reling 270 mm antracit P</t>
  </si>
  <si>
    <t>9121963</t>
  </si>
  <si>
    <t>225965</t>
  </si>
  <si>
    <t>HETTICH 9121963 ArciTech reling 300 mm stříbrrný L</t>
  </si>
  <si>
    <t>9121964</t>
  </si>
  <si>
    <t>225966</t>
  </si>
  <si>
    <t>HETTICH 9121964 ArciTech reling 300 mm stříbrný P</t>
  </si>
  <si>
    <t>9121967</t>
  </si>
  <si>
    <t>225969</t>
  </si>
  <si>
    <t>HETTICH 9121967 ArciTech reling 300 mm bílý L</t>
  </si>
  <si>
    <t>9121968</t>
  </si>
  <si>
    <t>225970</t>
  </si>
  <si>
    <t>HETTICH 9121968 ArciTech reling 300 mm bílý P</t>
  </si>
  <si>
    <t>9121973</t>
  </si>
  <si>
    <t>225973</t>
  </si>
  <si>
    <t>HETTICH 9121973 ArciTech reling 350 mm stříbrný L</t>
  </si>
  <si>
    <t>9121974</t>
  </si>
  <si>
    <t>225974</t>
  </si>
  <si>
    <t>HETTICH 9121974 ArciTech reling 350 mm stříbrný P</t>
  </si>
  <si>
    <t>9121975</t>
  </si>
  <si>
    <t>225975</t>
  </si>
  <si>
    <t>HETTICH 9121975 ArciTech reling 350 mm antracit L</t>
  </si>
  <si>
    <t>9121976</t>
  </si>
  <si>
    <t>225976</t>
  </si>
  <si>
    <t>HETTICH 9121976 ArciTech reling 350 mm antracit P</t>
  </si>
  <si>
    <t>9121977</t>
  </si>
  <si>
    <t>225977</t>
  </si>
  <si>
    <t>HETTICH 9121977 ArciTech reling 350 mm bílý L</t>
  </si>
  <si>
    <t>9121978</t>
  </si>
  <si>
    <t>225978</t>
  </si>
  <si>
    <t>HETTICH 9121978 ArciTech reling 350 mm bílý P</t>
  </si>
  <si>
    <t>9121983</t>
  </si>
  <si>
    <t>225981</t>
  </si>
  <si>
    <t>HETTICH 9121983 ArciTech reling 400 mm stříbrný L</t>
  </si>
  <si>
    <t>9121984</t>
  </si>
  <si>
    <t>225982</t>
  </si>
  <si>
    <t>HETTICH 9121984 ArciTech reling 400 mm stříbrný P</t>
  </si>
  <si>
    <t>9121985</t>
  </si>
  <si>
    <t>225983</t>
  </si>
  <si>
    <t>HETTICH 9121985 ArciTech reling 400 mm antracit L</t>
  </si>
  <si>
    <t>9121986</t>
  </si>
  <si>
    <t>225984</t>
  </si>
  <si>
    <t>HETTICH 9121986 ArciTech reling 400 mm antracit P</t>
  </si>
  <si>
    <t>9121987</t>
  </si>
  <si>
    <t>225985</t>
  </si>
  <si>
    <t>HETTICH 9121987 ArciTech reling 400 mm bílý L</t>
  </si>
  <si>
    <t>9121988</t>
  </si>
  <si>
    <t>225986</t>
  </si>
  <si>
    <t>HETTICH 9121988 ArciTech reling 400 mm bílý P</t>
  </si>
  <si>
    <t>9121993</t>
  </si>
  <si>
    <t>225989</t>
  </si>
  <si>
    <t>HETTICH 9121993 Arcitech podélný reling 450 L stříbrný</t>
  </si>
  <si>
    <t>9121994</t>
  </si>
  <si>
    <t>225990</t>
  </si>
  <si>
    <t>HETTICH 9121994 Arcitech podélný reling 450 P stříbrný</t>
  </si>
  <si>
    <t>9121995</t>
  </si>
  <si>
    <t>225991</t>
  </si>
  <si>
    <t>HETTICH 9121995 ArciTech podélný reling, 450mm, levá, antracit</t>
  </si>
  <si>
    <t>9121996</t>
  </si>
  <si>
    <t>225992</t>
  </si>
  <si>
    <t>HETTICH 9121996 ArciTech podélný reling, 450mm, pravá, antracit</t>
  </si>
  <si>
    <t>9121997</t>
  </si>
  <si>
    <t>225993</t>
  </si>
  <si>
    <t>HETTICH 9121997 ArciTech podélný reling, 450mm, levá, bílá</t>
  </si>
  <si>
    <t>9121998</t>
  </si>
  <si>
    <t>225994</t>
  </si>
  <si>
    <t>HETTICH 9121998 ArciTech podélný reling, 450mm, pravá, bílá</t>
  </si>
  <si>
    <t>9122003</t>
  </si>
  <si>
    <t>225997</t>
  </si>
  <si>
    <t>HETTICH 9122003 Arcitech podélný reling 500 L stříbrný</t>
  </si>
  <si>
    <t>9122004</t>
  </si>
  <si>
    <t>225998</t>
  </si>
  <si>
    <t>HETTICH 9122004 Arcitech podélný reling 500 P stříbrný</t>
  </si>
  <si>
    <t>9122005</t>
  </si>
  <si>
    <t>225999</t>
  </si>
  <si>
    <t>HETTICH 9122005 ArciTech podélný reling, 500mm, levá, antracit</t>
  </si>
  <si>
    <t>9122006</t>
  </si>
  <si>
    <t>226000</t>
  </si>
  <si>
    <t>HETTICH 9122006 ArciTech podélný reling, 500mm, pravá, antracit</t>
  </si>
  <si>
    <t>9122007</t>
  </si>
  <si>
    <t>226001</t>
  </si>
  <si>
    <t>HETTICH 9122007 ArciTech podélný reling, 500mm, levá, bílá</t>
  </si>
  <si>
    <t>9122008</t>
  </si>
  <si>
    <t>226002</t>
  </si>
  <si>
    <t>HETTICH 9122008 ArciTech podélný reling, 500mm, pravá, bílá</t>
  </si>
  <si>
    <t>9122013</t>
  </si>
  <si>
    <t>226005</t>
  </si>
  <si>
    <t>HETTICH 9122013 ArciTech reling 550 mm stříbrný L</t>
  </si>
  <si>
    <t>9122014</t>
  </si>
  <si>
    <t>226006</t>
  </si>
  <si>
    <t>HETTICH 9122014 ArciTech reling 550 mm stříbrná P</t>
  </si>
  <si>
    <t>9122015</t>
  </si>
  <si>
    <t>226007</t>
  </si>
  <si>
    <t>HETTICH 9122015 ArciTech reling 550 mm antracit L</t>
  </si>
  <si>
    <t>9122016</t>
  </si>
  <si>
    <t>226008</t>
  </si>
  <si>
    <t>HETTICH 9122016 ArciTech reling 550 mm antracit P</t>
  </si>
  <si>
    <t>9122017</t>
  </si>
  <si>
    <t>226009</t>
  </si>
  <si>
    <t>HETTICH 9122017 ArciTech reling 550 mm bílý L</t>
  </si>
  <si>
    <t>9122018</t>
  </si>
  <si>
    <t>226010</t>
  </si>
  <si>
    <t>HETTICH 9122018 ArciTech reling 550 mm bílý P</t>
  </si>
  <si>
    <t>9122033</t>
  </si>
  <si>
    <t>226013</t>
  </si>
  <si>
    <t>HETTICH 9122033 ArciTech reling 650 mm stříbrný L</t>
  </si>
  <si>
    <t>9122034</t>
  </si>
  <si>
    <t>226014</t>
  </si>
  <si>
    <t>HETTICH 9122034 ArciTech reling 650 mm stříbrný P</t>
  </si>
  <si>
    <t>9122035</t>
  </si>
  <si>
    <t>226015</t>
  </si>
  <si>
    <t>HETTICH 9122035 ArciTech reling 650 mm antracit L</t>
  </si>
  <si>
    <t>9122036</t>
  </si>
  <si>
    <t>226016</t>
  </si>
  <si>
    <t>HETTICH 9122036 ArciTech reling 650 mm antracit P</t>
  </si>
  <si>
    <t>9122037</t>
  </si>
  <si>
    <t>226017</t>
  </si>
  <si>
    <t>HETTICH 9122037 ArciTech reling 650 mm bílý L</t>
  </si>
  <si>
    <t>9122038</t>
  </si>
  <si>
    <t>226018</t>
  </si>
  <si>
    <t>HETTICH 9122038 ArciTech reling 650 mm bílý P</t>
  </si>
  <si>
    <t>9122796</t>
  </si>
  <si>
    <t>226022</t>
  </si>
  <si>
    <t>HETTICH 9122796 ArciTech čelo vnitřní zásuvky 94/400 mm stříbrné</t>
  </si>
  <si>
    <t>9122824</t>
  </si>
  <si>
    <t>226050</t>
  </si>
  <si>
    <t>HETTICH 9122824 ArciTech čelo vnitřní zásuvky 450/126 stříbrné</t>
  </si>
  <si>
    <t>9122826</t>
  </si>
  <si>
    <t>226052</t>
  </si>
  <si>
    <t>HETTICH 9122826 ArciTech čelo vnitřní zásuvky 126/600 mm stříbrné</t>
  </si>
  <si>
    <t>9122832</t>
  </si>
  <si>
    <t>226058</t>
  </si>
  <si>
    <t>HETTICH 9122832 ArciTech čelo vnitřní zásuvky 126/400 mm bílé</t>
  </si>
  <si>
    <t>9122850</t>
  </si>
  <si>
    <t>226076</t>
  </si>
  <si>
    <t>HETTICH 9122850 ArciTech čelo vnitřní zásuvky 186/400 mm stříbrné</t>
  </si>
  <si>
    <t>9122879</t>
  </si>
  <si>
    <t>226105</t>
  </si>
  <si>
    <t>HETTICH 9122879 ArciTech čelo vnitřní zásuvky 218/500 mm stříbrné</t>
  </si>
  <si>
    <t>9122888</t>
  </si>
  <si>
    <t>226114</t>
  </si>
  <si>
    <t>HETTICH 9122888 ArciTech čelo vnitřní zásuvky 500/218 bílé</t>
  </si>
  <si>
    <t>9122912</t>
  </si>
  <si>
    <t>226129</t>
  </si>
  <si>
    <t>HETTICH 9122912 ArciTech TopSide 94/400 mm stříbrný</t>
  </si>
  <si>
    <t>9122913</t>
  </si>
  <si>
    <t>226130</t>
  </si>
  <si>
    <t>HETTICH 9122913 ArciTech TopSide 94, 400mm, antracit</t>
  </si>
  <si>
    <t>9122914</t>
  </si>
  <si>
    <t>226131</t>
  </si>
  <si>
    <t>HETTICH 9122914 ArciTech TopSide 94, 400mm, bílá</t>
  </si>
  <si>
    <t>9122916</t>
  </si>
  <si>
    <t>226133</t>
  </si>
  <si>
    <t>HETTICH 9122916 ArciTech TopSide 94/450 mm stříbrný</t>
  </si>
  <si>
    <t>9122917</t>
  </si>
  <si>
    <t>226134</t>
  </si>
  <si>
    <t>HETTICH 9122917 ArciTech TopSide 94, 450mm, antracit</t>
  </si>
  <si>
    <t>9122918</t>
  </si>
  <si>
    <t>226135</t>
  </si>
  <si>
    <t>HETTICH 9122918 ArciTech TopSide 94, 450mm, bílá</t>
  </si>
  <si>
    <t>9122920</t>
  </si>
  <si>
    <t>226137</t>
  </si>
  <si>
    <t>HETTICH 9122920 ArciTech TopSide 94/500 mm stříbrný</t>
  </si>
  <si>
    <t>9122921</t>
  </si>
  <si>
    <t>226138</t>
  </si>
  <si>
    <t>HETTICH 9122921 ArciTech TopSide 94, 500mm, antracit</t>
  </si>
  <si>
    <t>9122922</t>
  </si>
  <si>
    <t>226139</t>
  </si>
  <si>
    <t>HETTICH 9122922 ArciTech TopSide 94, 500mm, bílá</t>
  </si>
  <si>
    <t>9122924</t>
  </si>
  <si>
    <t>226141</t>
  </si>
  <si>
    <t>HETTICH 9122924 ArciTech TopSide 550/92 mm stříbrný</t>
  </si>
  <si>
    <t>9122925</t>
  </si>
  <si>
    <t>226142</t>
  </si>
  <si>
    <t>HETTICH 9122925 ArciTech TopSide 94, 550mm, antracit</t>
  </si>
  <si>
    <t>9122926</t>
  </si>
  <si>
    <t>226143</t>
  </si>
  <si>
    <t>HETTICH 9122926 ArciTech TopSide 94, 550mm, bílá</t>
  </si>
  <si>
    <t>9122932</t>
  </si>
  <si>
    <t>226145</t>
  </si>
  <si>
    <t>HETTICH 9122932 ArciTech TopSide 94/650 mm stříbrný</t>
  </si>
  <si>
    <t>9122933</t>
  </si>
  <si>
    <t>226146</t>
  </si>
  <si>
    <t>HETTICH 9122933 ArciTech TopSide 94, 650mm, antracit</t>
  </si>
  <si>
    <t>9122934</t>
  </si>
  <si>
    <t>226147</t>
  </si>
  <si>
    <t>HETTICH 9122934 ArciTech TopSide 94, 650mm, bílá</t>
  </si>
  <si>
    <t>9122949</t>
  </si>
  <si>
    <t>226149</t>
  </si>
  <si>
    <t>HETTICH 9122949 ArciTech TopSide 126/400 mm stříbrný</t>
  </si>
  <si>
    <t>9122950</t>
  </si>
  <si>
    <t>226150</t>
  </si>
  <si>
    <t>HETTICH 9122950 ArciTech TopSide 126, 400mm, antracit</t>
  </si>
  <si>
    <t>9122951</t>
  </si>
  <si>
    <t>226151</t>
  </si>
  <si>
    <t>HETTICH 9122951 ArciTech TopSide 126, 400mm, bílá</t>
  </si>
  <si>
    <t>9122953</t>
  </si>
  <si>
    <t>226153</t>
  </si>
  <si>
    <t>HETTICH 9122953 ArciTech TopSide 126/450 stříbrný</t>
  </si>
  <si>
    <t>9122954</t>
  </si>
  <si>
    <t>226154</t>
  </si>
  <si>
    <t>HETTICH 9122954 ArciTech TopSide 126, 450mm, antracit</t>
  </si>
  <si>
    <t>9122955</t>
  </si>
  <si>
    <t>226155</t>
  </si>
  <si>
    <t>HETTICH 9122955 ArciTech TopSide 126, 450mm, bílá</t>
  </si>
  <si>
    <t>9122957</t>
  </si>
  <si>
    <t>226157</t>
  </si>
  <si>
    <t>HETTICH 9122957 ArciTech TopSide 500/124 mm stříbrný</t>
  </si>
  <si>
    <t>9122958</t>
  </si>
  <si>
    <t>226158</t>
  </si>
  <si>
    <t>HETTICH 9122958 ArciTech TopSide 126, 500mm, antracit</t>
  </si>
  <si>
    <t>9122959</t>
  </si>
  <si>
    <t>226159</t>
  </si>
  <si>
    <t>HETTICH 9122959 ArciTech TopSide 126, 500mm, bílá</t>
  </si>
  <si>
    <t>9122961</t>
  </si>
  <si>
    <t>226161</t>
  </si>
  <si>
    <t>HETTICH 9122961 ArciTech TopSide 126/550 mm stříbrný</t>
  </si>
  <si>
    <t>9122962</t>
  </si>
  <si>
    <t>226162</t>
  </si>
  <si>
    <t>HETTICH 9122962 ArciTech TopSide 126, 550mm, antracit</t>
  </si>
  <si>
    <t>9122963</t>
  </si>
  <si>
    <t>226163</t>
  </si>
  <si>
    <t>HETTICH 9122963 ArciTech TopSide 126, 550mm, bílá</t>
  </si>
  <si>
    <t>9122969</t>
  </si>
  <si>
    <t>226165</t>
  </si>
  <si>
    <t>HETTICH 9122969 ArciTech TopSide 126/650 mm stříbrný</t>
  </si>
  <si>
    <t>9122970</t>
  </si>
  <si>
    <t>226166</t>
  </si>
  <si>
    <t>HETTICH 9122970 ArciTech TopSide 126, 650mm, antracit</t>
  </si>
  <si>
    <t>9122971</t>
  </si>
  <si>
    <t>226167</t>
  </si>
  <si>
    <t>HETTICH 9122971 ArciTech TopSide 126, 650mm, bílá</t>
  </si>
  <si>
    <t>9122973</t>
  </si>
  <si>
    <t>226169</t>
  </si>
  <si>
    <t>HETTICH 9122973 ArciTech DesignSide Adaptér 94 stříbrný</t>
  </si>
  <si>
    <t>9122974</t>
  </si>
  <si>
    <t>226170</t>
  </si>
  <si>
    <t>HETTICH 9122974 ArciTech DesignSide adaptér 94, antracit</t>
  </si>
  <si>
    <t>9122975</t>
  </si>
  <si>
    <t>226171</t>
  </si>
  <si>
    <t>HETTICH 9122975 ArciTech DesignSide Adaptér 94 bílý</t>
  </si>
  <si>
    <t>9122978</t>
  </si>
  <si>
    <t>226173</t>
  </si>
  <si>
    <t>HETTICH 9122978 ArciTech DesignSide adapter/124 mm stříbrný</t>
  </si>
  <si>
    <t>9122979</t>
  </si>
  <si>
    <t>226174</t>
  </si>
  <si>
    <t>HETTICH 9122979 ArciTech DesignSide adaptér 126, antracit</t>
  </si>
  <si>
    <t>9122980</t>
  </si>
  <si>
    <t>226175</t>
  </si>
  <si>
    <t>HETTICH 9122980 ArciTech DesignSide adapter/124 mm bílý</t>
  </si>
  <si>
    <t>9122983</t>
  </si>
  <si>
    <t>226177</t>
  </si>
  <si>
    <t>HETTICH 9122983 ArciTech DesignSide 94, 270mm, sklo</t>
  </si>
  <si>
    <t>9122984</t>
  </si>
  <si>
    <t>226178</t>
  </si>
  <si>
    <t>HETTICH 9122984 ArciTech DesignSide 94, 300mm, sklo</t>
  </si>
  <si>
    <t>9122985</t>
  </si>
  <si>
    <t>226179</t>
  </si>
  <si>
    <t>HETTICH 9122985 ArciTech DesignSide 94, 350mm, sklo</t>
  </si>
  <si>
    <t>9122986</t>
  </si>
  <si>
    <t>226180</t>
  </si>
  <si>
    <t>HETTICH 9122986 ArciTech DesignSide 94, 400mm, sklo</t>
  </si>
  <si>
    <t>9122987</t>
  </si>
  <si>
    <t>226181</t>
  </si>
  <si>
    <t>HETTICH 9122987 ArciTech DesignSide 94, 450mm, sklo</t>
  </si>
  <si>
    <t>9122988</t>
  </si>
  <si>
    <t>226182</t>
  </si>
  <si>
    <t>HETTICH 9122988 ArciTech DesignSide 94, 500mm, sklo</t>
  </si>
  <si>
    <t>9122989</t>
  </si>
  <si>
    <t>226183</t>
  </si>
  <si>
    <t>HETTICH 9122989 ArciTech DesignSide 94, 550mm, sklo</t>
  </si>
  <si>
    <t>9122990</t>
  </si>
  <si>
    <t>226184</t>
  </si>
  <si>
    <t>HETTICH 9122990 ArciTech DesignSide 94, 650mm, sklo</t>
  </si>
  <si>
    <t>9122991</t>
  </si>
  <si>
    <t>226185</t>
  </si>
  <si>
    <t>HETTICH 9122991 ArciTech DesignSide 126, 270mm, sklo</t>
  </si>
  <si>
    <t>9122992</t>
  </si>
  <si>
    <t>226186</t>
  </si>
  <si>
    <t>HETTICH 9122992 ArciTech DesignSide 126, 300mm, sklo</t>
  </si>
  <si>
    <t>9122993</t>
  </si>
  <si>
    <t>226187</t>
  </si>
  <si>
    <t>HETTICH 9122993 ArciTech DesignSide 126, 350mm, sklo</t>
  </si>
  <si>
    <t>9122994</t>
  </si>
  <si>
    <t>226188</t>
  </si>
  <si>
    <t>HETTICH 9122994 ArciTech DesignSide 126, 400mm, sklo</t>
  </si>
  <si>
    <t>9122995</t>
  </si>
  <si>
    <t>226189</t>
  </si>
  <si>
    <t>HETTICH 9122995 ArciTech DesignSide 126, 450mm, sklo</t>
  </si>
  <si>
    <t>9122996</t>
  </si>
  <si>
    <t>226190</t>
  </si>
  <si>
    <t>HETTICH 9122996 ArciTech DesignSide 126, 500mm, sklo</t>
  </si>
  <si>
    <t>9122997</t>
  </si>
  <si>
    <t>226191</t>
  </si>
  <si>
    <t>HETTICH 9122997 ArciTech DesignSide 126, 550mm, sklo</t>
  </si>
  <si>
    <t>9122998</t>
  </si>
  <si>
    <t>226192</t>
  </si>
  <si>
    <t>HETTICH 9122998 ArciTech DesignSide spojky/94/186 mm</t>
  </si>
  <si>
    <t>9123000</t>
  </si>
  <si>
    <t>226193</t>
  </si>
  <si>
    <t>HETTICH 9123000 Arcitech krytka antracit</t>
  </si>
  <si>
    <t>9123001</t>
  </si>
  <si>
    <t>226194</t>
  </si>
  <si>
    <t>HETTICH 9123001 Arcitech krytka bílá</t>
  </si>
  <si>
    <t>9123002</t>
  </si>
  <si>
    <t>226195</t>
  </si>
  <si>
    <t>HETTICH 9123002 ArciTech krytka nerez</t>
  </si>
  <si>
    <t>9123003</t>
  </si>
  <si>
    <t>226196</t>
  </si>
  <si>
    <t>HETTICH 9123003 ArciTech krytka chrom</t>
  </si>
  <si>
    <t>9123004</t>
  </si>
  <si>
    <t>226197</t>
  </si>
  <si>
    <t>HETTICH 9123004 ArciTech krytka hliník</t>
  </si>
  <si>
    <t>9123005</t>
  </si>
  <si>
    <t>226198</t>
  </si>
  <si>
    <t>HETTICH 9123005 Arcitech krytka s logem antracit</t>
  </si>
  <si>
    <t>9123006</t>
  </si>
  <si>
    <t>226199</t>
  </si>
  <si>
    <t>HETTICH 9123006 Arcitech krytka s logem bílá</t>
  </si>
  <si>
    <t>9123007</t>
  </si>
  <si>
    <t>226200</t>
  </si>
  <si>
    <t>HETTICH 9123007 ArciTech krytka s logem nerez</t>
  </si>
  <si>
    <t>9123008</t>
  </si>
  <si>
    <t>226201</t>
  </si>
  <si>
    <t>HETTICH 9123008 ArciTech krytka s logem chrom</t>
  </si>
  <si>
    <t>9123009</t>
  </si>
  <si>
    <t>226202</t>
  </si>
  <si>
    <t>HETTICH 9123009 Arcitech krytka s logem hliník</t>
  </si>
  <si>
    <t>9123010</t>
  </si>
  <si>
    <t>226203</t>
  </si>
  <si>
    <t>HETTICH 9123010 Arcitech příchytka čela k zalisování</t>
  </si>
  <si>
    <t>9123011</t>
  </si>
  <si>
    <t>226204</t>
  </si>
  <si>
    <t>HETTICH 9123011 Arcitech příchytka čela k našroubování</t>
  </si>
  <si>
    <t>9123078</t>
  </si>
  <si>
    <t>226255</t>
  </si>
  <si>
    <t>HETTICH 9123078 ArciTech DesignSide 126, 650mm, sklo</t>
  </si>
  <si>
    <t>9123083</t>
  </si>
  <si>
    <t>226258</t>
  </si>
  <si>
    <t>HETTICH 9123083 Arcitech držák čela vnitřní zásuvky 94</t>
  </si>
  <si>
    <t>9123084</t>
  </si>
  <si>
    <t>226259</t>
  </si>
  <si>
    <t>HETTICH 9123084 ArciTech příchyty čela vnitřní zásuvky 94, bílá</t>
  </si>
  <si>
    <t>9123085</t>
  </si>
  <si>
    <t>226260</t>
  </si>
  <si>
    <t>HETTICH 9123085 ArciTech příchyty čela vnitřní zásuvky 94, nerez</t>
  </si>
  <si>
    <t>9123086</t>
  </si>
  <si>
    <t>226261</t>
  </si>
  <si>
    <t>HETTICH 9123086 ArciTech sada spojek pro čelo vnitřní zásuvky 126mm stříbrná</t>
  </si>
  <si>
    <t>9123089</t>
  </si>
  <si>
    <t>226264</t>
  </si>
  <si>
    <t>HETTICH 9123089 Arcitech držák čela vnitřní zásuvky 186</t>
  </si>
  <si>
    <t>9123090</t>
  </si>
  <si>
    <t>226265</t>
  </si>
  <si>
    <t>HETTICH 9123090 ArciTech příchyty čela vnitřní zásuvky 186, bílá</t>
  </si>
  <si>
    <t>9123091</t>
  </si>
  <si>
    <t>226266</t>
  </si>
  <si>
    <t>HETTICH 9123091 ArciTech příchyty čela vnitřní zásuvky 186, nerez</t>
  </si>
  <si>
    <t>9123092</t>
  </si>
  <si>
    <t>226267</t>
  </si>
  <si>
    <t>HETTICH 9123092 ArciTech sada spojek pro čelo vnitřní zásuvky 218mm stříbrná</t>
  </si>
  <si>
    <t>9123093</t>
  </si>
  <si>
    <t>226268</t>
  </si>
  <si>
    <t>HETTICH 9123093 ArciTech příchyty čela vnitřní zásuvky 218, bílá</t>
  </si>
  <si>
    <t>9123094</t>
  </si>
  <si>
    <t>226269</t>
  </si>
  <si>
    <t>HETTICH 9123094 ArciTech příchyty čela vnitřní zásuvky 218, nerez</t>
  </si>
  <si>
    <t>9123342</t>
  </si>
  <si>
    <t>208967</t>
  </si>
  <si>
    <t>HETTICH 9123342 Easys úhelník pro záda ArciTech</t>
  </si>
  <si>
    <t>9123524</t>
  </si>
  <si>
    <t>208968</t>
  </si>
  <si>
    <t>HETTICH 9123524 ArciFit 100 montážní přípravek</t>
  </si>
  <si>
    <t>9124939</t>
  </si>
  <si>
    <t>378448</t>
  </si>
  <si>
    <t>HETTICH 9124939 Quadro V6+/470 P2O 50kg /pravý /EB 10,5 DALNO</t>
  </si>
  <si>
    <t>9124957</t>
  </si>
  <si>
    <t>301268</t>
  </si>
  <si>
    <t>HETTICH 9124957 Quadro V6+ 470 mm EB9,5 P2O</t>
  </si>
  <si>
    <t>9124958</t>
  </si>
  <si>
    <t>301269</t>
  </si>
  <si>
    <t>HETTICH 9124958 Quadro V6+ 470mm EB9,5 P2O</t>
  </si>
  <si>
    <t>9124967</t>
  </si>
  <si>
    <t>301270</t>
  </si>
  <si>
    <t>HETTICH 9124967 Quadro V6+ 420 mm EB12,5 P2O</t>
  </si>
  <si>
    <t>9124968</t>
  </si>
  <si>
    <t>301271</t>
  </si>
  <si>
    <t>HETTICH 9124968 Quadro V6+ 420 mm EB12,5 P2O</t>
  </si>
  <si>
    <t>9124973</t>
  </si>
  <si>
    <t>301272</t>
  </si>
  <si>
    <t>HETTICH 9124973 Quadro V6+ 420 mm EB9,5 P2O</t>
  </si>
  <si>
    <t>9124974</t>
  </si>
  <si>
    <t>301273</t>
  </si>
  <si>
    <t>HETTICH 9124974 Quadro V6+ 420 mm EB9,5 P2O</t>
  </si>
  <si>
    <t>9125133</t>
  </si>
  <si>
    <t>301274</t>
  </si>
  <si>
    <t>HETTICH 9125133 Quadro V6+ 350 mm EB12,5 P2O</t>
  </si>
  <si>
    <t>9125134</t>
  </si>
  <si>
    <t>301275</t>
  </si>
  <si>
    <t>HETTICH 9125134 Quadro V6+ 350 mm EB12,5 P2O</t>
  </si>
  <si>
    <t>9125135</t>
  </si>
  <si>
    <t>301276</t>
  </si>
  <si>
    <t>HETTICH 9125135 Quadro V6+ 350mm EB9,5 P2O</t>
  </si>
  <si>
    <t>9125136</t>
  </si>
  <si>
    <t>301277</t>
  </si>
  <si>
    <t>HETTICH 9125136 Quadro V6+ 350 mm EB9,5 P2O</t>
  </si>
  <si>
    <t>9125143</t>
  </si>
  <si>
    <t>301278</t>
  </si>
  <si>
    <t>HETTICH 9125143 Quadro V6+ 300mm EB12,5 P2O</t>
  </si>
  <si>
    <t>9125144</t>
  </si>
  <si>
    <t>301279</t>
  </si>
  <si>
    <t>HETTICH 9125144 Quadro V6+ 300 mm EB12,5 P2O P</t>
  </si>
  <si>
    <t>9125147</t>
  </si>
  <si>
    <t>301280</t>
  </si>
  <si>
    <t>HETTICH 9125147 Quadro V6+ 300 mm EB9,5 P2O L</t>
  </si>
  <si>
    <t>9125148</t>
  </si>
  <si>
    <t>301281</t>
  </si>
  <si>
    <t>HETTICH 9125148 Quadro V6+ 300 mm EB9,5 P2O P</t>
  </si>
  <si>
    <t>9125207</t>
  </si>
  <si>
    <t>301282</t>
  </si>
  <si>
    <t>HETTICH 9125207 Quadro V6+ 520 mm EB9,5 P2O L</t>
  </si>
  <si>
    <t>9125208</t>
  </si>
  <si>
    <t>301283</t>
  </si>
  <si>
    <t>HETTICH 9125208 Quadro V6+ 520mm EB9,5 P2O</t>
  </si>
  <si>
    <t>9125209</t>
  </si>
  <si>
    <t>301284</t>
  </si>
  <si>
    <t>HETTICH 9125209 Quadro V6+ 520 mm EB12,5 P2O</t>
  </si>
  <si>
    <t>9125210</t>
  </si>
  <si>
    <t>301285</t>
  </si>
  <si>
    <t>HETTICH 9125210 Quadro V6+ 520mm EB12,5 P2O</t>
  </si>
  <si>
    <t>9125213</t>
  </si>
  <si>
    <t>301286</t>
  </si>
  <si>
    <t>HETTICH 9125213 Quadro V6+ 620 mm EB9,5 P2O</t>
  </si>
  <si>
    <t>9125214</t>
  </si>
  <si>
    <t>301287</t>
  </si>
  <si>
    <t>HETTICH 9125214 Quadro V6+ 620 mm EB9,5 P2O</t>
  </si>
  <si>
    <t>9127000</t>
  </si>
  <si>
    <t>226403</t>
  </si>
  <si>
    <t>HETTICH 9127000 Arcitech příchytka podélného relingu na čelo s hmoždinkami</t>
  </si>
  <si>
    <t>9127011</t>
  </si>
  <si>
    <t>226404</t>
  </si>
  <si>
    <t>HETTICH 9127011 ArciTech příchyt podélného relingu na čelo, vrut</t>
  </si>
  <si>
    <t>9127863</t>
  </si>
  <si>
    <t>104050</t>
  </si>
  <si>
    <t>HETTICH 9127863 MultiTech 54/275 mm bílý</t>
  </si>
  <si>
    <t>9127864</t>
  </si>
  <si>
    <t>104051</t>
  </si>
  <si>
    <t>HETTICH 9127864 MultiTech 54/275 mm šedý</t>
  </si>
  <si>
    <t>9127865</t>
  </si>
  <si>
    <t>104052</t>
  </si>
  <si>
    <t>HETTICH 9127865 MultiTech 54/350 mm bílý</t>
  </si>
  <si>
    <t>9127867</t>
  </si>
  <si>
    <t>104054</t>
  </si>
  <si>
    <t>HETTICH 9127867 MultiTech 54/400 mm bílý</t>
  </si>
  <si>
    <t>9127869</t>
  </si>
  <si>
    <t>104056</t>
  </si>
  <si>
    <t>HETTICH 9127869/50007 Multitech 54/450 bílý</t>
  </si>
  <si>
    <t>9127871</t>
  </si>
  <si>
    <t>104058</t>
  </si>
  <si>
    <t>HETTICH 9127871 Multitech, zásuvka 54/500mm, bílá</t>
  </si>
  <si>
    <t>9127873</t>
  </si>
  <si>
    <t>104061</t>
  </si>
  <si>
    <t>HETTICH 9127873 MultiTech 54/550 mm bílý</t>
  </si>
  <si>
    <t>9127877</t>
  </si>
  <si>
    <t>104067</t>
  </si>
  <si>
    <t>HETTICH 9127877 Multitech, zásuvka 86/275mm, bílá</t>
  </si>
  <si>
    <t>9127879</t>
  </si>
  <si>
    <t>104069</t>
  </si>
  <si>
    <t>HETTICH 9127879 Multitech, zásuvka 86/350mm, bílá</t>
  </si>
  <si>
    <t>912788010</t>
  </si>
  <si>
    <t>104070</t>
  </si>
  <si>
    <t>HETTICH 9127880 MultiTech 86/350 mm šedý</t>
  </si>
  <si>
    <t>9127881</t>
  </si>
  <si>
    <t>104071</t>
  </si>
  <si>
    <t>HETTICH 9127881 Multitech, zásuvka 86/400mm, bílá</t>
  </si>
  <si>
    <t>9127882</t>
  </si>
  <si>
    <t>104072</t>
  </si>
  <si>
    <t>HETTICH 9127882 MultiTech 86/400 mm šedý</t>
  </si>
  <si>
    <t>9127883</t>
  </si>
  <si>
    <t>104073</t>
  </si>
  <si>
    <t>HETTICH 9127883 Multitech, zásuvka 86/450mm, bílá</t>
  </si>
  <si>
    <t>9127885</t>
  </si>
  <si>
    <t>104075</t>
  </si>
  <si>
    <t>HETTICH 9127885 Multitech, zásuvka 86/500mm, bílá</t>
  </si>
  <si>
    <t>9127886</t>
  </si>
  <si>
    <t>104077</t>
  </si>
  <si>
    <t>HETTICH 9127886 MultiTech 86 500 mm šedý</t>
  </si>
  <si>
    <t>9127887</t>
  </si>
  <si>
    <t>104080</t>
  </si>
  <si>
    <t>HETTICH 9127887 Multitech, zásuvka 86/550mm, bílá</t>
  </si>
  <si>
    <t>9127891</t>
  </si>
  <si>
    <t>103977</t>
  </si>
  <si>
    <t>HETTICH 9127891 Multitech, zásuvka 118/275mm, bílá</t>
  </si>
  <si>
    <t>9127893</t>
  </si>
  <si>
    <t>103981</t>
  </si>
  <si>
    <t>HETTICH 9127893 Multitech, zásuvka 118/350mm, bílá</t>
  </si>
  <si>
    <t>9127894</t>
  </si>
  <si>
    <t>103982</t>
  </si>
  <si>
    <t>HETTICH 9127894 MultiTech 118 350 mm šedý</t>
  </si>
  <si>
    <t>9127895</t>
  </si>
  <si>
    <t>103983</t>
  </si>
  <si>
    <t>HETTICH 9127895 Multitech, zásuvka 118/400mm, bílá</t>
  </si>
  <si>
    <t>9127897</t>
  </si>
  <si>
    <t>103985</t>
  </si>
  <si>
    <t>HETTICH 9127897 Multitech, zásuvka 118/450mm, bílá</t>
  </si>
  <si>
    <t>9127899</t>
  </si>
  <si>
    <t>103987</t>
  </si>
  <si>
    <t>HETTICH 9127899 Multitech, zásuvka 118/500mm, bílá</t>
  </si>
  <si>
    <t>9127901</t>
  </si>
  <si>
    <t>103995</t>
  </si>
  <si>
    <t>HETTICH 9127901 Multitech, zásuvka 118/550mm, bílá</t>
  </si>
  <si>
    <t>9127905</t>
  </si>
  <si>
    <t>104000</t>
  </si>
  <si>
    <t>HETTICH 9127905 Multitech, zásuvka 150/275mm, bílá</t>
  </si>
  <si>
    <t>9127907</t>
  </si>
  <si>
    <t>104002</t>
  </si>
  <si>
    <t>HETTICH 9127907 Multitech, zásuvka 150/350mm, bílá</t>
  </si>
  <si>
    <t>9127908</t>
  </si>
  <si>
    <t>104003</t>
  </si>
  <si>
    <t>HETTICH 9127908 MultiTech 150/350 mm šedý</t>
  </si>
  <si>
    <t>9127909</t>
  </si>
  <si>
    <t>104004</t>
  </si>
  <si>
    <t>HETTICH 9127909 Multitech, zásuvka 150/400mm, bílá</t>
  </si>
  <si>
    <t>9127911</t>
  </si>
  <si>
    <t>104006</t>
  </si>
  <si>
    <t>HETTICH 9127911 Multitech, zásuvka 150/450mm, bílá</t>
  </si>
  <si>
    <t>9127912</t>
  </si>
  <si>
    <t>104027</t>
  </si>
  <si>
    <t>HETTICH 9127912 MultiTech 150 450 mm šedý</t>
  </si>
  <si>
    <t>9127913</t>
  </si>
  <si>
    <t>104029</t>
  </si>
  <si>
    <t>HETTICH 9127913 Multitech, zásuvka 150/500mm, bílá</t>
  </si>
  <si>
    <t>9127915</t>
  </si>
  <si>
    <t>104031</t>
  </si>
  <si>
    <t>HETTICH 9127915 Multitech, zásuvka 150/550mm, bílá</t>
  </si>
  <si>
    <t>9127917</t>
  </si>
  <si>
    <t>104037</t>
  </si>
  <si>
    <t>HETTICH 9127917 MultiTech 214/350 mm bílý</t>
  </si>
  <si>
    <t>9127919</t>
  </si>
  <si>
    <t>104039</t>
  </si>
  <si>
    <t>HETTICH 9127919 MultiTech 214/400 mm bílý</t>
  </si>
  <si>
    <t>9127920</t>
  </si>
  <si>
    <t>104040</t>
  </si>
  <si>
    <t>HETTICH 9127920 MultiTech 214/400 mm šedý</t>
  </si>
  <si>
    <t>9127921</t>
  </si>
  <si>
    <t>104041</t>
  </si>
  <si>
    <t>HETTICH 9127921 Multitech, zásuvka 214/450mm, bílá</t>
  </si>
  <si>
    <t>9127923</t>
  </si>
  <si>
    <t>104043</t>
  </si>
  <si>
    <t>HETTICH 9127923 Multitech, zásuvka 214/500mm, bílá</t>
  </si>
  <si>
    <t>9127925</t>
  </si>
  <si>
    <t>104045</t>
  </si>
  <si>
    <t>HETTICH 9127925 Multitech, zásuvka 214/550mm, bílá</t>
  </si>
  <si>
    <t>9128171</t>
  </si>
  <si>
    <t>209044</t>
  </si>
  <si>
    <t>HETTICH 9128171 Accura vrtací těleso nastavitelné</t>
  </si>
  <si>
    <t>468814</t>
  </si>
  <si>
    <t>HETTICH 9128171 Accura vrtací těleso nastavitelné PD-50</t>
  </si>
  <si>
    <t>9128172</t>
  </si>
  <si>
    <t>209045</t>
  </si>
  <si>
    <t>HETTICH 9128172 Practica šablona pro ArciTech</t>
  </si>
  <si>
    <t>9129375</t>
  </si>
  <si>
    <t>364769</t>
  </si>
  <si>
    <t>HETTICH 9129375 QUADRO V6+ 550MM EB20 PUSH TO 100ryD</t>
  </si>
  <si>
    <t>9129712</t>
  </si>
  <si>
    <t>105033</t>
  </si>
  <si>
    <t>HETTICH 9129712 Kloubový kolík DU 634</t>
  </si>
  <si>
    <t>9129786</t>
  </si>
  <si>
    <t>465007</t>
  </si>
  <si>
    <t>HETTICH 9129786 VB 36/19 plast bílý</t>
  </si>
  <si>
    <t>9129881</t>
  </si>
  <si>
    <t>104546</t>
  </si>
  <si>
    <t>HETTICH 9129881 excentr VB 36, 19 mm, plast, hnědá</t>
  </si>
  <si>
    <t>9130038</t>
  </si>
  <si>
    <t>299813</t>
  </si>
  <si>
    <t>HETTICH 9130038 dveřní úchytkový profil hliník 2,5m</t>
  </si>
  <si>
    <t>9130062</t>
  </si>
  <si>
    <t>299814</t>
  </si>
  <si>
    <t>HETTICH 9130062 dveřní hliníkový U-profil (15-16)/2500 mm</t>
  </si>
  <si>
    <t>9130078</t>
  </si>
  <si>
    <t>299909</t>
  </si>
  <si>
    <t>HETTICH 9130078 TopLine XL sada šroubů pro upevnění vodícího profilu, 16-19m</t>
  </si>
  <si>
    <t>9131024</t>
  </si>
  <si>
    <t>209073</t>
  </si>
  <si>
    <t>HETTICH 9131024 70233 kabelová průchodka 60 mm</t>
  </si>
  <si>
    <t>9131025</t>
  </si>
  <si>
    <t>209074</t>
  </si>
  <si>
    <t>HETTICH 9131025 70234 kabelová průchodka 80 mm</t>
  </si>
  <si>
    <t>9131028</t>
  </si>
  <si>
    <t>209076</t>
  </si>
  <si>
    <t>HETTICH 9131028 kabelová průchodka 60 mm plast buk</t>
  </si>
  <si>
    <t>9131029</t>
  </si>
  <si>
    <t>209077</t>
  </si>
  <si>
    <t>HETTICH 9131029 Kabelová průchodka pr. 88 mm plast buk</t>
  </si>
  <si>
    <t>9131119</t>
  </si>
  <si>
    <t>209079</t>
  </si>
  <si>
    <t>HETTICH 9131119 Nosič polic pro tl. &gt; 35 mm</t>
  </si>
  <si>
    <t>9131206</t>
  </si>
  <si>
    <t>209085</t>
  </si>
  <si>
    <t>HETTICH 9131206 Alfa Stop podpěrka polic 8 mm</t>
  </si>
  <si>
    <t>9131207</t>
  </si>
  <si>
    <t>209086</t>
  </si>
  <si>
    <t>HETTICH 9131207 Rostrino kolík průměr 12 mm</t>
  </si>
  <si>
    <t>9131455</t>
  </si>
  <si>
    <t>188364</t>
  </si>
  <si>
    <t>HETTICH 9131455 Úchytka TICINUM 2000/8x224 mm eloxovaný hliník</t>
  </si>
  <si>
    <t>9131483</t>
  </si>
  <si>
    <t>209092</t>
  </si>
  <si>
    <t>HETTICH 9131483 BM sada vrtáků 5x5 mm P; 4x5 mm L</t>
  </si>
  <si>
    <t>9131486</t>
  </si>
  <si>
    <t>209095</t>
  </si>
  <si>
    <t>HETTICH 9131486 náhradní šroub k vrtacímu pouzdru Accura na úchytky</t>
  </si>
  <si>
    <t>525876</t>
  </si>
  <si>
    <t>485109</t>
  </si>
  <si>
    <t>HETTICH 9131486 náhradní šroub k vrtacímu pouzdru Accura PD-50</t>
  </si>
  <si>
    <t>9131487</t>
  </si>
  <si>
    <t>209096</t>
  </si>
  <si>
    <t>HETTICH 9131487 DrillJig náhradní pouzdro</t>
  </si>
  <si>
    <t>9131488</t>
  </si>
  <si>
    <t>209097</t>
  </si>
  <si>
    <t>HETTICH 9131488 Náhradní pružina pod pouzdro DrillJig VB a závěsy</t>
  </si>
  <si>
    <t>9131489</t>
  </si>
  <si>
    <t>209098</t>
  </si>
  <si>
    <t>HETTICH 9131489 DrillJig náhradní patka</t>
  </si>
  <si>
    <t>9131491</t>
  </si>
  <si>
    <t>209099</t>
  </si>
  <si>
    <t>HETTICH 9131491 Náhradní podložka pro DrillJig VB a závěsy</t>
  </si>
  <si>
    <t>9131492</t>
  </si>
  <si>
    <t>209100</t>
  </si>
  <si>
    <t>HETTICH 9131492 DrillJig náhradní podložka</t>
  </si>
  <si>
    <t>9131493</t>
  </si>
  <si>
    <t>209101</t>
  </si>
  <si>
    <t>HETTICH 9131493 Náhradní podložka 12x18x1,2mm k DrillJig VB</t>
  </si>
  <si>
    <t>9131494</t>
  </si>
  <si>
    <t>209102</t>
  </si>
  <si>
    <t>HETTICH 9131494 DrillJig VB 1x10 1x30 mm</t>
  </si>
  <si>
    <t>9131497</t>
  </si>
  <si>
    <t>209104</t>
  </si>
  <si>
    <t>HETTICH 9131497 Rychloupínací pouzdro</t>
  </si>
  <si>
    <t>9131502</t>
  </si>
  <si>
    <t>519232</t>
  </si>
  <si>
    <t>HETTICH 9131502 VRTACÍ HLAVA 3 VŘETENA PRO MISKU TB</t>
  </si>
  <si>
    <t>9131505</t>
  </si>
  <si>
    <t>209110</t>
  </si>
  <si>
    <t>HETTICH 9131505 Vrtací hlava 9 vřeten, rozteč system 32 mm</t>
  </si>
  <si>
    <t>9131506</t>
  </si>
  <si>
    <t>209111</t>
  </si>
  <si>
    <t>HETTICH 9131506 Vrtací hlava 9 vřeten</t>
  </si>
  <si>
    <t>9131507</t>
  </si>
  <si>
    <t>209112</t>
  </si>
  <si>
    <t>HETTICH 9131507 Vrtací hlava 9 vřeten 90°</t>
  </si>
  <si>
    <t>9131508</t>
  </si>
  <si>
    <t>209113</t>
  </si>
  <si>
    <t>HETTICH 9131508 prodloužené přítlačné patky</t>
  </si>
  <si>
    <t>9131815</t>
  </si>
  <si>
    <t>213120</t>
  </si>
  <si>
    <t>HETTICH 9131815 pružina 380N (KN342/2911IN) pro HLB - píst jedna strana</t>
  </si>
  <si>
    <t>9132006</t>
  </si>
  <si>
    <t>209127</t>
  </si>
  <si>
    <t>HETTICH 9132006 Podpěrky polic Alfa Stop 14,5 mm</t>
  </si>
  <si>
    <t>9132007</t>
  </si>
  <si>
    <t>209128</t>
  </si>
  <si>
    <t>HETTICH 9132007 Beta podpěrka polic 16 8 mm</t>
  </si>
  <si>
    <t>9132009</t>
  </si>
  <si>
    <t>209130</t>
  </si>
  <si>
    <t>HETTICH 9132009 Zápustný nosič polic Beta, 25 mm</t>
  </si>
  <si>
    <t>9132011</t>
  </si>
  <si>
    <t>209132</t>
  </si>
  <si>
    <t>HETTICH 9132011 Rostrino pouzdro průměr 15 mm</t>
  </si>
  <si>
    <t>9132020</t>
  </si>
  <si>
    <t>209141</t>
  </si>
  <si>
    <t>HETTICH 9132020 Krytka pro otvor D= 5mm černá</t>
  </si>
  <si>
    <t>9132021</t>
  </si>
  <si>
    <t>209142</t>
  </si>
  <si>
    <t>HETTICH 9132021 Krytka pro otvor D= 5mm béžová</t>
  </si>
  <si>
    <t>9132022</t>
  </si>
  <si>
    <t>209143</t>
  </si>
  <si>
    <t>HETTICH 9132022 Krytka pro otvor D= 5mm šedá</t>
  </si>
  <si>
    <t>9132023</t>
  </si>
  <si>
    <t>209145</t>
  </si>
  <si>
    <t>HETTICH 9132023 Krytka pro otvor D=8 mm černá</t>
  </si>
  <si>
    <t>9132024</t>
  </si>
  <si>
    <t>209146</t>
  </si>
  <si>
    <t>HETTICH 9132024 Krytka pro otvor D=8 mm šedá</t>
  </si>
  <si>
    <t>9132027</t>
  </si>
  <si>
    <t>209149</t>
  </si>
  <si>
    <t>HETTICH 9132027 Krytka pro otvor D=10 mm béžová</t>
  </si>
  <si>
    <t>9132052</t>
  </si>
  <si>
    <t>209151</t>
  </si>
  <si>
    <t>HETTICH 9132052 Sada vrtáků 1x35 L; 2x10 P, o</t>
  </si>
  <si>
    <t>9132097</t>
  </si>
  <si>
    <t>209152</t>
  </si>
  <si>
    <t>HETTICH 9132097 Vrtací hlava 9 vřeten 90° pro</t>
  </si>
  <si>
    <t>9132098</t>
  </si>
  <si>
    <t>209153</t>
  </si>
  <si>
    <t>HETTICH 9132098 Středový doraz pro BlueMax mini</t>
  </si>
  <si>
    <t>9132099</t>
  </si>
  <si>
    <t>209154</t>
  </si>
  <si>
    <t>HETTICH 9132099 BlueMax Mini Modular s pneumatikou</t>
  </si>
  <si>
    <t>9132100</t>
  </si>
  <si>
    <t>209155</t>
  </si>
  <si>
    <t>HETTICH 9132100 Lisovací třmen pro BlueMax lisovací třmen k vrtací hlavě</t>
  </si>
  <si>
    <t>9132101</t>
  </si>
  <si>
    <t>209156</t>
  </si>
  <si>
    <t>HETTICH 9132101 Spouštěcí nožní pedál</t>
  </si>
  <si>
    <t>9132252</t>
  </si>
  <si>
    <t>226489</t>
  </si>
  <si>
    <t>HETTICH 9132252 Arcitech příchytka zad 94 L šampaň</t>
  </si>
  <si>
    <t>9132253</t>
  </si>
  <si>
    <t>226490</t>
  </si>
  <si>
    <t>HETTICH 9132253 Arcitech příchytka zad 94 P šampaň</t>
  </si>
  <si>
    <t>9132254</t>
  </si>
  <si>
    <t>226491</t>
  </si>
  <si>
    <t>HETTICH 9132254 ArciTech příchyt zad 126 mm antracit</t>
  </si>
  <si>
    <t>9132255</t>
  </si>
  <si>
    <t>226492</t>
  </si>
  <si>
    <t>HETTICH 9132255 ArciTech příchytky zad 126 mm antracit</t>
  </si>
  <si>
    <t>9132258</t>
  </si>
  <si>
    <t>226495</t>
  </si>
  <si>
    <t>HETTICH 9132258 Arcitech příchytka zad 218 L šampaň</t>
  </si>
  <si>
    <t>9132259</t>
  </si>
  <si>
    <t>226496</t>
  </si>
  <si>
    <t>HETTICH 9132259 Arcitech příchytka zad 218 P šampaň</t>
  </si>
  <si>
    <t>9132312</t>
  </si>
  <si>
    <t>188403</t>
  </si>
  <si>
    <t>HETTICH 9132312 Úchytka ISTRANA 214/192 mm imitace nerezi</t>
  </si>
  <si>
    <t>9132314</t>
  </si>
  <si>
    <t>460815</t>
  </si>
  <si>
    <t>HETTICH 9132314 Knobka ITRI 38/16 mm, im. nerez kartáč</t>
  </si>
  <si>
    <t>9132346</t>
  </si>
  <si>
    <t>209165</t>
  </si>
  <si>
    <t>HETTICH 9132346 Odpadkový koš Bin.it Trio 400 mm</t>
  </si>
  <si>
    <t>9132349</t>
  </si>
  <si>
    <t>209168</t>
  </si>
  <si>
    <t>HETTICH 9132349 odpadkový koš Bin.it Flex 600 mm</t>
  </si>
  <si>
    <t>9132350</t>
  </si>
  <si>
    <t>209169</t>
  </si>
  <si>
    <t>HETTICH 9132350 Odp. koš Bin.it Flex 900 mm 12+</t>
  </si>
  <si>
    <t>9132377</t>
  </si>
  <si>
    <t>209183</t>
  </si>
  <si>
    <t>HETTICH 9132377 Pull odpadkový koš Arci(Inno)Tech</t>
  </si>
  <si>
    <t>9132378</t>
  </si>
  <si>
    <t>209184</t>
  </si>
  <si>
    <t>HETTICH 9132378 Pull odpadkový koš Arci(Inno)Tech</t>
  </si>
  <si>
    <t>9132380</t>
  </si>
  <si>
    <t>209186</t>
  </si>
  <si>
    <t>HETTICH 9132380 Pull odpadkový koš Arci(Inno)Tech</t>
  </si>
  <si>
    <t>9132386</t>
  </si>
  <si>
    <t>209192</t>
  </si>
  <si>
    <t>HETTICH 9132386 Pull víko na odpadkový koš 15 a 17L</t>
  </si>
  <si>
    <t>9132399</t>
  </si>
  <si>
    <t>209205</t>
  </si>
  <si>
    <t>HETTICH 9132399 LeMans II tlumiče levé bílé</t>
  </si>
  <si>
    <t>9132400</t>
  </si>
  <si>
    <t>209206</t>
  </si>
  <si>
    <t>HETTICH 9132400 LeMans II tlumiče pravé bílé</t>
  </si>
  <si>
    <t>9132456</t>
  </si>
  <si>
    <t>209257</t>
  </si>
  <si>
    <t>HETTICH 9132456 Výsuvný koš KA 500 mm 160 SiSy</t>
  </si>
  <si>
    <t>9132546</t>
  </si>
  <si>
    <t>209344</t>
  </si>
  <si>
    <t>HETTICH 9132546 LeMans II osa 600-750 mm ocel bílá</t>
  </si>
  <si>
    <t>9132547</t>
  </si>
  <si>
    <t>209345</t>
  </si>
  <si>
    <t>HETTICH 9132547 LeMans II osa 720-900 mm bílá</t>
  </si>
  <si>
    <t>9132738</t>
  </si>
  <si>
    <t>104943</t>
  </si>
  <si>
    <t>HETTICH 9132738 pružinové postelové kování, sada</t>
  </si>
  <si>
    <t>9132814</t>
  </si>
  <si>
    <t>209366</t>
  </si>
  <si>
    <t>HETTICH 9132814 Kryt čela rámu zásuvky 936 mm</t>
  </si>
  <si>
    <t>9132815</t>
  </si>
  <si>
    <t>209367</t>
  </si>
  <si>
    <t>HETTICH 9132815 Kryt čela rámu zásuvky 1136 mm</t>
  </si>
  <si>
    <t>9132820</t>
  </si>
  <si>
    <t>299955</t>
  </si>
  <si>
    <t>HETTICH 9132820 zamykací těleso pro dřevěnou zásuvku L</t>
  </si>
  <si>
    <t>9132896</t>
  </si>
  <si>
    <t>209384</t>
  </si>
  <si>
    <t>HETTICH 9132896 Boční výsuv na boty 265 mm SiSy</t>
  </si>
  <si>
    <t>9132916</t>
  </si>
  <si>
    <t>209404</t>
  </si>
  <si>
    <t>HETTICH 9132916 Amari výsuvný věšák na kalhoty 500-600</t>
  </si>
  <si>
    <t>9132917</t>
  </si>
  <si>
    <t>209405</t>
  </si>
  <si>
    <t>HETTICH 9132917 výsuvný věšák kalhot 600-700</t>
  </si>
  <si>
    <t>9132918</t>
  </si>
  <si>
    <t>209406</t>
  </si>
  <si>
    <t>HETTICH 9132918 Amari výsuvný věšák kalhot 700-800</t>
  </si>
  <si>
    <t>9132919</t>
  </si>
  <si>
    <t>416738</t>
  </si>
  <si>
    <t>HETTICH 9132919 výsuvný věšák na kalhoty Amari 800-900mm stříbrný</t>
  </si>
  <si>
    <t>9132920</t>
  </si>
  <si>
    <t>209408</t>
  </si>
  <si>
    <t>HETTICH 9132920 Amari distanční lišta pro výsuvy 10mm šedá</t>
  </si>
  <si>
    <t>9132923</t>
  </si>
  <si>
    <t>209409</t>
  </si>
  <si>
    <t>HETTICH 9132923 věšák kalhot k výsuvu Amari</t>
  </si>
  <si>
    <t>9132925</t>
  </si>
  <si>
    <t>421482</t>
  </si>
  <si>
    <t>HETTICH 9132925 odkládací miska pro věšák na kalhoty Amari</t>
  </si>
  <si>
    <t>9132954</t>
  </si>
  <si>
    <t>417916</t>
  </si>
  <si>
    <t>HETTICH 9132954 zásuvka na boty Amari 500-600mm</t>
  </si>
  <si>
    <t>9132957</t>
  </si>
  <si>
    <t>209440</t>
  </si>
  <si>
    <t>HETTICH 9132957 Amari zásuvka na boty LB 800-900</t>
  </si>
  <si>
    <t>9132980</t>
  </si>
  <si>
    <t>209461</t>
  </si>
  <si>
    <t>HETTICH 9132980 výsuvná police Amari šířka až 1000mm</t>
  </si>
  <si>
    <t>9133006</t>
  </si>
  <si>
    <t>209487</t>
  </si>
  <si>
    <t>HETTICH 9133006 Change Basic spojovací noha T</t>
  </si>
  <si>
    <t>9133008</t>
  </si>
  <si>
    <t>209488</t>
  </si>
  <si>
    <t>HETTICH 9133008 Change Basic noha základní C 695 mm</t>
  </si>
  <si>
    <t>9133009</t>
  </si>
  <si>
    <t>209489</t>
  </si>
  <si>
    <t>HETTICH 9133009 Change Basic noha spojovací C levá</t>
  </si>
  <si>
    <t>9133010</t>
  </si>
  <si>
    <t>209490</t>
  </si>
  <si>
    <t>HETTICH 9133010 Change Basic spojovací noha C, pravá</t>
  </si>
  <si>
    <t>9133012</t>
  </si>
  <si>
    <t>209492</t>
  </si>
  <si>
    <t>HETTICH 9133012 Change Basic spojovací noha T s výškovým seřízením</t>
  </si>
  <si>
    <t>9133014</t>
  </si>
  <si>
    <t>209493</t>
  </si>
  <si>
    <t>HETTICH 9133014 Change Basic základní noha C s výškovým seřízením</t>
  </si>
  <si>
    <t>9133017</t>
  </si>
  <si>
    <t>209496</t>
  </si>
  <si>
    <t>HETTICH 9133017 Change Basic traverza 660-1060 mm</t>
  </si>
  <si>
    <t>9133018</t>
  </si>
  <si>
    <t>209497</t>
  </si>
  <si>
    <t>HETTICH 9133018 Change Basic traverza 1200-2000 mm hliník</t>
  </si>
  <si>
    <t>9133020</t>
  </si>
  <si>
    <t>209499</t>
  </si>
  <si>
    <t>HETTICH 9133020 Spojovací traverza Change Basic 1200 - 2000 mm</t>
  </si>
  <si>
    <t>9133022</t>
  </si>
  <si>
    <t>209501</t>
  </si>
  <si>
    <t>HETTICH 9133022 Change Delhi opěrný sloup, 695 mm</t>
  </si>
  <si>
    <t>9133024</t>
  </si>
  <si>
    <t>209503</t>
  </si>
  <si>
    <t>HETTICH 9133024 Change stolová podnož se 2 hranatými nohami, 715 mm</t>
  </si>
  <si>
    <t>9133025</t>
  </si>
  <si>
    <t>209504</t>
  </si>
  <si>
    <t>HETTICH 9133025 stolová podnož se 2 hranatými nohami 680-820 mm</t>
  </si>
  <si>
    <t>9133081</t>
  </si>
  <si>
    <t>209537</t>
  </si>
  <si>
    <t>HETTICH 9133081 Kryt čela rámu zásuvky 936 mm</t>
  </si>
  <si>
    <t>9133150</t>
  </si>
  <si>
    <t>209543</t>
  </si>
  <si>
    <t>HETTICH 9133150 Kluzák k traverze pro v=9-41 mm</t>
  </si>
  <si>
    <t>9133178</t>
  </si>
  <si>
    <t>209544</t>
  </si>
  <si>
    <t>HETTICH 9133178 Závěs skládaných dveří o tloušťce 18-25 mm</t>
  </si>
  <si>
    <t>9133179</t>
  </si>
  <si>
    <t>209545</t>
  </si>
  <si>
    <t>HETTICH 9133179 závěs skládaných dveří tl. 22-30 mm</t>
  </si>
  <si>
    <t>9133191</t>
  </si>
  <si>
    <t>209548</t>
  </si>
  <si>
    <t>HETTICH 9133191 Závěs skládaných dveří o tloušťce 28-40 mm</t>
  </si>
  <si>
    <t>9133192</t>
  </si>
  <si>
    <t>209549</t>
  </si>
  <si>
    <t>HETTICH 9133192 Závěs skládaných dveří o tloušťce 35-50 mm</t>
  </si>
  <si>
    <t>9133364</t>
  </si>
  <si>
    <t>209559</t>
  </si>
  <si>
    <t>HETTICH 9133364 Kryt čela rámu zásuvky 836 mm</t>
  </si>
  <si>
    <t>9133401</t>
  </si>
  <si>
    <t>209562</t>
  </si>
  <si>
    <t>HETTICH 9133401 kabelová průchodka 120/300 mm hliník</t>
  </si>
  <si>
    <t>9133402</t>
  </si>
  <si>
    <t>209563</t>
  </si>
  <si>
    <t>HETTICH 9133402 kabelová průchodka 70x70 mm eloxovaný hliník</t>
  </si>
  <si>
    <t>9133403</t>
  </si>
  <si>
    <t>209564</t>
  </si>
  <si>
    <t>HETTICH 9133403 kabelová průchodka 70/600 mm hliník</t>
  </si>
  <si>
    <t>9133404</t>
  </si>
  <si>
    <t>209565</t>
  </si>
  <si>
    <t>HETTICH 9133404 kabelová průchodka 70x400 mm hliník</t>
  </si>
  <si>
    <t>9133406</t>
  </si>
  <si>
    <t>209567</t>
  </si>
  <si>
    <t>HETTICH 9133406 kabelová průchodka 70x200 mm hliník</t>
  </si>
  <si>
    <t>9133407</t>
  </si>
  <si>
    <t>209568</t>
  </si>
  <si>
    <t>HETTICH 9133407 kabelová průchodka 53x600 mm hliník</t>
  </si>
  <si>
    <t>9133408</t>
  </si>
  <si>
    <t>209569</t>
  </si>
  <si>
    <t>HETTICH 9133408 kabelová průchodka 53/400 mm hliník</t>
  </si>
  <si>
    <t>9133409</t>
  </si>
  <si>
    <t>209570</t>
  </si>
  <si>
    <t>HETTICH 9133409 kabelová průchodka 53x300 mm eloxovaný hliník</t>
  </si>
  <si>
    <t>9133410</t>
  </si>
  <si>
    <t>209571</t>
  </si>
  <si>
    <t>HETTICH 9133410 kabelová průchodka 53/200 mm hliník</t>
  </si>
  <si>
    <t>9133534</t>
  </si>
  <si>
    <t>391561</t>
  </si>
  <si>
    <t>HETTICH 9133534 Sensys montážní podložka k nalepení naložená D=10</t>
  </si>
  <si>
    <t>9133536</t>
  </si>
  <si>
    <t>379950</t>
  </si>
  <si>
    <t>HETTICH 9133536 Sensys montážní podložka k nalepení vložená D=10</t>
  </si>
  <si>
    <t>9133540</t>
  </si>
  <si>
    <t>379949</t>
  </si>
  <si>
    <t>HETTICH 9133540 Sensys montážní podložka k nalepení vložená D=10</t>
  </si>
  <si>
    <t>9133725</t>
  </si>
  <si>
    <t>209599</t>
  </si>
  <si>
    <t>HETTICH 9133725 71787 kabelová průchodka 60 mm</t>
  </si>
  <si>
    <t>9133726</t>
  </si>
  <si>
    <t>209600</t>
  </si>
  <si>
    <t>HETTICH 9133726 71788 kabelová průchodka 80 mm</t>
  </si>
  <si>
    <t>9133874</t>
  </si>
  <si>
    <t>397945</t>
  </si>
  <si>
    <t>HETTICH 9133874 podložka Sensys lineární s eurovruty, D=1,5 mm</t>
  </si>
  <si>
    <t>9133875</t>
  </si>
  <si>
    <t>397946</t>
  </si>
  <si>
    <t>HETTICH 9133875 podložka Sensys lineární s eurovruty, D=3 mm</t>
  </si>
  <si>
    <t>9133906</t>
  </si>
  <si>
    <t>209623</t>
  </si>
  <si>
    <t>HETTICH 9133906 zámek 3-cestný Z23</t>
  </si>
  <si>
    <t>9133908</t>
  </si>
  <si>
    <t>209625</t>
  </si>
  <si>
    <t>HETTICH 9133908 72185 zámek 3-cestný Z23</t>
  </si>
  <si>
    <t>9133912</t>
  </si>
  <si>
    <t>209629</t>
  </si>
  <si>
    <t>HETTICH 9133912 trojcestný zámek Prestige 2000 Z23 o18mm, 15 mm, 26 mm</t>
  </si>
  <si>
    <t>9133913</t>
  </si>
  <si>
    <t>209630</t>
  </si>
  <si>
    <t>HETTICH 9133913 Zámek Z23 3-cestný na vrut d26 mm</t>
  </si>
  <si>
    <t>9133914</t>
  </si>
  <si>
    <t>209631</t>
  </si>
  <si>
    <t>HETTICH 9133914 Adaptér pro zámky délka 22 mm</t>
  </si>
  <si>
    <t>9133916</t>
  </si>
  <si>
    <t>209633</t>
  </si>
  <si>
    <t>HETTICH 9133916 skříňový zámek Prestige 2000 Z23, o18mm, 15 mm, 20 mm</t>
  </si>
  <si>
    <t>9133926</t>
  </si>
  <si>
    <t>209639</t>
  </si>
  <si>
    <t>HETTICH 9133926 zámek Z23 2-křídlé posuvné dveře</t>
  </si>
  <si>
    <t>9133927</t>
  </si>
  <si>
    <t>209640</t>
  </si>
  <si>
    <t>HETTICH 9133927 zámek Z23 3-křídlé posuvné dveře</t>
  </si>
  <si>
    <t>9134232</t>
  </si>
  <si>
    <t>299957</t>
  </si>
  <si>
    <t>HETTICH 9134232 zásuvka SmarTray pod stůl V40 mm plast černá</t>
  </si>
  <si>
    <t>9134233</t>
  </si>
  <si>
    <t>299958</t>
  </si>
  <si>
    <t>HETTICH 9134233 zásuvka SmarTray pod stůl 40 mm šedá</t>
  </si>
  <si>
    <t>9134235</t>
  </si>
  <si>
    <t>299959</t>
  </si>
  <si>
    <t>HETTICH 9134235 zásuvka SmarTray pod stůl 60 mm černá</t>
  </si>
  <si>
    <t>9134236</t>
  </si>
  <si>
    <t>299960</t>
  </si>
  <si>
    <t>HETTICH 9134236 zásuvka SmarTray pod stůl 60 mm šedá</t>
  </si>
  <si>
    <t>9134311</t>
  </si>
  <si>
    <t>209808</t>
  </si>
  <si>
    <t>HETTICH 9134311 SysLine S posuvné dveře sada pro 2 křídla, tlumení při zavírání</t>
  </si>
  <si>
    <t>9134679</t>
  </si>
  <si>
    <t>209846</t>
  </si>
  <si>
    <t>HETTICH 9134679 Sekura 2.1 podpěrka</t>
  </si>
  <si>
    <t>9134720</t>
  </si>
  <si>
    <t>209847</t>
  </si>
  <si>
    <t>HETTICH 9134720 Krytka Rastex 15 plast béžový</t>
  </si>
  <si>
    <t>9134731</t>
  </si>
  <si>
    <t>209848</t>
  </si>
  <si>
    <t>HETTICH 9134731 Krytka Rastex 15 plast šedá</t>
  </si>
  <si>
    <t>9134769</t>
  </si>
  <si>
    <t>209855</t>
  </si>
  <si>
    <t>HETTICH 9134769 Easys úhelník pro záda ArciTech</t>
  </si>
  <si>
    <t>9134832</t>
  </si>
  <si>
    <t>209877</t>
  </si>
  <si>
    <t>HETTICH 9134832 těleso pro QD60 x=13 P2O černý</t>
  </si>
  <si>
    <t>9134833</t>
  </si>
  <si>
    <t>209878</t>
  </si>
  <si>
    <t>HETTICH 9134833 těleso pro Quadro 60 x=13 P2O</t>
  </si>
  <si>
    <t>9134837</t>
  </si>
  <si>
    <t>209879</t>
  </si>
  <si>
    <t>HETTICH 9134837 kulisový výsuv Quadro Big Duplex 400 mm</t>
  </si>
  <si>
    <t>9134838</t>
  </si>
  <si>
    <t>209880</t>
  </si>
  <si>
    <t>HETTICH 9134838 48486 Quadro Big Duplex 450 mm SiSy</t>
  </si>
  <si>
    <t>9134839</t>
  </si>
  <si>
    <t>209881</t>
  </si>
  <si>
    <t>HETTICH 9134839 kulisový výsuv Quadro Big Duplex, 500 mm</t>
  </si>
  <si>
    <t>9134840</t>
  </si>
  <si>
    <t>209882</t>
  </si>
  <si>
    <t>HETTICH 9134840 Quadro Big Duplex 550 mm SiSy</t>
  </si>
  <si>
    <t>9134841</t>
  </si>
  <si>
    <t>209883</t>
  </si>
  <si>
    <t>HETTICH 9134841 Quadro Big Duplex 600 mm SiSy</t>
  </si>
  <si>
    <t>9134842</t>
  </si>
  <si>
    <t>209884</t>
  </si>
  <si>
    <t>HETTICH 9134842 Quadro Big Duplex 650 mm SiSy</t>
  </si>
  <si>
    <t>9134843</t>
  </si>
  <si>
    <t>209885</t>
  </si>
  <si>
    <t>HETTICH 9134843 Quadro Big Duplex 700 mm SiSy</t>
  </si>
  <si>
    <t>9134844</t>
  </si>
  <si>
    <t>209886</t>
  </si>
  <si>
    <t>HETTICH 9134844 Quadro Big Duplex 750 mm SiSy</t>
  </si>
  <si>
    <t>9134845</t>
  </si>
  <si>
    <t>209887</t>
  </si>
  <si>
    <t>HETTICH 9134845 47493 Quadro Big Duplex 800 mm SiSy</t>
  </si>
  <si>
    <t>9134846</t>
  </si>
  <si>
    <t>209888</t>
  </si>
  <si>
    <t>HETTICH 9134846 kulisový výsuv Quadro Big Duplex, 850 mm</t>
  </si>
  <si>
    <t>9134847</t>
  </si>
  <si>
    <t>209889</t>
  </si>
  <si>
    <t>HETTICH 9134847 47495 Quadro Big Duplex 900 mm SiSy</t>
  </si>
  <si>
    <t>9134848</t>
  </si>
  <si>
    <t>209890</t>
  </si>
  <si>
    <t>HETTICH 9134848 kulisový výsuv Quadro Big Duplex, 950 mm</t>
  </si>
  <si>
    <t>9134849</t>
  </si>
  <si>
    <t>209891</t>
  </si>
  <si>
    <t>HETTICH 9134849 Quadro BigDuplex 1000 mm SiSy</t>
  </si>
  <si>
    <t>9134852</t>
  </si>
  <si>
    <t>209894</t>
  </si>
  <si>
    <t>HETTICH 9134852 InnoTech napojení zámku 2-stranné</t>
  </si>
  <si>
    <t>9134966</t>
  </si>
  <si>
    <t>226517</t>
  </si>
  <si>
    <t>HETTICH 9134966 ArciTech krytka šedá</t>
  </si>
  <si>
    <t>9134967</t>
  </si>
  <si>
    <t>226518</t>
  </si>
  <si>
    <t>HETTICH 9134967 ArciTech krytka šedá s logem Hettich</t>
  </si>
  <si>
    <t>9134988</t>
  </si>
  <si>
    <t>379966</t>
  </si>
  <si>
    <t>HETTICH 9134988 přípravek k umístění adaptéru k nalepení pro misku</t>
  </si>
  <si>
    <t>9134989</t>
  </si>
  <si>
    <t>379611</t>
  </si>
  <si>
    <t>HETTICH 9134989 Sensys závěs na sklo 165° nalepovací SiSy</t>
  </si>
  <si>
    <t>9134990</t>
  </si>
  <si>
    <t>379952</t>
  </si>
  <si>
    <t>HETTICH 9134990 Sensys závěs na sklo 110° nalepovací SiSy</t>
  </si>
  <si>
    <t>9134991</t>
  </si>
  <si>
    <t>226531</t>
  </si>
  <si>
    <t>HETTICH 9134991 ArciTech OrgaTray 570, 550/500 mm stříbrný</t>
  </si>
  <si>
    <t>9135129</t>
  </si>
  <si>
    <t>226601</t>
  </si>
  <si>
    <t>HETTICH 9135129 ArciTech OrgaTray 420, 500/450 mm bílý</t>
  </si>
  <si>
    <t>9135140</t>
  </si>
  <si>
    <t>379612</t>
  </si>
  <si>
    <t>HETTICH 9135140 Sensys závěs na sklo 165° nalepovací SiSy</t>
  </si>
  <si>
    <t>9135141</t>
  </si>
  <si>
    <t>379953</t>
  </si>
  <si>
    <t>HETTICH 9135141 Sensys závěs na sklo 110° nalepovací SiSy</t>
  </si>
  <si>
    <t>9135408</t>
  </si>
  <si>
    <t>226609</t>
  </si>
  <si>
    <t>HETTICH 9135408 ArciTech OrgaTray ukončovací profil 500 mm chrom</t>
  </si>
  <si>
    <t>9135592</t>
  </si>
  <si>
    <t>226616</t>
  </si>
  <si>
    <t>HETTICH 9135592 ArciTech OrgaTray 420, 900/500 mm stříbrný</t>
  </si>
  <si>
    <t>9135703</t>
  </si>
  <si>
    <t>226645</t>
  </si>
  <si>
    <t>HETTICH 9135703 ArciTech distanční lišta 25x350x67mm bílá</t>
  </si>
  <si>
    <t>9135871</t>
  </si>
  <si>
    <t>209985</t>
  </si>
  <si>
    <t>HETTICH 9135871 9080277 Quadro 25 300 mm EB20 SiSy L+P</t>
  </si>
  <si>
    <t>9135873</t>
  </si>
  <si>
    <t>209987</t>
  </si>
  <si>
    <t>HETTICH 9135873 9080279 Quadro 25 350 mm EB20 SiSy L+P</t>
  </si>
  <si>
    <t>9135874</t>
  </si>
  <si>
    <t>209988</t>
  </si>
  <si>
    <t>HETTICH 9135874 Quadro 25 380 mm EB20 SiSy L+P</t>
  </si>
  <si>
    <t>9135875</t>
  </si>
  <si>
    <t>209989</t>
  </si>
  <si>
    <t>HETTICH 9135875/9080281 Quadro 25 400 mm EB20 SiSy L+P</t>
  </si>
  <si>
    <t>9135877</t>
  </si>
  <si>
    <t>414784</t>
  </si>
  <si>
    <t>HETTICH 9135877 Quadro 25 450mm EB20 na čep SiSy L+P</t>
  </si>
  <si>
    <t>9135879</t>
  </si>
  <si>
    <t>209993</t>
  </si>
  <si>
    <t>HETTICH 9135879 9080283 Quadro 25 500 mm EB20 SiSy L+P</t>
  </si>
  <si>
    <t>9135881</t>
  </si>
  <si>
    <t>209995</t>
  </si>
  <si>
    <t>HETTICH 9135881 Quadro 25 550 mm EB20 SiSy L+P</t>
  </si>
  <si>
    <t>9135897</t>
  </si>
  <si>
    <t>210011</t>
  </si>
  <si>
    <t>HETTICH 9135897 QUADRO 25 350 EB20 PTO LM</t>
  </si>
  <si>
    <t>9135899</t>
  </si>
  <si>
    <t>210013</t>
  </si>
  <si>
    <t>HETTICH 9135899 Quadro 25 400 mm EB20 P2O L+P</t>
  </si>
  <si>
    <t>9135931</t>
  </si>
  <si>
    <t>210031</t>
  </si>
  <si>
    <t>HETTICH 9135931 Quadro 25/250 mm EB20 SiSy L+P</t>
  </si>
  <si>
    <t>9135933</t>
  </si>
  <si>
    <t>210033</t>
  </si>
  <si>
    <t>HETTICH 9135933 47432 Quadro 25 300 mm EB20 SiSy L+P</t>
  </si>
  <si>
    <t>9135934</t>
  </si>
  <si>
    <t>210034</t>
  </si>
  <si>
    <t>HETTICH 9135934 47426 Quadro 25 320 mm EB20 SiSy L+P</t>
  </si>
  <si>
    <t>9135935</t>
  </si>
  <si>
    <t>210035</t>
  </si>
  <si>
    <t>HETTICH 9135935 47425 Quadro 25 350 mm EB20 SiSy L+P</t>
  </si>
  <si>
    <t>9135937</t>
  </si>
  <si>
    <t>210037</t>
  </si>
  <si>
    <t>HETTICH 9135937/47433 Quadro 25 400 mm EB20 SiSy L+P</t>
  </si>
  <si>
    <t>9135938</t>
  </si>
  <si>
    <t>210038</t>
  </si>
  <si>
    <t>HETTICH 9135938 Quadro 25 420 mm EB20 SiSy L+P</t>
  </si>
  <si>
    <t>9135939</t>
  </si>
  <si>
    <t>210039</t>
  </si>
  <si>
    <t>HETTICH 9135939/47431 Quadro 25 450 mm EB20 SiSy L+P</t>
  </si>
  <si>
    <t>9135943</t>
  </si>
  <si>
    <t>210043</t>
  </si>
  <si>
    <t>HETTICH 9135943 Quadro 25 550 mm EB20 SiSy L+P</t>
  </si>
  <si>
    <t>9135958</t>
  </si>
  <si>
    <t>210058</t>
  </si>
  <si>
    <t>HETTICH 9135958 Quadro 25 300 mm EB20 P2O L+P</t>
  </si>
  <si>
    <t>9136009</t>
  </si>
  <si>
    <t>210097</t>
  </si>
  <si>
    <t>HETTICH 9136009 Quadro V6+ 350 mm EB20 P2O L+P</t>
  </si>
  <si>
    <t>9136065</t>
  </si>
  <si>
    <t>210112</t>
  </si>
  <si>
    <t>HETTICH 9136065 Quadro Duplex 30 370 mm EB392</t>
  </si>
  <si>
    <t>9136103</t>
  </si>
  <si>
    <t>210114</t>
  </si>
  <si>
    <t>HETTICH 9136103 SysLine S posuvné dveře sada pro 2 křídla, bez tlumení</t>
  </si>
  <si>
    <t>9136105</t>
  </si>
  <si>
    <t>210115</t>
  </si>
  <si>
    <t>HETTICH 9136105 SysLine S horní vedení dvojité 2000mm stříbrná surová</t>
  </si>
  <si>
    <t>9136106</t>
  </si>
  <si>
    <t>210116</t>
  </si>
  <si>
    <t>HETTICH 9136106 SysLine S horní vedení jednoduché 2000 mm stříbrná surová</t>
  </si>
  <si>
    <t>9136107</t>
  </si>
  <si>
    <t>210117</t>
  </si>
  <si>
    <t>HETTICH 9136107 TopLine M dveřní lišta 2,05m</t>
  </si>
  <si>
    <t>9136108</t>
  </si>
  <si>
    <t>210118</t>
  </si>
  <si>
    <t>HETTICH 9136108 dveřní ukončovací lišta pro tloušťku dveří 18-19 mm, U 2050 mm</t>
  </si>
  <si>
    <t>9136109</t>
  </si>
  <si>
    <t>210119</t>
  </si>
  <si>
    <t>HETTICH 9136109 SlideLine 55 plus lisovací přípravek</t>
  </si>
  <si>
    <t>9136121</t>
  </si>
  <si>
    <t>210128</t>
  </si>
  <si>
    <t>HETTICH 9136121 úchytová lišta 18-19 mm/2500 mm stříbrná elox</t>
  </si>
  <si>
    <t>9136122</t>
  </si>
  <si>
    <t>210129</t>
  </si>
  <si>
    <t>HETTICH 9136122 úchytová lišta 18-19 mm/2500 mm stříbrná elox</t>
  </si>
  <si>
    <t>9136128</t>
  </si>
  <si>
    <t>210133</t>
  </si>
  <si>
    <t>HETTICH 9136128 trojcestný zámek Prestige 2000 Z23, o18mm, 15 mm, 20 mm</t>
  </si>
  <si>
    <t>9136129</t>
  </si>
  <si>
    <t>210134</t>
  </si>
  <si>
    <t>HETTICH 9136129 zámek 3-cestný sada Z23 25</t>
  </si>
  <si>
    <t>9136146</t>
  </si>
  <si>
    <t>210140</t>
  </si>
  <si>
    <t>HETTICH 9136146 Vložka Z32 Signal, klíč číslo 18010</t>
  </si>
  <si>
    <t>9136151</t>
  </si>
  <si>
    <t>210145</t>
  </si>
  <si>
    <t>HETTICH 9136151 LeMans II 450 mm Arena Style L</t>
  </si>
  <si>
    <t>9136152</t>
  </si>
  <si>
    <t>210146</t>
  </si>
  <si>
    <t>HETTICH 9136152 LeMans II 450 mm Arena Style P</t>
  </si>
  <si>
    <t>9136154</t>
  </si>
  <si>
    <t>210148</t>
  </si>
  <si>
    <t>HETTICH 9136154 LeMans II 500 mm Arena Style P</t>
  </si>
  <si>
    <t>9136157</t>
  </si>
  <si>
    <t>210151</t>
  </si>
  <si>
    <t>HETTICH 9136157 LeMans II 450 Arena Classic L</t>
  </si>
  <si>
    <t>9136158</t>
  </si>
  <si>
    <t>210152</t>
  </si>
  <si>
    <t>HETTICH 9136158 LeMans II 450 Arena Classic P</t>
  </si>
  <si>
    <t>9136159</t>
  </si>
  <si>
    <t>210153</t>
  </si>
  <si>
    <t>HETTICH 9136159 LeMans II 500 Arena Classic L</t>
  </si>
  <si>
    <t>9136172</t>
  </si>
  <si>
    <t>210166</t>
  </si>
  <si>
    <t>HETTICH 9136172 LeMans II 600 Arena Classic P</t>
  </si>
  <si>
    <t>9136174</t>
  </si>
  <si>
    <t>210167</t>
  </si>
  <si>
    <t>HETTICH 9136174 LeMans II 450 reling stříbrný L</t>
  </si>
  <si>
    <t>9136175</t>
  </si>
  <si>
    <t>210168</t>
  </si>
  <si>
    <t>HETTICH 9136175 LeMans II 450 reling stříbrný P</t>
  </si>
  <si>
    <t>9136179</t>
  </si>
  <si>
    <t>210172</t>
  </si>
  <si>
    <t>HETTICH 9136179 LeMans II 600 mm Arena Classic stříbrný P</t>
  </si>
  <si>
    <t>9136184</t>
  </si>
  <si>
    <t>210176</t>
  </si>
  <si>
    <t>HETTICH 9136184 odpadkový koš Bin.it Duo II 15 l</t>
  </si>
  <si>
    <t>9136187</t>
  </si>
  <si>
    <t>210179</t>
  </si>
  <si>
    <t>HETTICH 9136187 náhradní nádoba pro koš 12 l šedá</t>
  </si>
  <si>
    <t>9136188</t>
  </si>
  <si>
    <t>210180</t>
  </si>
  <si>
    <t>HETTICH 9136188 náhradní nádoba pro koš 5,5l šedá</t>
  </si>
  <si>
    <t>9136276</t>
  </si>
  <si>
    <t>107220</t>
  </si>
  <si>
    <t>HETTICH 9136276 41829 Výsuvný věšák na ramínka 350 mm</t>
  </si>
  <si>
    <t>9136277</t>
  </si>
  <si>
    <t>103999</t>
  </si>
  <si>
    <t>HETTICH 9136277 výsuvný věšák na ramínka, 400 mm, stříbrná</t>
  </si>
  <si>
    <t>9136280</t>
  </si>
  <si>
    <t>210208</t>
  </si>
  <si>
    <t>HETTICH 9136280/28715 Výsuvný věšák na ramínka 500 mm</t>
  </si>
  <si>
    <t>9137000</t>
  </si>
  <si>
    <t>210279</t>
  </si>
  <si>
    <t>HETTICH 9137000 protiplech typ 7510 niklovaný</t>
  </si>
  <si>
    <t>9137114</t>
  </si>
  <si>
    <t>210282</t>
  </si>
  <si>
    <t>HETTICH 9137114 Eurošroub 6,0 x 14 mm</t>
  </si>
  <si>
    <t>9137686</t>
  </si>
  <si>
    <t>210285</t>
  </si>
  <si>
    <t>HETTICH 9137686 Eurošroub 6,0 x 13,7 mm půlkulatá hlava</t>
  </si>
  <si>
    <t>9138384</t>
  </si>
  <si>
    <t>299961</t>
  </si>
  <si>
    <t>HETTICH 9138384 speciální šroub 5x14 mm hlava 10,5mm</t>
  </si>
  <si>
    <t>9138386</t>
  </si>
  <si>
    <t>299962</t>
  </si>
  <si>
    <t>HETTICH 9138386 speciální šroub 6,3x14 mm hlava 10,5mm</t>
  </si>
  <si>
    <t>9138389</t>
  </si>
  <si>
    <t>210298</t>
  </si>
  <si>
    <t>HETTICH 9138389 zámek pro skleněné dveře s integrovanou úchytkou a západkou</t>
  </si>
  <si>
    <t>9138588</t>
  </si>
  <si>
    <t>210299</t>
  </si>
  <si>
    <t>HETTICH 9138588 zámek cylindrický 3-cestný SD</t>
  </si>
  <si>
    <t>9139172</t>
  </si>
  <si>
    <t>237417</t>
  </si>
  <si>
    <t>HETTICH 9139172 ArciTech příčný reling 400 mm stříbrný</t>
  </si>
  <si>
    <t>9139177</t>
  </si>
  <si>
    <t>235159</t>
  </si>
  <si>
    <t>HETTICH 9139177 ArciTech příčný reling 600 mm stříbrný</t>
  </si>
  <si>
    <t>9139184</t>
  </si>
  <si>
    <t>237438</t>
  </si>
  <si>
    <t>HETTICH 9139184 ArciTech příčný reling 800 mm antracit</t>
  </si>
  <si>
    <t>9139574</t>
  </si>
  <si>
    <t>210302</t>
  </si>
  <si>
    <t>HETTICH 9139574 sada dorazů k Accura 9128171</t>
  </si>
  <si>
    <t>485111</t>
  </si>
  <si>
    <t>HETTICH 9139574 sada dorazů k Accura 9128171 PD-50</t>
  </si>
  <si>
    <t>9140067</t>
  </si>
  <si>
    <t>300894</t>
  </si>
  <si>
    <t>HETTICH 9140067 Arcitech podélný reling 500 L šampaň</t>
  </si>
  <si>
    <t>9140068</t>
  </si>
  <si>
    <t>300895</t>
  </si>
  <si>
    <t>HETTICH 9140068 Arcitech podélný reling 500 P šampaň</t>
  </si>
  <si>
    <t>9140106</t>
  </si>
  <si>
    <t>300919</t>
  </si>
  <si>
    <t>HETTICH 9140106 ArciTech čelo vnitřní zásuvky 186/500 mm antracit</t>
  </si>
  <si>
    <t>9140107</t>
  </si>
  <si>
    <t>300920</t>
  </si>
  <si>
    <t>HETTICH 9140107 ArciTech čelo vnitřní zásuvky 186/600 mm antracit</t>
  </si>
  <si>
    <t>9140116</t>
  </si>
  <si>
    <t>300930</t>
  </si>
  <si>
    <t>HETTICH 9140116 ArciTech čelo vnitřní zásuvky 218/600 mm antracit</t>
  </si>
  <si>
    <t>9140121</t>
  </si>
  <si>
    <t>237456</t>
  </si>
  <si>
    <t>HETTICH 9140121 ArciTech držáky čela vnitřní zásuvky 94, antracit</t>
  </si>
  <si>
    <t>9140122</t>
  </si>
  <si>
    <t>237457</t>
  </si>
  <si>
    <t>HETTICH 9140122 ArciTech sada spojek pro čelo vnitřní zásuvky 126mm antracit</t>
  </si>
  <si>
    <t>9140123</t>
  </si>
  <si>
    <t>237458</t>
  </si>
  <si>
    <t>HETTICH 9140123 ArciTech držáky čela vnitřní zásuvky 186, antracit</t>
  </si>
  <si>
    <t>9140124</t>
  </si>
  <si>
    <t>237459</t>
  </si>
  <si>
    <t>HETTICH 9140124 ArciTech sada spojek pro čelo vnitřní zásuvky 218mm antracit</t>
  </si>
  <si>
    <t>9140596</t>
  </si>
  <si>
    <t>210309</t>
  </si>
  <si>
    <t>HETTICH 9140596 zamykací tyč Stop Control 10,5+1 HE</t>
  </si>
  <si>
    <t>9140597</t>
  </si>
  <si>
    <t>210310</t>
  </si>
  <si>
    <t>HETTICH 9140597 zamykací tyč Stop Control Plus 10,5+1 HE</t>
  </si>
  <si>
    <t>9142067</t>
  </si>
  <si>
    <t>383549</t>
  </si>
  <si>
    <t>HETTICH 9142067 LegaDrive ECO, ruční ovladač basic</t>
  </si>
  <si>
    <t>9143435</t>
  </si>
  <si>
    <t>210394</t>
  </si>
  <si>
    <t>HETTICH 9143435 Atira celovýsuv, Quadro V6+, 520mm/50kg, bok 18mm, pár, PTO</t>
  </si>
  <si>
    <t>9143436</t>
  </si>
  <si>
    <t>210395</t>
  </si>
  <si>
    <t>HETTICH 9143436 Atira celovýsuv, Quadro V6+, 620mm/50kg, bok 18mm, pár, PTO</t>
  </si>
  <si>
    <t>9143480</t>
  </si>
  <si>
    <t>210422</t>
  </si>
  <si>
    <t>HETTICH 9143480 Quadro 25 420 mm EB10,5 SiSy</t>
  </si>
  <si>
    <t>9143481</t>
  </si>
  <si>
    <t>210423</t>
  </si>
  <si>
    <t>HETTICH 9143481 Quadro 25 470 mm EB10,5 SiSy L+P</t>
  </si>
  <si>
    <t>9143482</t>
  </si>
  <si>
    <t>210424</t>
  </si>
  <si>
    <t>HETTICH 9143482 Quadro 25 520 mm EB10,5 SiSy</t>
  </si>
  <si>
    <t>9143490</t>
  </si>
  <si>
    <t>210432</t>
  </si>
  <si>
    <t>HETTICH 9143490 Atira celovýsuv, Quadro V6, 300mm/30kg, bok 18mm, pár, PTO</t>
  </si>
  <si>
    <t>9143491</t>
  </si>
  <si>
    <t>210433</t>
  </si>
  <si>
    <t>HETTICH 9143491 Atira celovýsuv, Quadro V6, 350mm/30kg, bok 18mm, PTO</t>
  </si>
  <si>
    <t>9143492</t>
  </si>
  <si>
    <t>210434</t>
  </si>
  <si>
    <t>HETTICH 9143492 Atira celovýsuv, Quadro V6, 420mm/30kg, bok 18mm, pár, PTO</t>
  </si>
  <si>
    <t>9143493</t>
  </si>
  <si>
    <t>133490</t>
  </si>
  <si>
    <t>HETTICH 9143493/9117452 Quadro V6/470 EB10,5 PTO</t>
  </si>
  <si>
    <t>9143494</t>
  </si>
  <si>
    <t>210436</t>
  </si>
  <si>
    <t>HETTICH 9143494 Atira celovýsuv, Quadro V6, 520mm/30kg, bok 18mm, pár, PTO</t>
  </si>
  <si>
    <t>9143495</t>
  </si>
  <si>
    <t>210437</t>
  </si>
  <si>
    <t>HETTICH 9143495 Quadro V6 260 mm EB9,5 P2O L+P</t>
  </si>
  <si>
    <t>9143499</t>
  </si>
  <si>
    <t>210441</t>
  </si>
  <si>
    <t>HETTICH 9143499 Quadro V6 470mm/30kg EB9,5 P2O L+P</t>
  </si>
  <si>
    <t>9143501</t>
  </si>
  <si>
    <t>210443</t>
  </si>
  <si>
    <t>HETTICH 9143501 Quadro V6+ 300 mm EB12,5 P2O L+P</t>
  </si>
  <si>
    <t>9143502</t>
  </si>
  <si>
    <t>210444</t>
  </si>
  <si>
    <t>HETTICH 9143502 Quadro V6+ 350 mm EB12,5 P2O L+P</t>
  </si>
  <si>
    <t>9143503</t>
  </si>
  <si>
    <t>210445</t>
  </si>
  <si>
    <t>HETTICH 9143503 Quadro V6+ 420 mm EB12,5 P2O L+P</t>
  </si>
  <si>
    <t>9143507</t>
  </si>
  <si>
    <t>210449</t>
  </si>
  <si>
    <t>HETTICH 9143507 Atira celovýsuv, Quadro V6+, 300mm/50kg, bok 18mm, PTO</t>
  </si>
  <si>
    <t>9143509</t>
  </si>
  <si>
    <t>210451</t>
  </si>
  <si>
    <t>HETTICH 9143509 Atira celovýsuv, Quadro V6+, 420mm/50kg, bok 18mm, pár, PTO</t>
  </si>
  <si>
    <t>9143510</t>
  </si>
  <si>
    <t>210452</t>
  </si>
  <si>
    <t>HETTICH 9143510 Atira celovýsuv, Quadro V6+, 470mm/50kg, bok 18mm, pár, PTO</t>
  </si>
  <si>
    <t>9143511</t>
  </si>
  <si>
    <t>210453</t>
  </si>
  <si>
    <t>HETTICH 9143511 Quadro V6 260 mm EB12,5 P2O L+P</t>
  </si>
  <si>
    <t>9143513</t>
  </si>
  <si>
    <t>210455</t>
  </si>
  <si>
    <t>HETTICH 9143513 Quadro V6 350 mm EB12,5 P2O L+P</t>
  </si>
  <si>
    <t>9143517</t>
  </si>
  <si>
    <t>210459</t>
  </si>
  <si>
    <t>HETTICH 9143517 Atira celovýsuv, Quadro V6, 260mm/30kg, bok 18mm, pár, PTO</t>
  </si>
  <si>
    <t>9144597</t>
  </si>
  <si>
    <t>104712</t>
  </si>
  <si>
    <t>HETTICH 9144597 spojky Quadro 25 / Quadro V6 pár L+P</t>
  </si>
  <si>
    <t>9144830</t>
  </si>
  <si>
    <t>104547</t>
  </si>
  <si>
    <t>HETTICH 9144830 spojka Quadro 25 / Quadro V6, levá</t>
  </si>
  <si>
    <t>364771</t>
  </si>
  <si>
    <t>HETTICH 9144830/75806 Spojka QUADRO EB20 L 100ryD</t>
  </si>
  <si>
    <t>350626</t>
  </si>
  <si>
    <t>HETTICH 914483001 QUADRO SPOJKA LEVÁ 30°</t>
  </si>
  <si>
    <t>9144841</t>
  </si>
  <si>
    <t>104548</t>
  </si>
  <si>
    <t>HETTICH 9144841 spojka Quadro 25 / Quadro V6, pravá</t>
  </si>
  <si>
    <t>364772</t>
  </si>
  <si>
    <t>HETTICH 9144841/75807 Spojka QUADRO EB20 P 100ryD</t>
  </si>
  <si>
    <t>350627</t>
  </si>
  <si>
    <t>HETTICH 914484101 QUADRO SPOJKA PRAVÁ 30°</t>
  </si>
  <si>
    <t>9145262</t>
  </si>
  <si>
    <t>220290</t>
  </si>
  <si>
    <t>HETTICH 9145262 Úchytka GENZONE 134 mm chrom lesklý</t>
  </si>
  <si>
    <t>9145263</t>
  </si>
  <si>
    <t>220291</t>
  </si>
  <si>
    <t>HETTICH 9145263 Úchytka GENZONE 134 mm imitace nerezi</t>
  </si>
  <si>
    <t>9145687</t>
  </si>
  <si>
    <t>210475</t>
  </si>
  <si>
    <t>HETTICH 9145687 Selekta pro doraz šedý</t>
  </si>
  <si>
    <t>9145851</t>
  </si>
  <si>
    <t>210476</t>
  </si>
  <si>
    <t>HETTICH 9145851 SysLine S horní vedení jednoduché lepidlo 2000 mm stříbr. surová</t>
  </si>
  <si>
    <t>9146114</t>
  </si>
  <si>
    <t>299777</t>
  </si>
  <si>
    <t>HETTICH 9146114 sada vrtáků 1x30 P + 2x10 P</t>
  </si>
  <si>
    <t>9146115</t>
  </si>
  <si>
    <t>299778</t>
  </si>
  <si>
    <t>HETTICH 9146115 sada vrtáků 1x20 P + 2x10 P</t>
  </si>
  <si>
    <t>9146429</t>
  </si>
  <si>
    <t>518114</t>
  </si>
  <si>
    <t>HETTICH 9146429 FricoFlex polohovací systém 270° / 7 Nm</t>
  </si>
  <si>
    <t>9146514</t>
  </si>
  <si>
    <t>210477</t>
  </si>
  <si>
    <t>HETTICH 9146514 tlumič SiSy na misku závěsu</t>
  </si>
  <si>
    <t>9146613</t>
  </si>
  <si>
    <t>210479</t>
  </si>
  <si>
    <t>HETTICH 9146613 Easys úhelník pro záda ArciTech</t>
  </si>
  <si>
    <t>9146615</t>
  </si>
  <si>
    <t>210480</t>
  </si>
  <si>
    <t>HETTICH 9146615 Easys úhelník pro záda ArciTech</t>
  </si>
  <si>
    <t>9146622</t>
  </si>
  <si>
    <t>210481</t>
  </si>
  <si>
    <t>HETTICH 9146622 ukončovací profil pro zadní dveře, 2500 mm</t>
  </si>
  <si>
    <t>9147751</t>
  </si>
  <si>
    <t>520598</t>
  </si>
  <si>
    <t>HETTICH 9147751 InLine píst 105N</t>
  </si>
  <si>
    <t>9147928</t>
  </si>
  <si>
    <t>300023</t>
  </si>
  <si>
    <t>HETTICH 9147928 LegaDrive napájecí kabel 3000 mm</t>
  </si>
  <si>
    <t>9149261</t>
  </si>
  <si>
    <t>235133</t>
  </si>
  <si>
    <t>HETTICH 9149261 ArciTech bočnice 94, 270mm, flexi sada, bílá</t>
  </si>
  <si>
    <t>9149262</t>
  </si>
  <si>
    <t>235134</t>
  </si>
  <si>
    <t>HETTICH 9149262 ArciTech bočnice 94, 300mm, flexi sada, bílá</t>
  </si>
  <si>
    <t>9149263</t>
  </si>
  <si>
    <t>235135</t>
  </si>
  <si>
    <t>HETTICH 9149263 ArciTech bočnice 94, 350mm, flexi sada, bílá</t>
  </si>
  <si>
    <t>9149264</t>
  </si>
  <si>
    <t>235136</t>
  </si>
  <si>
    <t>HETTICH 9149264 ArciTech bočnice 94, 400mm, flexi sada, bílá</t>
  </si>
  <si>
    <t>9149265</t>
  </si>
  <si>
    <t>235137</t>
  </si>
  <si>
    <t>HETTICH 9149265 ArciTech bočnice 94, 450mm, flexi sada, bílá</t>
  </si>
  <si>
    <t>9149266</t>
  </si>
  <si>
    <t>235138</t>
  </si>
  <si>
    <t>HETTICH 9149266 ArciTech bočnice 94, 500mm, flexi sada, bílá</t>
  </si>
  <si>
    <t>9149268</t>
  </si>
  <si>
    <t>235139</t>
  </si>
  <si>
    <t>HETTICH 9149268 ArciTech bočnice 94, 550mm, flexi sada, bílá</t>
  </si>
  <si>
    <t>9149269</t>
  </si>
  <si>
    <t>235140</t>
  </si>
  <si>
    <t>HETTICH 9149269 ArciTech bočnice 94, 650mm, flexi sada, bílá</t>
  </si>
  <si>
    <t>9149272</t>
  </si>
  <si>
    <t>235142</t>
  </si>
  <si>
    <t>HETTICH 9149272 ArciTech bočnice 126, 300mm, flexi sada, bílá</t>
  </si>
  <si>
    <t>9149273</t>
  </si>
  <si>
    <t>235143</t>
  </si>
  <si>
    <t>HETTICH 9149273 ArciTech bočnice 126, 350mm, flexi sada, bílá</t>
  </si>
  <si>
    <t>9149274</t>
  </si>
  <si>
    <t>235144</t>
  </si>
  <si>
    <t>HETTICH 9149274 ArciTech bočnice 126, 400mm, flexi sada, bílá</t>
  </si>
  <si>
    <t>9149275</t>
  </si>
  <si>
    <t>235145</t>
  </si>
  <si>
    <t>HETTICH 9149275 ArciTech bočnice 126, 450mm, flexi sada, bílá</t>
  </si>
  <si>
    <t>9149276</t>
  </si>
  <si>
    <t>235146</t>
  </si>
  <si>
    <t>HETTICH 9149276 ArciTech bočnice 126, 500mm, flexi sada, bílá</t>
  </si>
  <si>
    <t>9149277</t>
  </si>
  <si>
    <t>235147</t>
  </si>
  <si>
    <t>HETTICH 9149277 ArciTech bočnice 126, 550mm, flexi sada, bílá</t>
  </si>
  <si>
    <t>9149278</t>
  </si>
  <si>
    <t>235148</t>
  </si>
  <si>
    <t>HETTICH 9149278 ArciTech bočnice 126, 650mm, flexi sada, bílá</t>
  </si>
  <si>
    <t>9149279</t>
  </si>
  <si>
    <t>235154</t>
  </si>
  <si>
    <t>HETTICH 9149279 ArciTech příchytky zad 94 mm L+P</t>
  </si>
  <si>
    <t>9149280</t>
  </si>
  <si>
    <t>235149</t>
  </si>
  <si>
    <t>HETTICH 9149280 ArciTech příchytky zad/126 mm bílé L+P</t>
  </si>
  <si>
    <t>9149281</t>
  </si>
  <si>
    <t>235150</t>
  </si>
  <si>
    <t>HETTICH 9149281 ArciTech příchytky zad 186 mm bílé L+P</t>
  </si>
  <si>
    <t>9149282</t>
  </si>
  <si>
    <t>235151</t>
  </si>
  <si>
    <t>HETTICH 9149282/ArciTech příchytky zad/218 mm bílé L+P</t>
  </si>
  <si>
    <t>9149283</t>
  </si>
  <si>
    <t>235152</t>
  </si>
  <si>
    <t>HETTICH 9149283 ArciTech příchytky zad 250 mm L+P</t>
  </si>
  <si>
    <t>9149284</t>
  </si>
  <si>
    <t>235153</t>
  </si>
  <si>
    <t>HETTICH 9149284 ArciTech příchytky zad 282 mm L+P</t>
  </si>
  <si>
    <t>9149285</t>
  </si>
  <si>
    <t>235126</t>
  </si>
  <si>
    <t>HETTICH 9149285 ArciTech reling, 270mm, pár, bílá</t>
  </si>
  <si>
    <t>9149286</t>
  </si>
  <si>
    <t>235127</t>
  </si>
  <si>
    <t>HETTICH 9149286 Arcitech podélný reling 300 L+P</t>
  </si>
  <si>
    <t>9149287</t>
  </si>
  <si>
    <t>235128</t>
  </si>
  <si>
    <t>HETTICH 9149287 Arcitech podélný reling 350 L+P</t>
  </si>
  <si>
    <t>9149288</t>
  </si>
  <si>
    <t>235129</t>
  </si>
  <si>
    <t>HETTICH 9149288 Arcitech podélný reling 400 L+P</t>
  </si>
  <si>
    <t>9149289</t>
  </si>
  <si>
    <t>235130</t>
  </si>
  <si>
    <t>HETTICH 9149289 ArciTech reling 450 mm bílý L+P</t>
  </si>
  <si>
    <t>9149290</t>
  </si>
  <si>
    <t>235131</t>
  </si>
  <si>
    <t>HETTICH 9149290 ArciTech relingy 500 mm bílé L+P</t>
  </si>
  <si>
    <t>9149291</t>
  </si>
  <si>
    <t>235132</t>
  </si>
  <si>
    <t>HETTICH 9149291 Arcitech podélný reling 550 L+P</t>
  </si>
  <si>
    <t>9149292</t>
  </si>
  <si>
    <t>235038</t>
  </si>
  <si>
    <t>HETTICH 9149292 ArciTech reling, 650mm, sada, bílá</t>
  </si>
  <si>
    <t>9149293</t>
  </si>
  <si>
    <t>220326</t>
  </si>
  <si>
    <t>HETTICH 9149293 Úchytka CAPRIS 1200 mm eloxovaný hliník</t>
  </si>
  <si>
    <t>9149296</t>
  </si>
  <si>
    <t>220327</t>
  </si>
  <si>
    <t>HETTICH 9149296 Úchytka CAPRIS 1200 mm imitace nerezi</t>
  </si>
  <si>
    <t>9150069</t>
  </si>
  <si>
    <t>235105</t>
  </si>
  <si>
    <t>HETTICH 9150069 ArciTech příchytky zad/78 mm bílé L+P</t>
  </si>
  <si>
    <t>9150484</t>
  </si>
  <si>
    <t>235041</t>
  </si>
  <si>
    <t>HETTICH 9150484 ArciTech bočnice 94, 270mm, flexi sada, antracit</t>
  </si>
  <si>
    <t>9150485</t>
  </si>
  <si>
    <t>235044</t>
  </si>
  <si>
    <t>HETTICH 9150485 ArciTech bočnice 94, 300mm, flexi sada, antracit</t>
  </si>
  <si>
    <t>9150486</t>
  </si>
  <si>
    <t>235047</t>
  </si>
  <si>
    <t>HETTICH 9150486 ArciTech bočnice 94, 350mm, flexi sada, antracit</t>
  </si>
  <si>
    <t>9150487</t>
  </si>
  <si>
    <t>235050</t>
  </si>
  <si>
    <t>HETTICH 9150487 ArciTech bočnice 94, 400mm, flexi sada, antracit</t>
  </si>
  <si>
    <t>9150488</t>
  </si>
  <si>
    <t>235053</t>
  </si>
  <si>
    <t>HETTICH 9150488 ArciTech bočnice 94, 450mm, flexi sada, antracit</t>
  </si>
  <si>
    <t>9150489</t>
  </si>
  <si>
    <t>235056</t>
  </si>
  <si>
    <t>HETTICH 9150489 ArciTech bočnice 94, 500mm, flexi sada, antracit</t>
  </si>
  <si>
    <t>9150490</t>
  </si>
  <si>
    <t>235059</t>
  </si>
  <si>
    <t>HETTICH 9150490 ArciTech bočnice 94, 550mm, flexi sada, antracit</t>
  </si>
  <si>
    <t>9150491</t>
  </si>
  <si>
    <t>235062</t>
  </si>
  <si>
    <t>HETTICH 9150491 ArciTech bočnice 94, 650mm, flexi sada, antracit</t>
  </si>
  <si>
    <t>9150492</t>
  </si>
  <si>
    <t>235065</t>
  </si>
  <si>
    <t>HETTICH 9150492 ArciTech bočnice 126, 270mm, flexi sada, antracit</t>
  </si>
  <si>
    <t>9150493</t>
  </si>
  <si>
    <t>235067</t>
  </si>
  <si>
    <t>HETTICH 9150493 ArciTech flexi sada 126/300 antracit</t>
  </si>
  <si>
    <t>9150494</t>
  </si>
  <si>
    <t>235069</t>
  </si>
  <si>
    <t>HETTICH 9150494 ArciTech bočnice 126, 350mm, flexi sada, antracit</t>
  </si>
  <si>
    <t>9150495</t>
  </si>
  <si>
    <t>235071</t>
  </si>
  <si>
    <t>HETTICH 9150495 ArciTech bočnice 126, 400mm, flexi sada, antracit</t>
  </si>
  <si>
    <t>9150496</t>
  </si>
  <si>
    <t>235074</t>
  </si>
  <si>
    <t>HETTICH 9150496 ArciTech bočnice 126, 450mm, flexi sada, antracit</t>
  </si>
  <si>
    <t>9150497</t>
  </si>
  <si>
    <t>235077</t>
  </si>
  <si>
    <t>HETTICH 9150497 ArciTech bočnice 126, 500mm, flexi sada, antracit</t>
  </si>
  <si>
    <t>9150498</t>
  </si>
  <si>
    <t>235080</t>
  </si>
  <si>
    <t>HETTICH 9150498 ArciTech bočnice 126, 550mm, flexi sada, antracit</t>
  </si>
  <si>
    <t>9150499</t>
  </si>
  <si>
    <t>235084</t>
  </si>
  <si>
    <t>HETTICH 9150499 ArciTech bočnice 126, 650mm, flexi sada, antracit</t>
  </si>
  <si>
    <t>9150500</t>
  </si>
  <si>
    <t>234961</t>
  </si>
  <si>
    <t>HETTICH 9150500 ArciTech příchytky zad 78 antracit L+P</t>
  </si>
  <si>
    <t>9150501</t>
  </si>
  <si>
    <t>235102</t>
  </si>
  <si>
    <t>HETTICH 9150501 ArciTech příchytky zad 94 mm L+P</t>
  </si>
  <si>
    <t>9150502</t>
  </si>
  <si>
    <t>235087</t>
  </si>
  <si>
    <t>HETTICH 9150502 ArciTech příchytky zad 126 mm L+P</t>
  </si>
  <si>
    <t>9150503</t>
  </si>
  <si>
    <t>235089</t>
  </si>
  <si>
    <t>HETTICH 9150503 ArciTech příchytky zad/186 mm antracit L+P</t>
  </si>
  <si>
    <t>9150505</t>
  </si>
  <si>
    <t>235092</t>
  </si>
  <si>
    <t>HETTICH 9150505 ArciTech příchytky zad 218 mm antracit L+P</t>
  </si>
  <si>
    <t>9150506</t>
  </si>
  <si>
    <t>235095</t>
  </si>
  <si>
    <t>HETTICH 9150506 ArciTech příchytky zad 250 mm antracit L+P</t>
  </si>
  <si>
    <t>9150507</t>
  </si>
  <si>
    <t>235098</t>
  </si>
  <si>
    <t>HETTICH 9150507 ArciTech příchytky zad/282/mm antracit L+P</t>
  </si>
  <si>
    <t>9150512</t>
  </si>
  <si>
    <t>235016</t>
  </si>
  <si>
    <t>HETTICH 9150512 ArciTech reling, 270mm, sada, antracit</t>
  </si>
  <si>
    <t>9150513</t>
  </si>
  <si>
    <t>235019</t>
  </si>
  <si>
    <t>HETTICH 9150513 ArciTech reling, 300mm, sada, antracit</t>
  </si>
  <si>
    <t>9150514</t>
  </si>
  <si>
    <t>235022</t>
  </si>
  <si>
    <t>HETTICH 9150514 ArciTech reling, 350mm, sada, antracit</t>
  </si>
  <si>
    <t>9150515</t>
  </si>
  <si>
    <t>235025</t>
  </si>
  <si>
    <t>HETTICH 9150515 ArciTech reling, 400mm, sada, antracit</t>
  </si>
  <si>
    <t>9150516</t>
  </si>
  <si>
    <t>235028</t>
  </si>
  <si>
    <t>HETTICH 9150516 ArciTech reling 450 mm anracit L+P</t>
  </si>
  <si>
    <t>9150517</t>
  </si>
  <si>
    <t>235031</t>
  </si>
  <si>
    <t>HETTICH 9150517 ArciTech reling 500 mm antracit L+P</t>
  </si>
  <si>
    <t>9150518</t>
  </si>
  <si>
    <t>235034</t>
  </si>
  <si>
    <t>HETTICH 9150518 ArciTech reling, 550mm, sada, antracit</t>
  </si>
  <si>
    <t>9150519</t>
  </si>
  <si>
    <t>235037</t>
  </si>
  <si>
    <t>HETTICH 9150519 ArciTech reling, 650mm, sada, antracit</t>
  </si>
  <si>
    <t>9150597</t>
  </si>
  <si>
    <t>235103</t>
  </si>
  <si>
    <t>HETTICH 9150597 ArciTech příchytky zad 94 mm L+P</t>
  </si>
  <si>
    <t>9150598</t>
  </si>
  <si>
    <t>235673</t>
  </si>
  <si>
    <t>HETTICH 9150598 ArciTech příchytky zad 126 mm L+P</t>
  </si>
  <si>
    <t>9150599</t>
  </si>
  <si>
    <t>235090</t>
  </si>
  <si>
    <t>HETTICH 9150599 ArciTech příchytky zad 186 sada nerez</t>
  </si>
  <si>
    <t>9150613</t>
  </si>
  <si>
    <t>235043</t>
  </si>
  <si>
    <t>HETTICH 9150613 ArciTech flexi sada 94/270 mm stříbrná</t>
  </si>
  <si>
    <t>9150614</t>
  </si>
  <si>
    <t>235046</t>
  </si>
  <si>
    <t>HETTICH 9150614 Arcitech flexi sada 300/94 stříbrná</t>
  </si>
  <si>
    <t>9150615</t>
  </si>
  <si>
    <t>235049</t>
  </si>
  <si>
    <t>HETTICH 9150615 Arcitech flexi sada 350/94 stříbrná</t>
  </si>
  <si>
    <t>9150616</t>
  </si>
  <si>
    <t>235052</t>
  </si>
  <si>
    <t>HETTICH 9150616 Arcitech flexi sada 400/94 stříbrná</t>
  </si>
  <si>
    <t>9150618</t>
  </si>
  <si>
    <t>235055</t>
  </si>
  <si>
    <t>HETTICH 9150618 Arcitech flexi sada 450/94 stříbrná</t>
  </si>
  <si>
    <t>9150619</t>
  </si>
  <si>
    <t>235058</t>
  </si>
  <si>
    <t>HETTICH 9150619 Arcitech flexi sada 500/94 stříbrná</t>
  </si>
  <si>
    <t>9150620</t>
  </si>
  <si>
    <t>235061</t>
  </si>
  <si>
    <t>HETTICH 9150620 Arcitech flexi sada 550/94 stříbrná</t>
  </si>
  <si>
    <t>9150621</t>
  </si>
  <si>
    <t>235064</t>
  </si>
  <si>
    <t>HETTICH 9150621 ArciTech flexi sada 94/650 mm stříbrná</t>
  </si>
  <si>
    <t>9150622</t>
  </si>
  <si>
    <t>235066</t>
  </si>
  <si>
    <t>HETTICH 9150622 ArciTech flexi sada 126/270 mm stříbrná</t>
  </si>
  <si>
    <t>9150623</t>
  </si>
  <si>
    <t>235068</t>
  </si>
  <si>
    <t>HETTICH 9150623 ArciTech flexi sada 126/300 stříbrná</t>
  </si>
  <si>
    <t>9150624</t>
  </si>
  <si>
    <t>235070</t>
  </si>
  <si>
    <t>HETTICH 9150624 ArciTech flexi sada 126/350 stříbrná</t>
  </si>
  <si>
    <t>9150625</t>
  </si>
  <si>
    <t>235073</t>
  </si>
  <si>
    <t>HETTICH 9150625 ArciTech flexi sada 126/400 mm stříbrná</t>
  </si>
  <si>
    <t>9150626</t>
  </si>
  <si>
    <t>235076</t>
  </si>
  <si>
    <t>HETTICH 9150626 ArciTech flexi sada 126/450 mm stříbrná</t>
  </si>
  <si>
    <t>9150627</t>
  </si>
  <si>
    <t>235079</t>
  </si>
  <si>
    <t>HETTICH 9150627 ArciTech flexi sada 126/500 mm stříbrná</t>
  </si>
  <si>
    <t>9150628</t>
  </si>
  <si>
    <t>235082</t>
  </si>
  <si>
    <t>HETTICH 9150628 ArciTech flexi sada 126/550 mm stříbrná</t>
  </si>
  <si>
    <t>9150629</t>
  </si>
  <si>
    <t>235086</t>
  </si>
  <si>
    <t>HETTICH 9150629 ArciTech flexi sada 126/650 stříbrná</t>
  </si>
  <si>
    <t>9150630</t>
  </si>
  <si>
    <t>234962</t>
  </si>
  <si>
    <t>HETTICH 9150630 ArciTech příchytky zad 78 stříbrná L+P</t>
  </si>
  <si>
    <t>9150641</t>
  </si>
  <si>
    <t>235104</t>
  </si>
  <si>
    <t>HETTICH 9150641 ArciTech příchytky zad 94 mm L+P</t>
  </si>
  <si>
    <t>9150642</t>
  </si>
  <si>
    <t>235088</t>
  </si>
  <si>
    <t>HETTICH 9150642 ArciTech příchytky zad 126 sada stříbrné</t>
  </si>
  <si>
    <t>9150643</t>
  </si>
  <si>
    <t>235091</t>
  </si>
  <si>
    <t>HETTICH 9150643 ArciTech příchytky zad/186 mm stříbrné L+P</t>
  </si>
  <si>
    <t>9150644</t>
  </si>
  <si>
    <t>235094</t>
  </si>
  <si>
    <t>HETTICH 9150644 ArciTech příchytky zad 218 mm stříbrné L+P</t>
  </si>
  <si>
    <t>9150645</t>
  </si>
  <si>
    <t>235097</t>
  </si>
  <si>
    <t>HETTICH 9150645 ArciTech příchytky zad 250 sada stříbrné</t>
  </si>
  <si>
    <t>9150646</t>
  </si>
  <si>
    <t>235100</t>
  </si>
  <si>
    <t>HETTICH 9150646 ArciTech příchytky zad 282 mm L+P</t>
  </si>
  <si>
    <t>9150647</t>
  </si>
  <si>
    <t>235018</t>
  </si>
  <si>
    <t>HETTICH 9150647 ArciTech sada relingů 270 mm, stříbrná L+P</t>
  </si>
  <si>
    <t>9150648</t>
  </si>
  <si>
    <t>235021</t>
  </si>
  <si>
    <t>HETTICH 9150648 Arcitech sada podélný relingů 300 L+P</t>
  </si>
  <si>
    <t>9150649</t>
  </si>
  <si>
    <t>235024</t>
  </si>
  <si>
    <t>HETTICH 9150649 Arcitech sada podélný relingů 350 L+P</t>
  </si>
  <si>
    <t>9150650</t>
  </si>
  <si>
    <t>235027</t>
  </si>
  <si>
    <t>HETTICH 9150650 Arcitech sada podélný relingů 400 L+P</t>
  </si>
  <si>
    <t>9150652</t>
  </si>
  <si>
    <t>235030</t>
  </si>
  <si>
    <t>HETTICH 9150652 ArciTech reling 450 mm stříbrný L+P</t>
  </si>
  <si>
    <t>9150653</t>
  </si>
  <si>
    <t>235033</t>
  </si>
  <si>
    <t>HETTICH 9150653 ArciTech reling 500 mm stříbrný L+P</t>
  </si>
  <si>
    <t>9150654</t>
  </si>
  <si>
    <t>235036</t>
  </si>
  <si>
    <t>HETTICH 9150654 Arcitech sada podélný relingů 550 L+P</t>
  </si>
  <si>
    <t>9150656</t>
  </si>
  <si>
    <t>235040</t>
  </si>
  <si>
    <t>HETTICH 9150656 ArciTech reling 650 mm stříbrný L+P</t>
  </si>
  <si>
    <t>9153385</t>
  </si>
  <si>
    <t>300226</t>
  </si>
  <si>
    <t>HETTICH 9153385 Banio Orga rám bílý</t>
  </si>
  <si>
    <t>9153387</t>
  </si>
  <si>
    <t>300227</t>
  </si>
  <si>
    <t>HETTICH 9153387 Banio Orga rám šedý</t>
  </si>
  <si>
    <t>9153388</t>
  </si>
  <si>
    <t>300228</t>
  </si>
  <si>
    <t>HETTICH 9153388 Banio Orga misky bílé sada 3 ks</t>
  </si>
  <si>
    <t>9155200</t>
  </si>
  <si>
    <t>383551</t>
  </si>
  <si>
    <t>HETTICH 9155200 LegaDrive ECO, ruční ovladač touch basic</t>
  </si>
  <si>
    <t>9155233</t>
  </si>
  <si>
    <t>300801</t>
  </si>
  <si>
    <t>HETTICH 9155233 Intermat 9936 alu B13,5 TA22</t>
  </si>
  <si>
    <t>9155234</t>
  </si>
  <si>
    <t>300802</t>
  </si>
  <si>
    <t>HETTICH 9155234 závěs polonaložený Intermat 9936 alu pružina</t>
  </si>
  <si>
    <t>9155235</t>
  </si>
  <si>
    <t>300803</t>
  </si>
  <si>
    <t>HETTICH 9155235 Intermat 9936 hliník B-2,5 TA22</t>
  </si>
  <si>
    <t>9155241</t>
  </si>
  <si>
    <t>300804</t>
  </si>
  <si>
    <t>HETTICH 9155241 Intermat závěs dveře 43mm naložený 95° TH 40mm vrut pružina</t>
  </si>
  <si>
    <t>9155242</t>
  </si>
  <si>
    <t>300805</t>
  </si>
  <si>
    <t>HETTICH 9155242 Intermat závěs dveře 43mm polonaložený 95° TH 40mm vrut pružina</t>
  </si>
  <si>
    <t>9155243</t>
  </si>
  <si>
    <t>300806</t>
  </si>
  <si>
    <t>HETTICH 9155243 Intermat závěs dveře 43mm vložený 95° TH 40mm vrut pružina</t>
  </si>
  <si>
    <t>9155280</t>
  </si>
  <si>
    <t>301547</t>
  </si>
  <si>
    <t>HETTICH 9155280 pojistka proti nadzvednutí L</t>
  </si>
  <si>
    <t>9155281</t>
  </si>
  <si>
    <t>301548</t>
  </si>
  <si>
    <t>HETTICH 9155281 pojistka proti nadzvednutí P</t>
  </si>
  <si>
    <t>9156080</t>
  </si>
  <si>
    <t>520574</t>
  </si>
  <si>
    <t>HETTICH 9156080 InLine píst 55N</t>
  </si>
  <si>
    <t>9156335</t>
  </si>
  <si>
    <t>299963</t>
  </si>
  <si>
    <t>HETTICH 9156335 Quadro 12 pro SmarTray montáž pod půdu nebo desku dovírání L+P</t>
  </si>
  <si>
    <t>9156336</t>
  </si>
  <si>
    <t>299964</t>
  </si>
  <si>
    <t>HETTICH 9156336 Quadro 12 pro SmarTray montáž pod půdu nebo desku SiSy L+P</t>
  </si>
  <si>
    <t>9156337</t>
  </si>
  <si>
    <t>299965</t>
  </si>
  <si>
    <t>HETTICH 9156337 Quadro 12 pro SmarTray montáž pod půdu nebo desku P2O L+P</t>
  </si>
  <si>
    <t>9156338</t>
  </si>
  <si>
    <t>235675</t>
  </si>
  <si>
    <t>HETTICH 9156338 SlideLine M posuvné dveře sada pro 1 křídlo 30kg, s tlumením</t>
  </si>
  <si>
    <t>9156339</t>
  </si>
  <si>
    <t>235674</t>
  </si>
  <si>
    <t>HETTICH 9156339 SlideLine M posuvné dveře sada pro 1 křídlo 30kg, bez tlumení</t>
  </si>
  <si>
    <t>9156786</t>
  </si>
  <si>
    <t>299779</t>
  </si>
  <si>
    <t>HETTICH 9156786 BlueMax Mini modular s příslušenstvím</t>
  </si>
  <si>
    <t>9156787</t>
  </si>
  <si>
    <t>299780</t>
  </si>
  <si>
    <t>HETTICH 9156787 BlueMax Mini modular 230V 1 fázový</t>
  </si>
  <si>
    <t>9156858</t>
  </si>
  <si>
    <t>299781</t>
  </si>
  <si>
    <t>HETTICH 9156858 BlueMax Mini modular s příslušenstvím</t>
  </si>
  <si>
    <t>9158400</t>
  </si>
  <si>
    <t>314790</t>
  </si>
  <si>
    <t>HETTICH 9158400 Úchytka NARNI 60/50 mm nerez broušený</t>
  </si>
  <si>
    <t>9158970</t>
  </si>
  <si>
    <t>187800</t>
  </si>
  <si>
    <t>HETTICH 9158970 Atira částečný výsuv Quadro 25, 470mm/25kg, bok 18mm, SiSy, L</t>
  </si>
  <si>
    <t>9158971</t>
  </si>
  <si>
    <t>187801</t>
  </si>
  <si>
    <t>HETTICH 9158971 Atira částečný výsuv Quadro 25, 470mm/25kg, bok 18mm, SiSy, P</t>
  </si>
  <si>
    <t>9162018</t>
  </si>
  <si>
    <t>234966</t>
  </si>
  <si>
    <t>HETTICH 9162018 Practica 200 šablona pro ArciTech, InnoTech, Atira</t>
  </si>
  <si>
    <t>9162284</t>
  </si>
  <si>
    <t>469142</t>
  </si>
  <si>
    <t>HETTICH 9162284 Výsuvný věšák na kalhoty s tlumením Silent System</t>
  </si>
  <si>
    <t>9180317</t>
  </si>
  <si>
    <t>299915</t>
  </si>
  <si>
    <t>HETTICH 9180317 TopLine XL sada šroubů pro upevnění vodícího profilu, 20-22mm</t>
  </si>
  <si>
    <t>9180318</t>
  </si>
  <si>
    <t>299916</t>
  </si>
  <si>
    <t>HETTICH 9180318 TopLine XL sada šroubů pro upevnění vodícího profilu, 22-25mm</t>
  </si>
  <si>
    <t>9180604</t>
  </si>
  <si>
    <t>299783</t>
  </si>
  <si>
    <t>HETTICH 9180604 lisovací matrice pro závěsy Sensys</t>
  </si>
  <si>
    <t>9182222</t>
  </si>
  <si>
    <t>269682</t>
  </si>
  <si>
    <t>HETTICH 9182222 ArciTech příčný reling adaptér antracit</t>
  </si>
  <si>
    <t>9182223</t>
  </si>
  <si>
    <t>269638</t>
  </si>
  <si>
    <t>HETTICH 9182223 ArciTech adaptér pro příčný reling 400 mm bílý</t>
  </si>
  <si>
    <t>9182225</t>
  </si>
  <si>
    <t>269683</t>
  </si>
  <si>
    <t>HETTICH 9182225 ArciTech příčný dělící prvek antracit</t>
  </si>
  <si>
    <t>9182227</t>
  </si>
  <si>
    <t>269639</t>
  </si>
  <si>
    <t>HETTICH 9182227 ArciTech příčný reling dělící bílý</t>
  </si>
  <si>
    <t>9182230</t>
  </si>
  <si>
    <t>294611</t>
  </si>
  <si>
    <t>HETTICH 9182230 OrgaStore 810, 820 mm dělící prvek bílý</t>
  </si>
  <si>
    <t>9182231</t>
  </si>
  <si>
    <t>269655</t>
  </si>
  <si>
    <t>HETTICH 9182231 ArciTech Orgastore 810, dělící prvek antracit</t>
  </si>
  <si>
    <t>9182233</t>
  </si>
  <si>
    <t>294612</t>
  </si>
  <si>
    <t>HETTICH 9182233 Orgastore 810, adaptér bílý</t>
  </si>
  <si>
    <t>9182234</t>
  </si>
  <si>
    <t>269653</t>
  </si>
  <si>
    <t>HETTICH 9182234 ArciTech Orgastore 810, adaptér antracit</t>
  </si>
  <si>
    <t>9182249</t>
  </si>
  <si>
    <t>397933</t>
  </si>
  <si>
    <t>HETTICH 9182249 OrgaStore 810/830 dělící profil 120/2000 bílý</t>
  </si>
  <si>
    <t>9182250</t>
  </si>
  <si>
    <t>397934</t>
  </si>
  <si>
    <t>HETTICH 9182250 OrgaStore 810/830 dělící profil 120/2000 antracit</t>
  </si>
  <si>
    <t>491179</t>
  </si>
  <si>
    <t>HETTICH 9182250 OrgaStore 810/830 dělící profil 120/2000 antracit PD-50</t>
  </si>
  <si>
    <t>9182519</t>
  </si>
  <si>
    <t>300871</t>
  </si>
  <si>
    <t>HETTICH 9182519 ArciTech flexi sada 94/650 mm šampaň L+P</t>
  </si>
  <si>
    <t>9182706</t>
  </si>
  <si>
    <t>269671</t>
  </si>
  <si>
    <t>HETTICH 9182706 Arcitech příčný reling 2m, stříbrná</t>
  </si>
  <si>
    <t>9183187</t>
  </si>
  <si>
    <t>264380</t>
  </si>
  <si>
    <t>HETTICH 9183187 Quadro 4D seřízení sklonu L</t>
  </si>
  <si>
    <t>290700</t>
  </si>
  <si>
    <t>HETTICH 9183187/2 QUADRO 4D seříz.sklonuL LeBon</t>
  </si>
  <si>
    <t>9183190</t>
  </si>
  <si>
    <t>264381</t>
  </si>
  <si>
    <t>HETTICH 9183190 Quadro 4D seřízení sklonu P</t>
  </si>
  <si>
    <t>290701</t>
  </si>
  <si>
    <t>HETTICH 9183190/2 QUADRO 4D seříz.sklonuP LeBon</t>
  </si>
  <si>
    <t>9183317</t>
  </si>
  <si>
    <t>269687</t>
  </si>
  <si>
    <t>HETTICH 9183317 ArciTech OrgaTray 570, 300/450 mm antracit</t>
  </si>
  <si>
    <t>9183320</t>
  </si>
  <si>
    <t>269690</t>
  </si>
  <si>
    <t>HETTICH 9183320 ArciTech OrgaTray 570, 500/450 mm antracit</t>
  </si>
  <si>
    <t>9183321</t>
  </si>
  <si>
    <t>269691</t>
  </si>
  <si>
    <t>HETTICH 9183321 ArciTech OrgaTray 570, 550/450 mm antracit</t>
  </si>
  <si>
    <t>9183323</t>
  </si>
  <si>
    <t>269692</t>
  </si>
  <si>
    <t>HETTICH 9183323 ArciTech OrgaTray 570, 600/450 mm antracit</t>
  </si>
  <si>
    <t>9183324</t>
  </si>
  <si>
    <t>269693</t>
  </si>
  <si>
    <t>HETTICH 9183324 ArciTech OrgaTray 570, 800/450 mm antracit</t>
  </si>
  <si>
    <t>9183325</t>
  </si>
  <si>
    <t>269694</t>
  </si>
  <si>
    <t>HETTICH 9183325 ArciTech OrgaTray 570, 1000/450 mm antracit</t>
  </si>
  <si>
    <t>9183327</t>
  </si>
  <si>
    <t>269696</t>
  </si>
  <si>
    <t>HETTICH 9183327 ArciTech OrgaTray 270, 350/500 mm antracit</t>
  </si>
  <si>
    <t>9183331</t>
  </si>
  <si>
    <t>269700</t>
  </si>
  <si>
    <t>HETTICH 9183331 ArciTech OrgaTray 570, 550/500 mm antracit</t>
  </si>
  <si>
    <t>9183332</t>
  </si>
  <si>
    <t>269701</t>
  </si>
  <si>
    <t>HETTICH 9183332 ArciTech OrgaTray 570, 600/500 mm antracit</t>
  </si>
  <si>
    <t>9183333</t>
  </si>
  <si>
    <t>269702</t>
  </si>
  <si>
    <t>HETTICH 9183333 ArciTech OrgaTray 570, 800/500 mm antracit</t>
  </si>
  <si>
    <t>9183334</t>
  </si>
  <si>
    <t>269703</t>
  </si>
  <si>
    <t>HETTICH 9183334 ArciTech OrgaTray 570, 900/500 mm antracit</t>
  </si>
  <si>
    <t>9183335</t>
  </si>
  <si>
    <t>269704</t>
  </si>
  <si>
    <t>HETTICH 9183335 ArciTech OrgaTray 570, 1000/500 mm antracit</t>
  </si>
  <si>
    <t>9184059</t>
  </si>
  <si>
    <t>519281</t>
  </si>
  <si>
    <t>HETTICH 9184059 ND AKTIVÁTOR PRAVÝ ČERNÝ EB392 K SADĚ 41062</t>
  </si>
  <si>
    <t>9184566</t>
  </si>
  <si>
    <t>299826</t>
  </si>
  <si>
    <t>HETTICH 9184566 SlideLine M adaptéry pro nalepení</t>
  </si>
  <si>
    <t>9184693</t>
  </si>
  <si>
    <t>299793</t>
  </si>
  <si>
    <t>HETTICH 9184693 montážní přípravek pro ArciTech</t>
  </si>
  <si>
    <t>9184696</t>
  </si>
  <si>
    <t>299794</t>
  </si>
  <si>
    <t>HETTICH 9184696 ArciFit 100 doplňková sada</t>
  </si>
  <si>
    <t>9186412</t>
  </si>
  <si>
    <t>300032</t>
  </si>
  <si>
    <t>HETTICH 9186412 LegaDrive zvedací sloup 90x90 mm, zdvih 575-1250/mm</t>
  </si>
  <si>
    <t>9186413</t>
  </si>
  <si>
    <t>300033</t>
  </si>
  <si>
    <t>HETTICH 9186413 LegaDrive zvedací sloup 575-1250/mm bílý</t>
  </si>
  <si>
    <t>9186461</t>
  </si>
  <si>
    <t>299968</t>
  </si>
  <si>
    <t>HETTICH 9186461 sada pro seřízení čela zásuvky</t>
  </si>
  <si>
    <t>9186463</t>
  </si>
  <si>
    <t>299970</t>
  </si>
  <si>
    <t>HETTICH 9186463 podpěra čela stavitelná černá L+P</t>
  </si>
  <si>
    <t>9186464</t>
  </si>
  <si>
    <t>299971</t>
  </si>
  <si>
    <t>HETTICH 9186464 těleso Stop Control+SiSy P</t>
  </si>
  <si>
    <t>9186465</t>
  </si>
  <si>
    <t>299972</t>
  </si>
  <si>
    <t>HETTICH 9186465 těleso Stop Control 40 SiSy P</t>
  </si>
  <si>
    <t>9186480</t>
  </si>
  <si>
    <t>299985</t>
  </si>
  <si>
    <t>HETTICH 9186480 Quadro 12 SiSy pro SmarTray s montáží na bok L+P</t>
  </si>
  <si>
    <t>9188862</t>
  </si>
  <si>
    <t>299796</t>
  </si>
  <si>
    <t>HETTICH 9188862 Accura pro lepení adaptéru Sensys</t>
  </si>
  <si>
    <t>9189284</t>
  </si>
  <si>
    <t>300199</t>
  </si>
  <si>
    <t>HETTICH 9189284 flexibilní kabelový kanál hliník</t>
  </si>
  <si>
    <t>9190424</t>
  </si>
  <si>
    <t>475490</t>
  </si>
  <si>
    <t>HETTICH 9190424 Úchytka Naila 199/192 elox hliník</t>
  </si>
  <si>
    <t>9190428</t>
  </si>
  <si>
    <t>409631</t>
  </si>
  <si>
    <t>HETTICH 9190428 Úchytka Naila 71/64 hnědá metalická</t>
  </si>
  <si>
    <t>9190429</t>
  </si>
  <si>
    <t>409632</t>
  </si>
  <si>
    <t>HETTICH 9190429 Úchytka Naila 103/96 hnědá metalická</t>
  </si>
  <si>
    <t>9190432</t>
  </si>
  <si>
    <t>409627</t>
  </si>
  <si>
    <t>HETTICH 9190432 Úchytka  Naila 199/192 hnědá metalická</t>
  </si>
  <si>
    <t>9190433</t>
  </si>
  <si>
    <t>409628</t>
  </si>
  <si>
    <t>HETTICH 9190433 Úchytka Naila 263/256 hnědá metalická</t>
  </si>
  <si>
    <t>9190434</t>
  </si>
  <si>
    <t>409629</t>
  </si>
  <si>
    <t>HETTICH 9190434 Úchytka Naila 295/288 hnědá metalická</t>
  </si>
  <si>
    <t>9190435</t>
  </si>
  <si>
    <t>409630</t>
  </si>
  <si>
    <t>HETTICH 9190435 Úchytka Naila 327/320 hnědá metalická</t>
  </si>
  <si>
    <t>9190437</t>
  </si>
  <si>
    <t>511123</t>
  </si>
  <si>
    <t>HETTICH 9190437 Úchytka Kervo, rozteče 96mm, L 128 elox. hliník</t>
  </si>
  <si>
    <t>9190442</t>
  </si>
  <si>
    <t>460143</t>
  </si>
  <si>
    <t>HETTICH 9190442 Úchytka Kervo, rozteče 96 / 128 mm, L152 černá matná</t>
  </si>
  <si>
    <t>9190445</t>
  </si>
  <si>
    <t>306505</t>
  </si>
  <si>
    <t>HETTICH 9190445 Knobka AMISIA 65/32 mm imitace nerezi</t>
  </si>
  <si>
    <t>9190446</t>
  </si>
  <si>
    <t>314041</t>
  </si>
  <si>
    <t>HETTICH 9190446 Knobka AMISIA 62/32 mm chrom lesklý</t>
  </si>
  <si>
    <t>9190608</t>
  </si>
  <si>
    <t>300035</t>
  </si>
  <si>
    <t>HETTICH 9190608 LegaDrive elektronický modul pro sestavu s max. 3 sloupy</t>
  </si>
  <si>
    <t>9191722</t>
  </si>
  <si>
    <t>342566</t>
  </si>
  <si>
    <t>HETTICH 9191722 Úchytka TEMPE 202/192 mm imitace nerezi</t>
  </si>
  <si>
    <t>9191745</t>
  </si>
  <si>
    <t>312209</t>
  </si>
  <si>
    <t>HETTICH 9191745 Úchytka Apolda 65x65 mm nerez broušený</t>
  </si>
  <si>
    <t>9192183</t>
  </si>
  <si>
    <t>300989</t>
  </si>
  <si>
    <t>HETTICH 9192183 ArciTech hliníková záda 218/2000 mm antracit</t>
  </si>
  <si>
    <t>9192190</t>
  </si>
  <si>
    <t>300993</t>
  </si>
  <si>
    <t>HETTICH 9192190 ArciTech hliníková záda 186/2000 mm antracit</t>
  </si>
  <si>
    <t>9192195</t>
  </si>
  <si>
    <t>378079</t>
  </si>
  <si>
    <t>HETTICH 9192195 ArciTech hliníková záda 2000/126</t>
  </si>
  <si>
    <t>9192204</t>
  </si>
  <si>
    <t>297522</t>
  </si>
  <si>
    <t>HETTICH 9192204 Arcitech čelo vnitřní zásuvky 2000/94 stříbrné</t>
  </si>
  <si>
    <t>9192205</t>
  </si>
  <si>
    <t>301000</t>
  </si>
  <si>
    <t>HETTICH 9192205 ArciTech čelo vnitřní zásuvky 94, 2m, antracit</t>
  </si>
  <si>
    <t>9192206</t>
  </si>
  <si>
    <t>301001</t>
  </si>
  <si>
    <t>HETTICH 9192206 ArciTech čelo vnitřní zásuvky 94, 2m, bílá</t>
  </si>
  <si>
    <t>9192207</t>
  </si>
  <si>
    <t>301002</t>
  </si>
  <si>
    <t>HETTICH 9192207 ArciTech čelo vnitřní zásuvky 94, 2m, šampaň</t>
  </si>
  <si>
    <t>9192208</t>
  </si>
  <si>
    <t>226272</t>
  </si>
  <si>
    <t>HETTICH 9192208 ArciTech dekorativní profil pro čelo 2000 mm stříbrný</t>
  </si>
  <si>
    <t>54997</t>
  </si>
  <si>
    <t>106856</t>
  </si>
  <si>
    <t>HETTICH 9193173 Multitech příchyt čela 86/118/150/214, vrut</t>
  </si>
  <si>
    <t>9193251</t>
  </si>
  <si>
    <t>300037</t>
  </si>
  <si>
    <t>HETTICH 9193251 LegaDrive LegaDrive Systems Stolová podnož Basic, sada, stříbrná</t>
  </si>
  <si>
    <t>9193423</t>
  </si>
  <si>
    <t>478178</t>
  </si>
  <si>
    <t>HETTICH 9193423 Lišta s kartáčkem, 2500mm, 6 mm, šedá</t>
  </si>
  <si>
    <t>9193573</t>
  </si>
  <si>
    <t>103743</t>
  </si>
  <si>
    <t>HETTICH 9193573 WingLine 77 profil horní 2000 mm</t>
  </si>
  <si>
    <t>9193574</t>
  </si>
  <si>
    <t>104485</t>
  </si>
  <si>
    <t>HETTICH 9193574 Wing 77 horní vedení 3200mm stříbrná elox</t>
  </si>
  <si>
    <t>9194368</t>
  </si>
  <si>
    <t>482614</t>
  </si>
  <si>
    <t>HETTICH 9194368 Úchytka Kervo, rozteče 64, L = 88 mm, černá matná</t>
  </si>
  <si>
    <t>9194390</t>
  </si>
  <si>
    <t>294615</t>
  </si>
  <si>
    <t>HETTICH 9194390 Atira bok 260/70 L stříbrný</t>
  </si>
  <si>
    <t>460632</t>
  </si>
  <si>
    <t>HETTICH 9194390 Atira bok 260/70Ľ strieborný DALNO</t>
  </si>
  <si>
    <t>9194391</t>
  </si>
  <si>
    <t>460633</t>
  </si>
  <si>
    <t>HETTICH 9194391 Atira bok 260/70 P strieborný DALNO</t>
  </si>
  <si>
    <t>294617</t>
  </si>
  <si>
    <t>HETTICH 9194391 Atira bok 260/70 P stříbrný</t>
  </si>
  <si>
    <t>9194392</t>
  </si>
  <si>
    <t>460630</t>
  </si>
  <si>
    <t>HETTICH 9194392 Atira bok 300/70 Ľ strieborný DALNO</t>
  </si>
  <si>
    <t>294618</t>
  </si>
  <si>
    <t>HETTICH 9194392 Atira bok 300/70 L stříbrný</t>
  </si>
  <si>
    <t>9194393</t>
  </si>
  <si>
    <t>460631</t>
  </si>
  <si>
    <t>HETTICH 9194393 Atira bok 300/70 P strieborný DALNO</t>
  </si>
  <si>
    <t>294619</t>
  </si>
  <si>
    <t>HETTICH 9194393 Atira bok 300/70 P stříbrný</t>
  </si>
  <si>
    <t>9194394</t>
  </si>
  <si>
    <t>294620</t>
  </si>
  <si>
    <t>HETTICH 9194394 Atira bočnice 70, 350mm, průmysl, levá, stříbrná</t>
  </si>
  <si>
    <t>460628</t>
  </si>
  <si>
    <t>HETTICH 9194394 Atira bok 350/70 L strieborný DALNO</t>
  </si>
  <si>
    <t>9194395</t>
  </si>
  <si>
    <t>294621</t>
  </si>
  <si>
    <t>HETTICH 9194395 Atira bočnice 70, 350mm, průmysl, pravá, stříbrná</t>
  </si>
  <si>
    <t>460629</t>
  </si>
  <si>
    <t>HETTICH 9194395 Atira bok 350/70 P strieborný DALNO</t>
  </si>
  <si>
    <t>9194396</t>
  </si>
  <si>
    <t>294622</t>
  </si>
  <si>
    <t>HETTICH 9194396 Atira bočnice 70, 420mm, průmysl, levá, stříbrná</t>
  </si>
  <si>
    <t>460626</t>
  </si>
  <si>
    <t>HETTICH 9194396 Atira bok 420/70 Ľ strieborný DALNO</t>
  </si>
  <si>
    <t>9194397</t>
  </si>
  <si>
    <t>294623</t>
  </si>
  <si>
    <t>HETTICH 9194397 Atira bočnice 70, 420mm, průmysl, pravá, stříbrná</t>
  </si>
  <si>
    <t>460627</t>
  </si>
  <si>
    <t>HETTICH 9194397 Atira bok 420/70 P strieborný DALNO</t>
  </si>
  <si>
    <t>9194398</t>
  </si>
  <si>
    <t>288846</t>
  </si>
  <si>
    <t>HETTICH 9194398 Atira bočnice 70, 470mm, průmysl, levá, stříbrná</t>
  </si>
  <si>
    <t>378428</t>
  </si>
  <si>
    <t>HETTICH 9194398 ATR-bok ľavý /v70/h470/ strieborná DALNO</t>
  </si>
  <si>
    <t>9194399</t>
  </si>
  <si>
    <t>288847</t>
  </si>
  <si>
    <t>HETTICH 9194399 Atira bočnice 70, 470mm, průmysl, pravá, stříbrná</t>
  </si>
  <si>
    <t>378429</t>
  </si>
  <si>
    <t>HETTICH 9194399 ATR-bok pravý /v70/h470/ strieborná DALNO</t>
  </si>
  <si>
    <t>9194400</t>
  </si>
  <si>
    <t>288848</t>
  </si>
  <si>
    <t>HETTICH 9194400 Atira bočnice 70, 520mm, průmysl, levá, stříbrná</t>
  </si>
  <si>
    <t>9194401</t>
  </si>
  <si>
    <t>288849</t>
  </si>
  <si>
    <t>HETTICH 9194401 Atira bočnice 70, 520mm, průmysl, pravá, stříbrná</t>
  </si>
  <si>
    <t>9194402</t>
  </si>
  <si>
    <t>294624</t>
  </si>
  <si>
    <t>HETTICH 9194402 Atira bok 620/70 L stříbrný</t>
  </si>
  <si>
    <t>9194403</t>
  </si>
  <si>
    <t>294625</t>
  </si>
  <si>
    <t>HETTICH 9194403 Atira bok 620/70 P stříbrný</t>
  </si>
  <si>
    <t>9194404</t>
  </si>
  <si>
    <t>460616</t>
  </si>
  <si>
    <t>HETTICH 9194404 Atira bok 260/70 Ľ biely DALNO</t>
  </si>
  <si>
    <t>294626</t>
  </si>
  <si>
    <t>HETTICH 9194404 Atira bok 260/70 L bílý</t>
  </si>
  <si>
    <t>9194405</t>
  </si>
  <si>
    <t>460617</t>
  </si>
  <si>
    <t>HETTICH 9194405 Atira bok 260/70 P biely DALNO</t>
  </si>
  <si>
    <t>294627</t>
  </si>
  <si>
    <t>HETTICH 9194405 Atira bok 260/70 P bílý</t>
  </si>
  <si>
    <t>9194406</t>
  </si>
  <si>
    <t>460614</t>
  </si>
  <si>
    <t>HETTICH 9194406 Atira bok 300/70 Ľ biely DALNO</t>
  </si>
  <si>
    <t>294628</t>
  </si>
  <si>
    <t>HETTICH 9194406 Atira bok 300/70 L bílý</t>
  </si>
  <si>
    <t>9194407</t>
  </si>
  <si>
    <t>460615</t>
  </si>
  <si>
    <t>HETTICH 9194407 Atira bok 300/70 P biely DALNO</t>
  </si>
  <si>
    <t>294629</t>
  </si>
  <si>
    <t>HETTICH 9194407 Atira bok 300/70 P bílý</t>
  </si>
  <si>
    <t>9194408</t>
  </si>
  <si>
    <t>294630</t>
  </si>
  <si>
    <t>HETTICH 9194408 Atira bočnice 70, 350mm, průmysl, levá, bílá</t>
  </si>
  <si>
    <t>460612</t>
  </si>
  <si>
    <t>HETTICH 9194408 Atira bok 350/70 Ľ biely DALNO</t>
  </si>
  <si>
    <t>9194409</t>
  </si>
  <si>
    <t>294631</t>
  </si>
  <si>
    <t>HETTICH 9194409 Atira bočnice 70, 350mm, průmysl, pravá, bílá</t>
  </si>
  <si>
    <t>460613</t>
  </si>
  <si>
    <t>HETTICH 9194409 Atira bok 350/70 P biely DALNO</t>
  </si>
  <si>
    <t>9194410</t>
  </si>
  <si>
    <t>294632</t>
  </si>
  <si>
    <t>HETTICH 9194410 Atira bočnice 70, 420mm, průmysl, levá, bílá</t>
  </si>
  <si>
    <t>460610</t>
  </si>
  <si>
    <t>HETTICH 9194410 Atira bok 420/70 Ľ biely DALNO</t>
  </si>
  <si>
    <t>9194411</t>
  </si>
  <si>
    <t>294633</t>
  </si>
  <si>
    <t>HETTICH 9194411 Atira bočnice 70, 420mm, průmysl, pravá, bílá</t>
  </si>
  <si>
    <t>460611</t>
  </si>
  <si>
    <t>HETTICH 9194411 Atira bok 420/70 P biely DALNO</t>
  </si>
  <si>
    <t>9194412</t>
  </si>
  <si>
    <t>294634</t>
  </si>
  <si>
    <t>HETTICH 9194412 Atira bočnice 70, 470mm, průmysl, levá, bílá</t>
  </si>
  <si>
    <t>378449</t>
  </si>
  <si>
    <t>HETTICH 9194412 ATR-bok ľavý /v70/h470/ biela DALNO</t>
  </si>
  <si>
    <t>9194413</t>
  </si>
  <si>
    <t>294635</t>
  </si>
  <si>
    <t>HETTICH 9194413 Atira bočnice 70, 470mm, průmysl, pravá, bílá</t>
  </si>
  <si>
    <t>378450</t>
  </si>
  <si>
    <t>HETTICH 9194413 ATR-bok pravý /v70/h470/ biela DALNO</t>
  </si>
  <si>
    <t>9194414</t>
  </si>
  <si>
    <t>294636</t>
  </si>
  <si>
    <t>HETTICH 9194414 Atira bočnice 70, 520mm, průmysl, levá, bílá</t>
  </si>
  <si>
    <t>9194415</t>
  </si>
  <si>
    <t>294637</t>
  </si>
  <si>
    <t>HETTICH 9194415 Atira bočnice 70, 520mm, průmysl, pravá, bílá</t>
  </si>
  <si>
    <t>9194416</t>
  </si>
  <si>
    <t>294638</t>
  </si>
  <si>
    <t>HETTICH 9194416 Atira bok 620/70 L bílý</t>
  </si>
  <si>
    <t>9194417</t>
  </si>
  <si>
    <t>294639</t>
  </si>
  <si>
    <t>HETTICH 9194417 Atira bok 620/70 P bílý</t>
  </si>
  <si>
    <t>9194418</t>
  </si>
  <si>
    <t>294640</t>
  </si>
  <si>
    <t>HETTICH 9194418 Atira bok 260/70 L antracit</t>
  </si>
  <si>
    <t>460624</t>
  </si>
  <si>
    <t>HETTICH 9194418 Atira bok 260/70 Ľ antracit DALNO</t>
  </si>
  <si>
    <t>9194419</t>
  </si>
  <si>
    <t>294641</t>
  </si>
  <si>
    <t>HETTICH 9194419 Atira bok 260/70 P antracit</t>
  </si>
  <si>
    <t>460625</t>
  </si>
  <si>
    <t>HETTICH 9194419 Atira bok 260/70 P antracit DALNO</t>
  </si>
  <si>
    <t>9194420</t>
  </si>
  <si>
    <t>294642</t>
  </si>
  <si>
    <t>HETTICH 9194420 Atira bok 300/70 L antracit</t>
  </si>
  <si>
    <t>460622</t>
  </si>
  <si>
    <t>HETTICH 9194420 Atira bok 300/70 Ľ antracit DALNO</t>
  </si>
  <si>
    <t>9194421</t>
  </si>
  <si>
    <t>294643</t>
  </si>
  <si>
    <t>HETTICH 9194421 Atira bok 300/70 P antracit</t>
  </si>
  <si>
    <t>460623</t>
  </si>
  <si>
    <t>HETTICH 9194421 Atira bok 300/70 P antracit DALNO</t>
  </si>
  <si>
    <t>9194422</t>
  </si>
  <si>
    <t>294644</t>
  </si>
  <si>
    <t>HETTICH 9194422 Atira bočnice 70, 350mm, průmysl, levá, antracit</t>
  </si>
  <si>
    <t>460620</t>
  </si>
  <si>
    <t>HETTICH 9194422 Atira bok 350/70 Ľ antracit DALNO</t>
  </si>
  <si>
    <t>9194423</t>
  </si>
  <si>
    <t>294645</t>
  </si>
  <si>
    <t>HETTICH 9194423 Atira bočnice 70, 350mm, průmysl, pravá, antracit</t>
  </si>
  <si>
    <t>460621</t>
  </si>
  <si>
    <t>HETTICH 9194423 Atira bok 350/70 P antracit DALNO</t>
  </si>
  <si>
    <t>9194424</t>
  </si>
  <si>
    <t>294646</t>
  </si>
  <si>
    <t>HETTICH 9194424 Atira bočnice 70, 420mm, průmysl, levá, antracit</t>
  </si>
  <si>
    <t>460618</t>
  </si>
  <si>
    <t>HETTICH 9194424 Atira bok 420/70 Ľ antracit DALNO</t>
  </si>
  <si>
    <t>9194425</t>
  </si>
  <si>
    <t>294647</t>
  </si>
  <si>
    <t>HETTICH 9194425 Atira bočnice 70, 420mm, průmysl, pravá, antracit</t>
  </si>
  <si>
    <t>460619</t>
  </si>
  <si>
    <t>HETTICH 9194425 Atira bok 420/70 P antracit DALNO</t>
  </si>
  <si>
    <t>9194426</t>
  </si>
  <si>
    <t>294648</t>
  </si>
  <si>
    <t>HETTICH 9194426 Atira bočnice 70, 470mm, průmysl, levá, antracit</t>
  </si>
  <si>
    <t>378458</t>
  </si>
  <si>
    <t>HETTICH 9194426 ATR-bok ľavý /v70/h470/ antr. DALNO</t>
  </si>
  <si>
    <t>9194427</t>
  </si>
  <si>
    <t>294649</t>
  </si>
  <si>
    <t>HETTICH 9194427 Atira bočnice 70, 470mm, průmysl, pravá, antracit</t>
  </si>
  <si>
    <t>378459</t>
  </si>
  <si>
    <t>HETTICH 9194427 ATR-bok pravý /v70/h470/ antr. DALNO</t>
  </si>
  <si>
    <t>9194428</t>
  </si>
  <si>
    <t>294650</t>
  </si>
  <si>
    <t>HETTICH 9194428 Atira bočnice 70, 520mm, průmysl, levá, antracit</t>
  </si>
  <si>
    <t>9194429</t>
  </si>
  <si>
    <t>294651</t>
  </si>
  <si>
    <t>HETTICH 9194429 Atira bočnice 70, 520mm, průmysl, pravá, antracit</t>
  </si>
  <si>
    <t>9194430</t>
  </si>
  <si>
    <t>294652</t>
  </si>
  <si>
    <t>HETTICH 9194430 Atira bok 620/70 L antracit</t>
  </si>
  <si>
    <t>9194431</t>
  </si>
  <si>
    <t>294653</t>
  </si>
  <si>
    <t>HETTICH 9194431 Atira bok 620/70 P antracit</t>
  </si>
  <si>
    <t>9194432</t>
  </si>
  <si>
    <t>294654</t>
  </si>
  <si>
    <t>HETTICH 9194432 Atira bok 470/54 L bílý</t>
  </si>
  <si>
    <t>9194433</t>
  </si>
  <si>
    <t>294655</t>
  </si>
  <si>
    <t>HETTICH 9194433 Atira bok 470/54 P bílý</t>
  </si>
  <si>
    <t>9194442</t>
  </si>
  <si>
    <t>294664</t>
  </si>
  <si>
    <t>HETTICH 9194442 Atira záda 70/450 mm bílá</t>
  </si>
  <si>
    <t>9194446</t>
  </si>
  <si>
    <t>294668</t>
  </si>
  <si>
    <t>HETTICH 9194446 Atira záda 70/700 mm bílá</t>
  </si>
  <si>
    <t>9194459</t>
  </si>
  <si>
    <t>294681</t>
  </si>
  <si>
    <t>HETTICH 9194459 Atira ocelová záda 70/700 mm antracit</t>
  </si>
  <si>
    <t>9194460</t>
  </si>
  <si>
    <t>294682</t>
  </si>
  <si>
    <t>HETTICH 9194460 Atira ocelová záda 70/800 mm antracit</t>
  </si>
  <si>
    <t>9194467</t>
  </si>
  <si>
    <t>294690</t>
  </si>
  <si>
    <t>HETTICH 9194467 Atira záda 144/400 mm bílá</t>
  </si>
  <si>
    <t>9194468</t>
  </si>
  <si>
    <t>294691</t>
  </si>
  <si>
    <t>HETTICH 9194468 Atira záda 144/450 mm bílá</t>
  </si>
  <si>
    <t>9194471</t>
  </si>
  <si>
    <t>294694</t>
  </si>
  <si>
    <t>HETTICH 9194471 Atira záda 144/600 mm bílá</t>
  </si>
  <si>
    <t>9194472</t>
  </si>
  <si>
    <t>294695</t>
  </si>
  <si>
    <t>HETTICH 9194472 Atira záda 144/700 mm bílá</t>
  </si>
  <si>
    <t>9194498</t>
  </si>
  <si>
    <t>294717</t>
  </si>
  <si>
    <t>HETTICH 9194498 Atira ocelová záda 176/500 mm bílá</t>
  </si>
  <si>
    <t>9194512</t>
  </si>
  <si>
    <t>294730</t>
  </si>
  <si>
    <t>HETTICH 9194512 Atira ocelová záda 176/600 mm antracit</t>
  </si>
  <si>
    <t>9194514</t>
  </si>
  <si>
    <t>294731</t>
  </si>
  <si>
    <t>HETTICH 9194514 Atira ocelová záda 176/800 mm antracit</t>
  </si>
  <si>
    <t>9194519</t>
  </si>
  <si>
    <t>301316</t>
  </si>
  <si>
    <t>HETTICH 9194519 Atira hliníková záda 70/2000 mm antracit</t>
  </si>
  <si>
    <t>9194521</t>
  </si>
  <si>
    <t>301318</t>
  </si>
  <si>
    <t>HETTICH 9194521 Atira hliníková záda 144 2000 mm antracit</t>
  </si>
  <si>
    <t>9194522</t>
  </si>
  <si>
    <t>294735</t>
  </si>
  <si>
    <t>HETTICH 9194522 Atira podélný reling 260 L stříbrný</t>
  </si>
  <si>
    <t>9194523</t>
  </si>
  <si>
    <t>294736</t>
  </si>
  <si>
    <t>HETTICH 9194523 Atira podélný reling 260 P stříbrný</t>
  </si>
  <si>
    <t>9194524</t>
  </si>
  <si>
    <t>460608</t>
  </si>
  <si>
    <t>HETTICH 9194524 Atira pozdĺžny reling 300 Ľ strieborný DALNO</t>
  </si>
  <si>
    <t>288855</t>
  </si>
  <si>
    <t>HETTICH 9194524 Atira reling, 300mm, levá, stříbrná</t>
  </si>
  <si>
    <t>9194525</t>
  </si>
  <si>
    <t>460609</t>
  </si>
  <si>
    <t>HETTICH 9194525 Atira pozdĺžny reling 300 P strieborný DALNO</t>
  </si>
  <si>
    <t>288856</t>
  </si>
  <si>
    <t>HETTICH 9194525 Atira reling, 300mm, pravá, stříbrná</t>
  </si>
  <si>
    <t>9194526</t>
  </si>
  <si>
    <t>460606</t>
  </si>
  <si>
    <t>HETTICH 9194526 Atira pozdĺžny reling 350 Ľ strieborný DALNO</t>
  </si>
  <si>
    <t>288857</t>
  </si>
  <si>
    <t>HETTICH 9194526 Atira reling, 350mm, levá, stříbrná</t>
  </si>
  <si>
    <t>9194527</t>
  </si>
  <si>
    <t>460607</t>
  </si>
  <si>
    <t>HETTICH 9194527 Atira pozdĺžny reling 350 P strieborný DALNO</t>
  </si>
  <si>
    <t>288858</t>
  </si>
  <si>
    <t>HETTICH 9194527 Atira reling, 350mm, pravá, stříbrná</t>
  </si>
  <si>
    <t>9194528</t>
  </si>
  <si>
    <t>288859</t>
  </si>
  <si>
    <t>HETTICH 9194528 Atira reling, 420mm, levá, stříbrná</t>
  </si>
  <si>
    <t>9194529</t>
  </si>
  <si>
    <t>288860</t>
  </si>
  <si>
    <t>HETTICH 9194529 Atira reling, 420mm, pravá, stříbrná</t>
  </si>
  <si>
    <t>9194530</t>
  </si>
  <si>
    <t>288861</t>
  </si>
  <si>
    <t>HETTICH 9194530 Atira reling, 470mm, levá, stříbrná</t>
  </si>
  <si>
    <t>378438</t>
  </si>
  <si>
    <t>HETTICH 9194530 ATR-reling ľavý /h470/strieborná DALNO</t>
  </si>
  <si>
    <t>9194531</t>
  </si>
  <si>
    <t>288862</t>
  </si>
  <si>
    <t>HETTICH 9194531 Atira reling, 470mm, pravá, stříbrná</t>
  </si>
  <si>
    <t>378439</t>
  </si>
  <si>
    <t>HETTICH 9194531 ATR-reling pravý /h470/strieborná DALNO</t>
  </si>
  <si>
    <t>9194532</t>
  </si>
  <si>
    <t>288863</t>
  </si>
  <si>
    <t>HETTICH 9194532 Atira reling, 520mm, levá, stříbrná</t>
  </si>
  <si>
    <t>9194533</t>
  </si>
  <si>
    <t>288864</t>
  </si>
  <si>
    <t>HETTICH 9194533 Atira reling, 520mm, pravá, stříbrná</t>
  </si>
  <si>
    <t>9194534</t>
  </si>
  <si>
    <t>294737</t>
  </si>
  <si>
    <t>HETTICH 9194534 Atira podélný reling 620 L stříbrný</t>
  </si>
  <si>
    <t>9194535</t>
  </si>
  <si>
    <t>294738</t>
  </si>
  <si>
    <t>HETTICH 9194535 Atira podélný reling 620 P stříbrný</t>
  </si>
  <si>
    <t>9194536</t>
  </si>
  <si>
    <t>460593</t>
  </si>
  <si>
    <t>HETTICH 9194536 Atira reling 260 mm bílý P DALNO</t>
  </si>
  <si>
    <t>294739</t>
  </si>
  <si>
    <t>HETTICH 9194536 Atira reling, 260mm, pravá, bílá</t>
  </si>
  <si>
    <t>9194537</t>
  </si>
  <si>
    <t>294740</t>
  </si>
  <si>
    <t>HETTICH 9194537 Atira reling, 260mm, levá, bílá</t>
  </si>
  <si>
    <t>9194538</t>
  </si>
  <si>
    <t>460590</t>
  </si>
  <si>
    <t>HETTICH 9194538 Atira reling 300 mm bílý L DALNO</t>
  </si>
  <si>
    <t>294741</t>
  </si>
  <si>
    <t>HETTICH 9194538 Atira reling, 300mm, levá, bílá</t>
  </si>
  <si>
    <t>9194539</t>
  </si>
  <si>
    <t>460591</t>
  </si>
  <si>
    <t>HETTICH 9194539 Atira reling 300 mm bílý P DALNO</t>
  </si>
  <si>
    <t>294742</t>
  </si>
  <si>
    <t>HETTICH 9194539 Atira reling, 300mm, pravá, bílá</t>
  </si>
  <si>
    <t>9194540</t>
  </si>
  <si>
    <t>460588</t>
  </si>
  <si>
    <t>HETTICH 9194540 Atira podélný reling 350 L bílý DALNO</t>
  </si>
  <si>
    <t>294743</t>
  </si>
  <si>
    <t>HETTICH 9194540 Atira reling, 350mm, levá, bílá</t>
  </si>
  <si>
    <t>9194541</t>
  </si>
  <si>
    <t>460589</t>
  </si>
  <si>
    <t>HETTICH 9194541 Atira podélný reling 350 P bílý DALNO</t>
  </si>
  <si>
    <t>294744</t>
  </si>
  <si>
    <t>HETTICH 9194541 Atira reling, 350mm, pravá, bílá</t>
  </si>
  <si>
    <t>9194542</t>
  </si>
  <si>
    <t>460586</t>
  </si>
  <si>
    <t>HETTICH 9194542 Atira pozdĺžny reling 420 Ľ biely DALNO</t>
  </si>
  <si>
    <t>294745</t>
  </si>
  <si>
    <t>HETTICH 9194542 Atira reling, 420mm, levá, bílá</t>
  </si>
  <si>
    <t>9194543</t>
  </si>
  <si>
    <t>460587</t>
  </si>
  <si>
    <t>HETTICH 9194543 Atira pozdĺžny reling 420 P biely DALNO</t>
  </si>
  <si>
    <t>294746</t>
  </si>
  <si>
    <t>HETTICH 9194543 Atira reling, 420mm, pravá, bílá</t>
  </si>
  <si>
    <t>9194544</t>
  </si>
  <si>
    <t>294747</t>
  </si>
  <si>
    <t>HETTICH 9194544 Atira reling, 470mm, levá, bílá</t>
  </si>
  <si>
    <t>378468</t>
  </si>
  <si>
    <t>HETTICH 9194544 ATR-reling ľavý /h470/biela DALNO</t>
  </si>
  <si>
    <t>9194545</t>
  </si>
  <si>
    <t>294748</t>
  </si>
  <si>
    <t>HETTICH 9194545 Atira reling, 470mm, pravá, bílá</t>
  </si>
  <si>
    <t>378467</t>
  </si>
  <si>
    <t>HETTICH 9194545 ATR-reling pravý /h470/biela DALNO</t>
  </si>
  <si>
    <t>9194546</t>
  </si>
  <si>
    <t>294749</t>
  </si>
  <si>
    <t>HETTICH 9194546 Atira reling, 520mm, levá, bílá</t>
  </si>
  <si>
    <t>9194547</t>
  </si>
  <si>
    <t>294750</t>
  </si>
  <si>
    <t>HETTICH 9194547 Atira reling, 520mm, pravá, bílá</t>
  </si>
  <si>
    <t>9194548</t>
  </si>
  <si>
    <t>294751</t>
  </si>
  <si>
    <t>HETTICH 9194548 Atira reling, 620mm, levá, bílá</t>
  </si>
  <si>
    <t>9194549</t>
  </si>
  <si>
    <t>294752</t>
  </si>
  <si>
    <t>HETTICH 9194549 Atira reling, 620mm, pravá, bílá</t>
  </si>
  <si>
    <t>9194550</t>
  </si>
  <si>
    <t>460602</t>
  </si>
  <si>
    <t>HETTICH 9194550 Atira reling 260 mm antracit L DALNO</t>
  </si>
  <si>
    <t>294753</t>
  </si>
  <si>
    <t>HETTICH 9194550 Atira reling, 260mm, levá, antracit</t>
  </si>
  <si>
    <t>9194551</t>
  </si>
  <si>
    <t>460603</t>
  </si>
  <si>
    <t>HETTICH 9194551 Atira reling 260 mm antracit P DALNO</t>
  </si>
  <si>
    <t>294754</t>
  </si>
  <si>
    <t>HETTICH 9194551 Atira reling, 260mm, pravá, antracit</t>
  </si>
  <si>
    <t>9194552</t>
  </si>
  <si>
    <t>460600</t>
  </si>
  <si>
    <t>HETTICH 9194552 Atira reling 300 mm antracit L DALNO</t>
  </si>
  <si>
    <t>294755</t>
  </si>
  <si>
    <t>HETTICH 9194552 Atira reling, 300mm, levá, antracit</t>
  </si>
  <si>
    <t>9194553</t>
  </si>
  <si>
    <t>460601</t>
  </si>
  <si>
    <t>HETTICH 9194553 Atira reling 300 mm antracit P DALNO</t>
  </si>
  <si>
    <t>294756</t>
  </si>
  <si>
    <t>HETTICH 9194553 Atira reling, 300mm, pravá, antracit</t>
  </si>
  <si>
    <t>9194554</t>
  </si>
  <si>
    <t>460598</t>
  </si>
  <si>
    <t>HETTICH 9194554 Atira pozdĺžny reling 350 Ľ antracit DALNO</t>
  </si>
  <si>
    <t>294757</t>
  </si>
  <si>
    <t>HETTICH 9194554 Atira reling, 350mm, levá, antracit</t>
  </si>
  <si>
    <t>9194555</t>
  </si>
  <si>
    <t>460599</t>
  </si>
  <si>
    <t>HETTICH 9194555 Atira pozdĺžny reling 350 P antracit DALNO</t>
  </si>
  <si>
    <t>294758</t>
  </si>
  <si>
    <t>HETTICH 9194555 Atira reling, 350mm, pravá, antracit</t>
  </si>
  <si>
    <t>9194556</t>
  </si>
  <si>
    <t>460596</t>
  </si>
  <si>
    <t>HETTICH 9194556 Atira pozdĺžny reling 420 Ľ antracit DALNO</t>
  </si>
  <si>
    <t>294759</t>
  </si>
  <si>
    <t>HETTICH 9194556 Atira reling, 420mm, levá, antracit</t>
  </si>
  <si>
    <t>9194557</t>
  </si>
  <si>
    <t>460597</t>
  </si>
  <si>
    <t>HETTICH 9194557 Atira pozdĺžny reling 420 P antracit DALNO</t>
  </si>
  <si>
    <t>294760</t>
  </si>
  <si>
    <t>HETTICH 9194557 Atira reling, 420mm, pravá, antracit</t>
  </si>
  <si>
    <t>9194558</t>
  </si>
  <si>
    <t>460594</t>
  </si>
  <si>
    <t>HETTICH 9194558 Atira pozdĺžny reling 470 L antracit DALNO</t>
  </si>
  <si>
    <t>294761</t>
  </si>
  <si>
    <t>HETTICH 9194558 Atira reling, 470mm, levá, antracit</t>
  </si>
  <si>
    <t>9194559</t>
  </si>
  <si>
    <t>460595</t>
  </si>
  <si>
    <t>HETTICH 9194559 Atira pozdĺžny reling 470 P antracit DALNO</t>
  </si>
  <si>
    <t>294762</t>
  </si>
  <si>
    <t>HETTICH 9194559 Atira reling, 470mm, pravá, antracit</t>
  </si>
  <si>
    <t>9194560</t>
  </si>
  <si>
    <t>294763</t>
  </si>
  <si>
    <t>HETTICH 9194560 Atira reling, 520mm, levá, antracit</t>
  </si>
  <si>
    <t>9194561</t>
  </si>
  <si>
    <t>294764</t>
  </si>
  <si>
    <t>HETTICH 9194561 Atira reling, 520mm, pravá, antracit</t>
  </si>
  <si>
    <t>9194562</t>
  </si>
  <si>
    <t>294765</t>
  </si>
  <si>
    <t>HETTICH 9194562 Atira reling, 620mm, levá, antracit</t>
  </si>
  <si>
    <t>9194563</t>
  </si>
  <si>
    <t>294766</t>
  </si>
  <si>
    <t>HETTICH 9194563 Atira reling, 620mm, pravá, antracit</t>
  </si>
  <si>
    <t>9194596</t>
  </si>
  <si>
    <t>294797</t>
  </si>
  <si>
    <t>HETTICH 9194596 Příčný reling OrgaStore 410, 300mm, stříbrná</t>
  </si>
  <si>
    <t>9194598</t>
  </si>
  <si>
    <t>294799</t>
  </si>
  <si>
    <t>HETTICH 9194598 Příčný reling OrgaStore 410, 600mm, stříbrná</t>
  </si>
  <si>
    <t>9194601</t>
  </si>
  <si>
    <t>294802</t>
  </si>
  <si>
    <t>HETTICH 9194601 Příčný reling OrgaStore 410, 300mm, bílá</t>
  </si>
  <si>
    <t>9194603</t>
  </si>
  <si>
    <t>294804</t>
  </si>
  <si>
    <t>HETTICH 9194603 Příčný reling OrgaStore 410, 600mm, bílá</t>
  </si>
  <si>
    <t>9194605</t>
  </si>
  <si>
    <t>294806</t>
  </si>
  <si>
    <t>HETTICH 9194605 Orgastore 410, 1200 mm bílý</t>
  </si>
  <si>
    <t>9194606</t>
  </si>
  <si>
    <t>294807</t>
  </si>
  <si>
    <t>HETTICH 9194606 Příčný reling OrgaStore 410, 300mm, antracit</t>
  </si>
  <si>
    <t>9194608</t>
  </si>
  <si>
    <t>294809</t>
  </si>
  <si>
    <t>HETTICH 9194608 Příčný reling OrgaStore 410, 600mm, antracit</t>
  </si>
  <si>
    <t>9194614</t>
  </si>
  <si>
    <t>460641</t>
  </si>
  <si>
    <t>HETTICH 9194614 Atira priečny reling 2000 strieborný DALNO</t>
  </si>
  <si>
    <t>289015</t>
  </si>
  <si>
    <t>HETTICH 9194614 Atira příčný reling, 2m, stříbrná</t>
  </si>
  <si>
    <t>9194615</t>
  </si>
  <si>
    <t>460637</t>
  </si>
  <si>
    <t>HETTICH 9194615 Atira priečny reling 2000 biely DALNO</t>
  </si>
  <si>
    <t>9194616</t>
  </si>
  <si>
    <t>460639</t>
  </si>
  <si>
    <t>HETTICH 9194616 Atira priečny reling 2000 antracit DALNO</t>
  </si>
  <si>
    <t>9194617</t>
  </si>
  <si>
    <t>294814</t>
  </si>
  <si>
    <t>HETTICH 9194617 Adaptér OrgaStore 410, šedá</t>
  </si>
  <si>
    <t>9194618</t>
  </si>
  <si>
    <t>294815</t>
  </si>
  <si>
    <t>HETTICH 9194618 Dělící prvek OrgaStore 410, šedá</t>
  </si>
  <si>
    <t>9194619</t>
  </si>
  <si>
    <t>294816</t>
  </si>
  <si>
    <t>HETTICH 9194619 Adaptér OrgaStore 410, bílá</t>
  </si>
  <si>
    <t>9194620</t>
  </si>
  <si>
    <t>294817</t>
  </si>
  <si>
    <t>HETTICH 9194620 Dělicí prvek OrgaStore 410, bílá</t>
  </si>
  <si>
    <t>9194621</t>
  </si>
  <si>
    <t>294818</t>
  </si>
  <si>
    <t>HETTICH 9194621 Adaptér OrgaStore 410, antracit</t>
  </si>
  <si>
    <t>9194622</t>
  </si>
  <si>
    <t>294820</t>
  </si>
  <si>
    <t>HETTICH 9194622 Dělicí prvek OrgaStore 410, antracit</t>
  </si>
  <si>
    <t>9194623</t>
  </si>
  <si>
    <t>294821</t>
  </si>
  <si>
    <t>HETTICH 9194623 Atira příchytka zad 54 mm bílá L</t>
  </si>
  <si>
    <t>9194624</t>
  </si>
  <si>
    <t>294822</t>
  </si>
  <si>
    <t>HETTICH 9194624 Atira příchytka zad 54 mm bílá P</t>
  </si>
  <si>
    <t>9194625</t>
  </si>
  <si>
    <t>294823</t>
  </si>
  <si>
    <t>HETTICH 9194625 Atira příchytky zad 54 mm antracit L</t>
  </si>
  <si>
    <t>9194626</t>
  </si>
  <si>
    <t>294824</t>
  </si>
  <si>
    <t>HETTICH 9194626 Atira příchytka zad 54 mm antracit P</t>
  </si>
  <si>
    <t>9194627</t>
  </si>
  <si>
    <t>294825</t>
  </si>
  <si>
    <t>HETTICH 9194627 Atira držák zad 70, levá, bílá</t>
  </si>
  <si>
    <t>378451</t>
  </si>
  <si>
    <t>HETTICH 9194627 ATR-držiak chrbáta Ľ /v70/biela DALNO</t>
  </si>
  <si>
    <t>9194628</t>
  </si>
  <si>
    <t>294826</t>
  </si>
  <si>
    <t>HETTICH 9194628 Atira držák zad 70, pravá, bílá</t>
  </si>
  <si>
    <t>378452</t>
  </si>
  <si>
    <t>HETTICH 9194628 ATR-držiak chrbáta P/v70/biela DALNO</t>
  </si>
  <si>
    <t>9194629</t>
  </si>
  <si>
    <t>294827</t>
  </si>
  <si>
    <t>HETTICH 9194629 Atira držák zad 70, levá, antracit</t>
  </si>
  <si>
    <t>378460</t>
  </si>
  <si>
    <t>HETTICH 9194629 ATR-držiak chrbáta Ľ /v70/antr. DALNO</t>
  </si>
  <si>
    <t>9194630</t>
  </si>
  <si>
    <t>294828</t>
  </si>
  <si>
    <t>HETTICH 9194630 Atira držák zad 70, pravá, antracit</t>
  </si>
  <si>
    <t>378461</t>
  </si>
  <si>
    <t>HETTICH 9194630 ATR-držiak chrbáta P/v70/antr. DALNO</t>
  </si>
  <si>
    <t>9194635</t>
  </si>
  <si>
    <t>294829</t>
  </si>
  <si>
    <t>HETTICH 9194635 Atira držák zad 144, levá, bílá</t>
  </si>
  <si>
    <t>378453</t>
  </si>
  <si>
    <t>HETTICH 9194635 ATR-držiak chrbáta Ľ /v144/biela DALNO</t>
  </si>
  <si>
    <t>9194636</t>
  </si>
  <si>
    <t>294830</t>
  </si>
  <si>
    <t>HETTICH 9194636 Atira držák zad 144, pravá, bílá</t>
  </si>
  <si>
    <t>378455</t>
  </si>
  <si>
    <t>HETTICH 9194636 ATR-držiak chrbáta P/v144/biela DALNO</t>
  </si>
  <si>
    <t>9194637</t>
  </si>
  <si>
    <t>294831</t>
  </si>
  <si>
    <t>HETTICH 9194637 Atira držák zad 144, levá, antracit</t>
  </si>
  <si>
    <t>378462</t>
  </si>
  <si>
    <t>HETTICH 9194637 ATR-držiak chrbáta Ľ /v144/antr. DALNO</t>
  </si>
  <si>
    <t>9194638</t>
  </si>
  <si>
    <t>294832</t>
  </si>
  <si>
    <t>HETTICH 9194638 Atira držák zad 144, pravá, antracit</t>
  </si>
  <si>
    <t>378463</t>
  </si>
  <si>
    <t>HETTICH 9194638 ATR-držiak chrbáta P/v144/antr. DALNO</t>
  </si>
  <si>
    <t>9194639</t>
  </si>
  <si>
    <t>294833</t>
  </si>
  <si>
    <t>HETTICH 9194639 Atira držák zad 176, levá, bílá</t>
  </si>
  <si>
    <t>378456</t>
  </si>
  <si>
    <t>HETTICH 9194639 ATR-držiak chrbáta Ľ /v176/biela DALNO</t>
  </si>
  <si>
    <t>9194640</t>
  </si>
  <si>
    <t>294834</t>
  </si>
  <si>
    <t>HETTICH 9194640 Atira držák zad 176, pravá, bílá</t>
  </si>
  <si>
    <t>378457</t>
  </si>
  <si>
    <t>HETTICH 9194640 ATR-držiak chrbáta P /v176/biela DALNO</t>
  </si>
  <si>
    <t>9194641</t>
  </si>
  <si>
    <t>294835</t>
  </si>
  <si>
    <t>HETTICH 9194641 Atira držák zad 176, levá, antracit</t>
  </si>
  <si>
    <t>378464</t>
  </si>
  <si>
    <t>HETTICH 9194641 ATR-držiak chrbáta Ľ /v176/antr. DALNO</t>
  </si>
  <si>
    <t>9194642</t>
  </si>
  <si>
    <t>294836</t>
  </si>
  <si>
    <t>HETTICH 9194642 Atira držák zad 176, pravá, antracit</t>
  </si>
  <si>
    <t>378465</t>
  </si>
  <si>
    <t>HETTICH 9194642 ATR-držiak chrbáta P /v176/antr. DALNO</t>
  </si>
  <si>
    <t>9194643</t>
  </si>
  <si>
    <t>294837</t>
  </si>
  <si>
    <t>HETTICH 9194643 Atira krytka, bez loga, šedá</t>
  </si>
  <si>
    <t>9194644</t>
  </si>
  <si>
    <t>294838</t>
  </si>
  <si>
    <t>HETTICH 9194644 Atira krytka, bez loga, bílá</t>
  </si>
  <si>
    <t>9194645</t>
  </si>
  <si>
    <t>294839</t>
  </si>
  <si>
    <t>HETTICH 9194645 Atira krytka, bez loga, antracit</t>
  </si>
  <si>
    <t>9194646</t>
  </si>
  <si>
    <t>288905</t>
  </si>
  <si>
    <t>HETTICH 9194646 Atira krytka, logo Hettich, šedá</t>
  </si>
  <si>
    <t>9194647</t>
  </si>
  <si>
    <t>294841</t>
  </si>
  <si>
    <t>HETTICH 9194647 Atira krytka, logo Hettich, bílá</t>
  </si>
  <si>
    <t>9194648</t>
  </si>
  <si>
    <t>294842</t>
  </si>
  <si>
    <t>HETTICH 9194648 Atira krytka, logo Hettich, antracit</t>
  </si>
  <si>
    <t>9194649</t>
  </si>
  <si>
    <t>294843</t>
  </si>
  <si>
    <t>HETTICH 9194649 Atira krytka šedá chrom</t>
  </si>
  <si>
    <t>9194650</t>
  </si>
  <si>
    <t>294844</t>
  </si>
  <si>
    <t>HETTICH 9194650 Atira krytka bílá chrom</t>
  </si>
  <si>
    <t>9194652</t>
  </si>
  <si>
    <t>294845</t>
  </si>
  <si>
    <t>HETTICH 9194652 Atira krytka s logem Hettich šedá chrom</t>
  </si>
  <si>
    <t>9194653</t>
  </si>
  <si>
    <t>294846</t>
  </si>
  <si>
    <t>HETTICH 9194653 Atira krytka s logem Hettich bílá</t>
  </si>
  <si>
    <t>9194655</t>
  </si>
  <si>
    <t>294847</t>
  </si>
  <si>
    <t>HETTICH 9194655 Atira krytka nerez</t>
  </si>
  <si>
    <t>9194656</t>
  </si>
  <si>
    <t>294848</t>
  </si>
  <si>
    <t>HETTICH 9194656 Atira krytka s logem Hettich nerez</t>
  </si>
  <si>
    <t>9194657</t>
  </si>
  <si>
    <t>294849</t>
  </si>
  <si>
    <t>HETTICH 9194657 Atira TopSide adaptéry 144, stříbrná</t>
  </si>
  <si>
    <t>9194658</t>
  </si>
  <si>
    <t>294850</t>
  </si>
  <si>
    <t>HETTICH 9194658 Atira TopSide adaptéry 144, bílá</t>
  </si>
  <si>
    <t>9194659</t>
  </si>
  <si>
    <t>294851</t>
  </si>
  <si>
    <t>HETTICH 9194659 Atira TopSide adaptéry 144, antracit</t>
  </si>
  <si>
    <t>9194660</t>
  </si>
  <si>
    <t>294852</t>
  </si>
  <si>
    <t>HETTICH 9194660 Atira TopSide adaptéry 176, stříbrná</t>
  </si>
  <si>
    <t>9194661</t>
  </si>
  <si>
    <t>294853</t>
  </si>
  <si>
    <t>HETTICH 9194661 Atira TopSide adaptéry 176, bílá</t>
  </si>
  <si>
    <t>9194662</t>
  </si>
  <si>
    <t>294854</t>
  </si>
  <si>
    <t>HETTICH 9194662 Atira TopSide adaptéry 176, antracit</t>
  </si>
  <si>
    <t>9194663</t>
  </si>
  <si>
    <t>294855</t>
  </si>
  <si>
    <t>HETTICH 9194663 Atira TopSide 144, 260mm, sklo</t>
  </si>
  <si>
    <t>9194664</t>
  </si>
  <si>
    <t>294856</t>
  </si>
  <si>
    <t>HETTICH 9194664 Atira TopSide 144, 300mm, sklo</t>
  </si>
  <si>
    <t>9194665</t>
  </si>
  <si>
    <t>294857</t>
  </si>
  <si>
    <t>HETTICH 9194665 Atira TopSide 144/350 mm sklo</t>
  </si>
  <si>
    <t>9194666</t>
  </si>
  <si>
    <t>294858</t>
  </si>
  <si>
    <t>HETTICH 9194666 Atira TopSide 144/420 mm sklo</t>
  </si>
  <si>
    <t>9194667</t>
  </si>
  <si>
    <t>294859</t>
  </si>
  <si>
    <t>HETTICH 9194667 Atira TopSide 144, 470mm, sklo</t>
  </si>
  <si>
    <t>9194668</t>
  </si>
  <si>
    <t>294860</t>
  </si>
  <si>
    <t>HETTICH 9194668 Atira TopSide 144, 520mm, sklo</t>
  </si>
  <si>
    <t>9194669</t>
  </si>
  <si>
    <t>294861</t>
  </si>
  <si>
    <t>HETTICH 9194669 Atira TopSide 144/620 mm sklo</t>
  </si>
  <si>
    <t>9194670</t>
  </si>
  <si>
    <t>294862</t>
  </si>
  <si>
    <t>HETTICH 9194670 Atira TopSide 176, 260mm, sklo</t>
  </si>
  <si>
    <t>9194671</t>
  </si>
  <si>
    <t>294864</t>
  </si>
  <si>
    <t>HETTICH 9194671 Atira TopSide 176, 300mm, sklo</t>
  </si>
  <si>
    <t>9194672</t>
  </si>
  <si>
    <t>294865</t>
  </si>
  <si>
    <t>HETTICH 9194672 Atira TopSide 176, 350mm, sklo</t>
  </si>
  <si>
    <t>9194673</t>
  </si>
  <si>
    <t>294867</t>
  </si>
  <si>
    <t>HETTICH 9194673 Atira TopSide 176, 420mm, sklo</t>
  </si>
  <si>
    <t>9194674</t>
  </si>
  <si>
    <t>294868</t>
  </si>
  <si>
    <t>HETTICH 9194674 Atira TopSide 176, 470mm, sklo</t>
  </si>
  <si>
    <t>9194675</t>
  </si>
  <si>
    <t>294869</t>
  </si>
  <si>
    <t>HETTICH 9194675 Atira TopSide 176, 520mm, sklo</t>
  </si>
  <si>
    <t>9194676</t>
  </si>
  <si>
    <t>294870</t>
  </si>
  <si>
    <t>HETTICH 9194676 Atira TopSide 176, 620mm, sklo</t>
  </si>
  <si>
    <t>9194677</t>
  </si>
  <si>
    <t>294871</t>
  </si>
  <si>
    <t>HETTICH 9194677 Atira TopSide 144/260 mm stříbrný</t>
  </si>
  <si>
    <t>9194678</t>
  </si>
  <si>
    <t>294872</t>
  </si>
  <si>
    <t>HETTICH 9194678 Atira TopSide 144/300 mm stříbrný</t>
  </si>
  <si>
    <t>9194679</t>
  </si>
  <si>
    <t>294873</t>
  </si>
  <si>
    <t>HETTICH 9194679 Atira TopSide 144, 350mm, stříbrná</t>
  </si>
  <si>
    <t>9194680</t>
  </si>
  <si>
    <t>294874</t>
  </si>
  <si>
    <t>HETTICH 9194680 Atira TopSide 144, 420mm, stříbrná</t>
  </si>
  <si>
    <t>9194681</t>
  </si>
  <si>
    <t>294875</t>
  </si>
  <si>
    <t>HETTICH 9194681 Atira TopSide 144, 470mm, stříbrná</t>
  </si>
  <si>
    <t>9194682</t>
  </si>
  <si>
    <t>294876</t>
  </si>
  <si>
    <t>HETTICH 9194682 Atira TopSide 144, 520mm, stříbrná</t>
  </si>
  <si>
    <t>9194683</t>
  </si>
  <si>
    <t>294877</t>
  </si>
  <si>
    <t>HETTICH 9194683 Atira TopSide 144, 620mm, stříbrná</t>
  </si>
  <si>
    <t>9194684</t>
  </si>
  <si>
    <t>294878</t>
  </si>
  <si>
    <t>HETTICH 9194684 Atira TopSide 144/260 mm bílý</t>
  </si>
  <si>
    <t>9194685</t>
  </si>
  <si>
    <t>294879</t>
  </si>
  <si>
    <t>HETTICH 9194685 Atira TopSide 144/300 mm bílý</t>
  </si>
  <si>
    <t>9194686</t>
  </si>
  <si>
    <t>294880</t>
  </si>
  <si>
    <t>HETTICH 9194686 Atira TopSide 144/350 mm bílý</t>
  </si>
  <si>
    <t>9194687</t>
  </si>
  <si>
    <t>294881</t>
  </si>
  <si>
    <t>HETTICH 9194687 Atira TopSide 144/420 mm bílý</t>
  </si>
  <si>
    <t>9194688</t>
  </si>
  <si>
    <t>294882</t>
  </si>
  <si>
    <t>HETTICH 9194688 Atira TopSide 144, 470mm, bílá</t>
  </si>
  <si>
    <t>9194689</t>
  </si>
  <si>
    <t>294883</t>
  </si>
  <si>
    <t>HETTICH 9194689 Atira TopSide 144, 520mm, bílá</t>
  </si>
  <si>
    <t>9194690</t>
  </si>
  <si>
    <t>294884</t>
  </si>
  <si>
    <t>HETTICH 9194690 Atira TopSide 144/620 mm bílý</t>
  </si>
  <si>
    <t>9194691</t>
  </si>
  <si>
    <t>294885</t>
  </si>
  <si>
    <t>HETTICH 9194691 Atira TopSide 144, 260mm, antracit</t>
  </si>
  <si>
    <t>9194692</t>
  </si>
  <si>
    <t>294886</t>
  </si>
  <si>
    <t>HETTICH 9194692 Atira TopSide 144, 300mm, antracit</t>
  </si>
  <si>
    <t>9194693</t>
  </si>
  <si>
    <t>294887</t>
  </si>
  <si>
    <t>HETTICH 9194693 Atira TopSide 144, 350mm, antracit</t>
  </si>
  <si>
    <t>9194694</t>
  </si>
  <si>
    <t>294888</t>
  </si>
  <si>
    <t>HETTICH 9194694 Atira TopSide 144, 420mm, antracit</t>
  </si>
  <si>
    <t>9194695</t>
  </si>
  <si>
    <t>294889</t>
  </si>
  <si>
    <t>HETTICH 9194695 Atira TopSide 144, 470mm, antracit</t>
  </si>
  <si>
    <t>9194696</t>
  </si>
  <si>
    <t>294890</t>
  </si>
  <si>
    <t>HETTICH 9194696 Atira TopSide 144, 520mm, antracit</t>
  </si>
  <si>
    <t>9194697</t>
  </si>
  <si>
    <t>294891</t>
  </si>
  <si>
    <t>HETTICH 9194697 Atira TopSide 144, 620mm, antracit</t>
  </si>
  <si>
    <t>9194698</t>
  </si>
  <si>
    <t>294892</t>
  </si>
  <si>
    <t>HETTICH 9194698 Atira TopSide 176/260 mm stříbrný</t>
  </si>
  <si>
    <t>9194699</t>
  </si>
  <si>
    <t>294893</t>
  </si>
  <si>
    <t>HETTICH 9194699 Atira TopSide 176/300 mm stříbrný</t>
  </si>
  <si>
    <t>9194700</t>
  </si>
  <si>
    <t>294894</t>
  </si>
  <si>
    <t>HETTICH 9194700 Atira TopSide 176/350 mm stříbrný</t>
  </si>
  <si>
    <t>9194701</t>
  </si>
  <si>
    <t>294895</t>
  </si>
  <si>
    <t>HETTICH 9194701 Atira TopSide 176/420 mm stříbrný</t>
  </si>
  <si>
    <t>9194702</t>
  </si>
  <si>
    <t>294896</t>
  </si>
  <si>
    <t>HETTICH 9194702 Atira TopSide 176, 470mm, stříbrná</t>
  </si>
  <si>
    <t>9194703</t>
  </si>
  <si>
    <t>294897</t>
  </si>
  <si>
    <t>HETTICH 9194703 Atira TopSide 176, 520mm, stříbrná</t>
  </si>
  <si>
    <t>9194704</t>
  </si>
  <si>
    <t>294898</t>
  </si>
  <si>
    <t>HETTICH 9194704 Atira TopSide 176/620 mm stříbrný</t>
  </si>
  <si>
    <t>9194705</t>
  </si>
  <si>
    <t>294899</t>
  </si>
  <si>
    <t>HETTICH 9194705 Atira TopSide 176, 260mm, bílá</t>
  </si>
  <si>
    <t>9194706</t>
  </si>
  <si>
    <t>294900</t>
  </si>
  <si>
    <t>HETTICH 9194706 Atira TopSide 176, 300mm, bílá</t>
  </si>
  <si>
    <t>9194707</t>
  </si>
  <si>
    <t>294901</t>
  </si>
  <si>
    <t>HETTICH 9194707 Atira TopSide 176, 350mm, bílá</t>
  </si>
  <si>
    <t>9194708</t>
  </si>
  <si>
    <t>294902</t>
  </si>
  <si>
    <t>HETTICH 9194708 Atira TopSide 176, 420mm, bílá</t>
  </si>
  <si>
    <t>9194709</t>
  </si>
  <si>
    <t>294903</t>
  </si>
  <si>
    <t>HETTICH 9194709 Atira TopSide 176, 470mm, bílá</t>
  </si>
  <si>
    <t>9194710</t>
  </si>
  <si>
    <t>294904</t>
  </si>
  <si>
    <t>HETTICH 9194710 Atira TopSide 176, 520mm, bílá</t>
  </si>
  <si>
    <t>9194711</t>
  </si>
  <si>
    <t>294905</t>
  </si>
  <si>
    <t>HETTICH 9194711 Atira TopSide 176, 620mm, bílá</t>
  </si>
  <si>
    <t>9194712</t>
  </si>
  <si>
    <t>294906</t>
  </si>
  <si>
    <t>HETTICH 9194712 Atira TopSide 176/260 mm antracit</t>
  </si>
  <si>
    <t>9194713</t>
  </si>
  <si>
    <t>294907</t>
  </si>
  <si>
    <t>HETTICH 9194713 Atira TopSide 176/300 mm antracit</t>
  </si>
  <si>
    <t>9194714</t>
  </si>
  <si>
    <t>294908</t>
  </si>
  <si>
    <t>HETTICH 9194714 Atira TopSide 176/350 mm antracit</t>
  </si>
  <si>
    <t>9194715</t>
  </si>
  <si>
    <t>294909</t>
  </si>
  <si>
    <t>HETTICH 9194715 Atira TopSide 176/420 mm antracit</t>
  </si>
  <si>
    <t>9194716</t>
  </si>
  <si>
    <t>294910</t>
  </si>
  <si>
    <t>HETTICH 9194716 Atira TopSide 176, 470mm, antracit</t>
  </si>
  <si>
    <t>9194717</t>
  </si>
  <si>
    <t>294911</t>
  </si>
  <si>
    <t>HETTICH 9194717 Atira TopSide 176, 520mm, antracit</t>
  </si>
  <si>
    <t>9194723</t>
  </si>
  <si>
    <t>294917</t>
  </si>
  <si>
    <t>HETTICH 9194723 Atira čelo vnitřní zásuvky 100, 70/600 mm stříbrné</t>
  </si>
  <si>
    <t>9194724</t>
  </si>
  <si>
    <t>294918</t>
  </si>
  <si>
    <t>HETTICH 9194724 Atira čelo vnitřní zásuvky 100, 70/800 mm stříbrné</t>
  </si>
  <si>
    <t>9194726</t>
  </si>
  <si>
    <t>294920</t>
  </si>
  <si>
    <t>HETTICH 9194726 Atira čelo vnitřní zásuvky 100, 70/1000 mm stříbrné</t>
  </si>
  <si>
    <t>9194732</t>
  </si>
  <si>
    <t>294926</t>
  </si>
  <si>
    <t>HETTICH 9194732 Atira čelo vnitřní zásuvky 100, 70/600 mm bílé</t>
  </si>
  <si>
    <t>9194740</t>
  </si>
  <si>
    <t>294934</t>
  </si>
  <si>
    <t>HETTICH 9194740 Atira čelo vnitřní zásuvky 70/500 mm antracit</t>
  </si>
  <si>
    <t>9194741</t>
  </si>
  <si>
    <t>294935</t>
  </si>
  <si>
    <t>HETTICH 9194741 Atira čelo vnitřní zásuvky 70/600 mm antracit</t>
  </si>
  <si>
    <t>9194764</t>
  </si>
  <si>
    <t>288900</t>
  </si>
  <si>
    <t>HETTICH 9194764 Atira čelo vnitřní zásuvky 70, 2m, stříbrná</t>
  </si>
  <si>
    <t>460640</t>
  </si>
  <si>
    <t>HETTICH 9194764 Atira čelo vnútorná zásuvka 2000/70 strieborné DALNO</t>
  </si>
  <si>
    <t>9194765</t>
  </si>
  <si>
    <t>294940</t>
  </si>
  <si>
    <t>HETTICH 9194765 Atira čelo vnitřní zásuvky 70, 2m, bílá</t>
  </si>
  <si>
    <t>460636</t>
  </si>
  <si>
    <t>HETTICH 9194765 Atira čelo vnútorná zásuvka 2000/70 biela DALNO</t>
  </si>
  <si>
    <t>9194766</t>
  </si>
  <si>
    <t>460638</t>
  </si>
  <si>
    <t>HETTICH 9194766 Atira čel. profil 2000 antrac DALNO</t>
  </si>
  <si>
    <t>294941</t>
  </si>
  <si>
    <t>HETTICH 9194766 Atira čelo vnitřní zásuvky 70, 2m, antracit</t>
  </si>
  <si>
    <t>9194797</t>
  </si>
  <si>
    <t>294969</t>
  </si>
  <si>
    <t>HETTICH 9194797 Atira DesignSide 144/260 mm sklo stříbrná</t>
  </si>
  <si>
    <t>9194798</t>
  </si>
  <si>
    <t>294970</t>
  </si>
  <si>
    <t>HETTICH 9194798 Atira DesignSide 144/300 mm sklo stříbrná</t>
  </si>
  <si>
    <t>9194799</t>
  </si>
  <si>
    <t>294971</t>
  </si>
  <si>
    <t>HETTICH 9194799 Atira DesignSide 144/350 mm sklo stříbrná</t>
  </si>
  <si>
    <t>9194800</t>
  </si>
  <si>
    <t>294972</t>
  </si>
  <si>
    <t>HETTICH 9194800 Atira DesignSide 144/420 mm sklo stříbrná</t>
  </si>
  <si>
    <t>9194801</t>
  </si>
  <si>
    <t>294973</t>
  </si>
  <si>
    <t>HETTICH 9194801 Atira DesignSide 144, 470mm, sklo, stříbrná</t>
  </si>
  <si>
    <t>9194802</t>
  </si>
  <si>
    <t>294974</t>
  </si>
  <si>
    <t>HETTICH 9194802 Atira DesignSide 144, 520mm, sklo, stříbrná</t>
  </si>
  <si>
    <t>9194803</t>
  </si>
  <si>
    <t>294975</t>
  </si>
  <si>
    <t>HETTICH 9194803 Atira DesignSide 144/620 mm sklo stříbrná</t>
  </si>
  <si>
    <t>9194804</t>
  </si>
  <si>
    <t>294976</t>
  </si>
  <si>
    <t>HETTICH 9194804 Atira DesignSide 144/260 mm sklo bílá</t>
  </si>
  <si>
    <t>9194805</t>
  </si>
  <si>
    <t>294977</t>
  </si>
  <si>
    <t>HETTICH 9194805 Atira DesignSide 144/300 mm sklo bílá</t>
  </si>
  <si>
    <t>9194806</t>
  </si>
  <si>
    <t>294978</t>
  </si>
  <si>
    <t>HETTICH 9194806 Atira DesignSide 144/350 mm sklo bílá</t>
  </si>
  <si>
    <t>9194807</t>
  </si>
  <si>
    <t>294979</t>
  </si>
  <si>
    <t>HETTICH 9194807 Atira DesignSide 144/420 mm sklo bílá</t>
  </si>
  <si>
    <t>9194808</t>
  </si>
  <si>
    <t>294980</t>
  </si>
  <si>
    <t>HETTICH 9194808 Atira DesignSide 144, 470mm, sklo, bílá</t>
  </si>
  <si>
    <t>9194809</t>
  </si>
  <si>
    <t>294981</t>
  </si>
  <si>
    <t>HETTICH 9194809 Atira DesignSide 144, 520mm, sklo, bílá</t>
  </si>
  <si>
    <t>9194810</t>
  </si>
  <si>
    <t>294982</t>
  </si>
  <si>
    <t>HETTICH 9194810 Atira DesignSide 144/620 mm sklo bílá</t>
  </si>
  <si>
    <t>9194811</t>
  </si>
  <si>
    <t>294983</t>
  </si>
  <si>
    <t>HETTICH 9194811 Atira DesignSide 144/260 mm sklo antracit</t>
  </si>
  <si>
    <t>9194812</t>
  </si>
  <si>
    <t>294984</t>
  </si>
  <si>
    <t>HETTICH 9194812 Atira DesignSide 144, 300mm, sklo, antracit</t>
  </si>
  <si>
    <t>9194813</t>
  </si>
  <si>
    <t>294985</t>
  </si>
  <si>
    <t>HETTICH 9194813 Atira DesignSide 144, 350mm, sklo, antracit</t>
  </si>
  <si>
    <t>9194814</t>
  </si>
  <si>
    <t>294986</t>
  </si>
  <si>
    <t>HETTICH 9194814 Atira DesignSide 144/260 mm antracit</t>
  </si>
  <si>
    <t>9194815</t>
  </si>
  <si>
    <t>294987</t>
  </si>
  <si>
    <t>HETTICH 9194815 Atira DesignSide 144, 470mm, sklo, antracit</t>
  </si>
  <si>
    <t>9194816</t>
  </si>
  <si>
    <t>294988</t>
  </si>
  <si>
    <t>HETTICH 9194816 Atira DesignSide 144, 520mm, sklo, antracit</t>
  </si>
  <si>
    <t>9194817</t>
  </si>
  <si>
    <t>294989</t>
  </si>
  <si>
    <t>HETTICH 9194817 Atira DesignSide 144, 620mm, sklo, antracit</t>
  </si>
  <si>
    <t>9194818</t>
  </si>
  <si>
    <t>294990</t>
  </si>
  <si>
    <t>HETTICH 9194818 Atira DesignSide 176/260 mm sklo stříbrná</t>
  </si>
  <si>
    <t>9194819</t>
  </si>
  <si>
    <t>294991</t>
  </si>
  <si>
    <t>HETTICH 9194819 Atira DesignSide 176/300 mm sklo stříbrná</t>
  </si>
  <si>
    <t>9194820</t>
  </si>
  <si>
    <t>294992</t>
  </si>
  <si>
    <t>HETTICH 9194820 Atira DesignSide 176/350 mm sklo stříbrná</t>
  </si>
  <si>
    <t>9194821</t>
  </si>
  <si>
    <t>294993</t>
  </si>
  <si>
    <t>HETTICH 9194821 Atira DesignSide 176/420 mm sklo stříbrná</t>
  </si>
  <si>
    <t>9194822</t>
  </si>
  <si>
    <t>294994</t>
  </si>
  <si>
    <t>HETTICH 9194822 Atira DesignSide 176, 470mm, sklo, stříbrná</t>
  </si>
  <si>
    <t>9194823</t>
  </si>
  <si>
    <t>294995</t>
  </si>
  <si>
    <t>HETTICH 9194823 Atira DesignSide 176, 520mm, sklo, stříbrná</t>
  </si>
  <si>
    <t>9194824</t>
  </si>
  <si>
    <t>294996</t>
  </si>
  <si>
    <t>HETTICH 9194824 Atira DesignSide 176/620 mm sklo stříbrná</t>
  </si>
  <si>
    <t>9194825</t>
  </si>
  <si>
    <t>294997</t>
  </si>
  <si>
    <t>HETTICH 9194825 Atira DesignSide 176/260 mm sklo bílá</t>
  </si>
  <si>
    <t>9194826</t>
  </si>
  <si>
    <t>294998</t>
  </si>
  <si>
    <t>HETTICH 9194826 Atira DesignSide 176/300 mm sklo bílá</t>
  </si>
  <si>
    <t>9194827</t>
  </si>
  <si>
    <t>294999</t>
  </si>
  <si>
    <t>HETTICH 9194827 Atira DesignSide 176/350 mm sklo bílá</t>
  </si>
  <si>
    <t>9194828</t>
  </si>
  <si>
    <t>295000</t>
  </si>
  <si>
    <t>HETTICH 9194828 Atira DesignSide 176/420 mm sklo bílá</t>
  </si>
  <si>
    <t>9194829</t>
  </si>
  <si>
    <t>295001</t>
  </si>
  <si>
    <t>HETTICH 9194829 Atira DesignSide 176, 470mm, sklo, bílá</t>
  </si>
  <si>
    <t>378476</t>
  </si>
  <si>
    <t>HETTICH 9194829 ATR-DesignSide /v176/h470/sklo číre+biela DALNO</t>
  </si>
  <si>
    <t>9194830</t>
  </si>
  <si>
    <t>295002</t>
  </si>
  <si>
    <t>HETTICH 9194830 Atira DesignSide 176, 520mm, sklo, bílá</t>
  </si>
  <si>
    <t>9194831</t>
  </si>
  <si>
    <t>295003</t>
  </si>
  <si>
    <t>HETTICH 9194831 Atira DesignSide 176/260 mm bílý</t>
  </si>
  <si>
    <t>9194834</t>
  </si>
  <si>
    <t>295006</t>
  </si>
  <si>
    <t>HETTICH 9194834 Atira DesignSide 176, 350mm, sklo, antracit</t>
  </si>
  <si>
    <t>9194835</t>
  </si>
  <si>
    <t>295007</t>
  </si>
  <si>
    <t>HETTICH 9194835 Atira DesignSide 176, 420mm, sklo, antracit</t>
  </si>
  <si>
    <t>9194836</t>
  </si>
  <si>
    <t>295008</t>
  </si>
  <si>
    <t>HETTICH 9194836 Atira DesignSide 176, 470mm, sklo, antracit</t>
  </si>
  <si>
    <t>378478</t>
  </si>
  <si>
    <t>HETTICH 9194836 ATR-DesignSide /v176/h470/sklo číre+antr. DALNO</t>
  </si>
  <si>
    <t>9194837</t>
  </si>
  <si>
    <t>295009</t>
  </si>
  <si>
    <t>HETTICH 9194837 Atira DesignSide 176, 520mm, sklo, antracit</t>
  </si>
  <si>
    <t>9194838</t>
  </si>
  <si>
    <t>295010</t>
  </si>
  <si>
    <t>HETTICH 9194838 Atira DesignSide 176, 620mm, sklo, antracit</t>
  </si>
  <si>
    <t>9194843</t>
  </si>
  <si>
    <t>295013</t>
  </si>
  <si>
    <t>HETTICH 9194843 Orgastore 820, sada 600 mm stříbrný</t>
  </si>
  <si>
    <t>9194844</t>
  </si>
  <si>
    <t>295014</t>
  </si>
  <si>
    <t>HETTICH 9194844 Orgastore 820, 800 mm stříbrný</t>
  </si>
  <si>
    <t>9194845</t>
  </si>
  <si>
    <t>295015</t>
  </si>
  <si>
    <t>HETTICH 9194845 Orgastore 820, sada 900 mm stříbrný</t>
  </si>
  <si>
    <t>9194846</t>
  </si>
  <si>
    <t>295016</t>
  </si>
  <si>
    <t>HETTICH 9194846 Orgastore 820, 1000 mm stříbrný</t>
  </si>
  <si>
    <t>9194847</t>
  </si>
  <si>
    <t>295017</t>
  </si>
  <si>
    <t>HETTICH 9194847 Orgastore 820, sada 1200 mm stříbrný</t>
  </si>
  <si>
    <t>9194852</t>
  </si>
  <si>
    <t>295020</t>
  </si>
  <si>
    <t>HETTICH 9194852 Orgastore 820, 600mm bílý</t>
  </si>
  <si>
    <t>9194854</t>
  </si>
  <si>
    <t>295022</t>
  </si>
  <si>
    <t>HETTICH 9194854 Orgastore 820, sada 900 mm bílý</t>
  </si>
  <si>
    <t>9194861</t>
  </si>
  <si>
    <t>295027</t>
  </si>
  <si>
    <t>HETTICH 9194861 Orgastore 820, 600 mm antracit</t>
  </si>
  <si>
    <t>9194862</t>
  </si>
  <si>
    <t>295028</t>
  </si>
  <si>
    <t>HETTICH 9194862 Orgastore 820, 800 mm antracit</t>
  </si>
  <si>
    <t>9194863</t>
  </si>
  <si>
    <t>295029</t>
  </si>
  <si>
    <t>HETTICH 9194863 Orgastore 820, 900 mm antracit</t>
  </si>
  <si>
    <t>9194864</t>
  </si>
  <si>
    <t>295030</t>
  </si>
  <si>
    <t>HETTICH 9194864 Orgastore 820, 1000 mm antracit</t>
  </si>
  <si>
    <t>9194866</t>
  </si>
  <si>
    <t>295032</t>
  </si>
  <si>
    <t>HETTICH 9194866 Orgastore 810, adaptér stříbrný</t>
  </si>
  <si>
    <t>9194867</t>
  </si>
  <si>
    <t>295033</t>
  </si>
  <si>
    <t>HETTICH 9194867 Orgastore 810/820, dělící prvek šedý</t>
  </si>
  <si>
    <t>9194868</t>
  </si>
  <si>
    <t>295034</t>
  </si>
  <si>
    <t>HETTICH 9194868 Orgastore 820, profil 2000 mm hliník</t>
  </si>
  <si>
    <t>9194884</t>
  </si>
  <si>
    <t>295050</t>
  </si>
  <si>
    <t>HETTICH 9194884 Příborník OrgaTray 590, 500/420mm, stříbrná</t>
  </si>
  <si>
    <t>9194885</t>
  </si>
  <si>
    <t>295051</t>
  </si>
  <si>
    <t>HETTICH 9194885 Příborník OrgaTray 590, 600/420mm, stříbrná</t>
  </si>
  <si>
    <t>9194886</t>
  </si>
  <si>
    <t>295052</t>
  </si>
  <si>
    <t>HETTICH 9194886 Příborník OrgaTray 590, 300/470mm, stříbrná</t>
  </si>
  <si>
    <t>9194887</t>
  </si>
  <si>
    <t>295053</t>
  </si>
  <si>
    <t>HETTICH 9194887 Příborník OrgaTray 590, 400/470mm, stříbrná</t>
  </si>
  <si>
    <t>9194888</t>
  </si>
  <si>
    <t>295054</t>
  </si>
  <si>
    <t>HETTICH 9194888 Příborník OrgaTray 590, 450/470mm, stříbrná</t>
  </si>
  <si>
    <t>9194889</t>
  </si>
  <si>
    <t>295055</t>
  </si>
  <si>
    <t>HETTICH 9194889 Příborník OrgaTray 590, 500/470mm, stříbrná</t>
  </si>
  <si>
    <t>9194890</t>
  </si>
  <si>
    <t>295056</t>
  </si>
  <si>
    <t>HETTICH 9194890 Příborník OrgaTray 590, 550/470mm, stříbrná</t>
  </si>
  <si>
    <t>9194891</t>
  </si>
  <si>
    <t>288715</t>
  </si>
  <si>
    <t>HETTICH 9194891 Příborník OrgaTray 590, 600/470mm, stříbrná</t>
  </si>
  <si>
    <t>9194892</t>
  </si>
  <si>
    <t>288716</t>
  </si>
  <si>
    <t>HETTICH 9194892 Příborník OrgaTray 590, 800/470mm, stříbrná</t>
  </si>
  <si>
    <t>9194893</t>
  </si>
  <si>
    <t>288717</t>
  </si>
  <si>
    <t>HETTICH 9194893 Příborník OrgaTray 590, 900/470mm, stříbrná</t>
  </si>
  <si>
    <t>9194894</t>
  </si>
  <si>
    <t>295057</t>
  </si>
  <si>
    <t>HETTICH 9194894 Příborník OrgaTray 590, 1000/470mm, stříbrná</t>
  </si>
  <si>
    <t>9194895</t>
  </si>
  <si>
    <t>295058</t>
  </si>
  <si>
    <t>HETTICH 9194895 Příborník OrgaTray 590, 500/420mm, bílá</t>
  </si>
  <si>
    <t>9194896</t>
  </si>
  <si>
    <t>295059</t>
  </si>
  <si>
    <t>HETTICH 9194896 Příborník OrgaTray 590, 600/420mm, bílá</t>
  </si>
  <si>
    <t>9194897</t>
  </si>
  <si>
    <t>295060</t>
  </si>
  <si>
    <t>HETTICH 9194897 Příborník OrgaTray 590, 300/470mm, bílá</t>
  </si>
  <si>
    <t>9194898</t>
  </si>
  <si>
    <t>295061</t>
  </si>
  <si>
    <t>HETTICH 9194898 Příborník OrgaTray 590, 400/470mm, bílá</t>
  </si>
  <si>
    <t>9194899</t>
  </si>
  <si>
    <t>295062</t>
  </si>
  <si>
    <t>HETTICH 9194899 Příborník OrgaTray 590, 450/470mm, bílá</t>
  </si>
  <si>
    <t>9194900</t>
  </si>
  <si>
    <t>295063</t>
  </si>
  <si>
    <t>HETTICH 9194900 Příborník OrgaTray 590, 500/470mm, bílá</t>
  </si>
  <si>
    <t>9194901</t>
  </si>
  <si>
    <t>295064</t>
  </si>
  <si>
    <t>HETTICH 9194901 Příborník OrgaTray 590, 550/470mm, bílá</t>
  </si>
  <si>
    <t>9194902</t>
  </si>
  <si>
    <t>295065</t>
  </si>
  <si>
    <t>HETTICH 9194902 Příborník OrgaTray 590, 600/470mm, bílá</t>
  </si>
  <si>
    <t>9194903</t>
  </si>
  <si>
    <t>295066</t>
  </si>
  <si>
    <t>HETTICH 9194903 Příborník OrgaTray 590, 800/470mm, bílá</t>
  </si>
  <si>
    <t>9194904</t>
  </si>
  <si>
    <t>295067</t>
  </si>
  <si>
    <t>HETTICH 9194904 Příborník OrgaTray 590, 900/470mm, bílá</t>
  </si>
  <si>
    <t>9194905</t>
  </si>
  <si>
    <t>295068</t>
  </si>
  <si>
    <t>HETTICH 9194905 Příborník OrgaTray 590, 1000/470mm, bílá</t>
  </si>
  <si>
    <t>9194906</t>
  </si>
  <si>
    <t>295069</t>
  </si>
  <si>
    <t>HETTICH 9194906 Příborník OrgaTray 590, 500/420mm, antracit</t>
  </si>
  <si>
    <t>9194907</t>
  </si>
  <si>
    <t>295070</t>
  </si>
  <si>
    <t>HETTICH 9194907 Příborník OrgaTray 590, 600/420mm, antracit</t>
  </si>
  <si>
    <t>9194908</t>
  </si>
  <si>
    <t>295071</t>
  </si>
  <si>
    <t>HETTICH 9194908 Příborník OrgaTray 590, 300/470mm, antracit</t>
  </si>
  <si>
    <t>9194909</t>
  </si>
  <si>
    <t>295072</t>
  </si>
  <si>
    <t>HETTICH 9194909 Příborník OrgaTray 590, 400/470mm, antracit</t>
  </si>
  <si>
    <t>9194910</t>
  </si>
  <si>
    <t>295073</t>
  </si>
  <si>
    <t>HETTICH 9194910 Příborník OrgaTray 590, 450/470mm, antracit</t>
  </si>
  <si>
    <t>9194911</t>
  </si>
  <si>
    <t>295074</t>
  </si>
  <si>
    <t>HETTICH 9194911 Příborník OrgaTray 590, 500/470mm, antracit</t>
  </si>
  <si>
    <t>9194912</t>
  </si>
  <si>
    <t>295075</t>
  </si>
  <si>
    <t>HETTICH 9194912 Příborník OrgaTray 590, 550/470mm, antracit</t>
  </si>
  <si>
    <t>9194913</t>
  </si>
  <si>
    <t>295076</t>
  </si>
  <si>
    <t>HETTICH 9194913 Příborník OrgaTray 590, 600/470mm, antracit</t>
  </si>
  <si>
    <t>9194914</t>
  </si>
  <si>
    <t>295077</t>
  </si>
  <si>
    <t>HETTICH 9194914 Příborník OrgaTray 590, 800/470mm, antracit</t>
  </si>
  <si>
    <t>9194915</t>
  </si>
  <si>
    <t>295078</t>
  </si>
  <si>
    <t>HETTICH 9194915 Příborník OrgaTray 590, 900/470mm, antracit</t>
  </si>
  <si>
    <t>9194916</t>
  </si>
  <si>
    <t>295079</t>
  </si>
  <si>
    <t>HETTICH 9194916 Příborník OrgaTray 590, 1000/470mm, antracit</t>
  </si>
  <si>
    <t>9194917</t>
  </si>
  <si>
    <t>108167</t>
  </si>
  <si>
    <t>HETTICH 9194917 Příborník OrgaTray 440, 175-200/380/440mm, stříbrná</t>
  </si>
  <si>
    <t>9194918</t>
  </si>
  <si>
    <t>106738</t>
  </si>
  <si>
    <t>HETTICH 9194918 Příborník OrgaTray 440, 201-250/380-440mm, stříbrná</t>
  </si>
  <si>
    <t>9194919</t>
  </si>
  <si>
    <t>106741</t>
  </si>
  <si>
    <t>HETTICH 9194919 Příborník OrgaTray 440, 251-300/380-440mm, stříbrná</t>
  </si>
  <si>
    <t>9194920</t>
  </si>
  <si>
    <t>106746</t>
  </si>
  <si>
    <t>HETTICH 9194920 Příborník OrgaTray 440, 301-350/380-440mm, stříbrná</t>
  </si>
  <si>
    <t>9194921</t>
  </si>
  <si>
    <t>106749</t>
  </si>
  <si>
    <t>HETTICH 9194921 Příborník OrgaTray 440, 351-400/380-440mm, stříbrná</t>
  </si>
  <si>
    <t>9194922</t>
  </si>
  <si>
    <t>106753</t>
  </si>
  <si>
    <t>HETTICH 9194922 Příborník OrgaTray 440, 401-450/380-440mm, stříbrná</t>
  </si>
  <si>
    <t>9194923</t>
  </si>
  <si>
    <t>106757</t>
  </si>
  <si>
    <t>HETTICH 9194923 Příborník OrgaTray 440, 451-500/380-440mm, stříbrná</t>
  </si>
  <si>
    <t>9194924</t>
  </si>
  <si>
    <t>106771</t>
  </si>
  <si>
    <t>HETTICH 9194924 Příborník OrgaTray 440, 501-600/380-440mm, stříbrná</t>
  </si>
  <si>
    <t>9194925</t>
  </si>
  <si>
    <t>135803</t>
  </si>
  <si>
    <t>HETTICH 9194925 Příborník OrgaTray 440, 601-700/380-440mm, stříbrná</t>
  </si>
  <si>
    <t>9194926</t>
  </si>
  <si>
    <t>301328</t>
  </si>
  <si>
    <t>HETTICH 9194926 Příborník OrgaTray 440 701-800/380-440mm stříbrná</t>
  </si>
  <si>
    <t>9194927</t>
  </si>
  <si>
    <t>106779</t>
  </si>
  <si>
    <t>HETTICH 9194927 Příborník OrgaTray 440, 801-900/380-440mm, stříbrná</t>
  </si>
  <si>
    <t>9194929</t>
  </si>
  <si>
    <t>106730</t>
  </si>
  <si>
    <t>HETTICH 9194929 Příborník OrgaTray 440, 1091-1150/380-440mm, stříbrná</t>
  </si>
  <si>
    <t>9194930</t>
  </si>
  <si>
    <t>106737</t>
  </si>
  <si>
    <t>HETTICH 9194930 Příborník OrgaTray 440, 175-200/441-520mm, stříbrná</t>
  </si>
  <si>
    <t>9194931</t>
  </si>
  <si>
    <t>106739</t>
  </si>
  <si>
    <t>HETTICH 9194931 Příborník OrgaTray 440, 201-250/441-520mm, stříbrná</t>
  </si>
  <si>
    <t>9194932</t>
  </si>
  <si>
    <t>106743</t>
  </si>
  <si>
    <t>HETTICH 9194932 Příborník OrgaTray 440, 251-300/441-520mm, stříbrná</t>
  </si>
  <si>
    <t>9194933</t>
  </si>
  <si>
    <t>106748</t>
  </si>
  <si>
    <t>HETTICH 9194933 Příborník OrgaTray 440, 301-350/441-520mm, stříbrná</t>
  </si>
  <si>
    <t>9194934</t>
  </si>
  <si>
    <t>106752</t>
  </si>
  <si>
    <t>HETTICH 9194934 Příborník OrgaTray 440, 351-400/441-520mm, stříbrná</t>
  </si>
  <si>
    <t>9194935</t>
  </si>
  <si>
    <t>106755</t>
  </si>
  <si>
    <t>HETTICH 9194935 Příborník OrgaTray 440, 401-450/441-520mm, stříbrná</t>
  </si>
  <si>
    <t>9194936</t>
  </si>
  <si>
    <t>106766</t>
  </si>
  <si>
    <t>HETTICH 9194936 Příborník OrgaTray 440, 451-500/441-520mm, stříbrná</t>
  </si>
  <si>
    <t>9194937</t>
  </si>
  <si>
    <t>106713</t>
  </si>
  <si>
    <t>HETTICH 9194937 Příborník OrgaTray 440, 501-600/441-520mm, stříbrná</t>
  </si>
  <si>
    <t>9194938</t>
  </si>
  <si>
    <t>134609</t>
  </si>
  <si>
    <t>HETTICH 9194938 Příborník OrgaTray 440, 601-700/441-520mm, stříbrná</t>
  </si>
  <si>
    <t>9194939</t>
  </si>
  <si>
    <t>106776</t>
  </si>
  <si>
    <t>HETTICH 9194939 Příborník OrgaTray 440, 701-800/441-520mm, stříbrná</t>
  </si>
  <si>
    <t>9194940</t>
  </si>
  <si>
    <t>106780</t>
  </si>
  <si>
    <t>HETTICH 9194940 Příborník OrgaTray 440, 801-900/441-520mm, stříbrná</t>
  </si>
  <si>
    <t>9194941</t>
  </si>
  <si>
    <t>106781</t>
  </si>
  <si>
    <t>HETTICH 9194941 Příborník OrgaTray 440, 901-1000/441-520mm, stříbrná</t>
  </si>
  <si>
    <t>9194942</t>
  </si>
  <si>
    <t>106731</t>
  </si>
  <si>
    <t>HETTICH 9194942 Příborník OrgaTray 440, 1091-1150/441-520mm, stříbrná</t>
  </si>
  <si>
    <t>9194948</t>
  </si>
  <si>
    <t>295080</t>
  </si>
  <si>
    <t>HETTICH 9194948 Příborník OrgaTray 440, 175-200/380-440mm, bílá</t>
  </si>
  <si>
    <t>9194949</t>
  </si>
  <si>
    <t>295081</t>
  </si>
  <si>
    <t>HETTICH 9194949 Příborník OrgaTray 440, 201-250/380-440mm, bílá</t>
  </si>
  <si>
    <t>9194950</t>
  </si>
  <si>
    <t>295082</t>
  </si>
  <si>
    <t>HETTICH 9194950 Příborník OrgaTray 440, 251-300/380-440mm, bílá</t>
  </si>
  <si>
    <t>9194951</t>
  </si>
  <si>
    <t>295083</t>
  </si>
  <si>
    <t>HETTICH 9194951 Příborník OrgaTray 440, 301-350/380-440mm, bílá</t>
  </si>
  <si>
    <t>9194952</t>
  </si>
  <si>
    <t>295084</t>
  </si>
  <si>
    <t>HETTICH 9194952 Příborník OrgaTray 440, 351-400/380-440mm, bílá</t>
  </si>
  <si>
    <t>9194953</t>
  </si>
  <si>
    <t>295085</t>
  </si>
  <si>
    <t>HETTICH 9194953 Příborník OrgaTray 440, 401-450/380-440mm, bílá</t>
  </si>
  <si>
    <t>9194954</t>
  </si>
  <si>
    <t>295086</t>
  </si>
  <si>
    <t>HETTICH 9194954 Příborník OrgaTray 440, 451-500/380-440mm, bílá</t>
  </si>
  <si>
    <t>9194955</t>
  </si>
  <si>
    <t>295087</t>
  </si>
  <si>
    <t>HETTICH 9194955 Příborník OrgaTray 440, 501-600/380-440mm, bílá</t>
  </si>
  <si>
    <t>9194956</t>
  </si>
  <si>
    <t>295088</t>
  </si>
  <si>
    <t>HETTICH 9194956 Příborník OrgaTray 440, 601-700/380-440mm, bílá</t>
  </si>
  <si>
    <t>9194957</t>
  </si>
  <si>
    <t>295089</t>
  </si>
  <si>
    <t>HETTICH 9194957 Příborník OrgaTray 440, 701-800/380-440mm, bílá</t>
  </si>
  <si>
    <t>9194958</t>
  </si>
  <si>
    <t>295090</t>
  </si>
  <si>
    <t>HETTICH 9194958 Příborník OrgaTray 440, 801-900/380-440mm, bílá</t>
  </si>
  <si>
    <t>9194959</t>
  </si>
  <si>
    <t>295091</t>
  </si>
  <si>
    <t>HETTICH 9194959 OrgaTray 440, 901-1000/380-440 mm bílý</t>
  </si>
  <si>
    <t>9194960</t>
  </si>
  <si>
    <t>295092</t>
  </si>
  <si>
    <t>HETTICH 9194960 Příborník OrgaTray 440, 1091-1150/380-440mm, bílá</t>
  </si>
  <si>
    <t>9194961</t>
  </si>
  <si>
    <t>295093</t>
  </si>
  <si>
    <t>HETTICH 9194961 Příborník OrgaTray 440, 175-200/441-520mm, bílá</t>
  </si>
  <si>
    <t>9194962</t>
  </si>
  <si>
    <t>295094</t>
  </si>
  <si>
    <t>HETTICH 9194962 Příborník OrgaTray 440, 201-250/441-520mm, bílá</t>
  </si>
  <si>
    <t>9194963</t>
  </si>
  <si>
    <t>295095</t>
  </si>
  <si>
    <t>HETTICH 9194963 Příborník OrgaTray 440, 251-300/441-520mm, bílá</t>
  </si>
  <si>
    <t>9194964</t>
  </si>
  <si>
    <t>295096</t>
  </si>
  <si>
    <t>HETTICH 9194964 Příborník OrgaTray 440, 301-350/441-520mm, bílá</t>
  </si>
  <si>
    <t>9194965</t>
  </si>
  <si>
    <t>295097</t>
  </si>
  <si>
    <t>HETTICH 9194965 Příborník OrgaTray 440, 351-400/441-520mm, bílá</t>
  </si>
  <si>
    <t>9194966</t>
  </si>
  <si>
    <t>295098</t>
  </si>
  <si>
    <t>HETTICH 9194966 Příborník OrgaTray 440, 401-450/441-520mm, bílá</t>
  </si>
  <si>
    <t>9194967</t>
  </si>
  <si>
    <t>295099</t>
  </si>
  <si>
    <t>HETTICH 9194967 Příborník OrgaTray 440, 451-500/441-520mm, bílá</t>
  </si>
  <si>
    <t>9194968</t>
  </si>
  <si>
    <t>295100</t>
  </si>
  <si>
    <t>HETTICH 9194968 Příborník OrgaTray 440, 501-600/441-520mm, bílá</t>
  </si>
  <si>
    <t>9194969</t>
  </si>
  <si>
    <t>295101</t>
  </si>
  <si>
    <t>HETTICH 9194969 Příborník OrgaTray 440, 601-700/441-520mm, bílá</t>
  </si>
  <si>
    <t>9194970</t>
  </si>
  <si>
    <t>295102</t>
  </si>
  <si>
    <t>HETTICH 9194970 Příborník OrgaTray 440, 701-800/441-520mm, bílá</t>
  </si>
  <si>
    <t>9194971</t>
  </si>
  <si>
    <t>295103</t>
  </si>
  <si>
    <t>HETTICH 9194971 Příborník OrgaTray 440, 801-900/441-520mm, bílá</t>
  </si>
  <si>
    <t>9194973</t>
  </si>
  <si>
    <t>295105</t>
  </si>
  <si>
    <t>HETTICH 9194973 Příborník OrgaTray 440, 1091-1150/441-520mm, bílá</t>
  </si>
  <si>
    <t>9194974</t>
  </si>
  <si>
    <t>295106</t>
  </si>
  <si>
    <t>HETTICH 9194974 Příborník OrgaTray 440, 501-600/581-620mm, bílá</t>
  </si>
  <si>
    <t>9194975</t>
  </si>
  <si>
    <t>295107</t>
  </si>
  <si>
    <t>HETTICH 9194975 Příborník OrgaTray 440, 701-800/581-620mm, bílá</t>
  </si>
  <si>
    <t>9194976</t>
  </si>
  <si>
    <t>295108</t>
  </si>
  <si>
    <t>HETTICH 9194976 Příborník OrgaTray 440, 801-900/581-620mm, bílá</t>
  </si>
  <si>
    <t>9194978</t>
  </si>
  <si>
    <t>295110</t>
  </si>
  <si>
    <t>HETTICH 9194978 Příborník OrgaTray 440, 1091-1150/581-620mm, bílá</t>
  </si>
  <si>
    <t>9194979</t>
  </si>
  <si>
    <t>295111</t>
  </si>
  <si>
    <t>HETTICH 9194979 Příborník OrgaTray 440, 175-200/380-440mm, antracit</t>
  </si>
  <si>
    <t>9194980</t>
  </si>
  <si>
    <t>295112</t>
  </si>
  <si>
    <t>HETTICH 9194980 Příborník OrgaTray 440, 201-250/380-440mm, antracit</t>
  </si>
  <si>
    <t>9194981</t>
  </si>
  <si>
    <t>295113</t>
  </si>
  <si>
    <t>HETTICH 9194981 Příborník OrgaTray 440, 251-300/370-440mm, antracit</t>
  </si>
  <si>
    <t>9194982</t>
  </si>
  <si>
    <t>295114</t>
  </si>
  <si>
    <t>HETTICH 9194982 Příborník OrgaTray 440, 301-350/380-440mm, antracit</t>
  </si>
  <si>
    <t>9194983</t>
  </si>
  <si>
    <t>295115</t>
  </si>
  <si>
    <t>HETTICH 9194983 Příborník OrgaTray 440, 351-400/380-440mm, antracit</t>
  </si>
  <si>
    <t>9194984</t>
  </si>
  <si>
    <t>295116</t>
  </si>
  <si>
    <t>HETTICH 9194984 Příborník OrgaTray 440, 401-450/380-440mm, antracit</t>
  </si>
  <si>
    <t>9194985</t>
  </si>
  <si>
    <t>295117</t>
  </si>
  <si>
    <t>HETTICH 9194985 Příborník OrgaTray 440, 451-500/380-440mm, antracit</t>
  </si>
  <si>
    <t>9194986</t>
  </si>
  <si>
    <t>295118</t>
  </si>
  <si>
    <t>HETTICH 9194986 Příborník OrgaTray 440, 501-600/380-440mm, antracit</t>
  </si>
  <si>
    <t>9194987</t>
  </si>
  <si>
    <t>295119</t>
  </si>
  <si>
    <t>HETTICH 9194987 Příborník OrgaTray 440, 601-700/380-440mm, antracit</t>
  </si>
  <si>
    <t>9194988</t>
  </si>
  <si>
    <t>295120</t>
  </si>
  <si>
    <t>HETTICH 9194988 Příborník OrgaTray 440, 701-800/380-440mm, antracit</t>
  </si>
  <si>
    <t>9194989</t>
  </si>
  <si>
    <t>295121</t>
  </si>
  <si>
    <t>HETTICH 9194989 Příborník OrgaTray 440, 801-900/380-440mm, antracit</t>
  </si>
  <si>
    <t>9194991</t>
  </si>
  <si>
    <t>295123</t>
  </si>
  <si>
    <t>HETTICH 9194991 Příborník OrgaTray 440, 1100-1200/380-440mm, antracit</t>
  </si>
  <si>
    <t>9194992</t>
  </si>
  <si>
    <t>295124</t>
  </si>
  <si>
    <t>HETTICH 9194992 Příborník OrgaTray 440, 175-200/441-520mm, antracit</t>
  </si>
  <si>
    <t>9194993</t>
  </si>
  <si>
    <t>295125</t>
  </si>
  <si>
    <t>HETTICH 9194993 Příborník OrgaTray 440, 201-250/441-520mm, antracit</t>
  </si>
  <si>
    <t>9194994</t>
  </si>
  <si>
    <t>295126</t>
  </si>
  <si>
    <t>HETTICH 9194994 Příborník OrgaTray 440, 251-300/441-520mm, antracit</t>
  </si>
  <si>
    <t>9194995</t>
  </si>
  <si>
    <t>295127</t>
  </si>
  <si>
    <t>HETTICH 9194995 Příborník OrgaTray 440, 301-350/441-520mm, antracit</t>
  </si>
  <si>
    <t>9194996</t>
  </si>
  <si>
    <t>295128</t>
  </si>
  <si>
    <t>HETTICH 9194996 Příborník OrgaTray 440, 351-400/441-520mm, antracit</t>
  </si>
  <si>
    <t>9194997</t>
  </si>
  <si>
    <t>295129</t>
  </si>
  <si>
    <t>HETTICH 9194997 Příborník OrgaTray 440, 401-450/441-520mm, antracit</t>
  </si>
  <si>
    <t>9194998</t>
  </si>
  <si>
    <t>295130</t>
  </si>
  <si>
    <t>HETTICH 9194998 Příborník OrgaTray 440, 451-500/441-520mm, antracit</t>
  </si>
  <si>
    <t>9194999</t>
  </si>
  <si>
    <t>295131</t>
  </si>
  <si>
    <t>HETTICH 9194999 Příborník OrgaTray 440, 501-600/441-520mm, antracit</t>
  </si>
  <si>
    <t>9195000</t>
  </si>
  <si>
    <t>295132</t>
  </si>
  <si>
    <t>HETTICH 9195000 Příborník OrgaTray 440, 601-700/441-520mm, antracit</t>
  </si>
  <si>
    <t>9195001</t>
  </si>
  <si>
    <t>295133</t>
  </si>
  <si>
    <t>HETTICH 9195001 Příborník OrgaTray 440, 701-800/441-520mm, antracit</t>
  </si>
  <si>
    <t>9195002</t>
  </si>
  <si>
    <t>295134</t>
  </si>
  <si>
    <t>HETTICH 9195002 Příborník OrgaTray 440, 801-900/441-520mm, antracit</t>
  </si>
  <si>
    <t>9195003</t>
  </si>
  <si>
    <t>295135</t>
  </si>
  <si>
    <t>HETTICH 9195003 Příborník OrgaTray 440, 901-1100/441-520mm, antracit</t>
  </si>
  <si>
    <t>9195004</t>
  </si>
  <si>
    <t>295136</t>
  </si>
  <si>
    <t>HETTICH 9195004 Příborník OrgaTray 440, 1091-1150/441-520mm, antracit</t>
  </si>
  <si>
    <t>9195005</t>
  </si>
  <si>
    <t>295137</t>
  </si>
  <si>
    <t>HETTICH 9195005 Příborník OrgaTray 440, 501-600/581-620mm, antracit</t>
  </si>
  <si>
    <t>9195006</t>
  </si>
  <si>
    <t>295138</t>
  </si>
  <si>
    <t>HETTICH 9195006 Příborník OrgaTray 440, 701-800/581-620mm, antracit</t>
  </si>
  <si>
    <t>9195007</t>
  </si>
  <si>
    <t>295139</t>
  </si>
  <si>
    <t>HETTICH 9195007 Příborník OrgaTray 440, 801-900/581-620mm, antracit</t>
  </si>
  <si>
    <t>9195014</t>
  </si>
  <si>
    <t>295146</t>
  </si>
  <si>
    <t>HETTICH 9195014 Atira druhý reling 350 mm stříbrný L</t>
  </si>
  <si>
    <t>9195015</t>
  </si>
  <si>
    <t>295147</t>
  </si>
  <si>
    <t>HETTICH 9195015 Atira druhý reling 350 mm stříbrný P</t>
  </si>
  <si>
    <t>9195016</t>
  </si>
  <si>
    <t>295148</t>
  </si>
  <si>
    <t>HETTICH 9195016 Atira druhý reling 420 mm stříbrný L</t>
  </si>
  <si>
    <t>9195017</t>
  </si>
  <si>
    <t>295149</t>
  </si>
  <si>
    <t>HETTICH 9195017 Atira druhý reling 420 mm stříbrný P</t>
  </si>
  <si>
    <t>9195018</t>
  </si>
  <si>
    <t>295150</t>
  </si>
  <si>
    <t>HETTICH 9195018 Atira středový reling 470 L stříbrný</t>
  </si>
  <si>
    <t>9195019</t>
  </si>
  <si>
    <t>295151</t>
  </si>
  <si>
    <t>HETTICH 9195019 Atira středový reling 470 P stříbrný</t>
  </si>
  <si>
    <t>9195020</t>
  </si>
  <si>
    <t>295152</t>
  </si>
  <si>
    <t>HETTICH 9195020 Atira středový reling 520 L stříbrný</t>
  </si>
  <si>
    <t>9195021</t>
  </si>
  <si>
    <t>295153</t>
  </si>
  <si>
    <t>HETTICH 9195021 Atira středový reling 520 P stříbrný</t>
  </si>
  <si>
    <t>9195032</t>
  </si>
  <si>
    <t>295164</t>
  </si>
  <si>
    <t>HETTICH 9195032 Atira druhý reling 470 mm bílý L</t>
  </si>
  <si>
    <t>9195033</t>
  </si>
  <si>
    <t>295165</t>
  </si>
  <si>
    <t>HETTICH 9195033 Atira druhý reling 470 mm bílý P</t>
  </si>
  <si>
    <t>9195034</t>
  </si>
  <si>
    <t>295166</t>
  </si>
  <si>
    <t>HETTICH 9195034 Atira druhý reling 520 mm bílý L</t>
  </si>
  <si>
    <t>9195035</t>
  </si>
  <si>
    <t>295167</t>
  </si>
  <si>
    <t>HETTICH 9195035 Atira druhý reling 520 mm bílý P</t>
  </si>
  <si>
    <t>9195044</t>
  </si>
  <si>
    <t>295176</t>
  </si>
  <si>
    <t>HETTICH 9195044 Atira druhý reling 420 mm antracit L</t>
  </si>
  <si>
    <t>9195045</t>
  </si>
  <si>
    <t>295177</t>
  </si>
  <si>
    <t>HETTICH 9195045 Atira druhý reling 420 mm antracit P</t>
  </si>
  <si>
    <t>9195046</t>
  </si>
  <si>
    <t>295178</t>
  </si>
  <si>
    <t>HETTICH 9195046 Atira druhý reling 470 mm antracit L</t>
  </si>
  <si>
    <t>9195047</t>
  </si>
  <si>
    <t>295179</t>
  </si>
  <si>
    <t>HETTICH 9195047 Atira druhý reling 470 mm antracit P</t>
  </si>
  <si>
    <t>9195048</t>
  </si>
  <si>
    <t>295180</t>
  </si>
  <si>
    <t>HETTICH 9195048 Atira druhý reling 520 mm antracit L</t>
  </si>
  <si>
    <t>9195049</t>
  </si>
  <si>
    <t>295181</t>
  </si>
  <si>
    <t>HETTICH 9195049 Atira druhý reling 520 mm antracit P</t>
  </si>
  <si>
    <t>9195081</t>
  </si>
  <si>
    <t>295184</t>
  </si>
  <si>
    <t>HETTICH 9195081 Atira flexi sada 260/70 stříbrná</t>
  </si>
  <si>
    <t>9195082</t>
  </si>
  <si>
    <t>288850</t>
  </si>
  <si>
    <t>HETTICH 9195082 Atira flexi sada 300/70 stříbrná</t>
  </si>
  <si>
    <t>9195087</t>
  </si>
  <si>
    <t>295185</t>
  </si>
  <si>
    <t>HETTICH 9195087 Atira flexi sada 620/70 stříbrná</t>
  </si>
  <si>
    <t>9195088</t>
  </si>
  <si>
    <t>288845</t>
  </si>
  <si>
    <t>HETTICH 9195088 Atira sada příchytů zad 54 stříbrná</t>
  </si>
  <si>
    <t>9195089</t>
  </si>
  <si>
    <t>295186</t>
  </si>
  <si>
    <t>HETTICH 9195089 Atira příchyty zad 70 mm stříbrné L+P</t>
  </si>
  <si>
    <t>9196108</t>
  </si>
  <si>
    <t>295188</t>
  </si>
  <si>
    <t>HETTICH 9196108 Atira příchyty zad 176 mm stříbrné L+P</t>
  </si>
  <si>
    <t>9196110</t>
  </si>
  <si>
    <t>295190</t>
  </si>
  <si>
    <t>HETTICH 9196110 Atira relingy podélné 300 mm stříbrný L+P</t>
  </si>
  <si>
    <t>9196111</t>
  </si>
  <si>
    <t>295191</t>
  </si>
  <si>
    <t>HETTICH 9196111 Atira reling 350 mm stříbrný L+P</t>
  </si>
  <si>
    <t>9196112</t>
  </si>
  <si>
    <t>295192</t>
  </si>
  <si>
    <t>HETTICH 9196112 Atira relingy podélné 420 mm stříbrný L+P</t>
  </si>
  <si>
    <t>9196125</t>
  </si>
  <si>
    <t>460650</t>
  </si>
  <si>
    <t>HETTICH 9196125 Atira relingy vnútorné zásuvky 470 strieborné DALNO</t>
  </si>
  <si>
    <t>9196129</t>
  </si>
  <si>
    <t>295209</t>
  </si>
  <si>
    <t>HETTICH 9196129 Atira flexi sada 260/70 bílá</t>
  </si>
  <si>
    <t>9196133</t>
  </si>
  <si>
    <t>295213</t>
  </si>
  <si>
    <t>HETTICH 9196133 Atira flexi sada 470/70 bílá</t>
  </si>
  <si>
    <t>9196134</t>
  </si>
  <si>
    <t>295214</t>
  </si>
  <si>
    <t>HETTICH 9196134 Atira flexi sada 520/70 bílá</t>
  </si>
  <si>
    <t>9196139</t>
  </si>
  <si>
    <t>295219</t>
  </si>
  <si>
    <t>HETTICH 9196139 Atira příchyty zad 176 mm bílé L+P</t>
  </si>
  <si>
    <t>9196140</t>
  </si>
  <si>
    <t>295220</t>
  </si>
  <si>
    <t>HETTICH 9196140 Atira reling 260 mm bílý L+P</t>
  </si>
  <si>
    <t>9196141</t>
  </si>
  <si>
    <t>295221</t>
  </si>
  <si>
    <t>HETTICH 9196141 Atira podélný reling 300 bílý L+P</t>
  </si>
  <si>
    <t>9196143</t>
  </si>
  <si>
    <t>295223</t>
  </si>
  <si>
    <t>HETTICH 9196143 Atira reling 420 mm bílý L+P</t>
  </si>
  <si>
    <t>9196145</t>
  </si>
  <si>
    <t>295225</t>
  </si>
  <si>
    <t>HETTICH 9196145 Atira reling 520 mm bílý L+P</t>
  </si>
  <si>
    <t>9196146</t>
  </si>
  <si>
    <t>295226</t>
  </si>
  <si>
    <t>HETTICH 9196146 Atira podélný reling 620 bílý L+P</t>
  </si>
  <si>
    <t>9196156</t>
  </si>
  <si>
    <t>460648</t>
  </si>
  <si>
    <t>HETTICH 9196156 Atira relingy vnútorné zásuvky 470 biele DALNO</t>
  </si>
  <si>
    <t>9196160</t>
  </si>
  <si>
    <t>295240</t>
  </si>
  <si>
    <t>HETTICH 9196160 Atira flexi sada 260/70 antracit</t>
  </si>
  <si>
    <t>9196161</t>
  </si>
  <si>
    <t>295241</t>
  </si>
  <si>
    <t>HETTICH 9196161 Atira flexi sada 300/70 antracit</t>
  </si>
  <si>
    <t>9196163</t>
  </si>
  <si>
    <t>295243</t>
  </si>
  <si>
    <t>HETTICH 9196163 Atira flexi sada 420/70 antracit</t>
  </si>
  <si>
    <t>9196164</t>
  </si>
  <si>
    <t>295244</t>
  </si>
  <si>
    <t>HETTICH 9196164 Atira flexi sada 470/70 antracit</t>
  </si>
  <si>
    <t>9196167</t>
  </si>
  <si>
    <t>295247</t>
  </si>
  <si>
    <t>HETTICH 9196167 Atira příchytky zad 54 mm antracit L+P</t>
  </si>
  <si>
    <t>9196169</t>
  </si>
  <si>
    <t>295249</t>
  </si>
  <si>
    <t>HETTICH 9196169 Atira příchyty zad 144 antracit L+P</t>
  </si>
  <si>
    <t>9196170</t>
  </si>
  <si>
    <t>295250</t>
  </si>
  <si>
    <t>HETTICH 9196170 Atira příchyty zad 176 mm antracit L+P</t>
  </si>
  <si>
    <t>9196171</t>
  </si>
  <si>
    <t>295251</t>
  </si>
  <si>
    <t>HETTICH 9196171 Atira relingy podélné 260 mm antracit L+P</t>
  </si>
  <si>
    <t>9196175</t>
  </si>
  <si>
    <t>295255</t>
  </si>
  <si>
    <t>HETTICH 9196175 Atira reling podélný 470 mm antracit L+P</t>
  </si>
  <si>
    <t>9196177</t>
  </si>
  <si>
    <t>295257</t>
  </si>
  <si>
    <t>HETTICH 9196177 Atira podélný reling 620 antracit</t>
  </si>
  <si>
    <t>9196179</t>
  </si>
  <si>
    <t>295259</t>
  </si>
  <si>
    <t>HETTICH 9196179 Atira středový reling, 300mm, pár, antracit</t>
  </si>
  <si>
    <t>9196181</t>
  </si>
  <si>
    <t>295261</t>
  </si>
  <si>
    <t>HETTICH 9196181 Atira středový reling, 420mm, pár, antracit</t>
  </si>
  <si>
    <t>9196187</t>
  </si>
  <si>
    <t>460649</t>
  </si>
  <si>
    <t>HETTICH 9196187 Atira reling pre vnútorné zásuvky 47 antracit DALNO</t>
  </si>
  <si>
    <t>9196188</t>
  </si>
  <si>
    <t>295268</t>
  </si>
  <si>
    <t>HETTICH 9196188 Atira reling pro vnitřní zásuvky 520 antracit</t>
  </si>
  <si>
    <t>9196317</t>
  </si>
  <si>
    <t>295270</t>
  </si>
  <si>
    <t>HETTICH 9196317 Atira DesignSide adaptér 144 mm stříbrný</t>
  </si>
  <si>
    <t>9196318</t>
  </si>
  <si>
    <t>295271</t>
  </si>
  <si>
    <t>HETTICH 9196318 Atira DesignSide adaptér 144 mm bílý</t>
  </si>
  <si>
    <t>378481</t>
  </si>
  <si>
    <t>HETTICH 9196318 ATR-DesignSide-adaptér /v144/biela DALNO</t>
  </si>
  <si>
    <t>9196319</t>
  </si>
  <si>
    <t>295272</t>
  </si>
  <si>
    <t>HETTICH 9196319 Atira DesignSide adapter 144 mm antracit</t>
  </si>
  <si>
    <t>378483</t>
  </si>
  <si>
    <t>HETTICH 9196319 ATR-DesignSide-adaptér /v144/antr. DALNO</t>
  </si>
  <si>
    <t>9196320</t>
  </si>
  <si>
    <t>295273</t>
  </si>
  <si>
    <t>HETTICH 9196320 Atira DesignSide adaptér 176 mm stříbrný</t>
  </si>
  <si>
    <t>378480</t>
  </si>
  <si>
    <t>HETTICH 9196320 ATR-DesignSide-adaptér /v176/sivá DALNO</t>
  </si>
  <si>
    <t>9196321</t>
  </si>
  <si>
    <t>295274</t>
  </si>
  <si>
    <t>HETTICH 9196321 Atira DesignSide adapter 176 mm bílý</t>
  </si>
  <si>
    <t>378482</t>
  </si>
  <si>
    <t>HETTICH 9196321 ATR-DesignSide-adaptér /v176/biela DALNO</t>
  </si>
  <si>
    <t>9196322</t>
  </si>
  <si>
    <t>295275</t>
  </si>
  <si>
    <t>HETTICH 9196322 Atira DesignSide adaptér 176 mm antracit</t>
  </si>
  <si>
    <t>378484</t>
  </si>
  <si>
    <t>HETTICH 9196322 ATR-DesignSide-adaptér /v176/antr. DALNO</t>
  </si>
  <si>
    <t>9196348</t>
  </si>
  <si>
    <t>460642</t>
  </si>
  <si>
    <t>HETTICH 9196348 Atira príchyt čela vnútor. zásuvky 70, biely DALNO</t>
  </si>
  <si>
    <t>295276</t>
  </si>
  <si>
    <t>HETTICH 9196348 Atira příchyty čela vnitřní zásuvky 70, bílá</t>
  </si>
  <si>
    <t>9196349</t>
  </si>
  <si>
    <t>460644</t>
  </si>
  <si>
    <t>HETTICH 9196349 Atira príchyt čela vnútornej zásuvky 70 antracit DALNO</t>
  </si>
  <si>
    <t>295277</t>
  </si>
  <si>
    <t>HETTICH 9196349 Atira příchyty čela vnitřní zásuvky 70, antracit</t>
  </si>
  <si>
    <t>9197222</t>
  </si>
  <si>
    <t>392127</t>
  </si>
  <si>
    <t>HETTICH 9197222 LegaMove, boční stabilizátor</t>
  </si>
  <si>
    <t>9200382</t>
  </si>
  <si>
    <t>299987</t>
  </si>
  <si>
    <t>HETTICH 9200382 Quadro Big Duplex 760 mm 130 kg</t>
  </si>
  <si>
    <t>9200383</t>
  </si>
  <si>
    <t>299988</t>
  </si>
  <si>
    <t>HETTICH 9200383 Quadro Big Duplex 860 mm 130 kg</t>
  </si>
  <si>
    <t>9200386</t>
  </si>
  <si>
    <t>161744</t>
  </si>
  <si>
    <t>HETTICH 9200386 TopLine M kartáček 2,5 m, 8mm, šedá</t>
  </si>
  <si>
    <t>9200438</t>
  </si>
  <si>
    <t>299989</t>
  </si>
  <si>
    <t>HETTICH 9200438 celovýsuv Quadro Compact 760 mm</t>
  </si>
  <si>
    <t>9200439</t>
  </si>
  <si>
    <t>299990</t>
  </si>
  <si>
    <t>HETTICH 9200439 Adaptéry pro Big Org@Tower</t>
  </si>
  <si>
    <t>9200450</t>
  </si>
  <si>
    <t>299991</t>
  </si>
  <si>
    <t>HETTICH 9200450 polohovací sada pro Big Org&amp;Tower</t>
  </si>
  <si>
    <t>9200451</t>
  </si>
  <si>
    <t>299992</t>
  </si>
  <si>
    <t>HETTICH 9200451 doraz + aktivátor pro Big Org@Tower</t>
  </si>
  <si>
    <t>9201921</t>
  </si>
  <si>
    <t>299835</t>
  </si>
  <si>
    <t>HETTICH 9201921 SlideLine M posuvné dveře sada pro 1 křídlo 10kg, s tlumením</t>
  </si>
  <si>
    <t>9202777</t>
  </si>
  <si>
    <t>295278</t>
  </si>
  <si>
    <t>HETTICH 9202777 Příborník OrgaTray 440, 601-700/581-620mm, bílá</t>
  </si>
  <si>
    <t>9202794</t>
  </si>
  <si>
    <t>301086</t>
  </si>
  <si>
    <t>HETTICH 9202794 OrgaTray 440, 201-250/441-520 mm šampaň</t>
  </si>
  <si>
    <t>9202795</t>
  </si>
  <si>
    <t>301087</t>
  </si>
  <si>
    <t>HETTICH 9202795 OrgaTray 440, 400/520 mm šampaň</t>
  </si>
  <si>
    <t>9202796</t>
  </si>
  <si>
    <t>301088</t>
  </si>
  <si>
    <t>HETTICH 9202796 OrgaTray 440, 450/520 mm šampaň</t>
  </si>
  <si>
    <t>9202798</t>
  </si>
  <si>
    <t>301090</t>
  </si>
  <si>
    <t>HETTICH 9202798 OrgaTray 440, 550/520 mm šampaň</t>
  </si>
  <si>
    <t>9202799</t>
  </si>
  <si>
    <t>301091</t>
  </si>
  <si>
    <t>HETTICH 9202799 OrgaTray 440, 600/520 mm šampaň</t>
  </si>
  <si>
    <t>9202801</t>
  </si>
  <si>
    <t>301093</t>
  </si>
  <si>
    <t>HETTICH 9202801 OrgaTray 440, 601-700/441-520 mm šampaň</t>
  </si>
  <si>
    <t>9202804</t>
  </si>
  <si>
    <t>301095</t>
  </si>
  <si>
    <t>HETTICH 9202804 OrgaTray 440, 801-900/441-520 mm šampaň</t>
  </si>
  <si>
    <t>9202813</t>
  </si>
  <si>
    <t>295279</t>
  </si>
  <si>
    <t>HETTICH 9202813 Příborník OrgaTray 440, 601-700/581-620mm, antracit</t>
  </si>
  <si>
    <t>9202814</t>
  </si>
  <si>
    <t>295280</t>
  </si>
  <si>
    <t>HETTICH 9202814 Příborník OrgaTray 480, 400/470mm, stříbrná</t>
  </si>
  <si>
    <t>9202815</t>
  </si>
  <si>
    <t>295281</t>
  </si>
  <si>
    <t>HETTICH 9202815 Příborník OrgaTray 480, 500/470mm, stříbrná</t>
  </si>
  <si>
    <t>9202816</t>
  </si>
  <si>
    <t>295282</t>
  </si>
  <si>
    <t>HETTICH 9202816 Příborník OrgaTray 480, 550/470mm, stříbrná</t>
  </si>
  <si>
    <t>9202817</t>
  </si>
  <si>
    <t>295283</t>
  </si>
  <si>
    <t>HETTICH 9202817 Příborník OrgaTray 480, 600/470mm, stříbrná</t>
  </si>
  <si>
    <t>9202818</t>
  </si>
  <si>
    <t>295284</t>
  </si>
  <si>
    <t>HETTICH 9202818 Příborník OrgaTray 480, 900/470mm, stříbrná</t>
  </si>
  <si>
    <t>9202819</t>
  </si>
  <si>
    <t>295285</t>
  </si>
  <si>
    <t>HETTICH 9202819 Příborník OrgaTray 480, 400/470mm, bílá</t>
  </si>
  <si>
    <t>9202820</t>
  </si>
  <si>
    <t>295286</t>
  </si>
  <si>
    <t>HETTICH 9202820 Příborník OrgaTray 480, 500/470mm, bílá</t>
  </si>
  <si>
    <t>9202821</t>
  </si>
  <si>
    <t>295287</t>
  </si>
  <si>
    <t>HETTICH 9202821 Příborník OrgaTray 480, 550/470mm, bílá</t>
  </si>
  <si>
    <t>9202822</t>
  </si>
  <si>
    <t>295288</t>
  </si>
  <si>
    <t>HETTICH 9202822 Příborník OrgaTray 480, 600/470mm, bílá</t>
  </si>
  <si>
    <t>9202823</t>
  </si>
  <si>
    <t>295289</t>
  </si>
  <si>
    <t>HETTICH 9202823 Příborník OrgaTray 480, 900/470mm, bílá</t>
  </si>
  <si>
    <t>9202824</t>
  </si>
  <si>
    <t>295290</t>
  </si>
  <si>
    <t>HETTICH 9202824 Příborník OrgaTray 480, 400/470mm, antracit</t>
  </si>
  <si>
    <t>9202835</t>
  </si>
  <si>
    <t>295291</t>
  </si>
  <si>
    <t>HETTICH 9202835 Příborník OrgaTray 480, 500/470mm, antracit</t>
  </si>
  <si>
    <t>9202836</t>
  </si>
  <si>
    <t>295292</t>
  </si>
  <si>
    <t>HETTICH 9202836 Příborník OrgaTray 480, 550/470mm, antracit</t>
  </si>
  <si>
    <t>9202837</t>
  </si>
  <si>
    <t>295293</t>
  </si>
  <si>
    <t>HETTICH 9202837 Příborník OrgaTray 480, 600/470mm, antracit</t>
  </si>
  <si>
    <t>9202838</t>
  </si>
  <si>
    <t>295294</t>
  </si>
  <si>
    <t>HETTICH 9202838 Příborník OrgaTray 480, 900/470mm, antracit</t>
  </si>
  <si>
    <t>9203010</t>
  </si>
  <si>
    <t>299993</t>
  </si>
  <si>
    <t>HETTICH 9203010 zásuvka SmarTray pod stůl 40 mm bílá</t>
  </si>
  <si>
    <t>9203012</t>
  </si>
  <si>
    <t>299994</t>
  </si>
  <si>
    <t>HETTICH 9203012 zásuvka SmarTray pod stůl 60 mm bílá</t>
  </si>
  <si>
    <t>9203254</t>
  </si>
  <si>
    <t>300229</t>
  </si>
  <si>
    <t>HETTICH 9203254 OrgaStripe profil 1100 mm černý</t>
  </si>
  <si>
    <t>9203465</t>
  </si>
  <si>
    <t>300230</t>
  </si>
  <si>
    <t>HETTICH 9203465 OrgaStripe profil 1100 mm bílý</t>
  </si>
  <si>
    <t>9203466</t>
  </si>
  <si>
    <t>300231</t>
  </si>
  <si>
    <t>HETTICH 9203466 OrgaStripe profil 1100 mm šedý</t>
  </si>
  <si>
    <t>9203467</t>
  </si>
  <si>
    <t>300232</t>
  </si>
  <si>
    <t>HETTICH 9203467 příchyt OrgaClip černý</t>
  </si>
  <si>
    <t>9203468</t>
  </si>
  <si>
    <t>300233</t>
  </si>
  <si>
    <t>HETTICH 9203468 příchyt OrgaClip bílý</t>
  </si>
  <si>
    <t>9203469</t>
  </si>
  <si>
    <t>300234</t>
  </si>
  <si>
    <t>HETTICH 9203469 příchyt OrgaClip šedý</t>
  </si>
  <si>
    <t>9203535</t>
  </si>
  <si>
    <t>299995</t>
  </si>
  <si>
    <t>HETTICH 9203535 celovýsuv Quadro Compact 560 mm 75 kg</t>
  </si>
  <si>
    <t>9203536</t>
  </si>
  <si>
    <t>299996</t>
  </si>
  <si>
    <t>HETTICH 9203536 Quadro Big Duplex 560 mm 130 kg</t>
  </si>
  <si>
    <t>9203537</t>
  </si>
  <si>
    <t>299997</t>
  </si>
  <si>
    <t>HETTICH 9203537 Big Org@Tower doplňkové tlumení SiSy</t>
  </si>
  <si>
    <t>9203958</t>
  </si>
  <si>
    <t>318307</t>
  </si>
  <si>
    <t>HETTICH 9203958 Knobka ISSA d35 mm chrom lesklý</t>
  </si>
  <si>
    <t>9203988</t>
  </si>
  <si>
    <t>300043</t>
  </si>
  <si>
    <t>HETTICH 9203988 LegaDrive propojovací kabel 500 mm</t>
  </si>
  <si>
    <t>9204022</t>
  </si>
  <si>
    <t>352463</t>
  </si>
  <si>
    <t>HETTICH 9204022 Úchytka ROVIGO L111 chrom lesklý</t>
  </si>
  <si>
    <t>9204023</t>
  </si>
  <si>
    <t>351464</t>
  </si>
  <si>
    <t>HETTICH 9204023 Úchytka ROVIGO 143/128 mm chrom lesklý</t>
  </si>
  <si>
    <t>9204024</t>
  </si>
  <si>
    <t>351465</t>
  </si>
  <si>
    <t>HETTICH 9204024 Úchytka ROVIGO 207/192 mm chrom lesklý</t>
  </si>
  <si>
    <t>9204026</t>
  </si>
  <si>
    <t>335626</t>
  </si>
  <si>
    <t>HETTICH 9204026 Úchytka ROVIGO 143/128 mm imitace nerezi</t>
  </si>
  <si>
    <t>9204027</t>
  </si>
  <si>
    <t>335625</t>
  </si>
  <si>
    <t>HETTICH 9204027 Úchytka ROVIGO 207/192 mm imitace nerezi</t>
  </si>
  <si>
    <t>9204029</t>
  </si>
  <si>
    <t>306478</t>
  </si>
  <si>
    <t>HETTICH 9204029 Úchytka ROVIGO 128 ALU. ELOX</t>
  </si>
  <si>
    <t>9204030</t>
  </si>
  <si>
    <t>342050</t>
  </si>
  <si>
    <t>HETTICH 9204030 Úchytka ROVIGO 160 ALU. ELOX</t>
  </si>
  <si>
    <t>9204031</t>
  </si>
  <si>
    <t>416751</t>
  </si>
  <si>
    <t>HETTICH 9204031 Úchytka ROVIGO 192 ALU. ELOX</t>
  </si>
  <si>
    <t>9204032</t>
  </si>
  <si>
    <t>306479</t>
  </si>
  <si>
    <t>HETTICH 9204032 Úchytka ROVIGO 224 ALU. ELOX</t>
  </si>
  <si>
    <t>9204033</t>
  </si>
  <si>
    <t>361290</t>
  </si>
  <si>
    <t>HETTICH 9204033 Úchytka ROVIGO 2000/224 mm ALU. ELOX</t>
  </si>
  <si>
    <t>9204136</t>
  </si>
  <si>
    <t>342567</t>
  </si>
  <si>
    <t>HETTICH 9204136 Knobka ALMUS d12 měď lesklá</t>
  </si>
  <si>
    <t>9204157</t>
  </si>
  <si>
    <t>318237</t>
  </si>
  <si>
    <t>HETTICH 9204157 Úchytka STABIA 76/64 mm eloxovaný hliník</t>
  </si>
  <si>
    <t>9204164</t>
  </si>
  <si>
    <t>360423</t>
  </si>
  <si>
    <t>HETTICH 9204164 Úchytka ANZIO 106/96 mm nerez broušený</t>
  </si>
  <si>
    <t>9204175</t>
  </si>
  <si>
    <t>343976</t>
  </si>
  <si>
    <t>HETTICH 9204175 Úchytka ANZIO 202/192 mm nerez broušený</t>
  </si>
  <si>
    <t>9204177</t>
  </si>
  <si>
    <t>318716</t>
  </si>
  <si>
    <t>HETTICH 9204177 Úchytka Anzio 320 nerez broušený</t>
  </si>
  <si>
    <t>9204195</t>
  </si>
  <si>
    <t>362430</t>
  </si>
  <si>
    <t>HETTICH 9204195 Úchytka ROVIGO 79/64 mm chrom lesklý</t>
  </si>
  <si>
    <t>9204197</t>
  </si>
  <si>
    <t>313957</t>
  </si>
  <si>
    <t>HETTICH 9204197 Úchytka ROVIGO 64 ALU. ELOX</t>
  </si>
  <si>
    <t>9204200</t>
  </si>
  <si>
    <t>295295</t>
  </si>
  <si>
    <t>HETTICH 9204200 Příborník OrgaTray 590, dělící prvek 128mm, antracit</t>
  </si>
  <si>
    <t>9204201</t>
  </si>
  <si>
    <t>295296</t>
  </si>
  <si>
    <t>HETTICH 9204201 Příborník OrgaTray 590, dělící prvek 128mm, bílá</t>
  </si>
  <si>
    <t>9204203</t>
  </si>
  <si>
    <t>295297</t>
  </si>
  <si>
    <t>HETTICH 9204203 Příborník OrgaTray 590, dělící prvek 68mm, antracit</t>
  </si>
  <si>
    <t>9204229</t>
  </si>
  <si>
    <t>295298</t>
  </si>
  <si>
    <t>HETTICH 9204229 Příborník OrgaTray 590, dělící prvek 68mm, stříbrná</t>
  </si>
  <si>
    <t>9204230</t>
  </si>
  <si>
    <t>295299</t>
  </si>
  <si>
    <t>HETTICH 9204230 Příborník OrgaTray 590, dělící prvek 68mm, bílá</t>
  </si>
  <si>
    <t>9204257</t>
  </si>
  <si>
    <t>288899</t>
  </si>
  <si>
    <t>HETTICH 9204257 Atira držák čela vnitřní zásuvky 144</t>
  </si>
  <si>
    <t>460647</t>
  </si>
  <si>
    <t>HETTICH 9204257 Atira držiak čela vnútornej zásuvky 144 DALNO</t>
  </si>
  <si>
    <t>9204282</t>
  </si>
  <si>
    <t>301210</t>
  </si>
  <si>
    <t>HETTICH 9204282 kovový kryt odpadů pod dřez/umyvadlo stříbrná</t>
  </si>
  <si>
    <t>9204283</t>
  </si>
  <si>
    <t>301211</t>
  </si>
  <si>
    <t>HETTICH 9204283 kovový kryt odpadů pod dřez/umyvadlo bílá</t>
  </si>
  <si>
    <t>9204284</t>
  </si>
  <si>
    <t>301212</t>
  </si>
  <si>
    <t>HETTICH 9204284 kovový kryt odpadů pod dřez/umyvadlo antracit</t>
  </si>
  <si>
    <t>9206111</t>
  </si>
  <si>
    <t>299784</t>
  </si>
  <si>
    <t>HETTICH 9206111 BlueMax Mini Modular Plus bez příslušenství</t>
  </si>
  <si>
    <t>9206112</t>
  </si>
  <si>
    <t>299785</t>
  </si>
  <si>
    <t>HETTICH 9206112 BlueMax Mini Modular Plus s příslušenstvím</t>
  </si>
  <si>
    <t>9206113</t>
  </si>
  <si>
    <t>299786</t>
  </si>
  <si>
    <t>HETTICH 9206113 BlueMax Mini Modular Plus bez příslušenství</t>
  </si>
  <si>
    <t>9206114</t>
  </si>
  <si>
    <t>299787</t>
  </si>
  <si>
    <t>HETTICH 9206114 BlueMax Mini Modular Plus s příslušenstvím</t>
  </si>
  <si>
    <t>9206127</t>
  </si>
  <si>
    <t>342573</t>
  </si>
  <si>
    <t>HETTICH 9206127 Úchytka BRACARA 150/128 mm starozlatá</t>
  </si>
  <si>
    <t>9206128</t>
  </si>
  <si>
    <t>383368</t>
  </si>
  <si>
    <t>HETTICH 9206128 Úchytka Bracara L114 staročerná</t>
  </si>
  <si>
    <t>9206129</t>
  </si>
  <si>
    <t>494450</t>
  </si>
  <si>
    <t>HETTICH 9206129 Úchytka BRACARA 150/128 mm černá vintage</t>
  </si>
  <si>
    <t>9206131</t>
  </si>
  <si>
    <t>494449</t>
  </si>
  <si>
    <t>HETTICH 9206131 Knobka BARCINO d30 mm černa vintage</t>
  </si>
  <si>
    <t>9206132</t>
  </si>
  <si>
    <t>308739</t>
  </si>
  <si>
    <t>HETTICH 9206132 Knobka GALLENO d35 mm imitace nerezi</t>
  </si>
  <si>
    <t>9206133</t>
  </si>
  <si>
    <t>342568</t>
  </si>
  <si>
    <t>HETTICH 9206133 Knobka GALLENO d35 chrom lesklý</t>
  </si>
  <si>
    <t>9206137</t>
  </si>
  <si>
    <t>314767</t>
  </si>
  <si>
    <t>HETTICH 9206137 Knobka TARRACO 49/16 mm starozlatá</t>
  </si>
  <si>
    <t>9206138</t>
  </si>
  <si>
    <t>310015</t>
  </si>
  <si>
    <t>HETTICH 9206138 Knobka TARRACO 49/16 černá matná</t>
  </si>
  <si>
    <t>9206145</t>
  </si>
  <si>
    <t>299788</t>
  </si>
  <si>
    <t>HETTICH 9206145 laser pro BlueMax Mini modular</t>
  </si>
  <si>
    <t>9206146</t>
  </si>
  <si>
    <t>299789</t>
  </si>
  <si>
    <t>HETTICH 9206146 následné dorazy pro BlueMax Mini modular</t>
  </si>
  <si>
    <t>9206151</t>
  </si>
  <si>
    <t>300096</t>
  </si>
  <si>
    <t>HETTICH 9206151 zámek číselný západkový PR</t>
  </si>
  <si>
    <t>9206153</t>
  </si>
  <si>
    <t>300098</t>
  </si>
  <si>
    <t>HETTICH 9206153 zámek 3-cestný s 4-hranným jádrem</t>
  </si>
  <si>
    <t>9206154</t>
  </si>
  <si>
    <t>300099</t>
  </si>
  <si>
    <t>HETTICH 9206154 zámek s 4-hranným jádrem 3-cestný</t>
  </si>
  <si>
    <t>9206212</t>
  </si>
  <si>
    <t>300100</t>
  </si>
  <si>
    <t>HETTICH 9206212 zámek číselný závorový chrom P</t>
  </si>
  <si>
    <t>9206213</t>
  </si>
  <si>
    <t>300101</t>
  </si>
  <si>
    <t>HETTICH 9206213 zámek číselný dveřní západkový P</t>
  </si>
  <si>
    <t>9206237</t>
  </si>
  <si>
    <t>394294</t>
  </si>
  <si>
    <t>HETTICH 9206237 Úchytka Luro 138/128 mm, starozlatá</t>
  </si>
  <si>
    <t>9206239</t>
  </si>
  <si>
    <t>328859</t>
  </si>
  <si>
    <t>HETTICH 9206239 Úchytka LURO L138/128 mm černá matná</t>
  </si>
  <si>
    <t>9206256</t>
  </si>
  <si>
    <t>295318</t>
  </si>
  <si>
    <t>HETTICH 9206256 Atira adaptér pro variabilní reling vysokých zad stříbrná</t>
  </si>
  <si>
    <t>9206257</t>
  </si>
  <si>
    <t>295319</t>
  </si>
  <si>
    <t>HETTICH 9206257 Atira adaptér pro variabilní reling vysokých zad bílá</t>
  </si>
  <si>
    <t>9206258</t>
  </si>
  <si>
    <t>295320</t>
  </si>
  <si>
    <t>HETTICH 9206258 Atira adaptér pro variabilní reling vysokých zad antracit</t>
  </si>
  <si>
    <t>9206642</t>
  </si>
  <si>
    <t>310836</t>
  </si>
  <si>
    <t>HETTICH 9206642 Úchytka MATILO 138/128 mm imitace nerezi</t>
  </si>
  <si>
    <t>9206675</t>
  </si>
  <si>
    <t>299800</t>
  </si>
  <si>
    <t>HETTICH 9206675 Lift Mini brzda sklopných dvířek 40N typ A</t>
  </si>
  <si>
    <t>9206677</t>
  </si>
  <si>
    <t>299801</t>
  </si>
  <si>
    <t>HETTICH 9206677 Lift Mini brzda sklopných dvířek. typ B</t>
  </si>
  <si>
    <t>9206688</t>
  </si>
  <si>
    <t>299802</t>
  </si>
  <si>
    <t>HETTICH 9206688 Lift Mini brzda sklopných dvířek 100N typ C</t>
  </si>
  <si>
    <t>9206689</t>
  </si>
  <si>
    <t>299803</t>
  </si>
  <si>
    <t>HETTICH 9206689 Lift Mini brzda sklopných dvířek 140N typ D</t>
  </si>
  <si>
    <t>9206690</t>
  </si>
  <si>
    <t>299804</t>
  </si>
  <si>
    <t>HETTICH 9206690 Lift Mini brzda sklopných dvířek 160N typ E</t>
  </si>
  <si>
    <t>9206691</t>
  </si>
  <si>
    <t>299805</t>
  </si>
  <si>
    <t>HETTICH 9206691 Lift Mini brzda sklopných dvířek 200N typ F</t>
  </si>
  <si>
    <t>9206692</t>
  </si>
  <si>
    <t>299806</t>
  </si>
  <si>
    <t>HETTICH 9206692 Lift Mini krytka bílá</t>
  </si>
  <si>
    <t>9206695</t>
  </si>
  <si>
    <t>299808</t>
  </si>
  <si>
    <t>HETTICH 9206695 Lift Mini krytka černá</t>
  </si>
  <si>
    <t>9206697</t>
  </si>
  <si>
    <t>299810</t>
  </si>
  <si>
    <t>HETTICH 9206697 Lift Mini krytka matný nikl</t>
  </si>
  <si>
    <t>9206698</t>
  </si>
  <si>
    <t>299811</t>
  </si>
  <si>
    <t>HETTICH 9206698 Lift Mini krytka matná stříbrná</t>
  </si>
  <si>
    <t>9206725</t>
  </si>
  <si>
    <t>300104</t>
  </si>
  <si>
    <t>HETTICH 9206725 zámek číselný dveřní západkový L</t>
  </si>
  <si>
    <t>9206738</t>
  </si>
  <si>
    <t>336582</t>
  </si>
  <si>
    <t>HETTICH 9206738 knobka CIRPI d30 mm imitace nerezi</t>
  </si>
  <si>
    <t>9206741</t>
  </si>
  <si>
    <t>341572</t>
  </si>
  <si>
    <t>HETTICH 9206741 Úchytka NARNI 90/80 mm nerez broušený</t>
  </si>
  <si>
    <t>9206799</t>
  </si>
  <si>
    <t>300108</t>
  </si>
  <si>
    <t>HETTICH 9206799 zámek číselný dveřní západkový L</t>
  </si>
  <si>
    <t>9206803</t>
  </si>
  <si>
    <t>300112</t>
  </si>
  <si>
    <t>HETTICH 9206803 zámek číselný kontejnerový P</t>
  </si>
  <si>
    <t>9206804</t>
  </si>
  <si>
    <t>300113</t>
  </si>
  <si>
    <t>HETTICH 9206804 zámek číselný dveřní závorový P</t>
  </si>
  <si>
    <t>9206817</t>
  </si>
  <si>
    <t>300127</t>
  </si>
  <si>
    <t>HETTICH 9206817 zámek číselný dveřní západkový P</t>
  </si>
  <si>
    <t>9206830</t>
  </si>
  <si>
    <t>300140</t>
  </si>
  <si>
    <t>HETTICH 9206830 Úchytka cylindrická otočná typ 411 N</t>
  </si>
  <si>
    <t>9206834</t>
  </si>
  <si>
    <t>300144</t>
  </si>
  <si>
    <t>HETTICH 9206834 krytka k otočné cylindrické úchytce</t>
  </si>
  <si>
    <t>9206836</t>
  </si>
  <si>
    <t>300146</t>
  </si>
  <si>
    <t>HETTICH 9206836 cylindrická vložka Z23 18001</t>
  </si>
  <si>
    <t>9206865</t>
  </si>
  <si>
    <t>300044</t>
  </si>
  <si>
    <t>HETTICH 9206865 nábytková noha KALEO SQN 46x46x100 mm</t>
  </si>
  <si>
    <t>9206868</t>
  </si>
  <si>
    <t>300047</t>
  </si>
  <si>
    <t>HETTICH 9206868 nábytková noha Kaleo SQN 46x46x150 mm chrom</t>
  </si>
  <si>
    <t>9206973</t>
  </si>
  <si>
    <t>300168</t>
  </si>
  <si>
    <t>HETTICH 9206973 zámek číselný pro posuvné dveře P</t>
  </si>
  <si>
    <t>9206974</t>
  </si>
  <si>
    <t>300169</t>
  </si>
  <si>
    <t>HETTICH 9206974 zámek číselný pro posuvné dveře L</t>
  </si>
  <si>
    <t>9207028</t>
  </si>
  <si>
    <t>300172</t>
  </si>
  <si>
    <t>HETTICH 9207028 Úchytka otočná 4-hranná typ 44.</t>
  </si>
  <si>
    <t>9207045</t>
  </si>
  <si>
    <t>301099</t>
  </si>
  <si>
    <t>HETTICH 9207045 Organizér OrgaTray 510, pod dřez/umyvadlo 550/350mm, šedá</t>
  </si>
  <si>
    <t>9207046</t>
  </si>
  <si>
    <t>301100</t>
  </si>
  <si>
    <t>HETTICH 9207046 Organizér OrgaTray 510, pod dřez/umyvadlo 550/350mm, bílá</t>
  </si>
  <si>
    <t>9207047</t>
  </si>
  <si>
    <t>301101</t>
  </si>
  <si>
    <t>HETTICH 9207047 Organizér OrgaTray 510, pod dřez/umyvadlo 550/350mm, antracit</t>
  </si>
  <si>
    <t>9207220</t>
  </si>
  <si>
    <t>301103</t>
  </si>
  <si>
    <t>HETTICH 9207220 Příborník OrgaTray 470, 450/500mm, stříbrná</t>
  </si>
  <si>
    <t>9207222</t>
  </si>
  <si>
    <t>301104</t>
  </si>
  <si>
    <t>HETTICH 9207222 Příborník OrgaTray 470, 450/550mm, stříbrná</t>
  </si>
  <si>
    <t>9207224</t>
  </si>
  <si>
    <t>301105</t>
  </si>
  <si>
    <t>HETTICH 9207224 Příborník OrgaTray 470, 450/500mm, bílá</t>
  </si>
  <si>
    <t>9207226</t>
  </si>
  <si>
    <t>301106</t>
  </si>
  <si>
    <t>HETTICH 9207226 Příborník OrgaTray 470, 450/550mm, bílá</t>
  </si>
  <si>
    <t>9207227</t>
  </si>
  <si>
    <t>301107</t>
  </si>
  <si>
    <t>HETTICH 9207227 Příborník OrgaTray 470, 450/500mm, antracit</t>
  </si>
  <si>
    <t>9207238</t>
  </si>
  <si>
    <t>301108</t>
  </si>
  <si>
    <t>HETTICH 9207238 Příborník OrgaTray 470, 450/550mm, antracit</t>
  </si>
  <si>
    <t>9207241</t>
  </si>
  <si>
    <t>295327</t>
  </si>
  <si>
    <t>HETTICH 9207241 Příborník OrgaTray 490, 450/470mm, stříbrná</t>
  </si>
  <si>
    <t>9207242</t>
  </si>
  <si>
    <t>295328</t>
  </si>
  <si>
    <t>HETTICH 9207242 Příborník OrgaTray 490, 450/520mm, stříbrná</t>
  </si>
  <si>
    <t>9207243</t>
  </si>
  <si>
    <t>295329</t>
  </si>
  <si>
    <t>HETTICH 9207243 Příborník OrgaTray 490, 450/470mm, bílá</t>
  </si>
  <si>
    <t>9207245</t>
  </si>
  <si>
    <t>295330</t>
  </si>
  <si>
    <t>HETTICH 9207245 Příborník OrgaTray 490, 450/520mm, bílá</t>
  </si>
  <si>
    <t>9207246</t>
  </si>
  <si>
    <t>295331</t>
  </si>
  <si>
    <t>HETTICH 9207246 Příborník OrgaTray 490, 450/470mm, antracit</t>
  </si>
  <si>
    <t>9207247</t>
  </si>
  <si>
    <t>295332</t>
  </si>
  <si>
    <t>HETTICH 9207247 Příborník OrgaTray 490, 450/520mm, antracit</t>
  </si>
  <si>
    <t>9207259</t>
  </si>
  <si>
    <t>300235</t>
  </si>
  <si>
    <t>HETTICH 9207259 Banio Orga rám antracit</t>
  </si>
  <si>
    <t>9207260</t>
  </si>
  <si>
    <t>300236</t>
  </si>
  <si>
    <t>HETTICH 9207260 Banio Orga misky, sada 3 ks transparentní</t>
  </si>
  <si>
    <t>9207348</t>
  </si>
  <si>
    <t>335529</t>
  </si>
  <si>
    <t>HETTICH 9207348 Úchytka ANZIO 172/160 mm nerez broušený</t>
  </si>
  <si>
    <t>9207349</t>
  </si>
  <si>
    <t>360426</t>
  </si>
  <si>
    <t>HETTICH 9207349 Úchytka ANZIO 332/320 mm nerez broušený</t>
  </si>
  <si>
    <t>9207350</t>
  </si>
  <si>
    <t>317524</t>
  </si>
  <si>
    <t>HETTICH 9207350 Úchytka ANZIO 428/416 mm nerez broušený</t>
  </si>
  <si>
    <t>9207351</t>
  </si>
  <si>
    <t>360427</t>
  </si>
  <si>
    <t>HETTICH 9207351 Úchytka ANZIO 524/512 mm nerez broušený</t>
  </si>
  <si>
    <t>9207352</t>
  </si>
  <si>
    <t>360430</t>
  </si>
  <si>
    <t>HETTICH 9207352 Úchytka ANZIO 748/736 mm nerez broušený</t>
  </si>
  <si>
    <t>9207354</t>
  </si>
  <si>
    <t>317525</t>
  </si>
  <si>
    <t>HETTICH 9207354 Úchytka ANZIO 844/832 mm nerez broušený</t>
  </si>
  <si>
    <t>9207356</t>
  </si>
  <si>
    <t>360424</t>
  </si>
  <si>
    <t>HETTICH 9207356 Úchytka ANZIO 204/192 mm nerez broušený</t>
  </si>
  <si>
    <t>9207357</t>
  </si>
  <si>
    <t>318143</t>
  </si>
  <si>
    <t>HETTICH 9207357 Úchytka AOSTA 496/480 mm nerez broušený</t>
  </si>
  <si>
    <t>9207358</t>
  </si>
  <si>
    <t>313742</t>
  </si>
  <si>
    <t>HETTICH 9207358 Úchytka AOSTA 1000/984 mm nerez broušený</t>
  </si>
  <si>
    <t>9207480</t>
  </si>
  <si>
    <t>360736</t>
  </si>
  <si>
    <t>HETTICH 9207480 Úchytka INTRA 204/192 mm imitace nerezi/ měď broušená</t>
  </si>
  <si>
    <t>9207481</t>
  </si>
  <si>
    <t>346723</t>
  </si>
  <si>
    <t>HETTICH 9207481 úchytka INTRA 204/192 mm černá matná/Imitace nerezi</t>
  </si>
  <si>
    <t>9207482</t>
  </si>
  <si>
    <t>310842</t>
  </si>
  <si>
    <t>HETTICH 9207482 Úchytka INTRA 204/192 mm imitace nerezi</t>
  </si>
  <si>
    <t>9207483</t>
  </si>
  <si>
    <t>336189</t>
  </si>
  <si>
    <t>HETTICH 9207483 Úchytka INTRA 204/192 mm bílá+měď</t>
  </si>
  <si>
    <t>9207488</t>
  </si>
  <si>
    <t>328545</t>
  </si>
  <si>
    <t>HETTICH 9207488 Úchytka FORLI L204/192 nebo 160 mm imitace nerezi</t>
  </si>
  <si>
    <t>9207524</t>
  </si>
  <si>
    <t>299799</t>
  </si>
  <si>
    <t>HETTICH 9207524 Vrtací šablona pro P2O</t>
  </si>
  <si>
    <t>468806</t>
  </si>
  <si>
    <t>HETTICH 9207524 Vrtací šablona pro P2O PD-50</t>
  </si>
  <si>
    <t>9207531</t>
  </si>
  <si>
    <t>318145</t>
  </si>
  <si>
    <t>HETTICH 9207531 Úchytka APOLDA  65x65 mm černá lesklá/nerez broušený</t>
  </si>
  <si>
    <t>9207534</t>
  </si>
  <si>
    <t>366406</t>
  </si>
  <si>
    <t>HETTICH 9207534 Úchytka ABOA d65 mm černá lesklá/nerez broušený</t>
  </si>
  <si>
    <t>9207577</t>
  </si>
  <si>
    <t>300201</t>
  </si>
  <si>
    <t>HETTICH 9207577 čelní výsuv Arena Style 90°, chrom</t>
  </si>
  <si>
    <t>9207578</t>
  </si>
  <si>
    <t>300202</t>
  </si>
  <si>
    <t>HETTICH 9207578 čelní výsuv 2-patrový Arena Classic 90°, chrom</t>
  </si>
  <si>
    <t>9207579</t>
  </si>
  <si>
    <t>300203</t>
  </si>
  <si>
    <t>HETTICH 9207579 čelní výsuv 2-patrový Arena Classic 90°, stříbrná</t>
  </si>
  <si>
    <t>9207580</t>
  </si>
  <si>
    <t>300204</t>
  </si>
  <si>
    <t>HETTICH 9207580 čelní výsuv Arena Style 90°, chrom</t>
  </si>
  <si>
    <t>9207581</t>
  </si>
  <si>
    <t>300205</t>
  </si>
  <si>
    <t>HETTICH 9207581 čelní výsuv s věšákem Arena Classic 90°, chrom</t>
  </si>
  <si>
    <t>9207582</t>
  </si>
  <si>
    <t>300206</t>
  </si>
  <si>
    <t>HETTICH 9207582 čelní výsuv s věšákem Arena Classic 90°, stříbrný</t>
  </si>
  <si>
    <t>9207587</t>
  </si>
  <si>
    <t>300211</t>
  </si>
  <si>
    <t>HETTICH 9207587 LeMans II Arena Style 600 mm</t>
  </si>
  <si>
    <t>9207634</t>
  </si>
  <si>
    <t>301214</t>
  </si>
  <si>
    <t>HETTICH 9207634 ArciTech Pull Laundry - koš na prádlo 600 500 mm plast bílý</t>
  </si>
  <si>
    <t>9207636</t>
  </si>
  <si>
    <t>300237</t>
  </si>
  <si>
    <t>HETTICH 9207636 InnoTech Pull Laundry - koš N</t>
  </si>
  <si>
    <t>9207645</t>
  </si>
  <si>
    <t>300240</t>
  </si>
  <si>
    <t>HETTICH 9207645 Bin.it Vario 300 mm, 470 520 500 mm</t>
  </si>
  <si>
    <t>9208026</t>
  </si>
  <si>
    <t>416736</t>
  </si>
  <si>
    <t>HETTICH 9208026 ÚCHYTKA ÚCHYTKA SIRADIA 128 CÍN. FINIŠ ANTIK</t>
  </si>
  <si>
    <t>9208030</t>
  </si>
  <si>
    <t>342575</t>
  </si>
  <si>
    <t>HETTICH 9208030 Úchytka CATO 138/128 mm starocín</t>
  </si>
  <si>
    <t>9208048</t>
  </si>
  <si>
    <t>505323</t>
  </si>
  <si>
    <t>HETTICH 9208048 Úchytka Guarani 192/223 mm nerez ocel kartáčovaná</t>
  </si>
  <si>
    <t>9208064</t>
  </si>
  <si>
    <t>416737</t>
  </si>
  <si>
    <t>HETTICH 9208064 KNOPKA SERTAO D45 CÍN. FINIŠ ANTIK</t>
  </si>
  <si>
    <t>9208065</t>
  </si>
  <si>
    <t>501578</t>
  </si>
  <si>
    <t>HETTICH 9208065 KNOPKA SERTAO D45 mosazný vzhled antik</t>
  </si>
  <si>
    <t>9208076</t>
  </si>
  <si>
    <t>351797</t>
  </si>
  <si>
    <t>HETTICH 9208076 Úchytka BERMEO 205/192 mm imitace nerezi</t>
  </si>
  <si>
    <t>9208079</t>
  </si>
  <si>
    <t>405113</t>
  </si>
  <si>
    <t>HETTICH 9208079 Úchytka BERMEO 301/288 vzhled nerez broušený</t>
  </si>
  <si>
    <t>9208080</t>
  </si>
  <si>
    <t>320973</t>
  </si>
  <si>
    <t>HETTICH 9208080 Úchytka BERMEO 333/320 mm imitace nerezi</t>
  </si>
  <si>
    <t>9208083</t>
  </si>
  <si>
    <t>395157</t>
  </si>
  <si>
    <t>HETTICH 9208083 Úchytka Bermeo 160 černá matná/nerez broušený</t>
  </si>
  <si>
    <t>9208086</t>
  </si>
  <si>
    <t>409608</t>
  </si>
  <si>
    <t>HETTICH 9208086 Úchytka Bermeo 269/256 černá/imitace nerezi</t>
  </si>
  <si>
    <t>9208087</t>
  </si>
  <si>
    <t>395156</t>
  </si>
  <si>
    <t>HETTICH 9208087 Úchytka Bermeo 288 černá matná/nerez broušený</t>
  </si>
  <si>
    <t>9208089</t>
  </si>
  <si>
    <t>421507</t>
  </si>
  <si>
    <t>HETTICH 9208089 ÚCHYTKA RIAZA L295 Nerezový vzhled kartáčovaný</t>
  </si>
  <si>
    <t>9208090</t>
  </si>
  <si>
    <t>474096</t>
  </si>
  <si>
    <t>HETTICH 9208090 ÚCHYTKA RIAZA L395 Nerezový vzhled kartáčovaný</t>
  </si>
  <si>
    <t>9208091</t>
  </si>
  <si>
    <t>474097</t>
  </si>
  <si>
    <t>HETTICH 9208091 ÚCHYTKA RIAZA L445 Nerezový vzhled kartáčovaný</t>
  </si>
  <si>
    <t>9208093</t>
  </si>
  <si>
    <t>421508</t>
  </si>
  <si>
    <t>HETTICH 9208093 ÚCHYTKA RIAZA L595 Nerezový vzhled kartáčovaný</t>
  </si>
  <si>
    <t>9208094</t>
  </si>
  <si>
    <t>462116</t>
  </si>
  <si>
    <t>HETTICH 9208094 ÚCHYTKA RIAZA L795 Nerezový vzhled kartáčovaný</t>
  </si>
  <si>
    <t>9208095</t>
  </si>
  <si>
    <t>421509</t>
  </si>
  <si>
    <t>HETTICH 9208095 ÚCHYTKA RIAZA L895 Nerezový vzhled kartáčovaný</t>
  </si>
  <si>
    <t>9208209</t>
  </si>
  <si>
    <t>299790</t>
  </si>
  <si>
    <t>HETTICH 9208209 vrták D2   L46</t>
  </si>
  <si>
    <t>9208294</t>
  </si>
  <si>
    <t>470823</t>
  </si>
  <si>
    <t>HETTICH 9208294 ocelová zásuvka SmarTray 50 mm s kazetou antracit</t>
  </si>
  <si>
    <t>9208385</t>
  </si>
  <si>
    <t>300003</t>
  </si>
  <si>
    <t>HETTICH 9208385 Samodovírací těleso s tlumením SiSy 40</t>
  </si>
  <si>
    <t>9208478</t>
  </si>
  <si>
    <t>300004</t>
  </si>
  <si>
    <t>HETTICH 9208478 seřiditelná podpěra čela pro rám na závěsné složky L+P</t>
  </si>
  <si>
    <t>9208483</t>
  </si>
  <si>
    <t>300005</t>
  </si>
  <si>
    <t>HETTICH 9208483 stavitelná podpěra čela pro rám na závěsné složky L+P</t>
  </si>
  <si>
    <t>9208511</t>
  </si>
  <si>
    <t>299879</t>
  </si>
  <si>
    <t>HETTICH 9208511 SysLine S posuvné dveře sada pro 2 křídla, s tlumením</t>
  </si>
  <si>
    <t>350639</t>
  </si>
  <si>
    <t>HETTICH 920851100 SYSLINE S SADA PRO 2 KŘÍDLA, SILENT SYS. PRO ZAVÍRÁNÍ+OTVÍRÁNÍ</t>
  </si>
  <si>
    <t>9208551</t>
  </si>
  <si>
    <t>318649</t>
  </si>
  <si>
    <t>HETTICH 9208551 Úchytka VELITRA 204/192 nebo 128 mm chrom lesklý</t>
  </si>
  <si>
    <t>9208567</t>
  </si>
  <si>
    <t>459730</t>
  </si>
  <si>
    <t>HETTICH 9208567 Quadro V6 420mm 30kg EB12,5 SiSy L</t>
  </si>
  <si>
    <t>9208578</t>
  </si>
  <si>
    <t>342565</t>
  </si>
  <si>
    <t>HETTICH 9208578 Úchytka VELITRA 272/260 nebo 224 mm chrom lesklý</t>
  </si>
  <si>
    <t>9208579</t>
  </si>
  <si>
    <t>375202</t>
  </si>
  <si>
    <t>HETTICH 9208579 Úchytka VELITRA 372/260mm, chrom lesklý</t>
  </si>
  <si>
    <t>9208580</t>
  </si>
  <si>
    <t>315632</t>
  </si>
  <si>
    <t>HETTICH 9208580 Úchytka VELITRA 472/416 nebo 360 mm chrom lesklý</t>
  </si>
  <si>
    <t>9208645</t>
  </si>
  <si>
    <t>300193</t>
  </si>
  <si>
    <t>HETTICH 9208645 SAH 15 závěsné kování bílé</t>
  </si>
  <si>
    <t>9208646</t>
  </si>
  <si>
    <t>300194</t>
  </si>
  <si>
    <t>HETTICH 9208646 SAH 15 krytky ( pár ) bílé</t>
  </si>
  <si>
    <t>9208647</t>
  </si>
  <si>
    <t>300195</t>
  </si>
  <si>
    <t>HETTICH 9208647 SAH 15 krytky (pár) nikl</t>
  </si>
  <si>
    <t>9208678</t>
  </si>
  <si>
    <t>103912</t>
  </si>
  <si>
    <t>HETTICH 9208678 SAH Závěsná lišta, délka 130mm</t>
  </si>
  <si>
    <t>9208696</t>
  </si>
  <si>
    <t>299791</t>
  </si>
  <si>
    <t>HETTICH 9208696 prodloužení pravítka s podpěrkami</t>
  </si>
  <si>
    <t>9208750</t>
  </si>
  <si>
    <t>300248</t>
  </si>
  <si>
    <t>HETTICH 9208750 Bin.it Smart 450-500 mm 32l</t>
  </si>
  <si>
    <t>9208752</t>
  </si>
  <si>
    <t>300249</t>
  </si>
  <si>
    <t>HETTICH 9208752 Bin.it Smart 600 mm, 470 520 mm</t>
  </si>
  <si>
    <t>9208757</t>
  </si>
  <si>
    <t>300252</t>
  </si>
  <si>
    <t>HETTICH 9208757 náhradní nádoba Bin.it Smart</t>
  </si>
  <si>
    <t>9208790</t>
  </si>
  <si>
    <t>300275</t>
  </si>
  <si>
    <t>HETTICH 9208790 náhradní nádoba Frame 320x226x350 mm 20l šedý</t>
  </si>
  <si>
    <t>9209060</t>
  </si>
  <si>
    <t>502094</t>
  </si>
  <si>
    <t>HETTICH 9209060 Úchytka STABIA 108/96 mm chrom lesklý</t>
  </si>
  <si>
    <t>9209064</t>
  </si>
  <si>
    <t>335441</t>
  </si>
  <si>
    <t>HETTICH 9209064 Úchytka STABIA 236/224 mm chrom lesklý</t>
  </si>
  <si>
    <t>9209182</t>
  </si>
  <si>
    <t>300179</t>
  </si>
  <si>
    <t>HETTICH 9209182 Úchytka otočná typ 454 matný nikl</t>
  </si>
  <si>
    <t>9209195</t>
  </si>
  <si>
    <t>300181</t>
  </si>
  <si>
    <t>HETTICH 9209195 klíč pro nouzové otevření zámku</t>
  </si>
  <si>
    <t>9209196</t>
  </si>
  <si>
    <t>300182</t>
  </si>
  <si>
    <t>HETTICH 9209196 klíč pro nouzové otevření zámku</t>
  </si>
  <si>
    <t>9209201</t>
  </si>
  <si>
    <t>300185</t>
  </si>
  <si>
    <t>HETTICH 9209201 zámek číselný 3-cestný D25 P</t>
  </si>
  <si>
    <t>9209224</t>
  </si>
  <si>
    <t>299837</t>
  </si>
  <si>
    <t>HETTICH 9209224 SlideLine M horní/spodní vedení 16mm/4000mm stříbrná elox</t>
  </si>
  <si>
    <t>9209225</t>
  </si>
  <si>
    <t>299838</t>
  </si>
  <si>
    <t>HETTICH 9209225 SlideLine M horní/spodní vedení 18mm/2500mm stříbrná elox</t>
  </si>
  <si>
    <t>9209226</t>
  </si>
  <si>
    <t>299839</t>
  </si>
  <si>
    <t>HETTICH 9209226 SlideLine M horní/spodní vedení 18mm/4000mm stříbrná elox</t>
  </si>
  <si>
    <t>9209230</t>
  </si>
  <si>
    <t>299842</t>
  </si>
  <si>
    <t>HETTICH 9209230 SlideLine M horní/spodní vedení 25mm/2500mm stříbrná elox</t>
  </si>
  <si>
    <t>9209231</t>
  </si>
  <si>
    <t>299843</t>
  </si>
  <si>
    <t>HETTICH 9209231 SlideLine M horní/spodní vedení 25mm/4000mm stříbrná elox</t>
  </si>
  <si>
    <t>9209232</t>
  </si>
  <si>
    <t>299844</t>
  </si>
  <si>
    <t>HETTICH 9209232 SlideLine M krycí profil 16/2500 mm stříbrná</t>
  </si>
  <si>
    <t>9209269</t>
  </si>
  <si>
    <t>299846</t>
  </si>
  <si>
    <t>HETTICH 9209269 SlideLine M krycí profil 16/2500 mm černý</t>
  </si>
  <si>
    <t>9209271</t>
  </si>
  <si>
    <t>299847</t>
  </si>
  <si>
    <t>HETTICH 9209271 SlideLine M krycí profil 16/4000 mm černý</t>
  </si>
  <si>
    <t>9209272</t>
  </si>
  <si>
    <t>299848</t>
  </si>
  <si>
    <t>HETTICH 9209272 SlideLine M krycí profil 16/2500 mm bílý</t>
  </si>
  <si>
    <t>9209273</t>
  </si>
  <si>
    <t>299849</t>
  </si>
  <si>
    <t>HETTICH 9209273 SlideLine M krycí profil 16/4000 mm bílý</t>
  </si>
  <si>
    <t>9209277</t>
  </si>
  <si>
    <t>299852</t>
  </si>
  <si>
    <t>HETTICH 9209277 SlideLine M dekorativní profil k nalepení 18mm/2500mm stříbrná</t>
  </si>
  <si>
    <t>9209278</t>
  </si>
  <si>
    <t>299853</t>
  </si>
  <si>
    <t>HETTICH 9209278 SlideLine M dekorativní profil k nalepení 18mm/4000mm stříbrná</t>
  </si>
  <si>
    <t>9209279</t>
  </si>
  <si>
    <t>299854</t>
  </si>
  <si>
    <t>HETTICH 9209279 SlideLine M dekorativní profil k nalepení 18mm/2500mm černá</t>
  </si>
  <si>
    <t>9209280</t>
  </si>
  <si>
    <t>299855</t>
  </si>
  <si>
    <t>HETTICH 9209280 SlideLine M dekorativní profil k nalepení 18mm/4000mm černá</t>
  </si>
  <si>
    <t>9209281</t>
  </si>
  <si>
    <t>299856</t>
  </si>
  <si>
    <t>HETTICH 9209281 SlideLine M dekorativní profil k nalepení 18mm/2500mm bílá</t>
  </si>
  <si>
    <t>9209283</t>
  </si>
  <si>
    <t>299857</t>
  </si>
  <si>
    <t>HETTICH 9209283 SlideLine M dekorativní profil k nalepení 18mm/4000mm bílá</t>
  </si>
  <si>
    <t>9209399</t>
  </si>
  <si>
    <t>299868</t>
  </si>
  <si>
    <t>HETTICH 9209399 SlideLine M/TopLine XL dekorativní páska 25/2500 mm stříbrná</t>
  </si>
  <si>
    <t>9209400</t>
  </si>
  <si>
    <t>299869</t>
  </si>
  <si>
    <t>HETTICH 9209400 SlideLine M/TopLine XL dekorativní páska 25/4000 mm stříbrná</t>
  </si>
  <si>
    <t>9209402</t>
  </si>
  <si>
    <t>299870</t>
  </si>
  <si>
    <t>HETTICH 9209402 SlideLine M/TopLine XL dekorativní páska 25/2500 mm černá</t>
  </si>
  <si>
    <t>9209403</t>
  </si>
  <si>
    <t>299871</t>
  </si>
  <si>
    <t>HETTICH 9209403 SlideLine M/TopLine XL dekorativní páska 25/4000 mm černá</t>
  </si>
  <si>
    <t>9209404</t>
  </si>
  <si>
    <t>299872</t>
  </si>
  <si>
    <t>HETTICH 9209404 SlideLine M/TopLine XL dekorativní páska 25/2500 mm bílá</t>
  </si>
  <si>
    <t>9209405</t>
  </si>
  <si>
    <t>299873</t>
  </si>
  <si>
    <t>HETTICH 9209405 SlideLine M/TopLine XL dekorativní páska 25/4000 mm bílá</t>
  </si>
  <si>
    <t>9209533</t>
  </si>
  <si>
    <t>295333</t>
  </si>
  <si>
    <t>HETTICH 9209533 protiskluzová podložka 470/5000mm stříbrná</t>
  </si>
  <si>
    <t>9209536</t>
  </si>
  <si>
    <t>295334</t>
  </si>
  <si>
    <t>HETTICH 9209536 protiskluzová podložka 520/5000mm stříbrná</t>
  </si>
  <si>
    <t>9209555</t>
  </si>
  <si>
    <t>520599</t>
  </si>
  <si>
    <t>HETTICH 9209555 InLine píst 115N</t>
  </si>
  <si>
    <t>9209568</t>
  </si>
  <si>
    <t>295335</t>
  </si>
  <si>
    <t>HETTICH 9209568 Protiskluzová podložka 650/5000mm stříbrná</t>
  </si>
  <si>
    <t>9209569</t>
  </si>
  <si>
    <t>301340</t>
  </si>
  <si>
    <t>HETTICH 9209569 protiskluzová podložka 450/5000mm bílá</t>
  </si>
  <si>
    <t>9209572</t>
  </si>
  <si>
    <t>295336</t>
  </si>
  <si>
    <t>HETTICH 9209572 protiskluzová podložka 470/5000mm bílá</t>
  </si>
  <si>
    <t>9209573</t>
  </si>
  <si>
    <t>301341</t>
  </si>
  <si>
    <t>HETTICH 9209573 protiskluzová podložka 500/5000mm bílá</t>
  </si>
  <si>
    <t>9209574</t>
  </si>
  <si>
    <t>295337</t>
  </si>
  <si>
    <t>HETTICH 9209574 protiskluzová podložka 520/5000mm bílá</t>
  </si>
  <si>
    <t>9209575</t>
  </si>
  <si>
    <t>295338</t>
  </si>
  <si>
    <t>HETTICH 9209575 Protiskluzová podložka 650/5000mm bílá</t>
  </si>
  <si>
    <t>9209578</t>
  </si>
  <si>
    <t>301342</t>
  </si>
  <si>
    <t>HETTICH 9209578 protiskluzová podložka 450/5000mm antracit</t>
  </si>
  <si>
    <t>9209579</t>
  </si>
  <si>
    <t>295339</t>
  </si>
  <si>
    <t>HETTICH 9209579 protiskluzová podložka 470/5000mm antracit</t>
  </si>
  <si>
    <t>9209580</t>
  </si>
  <si>
    <t>301343</t>
  </si>
  <si>
    <t>HETTICH 9209580 protiskluzová podložka 500/5000mm antracit</t>
  </si>
  <si>
    <t>9209581</t>
  </si>
  <si>
    <t>295340</t>
  </si>
  <si>
    <t>HETTICH 9209581 protiskluzová podložka 520/5000mm antracit</t>
  </si>
  <si>
    <t>9209582</t>
  </si>
  <si>
    <t>295341</t>
  </si>
  <si>
    <t>HETTICH 9209582 Protiskluzová podložka 650/5000mm antracit</t>
  </si>
  <si>
    <t>9209585</t>
  </si>
  <si>
    <t>301346</t>
  </si>
  <si>
    <t>HETTICH 9209585 protiskluzová podložka 650/5000mm šampaň</t>
  </si>
  <si>
    <t>9209632</t>
  </si>
  <si>
    <t>300014</t>
  </si>
  <si>
    <t>HETTICH 9209632 Quadro Duplex 40 316 mm 40 kg</t>
  </si>
  <si>
    <t>9209633</t>
  </si>
  <si>
    <t>300015</t>
  </si>
  <si>
    <t>HETTICH 9209633 Quadro Duplex 40 316 mm 40KG x-22</t>
  </si>
  <si>
    <t>9209883</t>
  </si>
  <si>
    <t>295345</t>
  </si>
  <si>
    <t>HETTICH 9209883 OrgaTray 240, 100/520 mm dub</t>
  </si>
  <si>
    <t>9209984</t>
  </si>
  <si>
    <t>295362</t>
  </si>
  <si>
    <t>HETTICH 9209984 Atira ocelová záda 176/700 mm antracit</t>
  </si>
  <si>
    <t>9209994</t>
  </si>
  <si>
    <t>317912</t>
  </si>
  <si>
    <t>HETTICH 9209994 Úchytka CODANIA 295 mm imitace nerezi</t>
  </si>
  <si>
    <t>9209996</t>
  </si>
  <si>
    <t>311037</t>
  </si>
  <si>
    <t>HETTICH 9209996 Úchytka Codania 395 mm imitace nerezi</t>
  </si>
  <si>
    <t>9209997</t>
  </si>
  <si>
    <t>311038</t>
  </si>
  <si>
    <t>HETTICH 9209997 Úchytka Codania 445 mm imitace nerezi</t>
  </si>
  <si>
    <t>9210058</t>
  </si>
  <si>
    <t>311039</t>
  </si>
  <si>
    <t>HETTICH 9210058 Úchytka Codania 495 mm imitace nerezi</t>
  </si>
  <si>
    <t>9210059</t>
  </si>
  <si>
    <t>311040</t>
  </si>
  <si>
    <t>HETTICH 9210059 Úchytka Codania 595 mm imitace nerezi</t>
  </si>
  <si>
    <t>9210060</t>
  </si>
  <si>
    <t>317913</t>
  </si>
  <si>
    <t>HETTICH 9210060 Úchytka CODANIA 795 mm imitace nerezi</t>
  </si>
  <si>
    <t>9210061</t>
  </si>
  <si>
    <t>317914</t>
  </si>
  <si>
    <t>HETTICH 9210061 Úchytka CODANIA 895 mm imitace nerezi</t>
  </si>
  <si>
    <t>9210062</t>
  </si>
  <si>
    <t>383598</t>
  </si>
  <si>
    <t>HETTICH 9210062 Úchytka Codania L 995, imitace nerezi</t>
  </si>
  <si>
    <t>9210115</t>
  </si>
  <si>
    <t>378639</t>
  </si>
  <si>
    <t>HETTICH 9210115 Úchytková lišta Canis L, L3500, eloxovaný hliník</t>
  </si>
  <si>
    <t>9210116</t>
  </si>
  <si>
    <t>383220</t>
  </si>
  <si>
    <t>HETTICH 9210116 Úchytková lišta Canis L, L3500, imiace nerezi</t>
  </si>
  <si>
    <t>9210117</t>
  </si>
  <si>
    <t>405963</t>
  </si>
  <si>
    <t>HETTICH 9210117 Spojovací vnitřní roh 90° k úchytkové liště Canis L, stříbrná</t>
  </si>
  <si>
    <t>9210126</t>
  </si>
  <si>
    <t>378642</t>
  </si>
  <si>
    <t>HETTICH 9210126 Koncovky k úchytkové liště Canis L, levá+pravá, stříbrná</t>
  </si>
  <si>
    <t>9210128</t>
  </si>
  <si>
    <t>389367</t>
  </si>
  <si>
    <t>HETTICH 9210128 Koncovky k úchytkové liště Canis L, levá+pravá, nerez broušený</t>
  </si>
  <si>
    <t>9210129</t>
  </si>
  <si>
    <t>378643</t>
  </si>
  <si>
    <t>HETTICH 9210129 Upevňovací úhelník k úchytkové liště Canis L</t>
  </si>
  <si>
    <t>9210130</t>
  </si>
  <si>
    <t>378646</t>
  </si>
  <si>
    <t>HETTICH 9210130 Úchytková lišta Canis C, L3500, eloxovaný hliník</t>
  </si>
  <si>
    <t>9210132</t>
  </si>
  <si>
    <t>383219</t>
  </si>
  <si>
    <t>HETTICH 9210132 Úchytková lišta Canis C, L3500, imitace nerezi</t>
  </si>
  <si>
    <t>9210133</t>
  </si>
  <si>
    <t>509095</t>
  </si>
  <si>
    <t>HETTICH 9210133 Příslušenství Canis C 90° inside corner, B 36 mm, H 70 mm, alumi</t>
  </si>
  <si>
    <t>9210140</t>
  </si>
  <si>
    <t>378647</t>
  </si>
  <si>
    <t>HETTICH 9210140 Koncovky k úchytkové liště Canis C, levá+pravá, stříbrná</t>
  </si>
  <si>
    <t>9210141</t>
  </si>
  <si>
    <t>504236</t>
  </si>
  <si>
    <t>HETTICH 9210141 Koncovka uzavřená Canis C, P+L sada, imitace nerezi</t>
  </si>
  <si>
    <t>9210142</t>
  </si>
  <si>
    <t>383222</t>
  </si>
  <si>
    <t>HETTICH 9210142 Upevňovací úhelník k úchytkové liště Canis C</t>
  </si>
  <si>
    <t>9210143</t>
  </si>
  <si>
    <t>378648</t>
  </si>
  <si>
    <t>HETTICH 9210143 Upevňovací úhelník k úchytkové liště Canis C</t>
  </si>
  <si>
    <t>9210848</t>
  </si>
  <si>
    <t>311978</t>
  </si>
  <si>
    <t>HETTICH 9210848 Easys bezúchytkové otevírání pro vestavěné lednice/chladičky</t>
  </si>
  <si>
    <t>9211574</t>
  </si>
  <si>
    <t>295363</t>
  </si>
  <si>
    <t>HETTICH 9211574 Příčný reling OrgaStore 410, 800mm, stříbrná</t>
  </si>
  <si>
    <t>9211577</t>
  </si>
  <si>
    <t>295365</t>
  </si>
  <si>
    <t>HETTICH 9211577 Příčný reling OrgaStore 410, 800mm, bílá</t>
  </si>
  <si>
    <t>9211580</t>
  </si>
  <si>
    <t>295367</t>
  </si>
  <si>
    <t>HETTICH 9211580 Orgastore 410, 800 mm antracit</t>
  </si>
  <si>
    <t>9213637</t>
  </si>
  <si>
    <t>420515</t>
  </si>
  <si>
    <t>HETTICH 9213637 protiskluzová podložka 650/5000mm černá</t>
  </si>
  <si>
    <t>9216143</t>
  </si>
  <si>
    <t>457086</t>
  </si>
  <si>
    <t>HETTICH 9216143 pedál pro BlueMax Mini Modular Plus</t>
  </si>
  <si>
    <t>9217435</t>
  </si>
  <si>
    <t>353404</t>
  </si>
  <si>
    <t>HETTICH 9217435 samořezný šroub do otvoru 3,6mm pro kompaktní desky</t>
  </si>
  <si>
    <t>9217483</t>
  </si>
  <si>
    <t>457551</t>
  </si>
  <si>
    <t>HETTICH 9217483 Atira celovýsuv, Quadro V6, 470mm/30kg, bok 18mm, levá, SiSy</t>
  </si>
  <si>
    <t>507067</t>
  </si>
  <si>
    <t>HETTICH 9217483 Quadro V6 470mm/30kg EB10,5 SiSy L - DALNO</t>
  </si>
  <si>
    <t>482706</t>
  </si>
  <si>
    <t>HETTICH 9217483 Quadro V6 470mm/30kg EB10,5 SiSy L DALNO</t>
  </si>
  <si>
    <t>9217484</t>
  </si>
  <si>
    <t>457552</t>
  </si>
  <si>
    <t>HETTICH 9217484 Atira celovýsuv, Quadro V6, 470mm/30kg, bok 18mm, pravá, SiSy</t>
  </si>
  <si>
    <t>507068</t>
  </si>
  <si>
    <t>HETTICH 9217484 Quadro V6 470mm/30kg EB10,5 SiSy P - DALNO</t>
  </si>
  <si>
    <t>482707</t>
  </si>
  <si>
    <t>HETTICH 9217484 Quadro V6 470mm/30kg EB10,5 SiSy P DALNO</t>
  </si>
  <si>
    <t>9217485</t>
  </si>
  <si>
    <t>456734</t>
  </si>
  <si>
    <t>HETTICH 9217485 Atira celovýsuv, Quadro V6+, 470mm/50kg, bok 18mm, levá, SiSy</t>
  </si>
  <si>
    <t>9217486</t>
  </si>
  <si>
    <t>456733</t>
  </si>
  <si>
    <t>HETTICH 9217486 Atira celovýsuv, Quadro V6+, 470mm/50kg, bok 18mm, pravá, SiSy</t>
  </si>
  <si>
    <t>9217556</t>
  </si>
  <si>
    <t>518457</t>
  </si>
  <si>
    <t>HETTICH 9217556 OrgaStripe clip antracit</t>
  </si>
  <si>
    <t>9217559</t>
  </si>
  <si>
    <t>518458</t>
  </si>
  <si>
    <t>HETTICH 9217559 OrgaStripe profil 1100 mm antracit</t>
  </si>
  <si>
    <t>9219328</t>
  </si>
  <si>
    <t>456745</t>
  </si>
  <si>
    <t>HETTICH 9219328 Practica 250 vrtací šablona pro AvanTech YOU</t>
  </si>
  <si>
    <t>467569</t>
  </si>
  <si>
    <t>HETTICH 9219328 Practica 250 vrtací šablona pro AvanTech YOU PD-50</t>
  </si>
  <si>
    <t>9219678</t>
  </si>
  <si>
    <t>398091</t>
  </si>
  <si>
    <t>HETTICH 9219678 AvanFit 100 montážní přípravek pro AvanTech YOU</t>
  </si>
  <si>
    <t>467566</t>
  </si>
  <si>
    <t>HETTICH 9219678 AvanFit 100 montážní přípravek pro AvanTech YOU PD-50</t>
  </si>
  <si>
    <t>9219689</t>
  </si>
  <si>
    <t>398090</t>
  </si>
  <si>
    <t>HETTICH 9219689 AvanFit 200 montážní přípravek</t>
  </si>
  <si>
    <t>482606</t>
  </si>
  <si>
    <t>HETTICH 9219689 AvanFit 200 montážní přípravek PD-50</t>
  </si>
  <si>
    <t>9219965</t>
  </si>
  <si>
    <t>318283</t>
  </si>
  <si>
    <t>HETTICH 9219965 synchronizační adaptér PTO, typ B (Atira QV6)</t>
  </si>
  <si>
    <t>9219966</t>
  </si>
  <si>
    <t>318282</t>
  </si>
  <si>
    <t>HETTICH 9219966 synchronizační adaptér PTO, typ A (Atira QV6+ / QV6)</t>
  </si>
  <si>
    <t>9219967</t>
  </si>
  <si>
    <t>318280</t>
  </si>
  <si>
    <t>HETTICH 9219967 synchronizační tyč P2O 1097 mm</t>
  </si>
  <si>
    <t>9220394</t>
  </si>
  <si>
    <t>479337</t>
  </si>
  <si>
    <t>HETTICH 9220394 Bin.it Prime KB600/NL420-500/11L+26L</t>
  </si>
  <si>
    <t>9220395</t>
  </si>
  <si>
    <t>477446</t>
  </si>
  <si>
    <t>HETTICH 9220395 Bin.it Prime KB900/NL420-500/1x11L+2x26L</t>
  </si>
  <si>
    <t>9221183</t>
  </si>
  <si>
    <t>481189</t>
  </si>
  <si>
    <t>HETTICH 9221183 výškově seřiditelné opěrné kolečko bez rejdu pro Big Org@Tower</t>
  </si>
  <si>
    <t>9221295</t>
  </si>
  <si>
    <t>318281</t>
  </si>
  <si>
    <t>HETTICH 9221295 spojka synchronizační hřídele PTO/PTOs</t>
  </si>
  <si>
    <t>9221400</t>
  </si>
  <si>
    <t>536186</t>
  </si>
  <si>
    <t>HETTICH 9221400 kuličkový plnovýsuv KA 5632 300mm/30kg SiSy EB12,7</t>
  </si>
  <si>
    <t>9221467</t>
  </si>
  <si>
    <t>536187</t>
  </si>
  <si>
    <t>HETTICH 9221467 kuličkový plnovýsuv KA 5632 350mm/30kg SiSy EB12,7</t>
  </si>
  <si>
    <t>9221468</t>
  </si>
  <si>
    <t>536188</t>
  </si>
  <si>
    <t>HETTICH 9221468 kuličkový plnovýsuv KA 5632 400mm/30kg SiSy EB12,7</t>
  </si>
  <si>
    <t>9221499</t>
  </si>
  <si>
    <t>536189</t>
  </si>
  <si>
    <t>HETTICH 9221499 kuličkový plnovýsuv KA 5632 450mm/30kg SiSy EB12,7</t>
  </si>
  <si>
    <t>9221500</t>
  </si>
  <si>
    <t>536190</t>
  </si>
  <si>
    <t>HETTICH 9221500 kuličkový plnovýsuv KA 5632 500mm/30kg SiSy EB12,7</t>
  </si>
  <si>
    <t>9221503</t>
  </si>
  <si>
    <t>536191</t>
  </si>
  <si>
    <t>HETTICH 9221503 kuličkový plnovýsuv KA 5632 550mm/30kg SiSy EB12,7</t>
  </si>
  <si>
    <t>9221513</t>
  </si>
  <si>
    <t>536192</t>
  </si>
  <si>
    <t>HETTICH 9221513 kuličkový plnovýsuv KA 5632 300mm/30kg SiSy EB12,7 černý</t>
  </si>
  <si>
    <t>9221525</t>
  </si>
  <si>
    <t>536193</t>
  </si>
  <si>
    <t>HETTICH 9221525 kuličkový plnovýsuv KA 5632 350mm/30kg SiSy EB12,7 černý</t>
  </si>
  <si>
    <t>9221526</t>
  </si>
  <si>
    <t>536194</t>
  </si>
  <si>
    <t>HETTICH 9221526 kuličkový plnovýsuv KA 5632 400mm/30kg SiSy EB12,7 černý</t>
  </si>
  <si>
    <t>9221527</t>
  </si>
  <si>
    <t>536195</t>
  </si>
  <si>
    <t>HETTICH 9221527 kuličkový plnovýsuv KA 5632 450mm/30kg SiSy EB12,7 černý</t>
  </si>
  <si>
    <t>9221528</t>
  </si>
  <si>
    <t>536196</t>
  </si>
  <si>
    <t>HETTICH 9221528 kuličkový plnovýsuv KA 5632 500mm/30kg SiSy EB12,7 černý</t>
  </si>
  <si>
    <t>9221539</t>
  </si>
  <si>
    <t>536197</t>
  </si>
  <si>
    <t>HETTICH 9221539 kuličkový plnovýsuv KA 5632 550mm/30kg SiSy EB12,7 černý</t>
  </si>
  <si>
    <t>9225673</t>
  </si>
  <si>
    <t>315814</t>
  </si>
  <si>
    <t>HETTICH 9225673 Quadro V6 300 EB23 celovýsuv SiSy L</t>
  </si>
  <si>
    <t>9225674</t>
  </si>
  <si>
    <t>315815</t>
  </si>
  <si>
    <t>HETTICH 9225674 Quadro V6 300 EB23 celovýsuv SiSy P</t>
  </si>
  <si>
    <t>9225675</t>
  </si>
  <si>
    <t>315816</t>
  </si>
  <si>
    <t>HETTICH 9225675 Quadro V6 350 EB23 celovýsuv SiSy L</t>
  </si>
  <si>
    <t>9225676</t>
  </si>
  <si>
    <t>315817</t>
  </si>
  <si>
    <t>HETTICH 9225676 Quadro V6 350 EB23 celovýsuv SiSy P</t>
  </si>
  <si>
    <t>9225677</t>
  </si>
  <si>
    <t>315818</t>
  </si>
  <si>
    <t>HETTICH 9225677 Quadro V6 400 EB23 celovýsuv SiSy L</t>
  </si>
  <si>
    <t>9225678</t>
  </si>
  <si>
    <t>315819</t>
  </si>
  <si>
    <t>HETTICH 9225678 Quadro V6 400 EB23 celovýsuv SiSy P</t>
  </si>
  <si>
    <t>9225729</t>
  </si>
  <si>
    <t>315820</t>
  </si>
  <si>
    <t>HETTICH 9225729 Quadro V6 450 EB23 celovýsuv SiSy L</t>
  </si>
  <si>
    <t>9225730</t>
  </si>
  <si>
    <t>315821</t>
  </si>
  <si>
    <t>HETTICH 9225730 Quadro V6 450 EB23 celovýsuv SiSy P</t>
  </si>
  <si>
    <t>9225731</t>
  </si>
  <si>
    <t>315822</t>
  </si>
  <si>
    <t>HETTICH 9225731 Quadro V6 500 EB23 celovýsuv SiSy L</t>
  </si>
  <si>
    <t>9225732</t>
  </si>
  <si>
    <t>315823</t>
  </si>
  <si>
    <t>HETTICH 9225732 Quadro V6 500 EB23 celovýsuv SiSy P</t>
  </si>
  <si>
    <t>9225734</t>
  </si>
  <si>
    <t>315824</t>
  </si>
  <si>
    <t>HETTICH 9225734 Quadro V6 300 EB23 celovýsuv P2O L</t>
  </si>
  <si>
    <t>9225735</t>
  </si>
  <si>
    <t>315825</t>
  </si>
  <si>
    <t>HETTICH 9225735 Quadro V6 300 EB23 celovýsuv P2O P</t>
  </si>
  <si>
    <t>9225737</t>
  </si>
  <si>
    <t>315826</t>
  </si>
  <si>
    <t>HETTICH 9225737 Quadro V6 350 EB23 celovýsuv P2O L</t>
  </si>
  <si>
    <t>9225738</t>
  </si>
  <si>
    <t>315827</t>
  </si>
  <si>
    <t>HETTICH 9225738 Quadro V6 350 EB23 celovýsuv P2O P</t>
  </si>
  <si>
    <t>9225739</t>
  </si>
  <si>
    <t>315828</t>
  </si>
  <si>
    <t>HETTICH 9225739 Quadro V6 400 EB23 celovýsuv P2O L</t>
  </si>
  <si>
    <t>9225740</t>
  </si>
  <si>
    <t>315829</t>
  </si>
  <si>
    <t>HETTICH 9225740 Quadro V6 400 EB23 celovýsuv P2O P</t>
  </si>
  <si>
    <t>9225741</t>
  </si>
  <si>
    <t>315830</t>
  </si>
  <si>
    <t>HETTICH 9225741 Quadro V6 450 EB23 celovýsuv P2O L</t>
  </si>
  <si>
    <t>9225742</t>
  </si>
  <si>
    <t>315831</t>
  </si>
  <si>
    <t>HETTICH 9225742 Quadro V6 450 EB23 celovýsuv P2O P</t>
  </si>
  <si>
    <t>9225743</t>
  </si>
  <si>
    <t>315832</t>
  </si>
  <si>
    <t>HETTICH 9225743 Quadro V6 500 EB23 celovýsuv P2O L</t>
  </si>
  <si>
    <t>9225744</t>
  </si>
  <si>
    <t>315833</t>
  </si>
  <si>
    <t>HETTICH 9225744 Quadro V6 500 EB23 celovýsuv P2O P</t>
  </si>
  <si>
    <t>9227006</t>
  </si>
  <si>
    <t>399786</t>
  </si>
  <si>
    <t>HETTICH 9227006 SlideLine M oboustranná lepící páska 25 m</t>
  </si>
  <si>
    <t>9227183</t>
  </si>
  <si>
    <t>328948</t>
  </si>
  <si>
    <t>HETTICH 9227183 SlideLine M horní/spodní vedení dvojité 2500mm stříbrná elox</t>
  </si>
  <si>
    <t>9227245</t>
  </si>
  <si>
    <t>501102</t>
  </si>
  <si>
    <t>HETTICH 9227245 SlideLine M SlideLine M Sada profilů/2500 mm</t>
  </si>
  <si>
    <t>9227246</t>
  </si>
  <si>
    <t>464136</t>
  </si>
  <si>
    <t>HETTICH 9227246 SlideLine M 1-profil/2500 mm (4 ks)</t>
  </si>
  <si>
    <t>9227397</t>
  </si>
  <si>
    <t>379965</t>
  </si>
  <si>
    <t>HETTICH 9227397 přípravek k umístění montážní podložky k nalepení</t>
  </si>
  <si>
    <t>9229920</t>
  </si>
  <si>
    <t>259606</t>
  </si>
  <si>
    <t>HETTICH 9229920 WingLine L středový skládací závěs s rychlomontáží</t>
  </si>
  <si>
    <t>9230256</t>
  </si>
  <si>
    <t>518462</t>
  </si>
  <si>
    <t>HETTICH 9230256 OrgaStore 830, 600 mm antracit</t>
  </si>
  <si>
    <t>9230268</t>
  </si>
  <si>
    <t>397937</t>
  </si>
  <si>
    <t>HETTICH 9230268 OrgaStore 810/830 držák dělícího profilu antracit</t>
  </si>
  <si>
    <t>491180</t>
  </si>
  <si>
    <t>HETTICH 9230268 OrgaStore 810/830 držák dělícího profilu antracit PD-50</t>
  </si>
  <si>
    <t>9230269</t>
  </si>
  <si>
    <t>397936</t>
  </si>
  <si>
    <t>HETTICH 9230269 OrgaStore 810/830 držák dělícího profilu bílý</t>
  </si>
  <si>
    <t>9233564</t>
  </si>
  <si>
    <t>519891</t>
  </si>
  <si>
    <t>HETTICH 9233564 ArciTech Pull Laundry KB450/NL500 koš na prádlo</t>
  </si>
  <si>
    <t>9233565</t>
  </si>
  <si>
    <t>519892</t>
  </si>
  <si>
    <t>HETTICH 9233565 Innotech Pull Laundry 450mm koš na prádlo</t>
  </si>
  <si>
    <t>9234469</t>
  </si>
  <si>
    <t>234964</t>
  </si>
  <si>
    <t>HETTICH 9234469 ArciTech flexi sada 500/78 stříbrná</t>
  </si>
  <si>
    <t>9234470</t>
  </si>
  <si>
    <t>396294</t>
  </si>
  <si>
    <t>HETTICH 9234470 ArciTech flexi sada 500/78 bílá</t>
  </si>
  <si>
    <t>9234471</t>
  </si>
  <si>
    <t>394298</t>
  </si>
  <si>
    <t>HETTICH 9234471 Arcitech Flexi sada 78/500 mm antracit</t>
  </si>
  <si>
    <t>9235834</t>
  </si>
  <si>
    <t>368529</t>
  </si>
  <si>
    <t>HETTICH 9235834 ArciTech - unašeč vnitřní zásuvky antracitový</t>
  </si>
  <si>
    <t>9235835</t>
  </si>
  <si>
    <t>368528</t>
  </si>
  <si>
    <t>HETTICH 9235835 ArciTech - unašeč vnitřní zásuvky šedý</t>
  </si>
  <si>
    <t>9235836</t>
  </si>
  <si>
    <t>368530</t>
  </si>
  <si>
    <t>HETTICH 9235836 ArciTech - unašeč vnitřní zásuvky šeď křemenná</t>
  </si>
  <si>
    <t>9235837</t>
  </si>
  <si>
    <t>368527</t>
  </si>
  <si>
    <t>HETTICH 9235837 InnoTech Atira - unašeč vnitřní zásuvky antracitový</t>
  </si>
  <si>
    <t>9235838</t>
  </si>
  <si>
    <t>361499</t>
  </si>
  <si>
    <t>HETTICH 9235838 InnoTech Atira - unašeč vnitřní zásuvky - šedý</t>
  </si>
  <si>
    <t>9236526</t>
  </si>
  <si>
    <t>318284</t>
  </si>
  <si>
    <t>HETTICH 9236526 dvojitý synchronizační adaptér PTO, typ A (Atira QV6+ / QV6)</t>
  </si>
  <si>
    <t>9236527</t>
  </si>
  <si>
    <t>318285</t>
  </si>
  <si>
    <t>HETTICH 9236527 dvojitý synchronizační adaptér PTO, typ B (Atira QV6)</t>
  </si>
  <si>
    <t>9236576</t>
  </si>
  <si>
    <t>488165</t>
  </si>
  <si>
    <t>HETTICH 9236576 SlideLine M 2-profil/4000 mm</t>
  </si>
  <si>
    <t>9236718</t>
  </si>
  <si>
    <t>318279</t>
  </si>
  <si>
    <t>HETTICH 9236718 synchronizační hřídel PTO/PTOs, 2m</t>
  </si>
  <si>
    <t>9237120</t>
  </si>
  <si>
    <t>485147</t>
  </si>
  <si>
    <t>HETTICH 9237120 úhlová podložka -5° k montážním podložkám Sensys/Intermat</t>
  </si>
  <si>
    <t>9237431</t>
  </si>
  <si>
    <t>377464</t>
  </si>
  <si>
    <t>HETTICH 9237431 WingLine 26 vodící díl se zavírací pružinou pravý</t>
  </si>
  <si>
    <t>9237432</t>
  </si>
  <si>
    <t>377463</t>
  </si>
  <si>
    <t>HETTICH 9237432 WingLine 26 vodící díl se zavírací pružinou, levý</t>
  </si>
  <si>
    <t>9237598</t>
  </si>
  <si>
    <t>185713</t>
  </si>
  <si>
    <t>HETTICH 9237598 Atira celovýsuv, Quadro V6, 260mm/30kg, bok 18mm, levá, SiSy</t>
  </si>
  <si>
    <t>9237600</t>
  </si>
  <si>
    <t>185715</t>
  </si>
  <si>
    <t>HETTICH 9237600 Atira celovýsuv, Quadro V6, 260mm/30kg, bok 18mm, pravá, SiSy</t>
  </si>
  <si>
    <t>9237603</t>
  </si>
  <si>
    <t>185794</t>
  </si>
  <si>
    <t>HETTICH 9237603 Atira celovýsuv, Quadro V6, 300mm/30kg, bok 18mm, levá, SiSy</t>
  </si>
  <si>
    <t>9237604</t>
  </si>
  <si>
    <t>185795</t>
  </si>
  <si>
    <t>HETTICH 9237604 Atira celovýsuv, Quadro V6, 300mm/30kg, bok 18mm, pravá, SiSy</t>
  </si>
  <si>
    <t>9237605</t>
  </si>
  <si>
    <t>467404</t>
  </si>
  <si>
    <t>HETTICH 9237605 Atira celovýsuv, Quadro V6, 350mm/30kg, bok 18mm, levá, SiSy</t>
  </si>
  <si>
    <t>466522</t>
  </si>
  <si>
    <t>HETTICH 9237605 Quadro V6 350 EB10,5 SiSy Ľ DALNO</t>
  </si>
  <si>
    <t>9237606</t>
  </si>
  <si>
    <t>467405</t>
  </si>
  <si>
    <t>HETTICH 9237606 Atira celovýsuv, Quadro V6, 350mm/30kg, bok 18mm, pravá, SiSy</t>
  </si>
  <si>
    <t>466523</t>
  </si>
  <si>
    <t>HETTICH 9237606 Quadro V6 350 EB10,5 SiSy P DALNO</t>
  </si>
  <si>
    <t>9237607</t>
  </si>
  <si>
    <t>185718</t>
  </si>
  <si>
    <t>HETTICH 9237607 Atira celovýsuv, Quadro V6, 420mm/30kg, bok 18mm, levá, SiSy</t>
  </si>
  <si>
    <t>465015</t>
  </si>
  <si>
    <t>HETTICH 9237607 Quadro V6 420mm/30kg EB10,5 SiSy Ľ DALNO</t>
  </si>
  <si>
    <t>9237608</t>
  </si>
  <si>
    <t>185719</t>
  </si>
  <si>
    <t>HETTICH 9237608 Atira celovýsuv, Quadro V6, 420mm/30kg, bok 18mm, pravá, SiSy</t>
  </si>
  <si>
    <t>465016</t>
  </si>
  <si>
    <t>HETTICH 9237608 Quadro V6 420mm/30kg EB10,5 SiSy P DALNO</t>
  </si>
  <si>
    <t>9237609</t>
  </si>
  <si>
    <t>465203</t>
  </si>
  <si>
    <t>HETTICH 9237609 Atira celovýsuv, Quadro V6, 520mm/30kg, bok 18mm, levá, SiSy</t>
  </si>
  <si>
    <t>9237610</t>
  </si>
  <si>
    <t>465204</t>
  </si>
  <si>
    <t>HETTICH 9237610 Atira celovýsuv, Quadro V6, 520mm/30kg, bok 18mm, pravá, SiSy</t>
  </si>
  <si>
    <t>9237621</t>
  </si>
  <si>
    <t>489559</t>
  </si>
  <si>
    <t>HETTICH 9237621 Atira celovýsuv, Quadro V6+, 300mm/40kg, bok 18mm, levá, SiSy</t>
  </si>
  <si>
    <t>9237622</t>
  </si>
  <si>
    <t>489560</t>
  </si>
  <si>
    <t>HETTICH 9237622 Atira celovýsuv, Quadro V6+, 300mm/40kg, bok 18mm, pravá, SiSy</t>
  </si>
  <si>
    <t>9237624</t>
  </si>
  <si>
    <t>489557</t>
  </si>
  <si>
    <t>HETTICH 9237624 Atira celovýsuv, Quadro V6+, 350mm/40kg, bok 18mm, levá, SiSy</t>
  </si>
  <si>
    <t>9237625</t>
  </si>
  <si>
    <t>489558</t>
  </si>
  <si>
    <t>HETTICH 9237625 Atira celovýsuv, Quadro V6+, 350mm/40kg, bok 18mm, pravá, SiSy</t>
  </si>
  <si>
    <t>9237638</t>
  </si>
  <si>
    <t>458701</t>
  </si>
  <si>
    <t>HETTICH 9237638 Atira celovýsuv, Quadro V6+, 520mm/50kg, bok 18mm, levá, SiSy</t>
  </si>
  <si>
    <t>9237640</t>
  </si>
  <si>
    <t>458702</t>
  </si>
  <si>
    <t>HETTICH 9237640 Atira celovýsuv, Quadro V6+, 520mm/50kg, bok 18mm, pravá, SiSy</t>
  </si>
  <si>
    <t>9237641</t>
  </si>
  <si>
    <t>458033</t>
  </si>
  <si>
    <t>HETTICH 9237641 Atira celovýsuv, Quadro V6+, 620mm/50kg, bok 18mm, levá, SiSy</t>
  </si>
  <si>
    <t>9237642</t>
  </si>
  <si>
    <t>458034</t>
  </si>
  <si>
    <t>HETTICH 9237642 Atira celovýsuv, Quadro V6+, 620mm/50kg, bok 18mm, pravá, SiSy</t>
  </si>
  <si>
    <t>9237710</t>
  </si>
  <si>
    <t>518602</t>
  </si>
  <si>
    <t>HETTICH 9237710 WingLine L držák otevřených dveří, levý, šedá</t>
  </si>
  <si>
    <t>9237711</t>
  </si>
  <si>
    <t>518605</t>
  </si>
  <si>
    <t>HETTICH 9237711 WingLine L držák otevřených dveří, pravý, šedá</t>
  </si>
  <si>
    <t>9237917</t>
  </si>
  <si>
    <t>347041</t>
  </si>
  <si>
    <t>HETTICH 9237917 WingLine L horní nosný profil hliník 2400 mm</t>
  </si>
  <si>
    <t>9238023</t>
  </si>
  <si>
    <t>412476</t>
  </si>
  <si>
    <t>HETTICH 9238023 Quadro V6 PTO aktivátor P (ND)</t>
  </si>
  <si>
    <t>9238052</t>
  </si>
  <si>
    <t>378799</t>
  </si>
  <si>
    <t>HETTICH 9238052 'MECHANIZM PUSH TO MOVE DUŻE DRZWI, LEWY</t>
  </si>
  <si>
    <t>9238120</t>
  </si>
  <si>
    <t>347045</t>
  </si>
  <si>
    <t>HETTICH 9238120 WingLine L Pull to move silent pro lehké dveře L</t>
  </si>
  <si>
    <t>409279</t>
  </si>
  <si>
    <t>HETTICH 9238120 WingLine L/S mechanismus Pull2MS pro lehké dveře šedý levý</t>
  </si>
  <si>
    <t>9238121</t>
  </si>
  <si>
    <t>409285</t>
  </si>
  <si>
    <t>HETTICH 9238121 WingLine L/S mechanismus Pull2MS pro středně těžké dveře šedý L</t>
  </si>
  <si>
    <t>9238123</t>
  </si>
  <si>
    <t>409291</t>
  </si>
  <si>
    <t>HETTICH 9238123 WingLine L mechanismus Pull2MS pro těžké dveře levý šedá</t>
  </si>
  <si>
    <t>9238321</t>
  </si>
  <si>
    <t>347259</t>
  </si>
  <si>
    <t>HETTICH 9238321 samořezný šroub do otvoru 5mm pro kompaktní desky</t>
  </si>
  <si>
    <t>9238753</t>
  </si>
  <si>
    <t>352713</t>
  </si>
  <si>
    <t>HETTICH 9238753 Actro 40kg plnovýsuv 270mm tl16mm SiSy levý</t>
  </si>
  <si>
    <t>9238755</t>
  </si>
  <si>
    <t>352714</t>
  </si>
  <si>
    <t>HETTICH 9238755 Actro 40 kg 270 mm tl16 mm SiSy P</t>
  </si>
  <si>
    <t>9238773</t>
  </si>
  <si>
    <t>352734</t>
  </si>
  <si>
    <t>HETTICH 9238773 Actro 40 kg 450 mm tl16 mm SiSy L</t>
  </si>
  <si>
    <t>9238779</t>
  </si>
  <si>
    <t>352743</t>
  </si>
  <si>
    <t>HETTICH 9238779 Actro 60 kg 500 mm tl16 mm SiSy L</t>
  </si>
  <si>
    <t>9238780</t>
  </si>
  <si>
    <t>352744</t>
  </si>
  <si>
    <t>HETTICH 9238780 Actro 60kg plnovýsuv 500mm tl16mm SiSy pravý</t>
  </si>
  <si>
    <t>9239087</t>
  </si>
  <si>
    <t>362355</t>
  </si>
  <si>
    <t>HETTICH 9239087 PTOs pro závěsy s integrovaným tlumením antracit</t>
  </si>
  <si>
    <t>9239088</t>
  </si>
  <si>
    <t>362356</t>
  </si>
  <si>
    <t>HETTICH 9239088 PTOs pro závěsy s integrovaným tlumením bílá</t>
  </si>
  <si>
    <t>9239099</t>
  </si>
  <si>
    <t>362357</t>
  </si>
  <si>
    <t>HETTICH 9239099 PTOs pro závěsy s integrovaným tlumením šedá</t>
  </si>
  <si>
    <t>9239267</t>
  </si>
  <si>
    <t>352595</t>
  </si>
  <si>
    <t>HETTICH 9239267 Actro celovýsuv, 270mm/10kg, bok 18mm, levá, SiSy</t>
  </si>
  <si>
    <t>9239268</t>
  </si>
  <si>
    <t>352596</t>
  </si>
  <si>
    <t>HETTICH 9239268 Actro celovýsuv, 270mm/10kg, bok 18mm, pravá, SiSy</t>
  </si>
  <si>
    <t>9239269</t>
  </si>
  <si>
    <t>352599</t>
  </si>
  <si>
    <t>HETTICH 9239269 Actro 40kg 270 mm tl18 mm SiSy L</t>
  </si>
  <si>
    <t>9239270</t>
  </si>
  <si>
    <t>352600</t>
  </si>
  <si>
    <t>HETTICH 9239270 Actro 40 kg 270 mm tl18 mm SiSy P</t>
  </si>
  <si>
    <t>9239271</t>
  </si>
  <si>
    <t>352602</t>
  </si>
  <si>
    <t>HETTICH 9239271 Actro celovýsuv, 300mm/10kg, bok 18mm, levá, SiSy</t>
  </si>
  <si>
    <t>9239272</t>
  </si>
  <si>
    <t>352603</t>
  </si>
  <si>
    <t>HETTICH 9239272 Actro celovýsuv, 300mm/10kg, bok 18mm, pravá, SiSy</t>
  </si>
  <si>
    <t>9239273</t>
  </si>
  <si>
    <t>352605</t>
  </si>
  <si>
    <t>HETTICH 9239273 Actro celovýsuv, 300mm/40kg, bok 18mm, levá, SiSy</t>
  </si>
  <si>
    <t>9239274</t>
  </si>
  <si>
    <t>352606</t>
  </si>
  <si>
    <t>HETTICH 9239274 Actro celovýsuv, 300mm/40kg, bok 18mm, pravá, SiSy</t>
  </si>
  <si>
    <t>9239275</t>
  </si>
  <si>
    <t>352608</t>
  </si>
  <si>
    <t>HETTICH 9239275 Actro celovýsuv, 350mm/10kg, bok 18mm, levá, SiSy</t>
  </si>
  <si>
    <t>9239276</t>
  </si>
  <si>
    <t>352609</t>
  </si>
  <si>
    <t>HETTICH 9239276 Actro celovýsuv, 350mm/10kg, bok 18mm, pravá, SiSy</t>
  </si>
  <si>
    <t>9239277</t>
  </si>
  <si>
    <t>352611</t>
  </si>
  <si>
    <t>HETTICH 9239277 Actro celovýsuv, 350mm/40kg, bok 18mm, levá, SiSy</t>
  </si>
  <si>
    <t>9239278</t>
  </si>
  <si>
    <t>352612</t>
  </si>
  <si>
    <t>HETTICH 9239278 Actro celovýsuv, 350mm/40kg, bok 18mm, pravá, SiSy</t>
  </si>
  <si>
    <t>9239279</t>
  </si>
  <si>
    <t>352614</t>
  </si>
  <si>
    <t>HETTICH 9239279 Actro celovýsuv, 400mm/40kg, bok 18mm, levá, SiSy</t>
  </si>
  <si>
    <t>9239280</t>
  </si>
  <si>
    <t>352615</t>
  </si>
  <si>
    <t>HETTICH 9239280 Actro celovýsuv, 400mm/40kg, bok 18mm, pravá, SiSy</t>
  </si>
  <si>
    <t>9239283</t>
  </si>
  <si>
    <t>352620</t>
  </si>
  <si>
    <t>HETTICH 9239283 Actro celovýsuv, 450mm/40kg, bok 18mm, levá, SiSy</t>
  </si>
  <si>
    <t>9239284</t>
  </si>
  <si>
    <t>352621</t>
  </si>
  <si>
    <t>HETTICH 9239284 Actro celovýsuv, 450mm/40kg, bok 18mm, pravá, SiSy</t>
  </si>
  <si>
    <t>9239285</t>
  </si>
  <si>
    <t>352623</t>
  </si>
  <si>
    <t>HETTICH 9239285 Actro 60kg 450 mm tl18 mm SiSy L</t>
  </si>
  <si>
    <t>9239286</t>
  </si>
  <si>
    <t>352624</t>
  </si>
  <si>
    <t>HETTICH 9239286 Actro 60kg 450 mm tl18 mm SiSy P</t>
  </si>
  <si>
    <t>9239287</t>
  </si>
  <si>
    <t>352626</t>
  </si>
  <si>
    <t>HETTICH 9239287 Actro celovýsuv, 500mm/40kg, bok 18mm, levá, SiSy</t>
  </si>
  <si>
    <t>9239288</t>
  </si>
  <si>
    <t>352627</t>
  </si>
  <si>
    <t>HETTICH 9239288 Actro celovýsuv, 500mm/40kg, bok 18mm, pravá, SiSy</t>
  </si>
  <si>
    <t>9239289</t>
  </si>
  <si>
    <t>352629</t>
  </si>
  <si>
    <t>HETTICH 9239289 Actro 60kg plnovýsuv 500mm tl18mm SiSy levý</t>
  </si>
  <si>
    <t>9239290</t>
  </si>
  <si>
    <t>352630</t>
  </si>
  <si>
    <t>HETTICH 9239290 Actro 60kg plnovýsuv 500mm tl18mm SiSy pravý</t>
  </si>
  <si>
    <t>9239293</t>
  </si>
  <si>
    <t>352635</t>
  </si>
  <si>
    <t>HETTICH 9239293 Actro celovýsuv, 550mm/40kg, bok 18mm, levá, SiSy</t>
  </si>
  <si>
    <t>9239294</t>
  </si>
  <si>
    <t>352636</t>
  </si>
  <si>
    <t>HETTICH 9239294 Actro celovýsuv, 550mm/40kg, bok 18mm, pravá, SiSy</t>
  </si>
  <si>
    <t>9239295</t>
  </si>
  <si>
    <t>352638</t>
  </si>
  <si>
    <t>HETTICH 9239295 Actro 60kg 550 mm tl18 mm SiSy L</t>
  </si>
  <si>
    <t>417940</t>
  </si>
  <si>
    <t>HETTICH 9239295 Actro 70kg 550 mm tl18 mm SiSy L</t>
  </si>
  <si>
    <t>9239296</t>
  </si>
  <si>
    <t>352639</t>
  </si>
  <si>
    <t>HETTICH 9239296 Actro 60 kg 550 mm tl18 mm SiSy P</t>
  </si>
  <si>
    <t>417939</t>
  </si>
  <si>
    <t>HETTICH 9239296 Actro 70 kg 550 mm tl18 mm SiSy P</t>
  </si>
  <si>
    <t>9239299</t>
  </si>
  <si>
    <t>352644</t>
  </si>
  <si>
    <t>HETTICH 9239299 Actro celovýsuv, 650mm/40kg, bok 18mm, levá, SiSy</t>
  </si>
  <si>
    <t>9239300</t>
  </si>
  <si>
    <t>352645</t>
  </si>
  <si>
    <t>HETTICH 9239300 Actro celovýsuv, 650mm/40kg, bok 18mm, pravá, SiSy</t>
  </si>
  <si>
    <t>9239301</t>
  </si>
  <si>
    <t>352647</t>
  </si>
  <si>
    <t>HETTICH 9239301 Actro 60kg plnovýsuv 650mm tl18mm SiSy levý</t>
  </si>
  <si>
    <t>417941</t>
  </si>
  <si>
    <t>HETTICH 9239301 Actro 70 kg 650 mm tl18 mm SiSy L</t>
  </si>
  <si>
    <t>9239302</t>
  </si>
  <si>
    <t>352648</t>
  </si>
  <si>
    <t>HETTICH 9239302 Actro 60 kg 650 mm tl18 mm SiSy P</t>
  </si>
  <si>
    <t>417942</t>
  </si>
  <si>
    <t>HETTICH 9239302 Actro 70 kg 650 mm tl18 mm SiSy P</t>
  </si>
  <si>
    <t>9239311</t>
  </si>
  <si>
    <t>409249</t>
  </si>
  <si>
    <t>HETTICH 9239311 WingLine L vodící profily 1200 mm eloxovaný hliník</t>
  </si>
  <si>
    <t>9239329</t>
  </si>
  <si>
    <t>418012</t>
  </si>
  <si>
    <t>HETTICH 9239329 SlideLine M 1-dráhový nosný profil k zalisování 4000mm alu elox</t>
  </si>
  <si>
    <t>9239784</t>
  </si>
  <si>
    <t>387533</t>
  </si>
  <si>
    <t>HETTICH 9239784 přídavný závěs Kamat</t>
  </si>
  <si>
    <t>9240161</t>
  </si>
  <si>
    <t>352906</t>
  </si>
  <si>
    <t>HETTICH 9240161 Atira mechanismus PTOs, 10kg</t>
  </si>
  <si>
    <t>9240162</t>
  </si>
  <si>
    <t>352907</t>
  </si>
  <si>
    <t>HETTICH 9240162 Atira mechanismus PTOs, 8-20kg</t>
  </si>
  <si>
    <t>9240163</t>
  </si>
  <si>
    <t>352908</t>
  </si>
  <si>
    <t>HETTICH 9240163 Atira mechanismus PTOs, 10-30kg</t>
  </si>
  <si>
    <t>9240164</t>
  </si>
  <si>
    <t>352909</t>
  </si>
  <si>
    <t>HETTICH 9240164 Atira mechanismus PTOs, 20-50kg</t>
  </si>
  <si>
    <t>9240567</t>
  </si>
  <si>
    <t>352671</t>
  </si>
  <si>
    <t>HETTICH 9240567 Actro 40kg 400 mm tl19 mm SiSy L</t>
  </si>
  <si>
    <t>9240568</t>
  </si>
  <si>
    <t>352672</t>
  </si>
  <si>
    <t>HETTICH 9240568 Actro 40kg 400 mm tl19 mm SiSy P</t>
  </si>
  <si>
    <t>9240571</t>
  </si>
  <si>
    <t>352677</t>
  </si>
  <si>
    <t>HETTICH 9240571 Actro 40kg plnovýsuv 450mm tl19mm SiSy levý</t>
  </si>
  <si>
    <t>9240572</t>
  </si>
  <si>
    <t>352678</t>
  </si>
  <si>
    <t>HETTICH 9240572 Actro 40kg plnovýsuv 450mm tl19mm SiSy pravý</t>
  </si>
  <si>
    <t>9240575</t>
  </si>
  <si>
    <t>352683</t>
  </si>
  <si>
    <t>HETTICH 9240575 Actro 40kg 500 mm tl19 mm SiSy L</t>
  </si>
  <si>
    <t>9240576</t>
  </si>
  <si>
    <t>352684</t>
  </si>
  <si>
    <t>HETTICH 9240576 Actro 40 kg 500 mm tl19 mm SiSy P</t>
  </si>
  <si>
    <t>9240694</t>
  </si>
  <si>
    <t>378500</t>
  </si>
  <si>
    <t>HETTICH 9240694 ArciTech dekorativní profil 650mm chrom</t>
  </si>
  <si>
    <t>9240695</t>
  </si>
  <si>
    <t>378498</t>
  </si>
  <si>
    <t>HETTICH 9240695 ArciTech dekorativní profil 650mm hliník</t>
  </si>
  <si>
    <t>9240696</t>
  </si>
  <si>
    <t>378501</t>
  </si>
  <si>
    <t>HETTICH 9240696 ArciTech dekorativní profil 650mm imitace nerezi</t>
  </si>
  <si>
    <t>9240697</t>
  </si>
  <si>
    <t>378499</t>
  </si>
  <si>
    <t>HETTICH 9240697 ArciTech dekorativní profil 650mm dub</t>
  </si>
  <si>
    <t>9240698</t>
  </si>
  <si>
    <t>378502</t>
  </si>
  <si>
    <t>HETTICH 9240698 ArciTech dekorativní profil 650mm ořech</t>
  </si>
  <si>
    <t>9240704</t>
  </si>
  <si>
    <t>378510</t>
  </si>
  <si>
    <t>HETTICH 9240704 Atira dekorativní profil 620mm chrom</t>
  </si>
  <si>
    <t>9240705</t>
  </si>
  <si>
    <t>378508</t>
  </si>
  <si>
    <t>HETTICH 9240705 Atira dekorativní profil 620mm hliník</t>
  </si>
  <si>
    <t>9240706</t>
  </si>
  <si>
    <t>378511</t>
  </si>
  <si>
    <t>HETTICH 9240706 Atira dekorativní profil 620mm imitace nerezi</t>
  </si>
  <si>
    <t>9240707</t>
  </si>
  <si>
    <t>378509</t>
  </si>
  <si>
    <t>HETTICH 9240707 Atira dekorativní profil 620mm dub</t>
  </si>
  <si>
    <t>9240708</t>
  </si>
  <si>
    <t>378512</t>
  </si>
  <si>
    <t>HETTICH 9240708 Atira dekorativní profil 620mm ořech</t>
  </si>
  <si>
    <t>9240813</t>
  </si>
  <si>
    <t>505843</t>
  </si>
  <si>
    <t>HETTICH 9240813 kloub pro skládací lamelové rošty</t>
  </si>
  <si>
    <t>9240870</t>
  </si>
  <si>
    <t>352727</t>
  </si>
  <si>
    <t>HETTICH 9240870 Actro 40kg plnovýsuv 350mm tl16mm SiSy sada</t>
  </si>
  <si>
    <t>9240871</t>
  </si>
  <si>
    <t>352730</t>
  </si>
  <si>
    <t>HETTICH 9240871 Actro 40kg plnovýsuv 400mm tl16mm SiSy sada</t>
  </si>
  <si>
    <t>9240872</t>
  </si>
  <si>
    <t>352736</t>
  </si>
  <si>
    <t>HETTICH 9240872 Actro 40kg 450 mm tl16 mm SiSy L+P</t>
  </si>
  <si>
    <t>9240873</t>
  </si>
  <si>
    <t>352742</t>
  </si>
  <si>
    <t>HETTICH 9240873 Actro 40kg 500 mm tl16 mm SiSy L+P</t>
  </si>
  <si>
    <t>9240877</t>
  </si>
  <si>
    <t>352739</t>
  </si>
  <si>
    <t>HETTICH 9240877 Actro 60 kg 450 mm tl16 mm SiSy L+P</t>
  </si>
  <si>
    <t>9240878</t>
  </si>
  <si>
    <t>352745</t>
  </si>
  <si>
    <t>HETTICH 9240878 Actro 60kg plnovýsuv 500mm tl16mm SiSy sada</t>
  </si>
  <si>
    <t>9240884</t>
  </si>
  <si>
    <t>352598</t>
  </si>
  <si>
    <t>HETTICH 9240884 Actro 10 kg 270 mm tl18 mm SiSy L+P</t>
  </si>
  <si>
    <t>9240885</t>
  </si>
  <si>
    <t>352604</t>
  </si>
  <si>
    <t>HETTICH 9240885 Actro 10kg 300 mm tl18 mm SiSy L+P</t>
  </si>
  <si>
    <t>9240886</t>
  </si>
  <si>
    <t>352610</t>
  </si>
  <si>
    <t>HETTICH 9240886 Actro 10kg plnovýsuv 350mm tl18mm SiSy sada</t>
  </si>
  <si>
    <t>9240887</t>
  </si>
  <si>
    <t>352601</t>
  </si>
  <si>
    <t>HETTICH 9240887 Actro 40kg 270 mm tl18 mm SiSy L+P</t>
  </si>
  <si>
    <t>9240888</t>
  </si>
  <si>
    <t>352607</t>
  </si>
  <si>
    <t>HETTICH 9240888 Actro 40 kg 300 mm tl18 mm SiSy L+P</t>
  </si>
  <si>
    <t>9240889</t>
  </si>
  <si>
    <t>352613</t>
  </si>
  <si>
    <t>HETTICH 9240889 Actro 40kg plnovýsuv 350mm tl18mm SiSy sada</t>
  </si>
  <si>
    <t>9240890</t>
  </si>
  <si>
    <t>352616</t>
  </si>
  <si>
    <t>HETTICH 9240890 Actro 40 kg 400 mm tl18 mm SiSy L+P</t>
  </si>
  <si>
    <t>9240891</t>
  </si>
  <si>
    <t>352622</t>
  </si>
  <si>
    <t>HETTICH 9240891 Actro 40kg plnovýsuv 450 mm tl18 mm, SiSy, sada</t>
  </si>
  <si>
    <t>9240893</t>
  </si>
  <si>
    <t>352628</t>
  </si>
  <si>
    <t>HETTICH 9240893 Actro 40kg plnovýsuv 500mm tl18mm silent system sada</t>
  </si>
  <si>
    <t>9240894</t>
  </si>
  <si>
    <t>352637</t>
  </si>
  <si>
    <t>HETTICH 9240894 Actro 40kg 550 mm tl18 mm SiSy L+P</t>
  </si>
  <si>
    <t>9240895</t>
  </si>
  <si>
    <t>352646</t>
  </si>
  <si>
    <t>HETTICH 9240895 Actro 40kg plnovýsuv 650mm tl18mm SiSy sada</t>
  </si>
  <si>
    <t>9240897</t>
  </si>
  <si>
    <t>352625</t>
  </si>
  <si>
    <t>HETTICH 9240897 Actro 60kg 450 mm tl18 mm SiSy L+P</t>
  </si>
  <si>
    <t>9240898</t>
  </si>
  <si>
    <t>352631</t>
  </si>
  <si>
    <t>HETTICH 9240898 Actro 70kg 500 mm tl18 mm SiSy L+P</t>
  </si>
  <si>
    <t>9240899</t>
  </si>
  <si>
    <t>352640</t>
  </si>
  <si>
    <t>HETTICH 9240899 Actro 70kg 550 mm tl18 mm SiSy L+P</t>
  </si>
  <si>
    <t>9240900</t>
  </si>
  <si>
    <t>352649</t>
  </si>
  <si>
    <t>HETTICH 9240900 Actro 60kg 650 mm tl18 mm SiSy L+P</t>
  </si>
  <si>
    <t>9240922</t>
  </si>
  <si>
    <t>352661</t>
  </si>
  <si>
    <t>HETTICH 9240922 Actro 10kg plnovýsuv 300mm tl19mm SiSy sada</t>
  </si>
  <si>
    <t>9240925</t>
  </si>
  <si>
    <t>352664</t>
  </si>
  <si>
    <t>HETTICH 9240925 Actro 40 kg 300 mm tl19 mm SiSy L+P</t>
  </si>
  <si>
    <t>9240931</t>
  </si>
  <si>
    <t>352685</t>
  </si>
  <si>
    <t>HETTICH 9240931 Actro 40kg 500 mm tl19 mm SiSy L+P</t>
  </si>
  <si>
    <t>9240933</t>
  </si>
  <si>
    <t>352703</t>
  </si>
  <si>
    <t>HETTICH 9240933 Actro 40kg 650 mm tl19 mm SiSy L+P</t>
  </si>
  <si>
    <t>9240935</t>
  </si>
  <si>
    <t>352682</t>
  </si>
  <si>
    <t>HETTICH 9240935 Actro 60 kg 450 mm tl19 mm SiSy L+P</t>
  </si>
  <si>
    <t>9240937</t>
  </si>
  <si>
    <t>352697</t>
  </si>
  <si>
    <t>HETTICH 9240937 Actro 60kg plnovýsuv 550mm tl19mm SiSy sada</t>
  </si>
  <si>
    <t>9241038</t>
  </si>
  <si>
    <t>352767</t>
  </si>
  <si>
    <t>HETTICH 9241038 ArciTech mechanismus PTOs, 10kg</t>
  </si>
  <si>
    <t>9241049</t>
  </si>
  <si>
    <t>352768</t>
  </si>
  <si>
    <t>HETTICH 9241049 ArciTech mechanismus PTOs, 8-20kg</t>
  </si>
  <si>
    <t>9241050</t>
  </si>
  <si>
    <t>352769</t>
  </si>
  <si>
    <t>HETTICH 9241050 ArciTech mechanismus PTOs, 10-40kg</t>
  </si>
  <si>
    <t>9241051</t>
  </si>
  <si>
    <t>352770</t>
  </si>
  <si>
    <t>HETTICH 9241051 ArciTech mechanismus PTOs, 20-70kg</t>
  </si>
  <si>
    <t>9242213</t>
  </si>
  <si>
    <t>519656</t>
  </si>
  <si>
    <t>HETTICH 9242213 TopLine M sada SiSy pro zavírání 2 dveří, do 25kg</t>
  </si>
  <si>
    <t>9242219</t>
  </si>
  <si>
    <t>519685</t>
  </si>
  <si>
    <t>HETTICH 9242219 TOPLINE L SILENT SYSTEM SADA PRO ZAVÍRÁNÍ 2 DVEŘÍ DO 40 KG</t>
  </si>
  <si>
    <t>9242227</t>
  </si>
  <si>
    <t>404548</t>
  </si>
  <si>
    <t>HETTICH 9242227 TopLine L new sada tlumení, 2 křídla ve směru otvírání, 50 kg</t>
  </si>
  <si>
    <t>9242228</t>
  </si>
  <si>
    <t>404549</t>
  </si>
  <si>
    <t>HETTICH 9242228 TopLine L new sada tlumení, 3 křídla ve směru otvírání, 50 kg</t>
  </si>
  <si>
    <t>9242229</t>
  </si>
  <si>
    <t>519686</t>
  </si>
  <si>
    <t>HETTICH 9242229 TopLine tlumené zavírání Silent System pro 2 dveře, 70 kg</t>
  </si>
  <si>
    <t>9242238</t>
  </si>
  <si>
    <t>404544</t>
  </si>
  <si>
    <t>HETTICH 9242238 TopLine L new sada tlumení, 2 křídla ve směru zavírání, 50 kg</t>
  </si>
  <si>
    <t>9242240</t>
  </si>
  <si>
    <t>404545</t>
  </si>
  <si>
    <t>HETTICH 9242240 TopLine L new sada tlumení, 3 křídla ve směru zavírání, 50 kg</t>
  </si>
  <si>
    <t>9242696</t>
  </si>
  <si>
    <t>519698</t>
  </si>
  <si>
    <t>Hettich 9242696 TopLine L sada pro zvýšení nosnosti na 70 kg, přední dveře</t>
  </si>
  <si>
    <t>9242708</t>
  </si>
  <si>
    <t>404536</t>
  </si>
  <si>
    <t>HETTICH 9242708 TopLine L new 10-16 mm/50 kg 2 křídla, přední dveře vlevo</t>
  </si>
  <si>
    <t>9242709</t>
  </si>
  <si>
    <t>404537</t>
  </si>
  <si>
    <t>HETTICH 9242709 TopLine L new 10-16 mm/50 kg 2 křídla, přední dveře vpravo</t>
  </si>
  <si>
    <t>9242710</t>
  </si>
  <si>
    <t>404538</t>
  </si>
  <si>
    <t>HETTICH 9242710 TopLine L new 10-16 mm/50 kg 3 křídla</t>
  </si>
  <si>
    <t>9242711</t>
  </si>
  <si>
    <t>404539</t>
  </si>
  <si>
    <t>HETTICH 9242711 TopLine L new 18-30 mm/50 kg 2 křídla, přední dveře vlevo</t>
  </si>
  <si>
    <t>9242712</t>
  </si>
  <si>
    <t>404540</t>
  </si>
  <si>
    <t>HETTICH 9242712 TopLine L new 18-30 mm/50 kg 2 křídla, přední dveře vpravo</t>
  </si>
  <si>
    <t>9242713</t>
  </si>
  <si>
    <t>404541</t>
  </si>
  <si>
    <t>HETTICH 9242713 TopLine L new 18-30 mm/50 kg 3 křídla</t>
  </si>
  <si>
    <t>9242714</t>
  </si>
  <si>
    <t>519662</t>
  </si>
  <si>
    <t>HETTICH 9242714 TopLine L new 35-50 mm/50 kg 2 křídla, přední dveře vlevo</t>
  </si>
  <si>
    <t>9242715</t>
  </si>
  <si>
    <t>519663</t>
  </si>
  <si>
    <t>HETTICH 9242715 TopLine L new 35-50 mm/50 kg 2 křídla, přední dveře vpravo</t>
  </si>
  <si>
    <t>9242723</t>
  </si>
  <si>
    <t>519700</t>
  </si>
  <si>
    <t>Hettich 9242723 TopLine L sada pro zvýšení nosnosti na 70 kg, zadní dveře</t>
  </si>
  <si>
    <t>9242739</t>
  </si>
  <si>
    <t>536684</t>
  </si>
  <si>
    <t>HETTICH 9242739 TopLine L new 19 mm 2 křídla, přední dveře vpravo</t>
  </si>
  <si>
    <t>9242754</t>
  </si>
  <si>
    <t>519670</t>
  </si>
  <si>
    <t>HETTICH 9242754 TopLine L sada pro 2 dveře přední vlevo</t>
  </si>
  <si>
    <t>9242755</t>
  </si>
  <si>
    <t>556575</t>
  </si>
  <si>
    <t>HETTICH 9242755 TopLine L new 20 mm/50 kg 2 křídla, přední dveře vpravo</t>
  </si>
  <si>
    <t>9243050</t>
  </si>
  <si>
    <t>383573</t>
  </si>
  <si>
    <t>HETTICH 9243050 LegaDrive spojovací deska 170x170, bílá</t>
  </si>
  <si>
    <t>9243053</t>
  </si>
  <si>
    <t>383570</t>
  </si>
  <si>
    <t>HETTICH 9243053 Kabelový kanál vodorovný, šedý</t>
  </si>
  <si>
    <t>9243064</t>
  </si>
  <si>
    <t>383569</t>
  </si>
  <si>
    <t>HETTICH 9243064 Kabelový kanál vodorovný, bílý</t>
  </si>
  <si>
    <t>9243680</t>
  </si>
  <si>
    <t>352798</t>
  </si>
  <si>
    <t>HETTICH 9243680 Atira celovýsuv, Quadro V6, 260mm/10kg, bok 18mm, levá, PTOs</t>
  </si>
  <si>
    <t>9243681</t>
  </si>
  <si>
    <t>352799</t>
  </si>
  <si>
    <t>HETTICH 9243681 Quadro V6_10 P2Os 260 mm eb10,5 P</t>
  </si>
  <si>
    <t>9243683</t>
  </si>
  <si>
    <t>352801</t>
  </si>
  <si>
    <t>HETTICH 9243683 Quadro V6_10 P2Os 300 mm eb10,5 L</t>
  </si>
  <si>
    <t>9243684</t>
  </si>
  <si>
    <t>352802</t>
  </si>
  <si>
    <t>HETTICH 9243684 Quadro V6_10 P2Os 300 mm eb10,5 P</t>
  </si>
  <si>
    <t>9243686</t>
  </si>
  <si>
    <t>352804</t>
  </si>
  <si>
    <t>HETTICH 9243686 Atira celovýsuv, Quadro V6, 350mm/10kg, bok 18mm, levá, PTOs</t>
  </si>
  <si>
    <t>9243687</t>
  </si>
  <si>
    <t>352805</t>
  </si>
  <si>
    <t>HETTICH 9243687 Atira celovýsuv, Quadro V6, 350mm/10kg, bok 18mm, pravá, PTOs</t>
  </si>
  <si>
    <t>9243689</t>
  </si>
  <si>
    <t>352807</t>
  </si>
  <si>
    <t>HETTICH 9243689 Atira celovýsuv, Quadro V6, 260mm/30kg, bok 18mm, levá, PTOs</t>
  </si>
  <si>
    <t>9243690</t>
  </si>
  <si>
    <t>352808</t>
  </si>
  <si>
    <t>HETTICH 9243690 Atira celovýsuv, Quadro V6, 260mm/30kg, bok 18mm, pravá, PTOs</t>
  </si>
  <si>
    <t>9243691</t>
  </si>
  <si>
    <t>352809</t>
  </si>
  <si>
    <t>HETTICH 9243691 Quadro V6 260 mm eb10,5 P2Os L+P</t>
  </si>
  <si>
    <t>9243692</t>
  </si>
  <si>
    <t>352810</t>
  </si>
  <si>
    <t>HETTICH 9243692 Atira celovýsuv, Quadro V6, 300mm/30kg, bok 18mm, levá, PTOs</t>
  </si>
  <si>
    <t>9243693</t>
  </si>
  <si>
    <t>352811</t>
  </si>
  <si>
    <t>HETTICH 9243693 Atira celovýsuv, Quadro V6, 300mm/30kg, bok 18mm, pravá, PTOs</t>
  </si>
  <si>
    <t>9243695</t>
  </si>
  <si>
    <t>352813</t>
  </si>
  <si>
    <t>HETTICH 9243695 Atira celovýsuv, Quadro V6, 350mm/30kg, bok 18mm, levá, PTOs</t>
  </si>
  <si>
    <t>9243696</t>
  </si>
  <si>
    <t>352814</t>
  </si>
  <si>
    <t>HETTICH 9243696 Atira celovýsuv, Quadro V6, 350mm/30kg, bok 18mm, pravá, PTOs</t>
  </si>
  <si>
    <t>9243698</t>
  </si>
  <si>
    <t>352816</t>
  </si>
  <si>
    <t>HETTICH 9243698 Atira celovýsuv, Quadro V6, 420mm/30kg, bok 18mm, levá, PTOs</t>
  </si>
  <si>
    <t>9243699</t>
  </si>
  <si>
    <t>352817</t>
  </si>
  <si>
    <t>HETTICH 9243699 Atira celovýsuv, Quadro V6, 420mm/30kg, bok 18mm, pravá, PTOs</t>
  </si>
  <si>
    <t>9243701</t>
  </si>
  <si>
    <t>352819</t>
  </si>
  <si>
    <t>HETTICH 9243701 Atira celovýsuv, Quadro V6, 470mm/30kg, bok 18mm, levá, PTOs</t>
  </si>
  <si>
    <t>9243702</t>
  </si>
  <si>
    <t>352820</t>
  </si>
  <si>
    <t>HETTICH 9243702 Atira celovýsuv, Quadro V6, 470mm/30kg, bok 18mm, pravá, PTOs</t>
  </si>
  <si>
    <t>9243704</t>
  </si>
  <si>
    <t>352822</t>
  </si>
  <si>
    <t>HETTICH 9243704 Atira celovýsuv, Quadro V6, 520mm/30kg, bok 18mm, levá, PTOs</t>
  </si>
  <si>
    <t>9243705</t>
  </si>
  <si>
    <t>352823</t>
  </si>
  <si>
    <t>HETTICH 9243705 Atira celovýsuv, Quadro V6, 520mm/30kg, bok 18mm, pravá, PTOs</t>
  </si>
  <si>
    <t>9243728</t>
  </si>
  <si>
    <t>352846</t>
  </si>
  <si>
    <t>HETTICH 9243728 Quadro V6 P2Os 470 mm eb12,5 L</t>
  </si>
  <si>
    <t>9243729</t>
  </si>
  <si>
    <t>352847</t>
  </si>
  <si>
    <t>HETTICH 9243729 Quadro V6 P2Os 470 mm eb12,5 P</t>
  </si>
  <si>
    <t>9243752</t>
  </si>
  <si>
    <t>352870</t>
  </si>
  <si>
    <t>HETTICH 9243752 Quadro V6+ P2Os 300 mm eb10,5 L</t>
  </si>
  <si>
    <t>9243753</t>
  </si>
  <si>
    <t>352871</t>
  </si>
  <si>
    <t>HETTICH 9243753 Quadro V6+ P2Os 300 mm eb10,5 P</t>
  </si>
  <si>
    <t>9243755</t>
  </si>
  <si>
    <t>352873</t>
  </si>
  <si>
    <t>HETTICH 9243755 Quadro V6+ P2Os 350 mm eb10,5 L</t>
  </si>
  <si>
    <t>9243756</t>
  </si>
  <si>
    <t>352874</t>
  </si>
  <si>
    <t>HETTICH 9243756 Quadro V6+ P2Os 350 mm eb10,5 P</t>
  </si>
  <si>
    <t>9243758</t>
  </si>
  <si>
    <t>352876</t>
  </si>
  <si>
    <t>HETTICH 9243758 Quadro V6+ P2Os 420mm/50kg EB10,5 L</t>
  </si>
  <si>
    <t>9243759</t>
  </si>
  <si>
    <t>352877</t>
  </si>
  <si>
    <t>HETTICH 9243759 Quadro V6+ P2Os 420mm/50kg EB10,5 P</t>
  </si>
  <si>
    <t>9243761</t>
  </si>
  <si>
    <t>352879</t>
  </si>
  <si>
    <t>HETTICH 9243761 Quadro V6+ P2Os 470 mm eb10,5 plnovýsuv levý</t>
  </si>
  <si>
    <t>9243762</t>
  </si>
  <si>
    <t>352880</t>
  </si>
  <si>
    <t>HETTICH 9243762 Quadro V6+ P2Os 470 mm eb10,5 plnovýsuv pravý</t>
  </si>
  <si>
    <t>9243764</t>
  </si>
  <si>
    <t>352882</t>
  </si>
  <si>
    <t>HETTICH 9243764 Quadro V6+ P2Os 520 mm eb10,5 L</t>
  </si>
  <si>
    <t>9243765</t>
  </si>
  <si>
    <t>352883</t>
  </si>
  <si>
    <t>HETTICH 9243765 Quadro V6+ P2Os 520 mm eb10,5 P</t>
  </si>
  <si>
    <t>9243767</t>
  </si>
  <si>
    <t>352885</t>
  </si>
  <si>
    <t>HETTICH 9243767 Quadro V6+ P2Os 620 mm eb10,5 L</t>
  </si>
  <si>
    <t>9243768</t>
  </si>
  <si>
    <t>352886</t>
  </si>
  <si>
    <t>HETTICH 9243768 Quadro V6+ P2Os 620 mm eb10,5 P</t>
  </si>
  <si>
    <t>9244426</t>
  </si>
  <si>
    <t>376078</t>
  </si>
  <si>
    <t>HETTICH 9244426 Push to open silent ArciTech aktivátor L</t>
  </si>
  <si>
    <t>9244427</t>
  </si>
  <si>
    <t>376079</t>
  </si>
  <si>
    <t>HETTICH 9244427 Push to open silent ArciTech aktivátor P</t>
  </si>
  <si>
    <t>9245363</t>
  </si>
  <si>
    <t>361171</t>
  </si>
  <si>
    <t>HETTICH 9245363 Quadro 4d v6 / 450mm silent system plnovýsuv L</t>
  </si>
  <si>
    <t>9245364</t>
  </si>
  <si>
    <t>361172</t>
  </si>
  <si>
    <t>HETTICH 9245364 Quadro 4d v6 / 450mm silent system plnovýsuv P</t>
  </si>
  <si>
    <t>9245368</t>
  </si>
  <si>
    <t>361177</t>
  </si>
  <si>
    <t>HETTICH 9245368 Quadro 4d v6 / 500mm SiSy celovýsuv P</t>
  </si>
  <si>
    <t>363461</t>
  </si>
  <si>
    <t>HETTICH 9245368 Quadro 4D v6 500 mm SiSy P     LeBon</t>
  </si>
  <si>
    <t>9245386</t>
  </si>
  <si>
    <t>361195</t>
  </si>
  <si>
    <t>HETTICH 9245386 Quadro 4d v6 / 350mm SiSy celovýsuv L+P</t>
  </si>
  <si>
    <t>9245396</t>
  </si>
  <si>
    <t>361205</t>
  </si>
  <si>
    <t>HETTICH 9245396 Quadro 4d v6 / 600mm SiSy celovýsuv L+P</t>
  </si>
  <si>
    <t>9245470</t>
  </si>
  <si>
    <t>376074</t>
  </si>
  <si>
    <t>HETTICH 9245470 Push to open silent ArciTech 40K L</t>
  </si>
  <si>
    <t>9245471</t>
  </si>
  <si>
    <t>376075</t>
  </si>
  <si>
    <t>HETTICH 9245471 Push to open silent ArciTech 40K P</t>
  </si>
  <si>
    <t>9246312</t>
  </si>
  <si>
    <t>361235</t>
  </si>
  <si>
    <t>HETTICH 9246312 mechanismus P2Os pro Quadro v6 4D 10 kg</t>
  </si>
  <si>
    <t>9246315</t>
  </si>
  <si>
    <t>361236</t>
  </si>
  <si>
    <t>HETTICH 9246315 Quadro 4D V6 mechanismus PTOs, 8-20kg</t>
  </si>
  <si>
    <t>9246316</t>
  </si>
  <si>
    <t>361237</t>
  </si>
  <si>
    <t>HETTICH 9246316 Quadro 4D V6 mechanismus PTOs, 10-30kg</t>
  </si>
  <si>
    <t>9247355</t>
  </si>
  <si>
    <t>264378</t>
  </si>
  <si>
    <t>HETTICH 9247355 Quadro 4D spojka L</t>
  </si>
  <si>
    <t>362859</t>
  </si>
  <si>
    <t>HETTICH 9247355 Quadro 4D spojka levá LeBon</t>
  </si>
  <si>
    <t>9247356</t>
  </si>
  <si>
    <t>264379</t>
  </si>
  <si>
    <t>HETTICH 9247356 Quadro 4D spojka P</t>
  </si>
  <si>
    <t>362860</t>
  </si>
  <si>
    <t>HETTICH 9247356 Quadro 4D spojka P  LeBon</t>
  </si>
  <si>
    <t>9247529</t>
  </si>
  <si>
    <t>361206</t>
  </si>
  <si>
    <t>HETTICH 9247529 Quadro 4D sada spojek 2x přední spojka + 2x zadní seřízení</t>
  </si>
  <si>
    <t>9247745</t>
  </si>
  <si>
    <t>361215</t>
  </si>
  <si>
    <t>HETTICH 9247745 Quadro 4D V6 skrytý celovýsuv, 480mm/30kg, pro 16mm, para, PTO</t>
  </si>
  <si>
    <t>9252428</t>
  </si>
  <si>
    <t>460816</t>
  </si>
  <si>
    <t>HETTICH 9252428 Úchytka Cheam 163/128 mm černá matná</t>
  </si>
  <si>
    <t>9252429</t>
  </si>
  <si>
    <t>519316</t>
  </si>
  <si>
    <t>HETTICH 9252429 Úchytka Cheam 195/160 mm černá matná</t>
  </si>
  <si>
    <t>9252430</t>
  </si>
  <si>
    <t>412577</t>
  </si>
  <si>
    <t>HETTICH 9252430 Úchytka Cheam 227/192 mm černá matná</t>
  </si>
  <si>
    <t>9252651</t>
  </si>
  <si>
    <t>398071</t>
  </si>
  <si>
    <t>HETTICH 9252651 výztuha dveří</t>
  </si>
  <si>
    <t>9253384</t>
  </si>
  <si>
    <t>374128</t>
  </si>
  <si>
    <t>HETTICH 9253384 Klíč pro soklové nohy korrekt</t>
  </si>
  <si>
    <t>485112</t>
  </si>
  <si>
    <t>HETTICH 9253384 klíč pro soklové nohy Korrekt PD-50</t>
  </si>
  <si>
    <t>9254165</t>
  </si>
  <si>
    <t>367909</t>
  </si>
  <si>
    <t>HETTICH 9254165 Quadro V6 550 EB23 celovýsuv SiSy L</t>
  </si>
  <si>
    <t>9254166</t>
  </si>
  <si>
    <t>367911</t>
  </si>
  <si>
    <t>HETTICH 9254166 Quadro V6 550 EB23 celovýsuv SiSy P</t>
  </si>
  <si>
    <t>9254168</t>
  </si>
  <si>
    <t>367912</t>
  </si>
  <si>
    <t>HETTICH 9254168 Quadro V6 600 EB23 celovýsuv SiSy L</t>
  </si>
  <si>
    <t>9254169</t>
  </si>
  <si>
    <t>367914</t>
  </si>
  <si>
    <t>HETTICH 9254169 Quadro V6 600 EB23 celovýsuv SiSy P</t>
  </si>
  <si>
    <t>9254248</t>
  </si>
  <si>
    <t>482905</t>
  </si>
  <si>
    <t>HETTICH 9254248 vrták d5x57.5mm pro MDF levý</t>
  </si>
  <si>
    <t>9254259</t>
  </si>
  <si>
    <t>482906</t>
  </si>
  <si>
    <t>HETTICH 9254259 vrták d5x57.5mm pro MDF pravý</t>
  </si>
  <si>
    <t>9254549</t>
  </si>
  <si>
    <t>536261</t>
  </si>
  <si>
    <t>HETTICH 9254549 synchronizační adaptér typ C pro Quadro 25 2D/YOU PTO</t>
  </si>
  <si>
    <t>9254630</t>
  </si>
  <si>
    <t>404550</t>
  </si>
  <si>
    <t>HETTICH 9254630 TopLine L new sada antikolizního tlumení, 3 křídla</t>
  </si>
  <si>
    <t>9254997</t>
  </si>
  <si>
    <t>455789</t>
  </si>
  <si>
    <t>HETTICH 9254997 Practica 265 vrtací přípravek pro AvanTech YOU</t>
  </si>
  <si>
    <t>468836</t>
  </si>
  <si>
    <t>HETTICH 9254997 Practica 265 vrtací přípravek pro AvanTech YOU PD-50</t>
  </si>
  <si>
    <t>9255000</t>
  </si>
  <si>
    <t>396535</t>
  </si>
  <si>
    <t>HETTICH 9255000 AvanTech YOU bočnice, 77/400mm, levá, stříbrná</t>
  </si>
  <si>
    <t>9255001</t>
  </si>
  <si>
    <t>396536</t>
  </si>
  <si>
    <t>HETTICH 9255001 AvanTech YOU bočnice, 77/400mm, pravá, stříbrná</t>
  </si>
  <si>
    <t>9255002</t>
  </si>
  <si>
    <t>396537</t>
  </si>
  <si>
    <t>HETTICH 9255002 AvanTech YOU bočnice, 77/450mm, levá, stříbrná</t>
  </si>
  <si>
    <t>9255003</t>
  </si>
  <si>
    <t>396538</t>
  </si>
  <si>
    <t>HETTICH 9255003 AvanTech YOU bočnice, 77/450mm, pravá, stříbrná</t>
  </si>
  <si>
    <t>9255004</t>
  </si>
  <si>
    <t>396539</t>
  </si>
  <si>
    <t>HETTICH 9255004 AvanTech YOU bočnice, 77/500mm, levá, stříbrná</t>
  </si>
  <si>
    <t>9255005</t>
  </si>
  <si>
    <t>396540</t>
  </si>
  <si>
    <t>HETTICH 9255005 AvanTech YOU bočnice, 77/500mm, pravá, stříbrná</t>
  </si>
  <si>
    <t>9255008</t>
  </si>
  <si>
    <t>396661</t>
  </si>
  <si>
    <t>HETTICH 9255008 AvanTech YOU bočnice, 101/270mm, levá, stříbrná</t>
  </si>
  <si>
    <t>9255009</t>
  </si>
  <si>
    <t>396662</t>
  </si>
  <si>
    <t>HETTICH 9255009 AvanTech YOU bočnice, 101/270mm, pravá, stříbrná</t>
  </si>
  <si>
    <t>9255010</t>
  </si>
  <si>
    <t>396663</t>
  </si>
  <si>
    <t>HETTICH 9255010 AvanTech YOU bočnice, 101/300mm, levá, stříbrná</t>
  </si>
  <si>
    <t>9255011</t>
  </si>
  <si>
    <t>396664</t>
  </si>
  <si>
    <t>HETTICH 9255011 AvanTech YOU bočnice, 101/300mm, pravá, stříbrná</t>
  </si>
  <si>
    <t>9255012</t>
  </si>
  <si>
    <t>396665</t>
  </si>
  <si>
    <t>HETTICH 9255012 AvanTech YOU bočnice, 101/350mm, levá, stříbrná</t>
  </si>
  <si>
    <t>9255013</t>
  </si>
  <si>
    <t>396666</t>
  </si>
  <si>
    <t>HETTICH 9255013 AvanTech YOU bočnice, 101/350mm, pravá, stříbrná</t>
  </si>
  <si>
    <t>9255014</t>
  </si>
  <si>
    <t>396667</t>
  </si>
  <si>
    <t>HETTICH 9255014 AvanTech YOU bočnice, 101/400mm, levá, stříbrná</t>
  </si>
  <si>
    <t>9255015</t>
  </si>
  <si>
    <t>396668</t>
  </si>
  <si>
    <t>HETTICH 9255015 AvanTech YOU bočnice, 101/400mm, pravá, stříbrná</t>
  </si>
  <si>
    <t>9255016</t>
  </si>
  <si>
    <t>396669</t>
  </si>
  <si>
    <t>HETTICH 9255016 AvanTech YOU bočnice, 101/450mm, levá, stříbrná</t>
  </si>
  <si>
    <t>456355</t>
  </si>
  <si>
    <t>HETTICH 9255016 AvanTech You boky 101/450 stříbrné L KATOWICE</t>
  </si>
  <si>
    <t>9255017</t>
  </si>
  <si>
    <t>396670</t>
  </si>
  <si>
    <t>HETTICH 9255017 AvanTech YOU bočnice, 101/450mm, pravá, stříbrná</t>
  </si>
  <si>
    <t>456356</t>
  </si>
  <si>
    <t>HETTICH 9255017 AvanTech You boky 101/450 stříbrné P KATOWICE</t>
  </si>
  <si>
    <t>9255018</t>
  </si>
  <si>
    <t>396671</t>
  </si>
  <si>
    <t>HETTICH 9255018 AvanTech YOU bočnice, 101/500mm, levá, stříbrná</t>
  </si>
  <si>
    <t>456357</t>
  </si>
  <si>
    <t>HETTICH 9255018 AvanTech You boky 101/500 stříbrné L KATOWICE</t>
  </si>
  <si>
    <t>9255019</t>
  </si>
  <si>
    <t>396672</t>
  </si>
  <si>
    <t>HETTICH 9255019 AvanTech YOU bočnice, 101/500mm, pravá, stříbrná</t>
  </si>
  <si>
    <t>456358</t>
  </si>
  <si>
    <t>HETTICH 9255019 AvanTech You boky 101/500 stříbrné P KATOWICE</t>
  </si>
  <si>
    <t>9255020</t>
  </si>
  <si>
    <t>396673</t>
  </si>
  <si>
    <t>HETTICH 9255020 AvanTech YOU bočnice, 101/550mm, levá, stříbrná</t>
  </si>
  <si>
    <t>9255021</t>
  </si>
  <si>
    <t>396674</t>
  </si>
  <si>
    <t>HETTICH 9255021 AvanTech YOU bočnice, 101/550mm, pravá, stříbrná</t>
  </si>
  <si>
    <t>9255022</t>
  </si>
  <si>
    <t>396675</t>
  </si>
  <si>
    <t>HETTICH 9255022 AvanTech YOU bočnice, 101/600mm, levá, stříbrná</t>
  </si>
  <si>
    <t>9255023</t>
  </si>
  <si>
    <t>396676</t>
  </si>
  <si>
    <t>HETTICH 9255023 AvanTech YOU bočnice, 101/600mm, pravá, stříbrná</t>
  </si>
  <si>
    <t>9255024</t>
  </si>
  <si>
    <t>396677</t>
  </si>
  <si>
    <t>HETTICH 9255024 AvanTech YOU bočnice, 101/650mm, levá, stříbrná</t>
  </si>
  <si>
    <t>9255025</t>
  </si>
  <si>
    <t>396678</t>
  </si>
  <si>
    <t>HETTICH 9255025 AvanTech YOU bočnice, 101/650mm, pravá, stříbrná</t>
  </si>
  <si>
    <t>9255028</t>
  </si>
  <si>
    <t>396738</t>
  </si>
  <si>
    <t>HETTICH 9255028 AvanTech YOU bočnice, 139/300mm, levá, stříbrná</t>
  </si>
  <si>
    <t>9255029</t>
  </si>
  <si>
    <t>396739</t>
  </si>
  <si>
    <t>HETTICH 9255029 AvanTech YOU bočnice, 139/300mm, pravá, stříbrná</t>
  </si>
  <si>
    <t>9255030</t>
  </si>
  <si>
    <t>396740</t>
  </si>
  <si>
    <t>HETTICH 9255030 AvanTech YOU bočnice, 139/350mm, levá, stříbrná</t>
  </si>
  <si>
    <t>9255031</t>
  </si>
  <si>
    <t>396741</t>
  </si>
  <si>
    <t>HETTICH 9255031 AvanTech YOU bočnice, 139/350mm, pravá, stříbrná</t>
  </si>
  <si>
    <t>9255032</t>
  </si>
  <si>
    <t>396742</t>
  </si>
  <si>
    <t>HETTICH 9255032 AvanTech YOU bočnice, 139/400mm, levá, stříbrná</t>
  </si>
  <si>
    <t>9255033</t>
  </si>
  <si>
    <t>396743</t>
  </si>
  <si>
    <t>HETTICH 9255033 AvanTech YOU bočnice, 139/400mm, pravá, stříbrná</t>
  </si>
  <si>
    <t>9255034</t>
  </si>
  <si>
    <t>396744</t>
  </si>
  <si>
    <t>HETTICH 9255034 AvanTech YOU bočnice, 139/450mm, levá, stříbrná</t>
  </si>
  <si>
    <t>9255035</t>
  </si>
  <si>
    <t>396745</t>
  </si>
  <si>
    <t>HETTICH 9255035 AvanTech YOU bočnice, 139/450mm, pravá, stříbrná</t>
  </si>
  <si>
    <t>9255036</t>
  </si>
  <si>
    <t>396746</t>
  </si>
  <si>
    <t>HETTICH 9255036 AvanTech YOU bočnice, 139/500mm, levá, stříbrná</t>
  </si>
  <si>
    <t>9255037</t>
  </si>
  <si>
    <t>396747</t>
  </si>
  <si>
    <t>HETTICH 9255037 AvanTech YOU bočnice, 139/500mm, pravá, stříbrná</t>
  </si>
  <si>
    <t>9255038</t>
  </si>
  <si>
    <t>396748</t>
  </si>
  <si>
    <t>HETTICH 9255038 AvanTech YOU bočnice, 139/550mm, levá, stříbrná</t>
  </si>
  <si>
    <t>9255039</t>
  </si>
  <si>
    <t>396749</t>
  </si>
  <si>
    <t>HETTICH 9255039 AvanTech YOU bočnice, 139/550mm, pravá, stříbrná</t>
  </si>
  <si>
    <t>9255040</t>
  </si>
  <si>
    <t>396750</t>
  </si>
  <si>
    <t>HETTICH 9255040 AvanTech YOU bočnice, 139/600mm, levá, stříbrná</t>
  </si>
  <si>
    <t>9255041</t>
  </si>
  <si>
    <t>396751</t>
  </si>
  <si>
    <t>HETTICH 9255041 AvanTech YOU bočnice, 139/600mm, pravá, stříbrná</t>
  </si>
  <si>
    <t>9255042</t>
  </si>
  <si>
    <t>470810</t>
  </si>
  <si>
    <t>HETTICH 9255042 AvanTech You boky 139/650 stříbrné L</t>
  </si>
  <si>
    <t>9255043</t>
  </si>
  <si>
    <t>470811</t>
  </si>
  <si>
    <t>HETTICH 9255043 AvanTech You boky 139/650 stříbrné P</t>
  </si>
  <si>
    <t>9255044</t>
  </si>
  <si>
    <t>396809</t>
  </si>
  <si>
    <t>HETTICH 9255044 AvanTech YOU bočnice, 187/270mm, levá, stříbrná</t>
  </si>
  <si>
    <t>9255045</t>
  </si>
  <si>
    <t>396810</t>
  </si>
  <si>
    <t>HETTICH 9255045 AvanTech YOU bočnice, 187/270mm, pravá, stříbrná</t>
  </si>
  <si>
    <t>9255046</t>
  </si>
  <si>
    <t>396811</t>
  </si>
  <si>
    <t>HETTICH 9255046 AvanTech YOU bočnice, 187/300mm, levá, stříbrná</t>
  </si>
  <si>
    <t>9255047</t>
  </si>
  <si>
    <t>396812</t>
  </si>
  <si>
    <t>HETTICH 9255047 AvanTech YOU bočnice, 187/300mm, pravá, stříbrná</t>
  </si>
  <si>
    <t>9255048</t>
  </si>
  <si>
    <t>396813</t>
  </si>
  <si>
    <t>HETTICH 9255048 AvanTech YOU bočnice, 187/350mm, levá, stříbrná</t>
  </si>
  <si>
    <t>9255049</t>
  </si>
  <si>
    <t>396814</t>
  </si>
  <si>
    <t>HETTICH 9255049 AvanTech YOU bočnice, 187/350mm, pravá, stříbrná</t>
  </si>
  <si>
    <t>9255050</t>
  </si>
  <si>
    <t>396815</t>
  </si>
  <si>
    <t>HETTICH 9255050 AvanTech YOU bočnice, 187/400mm, levá, stříbrná</t>
  </si>
  <si>
    <t>9255051</t>
  </si>
  <si>
    <t>396816</t>
  </si>
  <si>
    <t>HETTICH 9255051 AvanTech YOU bočnice, 187/400mm, pravá, stříbrná</t>
  </si>
  <si>
    <t>9255052</t>
  </si>
  <si>
    <t>396817</t>
  </si>
  <si>
    <t>HETTICH 9255052 AvanTech YOU bočnice, 187/450mm, levá, stříbrná</t>
  </si>
  <si>
    <t>456368</t>
  </si>
  <si>
    <t>HETTICH 9255052 AvanTech You boky 187/450 stříbrné L KATOWICE</t>
  </si>
  <si>
    <t>9255053</t>
  </si>
  <si>
    <t>396818</t>
  </si>
  <si>
    <t>HETTICH 9255053 AvanTech YOU bočnice, 187/450mm, pravá, stříbrná</t>
  </si>
  <si>
    <t>456369</t>
  </si>
  <si>
    <t>HETTICH 9255053 AvanTech You boky 187/450 stříbrné P KATOWICE</t>
  </si>
  <si>
    <t>9255054</t>
  </si>
  <si>
    <t>396819</t>
  </si>
  <si>
    <t>HETTICH 9255054 AvanTech YOU bočnice, 187/500mm, levá, stříbrná</t>
  </si>
  <si>
    <t>456370</t>
  </si>
  <si>
    <t>HETTICH 9255054 AvanTech You boky 187/500 stříbrné L KATOWICE</t>
  </si>
  <si>
    <t>9255055</t>
  </si>
  <si>
    <t>396820</t>
  </si>
  <si>
    <t>HETTICH 9255055 AvanTech YOU bočnice, 187/500mm, pravá, stříbrná</t>
  </si>
  <si>
    <t>456371</t>
  </si>
  <si>
    <t>HETTICH 9255055 AvanTech You boky 187/500 stříbrné P KATOWICE</t>
  </si>
  <si>
    <t>9255056</t>
  </si>
  <si>
    <t>396821</t>
  </si>
  <si>
    <t>HETTICH 9255056 AvanTech YOU bočnice, 187/550mm, levá, stříbrná</t>
  </si>
  <si>
    <t>9255057</t>
  </si>
  <si>
    <t>396822</t>
  </si>
  <si>
    <t>HETTICH 9255057 AvanTech YOU bočnice, 187/550mm, pravá, stříbrná</t>
  </si>
  <si>
    <t>9255058</t>
  </si>
  <si>
    <t>396823</t>
  </si>
  <si>
    <t>HETTICH 9255058 AvanTech YOU bočnice, 187/600mm, levá, stříbrná</t>
  </si>
  <si>
    <t>9255059</t>
  </si>
  <si>
    <t>396824</t>
  </si>
  <si>
    <t>HETTICH 9255059 AvanTech YOU bočnice, 187/600mm, pravá, stříbrná</t>
  </si>
  <si>
    <t>9255060</t>
  </si>
  <si>
    <t>396825</t>
  </si>
  <si>
    <t>HETTICH 9255060 AvanTech YOU bočnice, 187/650mm, levá, stříbrná</t>
  </si>
  <si>
    <t>9255061</t>
  </si>
  <si>
    <t>396826</t>
  </si>
  <si>
    <t>HETTICH 9255061 AvanTech YOU bočnice, 187/650mm, pravá, stříbrná</t>
  </si>
  <si>
    <t>9255066</t>
  </si>
  <si>
    <t>396886</t>
  </si>
  <si>
    <t>HETTICH 9255066 AvanTech YOU bočnice, 251/350mm, levá, stříbrná</t>
  </si>
  <si>
    <t>9255067</t>
  </si>
  <si>
    <t>396887</t>
  </si>
  <si>
    <t>HETTICH 9255067 AvanTech YOU bočnice, 251/350mm, pravá, stříbrná</t>
  </si>
  <si>
    <t>9255068</t>
  </si>
  <si>
    <t>396888</t>
  </si>
  <si>
    <t>HETTICH 9255068 AvanTech YOU bočnice, 251/400mm, levá, stříbrná</t>
  </si>
  <si>
    <t>9255069</t>
  </si>
  <si>
    <t>396889</t>
  </si>
  <si>
    <t>HETTICH 9255069 AvanTech YOU bočnice, 251/400mm, pravá, stříbrná</t>
  </si>
  <si>
    <t>9255070</t>
  </si>
  <si>
    <t>396890</t>
  </si>
  <si>
    <t>HETTICH 9255070 AvanTech YOU bočnice, 251/450mm, levá, stříbrná</t>
  </si>
  <si>
    <t>9255071</t>
  </si>
  <si>
    <t>396891</t>
  </si>
  <si>
    <t>HETTICH 9255071 AvanTech YOU bočnice, 251/450mm, pravá, stříbrná</t>
  </si>
  <si>
    <t>9255072</t>
  </si>
  <si>
    <t>396892</t>
  </si>
  <si>
    <t>HETTICH 9255072 AvanTech YOU bočnice, 251/500mm, levá, stříbrná</t>
  </si>
  <si>
    <t>9255073</t>
  </si>
  <si>
    <t>396893</t>
  </si>
  <si>
    <t>HETTICH 9255073 AvanTech YOU bočnice, 251/500mm, pravá, stříbrná</t>
  </si>
  <si>
    <t>9255074</t>
  </si>
  <si>
    <t>396894</t>
  </si>
  <si>
    <t>HETTICH 9255074 AvanTech YOU bočnice, 251/550mm, levá, stříbrná</t>
  </si>
  <si>
    <t>9255075</t>
  </si>
  <si>
    <t>396895</t>
  </si>
  <si>
    <t>HETTICH 9255075 AvanTech YOU bočnice, 251/550mm, pravá, stříbrná</t>
  </si>
  <si>
    <t>9255076</t>
  </si>
  <si>
    <t>396896</t>
  </si>
  <si>
    <t>HETTICH 9255076 AvanTech YOU bočnice, 251/600mm, levá, stříbrná</t>
  </si>
  <si>
    <t>9255077</t>
  </si>
  <si>
    <t>396897</t>
  </si>
  <si>
    <t>HETTICH 9255077 AvanTech YOU bočnice, 251/600mm, pravá, stříbrná</t>
  </si>
  <si>
    <t>9255078</t>
  </si>
  <si>
    <t>396898</t>
  </si>
  <si>
    <t>HETTICH 9255078 AvanTech YOU bočnice, 251/650mm, levá, stříbrná</t>
  </si>
  <si>
    <t>9255079</t>
  </si>
  <si>
    <t>396899</t>
  </si>
  <si>
    <t>HETTICH 9255079 AvanTech YOU bočnice, 251/650mm, pravá, stříbrná</t>
  </si>
  <si>
    <t>9255080</t>
  </si>
  <si>
    <t>396543</t>
  </si>
  <si>
    <t>HETTICH 9255080 AvanTech YOU bočnice, 77/400mm, levá, bílá</t>
  </si>
  <si>
    <t>9255081</t>
  </si>
  <si>
    <t>396544</t>
  </si>
  <si>
    <t>HETTICH 9255081 AvanTech YOU bočnice, 77/400mm, pravá, bílá</t>
  </si>
  <si>
    <t>9255082</t>
  </si>
  <si>
    <t>396545</t>
  </si>
  <si>
    <t>HETTICH 9255082 AvanTech YOU bočnice, 77/450mm, levá, bílá</t>
  </si>
  <si>
    <t>9255083</t>
  </si>
  <si>
    <t>396546</t>
  </si>
  <si>
    <t>HETTICH 9255083 AvanTech YOU bočnice, 77/450mm, pravá, bílá</t>
  </si>
  <si>
    <t>9255084</t>
  </si>
  <si>
    <t>396547</t>
  </si>
  <si>
    <t>HETTICH 9255084 AvanTech YOU bočnice, 77/500mm, levá, bílá</t>
  </si>
  <si>
    <t>9255085</t>
  </si>
  <si>
    <t>396548</t>
  </si>
  <si>
    <t>HETTICH 9255085 AvanTech YOU bočnice, 77/500mm, pravá, bílá</t>
  </si>
  <si>
    <t>9255086</t>
  </si>
  <si>
    <t>396549</t>
  </si>
  <si>
    <t>HETTICH 9255086 AvanTech YOU bočnice, 77/550mm, levá, bílá</t>
  </si>
  <si>
    <t>9255087</t>
  </si>
  <si>
    <t>396550</t>
  </si>
  <si>
    <t>HETTICH 9255087 AvanTech YOU bočnice, 77/550mm, pravá, bílá</t>
  </si>
  <si>
    <t>9255088</t>
  </si>
  <si>
    <t>396679</t>
  </si>
  <si>
    <t>HETTICH 9255088 AvanTech YOU bočnice, 101/270mm, levá, bílá</t>
  </si>
  <si>
    <t>9255089</t>
  </si>
  <si>
    <t>396680</t>
  </si>
  <si>
    <t>HETTICH 9255089 AvanTech YOU bočnice, 101/270mm, pravá, bílá</t>
  </si>
  <si>
    <t>9255090</t>
  </si>
  <si>
    <t>396681</t>
  </si>
  <si>
    <t>HETTICH 9255090 AvanTech YOU bočnice, 101/300mm, levá, bílá</t>
  </si>
  <si>
    <t>9255091</t>
  </si>
  <si>
    <t>396682</t>
  </si>
  <si>
    <t>HETTICH 9255091 AvanTech YOU bočnice, 101/300mm, pravá, bílá</t>
  </si>
  <si>
    <t>9255092</t>
  </si>
  <si>
    <t>396683</t>
  </si>
  <si>
    <t>HETTICH 9255092 AvanTech YOU bočnice, 101/350mm, levá, bílá</t>
  </si>
  <si>
    <t>9255093</t>
  </si>
  <si>
    <t>396684</t>
  </si>
  <si>
    <t>HETTICH 9255093 AvanTech YOU bočnice, 101/350mm, pravá, bílá</t>
  </si>
  <si>
    <t>9255094</t>
  </si>
  <si>
    <t>396685</t>
  </si>
  <si>
    <t>HETTICH 9255094 AvanTech YOU bočnice, 101/400mm, levá, bílá</t>
  </si>
  <si>
    <t>9255095</t>
  </si>
  <si>
    <t>396686</t>
  </si>
  <si>
    <t>HETTICH 9255095 AvanTech YOU bočnice, 101/400mm, pravá, bílá</t>
  </si>
  <si>
    <t>9255096</t>
  </si>
  <si>
    <t>396687</t>
  </si>
  <si>
    <t>HETTICH 9255096 AvanTech YOU bočnice, 101/450mm, levá, bílá</t>
  </si>
  <si>
    <t>456359</t>
  </si>
  <si>
    <t>HETTICH 9255096 AvanTech You boky 101/450 bílé L KATOWICE</t>
  </si>
  <si>
    <t>9255097</t>
  </si>
  <si>
    <t>396688</t>
  </si>
  <si>
    <t>HETTICH 9255097 AvanTech YOU bočnice, 101/450mm, pravá, bílá</t>
  </si>
  <si>
    <t>456360</t>
  </si>
  <si>
    <t>HETTICH 9255097 AvanTech You boky 101/450 bílé P KATOWICE</t>
  </si>
  <si>
    <t>9255098</t>
  </si>
  <si>
    <t>396689</t>
  </si>
  <si>
    <t>HETTICH 9255098 AvanTech YOU bočnice, 101/500mm, levá, bílá</t>
  </si>
  <si>
    <t>456361</t>
  </si>
  <si>
    <t>HETTICH 9255098 AvanTech You boky 101/500 bílé L KATOWICE</t>
  </si>
  <si>
    <t>9255099</t>
  </si>
  <si>
    <t>396690</t>
  </si>
  <si>
    <t>HETTICH 9255099 AvanTech YOU bočnice, 101/500mm, pravá, bílá</t>
  </si>
  <si>
    <t>456362</t>
  </si>
  <si>
    <t>HETTICH 9255099 AvanTech You boky 101/500 bílé P KATOWICE</t>
  </si>
  <si>
    <t>9255100</t>
  </si>
  <si>
    <t>396691</t>
  </si>
  <si>
    <t>HETTICH 9255100 AvanTech YOU bočnice, 101/550mm, levá, bílá</t>
  </si>
  <si>
    <t>9255101</t>
  </si>
  <si>
    <t>396692</t>
  </si>
  <si>
    <t>HETTICH 9255101 AvanTech YOU bočnice, 101/550mm, pravá, bílá</t>
  </si>
  <si>
    <t>9255102</t>
  </si>
  <si>
    <t>396693</t>
  </si>
  <si>
    <t>HETTICH 9255102 AvanTech YOU bočnice, 101/600mm, levá, bílá</t>
  </si>
  <si>
    <t>9255103</t>
  </si>
  <si>
    <t>396694</t>
  </si>
  <si>
    <t>HETTICH 9255103 AvanTech YOU bočnice, 101/600mm, pravá, bílá</t>
  </si>
  <si>
    <t>9255104</t>
  </si>
  <si>
    <t>396695</t>
  </si>
  <si>
    <t>HETTICH 9255104 AvanTech YOU bočnice, 101/650mm, levá, bílá</t>
  </si>
  <si>
    <t>9255105</t>
  </si>
  <si>
    <t>396696</t>
  </si>
  <si>
    <t>HETTICH 9255105 AvanTech YOU bočnice, 101/650mm, pravá, bílá</t>
  </si>
  <si>
    <t>9255108</t>
  </si>
  <si>
    <t>396752</t>
  </si>
  <si>
    <t>HETTICH 9255108 AvanTech YOU bočnice, 139/300mm, levá, bílá</t>
  </si>
  <si>
    <t>9255109</t>
  </si>
  <si>
    <t>396753</t>
  </si>
  <si>
    <t>HETTICH 9255109 AvanTech YOU bočnice, 139/300mm, pravá, bílá</t>
  </si>
  <si>
    <t>9255110</t>
  </si>
  <si>
    <t>396754</t>
  </si>
  <si>
    <t>HETTICH 9255110 AvanTech YOU bočnice, 139/350mm, levá, bílá</t>
  </si>
  <si>
    <t>9255111</t>
  </si>
  <si>
    <t>396755</t>
  </si>
  <si>
    <t>HETTICH 9255111 AvanTech YOU bočnice, 139/350mm, pravá, bílá</t>
  </si>
  <si>
    <t>9255112</t>
  </si>
  <si>
    <t>396756</t>
  </si>
  <si>
    <t>HETTICH 9255112 AvanTech YOU bočnice, 139/400mm, levá, bílá</t>
  </si>
  <si>
    <t>9255113</t>
  </si>
  <si>
    <t>396757</t>
  </si>
  <si>
    <t>HETTICH 9255113 AvanTech YOU bočnice, 139/400mm, pravá, bílá</t>
  </si>
  <si>
    <t>9255114</t>
  </si>
  <si>
    <t>396758</t>
  </si>
  <si>
    <t>HETTICH 9255114 AvanTech YOU bočnice, 139/450mm, levá, bílá</t>
  </si>
  <si>
    <t>9255115</t>
  </si>
  <si>
    <t>396759</t>
  </si>
  <si>
    <t>HETTICH 9255115 AvanTech YOU bočnice, 139/450mm, pravá, bílá</t>
  </si>
  <si>
    <t>9255116</t>
  </si>
  <si>
    <t>396760</t>
  </si>
  <si>
    <t>HETTICH 9255116 AvanTech YOU bočnice, 139/500mm, levá, bílá</t>
  </si>
  <si>
    <t>9255117</t>
  </si>
  <si>
    <t>396761</t>
  </si>
  <si>
    <t>HETTICH 9255117 AvanTech YOU bočnice, 139/500mm, pravá, bílá</t>
  </si>
  <si>
    <t>9255118</t>
  </si>
  <si>
    <t>396762</t>
  </si>
  <si>
    <t>HETTICH 9255118 AvanTech YOU bočnice, 139/550mm, levá, bílá</t>
  </si>
  <si>
    <t>9255119</t>
  </si>
  <si>
    <t>396763</t>
  </si>
  <si>
    <t>HETTICH 9255119 AvanTech YOU bočnice, 139/550mm, pravá, bílá</t>
  </si>
  <si>
    <t>9255120</t>
  </si>
  <si>
    <t>396764</t>
  </si>
  <si>
    <t>HETTICH 9255120 AvanTech YOU bočnice, 139/600mm, levá, bílá</t>
  </si>
  <si>
    <t>9255121</t>
  </si>
  <si>
    <t>396765</t>
  </si>
  <si>
    <t>HETTICH 9255121 AvanTech YOU bočnice, 139/600mm, pravá, bílá</t>
  </si>
  <si>
    <t>9255122</t>
  </si>
  <si>
    <t>470812</t>
  </si>
  <si>
    <t>HETTICH 9255122 AvanTech You boky 139/650 bílé L</t>
  </si>
  <si>
    <t>9255123</t>
  </si>
  <si>
    <t>470813</t>
  </si>
  <si>
    <t>HETTICH 9255123 AvanTech You boky 139/650 bílé P</t>
  </si>
  <si>
    <t>9255124</t>
  </si>
  <si>
    <t>396827</t>
  </si>
  <si>
    <t>HETTICH 9255124 AvanTech YOU bočnice, 187/270mm, levá, bílá</t>
  </si>
  <si>
    <t>9255125</t>
  </si>
  <si>
    <t>396828</t>
  </si>
  <si>
    <t>HETTICH 9255125 AvanTech YOU bočnice, 187/270mm, pravá, bílá</t>
  </si>
  <si>
    <t>9255126</t>
  </si>
  <si>
    <t>396829</t>
  </si>
  <si>
    <t>HETTICH 9255126 AvanTech YOU bočnice, 187/300mm, levá, bílá</t>
  </si>
  <si>
    <t>9255127</t>
  </si>
  <si>
    <t>396830</t>
  </si>
  <si>
    <t>HETTICH 9255127 AvanTech YOU bočnice, 187/300mm, pravá, bílá</t>
  </si>
  <si>
    <t>9255128</t>
  </si>
  <si>
    <t>396831</t>
  </si>
  <si>
    <t>HETTICH 9255128 AvanTech YOU bočnice, 187/350mm, levá, bílá</t>
  </si>
  <si>
    <t>9255129</t>
  </si>
  <si>
    <t>396832</t>
  </si>
  <si>
    <t>HETTICH 9255129 AvanTech YOU bočnice, 187/350mm, pravá, bílá</t>
  </si>
  <si>
    <t>9255130</t>
  </si>
  <si>
    <t>396833</t>
  </si>
  <si>
    <t>HETTICH 9255130 AvanTech YOU bočnice, 187/400mm, levá, bílá</t>
  </si>
  <si>
    <t>9255131</t>
  </si>
  <si>
    <t>396834</t>
  </si>
  <si>
    <t>HETTICH 9255131 AvanTech YOU bočnice, 187/400mm, pravá, bílá</t>
  </si>
  <si>
    <t>9255132</t>
  </si>
  <si>
    <t>396835</t>
  </si>
  <si>
    <t>HETTICH 9255132 AvanTech YOU bočnice, 187/450mm, levá, bílá</t>
  </si>
  <si>
    <t>456372</t>
  </si>
  <si>
    <t>HETTICH 9255132 AvanTech You boky 187/450 bílé L KATOWICE</t>
  </si>
  <si>
    <t>9255133</t>
  </si>
  <si>
    <t>396836</t>
  </si>
  <si>
    <t>HETTICH 9255133 AvanTech YOU bočnice, 187/450mm, pravá, bílá</t>
  </si>
  <si>
    <t>456373</t>
  </si>
  <si>
    <t>HETTICH 9255133 AvanTech You boky 187/450 bílé P KATOWICE</t>
  </si>
  <si>
    <t>9255134</t>
  </si>
  <si>
    <t>396837</t>
  </si>
  <si>
    <t>HETTICH 9255134 AvanTech YOU bočnice, 187/500mm, levá, bílá</t>
  </si>
  <si>
    <t>527926</t>
  </si>
  <si>
    <t>HETTICH 9255134 AvanTech You boky 187/500 bílá L - DALNO</t>
  </si>
  <si>
    <t>456374</t>
  </si>
  <si>
    <t>HETTICH 9255134 AvanTech You boky 187/500 bílé L KATOWICE</t>
  </si>
  <si>
    <t>9255135</t>
  </si>
  <si>
    <t>396838</t>
  </si>
  <si>
    <t>HETTICH 9255135 AvanTech YOU bočnice, 187/500mm, pravá, bílá</t>
  </si>
  <si>
    <t>527927</t>
  </si>
  <si>
    <t>HETTICH 9255135 AvanTech You boky 187/500 bílá P - DALNO</t>
  </si>
  <si>
    <t>456375</t>
  </si>
  <si>
    <t>HETTICH 9255135 AvanTech You boky 187/500 bílé P KATOWICE</t>
  </si>
  <si>
    <t>9255136</t>
  </si>
  <si>
    <t>396839</t>
  </si>
  <si>
    <t>HETTICH 9255136 AvanTech YOU bočnice, 187/550mm, levá, bílá</t>
  </si>
  <si>
    <t>9255137</t>
  </si>
  <si>
    <t>396840</t>
  </si>
  <si>
    <t>HETTICH 9255137 AvanTech YOU bočnice, 187/550mm, pravá, bílá</t>
  </si>
  <si>
    <t>9255138</t>
  </si>
  <si>
    <t>396841</t>
  </si>
  <si>
    <t>HETTICH 9255138 AvanTech YOU bočnice, 187/600mm, levá, bílá</t>
  </si>
  <si>
    <t>9255139</t>
  </si>
  <si>
    <t>396842</t>
  </si>
  <si>
    <t>HETTICH 9255139 AvanTech YOU bočnice, 187/600mm, pravá, bílá</t>
  </si>
  <si>
    <t>9255140</t>
  </si>
  <si>
    <t>396843</t>
  </si>
  <si>
    <t>HETTICH 9255140 AvanTech YOU bočnice, 187/650mm, levá, bílá</t>
  </si>
  <si>
    <t>9255141</t>
  </si>
  <si>
    <t>396844</t>
  </si>
  <si>
    <t>HETTICH 9255141 AvanTech YOU bočnice, 187/650mm, pravá, bílá</t>
  </si>
  <si>
    <t>9255146</t>
  </si>
  <si>
    <t>396900</t>
  </si>
  <si>
    <t>HETTICH 9255146 AvanTech YOU bočnice, 251/350mm, levá, bílá</t>
  </si>
  <si>
    <t>9255147</t>
  </si>
  <si>
    <t>396901</t>
  </si>
  <si>
    <t>HETTICH 9255147 AvanTech YOU bočnice, 251/350mm, pravá, bílá</t>
  </si>
  <si>
    <t>9255148</t>
  </si>
  <si>
    <t>396902</t>
  </si>
  <si>
    <t>HETTICH 9255148 AvanTech YOU bočnice, 251/400mm, levá, bílá</t>
  </si>
  <si>
    <t>9255149</t>
  </si>
  <si>
    <t>396903</t>
  </si>
  <si>
    <t>HETTICH 9255149 AvanTech YOU bočnice, 251/400mm, pravá, bílá</t>
  </si>
  <si>
    <t>9255150</t>
  </si>
  <si>
    <t>396904</t>
  </si>
  <si>
    <t>HETTICH 9255150 AvanTech YOU bočnice, 251/450mm, levá, bílá</t>
  </si>
  <si>
    <t>9255151</t>
  </si>
  <si>
    <t>396905</t>
  </si>
  <si>
    <t>HETTICH 9255151 AvanTech YOU bočnice, 251/450mm, pravá, bílá</t>
  </si>
  <si>
    <t>9255152</t>
  </si>
  <si>
    <t>396906</t>
  </si>
  <si>
    <t>HETTICH 9255152 AvanTech YOU bočnice, 251/500mm, levá, bílá</t>
  </si>
  <si>
    <t>9255153</t>
  </si>
  <si>
    <t>396907</t>
  </si>
  <si>
    <t>HETTICH 9255153 AvanTech YOU bočnice, 251/500mm, pravá, bílá</t>
  </si>
  <si>
    <t>9255154</t>
  </si>
  <si>
    <t>396908</t>
  </si>
  <si>
    <t>HETTICH 9255154 AvanTech YOU bočnice, 251/550mm, levá, bílá</t>
  </si>
  <si>
    <t>9255155</t>
  </si>
  <si>
    <t>396909</t>
  </si>
  <si>
    <t>HETTICH 9255155 AvanTech YOU bočnice, 251/550mm, pravá, bílá</t>
  </si>
  <si>
    <t>9255156</t>
  </si>
  <si>
    <t>396910</t>
  </si>
  <si>
    <t>HETTICH 9255156 AvanTech YOU bočnice, 251/600mm, levá, bílá</t>
  </si>
  <si>
    <t>9255157</t>
  </si>
  <si>
    <t>396911</t>
  </si>
  <si>
    <t>HETTICH 9255157 AvanTech YOU bočnice, 251/600mm, pravá, bílá</t>
  </si>
  <si>
    <t>9255158</t>
  </si>
  <si>
    <t>396912</t>
  </si>
  <si>
    <t>HETTICH 9255158 AvanTech YOU bočnice, 251/650mm, levá, bílá</t>
  </si>
  <si>
    <t>9255159</t>
  </si>
  <si>
    <t>396913</t>
  </si>
  <si>
    <t>HETTICH 9255159 AvanTech YOU bočnice, 251/650mm, pravá, bílá</t>
  </si>
  <si>
    <t>9255160</t>
  </si>
  <si>
    <t>396551</t>
  </si>
  <si>
    <t>HETTICH 9255160 AvanTech YOU bočnice, 77/400mm, levá, antracit</t>
  </si>
  <si>
    <t>9255161</t>
  </si>
  <si>
    <t>396552</t>
  </si>
  <si>
    <t>HETTICH 9255161 AvanTech YOU bočnice, 77/400mm, pravá, antracit</t>
  </si>
  <si>
    <t>9255162</t>
  </si>
  <si>
    <t>396553</t>
  </si>
  <si>
    <t>HETTICH 9255162 AvanTech YOU bočnice, 77/450mm, levá, antracit</t>
  </si>
  <si>
    <t>9255163</t>
  </si>
  <si>
    <t>396554</t>
  </si>
  <si>
    <t>HETTICH 9255163 AvanTech YOU bočnice, 77/450mm, pravá, antracit</t>
  </si>
  <si>
    <t>9255164</t>
  </si>
  <si>
    <t>396555</t>
  </si>
  <si>
    <t>HETTICH 9255164 AvanTech YOU bočnice, 77/500mm, levá, antracit</t>
  </si>
  <si>
    <t>9255165</t>
  </si>
  <si>
    <t>396556</t>
  </si>
  <si>
    <t>HETTICH 9255165 AvanTech YOU bočnice, 77/500mm, pravá, antracit</t>
  </si>
  <si>
    <t>9255166</t>
  </si>
  <si>
    <t>396557</t>
  </si>
  <si>
    <t>HETTICH 9255166 AvanTech YOU bočnice, 77/550mm, levá, antracit</t>
  </si>
  <si>
    <t>9255167</t>
  </si>
  <si>
    <t>396558</t>
  </si>
  <si>
    <t>HETTICH 9255167 AvanTech YOU bočnice, 77/550mm, pravá, antracit</t>
  </si>
  <si>
    <t>9255168</t>
  </si>
  <si>
    <t>396697</t>
  </si>
  <si>
    <t>HETTICH 9255168 AvanTech YOU bočnice, 101/270mm, levá, antracit</t>
  </si>
  <si>
    <t>9255169</t>
  </si>
  <si>
    <t>396698</t>
  </si>
  <si>
    <t>HETTICH 9255169 AvanTech YOU bočnice, 101/270mm, pravá, antracit</t>
  </si>
  <si>
    <t>9255170</t>
  </si>
  <si>
    <t>396699</t>
  </si>
  <si>
    <t>HETTICH 9255170 AvanTech YOU bočnice, 101/300mm, levá, antracit</t>
  </si>
  <si>
    <t>9255171</t>
  </si>
  <si>
    <t>396700</t>
  </si>
  <si>
    <t>HETTICH 9255171 AvanTech YOU bočnice, 101/300mm, pravá, antracit</t>
  </si>
  <si>
    <t>9255172</t>
  </si>
  <si>
    <t>396701</t>
  </si>
  <si>
    <t>HETTICH 9255172 AvanTech YOU bočnice, 101/350mm, levá, antracit</t>
  </si>
  <si>
    <t>9255173</t>
  </si>
  <si>
    <t>396702</t>
  </si>
  <si>
    <t>HETTICH 9255173 AvanTech YOU bočnice, 101/350mm, pravá, antracit</t>
  </si>
  <si>
    <t>9255174</t>
  </si>
  <si>
    <t>396703</t>
  </si>
  <si>
    <t>HETTICH 9255174 AvanTech YOU bočnice, 101/400mm, levá, antracit</t>
  </si>
  <si>
    <t>9255175</t>
  </si>
  <si>
    <t>396704</t>
  </si>
  <si>
    <t>HETTICH 9255175 AvanTech YOU bočnice, 101/400mm, pravá, antracit</t>
  </si>
  <si>
    <t>9255176</t>
  </si>
  <si>
    <t>396705</t>
  </si>
  <si>
    <t>HETTICH 9255176 AvanTech YOU bočnice, 101/450mm, levá, antracit</t>
  </si>
  <si>
    <t>456363</t>
  </si>
  <si>
    <t>HETTICH 9255176 AvanTech You boky 101/450 antracit L KATOWICE</t>
  </si>
  <si>
    <t>9255177</t>
  </si>
  <si>
    <t>396706</t>
  </si>
  <si>
    <t>HETTICH 9255177 AvanTech YOU bočnice, 101/450mm, pravá, antracit</t>
  </si>
  <si>
    <t>456364</t>
  </si>
  <si>
    <t>HETTICH 9255177 AvanTech You boky 101/450 antracit P KATOWICE</t>
  </si>
  <si>
    <t>9255178</t>
  </si>
  <si>
    <t>396707</t>
  </si>
  <si>
    <t>HETTICH 9255178 AvanTech YOU bočnice, 101/500mm, levá, antracit</t>
  </si>
  <si>
    <t>527924</t>
  </si>
  <si>
    <t>HETTICH 9255178 AvanTech You boky 101/500 antracit L - DALNO</t>
  </si>
  <si>
    <t>456365</t>
  </si>
  <si>
    <t>HETTICH 9255178 AvanTech You boky 101/500 antracit L KATOWICE</t>
  </si>
  <si>
    <t>9255179</t>
  </si>
  <si>
    <t>396708</t>
  </si>
  <si>
    <t>HETTICH 9255179 AvanTech YOU bočnice, 101/500mm, pravá, antracit</t>
  </si>
  <si>
    <t>527925</t>
  </si>
  <si>
    <t>HETTICH 9255179 AvanTech You boky 101/500 antracit P - DALNO</t>
  </si>
  <si>
    <t>456366</t>
  </si>
  <si>
    <t>HETTICH 9255179 AvanTech You boky 101/500 antracit P KATOWICE</t>
  </si>
  <si>
    <t>9255180</t>
  </si>
  <si>
    <t>396709</t>
  </si>
  <si>
    <t>HETTICH 9255180 AvanTech YOU bočnice, 101/550mm, levá, antracit</t>
  </si>
  <si>
    <t>9255181</t>
  </si>
  <si>
    <t>396710</t>
  </si>
  <si>
    <t>HETTICH 9255181 AvanTech YOU bočnice, 101/550mm, pravá, antracit</t>
  </si>
  <si>
    <t>9255182</t>
  </si>
  <si>
    <t>396711</t>
  </si>
  <si>
    <t>HETTICH 9255182 AvanTech YOU bočnice, 101/600mm, levá, antracit</t>
  </si>
  <si>
    <t>9255183</t>
  </si>
  <si>
    <t>396712</t>
  </si>
  <si>
    <t>HETTICH 9255183 AvanTech YOU bočnice, 101/600mm, pravá, antracit</t>
  </si>
  <si>
    <t>9255184</t>
  </si>
  <si>
    <t>396713</t>
  </si>
  <si>
    <t>HETTICH 9255184 AvanTech YOU bočnice, 101/650mm, levá, antracit</t>
  </si>
  <si>
    <t>9255185</t>
  </si>
  <si>
    <t>396714</t>
  </si>
  <si>
    <t>HETTICH 9255185 AvanTech YOU bočnice, 101/650mm, pravá, antracit</t>
  </si>
  <si>
    <t>9255188</t>
  </si>
  <si>
    <t>396766</t>
  </si>
  <si>
    <t>HETTICH 9255188 AvanTech YOU bočnice, 139/300mm, levá, antracit</t>
  </si>
  <si>
    <t>9255189</t>
  </si>
  <si>
    <t>396767</t>
  </si>
  <si>
    <t>HETTICH 9255189 AvanTech YOU bočnice, 139/300mm, pravá, antracit</t>
  </si>
  <si>
    <t>9255190</t>
  </si>
  <si>
    <t>396768</t>
  </si>
  <si>
    <t>HETTICH 9255190 AvanTech YOU bočnice, 139/350mm, levá, antracit</t>
  </si>
  <si>
    <t>9255191</t>
  </si>
  <si>
    <t>396769</t>
  </si>
  <si>
    <t>HETTICH 9255191 AvanTech YOU bočnice, 139/350mm, pravá, antracit</t>
  </si>
  <si>
    <t>9255192</t>
  </si>
  <si>
    <t>396770</t>
  </si>
  <si>
    <t>HETTICH 9255192 AvanTech YOU bočnice, 139/400mm, levá, antracit</t>
  </si>
  <si>
    <t>9255193</t>
  </si>
  <si>
    <t>396771</t>
  </si>
  <si>
    <t>HETTICH 9255193 AvanTech YOU bočnice, 139/400mm, pravá, antracit</t>
  </si>
  <si>
    <t>9255194</t>
  </si>
  <si>
    <t>396772</t>
  </si>
  <si>
    <t>HETTICH 9255194 AvanTech YOU bočnice, 139/450mm, levá, antracit</t>
  </si>
  <si>
    <t>9255195</t>
  </si>
  <si>
    <t>396773</t>
  </si>
  <si>
    <t>HETTICH 9255195 AvanTech YOU bočnice, 139/450mm, pravá, antracit</t>
  </si>
  <si>
    <t>9255196</t>
  </si>
  <si>
    <t>396774</t>
  </si>
  <si>
    <t>HETTICH 9255196 AvanTech YOU bočnice, 139/500mm, levá, antracit</t>
  </si>
  <si>
    <t>9255197</t>
  </si>
  <si>
    <t>396775</t>
  </si>
  <si>
    <t>HETTICH 9255197 AvanTech YOU bočnice, 139/500mm, pravá, antracit</t>
  </si>
  <si>
    <t>9255198</t>
  </si>
  <si>
    <t>396776</t>
  </si>
  <si>
    <t>HETTICH 9255198 AvanTech YOU bočnice, 139/550mm, levá, antracit</t>
  </si>
  <si>
    <t>9255199</t>
  </si>
  <si>
    <t>396777</t>
  </si>
  <si>
    <t>HETTICH 9255199 AvanTech YOU bočnice, 139/550mm, pravá, antracit</t>
  </si>
  <si>
    <t>9255200</t>
  </si>
  <si>
    <t>396778</t>
  </si>
  <si>
    <t>HETTICH 9255200 AvanTech YOU bočnice, 139/600mm, levá, antracit</t>
  </si>
  <si>
    <t>9255201</t>
  </si>
  <si>
    <t>396779</t>
  </si>
  <si>
    <t>HETTICH 9255201 AvanTech YOU bočnice, 139/600mm, pravá, antracit</t>
  </si>
  <si>
    <t>9255202</t>
  </si>
  <si>
    <t>470814</t>
  </si>
  <si>
    <t>HETTICH 9255202 AvanTech You boky 139/650 antracit L</t>
  </si>
  <si>
    <t>9255203</t>
  </si>
  <si>
    <t>470815</t>
  </si>
  <si>
    <t>HETTICH 9255203 AvanTech You boky 139/650 antracit P</t>
  </si>
  <si>
    <t>9255204</t>
  </si>
  <si>
    <t>396845</t>
  </si>
  <si>
    <t>HETTICH 9255204 AvanTech YOU bočnice, 187/270mm, levá, antracit</t>
  </si>
  <si>
    <t>9255205</t>
  </si>
  <si>
    <t>396846</t>
  </si>
  <si>
    <t>HETTICH 9255205 AvanTech YOU bočnice, 187/270mm, pravá, antracit</t>
  </si>
  <si>
    <t>9255206</t>
  </si>
  <si>
    <t>396847</t>
  </si>
  <si>
    <t>HETTICH 9255206 AvanTech YOU bočnice, 187/300mm, levá, antracit</t>
  </si>
  <si>
    <t>9255207</t>
  </si>
  <si>
    <t>396848</t>
  </si>
  <si>
    <t>HETTICH 9255207 AvanTech YOU bočnice, 187/300mm, pravá, antracit</t>
  </si>
  <si>
    <t>9255208</t>
  </si>
  <si>
    <t>396849</t>
  </si>
  <si>
    <t>HETTICH 9255208 AvanTech YOU bočnice, 187/350mm, levá, antracit</t>
  </si>
  <si>
    <t>9255209</t>
  </si>
  <si>
    <t>396850</t>
  </si>
  <si>
    <t>HETTICH 9255209 AvanTech YOU bočnice, 187/350mm, pravá, antracit</t>
  </si>
  <si>
    <t>9255210</t>
  </si>
  <si>
    <t>396851</t>
  </si>
  <si>
    <t>HETTICH 9255210 AvanTech YOU bočnice, 187/400mm, levá, antracit</t>
  </si>
  <si>
    <t>9255211</t>
  </si>
  <si>
    <t>396852</t>
  </si>
  <si>
    <t>HETTICH 9255211 AvanTech YOU bočnice, 187/400mm, pravá, antracit</t>
  </si>
  <si>
    <t>9255212</t>
  </si>
  <si>
    <t>396853</t>
  </si>
  <si>
    <t>HETTICH 9255212 AvanTech YOU bočnice, 187/450mm, levá, antracit</t>
  </si>
  <si>
    <t>456376</t>
  </si>
  <si>
    <t>HETTICH 9255212 AvanTech You boky 187/450 antracit L KATOWICE</t>
  </si>
  <si>
    <t>9255213</t>
  </si>
  <si>
    <t>396854</t>
  </si>
  <si>
    <t>HETTICH 9255213 AvanTech YOU bočnice, 187/450mm, pravá, antracit</t>
  </si>
  <si>
    <t>456377</t>
  </si>
  <si>
    <t>HETTICH 9255213 AvanTech You boky 187/450 antracit P KATOWICE</t>
  </si>
  <si>
    <t>9255214</t>
  </si>
  <si>
    <t>396855</t>
  </si>
  <si>
    <t>HETTICH 9255214 AvanTech YOU bočnice, 187/500mm, levá, antracit</t>
  </si>
  <si>
    <t>527928</t>
  </si>
  <si>
    <t>HETTICH 9255214 AvanTech You boky 187/500 antracit L - DALNO</t>
  </si>
  <si>
    <t>456378</t>
  </si>
  <si>
    <t>HETTICH 9255214 AvanTech You boky 187/500 antracit L KATOWICE</t>
  </si>
  <si>
    <t>9255215</t>
  </si>
  <si>
    <t>396856</t>
  </si>
  <si>
    <t>HETTICH 9255215 AvanTech YOU bočnice, 187/500mm, pravá, antracit</t>
  </si>
  <si>
    <t>527929</t>
  </si>
  <si>
    <t>HETTICH 9255215 AvanTech You boky 187/500 antracit P - DALNO</t>
  </si>
  <si>
    <t>456379</t>
  </si>
  <si>
    <t>HETTICH 9255215 AvanTech You boky 187/500 antracit P KATOWICE</t>
  </si>
  <si>
    <t>9255216</t>
  </si>
  <si>
    <t>396857</t>
  </si>
  <si>
    <t>HETTICH 9255216 AvanTech YOU bočnice, 187/550mm, levá, antracit</t>
  </si>
  <si>
    <t>9255217</t>
  </si>
  <si>
    <t>396858</t>
  </si>
  <si>
    <t>HETTICH 9255217 AvanTech YOU bočnice, 187/550mm, pravá, antracit</t>
  </si>
  <si>
    <t>9255218</t>
  </si>
  <si>
    <t>396859</t>
  </si>
  <si>
    <t>HETTICH 9255218 AvanTech YOU bočnice, 187/600mm, levá, antracit</t>
  </si>
  <si>
    <t>9255219</t>
  </si>
  <si>
    <t>396860</t>
  </si>
  <si>
    <t>HETTICH 9255219 AvanTech YOU bočnice, 187/600mm, pravá, antracit</t>
  </si>
  <si>
    <t>9255220</t>
  </si>
  <si>
    <t>396861</t>
  </si>
  <si>
    <t>HETTICH 9255220 AvanTech YOU bočnice, 187/650mm, levá, antracit</t>
  </si>
  <si>
    <t>9255221</t>
  </si>
  <si>
    <t>396862</t>
  </si>
  <si>
    <t>HETTICH 9255221 AvanTech YOU bočnice, 187/650mm, pravá, antracit</t>
  </si>
  <si>
    <t>9255226</t>
  </si>
  <si>
    <t>396914</t>
  </si>
  <si>
    <t>HETTICH 9255226 AvanTech YOU bočnice, 251/350mm, levá, antracit</t>
  </si>
  <si>
    <t>9255227</t>
  </si>
  <si>
    <t>396915</t>
  </si>
  <si>
    <t>HETTICH 9255227 AvanTech YOU bočnice, 251/350mm, pravá, antracit</t>
  </si>
  <si>
    <t>9255228</t>
  </si>
  <si>
    <t>396916</t>
  </si>
  <si>
    <t>HETTICH 9255228 AvanTech YOU bočnice, 251/400mm, levá, antracit</t>
  </si>
  <si>
    <t>9255229</t>
  </si>
  <si>
    <t>396917</t>
  </si>
  <si>
    <t>HETTICH 9255229 AvanTech YOU bočnice, 251/400mm, pravá, antracit</t>
  </si>
  <si>
    <t>9255230</t>
  </si>
  <si>
    <t>396918</t>
  </si>
  <si>
    <t>HETTICH 9255230 AvanTech YOU bočnice, 251/450mm, levá, antracit</t>
  </si>
  <si>
    <t>9255231</t>
  </si>
  <si>
    <t>396919</t>
  </si>
  <si>
    <t>HETTICH 9255231 AvanTech YOU bočnice, 251/450mm, pravá, antracit</t>
  </si>
  <si>
    <t>9255232</t>
  </si>
  <si>
    <t>396920</t>
  </si>
  <si>
    <t>HETTICH 9255232 AvanTech YOU bočnice, 251/500mm, levá, antracit</t>
  </si>
  <si>
    <t>9255233</t>
  </si>
  <si>
    <t>396921</t>
  </si>
  <si>
    <t>HETTICH 9255233 AvanTech YOU bočnice, 251/500mm, pravá, antracit</t>
  </si>
  <si>
    <t>9255234</t>
  </si>
  <si>
    <t>396922</t>
  </si>
  <si>
    <t>HETTICH 9255234 AvanTech YOU bočnice, 251/550mm, levá, antracit</t>
  </si>
  <si>
    <t>9255235</t>
  </si>
  <si>
    <t>396923</t>
  </si>
  <si>
    <t>HETTICH 9255235 AvanTech YOU bočnice, 251/550mm, pravá, antracit</t>
  </si>
  <si>
    <t>9255236</t>
  </si>
  <si>
    <t>396924</t>
  </si>
  <si>
    <t>HETTICH 9255236 AvanTech YOU bočnice, 251/600mm, levá, antracit</t>
  </si>
  <si>
    <t>9255237</t>
  </si>
  <si>
    <t>396925</t>
  </si>
  <si>
    <t>HETTICH 9255237 AvanTech YOU bočnice, 251/600mm, pravá, antracit</t>
  </si>
  <si>
    <t>9255238</t>
  </si>
  <si>
    <t>396926</t>
  </si>
  <si>
    <t>HETTICH 9255238 AvanTech YOU bočnice, 251/650mm, levá, antracit</t>
  </si>
  <si>
    <t>9255239</t>
  </si>
  <si>
    <t>396927</t>
  </si>
  <si>
    <t>HETTICH 9255239 AvanTech YOU bočnice, 251/650mm, pravá, antracit</t>
  </si>
  <si>
    <t>9255240</t>
  </si>
  <si>
    <t>396523</t>
  </si>
  <si>
    <t>HETTICH 9255240 AvanTech You sada bočnic 77/400 stříbrná</t>
  </si>
  <si>
    <t>9255241</t>
  </si>
  <si>
    <t>396524</t>
  </si>
  <si>
    <t>HETTICH 9255241 AvanTech You sada bočnic 77/450 stříbrná</t>
  </si>
  <si>
    <t>9255242</t>
  </si>
  <si>
    <t>396525</t>
  </si>
  <si>
    <t>HETTICH 9255242 AvanTech You sada bočnic 77/500 stříbrná</t>
  </si>
  <si>
    <t>9255243</t>
  </si>
  <si>
    <t>396526</t>
  </si>
  <si>
    <t>HETTICH 9255243 AvanTech You sada bočnic 77/550 stříbrná</t>
  </si>
  <si>
    <t>9255244</t>
  </si>
  <si>
    <t>396634</t>
  </si>
  <si>
    <t>HETTICH 9255244 AvanTech You sada bočnic 101/270 stříbrná</t>
  </si>
  <si>
    <t>9255245</t>
  </si>
  <si>
    <t>396635</t>
  </si>
  <si>
    <t>HETTICH 9255245 AvanTech You sada bočnic 101/300 stříbrná</t>
  </si>
  <si>
    <t>9255246</t>
  </si>
  <si>
    <t>396636</t>
  </si>
  <si>
    <t>HETTICH 9255246 AvanTech You sada bočnic 101/350 stříbrná</t>
  </si>
  <si>
    <t>9255247</t>
  </si>
  <si>
    <t>396637</t>
  </si>
  <si>
    <t>HETTICH 9255247 AvanTech You sada bočnic 101/400 stříbrná</t>
  </si>
  <si>
    <t>9255248</t>
  </si>
  <si>
    <t>396638</t>
  </si>
  <si>
    <t>HETTICH 9255248 AvanTech You sada bočnic 101/450 stříbrná</t>
  </si>
  <si>
    <t>9255250</t>
  </si>
  <si>
    <t>396640</t>
  </si>
  <si>
    <t>HETTICH 9255250 AvanTech You sada bočnic 101/550 stříbrná</t>
  </si>
  <si>
    <t>9255251</t>
  </si>
  <si>
    <t>396641</t>
  </si>
  <si>
    <t>HETTICH 9255251 AvanTech You sada bočnic 101/600 stříbrná</t>
  </si>
  <si>
    <t>9255252</t>
  </si>
  <si>
    <t>396642</t>
  </si>
  <si>
    <t>HETTICH 9255252 AvanTech You sada bočnic 101/650 stříbrná</t>
  </si>
  <si>
    <t>9255254</t>
  </si>
  <si>
    <t>396717</t>
  </si>
  <si>
    <t>HETTICH 9255254 AvanTech You sada bočnic 139/300 stříbrná</t>
  </si>
  <si>
    <t>9255255</t>
  </si>
  <si>
    <t>396718</t>
  </si>
  <si>
    <t>HETTICH 9255255 AvanTech You sada bočnic 139/350 stříbrná</t>
  </si>
  <si>
    <t>9255256</t>
  </si>
  <si>
    <t>396719</t>
  </si>
  <si>
    <t>HETTICH 9255256 AvanTech You sada bočnic 139/400 stříbrná</t>
  </si>
  <si>
    <t>9255257</t>
  </si>
  <si>
    <t>396720</t>
  </si>
  <si>
    <t>HETTICH 9255257 AvanTech You sada bočnic 139/450 stříbrná</t>
  </si>
  <si>
    <t>9255259</t>
  </si>
  <si>
    <t>396722</t>
  </si>
  <si>
    <t>HETTICH 9255259 AvanTech You sada bočnic 139/550 stříbrná</t>
  </si>
  <si>
    <t>9255260</t>
  </si>
  <si>
    <t>396723</t>
  </si>
  <si>
    <t>HETTICH 9255260 AvanTech You sada bočnic 139/600 stříbrná</t>
  </si>
  <si>
    <t>9255262</t>
  </si>
  <si>
    <t>396782</t>
  </si>
  <si>
    <t>HETTICH 9255262 AvanTech You sada bočnic 187/270 stříbrná</t>
  </si>
  <si>
    <t>9255263</t>
  </si>
  <si>
    <t>396783</t>
  </si>
  <si>
    <t>HETTICH 9255263 AvanTech You sada bočnic 187/300 stříbrná</t>
  </si>
  <si>
    <t>9255264</t>
  </si>
  <si>
    <t>396784</t>
  </si>
  <si>
    <t>HETTICH 9255264 AvanTech You sada bočnic 187/350 stříbrná</t>
  </si>
  <si>
    <t>9255266</t>
  </si>
  <si>
    <t>396786</t>
  </si>
  <si>
    <t>HETTICH 9255266 AvanTech You sada bočnic 187/450 stříbrná</t>
  </si>
  <si>
    <t>9255268</t>
  </si>
  <si>
    <t>396788</t>
  </si>
  <si>
    <t>HETTICH 9255268 AvanTech You sada bočnic 187/550 stříbrná</t>
  </si>
  <si>
    <t>9255269</t>
  </si>
  <si>
    <t>396789</t>
  </si>
  <si>
    <t>HETTICH 9255269 AvanTech You sada bočnic 187/600 stříbrná</t>
  </si>
  <si>
    <t>9255270</t>
  </si>
  <si>
    <t>396790</t>
  </si>
  <si>
    <t>HETTICH 9255270 AvanTech You sada bočnic 187/650 stříbrná</t>
  </si>
  <si>
    <t>9255273</t>
  </si>
  <si>
    <t>396865</t>
  </si>
  <si>
    <t>HETTICH 9255273 AvanTech You sada bočnic 251/350 stříbrná</t>
  </si>
  <si>
    <t>9255275</t>
  </si>
  <si>
    <t>396867</t>
  </si>
  <si>
    <t>HETTICH 9255275 AvanTech You sada bočnic 251/450 stříbrná</t>
  </si>
  <si>
    <t>9255277</t>
  </si>
  <si>
    <t>396869</t>
  </si>
  <si>
    <t>HETTICH 9255277 AvanTech You sada bočnic 251/550 stříbrná</t>
  </si>
  <si>
    <t>9255278</t>
  </si>
  <si>
    <t>396870</t>
  </si>
  <si>
    <t>HETTICH 9255278 AvanTech You sada bočnic 251/600 stříbrná</t>
  </si>
  <si>
    <t>9255279</t>
  </si>
  <si>
    <t>396871</t>
  </si>
  <si>
    <t>HETTICH 9255279 AvanTech You sada bočnic 251/650 stříbrná</t>
  </si>
  <si>
    <t>9255280</t>
  </si>
  <si>
    <t>396527</t>
  </si>
  <si>
    <t>HETTICH 9255280 AvanTech You sada bočnic 77/400 bílá</t>
  </si>
  <si>
    <t>9255281</t>
  </si>
  <si>
    <t>396528</t>
  </si>
  <si>
    <t>HETTICH 9255281 AvanTech You sada bočnic 77/450 bílá</t>
  </si>
  <si>
    <t>9255282</t>
  </si>
  <si>
    <t>396529</t>
  </si>
  <si>
    <t>HETTICH 9255282 AvanTech You sada bočnic 77/500 bílá</t>
  </si>
  <si>
    <t>9255284</t>
  </si>
  <si>
    <t>396643</t>
  </si>
  <si>
    <t>HETTICH 9255284 AvanTech You sada bočnic 101/270 bílá</t>
  </si>
  <si>
    <t>9255285</t>
  </si>
  <si>
    <t>396644</t>
  </si>
  <si>
    <t>HETTICH 9255285 AvanTech You sada bočnic 101/300 bílá</t>
  </si>
  <si>
    <t>9255288</t>
  </si>
  <si>
    <t>396647</t>
  </si>
  <si>
    <t>HETTICH 9255288 AvanTech You sada bočnic 101/450 bílá</t>
  </si>
  <si>
    <t>9255291</t>
  </si>
  <si>
    <t>396650</t>
  </si>
  <si>
    <t>HETTICH 9255291 AvanTech You sada bočnic 101/600 bílá</t>
  </si>
  <si>
    <t>9255292</t>
  </si>
  <si>
    <t>396651</t>
  </si>
  <si>
    <t>HETTICH 9255292 AvanTech You sada bočnic 101/650 bílá</t>
  </si>
  <si>
    <t>9255297</t>
  </si>
  <si>
    <t>396727</t>
  </si>
  <si>
    <t>HETTICH 9255297 AvanTech You sada bočnic 139/450 bílá</t>
  </si>
  <si>
    <t>9255300</t>
  </si>
  <si>
    <t>396730</t>
  </si>
  <si>
    <t>HETTICH 9255300 AvanTech You sada bočnic 139/600 bílá</t>
  </si>
  <si>
    <t>9255302</t>
  </si>
  <si>
    <t>396791</t>
  </si>
  <si>
    <t>HETTICH 9255302 AvanTech You sada bočnic 187/270 bílá</t>
  </si>
  <si>
    <t>9255319</t>
  </si>
  <si>
    <t>396878</t>
  </si>
  <si>
    <t>HETTICH 9255319 AvanTech You sada bočnic 251/650 bílá</t>
  </si>
  <si>
    <t>9255320</t>
  </si>
  <si>
    <t>396531</t>
  </si>
  <si>
    <t>HETTICH 9255320 AvanTech You sada bočnic 77/400 antracit</t>
  </si>
  <si>
    <t>9255321</t>
  </si>
  <si>
    <t>396532</t>
  </si>
  <si>
    <t>HETTICH 9255321 AvanTech You sada bočnic 77/450 antracit</t>
  </si>
  <si>
    <t>9255322</t>
  </si>
  <si>
    <t>396533</t>
  </si>
  <si>
    <t>HETTICH 9255322 AvanTech You sada bočnic 77/500 antracit</t>
  </si>
  <si>
    <t>9255323</t>
  </si>
  <si>
    <t>396534</t>
  </si>
  <si>
    <t>HETTICH 9255323 AvanTech You sada bočnic 77/550 antracit</t>
  </si>
  <si>
    <t>9255324</t>
  </si>
  <si>
    <t>396652</t>
  </si>
  <si>
    <t>HETTICH 9255324 AvanTech You sada bočnic 101/270 antracit</t>
  </si>
  <si>
    <t>9255325</t>
  </si>
  <si>
    <t>396653</t>
  </si>
  <si>
    <t>HETTICH 9255325 AvanTech You sada bočnic 101/300 antracit</t>
  </si>
  <si>
    <t>9255328</t>
  </si>
  <si>
    <t>396656</t>
  </si>
  <si>
    <t>HETTICH 9255328 AvanTech You sada bočnic 101/450 antracit</t>
  </si>
  <si>
    <t>9255330</t>
  </si>
  <si>
    <t>396658</t>
  </si>
  <si>
    <t>HETTICH 9255330 AvanTech You sada bočnic 101/550 antracit</t>
  </si>
  <si>
    <t>489892</t>
  </si>
  <si>
    <t>HETTICH 9255330 AvanTech You sada bočnic 101/550 antracit PD-50</t>
  </si>
  <si>
    <t>9255331</t>
  </si>
  <si>
    <t>396659</t>
  </si>
  <si>
    <t>HETTICH 9255331 AvanTech You sada bočnic 101/600 antracit</t>
  </si>
  <si>
    <t>9255332</t>
  </si>
  <si>
    <t>396660</t>
  </si>
  <si>
    <t>HETTICH 9255332 AvanTech You sada bočnic 101/650 antracit</t>
  </si>
  <si>
    <t>489894</t>
  </si>
  <si>
    <t>HETTICH 9255332 AvanTech You sada bočnic 101/650 antracit PD-50</t>
  </si>
  <si>
    <t>9255334</t>
  </si>
  <si>
    <t>396731</t>
  </si>
  <si>
    <t>HETTICH 9255334 AvanTech You sada bočnic 139/300 antracit</t>
  </si>
  <si>
    <t>9255337</t>
  </si>
  <si>
    <t>396734</t>
  </si>
  <si>
    <t>HETTICH 9255337 AvanTech You sada bočnic 139/450 antracit</t>
  </si>
  <si>
    <t>9255340</t>
  </si>
  <si>
    <t>396737</t>
  </si>
  <si>
    <t>HETTICH 9255340 AvanTech You sada bočnic 139/600 antracit</t>
  </si>
  <si>
    <t>9255342</t>
  </si>
  <si>
    <t>396800</t>
  </si>
  <si>
    <t>HETTICH 9255342 AvanTech You sada bočnic 187/270 antracit</t>
  </si>
  <si>
    <t>9255346</t>
  </si>
  <si>
    <t>396804</t>
  </si>
  <si>
    <t>HETTICH 9255346 AvanTech You sada bočnic 187/450 antracit</t>
  </si>
  <si>
    <t>9255348</t>
  </si>
  <si>
    <t>489893</t>
  </si>
  <si>
    <t>HETTICH 9255348 AvanTech You sada bočnic 187/550 antracit PD-50</t>
  </si>
  <si>
    <t>9255350</t>
  </si>
  <si>
    <t>396808</t>
  </si>
  <si>
    <t>HETTICH 9255350 AvanTech You sada bočnic 187/650 antracit</t>
  </si>
  <si>
    <t>489895</t>
  </si>
  <si>
    <t>HETTICH 9255350 AvanTech You sada bočnic 187/650 antracit PD-50</t>
  </si>
  <si>
    <t>9255353</t>
  </si>
  <si>
    <t>396879</t>
  </si>
  <si>
    <t>HETTICH 9255353 AvanTech You sada bočnic 251/350 antracit</t>
  </si>
  <si>
    <t>9255359</t>
  </si>
  <si>
    <t>396885</t>
  </si>
  <si>
    <t>HETTICH 9255359 AvanTech You sada bočnic 251/650 antracit</t>
  </si>
  <si>
    <t>489896</t>
  </si>
  <si>
    <t>HETTICH 9255359 AvanTech You sada bočnic 251/650 antracit PD-50</t>
  </si>
  <si>
    <t>9255006</t>
  </si>
  <si>
    <t>396541</t>
  </si>
  <si>
    <t>HETTICH 9255506 AvanTech YOU bočnice, 77/550mm, levá, stříbrná</t>
  </si>
  <si>
    <t>9255007</t>
  </si>
  <si>
    <t>396542</t>
  </si>
  <si>
    <t>HETTICH 9255507 AvanTech YOU bočnice, 77/550mm, pravá, stříbrná</t>
  </si>
  <si>
    <t>9255759</t>
  </si>
  <si>
    <t>396586</t>
  </si>
  <si>
    <t>HETTICH 9255759 AvanTech YOU krycí profil, 270mm, hliník</t>
  </si>
  <si>
    <t>9255760</t>
  </si>
  <si>
    <t>396587</t>
  </si>
  <si>
    <t>HETTICH 9255760 AvanTech YOU krycí profil, 300mm, hliník</t>
  </si>
  <si>
    <t>9255761</t>
  </si>
  <si>
    <t>396588</t>
  </si>
  <si>
    <t>HETTICH 9255761 AvanTech YOU krycí profil, 350mm, hliník</t>
  </si>
  <si>
    <t>9255762</t>
  </si>
  <si>
    <t>396589</t>
  </si>
  <si>
    <t>HETTICH 9255762 AvanTech YOU krycí profil, 400mm, hliník</t>
  </si>
  <si>
    <t>9255763</t>
  </si>
  <si>
    <t>396590</t>
  </si>
  <si>
    <t>HETTICH 9255763 AvanTech YOU krycí profil, 450mm, hliník</t>
  </si>
  <si>
    <t>9255764</t>
  </si>
  <si>
    <t>396591</t>
  </si>
  <si>
    <t>HETTICH 9255764 AvanTech YOU krycí profil, 500mm, hliník</t>
  </si>
  <si>
    <t>9255765</t>
  </si>
  <si>
    <t>396592</t>
  </si>
  <si>
    <t>HETTICH 9255765 AvanTech YOU krycí profil, 550mm, hliník</t>
  </si>
  <si>
    <t>9255766</t>
  </si>
  <si>
    <t>396593</t>
  </si>
  <si>
    <t>HETTICH 9255766 AvanTech YOU krycí profil, 600mm, hliník</t>
  </si>
  <si>
    <t>9255767</t>
  </si>
  <si>
    <t>396594</t>
  </si>
  <si>
    <t>HETTICH 9255767 AvanTech YOU krycí profil, 650mm, hliník</t>
  </si>
  <si>
    <t>9255768</t>
  </si>
  <si>
    <t>396595</t>
  </si>
  <si>
    <t>HETTICH 9255768 AvanTech You krycí profil 270 mm imitace nerezi</t>
  </si>
  <si>
    <t>9255769</t>
  </si>
  <si>
    <t>396596</t>
  </si>
  <si>
    <t>HETTICH 9255769 AvanTech You krycí profil 300 mm imitace nerezi</t>
  </si>
  <si>
    <t>9255770</t>
  </si>
  <si>
    <t>396597</t>
  </si>
  <si>
    <t>HETTICH 9255770 AvanTech You krycí profil 350 mm imitace nerezi</t>
  </si>
  <si>
    <t>9255771</t>
  </si>
  <si>
    <t>396598</t>
  </si>
  <si>
    <t>HETTICH 9255771 AvanTech You krycí profil 400 mm imitace nerezi</t>
  </si>
  <si>
    <t>9255772</t>
  </si>
  <si>
    <t>396599</t>
  </si>
  <si>
    <t>HETTICH 9255772 AvanTech You krycí profil 450 mm imitace nerezi</t>
  </si>
  <si>
    <t>9255773</t>
  </si>
  <si>
    <t>396600</t>
  </si>
  <si>
    <t>HETTICH 9255773 AvanTech You krycí profil 500 mm imitace nerezi</t>
  </si>
  <si>
    <t>9255774</t>
  </si>
  <si>
    <t>396601</t>
  </si>
  <si>
    <t>HETTICH 9255774 AvanTech You krycí profil 550 mm imitace nerezi</t>
  </si>
  <si>
    <t>9255775</t>
  </si>
  <si>
    <t>396602</t>
  </si>
  <si>
    <t>HETTICH 9255775 AvanTech You krycí profil 600 mm imitace nerezi</t>
  </si>
  <si>
    <t>9255776</t>
  </si>
  <si>
    <t>396603</t>
  </si>
  <si>
    <t>HETTICH 9255776 AvanTech You krycí profil 650 mm imitace nerezi</t>
  </si>
  <si>
    <t>9255777</t>
  </si>
  <si>
    <t>396604</t>
  </si>
  <si>
    <t>HETTICH 9255777 AvanTech YOU krycí profil, 270mm, chrom</t>
  </si>
  <si>
    <t>9255778</t>
  </si>
  <si>
    <t>396605</t>
  </si>
  <si>
    <t>HETTICH 9255778 AvanTech YOU krycí profil, 300mm, chrom</t>
  </si>
  <si>
    <t>9255779</t>
  </si>
  <si>
    <t>396606</t>
  </si>
  <si>
    <t>HETTICH 9255779 AvanTech YOU krycí profil, 350mm, chrom</t>
  </si>
  <si>
    <t>9255780</t>
  </si>
  <si>
    <t>396607</t>
  </si>
  <si>
    <t>HETTICH 9255780 AvanTech YOU krycí profil, 400mm, chrom</t>
  </si>
  <si>
    <t>9255781</t>
  </si>
  <si>
    <t>396608</t>
  </si>
  <si>
    <t>HETTICH 9255781 AvanTech YOU krycí profil, 450mm, chrom</t>
  </si>
  <si>
    <t>9255782</t>
  </si>
  <si>
    <t>396609</t>
  </si>
  <si>
    <t>HETTICH 9255782 AvanTech YOU krycí profil, 500mm, chrom</t>
  </si>
  <si>
    <t>9255783</t>
  </si>
  <si>
    <t>396610</t>
  </si>
  <si>
    <t>HETTICH 9255783 AvanTech YOU krycí profil, 550mm, chrom</t>
  </si>
  <si>
    <t>9255784</t>
  </si>
  <si>
    <t>396611</t>
  </si>
  <si>
    <t>HETTICH 9255784 AvanTech YOU krycí profil, 600mm, chrom</t>
  </si>
  <si>
    <t>9255785</t>
  </si>
  <si>
    <t>396612</t>
  </si>
  <si>
    <t>HETTICH 9255785 AvanTech YOU krycí profil, 650mm, chrom</t>
  </si>
  <si>
    <t>9255786</t>
  </si>
  <si>
    <t>396613</t>
  </si>
  <si>
    <t>HETTICH 9255786 AvanTech YOU krycí profil, 270mm, dub</t>
  </si>
  <si>
    <t>9255787</t>
  </si>
  <si>
    <t>396614</t>
  </si>
  <si>
    <t>HETTICH 9255787 AvanTech YOU krycí profil, 300mm, dub</t>
  </si>
  <si>
    <t>9255788</t>
  </si>
  <si>
    <t>396615</t>
  </si>
  <si>
    <t>HETTICH 9255788 AvanTech YOU krycí profil, 350mm, dub</t>
  </si>
  <si>
    <t>9255789</t>
  </si>
  <si>
    <t>396616</t>
  </si>
  <si>
    <t>HETTICH 9255789 AvanTech YOU krycí profil, 400mm, dub</t>
  </si>
  <si>
    <t>9255790</t>
  </si>
  <si>
    <t>396617</t>
  </si>
  <si>
    <t>HETTICH 9255790 AvanTech YOU krycí profil, 450mm, dub</t>
  </si>
  <si>
    <t>9255791</t>
  </si>
  <si>
    <t>396618</t>
  </si>
  <si>
    <t>HETTICH 9255791 AvanTech YOU krycí profil, 500mm, dub</t>
  </si>
  <si>
    <t>9255792</t>
  </si>
  <si>
    <t>396619</t>
  </si>
  <si>
    <t>HETTICH 9255792 AvanTech YOU krycí profil, 550mm, dub</t>
  </si>
  <si>
    <t>9255793</t>
  </si>
  <si>
    <t>396620</t>
  </si>
  <si>
    <t>HETTICH 9255793 AvanTech YOU krycí profil, 600mm, dub</t>
  </si>
  <si>
    <t>9255794</t>
  </si>
  <si>
    <t>396621</t>
  </si>
  <si>
    <t>HETTICH 9255794 AvanTech YOU krycí profil, 650mm, dub</t>
  </si>
  <si>
    <t>9255795</t>
  </si>
  <si>
    <t>396622</t>
  </si>
  <si>
    <t>HETTICH 9255795 AvanTech YOU krycí profil, 270mm, ořech</t>
  </si>
  <si>
    <t>9255796</t>
  </si>
  <si>
    <t>396623</t>
  </si>
  <si>
    <t>HETTICH 9255796 AvanTech YOU krycí profil, 300mm, ořech</t>
  </si>
  <si>
    <t>9255798</t>
  </si>
  <si>
    <t>396625</t>
  </si>
  <si>
    <t>HETTICH 9255798 AvanTech YOU krycí profil, 400mm, ořech</t>
  </si>
  <si>
    <t>9255799</t>
  </si>
  <si>
    <t>396626</t>
  </si>
  <si>
    <t>HETTICH 9255799 AvanTech YOU krycí profil, 450mm, ořech</t>
  </si>
  <si>
    <t>9255800</t>
  </si>
  <si>
    <t>396627</t>
  </si>
  <si>
    <t>HETTICH 9255800 AvanTech YOU krycí profil, 500mm, ořech</t>
  </si>
  <si>
    <t>9255803</t>
  </si>
  <si>
    <t>396630</t>
  </si>
  <si>
    <t>HETTICH 9255803 AvanTech YOU krycí profil, 650mm, ořech</t>
  </si>
  <si>
    <t>9255804</t>
  </si>
  <si>
    <t>396559</t>
  </si>
  <si>
    <t>HETTICH 9255804 AvanTech You krycí profil 270 mm stříbrný</t>
  </si>
  <si>
    <t>9255805</t>
  </si>
  <si>
    <t>396560</t>
  </si>
  <si>
    <t>HETTICH 9255805 AvanTech You krycí profil 300 mm stříbrný</t>
  </si>
  <si>
    <t>9255806</t>
  </si>
  <si>
    <t>396561</t>
  </si>
  <si>
    <t>HETTICH 9255806 AvanTech You krycí profil 350 mm stříbrný</t>
  </si>
  <si>
    <t>9255807</t>
  </si>
  <si>
    <t>396562</t>
  </si>
  <si>
    <t>HETTICH 9255807 AvanTech You krycí profil 400 mm stříbrný</t>
  </si>
  <si>
    <t>9255808</t>
  </si>
  <si>
    <t>396563</t>
  </si>
  <si>
    <t>HETTICH 9255808 AvanTech You krycí profil 450 mm stříbrný</t>
  </si>
  <si>
    <t>456348</t>
  </si>
  <si>
    <t>HETTICH 9255808 AvanTech You krycí profil 450 mm stříbrný KATOWICE</t>
  </si>
  <si>
    <t>9255809</t>
  </si>
  <si>
    <t>396564</t>
  </si>
  <si>
    <t>HETTICH 9255809 AvanTech You krycí profil 500 mm stříbrný</t>
  </si>
  <si>
    <t>456349</t>
  </si>
  <si>
    <t>HETTICH 9255809 AvanTech You profil maskujący 500 mm srebrny KATOWICE</t>
  </si>
  <si>
    <t>9255810</t>
  </si>
  <si>
    <t>396565</t>
  </si>
  <si>
    <t>HETTICH 9255810 AvanTech You krycí profil 550 mm stříbrný</t>
  </si>
  <si>
    <t>9255811</t>
  </si>
  <si>
    <t>396566</t>
  </si>
  <si>
    <t>HETTICH 9255811 AvanTech You krycí profil 600 mm stříbrný</t>
  </si>
  <si>
    <t>9255812</t>
  </si>
  <si>
    <t>396567</t>
  </si>
  <si>
    <t>HETTICH 9255812 AvanTech You krycí profil 650 mm stříbrný</t>
  </si>
  <si>
    <t>9255813</t>
  </si>
  <si>
    <t>396568</t>
  </si>
  <si>
    <t>HETTICH 9255813 AvanTech You krycí profil 270 mm bílý</t>
  </si>
  <si>
    <t>9255814</t>
  </si>
  <si>
    <t>396569</t>
  </si>
  <si>
    <t>HETTICH 9255814 AvanTech You krycí profil 300 mm bílý</t>
  </si>
  <si>
    <t>9255815</t>
  </si>
  <si>
    <t>396570</t>
  </si>
  <si>
    <t>HETTICH 9255815 AvanTech You krycí profil 350 mm bílý</t>
  </si>
  <si>
    <t>9255816</t>
  </si>
  <si>
    <t>396571</t>
  </si>
  <si>
    <t>HETTICH 9255816 AvanTech You krycí profil 400 mm bílý</t>
  </si>
  <si>
    <t>9255817</t>
  </si>
  <si>
    <t>396572</t>
  </si>
  <si>
    <t>HETTICH 9255817 AvanTech You krycí profil 450 mm bílý</t>
  </si>
  <si>
    <t>9255818</t>
  </si>
  <si>
    <t>396573</t>
  </si>
  <si>
    <t>HETTICH 9255818 AvanTech You krycí profil 500 mm bílý</t>
  </si>
  <si>
    <t>9255820</t>
  </si>
  <si>
    <t>396575</t>
  </si>
  <si>
    <t>HETTICH 9255820 AvanTech You krycí profil 600 mm bílý</t>
  </si>
  <si>
    <t>9255821</t>
  </si>
  <si>
    <t>396576</t>
  </si>
  <si>
    <t>HETTICH 9255821 AvanTech You krycí profil 650 mm bílý</t>
  </si>
  <si>
    <t>9255822</t>
  </si>
  <si>
    <t>396577</t>
  </si>
  <si>
    <t>HETTICH 9255822 AvanTech You krycí profil 270 mm antracit</t>
  </si>
  <si>
    <t>9255823</t>
  </si>
  <si>
    <t>396578</t>
  </si>
  <si>
    <t>HETTICH 9255823 AvanTech You krycí profil 300 mm antracit</t>
  </si>
  <si>
    <t>9255824</t>
  </si>
  <si>
    <t>396579</t>
  </si>
  <si>
    <t>HETTICH 9255824 AvanTech You krycí profil 350 mm antracit</t>
  </si>
  <si>
    <t>9255825</t>
  </si>
  <si>
    <t>396580</t>
  </si>
  <si>
    <t>HETTICH 9255825 AvanTech You krycí profil 400 mm antracit</t>
  </si>
  <si>
    <t>9255826</t>
  </si>
  <si>
    <t>396581</t>
  </si>
  <si>
    <t>HETTICH 9255826 AvanTech You krycí profil 450 mm antracit</t>
  </si>
  <si>
    <t>456352</t>
  </si>
  <si>
    <t>HETTICH 9255826 AvanTech You krycí profil 450 mm antracit KATOWICE</t>
  </si>
  <si>
    <t>9255827</t>
  </si>
  <si>
    <t>396582</t>
  </si>
  <si>
    <t>HETTICH 9255827 AvanTech You krycí profil 500 mm antracit</t>
  </si>
  <si>
    <t>9255828</t>
  </si>
  <si>
    <t>396583</t>
  </si>
  <si>
    <t>HETTICH 9255828 AvanTech You krycí profil 550 mm antracit</t>
  </si>
  <si>
    <t>9255829</t>
  </si>
  <si>
    <t>396584</t>
  </si>
  <si>
    <t>HETTICH 9255829 AvanTech You krycí profil 600 mm antracit</t>
  </si>
  <si>
    <t>9255830</t>
  </si>
  <si>
    <t>396585</t>
  </si>
  <si>
    <t>HETTICH 9255830 AvanTech You krycí profil 650 mm antracit</t>
  </si>
  <si>
    <t>9255831</t>
  </si>
  <si>
    <t>397764</t>
  </si>
  <si>
    <t>HETTICH 9255831 AvanTech You DesignProfil 2000 mm šedý</t>
  </si>
  <si>
    <t>9255832</t>
  </si>
  <si>
    <t>396631</t>
  </si>
  <si>
    <t>HETTICH 9255832 AvanTech YOU čelní příchyt 77, vrut</t>
  </si>
  <si>
    <t>9255833</t>
  </si>
  <si>
    <t>396632</t>
  </si>
  <si>
    <t>HETTICH 9255833 AvanTech YOU čelní příchyt 77, hmoždinka</t>
  </si>
  <si>
    <t>9255835</t>
  </si>
  <si>
    <t>396715</t>
  </si>
  <si>
    <t>HETTICH 9255835 AvanTech YOU čelní příchyt 101, vrut</t>
  </si>
  <si>
    <t>456367</t>
  </si>
  <si>
    <t>HETTICH 9255835 AvanTech You mocowanie frontu 101 na wkręt KATOWICE</t>
  </si>
  <si>
    <t>9255836</t>
  </si>
  <si>
    <t>396716</t>
  </si>
  <si>
    <t>HETTICH 9255836 AvanTech YOU čelní příchyt 101, hmoždinka</t>
  </si>
  <si>
    <t>9255838</t>
  </si>
  <si>
    <t>396863</t>
  </si>
  <si>
    <t>HETTICH 9255838 AvanTech YOU čelní příchyt 187/251, vrut</t>
  </si>
  <si>
    <t>456380</t>
  </si>
  <si>
    <t>HETTICH 9255838 AvanTech You mocowanie frontu 187/251 na wkręt KATOWICE</t>
  </si>
  <si>
    <t>9255839</t>
  </si>
  <si>
    <t>396864</t>
  </si>
  <si>
    <t>HETTICH 9255839 AvanTech YOU čelní příchyt 187/251, hmoždinka</t>
  </si>
  <si>
    <t>9256854</t>
  </si>
  <si>
    <t>397812</t>
  </si>
  <si>
    <t>HETTICH 9256854 Quadro You celovýsuv, 270mm/30kg, levá, SiSy</t>
  </si>
  <si>
    <t>9256855</t>
  </si>
  <si>
    <t>397813</t>
  </si>
  <si>
    <t>HETTICH 9256855 Quadro You celovýsuv, 270mm/30kg, pravá, SiSy</t>
  </si>
  <si>
    <t>9256856</t>
  </si>
  <si>
    <t>397814</t>
  </si>
  <si>
    <t>HETTICH 9256856 Quadro You celovýsuv, 300mm/30kg, levá, SiSy</t>
  </si>
  <si>
    <t>9256857</t>
  </si>
  <si>
    <t>397815</t>
  </si>
  <si>
    <t>HETTICH 9256857 Quadro You celovýsuv, 300mm/30kg, pravá, SiSy</t>
  </si>
  <si>
    <t>9256860</t>
  </si>
  <si>
    <t>397816</t>
  </si>
  <si>
    <t>HETTICH 9256860 Quadro You celovýsuv, 350mm/30kg, levá, SiSy</t>
  </si>
  <si>
    <t>9256861</t>
  </si>
  <si>
    <t>397817</t>
  </si>
  <si>
    <t>HETTICH 9256861 Quadro You celovýsuv, 350mm/30kg, pravá, SiSy</t>
  </si>
  <si>
    <t>9256862</t>
  </si>
  <si>
    <t>538113</t>
  </si>
  <si>
    <t>HETTICH 9256862 Quadro You plnovýsuv 380mm/30kg SiSy L</t>
  </si>
  <si>
    <t>9256863</t>
  </si>
  <si>
    <t>538114</t>
  </si>
  <si>
    <t>HETTICH 9256863 Quadro You plnovýsuv 380mm/30kg SiSy P</t>
  </si>
  <si>
    <t>9256864</t>
  </si>
  <si>
    <t>397818</t>
  </si>
  <si>
    <t>HETTICH 9256864 Quadro You celovýsuv, 400mm/30kg, levá, SiSy</t>
  </si>
  <si>
    <t>9256865</t>
  </si>
  <si>
    <t>397819</t>
  </si>
  <si>
    <t>HETTICH 9256865 Quadro You celovýsuv, 400mm/30kg, pravá, SiSy</t>
  </si>
  <si>
    <t>9256866</t>
  </si>
  <si>
    <t>538117</t>
  </si>
  <si>
    <t>HETTICH 9256866 Quadro You plnovýsuv 420mm/30kg SiSy L</t>
  </si>
  <si>
    <t>9256867</t>
  </si>
  <si>
    <t>538118</t>
  </si>
  <si>
    <t>HETTICH 9256867 Quadro You plnovýsuv 420mm/30kg SiSy P</t>
  </si>
  <si>
    <t>456384</t>
  </si>
  <si>
    <t>HETTICH 9256868 Quadro You celovýsuv 450 30 kg SiSy L KATOWICE</t>
  </si>
  <si>
    <t>9256868</t>
  </si>
  <si>
    <t>397820</t>
  </si>
  <si>
    <t>HETTICH 9256868 Quadro You celovýsuv, 450mm/30kg, levá, SiSy</t>
  </si>
  <si>
    <t>456385</t>
  </si>
  <si>
    <t>HETTICH 9256869 Quadro You celovýsuv 450 30 kg SiSy P KATOWICE</t>
  </si>
  <si>
    <t>9256869</t>
  </si>
  <si>
    <t>397821</t>
  </si>
  <si>
    <t>HETTICH 9256869 Quadro You celovýsuv, 450mm/30kg, pravá, SiSy</t>
  </si>
  <si>
    <t>9256870</t>
  </si>
  <si>
    <t>538121</t>
  </si>
  <si>
    <t>HETTICH 9256870 Quadro You plnovýsuv 480mm/30kg SiSy L</t>
  </si>
  <si>
    <t>9256871</t>
  </si>
  <si>
    <t>538122</t>
  </si>
  <si>
    <t>HETTICH 9256871 Quadro You plnovýsuv 480mm/30kg SiSy P</t>
  </si>
  <si>
    <t>456386</t>
  </si>
  <si>
    <t>HETTICH 9256872 Quadro You celovýsuv 500 30 kg SiSy L KATOWICE</t>
  </si>
  <si>
    <t>9256872</t>
  </si>
  <si>
    <t>397822</t>
  </si>
  <si>
    <t>HETTICH 9256872 Quadro You celovýsuv, 500mm/30kg, levá, SiSy</t>
  </si>
  <si>
    <t>456387</t>
  </si>
  <si>
    <t>HETTICH 9256873 Quadro You celovýsuv 500 30 kg SiSy P KATOWICE</t>
  </si>
  <si>
    <t>9256873</t>
  </si>
  <si>
    <t>397823</t>
  </si>
  <si>
    <t>HETTICH 9256873 Quadro You celovýsuv, 500mm/30kg, pravá, SiSy</t>
  </si>
  <si>
    <t>9256874</t>
  </si>
  <si>
    <t>538125</t>
  </si>
  <si>
    <t>HETTICH 9256874 Quadro You plnovýsuv 520mm/30kg SiSy L</t>
  </si>
  <si>
    <t>9256875</t>
  </si>
  <si>
    <t>538126</t>
  </si>
  <si>
    <t>HETTICH 9256875 Quadro You plnovýsuv 520mm/30kg SiSy P</t>
  </si>
  <si>
    <t>9256876</t>
  </si>
  <si>
    <t>397824</t>
  </si>
  <si>
    <t>HETTICH 9256876 Quadro You celovýsuv, 550mm/30kg, levá, SiSy</t>
  </si>
  <si>
    <t>9256877</t>
  </si>
  <si>
    <t>397825</t>
  </si>
  <si>
    <t>HETTICH 9256877 Quadro You celovýsuv, 550mm/30kg, pravá, SiSy</t>
  </si>
  <si>
    <t>9256880</t>
  </si>
  <si>
    <t>397826</t>
  </si>
  <si>
    <t>HETTICH 9256880 Quadro You celovýsuv, 600mm/30kg, levá, SiSy</t>
  </si>
  <si>
    <t>9256881</t>
  </si>
  <si>
    <t>397827</t>
  </si>
  <si>
    <t>HETTICH 9256881 Quadro You celovýsuv, 600mm/30kg, pravá, SiSy</t>
  </si>
  <si>
    <t>9256883</t>
  </si>
  <si>
    <t>518550</t>
  </si>
  <si>
    <t>HETTICH 9256883 QUADRO YOU PLNOVÝSUV 270 MM EB21 SILENT SYSTEM SADA</t>
  </si>
  <si>
    <t>9256884</t>
  </si>
  <si>
    <t>518551</t>
  </si>
  <si>
    <t>HETTICH 9256884 QUADRO YOU PLNOVÝSUV 300 MM EB21 SILENT SYSTEM SADA</t>
  </si>
  <si>
    <t>9256886</t>
  </si>
  <si>
    <t>527985</t>
  </si>
  <si>
    <t>HETTICH 9256886 Quadro You celovýsuv 350 30 kg SiSy</t>
  </si>
  <si>
    <t>9256888</t>
  </si>
  <si>
    <t>518552</t>
  </si>
  <si>
    <t>HETTICH 9256888 QUADRO YOU PLNOVÝSUV 400 MM EB21 SILENT SYSTEM SADA</t>
  </si>
  <si>
    <t>9256892</t>
  </si>
  <si>
    <t>422190</t>
  </si>
  <si>
    <t>HETTICH 9256892 Quadro YOU 500 30kg SiSy L+P</t>
  </si>
  <si>
    <t>9256896</t>
  </si>
  <si>
    <t>518553</t>
  </si>
  <si>
    <t>HETTICH 9256896 QUADRO YOU PLNOVÝSUV 600 MM EB21 SILENT SYSTEM SADA</t>
  </si>
  <si>
    <t>9256899</t>
  </si>
  <si>
    <t>397834</t>
  </si>
  <si>
    <t>HETTICH 9256899 Quadro You celovýsuv, 270mm/30kg, levá, PTO</t>
  </si>
  <si>
    <t>9256900</t>
  </si>
  <si>
    <t>397835</t>
  </si>
  <si>
    <t>HETTICH 9256900 Quadro You celovýsuv, 270mm/30kg, pravá, PTO</t>
  </si>
  <si>
    <t>9256901</t>
  </si>
  <si>
    <t>397836</t>
  </si>
  <si>
    <t>HETTICH 9256901 Quadro You celovýsuv, 300mm/30kg, levá, PTO</t>
  </si>
  <si>
    <t>9256902</t>
  </si>
  <si>
    <t>397837</t>
  </si>
  <si>
    <t>HETTICH 9256902 Quadro You celovýsuv, 300mm/30kg, pravá, PTO</t>
  </si>
  <si>
    <t>9256905</t>
  </si>
  <si>
    <t>397838</t>
  </si>
  <si>
    <t>HETTICH 9256905 Quadro You celovýsuv, 350mm/30kg, levá, PTO</t>
  </si>
  <si>
    <t>9256906</t>
  </si>
  <si>
    <t>397839</t>
  </si>
  <si>
    <t>HETTICH 9256906 Quadro You celovýsuv, 350mm/30kg, pravá, PTO</t>
  </si>
  <si>
    <t>9256907</t>
  </si>
  <si>
    <t>538111</t>
  </si>
  <si>
    <t>HETTICH 9256907 Quadro You plnovýsuv 380mm/30kg PTO L</t>
  </si>
  <si>
    <t>9256908</t>
  </si>
  <si>
    <t>538112</t>
  </si>
  <si>
    <t>HETTICH 9256908 Quadro You plnovýsuv 380mm/30kg PTO P</t>
  </si>
  <si>
    <t>9256909</t>
  </si>
  <si>
    <t>397840</t>
  </si>
  <si>
    <t>HETTICH 9256909 Quadro You celovýsuv, 400mm/30kg, levá, PTO</t>
  </si>
  <si>
    <t>9256910</t>
  </si>
  <si>
    <t>397841</t>
  </si>
  <si>
    <t>HETTICH 9256910 Quadro You celovýsuv, 400mm/30kg, pravá, PTO</t>
  </si>
  <si>
    <t>9256911</t>
  </si>
  <si>
    <t>538115</t>
  </si>
  <si>
    <t>HETTICH 9256911 Quadro You plnovýsuv 420mm/30kg PTO L</t>
  </si>
  <si>
    <t>9256912</t>
  </si>
  <si>
    <t>538116</t>
  </si>
  <si>
    <t>HETTICH 9256912 Quadro You plnovýsuv 420mm/30kg PTO P</t>
  </si>
  <si>
    <t>9256913</t>
  </si>
  <si>
    <t>397842</t>
  </si>
  <si>
    <t>HETTICH 9256913 Quadro You celovýsuv, 450mm/30kg, levá, PTO</t>
  </si>
  <si>
    <t>9256914</t>
  </si>
  <si>
    <t>397843</t>
  </si>
  <si>
    <t>HETTICH 9256914 Quadro You celovýsuv, 450mm/30kg, pravá, PTO</t>
  </si>
  <si>
    <t>9256915</t>
  </si>
  <si>
    <t>538119</t>
  </si>
  <si>
    <t>HETTICH 9256915 Quadro You plnovýsuv 480mm/30kg PTO L</t>
  </si>
  <si>
    <t>9256916</t>
  </si>
  <si>
    <t>538120</t>
  </si>
  <si>
    <t>HETTICH 9256916 Quadro You plnovýsuv 480mm/30kg PTO P</t>
  </si>
  <si>
    <t>9256917</t>
  </si>
  <si>
    <t>397844</t>
  </si>
  <si>
    <t>HETTICH 9256917 Quadro You celovýsuv, 500mm/30kg, levá, PTO</t>
  </si>
  <si>
    <t>9256918</t>
  </si>
  <si>
    <t>397845</t>
  </si>
  <si>
    <t>HETTICH 9256918 Quadro You celovýsuv, 500mm/30kg, pravá, PTO</t>
  </si>
  <si>
    <t>9256919</t>
  </si>
  <si>
    <t>538123</t>
  </si>
  <si>
    <t>HETTICH 9256919 Quadro You plnovýsuv 520mm/30kg PTO L</t>
  </si>
  <si>
    <t>9256920</t>
  </si>
  <si>
    <t>538124</t>
  </si>
  <si>
    <t>HETTICH 9256920 Quadro You plnovýsuv 520mm/30kg PTO P</t>
  </si>
  <si>
    <t>9256921</t>
  </si>
  <si>
    <t>397846</t>
  </si>
  <si>
    <t>HETTICH 9256921 Quadro You celovýsuv, 550mm/30kg, levá, PTO</t>
  </si>
  <si>
    <t>9256922</t>
  </si>
  <si>
    <t>397847</t>
  </si>
  <si>
    <t>HETTICH 9256922 Quadro You celovýsuv, 550mm/30kg, pravá, PTO</t>
  </si>
  <si>
    <t>9256925</t>
  </si>
  <si>
    <t>397848</t>
  </si>
  <si>
    <t>HETTICH 9256925 Quadro You celovýsuv, 600mm/30kg, levá, PTO</t>
  </si>
  <si>
    <t>9256926</t>
  </si>
  <si>
    <t>397849</t>
  </si>
  <si>
    <t>HETTICH 9256926 Quadro You celovýsuv, 600mm/30kg, pravá, PTO</t>
  </si>
  <si>
    <t>9256928</t>
  </si>
  <si>
    <t>518554</t>
  </si>
  <si>
    <t>HETTICH 9256928 QUADRO YOU PLNOVÝSUV 270 MM EB21 PUSH TO OPEN SADA</t>
  </si>
  <si>
    <t>9256929</t>
  </si>
  <si>
    <t>518555</t>
  </si>
  <si>
    <t>HETTICH 9256929 QUADRO YOU PLNOVÝSUV 300 MM EB21 PUSH TO OPEN SADA</t>
  </si>
  <si>
    <t>9256931</t>
  </si>
  <si>
    <t>518556</t>
  </si>
  <si>
    <t>HETTICH 9256931 QUADRO YOU PLNOVÝSUV 350 MM EB21 PUSH TO OPEN SADA</t>
  </si>
  <si>
    <t>9256933</t>
  </si>
  <si>
    <t>518557</t>
  </si>
  <si>
    <t>HETTICH 9256933 QUADRO YOU PLNOVÝSUV 400 MM EB21 PUSH TO OPEN SADA</t>
  </si>
  <si>
    <t>9256935</t>
  </si>
  <si>
    <t>518558</t>
  </si>
  <si>
    <t>HETTICH 9256935 QUADRO YOU PLNOVÝSUV 450 MM EB21 PUSH TO OPEN SADA</t>
  </si>
  <si>
    <t>9256939</t>
  </si>
  <si>
    <t>518559</t>
  </si>
  <si>
    <t>HETTICH 9256939 QUADRO YOU PLNOVÝSUV 550 MM EB21 PUSH TO OPEN SADA</t>
  </si>
  <si>
    <t>9256941</t>
  </si>
  <si>
    <t>518560</t>
  </si>
  <si>
    <t>HETTICH 9256941 QUADRO YOU PLNOVÝSUV 600 MM EB21 PUSH TO OPEN SADA</t>
  </si>
  <si>
    <t>9256944</t>
  </si>
  <si>
    <t>397806</t>
  </si>
  <si>
    <t>HETTICH 9256944 Quadro You celovýsuv, 270mm/10kg, levá, SiSy</t>
  </si>
  <si>
    <t>9256945</t>
  </si>
  <si>
    <t>397807</t>
  </si>
  <si>
    <t>HETTICH 9256945 Quadro You celovýsuv, 270mm/10kg, pravá, SiSy</t>
  </si>
  <si>
    <t>9256946</t>
  </si>
  <si>
    <t>397808</t>
  </si>
  <si>
    <t>HETTICH 9256946 Quadro You celovýsuv, 300mm/10kg, levá, SiSy</t>
  </si>
  <si>
    <t>9256947</t>
  </si>
  <si>
    <t>397809</t>
  </si>
  <si>
    <t>HETTICH 9256947 Quadro You celovýsuv, 300mm/10kg, pravá, SiSy</t>
  </si>
  <si>
    <t>9256950</t>
  </si>
  <si>
    <t>397810</t>
  </si>
  <si>
    <t>HETTICH 9256950 Quadro You celovýsuv, 350mm/10kg, levá, SiSy</t>
  </si>
  <si>
    <t>9256951</t>
  </si>
  <si>
    <t>397811</t>
  </si>
  <si>
    <t>HETTICH 9256951 Quadro You celovýsuv, 350mm/10kg, pravá, SiSy</t>
  </si>
  <si>
    <t>9256953</t>
  </si>
  <si>
    <t>518547</t>
  </si>
  <si>
    <t>HETTICH 9256953 QUADRO YOU 10 KG PLNOVÝSUV 270 MM EB21 SILENT SYSTEM SADA</t>
  </si>
  <si>
    <t>9256954</t>
  </si>
  <si>
    <t>518548</t>
  </si>
  <si>
    <t>HETTICH 9256954 QUADRO YOU 10 KG PLNOVÝSUV 300 MM EB21 SILENT SYSTEM SADA</t>
  </si>
  <si>
    <t>9256956</t>
  </si>
  <si>
    <t>518549</t>
  </si>
  <si>
    <t>HETTICH 9256956 QUADRO YOU 10 KG PLNOVÝSUV 350 MM EB21 SILENT SYSTEM SADA</t>
  </si>
  <si>
    <t>9256968</t>
  </si>
  <si>
    <t>518472</t>
  </si>
  <si>
    <t>HETTICH 9256968 ACTRO YOU 10KG PLNOVÝSUV 270 MM EB21 SISY (viz 9318154)</t>
  </si>
  <si>
    <t>9256971</t>
  </si>
  <si>
    <t>518473</t>
  </si>
  <si>
    <t>HETTICH 9256971 ACTRO YOU 10KG PLNOVÝSUV 350 MM EB21 SISY (viz 9318160)</t>
  </si>
  <si>
    <t>9256977</t>
  </si>
  <si>
    <t>518474</t>
  </si>
  <si>
    <t>HETTICH 9256977 ACTRO YOU 40KG PLNOVÝSUV 300 MM EB21 SISY P (viz 9318172)</t>
  </si>
  <si>
    <t>9256997</t>
  </si>
  <si>
    <t>518475</t>
  </si>
  <si>
    <t>HETTICH 9256997 ACTRO YOU 40KG PLNOVÝSUV 550 MM EB21 SISY P (viz 9318182)</t>
  </si>
  <si>
    <t>9257017</t>
  </si>
  <si>
    <t>518476</t>
  </si>
  <si>
    <t>HETTICH 9257017 ACTRO YOU 70KG PLNOVÝSUV 500 MM EB21 SISY L (viz 9318201)</t>
  </si>
  <si>
    <t>9257018</t>
  </si>
  <si>
    <t>518477</t>
  </si>
  <si>
    <t>HETTICH 9257018 ACTRO YOU 70KG PLNOVÝSUV 500 MM EB21 SISY P (viz 9318203)</t>
  </si>
  <si>
    <t>9257131</t>
  </si>
  <si>
    <t>396951</t>
  </si>
  <si>
    <t>HETTICH 9257131 AvanTech YOU bočnice pro sklo, 187/350mm, levá, stříbrná</t>
  </si>
  <si>
    <t>9257132</t>
  </si>
  <si>
    <t>396952</t>
  </si>
  <si>
    <t>HETTICH 9257132 AvanTech YOU bočnice pro sklo, 187/350mm, pravá, stříbrná</t>
  </si>
  <si>
    <t>9257133</t>
  </si>
  <si>
    <t>396953</t>
  </si>
  <si>
    <t>HETTICH 9257133 AvanTech YOU bočnice pro sklo, 187/400mm, levá, stříbrná</t>
  </si>
  <si>
    <t>9257134</t>
  </si>
  <si>
    <t>396954</t>
  </si>
  <si>
    <t>HETTICH 9257134 AvanTech YOU bočnice pro sklo, 187/400mm, pravá, stříbrná</t>
  </si>
  <si>
    <t>9257135</t>
  </si>
  <si>
    <t>396955</t>
  </si>
  <si>
    <t>HETTICH 9257135 AvanTech YOU bočnice pro sklo, 187/450mm, levá, stříbrná</t>
  </si>
  <si>
    <t>9257136</t>
  </si>
  <si>
    <t>396956</t>
  </si>
  <si>
    <t>HETTICH 9257136 AvanTech YOU bočnice pro sklo, 187/450mm, pravá, stříbrná</t>
  </si>
  <si>
    <t>9257137</t>
  </si>
  <si>
    <t>396957</t>
  </si>
  <si>
    <t>HETTICH 9257137 AvanTech YOU bočnice pro sklo, 187/500mm, levá, stříbrná</t>
  </si>
  <si>
    <t>9257138</t>
  </si>
  <si>
    <t>396958</t>
  </si>
  <si>
    <t>HETTICH 9257138 AvanTech YOU bočnice pro sklo, 187/500mm, pravá, stříbrná</t>
  </si>
  <si>
    <t>9257139</t>
  </si>
  <si>
    <t>396959</t>
  </si>
  <si>
    <t>HETTICH 9257139 AvanTech YOU bočnice pro sklo, 187/550mm, levá, stříbrná</t>
  </si>
  <si>
    <t>9257140</t>
  </si>
  <si>
    <t>396960</t>
  </si>
  <si>
    <t>HETTICH 9257140 AvanTech YOU bočnice pro sklo, 187/550mm, pravá, stříbrná</t>
  </si>
  <si>
    <t>9257141</t>
  </si>
  <si>
    <t>396961</t>
  </si>
  <si>
    <t>HETTICH 9257141 AvanTech YOU bočnice pro sklo, 187/600mm, levá, stříbrná</t>
  </si>
  <si>
    <t>9257142</t>
  </si>
  <si>
    <t>396962</t>
  </si>
  <si>
    <t>HETTICH 9257142 AvanTech YOU bočnice pro sklo, 187/600mm, pravá, stříbrná</t>
  </si>
  <si>
    <t>9257143</t>
  </si>
  <si>
    <t>396963</t>
  </si>
  <si>
    <t>HETTICH 9257143 AvanTech YOU bočnice pro sklo, 187/650mm, levá, stříbrná</t>
  </si>
  <si>
    <t>9257144</t>
  </si>
  <si>
    <t>396964</t>
  </si>
  <si>
    <t>HETTICH 9257144 AvanTech YOU bočnice pro sklo, 187/650mm, pravá, stříbrná</t>
  </si>
  <si>
    <t>9257145</t>
  </si>
  <si>
    <t>396965</t>
  </si>
  <si>
    <t>HETTICH 9257145 AvanTech YOU bočnice pro sklo, 187/350mm, levá, bílá</t>
  </si>
  <si>
    <t>9257146</t>
  </si>
  <si>
    <t>396966</t>
  </si>
  <si>
    <t>HETTICH 9257146 AvanTech YOU bočnice pro sklo, 187/350mm, pravá, bílá</t>
  </si>
  <si>
    <t>9257147</t>
  </si>
  <si>
    <t>396967</t>
  </si>
  <si>
    <t>HETTICH 9257147 AvanTech YOU bočnice pro sklo, 187/400mm, levá, bílá</t>
  </si>
  <si>
    <t>9257148</t>
  </si>
  <si>
    <t>396968</t>
  </si>
  <si>
    <t>HETTICH 9257148 AvanTech YOU bočnice pro sklo, 187/400mm, pravá, bílá</t>
  </si>
  <si>
    <t>9257149</t>
  </si>
  <si>
    <t>396969</t>
  </si>
  <si>
    <t>HETTICH 9257149 AvanTech YOU bočnice pro sklo, 187/450mm, levá, bílá</t>
  </si>
  <si>
    <t>9257150</t>
  </si>
  <si>
    <t>396970</t>
  </si>
  <si>
    <t>HETTICH 9257150 AvanTech YOU bočnice pro sklo, 187/450mm, pravá, bílá</t>
  </si>
  <si>
    <t>9257151</t>
  </si>
  <si>
    <t>396971</t>
  </si>
  <si>
    <t>HETTICH 9257151 AvanTech YOU bočnice pro sklo, 187/500mm, levá, bílá</t>
  </si>
  <si>
    <t>9257152</t>
  </si>
  <si>
    <t>396972</t>
  </si>
  <si>
    <t>HETTICH 9257152 AvanTech YOU bočnice pro sklo, 187/500mm, pravá, bílá</t>
  </si>
  <si>
    <t>9257153</t>
  </si>
  <si>
    <t>396973</t>
  </si>
  <si>
    <t>HETTICH 9257153 AvanTech YOU bočnice pro sklo, 187/550mm, levá, bílá</t>
  </si>
  <si>
    <t>9257154</t>
  </si>
  <si>
    <t>396974</t>
  </si>
  <si>
    <t>HETTICH 9257154 AvanTech YOU bočnice pro sklo, 187/550mm, pravá, bílá</t>
  </si>
  <si>
    <t>9257155</t>
  </si>
  <si>
    <t>396975</t>
  </si>
  <si>
    <t>HETTICH 9257155 AvanTech YOU bočnice pro sklo, 187/600mm, levá, bílá</t>
  </si>
  <si>
    <t>9257156</t>
  </si>
  <si>
    <t>396976</t>
  </si>
  <si>
    <t>HETTICH 9257156 AvanTech YOU bočnice pro sklo, 187/600mm, pravá, bílá</t>
  </si>
  <si>
    <t>9257157</t>
  </si>
  <si>
    <t>396977</t>
  </si>
  <si>
    <t>HETTICH 9257157 AvanTech YOU bočnice pro sklo, 187/650mm, levá, bílá</t>
  </si>
  <si>
    <t>9257158</t>
  </si>
  <si>
    <t>396978</t>
  </si>
  <si>
    <t>HETTICH 9257158 AvanTech YOU bočnice pro sklo, 187/650mm, pravá, bílá</t>
  </si>
  <si>
    <t>9257159</t>
  </si>
  <si>
    <t>396979</t>
  </si>
  <si>
    <t>HETTICH 9257159 AvanTech YOU bočnice pro sklo, 187/350mm, levá, antracit</t>
  </si>
  <si>
    <t>9257160</t>
  </si>
  <si>
    <t>396980</t>
  </si>
  <si>
    <t>HETTICH 9257160 AvanTech YOU bočnice pro sklo, 187/350mm, pravá, antracit</t>
  </si>
  <si>
    <t>9257161</t>
  </si>
  <si>
    <t>396981</t>
  </si>
  <si>
    <t>HETTICH 9257161 AvanTech YOU bočnice pro sklo, 187/400mm, levá, antracit</t>
  </si>
  <si>
    <t>9257162</t>
  </si>
  <si>
    <t>396982</t>
  </si>
  <si>
    <t>HETTICH 9257162 AvanTech YOU bočnice pro sklo, 187/400mm, pravá, antracit</t>
  </si>
  <si>
    <t>9257163</t>
  </si>
  <si>
    <t>396983</t>
  </si>
  <si>
    <t>HETTICH 9257163 AvanTech YOU bočnice pro sklo, 187/450mm, levá, antracit</t>
  </si>
  <si>
    <t>9257164</t>
  </si>
  <si>
    <t>396984</t>
  </si>
  <si>
    <t>HETTICH 9257164 AvanTech YOU bočnice pro sklo, 187/450mm, pravá, antracit</t>
  </si>
  <si>
    <t>9257165</t>
  </si>
  <si>
    <t>396985</t>
  </si>
  <si>
    <t>HETTICH 9257165 AvanTech YOU bočnice pro sklo, 187/500mm, levá, antracit</t>
  </si>
  <si>
    <t>9257166</t>
  </si>
  <si>
    <t>396986</t>
  </si>
  <si>
    <t>HETTICH 9257166 AvanTech YOU bočnice pro sklo, 187/500mm, pravá, antracit</t>
  </si>
  <si>
    <t>9257167</t>
  </si>
  <si>
    <t>396987</t>
  </si>
  <si>
    <t>HETTICH 9257167 AvanTech YOU bočnice pro sklo, 187/550mm, levá, antracit</t>
  </si>
  <si>
    <t>9257168</t>
  </si>
  <si>
    <t>396988</t>
  </si>
  <si>
    <t>HETTICH 9257168 AvanTech YOU bočnice pro sklo, 187/550mm, pravá, antracit</t>
  </si>
  <si>
    <t>9257169</t>
  </si>
  <si>
    <t>396989</t>
  </si>
  <si>
    <t>HETTICH 9257169 AvanTech YOU bočnice pro sklo, 187/600mm, levá, antracit</t>
  </si>
  <si>
    <t>9257170</t>
  </si>
  <si>
    <t>396990</t>
  </si>
  <si>
    <t>HETTICH 9257170 AvanTech YOU bočnice pro sklo, 187/600mm, pravá, antracit</t>
  </si>
  <si>
    <t>9257171</t>
  </si>
  <si>
    <t>396991</t>
  </si>
  <si>
    <t>HETTICH 9257171 AvanTech YOU bočnice pro sklo, 187/650mm, levá, antracit</t>
  </si>
  <si>
    <t>9257172</t>
  </si>
  <si>
    <t>396992</t>
  </si>
  <si>
    <t>HETTICH 9257172 AvanTech YOU bočnice pro sklo, 187/650mm, pravá, antracit</t>
  </si>
  <si>
    <t>9257173</t>
  </si>
  <si>
    <t>396930</t>
  </si>
  <si>
    <t>HETTICH 9257173 AvanTech You sada držáků pro individuální materiál 187/350 stříb</t>
  </si>
  <si>
    <t>9257174</t>
  </si>
  <si>
    <t>396931</t>
  </si>
  <si>
    <t>HETTICH 9257174 AvanTech You sada držáků pro individuální materiál 187/400 stříb</t>
  </si>
  <si>
    <t>9257175</t>
  </si>
  <si>
    <t>396932</t>
  </si>
  <si>
    <t>HETTICH 9257175 AvanTech You sada držáků pro individuální materiál 187/450 stříb</t>
  </si>
  <si>
    <t>9257176</t>
  </si>
  <si>
    <t>396933</t>
  </si>
  <si>
    <t>HETTICH 9257176 AvanTech You sada držáků pro individuální materiál 187/500 stříb</t>
  </si>
  <si>
    <t>9257178</t>
  </si>
  <si>
    <t>396949</t>
  </si>
  <si>
    <t>HETTICH 9257178 AvanTech You sada držáků pro individuální materiál 187/600 antra</t>
  </si>
  <si>
    <t>9257179</t>
  </si>
  <si>
    <t>396936</t>
  </si>
  <si>
    <t>HETTICH 9257179 AvanTech You sada držáků pro individuální materiál 187/650 stříb</t>
  </si>
  <si>
    <t>9257180</t>
  </si>
  <si>
    <t>396937</t>
  </si>
  <si>
    <t>HETTICH 9257180 AvanTech You sada držáků pro individuální materiál 187/350 bílá</t>
  </si>
  <si>
    <t>9257181</t>
  </si>
  <si>
    <t>396938</t>
  </si>
  <si>
    <t>HETTICH 9257181 AvanTech You sada držáků pro individuální materiál 187/400 bílá</t>
  </si>
  <si>
    <t>9257182</t>
  </si>
  <si>
    <t>396939</t>
  </si>
  <si>
    <t>HETTICH 9257182 AvanTech You sada držáků pro individuální materiál 187/450 bílá</t>
  </si>
  <si>
    <t>9257183</t>
  </si>
  <si>
    <t>396940</t>
  </si>
  <si>
    <t>HETTICH 9257183 AvanTech You sada držáků pro individuální materiál 187/500 bílá</t>
  </si>
  <si>
    <t>9257184</t>
  </si>
  <si>
    <t>396941</t>
  </si>
  <si>
    <t>HETTICH 9257184 AvanTech You sada držáků pro individuální materiál 187/550 bílá</t>
  </si>
  <si>
    <t>9257185</t>
  </si>
  <si>
    <t>396942</t>
  </si>
  <si>
    <t>HETTICH 9257185 AvanTech You sada držáků pro individuální materiál 187/600 bílá</t>
  </si>
  <si>
    <t>9257186</t>
  </si>
  <si>
    <t>396943</t>
  </si>
  <si>
    <t>HETTICH 9257186 AvanTech You sada držáků pro individuální materiál 187/650 bílá</t>
  </si>
  <si>
    <t>9257187</t>
  </si>
  <si>
    <t>396944</t>
  </si>
  <si>
    <t>HETTICH 9257187 AvanTech You sada držáků pro individuální materiál 187/350 antra</t>
  </si>
  <si>
    <t>9257188</t>
  </si>
  <si>
    <t>396945</t>
  </si>
  <si>
    <t>HETTICH 9257188 AvanTech You sada držáků pro individuální materiál 187/400 antra</t>
  </si>
  <si>
    <t>9257189</t>
  </si>
  <si>
    <t>396946</t>
  </si>
  <si>
    <t>HETTICH 9257189 AvanTech You sada držáků pro individuální materiál 187/450 antra</t>
  </si>
  <si>
    <t>9257190</t>
  </si>
  <si>
    <t>396947</t>
  </si>
  <si>
    <t>HETTICH 9257190 AvanTech You sada držáků pro individuální materiál 187/500 antra</t>
  </si>
  <si>
    <t>9257193</t>
  </si>
  <si>
    <t>396950</t>
  </si>
  <si>
    <t>HETTICH 9257193 AvanTech You sada držáků pro individuální materiál 187/650 antra</t>
  </si>
  <si>
    <t>9257257</t>
  </si>
  <si>
    <t>396993</t>
  </si>
  <si>
    <t>HETTICH 9257257 AvanTech YOU čelní příchyt 187, bočnice pro sklo, vrut</t>
  </si>
  <si>
    <t>9257258</t>
  </si>
  <si>
    <t>396994</t>
  </si>
  <si>
    <t>HETTICH 9257258 AvanTech YOU čelní příchyt 187, bočnice pro sklo, hmoždinka</t>
  </si>
  <si>
    <t>9257260</t>
  </si>
  <si>
    <t>397829</t>
  </si>
  <si>
    <t>HETTICH 9257260 Quadro You spojka, dřevěná zásuvka, levá</t>
  </si>
  <si>
    <t>9257261</t>
  </si>
  <si>
    <t>397830</t>
  </si>
  <si>
    <t>HETTICH 9257261 Quadro You spojka, dřevěná zásuvka, pravá</t>
  </si>
  <si>
    <t>9257262</t>
  </si>
  <si>
    <t>397828</t>
  </si>
  <si>
    <t>HETTICH 9257262 Quadro You čelní příchyt L+P</t>
  </si>
  <si>
    <t>9257265</t>
  </si>
  <si>
    <t>425064</t>
  </si>
  <si>
    <t>HETTICH 9257265 Actro YOU spojka L+P</t>
  </si>
  <si>
    <t>9257266</t>
  </si>
  <si>
    <t>397907</t>
  </si>
  <si>
    <t>HETTICH 9257266 Actro 5D čelní příchyt L</t>
  </si>
  <si>
    <t>9257269</t>
  </si>
  <si>
    <t>397369</t>
  </si>
  <si>
    <t>HETTICH 9257269 AvanTech YOU čelo vnitřní zásuvky 101, 2m, stříbrná</t>
  </si>
  <si>
    <t>9257270</t>
  </si>
  <si>
    <t>397370</t>
  </si>
  <si>
    <t>HETTICH 9257270 AvanTech YOU čelo vnitřní zásuvky 139, 2m, stříbrná</t>
  </si>
  <si>
    <t>9257271</t>
  </si>
  <si>
    <t>397371</t>
  </si>
  <si>
    <t>HETTICH 9257271 AvanTech YOU čelo vnitřní zásuvky 187, 2m, stříbrná</t>
  </si>
  <si>
    <t>9257273</t>
  </si>
  <si>
    <t>397372</t>
  </si>
  <si>
    <t>HETTICH 9257273 AvanTech YOU čelo vnitřní zásuvky 101, 2m, bílá</t>
  </si>
  <si>
    <t>9257274</t>
  </si>
  <si>
    <t>397373</t>
  </si>
  <si>
    <t>HETTICH 9257274 AvanTech YOU čelo vnitřní zásuvky 139, 2m, bílá</t>
  </si>
  <si>
    <t>9257275</t>
  </si>
  <si>
    <t>397374</t>
  </si>
  <si>
    <t>HETTICH 9257275 AvanTech YOU čelo vnitřní zásuvky 187, 2m, bílá</t>
  </si>
  <si>
    <t>9257277</t>
  </si>
  <si>
    <t>397375</t>
  </si>
  <si>
    <t>HETTICH 9257277 AvanTech YOU čelo vnitřní zásuvky 101, 2m, antracit</t>
  </si>
  <si>
    <t>9257278</t>
  </si>
  <si>
    <t>397376</t>
  </si>
  <si>
    <t>HETTICH 9257278 AvanTech YOU čelo vnitřní zásuvky 139, 2m, antracit</t>
  </si>
  <si>
    <t>9257279</t>
  </si>
  <si>
    <t>397377</t>
  </si>
  <si>
    <t>HETTICH 9257279 AvanTech YOU čelo vnitřní zásuvky 187, 2m, antracit</t>
  </si>
  <si>
    <t>9257300</t>
  </si>
  <si>
    <t>397329</t>
  </si>
  <si>
    <t>HETTICH 9257300 AvanTech You hliníkový profil pro záda 101/2000 stříbrný</t>
  </si>
  <si>
    <t>9257301</t>
  </si>
  <si>
    <t>397330</t>
  </si>
  <si>
    <t>HETTICH 9257301 AvanTech You hliníkový profil pro záda 139/2000 stříbrný</t>
  </si>
  <si>
    <t>9257302</t>
  </si>
  <si>
    <t>397331</t>
  </si>
  <si>
    <t>HETTICH 9257302 AvanTech You hliníkový profil pro záda 187/2000 stříbrný</t>
  </si>
  <si>
    <t>9257305</t>
  </si>
  <si>
    <t>397334</t>
  </si>
  <si>
    <t>HETTICH 9257305 AvanTech You hliníkový profil pro záda 101/2000 bílý</t>
  </si>
  <si>
    <t>9257306</t>
  </si>
  <si>
    <t>397336</t>
  </si>
  <si>
    <t>HETTICH 9257306 AvanTech You hliníkový profil pro záda 139/2000 bílý</t>
  </si>
  <si>
    <t>9257307</t>
  </si>
  <si>
    <t>397337</t>
  </si>
  <si>
    <t>HETTICH 9257307 AvanTech You hliníkový profil pro záda 187/2000 bílý</t>
  </si>
  <si>
    <t>9257308</t>
  </si>
  <si>
    <t>397338</t>
  </si>
  <si>
    <t>HETTICH 9257308 AvanTech You hliníkový profil pro záda 251/2000 bílý</t>
  </si>
  <si>
    <t>9257310</t>
  </si>
  <si>
    <t>397340</t>
  </si>
  <si>
    <t>HETTICH 9257310 AvanTech You hliníkový profil pro záda 101/2000 antracit</t>
  </si>
  <si>
    <t>9257311</t>
  </si>
  <si>
    <t>397341</t>
  </si>
  <si>
    <t>HETTICH 9257311 AvanTech You hliníkový profil pro záda 139/2000 antracit</t>
  </si>
  <si>
    <t>9257312</t>
  </si>
  <si>
    <t>397342</t>
  </si>
  <si>
    <t>HETTICH 9257312 AvanTech You hliníkový profil pro záda 187/2000 antracit</t>
  </si>
  <si>
    <t>9257319</t>
  </si>
  <si>
    <t>456731</t>
  </si>
  <si>
    <t>HETTICH 9257319 vrták středící d2.5 mm</t>
  </si>
  <si>
    <t>490658</t>
  </si>
  <si>
    <t>HETTICH 9257319 vrták středící d2.5 mm PD-50</t>
  </si>
  <si>
    <t>9257320</t>
  </si>
  <si>
    <t>456729</t>
  </si>
  <si>
    <t>HETTICH 9257320 Practica vrtací šablona pro AvanTech YOU</t>
  </si>
  <si>
    <t>467632</t>
  </si>
  <si>
    <t>HETTICH 9257320 Practica vrtací šablona pro AvanTech YOU PD-50</t>
  </si>
  <si>
    <t>9257321</t>
  </si>
  <si>
    <t>421828</t>
  </si>
  <si>
    <t>HETTICH 9257321 Practica 275 montážní přípravek pro AvanTech YOU</t>
  </si>
  <si>
    <t>467567</t>
  </si>
  <si>
    <t>HETTICH 9257321 Practica 275 montážní přípravek pro AvanTech YOU PD-50</t>
  </si>
  <si>
    <t>9257322</t>
  </si>
  <si>
    <t>460819</t>
  </si>
  <si>
    <t>HETTICH 9257322 Practica 295 montážní přípravek pro AvanTech YOU</t>
  </si>
  <si>
    <t>9257323</t>
  </si>
  <si>
    <t>417927</t>
  </si>
  <si>
    <t>HETTICH 9257323 BlueJig AvanTech 105</t>
  </si>
  <si>
    <t>520143</t>
  </si>
  <si>
    <t>HETTICH 9257323 BlueJig AvanTech 105 PD-50</t>
  </si>
  <si>
    <t>9257324</t>
  </si>
  <si>
    <t>417928</t>
  </si>
  <si>
    <t>HETTICH 9257324 BlueJig AvanTech 205</t>
  </si>
  <si>
    <t>520144</t>
  </si>
  <si>
    <t>HETTICH 9257324 BlueJig AvanTech 205 PD-50</t>
  </si>
  <si>
    <t>9257326</t>
  </si>
  <si>
    <t>473905</t>
  </si>
  <si>
    <t>HETTICH 9257326 BlueJig PTO Actro 5D + Actro YOU + Quadro YOU</t>
  </si>
  <si>
    <t>484155</t>
  </si>
  <si>
    <t>HETTICH 9257326 BlueJig PTO Actro 5D + Actro YOU + Quadro YOU PD-50</t>
  </si>
  <si>
    <t>9257327</t>
  </si>
  <si>
    <t>420155</t>
  </si>
  <si>
    <t>HETTICH 9257327 vrtací šablona pro výsuvy plastová</t>
  </si>
  <si>
    <t>529867</t>
  </si>
  <si>
    <t>HETTICH 9257327 vrtací šablona pro výsuvy plastová PD-50</t>
  </si>
  <si>
    <t>9257329</t>
  </si>
  <si>
    <t>456730</t>
  </si>
  <si>
    <t>HETTICH 9257329 vrták d2.5 mm s pouzdrem</t>
  </si>
  <si>
    <t>467568</t>
  </si>
  <si>
    <t>HETTICH 9257329 vrták d2.5 mm s pouzdrem PD-50</t>
  </si>
  <si>
    <t>9257611</t>
  </si>
  <si>
    <t>397378</t>
  </si>
  <si>
    <t>HETTICH 9257611 AvanTech YOU spojky čela vnitřní zásuvky 101, bok/čelo, stříbrná</t>
  </si>
  <si>
    <t>9257612</t>
  </si>
  <si>
    <t>397379</t>
  </si>
  <si>
    <t>HETTICH 9257612 AvanTech YOU spojky čela vnitřní zásuvky 139, bok/čelo, stříbrná</t>
  </si>
  <si>
    <t>9257613</t>
  </si>
  <si>
    <t>397380</t>
  </si>
  <si>
    <t>HETTICH 9257613 AvanTech YOU spojky čela vnitřní zásuvky 187, bok/čelo, stříbrná</t>
  </si>
  <si>
    <t>9257615</t>
  </si>
  <si>
    <t>397381</t>
  </si>
  <si>
    <t>HETTICH 9257615 AvanTech YOU spojky čela vnitřní zásuvky 101, bok/čelo, bílá</t>
  </si>
  <si>
    <t>9257616</t>
  </si>
  <si>
    <t>397382</t>
  </si>
  <si>
    <t>HETTICH 9257616 AvanTech YOU spojky čela vnitřní zásuvky 139, bok/čelo, bílá</t>
  </si>
  <si>
    <t>9257617</t>
  </si>
  <si>
    <t>397383</t>
  </si>
  <si>
    <t>HETTICH 9257617 AvanTech YOU spojky čela vnitřní zásuvky 187, bok/čelo, bílá</t>
  </si>
  <si>
    <t>9257619</t>
  </si>
  <si>
    <t>397384</t>
  </si>
  <si>
    <t>HETTICH 9257619 AvanTech YOU spojky čela vnitřní zásuvky 101, bok/čelo, antracit</t>
  </si>
  <si>
    <t>9257620</t>
  </si>
  <si>
    <t>397385</t>
  </si>
  <si>
    <t>HETTICH 9257620 AvanTech YOU spojky čela vnitřní zásuvky 139, bok/čelo, antracit</t>
  </si>
  <si>
    <t>9257621</t>
  </si>
  <si>
    <t>397386</t>
  </si>
  <si>
    <t>HETTICH 9257621 AvanTech YOU spojky čela vnitřní zásuvky 187, bok/čelo, antracit</t>
  </si>
  <si>
    <t>9257623</t>
  </si>
  <si>
    <t>397387</t>
  </si>
  <si>
    <t>HETTICH 9257623 AvanTech YOU spojky čela vnitřní zásuvky 187, sklo/čelo,stříbrná</t>
  </si>
  <si>
    <t>9257625</t>
  </si>
  <si>
    <t>397388</t>
  </si>
  <si>
    <t>HETTICH 9257625 AvanTech YOU spojky čela vnitřní zásuvky 187, sklo/čelo, bílá</t>
  </si>
  <si>
    <t>9257627</t>
  </si>
  <si>
    <t>397389</t>
  </si>
  <si>
    <t>HETTICH 9257627 AvanTech YOU spojky čela vnitřní zásuvky 187, sklo/čelo,antracit</t>
  </si>
  <si>
    <t>9257629</t>
  </si>
  <si>
    <t>397391</t>
  </si>
  <si>
    <t>HETTICH 9257629 AvanTech You koncovka pro čelo vnitřní zásuvky 101 stříbrná</t>
  </si>
  <si>
    <t>9257630</t>
  </si>
  <si>
    <t>397392</t>
  </si>
  <si>
    <t>HETTICH 9257630 AvanTech You koncovka pro čelo vnitřní zásuvky 139 stříbrná</t>
  </si>
  <si>
    <t>9257631</t>
  </si>
  <si>
    <t>397393</t>
  </si>
  <si>
    <t>HETTICH 9257631 AvanTech You koncovka pro čelo vnitřní zásuvky 187 stříbrná</t>
  </si>
  <si>
    <t>9257633</t>
  </si>
  <si>
    <t>397394</t>
  </si>
  <si>
    <t>HETTICH 9257633 AvanTech You koncovka pro čelo vnitřní zásuvky 101 bílá</t>
  </si>
  <si>
    <t>9257634</t>
  </si>
  <si>
    <t>397395</t>
  </si>
  <si>
    <t>HETTICH 9257634 AvanTech You koncovka pro čelo vnitřní zásuvky 139 bílá</t>
  </si>
  <si>
    <t>9257635</t>
  </si>
  <si>
    <t>397396</t>
  </si>
  <si>
    <t>HETTICH 9257635 AvanTech You koncovka pro čelo vnitřní zásuvky 187 bílá</t>
  </si>
  <si>
    <t>9257637</t>
  </si>
  <si>
    <t>397397</t>
  </si>
  <si>
    <t>HETTICH 9257637 AvanTech You koncovka pro čelo vnitřní zásuvky 101 antracit</t>
  </si>
  <si>
    <t>9257638</t>
  </si>
  <si>
    <t>397398</t>
  </si>
  <si>
    <t>HETTICH 9257638 AvanTech You koncovka pro čelo vnitřní zásuvky 139 antracit</t>
  </si>
  <si>
    <t>9257639</t>
  </si>
  <si>
    <t>397399</t>
  </si>
  <si>
    <t>HETTICH 9257639 AvanTech You koncovka pro čelo vnitřní zásuvky 187 antracit</t>
  </si>
  <si>
    <t>9257641</t>
  </si>
  <si>
    <t>397390</t>
  </si>
  <si>
    <t>HETTICH 9257641 AvanTech You čelní stabilizátor pro vnitřní zásuvky</t>
  </si>
  <si>
    <t>9257643</t>
  </si>
  <si>
    <t>397757</t>
  </si>
  <si>
    <t>HETTICH 9257643 AvanTech You DesignCape 101/2000 hliník</t>
  </si>
  <si>
    <t>9257644</t>
  </si>
  <si>
    <t>397758</t>
  </si>
  <si>
    <t>HETTICH 9257644 AvanTech You DesignCape 139/2000 hliník</t>
  </si>
  <si>
    <t>9257645</t>
  </si>
  <si>
    <t>397759</t>
  </si>
  <si>
    <t>HETTICH 9257645 AvanTech You DesignCape 187/2000 hliník</t>
  </si>
  <si>
    <t>9257647</t>
  </si>
  <si>
    <t>397760</t>
  </si>
  <si>
    <t>HETTICH 9257647 AvanTech You DesignCape 101/2000 imitace nerezi</t>
  </si>
  <si>
    <t>9257648</t>
  </si>
  <si>
    <t>397761</t>
  </si>
  <si>
    <t>HETTICH 9257648 AvanTech You DesignCape 139/2000 imitace nerezi</t>
  </si>
  <si>
    <t>9257649</t>
  </si>
  <si>
    <t>397762</t>
  </si>
  <si>
    <t>HETTICH 9257649 AvanTech You DesignCape 187/2000 imitace nerezi</t>
  </si>
  <si>
    <t>9257651</t>
  </si>
  <si>
    <t>397751</t>
  </si>
  <si>
    <t>HETTICH 9257651 AvanTech YOU spojky čela vnitřní zásuvky 187, bok/sklo, stříbrná</t>
  </si>
  <si>
    <t>9257652</t>
  </si>
  <si>
    <t>397752</t>
  </si>
  <si>
    <t>HETTICH 9257652 AvanTech YOU spojky čela vnitřní zásuvky 187, bok/sklo, bílá</t>
  </si>
  <si>
    <t>9257653</t>
  </si>
  <si>
    <t>397753</t>
  </si>
  <si>
    <t>HETTICH 9257653 AvanTech YOU spojky čela vnitřní zásuvky 187, bok/sklo, antracit</t>
  </si>
  <si>
    <t>9257657</t>
  </si>
  <si>
    <t>397754</t>
  </si>
  <si>
    <t>HETTICH 9257657 AvanTech YOU spojky čela vnitřní zásuvky 187, sklo/sklo,stříbrná</t>
  </si>
  <si>
    <t>9257658</t>
  </si>
  <si>
    <t>397755</t>
  </si>
  <si>
    <t>HETTICH 9257658 AvanTech YOU spojky čela vnitřní zásuvky 187, sklo/sklo, bílá</t>
  </si>
  <si>
    <t>9257659</t>
  </si>
  <si>
    <t>397756</t>
  </si>
  <si>
    <t>HETTICH 9257659 AvanTech YOU spojky čela vnitřní zásuvky 187, sklo/sklo,antracit</t>
  </si>
  <si>
    <t>9257663</t>
  </si>
  <si>
    <t>397748</t>
  </si>
  <si>
    <t>HETTICH 9257663 AvanTech YOU čelo vnitřní zásuvky 187, pro sklo, 2m, stříbrná</t>
  </si>
  <si>
    <t>9257664</t>
  </si>
  <si>
    <t>397749</t>
  </si>
  <si>
    <t>HETTICH 9257664 AvanTech YOU čelo vnitřní zásuvky 187, pro sklo, 2m, bílá</t>
  </si>
  <si>
    <t>9257665</t>
  </si>
  <si>
    <t>397750</t>
  </si>
  <si>
    <t>HETTICH 9257665 AvanTech YOU čelo vnitřní zásuvky 187, pro sklo, 2m, antracit</t>
  </si>
  <si>
    <t>9257666</t>
  </si>
  <si>
    <t>397344</t>
  </si>
  <si>
    <t>HETTICH 9257666 AvanTech YOU držák zad 101, levá, stříbrná</t>
  </si>
  <si>
    <t>9257667</t>
  </si>
  <si>
    <t>397345</t>
  </si>
  <si>
    <t>HETTICH 9257667 AvanTech YOU držák zad 101, pravá, stříbrná</t>
  </si>
  <si>
    <t>9257668</t>
  </si>
  <si>
    <t>397346</t>
  </si>
  <si>
    <t>HETTICH 9257668 AvanTech YOU držák zad 139, levá, stříbrná</t>
  </si>
  <si>
    <t>9257669</t>
  </si>
  <si>
    <t>397347</t>
  </si>
  <si>
    <t>HETTICH 9257669 AvanTech YOU držák zad 139, pravá, stříbrná</t>
  </si>
  <si>
    <t>9257670</t>
  </si>
  <si>
    <t>397348</t>
  </si>
  <si>
    <t>HETTICH 9257670 AvanTech YOU držák zad 187, levá, stříbrná</t>
  </si>
  <si>
    <t>9257671</t>
  </si>
  <si>
    <t>397349</t>
  </si>
  <si>
    <t>HETTICH 9257671 AvanTech YOU držák zad 187, pravá, stříbrná</t>
  </si>
  <si>
    <t>9257672</t>
  </si>
  <si>
    <t>397350</t>
  </si>
  <si>
    <t>HETTICH 9257672 AvanTech YOU držák zad 251, levá, stříbrná</t>
  </si>
  <si>
    <t>9257673</t>
  </si>
  <si>
    <t>397351</t>
  </si>
  <si>
    <t>HETTICH 9257673 AvanTech YOU držák zad 251, pravá, stříbrná</t>
  </si>
  <si>
    <t>9257678</t>
  </si>
  <si>
    <t>397352</t>
  </si>
  <si>
    <t>HETTICH 9257678 AvanTech YOU držák zad 101, levá, bílá</t>
  </si>
  <si>
    <t>9257679</t>
  </si>
  <si>
    <t>397353</t>
  </si>
  <si>
    <t>HETTICH 9257679 AvanTech YOU držák zad 101, pravá, bílá</t>
  </si>
  <si>
    <t>9257680</t>
  </si>
  <si>
    <t>397354</t>
  </si>
  <si>
    <t>HETTICH 9257680 AvanTech YOU držák zad 139, levá, bílá</t>
  </si>
  <si>
    <t>9257681</t>
  </si>
  <si>
    <t>397355</t>
  </si>
  <si>
    <t>HETTICH 9257681 AvanTech YOU držák zad 139, pravá, bílá</t>
  </si>
  <si>
    <t>9257682</t>
  </si>
  <si>
    <t>397356</t>
  </si>
  <si>
    <t>HETTICH 9257682 AvanTech YOU držák zad 187, levá, bílá</t>
  </si>
  <si>
    <t>9257683</t>
  </si>
  <si>
    <t>397357</t>
  </si>
  <si>
    <t>HETTICH 9257683 AvanTech YOU držák zad 187, pravá, bílá</t>
  </si>
  <si>
    <t>9257684</t>
  </si>
  <si>
    <t>397358</t>
  </si>
  <si>
    <t>HETTICH 9257684 AvanTech YOU držák zad 251, levá, bílá</t>
  </si>
  <si>
    <t>9257685</t>
  </si>
  <si>
    <t>397359</t>
  </si>
  <si>
    <t>HETTICH 9257685 AvanTech YOU držák zad 251, pravá, bílá</t>
  </si>
  <si>
    <t>9257690</t>
  </si>
  <si>
    <t>397360</t>
  </si>
  <si>
    <t>HETTICH 9257690 AvanTech YOU držák zad 101, levá, antracit</t>
  </si>
  <si>
    <t>9257691</t>
  </si>
  <si>
    <t>397362</t>
  </si>
  <si>
    <t>HETTICH 9257691 AvanTech YOU držák zad 101, pravá, antracit</t>
  </si>
  <si>
    <t>9257692</t>
  </si>
  <si>
    <t>397363</t>
  </si>
  <si>
    <t>HETTICH 9257692 AvanTech YOU držák zad 139, levá, antracit</t>
  </si>
  <si>
    <t>9257693</t>
  </si>
  <si>
    <t>397364</t>
  </si>
  <si>
    <t>HETTICH 9257693 AvanTech YOU držák zad 139, pravá, antracit</t>
  </si>
  <si>
    <t>9257694</t>
  </si>
  <si>
    <t>397365</t>
  </si>
  <si>
    <t>HETTICH 9257694 AvanTech YOU držák zad 187, levá, antracit</t>
  </si>
  <si>
    <t>9257695</t>
  </si>
  <si>
    <t>397366</t>
  </si>
  <si>
    <t>HETTICH 9257695 AvanTech YOU držák zad 187, pravá, antracit</t>
  </si>
  <si>
    <t>9257696</t>
  </si>
  <si>
    <t>397367</t>
  </si>
  <si>
    <t>HETTICH 9257696 AvanTech YOU držák zad 251, levá, antracit</t>
  </si>
  <si>
    <t>9257697</t>
  </si>
  <si>
    <t>397368</t>
  </si>
  <si>
    <t>HETTICH 9257697 AvanTech YOU držák zad 251, pravá, antracit</t>
  </si>
  <si>
    <t>9257702</t>
  </si>
  <si>
    <t>396633</t>
  </si>
  <si>
    <t>HETTICH 9257702 AvanTech You stabilizátor zad</t>
  </si>
  <si>
    <t>456354</t>
  </si>
  <si>
    <t>HETTICH 9257702 AvanTech You wzmocnienie ścianki tylnej KATOWICE</t>
  </si>
  <si>
    <t>9257703</t>
  </si>
  <si>
    <t>397765</t>
  </si>
  <si>
    <t>HETTICH 9257703 AvanTech You krytka s logem Hettich stříbrná</t>
  </si>
  <si>
    <t>456381</t>
  </si>
  <si>
    <t>HETTICH 9257703 AvanTech You krytka s logem Hettich stříbrná KATOWICE</t>
  </si>
  <si>
    <t>9257704</t>
  </si>
  <si>
    <t>397766</t>
  </si>
  <si>
    <t>HETTICH 9257704 AvanTech You krytka s logem Hettich bílá</t>
  </si>
  <si>
    <t>456382</t>
  </si>
  <si>
    <t>HETTICH 9257704 AvanTech You krytka s logem Hettich bílá KATOWICE</t>
  </si>
  <si>
    <t>9257705</t>
  </si>
  <si>
    <t>397767</t>
  </si>
  <si>
    <t>HETTICH 9257705 AvanTech You krytka s logem Hettich antracit</t>
  </si>
  <si>
    <t>456383</t>
  </si>
  <si>
    <t>HETTICH 9257705 AvanTech You krytka s logem Hettich antracit KATOWICE</t>
  </si>
  <si>
    <t>9257706</t>
  </si>
  <si>
    <t>397909</t>
  </si>
  <si>
    <t>HETTICH 9257706 Actro You / Actro 5D seřízení hloubky, příslušenství, sada</t>
  </si>
  <si>
    <t>9257725</t>
  </si>
  <si>
    <t>417270</t>
  </si>
  <si>
    <t>HETTICH 9257725 Aretace pro výsuvnou polici, bílá</t>
  </si>
  <si>
    <t>9257727</t>
  </si>
  <si>
    <t>449952</t>
  </si>
  <si>
    <t>HETTICH 9257727 Aretace pro výsuvnou polici, antracit</t>
  </si>
  <si>
    <t>9257731</t>
  </si>
  <si>
    <t>481821</t>
  </si>
  <si>
    <t>HETTICH 9257731 Easys úhelník pro záda AvanTech YOU</t>
  </si>
  <si>
    <t>9257733</t>
  </si>
  <si>
    <t>462513</t>
  </si>
  <si>
    <t>HETTICH 9257733 Actro 5D držáky výsuvné police</t>
  </si>
  <si>
    <t>9257734</t>
  </si>
  <si>
    <t>481350</t>
  </si>
  <si>
    <t>HETTICH 9257734 AvanTech You unašeč pro vnitřní čelo stříbrná</t>
  </si>
  <si>
    <t>9257735</t>
  </si>
  <si>
    <t>461088</t>
  </si>
  <si>
    <t>HETTICH 9257735 AvanTech You unašeč pro vnitřní čelo bílá</t>
  </si>
  <si>
    <t>9257736</t>
  </si>
  <si>
    <t>417299</t>
  </si>
  <si>
    <t>HETTICH 9257736 AvanTech You unašeč pro vnitřní čelo antracit</t>
  </si>
  <si>
    <t>9257813</t>
  </si>
  <si>
    <t>473904</t>
  </si>
  <si>
    <t>HETTICH 9257813 BlueJig Actro 5D + Actro YOU</t>
  </si>
  <si>
    <t>547529</t>
  </si>
  <si>
    <t>HETTICH 9257813 BlueJig Actro 5D + Actro YOU PD-50</t>
  </si>
  <si>
    <t>9257884</t>
  </si>
  <si>
    <t>396780</t>
  </si>
  <si>
    <t>HETTICH 9257884 AvanTech YOU čelní příchyt 139, vrut</t>
  </si>
  <si>
    <t>9257885</t>
  </si>
  <si>
    <t>396781</t>
  </si>
  <si>
    <t>HETTICH 9257885 AvanTech YOU čelní příchyt 139, hmoždinka</t>
  </si>
  <si>
    <t>9257887</t>
  </si>
  <si>
    <t>396928</t>
  </si>
  <si>
    <t>HETTICH 9257887 AvanTech YOU čelní stabilizátor 251, vrut</t>
  </si>
  <si>
    <t>9257888</t>
  </si>
  <si>
    <t>396929</t>
  </si>
  <si>
    <t>HETTICH 9257888 AvanTech YOU čelní stabilizátor 251, hmoždinka</t>
  </si>
  <si>
    <t>9257890</t>
  </si>
  <si>
    <t>397802</t>
  </si>
  <si>
    <t>HETTICH 9257890 Actro You / Actro 5D mechanismus PTOs, 270-350mm/10kg</t>
  </si>
  <si>
    <t>9257891</t>
  </si>
  <si>
    <t>397803</t>
  </si>
  <si>
    <t>HETTICH 9257891 Actro You / Actro 5D mechanismus PTOs, 270-600mm/8-20kg</t>
  </si>
  <si>
    <t>9257892</t>
  </si>
  <si>
    <t>397804</t>
  </si>
  <si>
    <t>HETTICH 9257892 Actro You / Actro 5D mechanismus PTOs, 350-600mm/10-40kg</t>
  </si>
  <si>
    <t>9257893</t>
  </si>
  <si>
    <t>397805</t>
  </si>
  <si>
    <t>HETTICH 9257893 Actro You / Actro 5D mechanismus PTOs, 450-650mm/20-70kg</t>
  </si>
  <si>
    <t>9257894</t>
  </si>
  <si>
    <t>397831</t>
  </si>
  <si>
    <t>HETTICH 9257894 Quadro You mechanismus PTOs, 270-350mm/10kg</t>
  </si>
  <si>
    <t>9257895</t>
  </si>
  <si>
    <t>397832</t>
  </si>
  <si>
    <t>HETTICH 9257895 Quadro You mechanismus PTOs, 270-600mm/8-20kg</t>
  </si>
  <si>
    <t>9257896</t>
  </si>
  <si>
    <t>397833</t>
  </si>
  <si>
    <t>HETTICH 9257896 Quadro You mechanismus PTOs, 350-600mm/10-30kg</t>
  </si>
  <si>
    <t>9259846</t>
  </si>
  <si>
    <t>475054</t>
  </si>
  <si>
    <t>HETTICH 9259846 Quadro 400mm EB23 na čep PTO částečný výsuv L FAKTUM</t>
  </si>
  <si>
    <t>9259847</t>
  </si>
  <si>
    <t>475057</t>
  </si>
  <si>
    <t>HETTICH 9259847 Quadro 400mm EB23 na čep PTO částečný výsuv P FAKTUM</t>
  </si>
  <si>
    <t>9259848</t>
  </si>
  <si>
    <t>472132</t>
  </si>
  <si>
    <t>HETTICH 9259848 QUADRO 450mm EB23 na čep push to open částečný výsuv L FAKTUM</t>
  </si>
  <si>
    <t>9259849</t>
  </si>
  <si>
    <t>472133</t>
  </si>
  <si>
    <t>HETTICH 9259849 QUADRO 450mm EB23 na čep push to open částečný výsuv P FAKTUM</t>
  </si>
  <si>
    <t>9260344</t>
  </si>
  <si>
    <t>315844</t>
  </si>
  <si>
    <t>HETTICH 9260344/9212717 Quadro 25 300mm/20kg EB23 PTO L</t>
  </si>
  <si>
    <t>9260345</t>
  </si>
  <si>
    <t>315845</t>
  </si>
  <si>
    <t>HETTICH 9260345/9212718 Quadro 25 300mm/20kg EB23 PTO P</t>
  </si>
  <si>
    <t>9260348</t>
  </si>
  <si>
    <t>315848</t>
  </si>
  <si>
    <t>HETTICH 9260348/9212723 Quadro 25 400mm/25kg EB23 PTO L</t>
  </si>
  <si>
    <t>9260349</t>
  </si>
  <si>
    <t>315849</t>
  </si>
  <si>
    <t>HETTICH 9260349/9212724 Quadro 25 400mm/25kg EB23 PTO P</t>
  </si>
  <si>
    <t>9262213</t>
  </si>
  <si>
    <t>489987</t>
  </si>
  <si>
    <t>HETTICH 9262213 flexibilní adaptér synchronizace PTO pro šikmý korpus</t>
  </si>
  <si>
    <t>9264073</t>
  </si>
  <si>
    <t>482616</t>
  </si>
  <si>
    <t>HETTICH 9264073 Úchytka COMO 320/332 černá matná</t>
  </si>
  <si>
    <t>9264086</t>
  </si>
  <si>
    <t>460820</t>
  </si>
  <si>
    <t>HETTICH 9264086 Úchytka RIALTO 189/160 mm černá matná</t>
  </si>
  <si>
    <t>9264087</t>
  </si>
  <si>
    <t>460821</t>
  </si>
  <si>
    <t>HETTICH 9264087 Úchytka NURSIA 168/160 mm černá matná</t>
  </si>
  <si>
    <t>9264088</t>
  </si>
  <si>
    <t>460802</t>
  </si>
  <si>
    <t>HETTICH 9264088 úchytka INTRA 204/192 mm černá matná/měď kartáčovaná</t>
  </si>
  <si>
    <t>9264170</t>
  </si>
  <si>
    <t>386106</t>
  </si>
  <si>
    <t>HETTICH 9264170 WingLine L/S mechanická aretace Push2M (bez úchytky) bílá</t>
  </si>
  <si>
    <t>9264191</t>
  </si>
  <si>
    <t>386105</t>
  </si>
  <si>
    <t>HETTICH 9264191 WingLine L/S mechanická aretace Push2M (bez úchytky) šedá</t>
  </si>
  <si>
    <t>9264192</t>
  </si>
  <si>
    <t>386107</t>
  </si>
  <si>
    <t>HETTICH 9264192 WingLine L/S mechanická aretace Push2M (bez úchytky) černá</t>
  </si>
  <si>
    <t>9265092</t>
  </si>
  <si>
    <t>469614</t>
  </si>
  <si>
    <t>HETTICH 9265092 distanční kolečko 36mm</t>
  </si>
  <si>
    <t>9265093</t>
  </si>
  <si>
    <t>464117</t>
  </si>
  <si>
    <t>HETTICH 9265093 distanční kolečko pro STB EB29</t>
  </si>
  <si>
    <t>9265885</t>
  </si>
  <si>
    <t>460804</t>
  </si>
  <si>
    <t>HETTICH 9265885 Knobka ISSA d40 mm černá matná</t>
  </si>
  <si>
    <t>9265887</t>
  </si>
  <si>
    <t>465265</t>
  </si>
  <si>
    <t>HETTICH 9265887 Úchytka FELINA 160/240 mm černá matná</t>
  </si>
  <si>
    <t>9265927</t>
  </si>
  <si>
    <t>474091</t>
  </si>
  <si>
    <t>HETTICH 9265927 Úchytka CLIVIA 288 mm, černá matná</t>
  </si>
  <si>
    <t>9265934</t>
  </si>
  <si>
    <t>474092</t>
  </si>
  <si>
    <t>HETTICH 9265934 Úchytka CLIVIA 482 mm, černá matná</t>
  </si>
  <si>
    <t>9265935</t>
  </si>
  <si>
    <t>414567</t>
  </si>
  <si>
    <t>HETTICH 9265935 Úchytka CLIVIA 512 mm, černá matná</t>
  </si>
  <si>
    <t>9265949</t>
  </si>
  <si>
    <t>457983</t>
  </si>
  <si>
    <t>HETTICH 9265949 ÚCHYTKA TRANI, 52/32, ČERNÁ MATNÁ</t>
  </si>
  <si>
    <t>9265950</t>
  </si>
  <si>
    <t>460823</t>
  </si>
  <si>
    <t>HETTICH 9265950 ÚCHYTKA TRANI, 84/64 mm ČERNÁ MATNÁ</t>
  </si>
  <si>
    <t>9265958</t>
  </si>
  <si>
    <t>409276</t>
  </si>
  <si>
    <t>HETTICH 9265958 WingLine L mechanismus Push2M pro těžké dveře šedý pravý</t>
  </si>
  <si>
    <t>9265959</t>
  </si>
  <si>
    <t>409273</t>
  </si>
  <si>
    <t>HETTICH 9265959 WingLine L mechanismus Push2M pro těžké dveře šedý levý</t>
  </si>
  <si>
    <t>9265972</t>
  </si>
  <si>
    <t>416132</t>
  </si>
  <si>
    <t>HETTICH 9265972 ÚCHYTKA TRANI, 128 mm, ČERNÁ MATNÁ</t>
  </si>
  <si>
    <t>9265973</t>
  </si>
  <si>
    <t>509970</t>
  </si>
  <si>
    <t>HETTICH 9265973 úchytka Lamezia L295 černá matná</t>
  </si>
  <si>
    <t>9265975</t>
  </si>
  <si>
    <t>481325</t>
  </si>
  <si>
    <t>HETTICH 9265975 Úchytka LAMEZIA L345 ČERNÁ MATNÁ</t>
  </si>
  <si>
    <t>9265976</t>
  </si>
  <si>
    <t>457034</t>
  </si>
  <si>
    <t>HETTICH 9265976 Úchytka LAMEZIA L395 ČERNÁ MATNÁ</t>
  </si>
  <si>
    <t>9265977</t>
  </si>
  <si>
    <t>457035</t>
  </si>
  <si>
    <t>HETTICH 9265977 Úchytka LAMEZIA L445 ČERNÁ MATNÁ</t>
  </si>
  <si>
    <t>9265978</t>
  </si>
  <si>
    <t>465237</t>
  </si>
  <si>
    <t>HETTICH 9265978 Úchytka LAMEZIA L495 ČERNÁ MATNÁ</t>
  </si>
  <si>
    <t>9265979</t>
  </si>
  <si>
    <t>417290</t>
  </si>
  <si>
    <t>HETTICH 9265979 Úchytka LAMEZIA L595 ČERNÁ MATNÁ</t>
  </si>
  <si>
    <t>9265980</t>
  </si>
  <si>
    <t>417291</t>
  </si>
  <si>
    <t>HETTICH 9265980 Úchytka LAMEZIA L795 ČERNÁ MATNÁ</t>
  </si>
  <si>
    <t>9265981</t>
  </si>
  <si>
    <t>417292</t>
  </si>
  <si>
    <t>HETTICH 9265981 Úchytka LAMEZIA L895 ČERNÁ MATNÁ</t>
  </si>
  <si>
    <t>9265982</t>
  </si>
  <si>
    <t>479361</t>
  </si>
  <si>
    <t>HETTICH 9265982 Úchytka LAMEZIA L995 ČERNÁ MATNÁ</t>
  </si>
  <si>
    <t>9265983</t>
  </si>
  <si>
    <t>519361</t>
  </si>
  <si>
    <t>HETTICH 9265983 ÚCHYTKA LAMEZIA L1195 ČERNÁ MATNÁ</t>
  </si>
  <si>
    <t>9265997</t>
  </si>
  <si>
    <t>416243</t>
  </si>
  <si>
    <t>HETTICH 9265997 Úchytka Codania L295 černá matná</t>
  </si>
  <si>
    <t>9266001</t>
  </si>
  <si>
    <t>416247</t>
  </si>
  <si>
    <t>HETTICH 9266001 ÚCHYTKA ÚCHYTKA CODANIA L495 ČERNÁ MATNÁ</t>
  </si>
  <si>
    <t>9266002</t>
  </si>
  <si>
    <t>416248</t>
  </si>
  <si>
    <t>HETTICH 9266002 ÚCHYTKA ÚCHYTKA CODANIA L595 ČERNÁ MATNÁ</t>
  </si>
  <si>
    <t>9266003</t>
  </si>
  <si>
    <t>416249</t>
  </si>
  <si>
    <t>HETTICH 9266003 ÚCHYTKA ÚCHYTKA CODANIA L795 ČERNÁ MATNÁ</t>
  </si>
  <si>
    <t>9266004</t>
  </si>
  <si>
    <t>416250</t>
  </si>
  <si>
    <t>HETTICH 9266004 ÚCHYTKA ÚCHYTKA CODANIA L895 ČERNÁ MATNÁ</t>
  </si>
  <si>
    <t>9266077</t>
  </si>
  <si>
    <t>409633</t>
  </si>
  <si>
    <t>HETTICH 9266077 Úchytka  Naila 71/64 černá matná</t>
  </si>
  <si>
    <t>9266078</t>
  </si>
  <si>
    <t>409634</t>
  </si>
  <si>
    <t>HETTICH 9266078 Úchytka Naila 96 černá matná</t>
  </si>
  <si>
    <t>9266079</t>
  </si>
  <si>
    <t>409635</t>
  </si>
  <si>
    <t>HETTICH 9266079 Úchytka Naila 128 černá matná</t>
  </si>
  <si>
    <t>9266080</t>
  </si>
  <si>
    <t>409636</t>
  </si>
  <si>
    <t>HETTICH 9266080 Úchytka Naila 160 černá matná</t>
  </si>
  <si>
    <t>9266091</t>
  </si>
  <si>
    <t>409637</t>
  </si>
  <si>
    <t>HETTICH 9266091 Úchytka Naila 192 černá matná</t>
  </si>
  <si>
    <t>9266092</t>
  </si>
  <si>
    <t>409638</t>
  </si>
  <si>
    <t>HETTICH 9266092 Úchytka Naila 256 černá matná</t>
  </si>
  <si>
    <t>9266093</t>
  </si>
  <si>
    <t>409639</t>
  </si>
  <si>
    <t>HETTICH 9266093 Úchytka Naila 295/288 černá matná</t>
  </si>
  <si>
    <t>9266094</t>
  </si>
  <si>
    <t>409640</t>
  </si>
  <si>
    <t>HETTICH 9266094 Úchytka Naila 320 černá matná</t>
  </si>
  <si>
    <t>9266102</t>
  </si>
  <si>
    <t>419791</t>
  </si>
  <si>
    <t>HETTICH 9266102 profil Riaza, 2400 mm, hliník</t>
  </si>
  <si>
    <t>9266104</t>
  </si>
  <si>
    <t>455781</t>
  </si>
  <si>
    <t>HETTICH 9266104  Úchytková lišta Canis L, L 3500 mm, Černá matná</t>
  </si>
  <si>
    <t>9266111</t>
  </si>
  <si>
    <t>409264</t>
  </si>
  <si>
    <t>HETTICH 9266111 WingLine L/S mechanismus Push2M pro lehké dveře šedý pravý</t>
  </si>
  <si>
    <t>9266113</t>
  </si>
  <si>
    <t>409261</t>
  </si>
  <si>
    <t>HETTICH 9266113 WingLine L/S mechanismus Push2M pro lehké dveře šedý levý</t>
  </si>
  <si>
    <t>9266132</t>
  </si>
  <si>
    <t>486128</t>
  </si>
  <si>
    <t>HETTICH 9266132  Úchytková lišta Canis C, L 3500 mm, Černá matná</t>
  </si>
  <si>
    <t>9266135</t>
  </si>
  <si>
    <t>486129</t>
  </si>
  <si>
    <t>HETTICH 9266135, Koncovka uzavřená Canis C, P+L sada, černá matná</t>
  </si>
  <si>
    <t>9266219</t>
  </si>
  <si>
    <t>518634</t>
  </si>
  <si>
    <t>HETTICH 9266219 WingLine L/S magnetická aretace Standard,Pull2M,šedá,úchytka</t>
  </si>
  <si>
    <t>9266220</t>
  </si>
  <si>
    <t>416240</t>
  </si>
  <si>
    <t>HETTICH 9266220 WingLine L magnetická aretace Standard Push2M (bez úchytky) šedá</t>
  </si>
  <si>
    <t>9266241</t>
  </si>
  <si>
    <t>416469</t>
  </si>
  <si>
    <t>HETTICH 9266241 WingLine L magnetická aretace Design Push2M (bez úchytky) černá</t>
  </si>
  <si>
    <t>9266242</t>
  </si>
  <si>
    <t>416468</t>
  </si>
  <si>
    <t>HETTICH 9266242 WingLine L magnetická aretace Design Push2M (bez úchytky) bílá</t>
  </si>
  <si>
    <t>9266243</t>
  </si>
  <si>
    <t>518633</t>
  </si>
  <si>
    <t>HETTICH 9266243 WingLine L/S magnetická aretace Design,Pull2M,antracit,úchytka</t>
  </si>
  <si>
    <t>9266244</t>
  </si>
  <si>
    <t>518632</t>
  </si>
  <si>
    <t>HETTICH 9266244 Wingline L/S magnetická aretace Design,Pull2M,bílá,úchytka</t>
  </si>
  <si>
    <t>9266415</t>
  </si>
  <si>
    <t>501473</t>
  </si>
  <si>
    <t>HETTICH 9266415 Úchytka OLIVIA</t>
  </si>
  <si>
    <t>9266418</t>
  </si>
  <si>
    <t>417280</t>
  </si>
  <si>
    <t>HETTICH 9266418 Úchytka Limpio 128 mm, černá</t>
  </si>
  <si>
    <t>9266561</t>
  </si>
  <si>
    <t>416666</t>
  </si>
  <si>
    <t>HETTICH 9266561 ÚCHYTKA TONALA D24 ČERNÁ MATNÁ</t>
  </si>
  <si>
    <t>9266562</t>
  </si>
  <si>
    <t>469269</t>
  </si>
  <si>
    <t>HETTICH 9266562 Úchytka Ogulin 128 mm, cínový vzhled</t>
  </si>
  <si>
    <t>9266563</t>
  </si>
  <si>
    <t>469268</t>
  </si>
  <si>
    <t>HETTICH 9266563 Úchytka Ogulin 160 mm, cínový vzhled</t>
  </si>
  <si>
    <t>9266564</t>
  </si>
  <si>
    <t>519421</t>
  </si>
  <si>
    <t>HETTICH 9266564 Úchytka Ogulin 192 mm, cínový vzhled</t>
  </si>
  <si>
    <t>9266565</t>
  </si>
  <si>
    <t>469270</t>
  </si>
  <si>
    <t>HETTICH 9266565 Úchytka Ogulin 224 mm, cínový vzhled</t>
  </si>
  <si>
    <t>9267401</t>
  </si>
  <si>
    <t>315834</t>
  </si>
  <si>
    <t>HETTICH 9267401 Quadro 20 300 EB23 část SiSy L</t>
  </si>
  <si>
    <t>9267402</t>
  </si>
  <si>
    <t>315835</t>
  </si>
  <si>
    <t>HETTICH 9267402 Quadro 20 300 EB23 část SiSy P</t>
  </si>
  <si>
    <t>9267403</t>
  </si>
  <si>
    <t>315836</t>
  </si>
  <si>
    <t>HETTICH 9267403 Quadro 25 350 EB23 část SiSy L</t>
  </si>
  <si>
    <t>9267404</t>
  </si>
  <si>
    <t>315837</t>
  </si>
  <si>
    <t>HETTICH 9267404 Quadro 25 350 EB23 část SiSy P</t>
  </si>
  <si>
    <t>9267405</t>
  </si>
  <si>
    <t>315838</t>
  </si>
  <si>
    <t>HETTICH 9267405 Quadro 25 400 EB23 část SiSy L</t>
  </si>
  <si>
    <t>9267406</t>
  </si>
  <si>
    <t>315839</t>
  </si>
  <si>
    <t>HETTICH 9267406 Quadro 25 400 EB23 část SiSy P</t>
  </si>
  <si>
    <t>9267408</t>
  </si>
  <si>
    <t>315840</t>
  </si>
  <si>
    <t>HETTICH 9267408 Quadro 25 450 EB23 část SiSy L</t>
  </si>
  <si>
    <t>9267409</t>
  </si>
  <si>
    <t>315841</t>
  </si>
  <si>
    <t>HETTICH 9267409 Quadro 25 450 EB23 část SiSy P</t>
  </si>
  <si>
    <t>9267410</t>
  </si>
  <si>
    <t>315842</t>
  </si>
  <si>
    <t>HETTICH 9267410 Quadro 25 500 EB23 část SiSy L</t>
  </si>
  <si>
    <t>9267411</t>
  </si>
  <si>
    <t>315843</t>
  </si>
  <si>
    <t>HETTICH 9267411 Quadro 25 500 EB23 část SiSy P</t>
  </si>
  <si>
    <t>9267958</t>
  </si>
  <si>
    <t>475064</t>
  </si>
  <si>
    <t>HETTICH 9267958 Quadro 400mm EB23 na čep SiSy částečný výsuv L FAKTUM</t>
  </si>
  <si>
    <t>9267959</t>
  </si>
  <si>
    <t>475066</t>
  </si>
  <si>
    <t>HETTICH 9267959 Quadro 400mm EB23 na čep SiSy částečný výsuv P FAKTUM</t>
  </si>
  <si>
    <t>9267960</t>
  </si>
  <si>
    <t>472142</t>
  </si>
  <si>
    <t>HETTICH 9267960 QUADRO 450mm EB23 na čep silent system částečný výsuv L FAKTUM</t>
  </si>
  <si>
    <t>9267961</t>
  </si>
  <si>
    <t>472143</t>
  </si>
  <si>
    <t>HETTICH 9267961 QUADRO 450mm EB23 na čep silent system částečný výsuv P FAKTUM</t>
  </si>
  <si>
    <t>9268149</t>
  </si>
  <si>
    <t>397768</t>
  </si>
  <si>
    <t>HETTICH 9268149 hmoždinka pro tenké materiály</t>
  </si>
  <si>
    <t>9268262</t>
  </si>
  <si>
    <t>501470</t>
  </si>
  <si>
    <t>HETTICH 9268262 Úchytka Cheam 163/128 mm imitace nerezi</t>
  </si>
  <si>
    <t>9268677</t>
  </si>
  <si>
    <t>454363</t>
  </si>
  <si>
    <t>HETTICH 9268677 Avantech YOU adaptér pro Inlay materiál tl. 8mm</t>
  </si>
  <si>
    <t>9269724</t>
  </si>
  <si>
    <t>420489</t>
  </si>
  <si>
    <t>HETTICH 9269724 ArciTech distanční lišta 25x350x67mm antracit</t>
  </si>
  <si>
    <t>9269731</t>
  </si>
  <si>
    <t>465321</t>
  </si>
  <si>
    <t>HETTICH 9269731 Úchytka TORNEA 128/138 černá matná</t>
  </si>
  <si>
    <t>9269732</t>
  </si>
  <si>
    <t>460806</t>
  </si>
  <si>
    <t>HETTICH 9269732 Úchytka TORNEA 202/192 černá matná</t>
  </si>
  <si>
    <t>9269734</t>
  </si>
  <si>
    <t>421247</t>
  </si>
  <si>
    <t>HETTICH 9269734 Úchytka Baldone 136/128 černá matná</t>
  </si>
  <si>
    <t>9269735</t>
  </si>
  <si>
    <t>421248</t>
  </si>
  <si>
    <t>HETTICH 9269735 Úchytka Baldone 168/160 černá matná</t>
  </si>
  <si>
    <t>9269736</t>
  </si>
  <si>
    <t>421249</t>
  </si>
  <si>
    <t>HETTICH 9269736 Úchytka Baldone 264/256 černá matná</t>
  </si>
  <si>
    <t>9269741</t>
  </si>
  <si>
    <t>460532</t>
  </si>
  <si>
    <t>HETTICH 9269741 Úchytka SOLDA 160, černá matná</t>
  </si>
  <si>
    <t>9269742</t>
  </si>
  <si>
    <t>460811</t>
  </si>
  <si>
    <t>HETTICH 9269742 Knobka LONDA 50x50/32 mm černá matná</t>
  </si>
  <si>
    <t>9269992</t>
  </si>
  <si>
    <t>397763</t>
  </si>
  <si>
    <t>HETTICH 9269992 AvanTech You DesignCape montážní materiál</t>
  </si>
  <si>
    <t>9270185</t>
  </si>
  <si>
    <t>468849</t>
  </si>
  <si>
    <t>HETTICH 9270185 AvanTech You klip pro logo, stříbrná</t>
  </si>
  <si>
    <t>9270186</t>
  </si>
  <si>
    <t>459760</t>
  </si>
  <si>
    <t>HETTICH 9270186 AvanTech You klip pro logo, bílá</t>
  </si>
  <si>
    <t>9270187</t>
  </si>
  <si>
    <t>468850</t>
  </si>
  <si>
    <t>HETTICH 9270187 AvanTech You klip pro logo, antracit</t>
  </si>
  <si>
    <t>9270439</t>
  </si>
  <si>
    <t>417328</t>
  </si>
  <si>
    <t>HETTICH 9270439 Úchytka BELLUNO 224 / 256 ČERNÁ MATNÁ</t>
  </si>
  <si>
    <t>9270520</t>
  </si>
  <si>
    <t>473337</t>
  </si>
  <si>
    <t>HETTICH 9270520 Quadro 25 400 mm EB20 P2O L Dřevotvar</t>
  </si>
  <si>
    <t>9270531</t>
  </si>
  <si>
    <t>473338</t>
  </si>
  <si>
    <t>HETTICH 9270531 Quadro 25 400 mm EB20 P2O P Dřevotvar</t>
  </si>
  <si>
    <t>9270887</t>
  </si>
  <si>
    <t>467485</t>
  </si>
  <si>
    <t>HETTICH 9270887 vrták d2.5 mm</t>
  </si>
  <si>
    <t>467572</t>
  </si>
  <si>
    <t>HETTICH 9270887 vrták d2.5 mm PD-50</t>
  </si>
  <si>
    <t>9275330</t>
  </si>
  <si>
    <t>464286</t>
  </si>
  <si>
    <t>HETTICH 9275330 raznice pro AvanTech YOU</t>
  </si>
  <si>
    <t>467571</t>
  </si>
  <si>
    <t>HETTICH 9275330 raznice pro AvanTech YOU PD-50</t>
  </si>
  <si>
    <t>9275708</t>
  </si>
  <si>
    <t>398023</t>
  </si>
  <si>
    <t>HETTICH 9275708 TopLine XL new STB 19 (33 mm), 32-40/100 kg 2 křídla</t>
  </si>
  <si>
    <t>9275709</t>
  </si>
  <si>
    <t>398026</t>
  </si>
  <si>
    <t>HETTICH 9275709 TopLine XL posuvné dveře sada pro 3 křídla,33mm,22-30mm/80kg</t>
  </si>
  <si>
    <t>9275740</t>
  </si>
  <si>
    <t>398013</t>
  </si>
  <si>
    <t>HETTICH 9275740 TopLine XL posuvné dveře sada pro 2 křídla,17mm,40-50mm/100kg</t>
  </si>
  <si>
    <t>9275741</t>
  </si>
  <si>
    <t>519711</t>
  </si>
  <si>
    <t>HETTICH 9275741 TopLine XL posuvné dveře sada pro 3 křídla,33mm,30-40mm/80kg</t>
  </si>
  <si>
    <t>9275781</t>
  </si>
  <si>
    <t>398025</t>
  </si>
  <si>
    <t>HETTICH 9275781 TopLine XL posuvné dveře sada pro 3 křídla,33mm,18-30mm/60kg</t>
  </si>
  <si>
    <t>9275782</t>
  </si>
  <si>
    <t>398017</t>
  </si>
  <si>
    <t>HETTICH 9275782 TopLine XL posuvné dveře sada pro 3 křídla,17mm,40-50mm/100kg</t>
  </si>
  <si>
    <t>9275783</t>
  </si>
  <si>
    <t>398016</t>
  </si>
  <si>
    <t>HETTICH 9275783 TopLine XL posuvné dveře sada pro 3 křídla,17mm,32-40mm/100kg</t>
  </si>
  <si>
    <t>9275784</t>
  </si>
  <si>
    <t>519710</t>
  </si>
  <si>
    <t>HETTICH 9275784 TopLine XL posuvné dveře sada pro 3 křídla,17mm,30-40mm/80kg</t>
  </si>
  <si>
    <t>9275785</t>
  </si>
  <si>
    <t>398015</t>
  </si>
  <si>
    <t>HETTICH 9275785 TopLine XL posuvné dveře sada pro 3 křídla,17mm,22-30mm/80kg</t>
  </si>
  <si>
    <t>9275786</t>
  </si>
  <si>
    <t>398014</t>
  </si>
  <si>
    <t>HETTICH 9275786 TopLine XL posuvné dveře sada pro 3 křídla,17mm,18-30mm/60kg</t>
  </si>
  <si>
    <t>9275787</t>
  </si>
  <si>
    <t>398012</t>
  </si>
  <si>
    <t>HETTICH 9275787 TopLine XL posuvné dveře sada pro 2 křídla,17mm,32-40mm/100kg</t>
  </si>
  <si>
    <t>9275788</t>
  </si>
  <si>
    <t>398021</t>
  </si>
  <si>
    <t>HETTICH 9275788 TopLine XL posuvné dveře sada pro 2 křídla,33mm,18-30mm/60kg</t>
  </si>
  <si>
    <t>9275790</t>
  </si>
  <si>
    <t>398022</t>
  </si>
  <si>
    <t>HETTICH 9275790 TopLine XL posuvné dveře sada pro 2 křídla,33mm,22-30mm/80kg</t>
  </si>
  <si>
    <t>9275792</t>
  </si>
  <si>
    <t>519709</t>
  </si>
  <si>
    <t>HETTICH 9275792 TopLine XL posuvné dveře sada pro 2 křídla,33mm,30-40mm/80kg</t>
  </si>
  <si>
    <t>9275793</t>
  </si>
  <si>
    <t>519708</t>
  </si>
  <si>
    <t>HETTICH 9275793 TopLine XL posuvné dveře sada pro 2 křídla,17mm,30-40mm/80kg</t>
  </si>
  <si>
    <t>9275794</t>
  </si>
  <si>
    <t>398011</t>
  </si>
  <si>
    <t>HETTICH 9275794 TopLine XL posuvné dveře sada pro 2 křídla,17mm,22-30mm/80kg</t>
  </si>
  <si>
    <t>9275796</t>
  </si>
  <si>
    <t>398010</t>
  </si>
  <si>
    <t>HETTICH 9275796 TopLine XL posuvné dveře sada pro 2 křídla,17mm,18-30mm/60kg</t>
  </si>
  <si>
    <t>9276643</t>
  </si>
  <si>
    <t>398039</t>
  </si>
  <si>
    <t>HETTICH 9276643 TopLine XL sada tlumení pro 3 křídla oboustranná 30-80kg</t>
  </si>
  <si>
    <t>9276645</t>
  </si>
  <si>
    <t>398038</t>
  </si>
  <si>
    <t>HETTICH 9276645 TopLine XL sada tlumení pro 3 křídla oboustranná 15-35kg</t>
  </si>
  <si>
    <t>9276646</t>
  </si>
  <si>
    <t>398040</t>
  </si>
  <si>
    <t>HETTICH 9276646 TopLine XL sada tlumení pro 3 křídla oboustranná 60-100kg</t>
  </si>
  <si>
    <t>9276712</t>
  </si>
  <si>
    <t>398064</t>
  </si>
  <si>
    <t>HETTICH 9276712 TopLine XL new spodní profil 5300 mm použití s klipy</t>
  </si>
  <si>
    <t>9276713</t>
  </si>
  <si>
    <t>398067</t>
  </si>
  <si>
    <t>HETTICH 9276713 TopLine XL new spodní profil STB 19.1 5300 mm k našroubování</t>
  </si>
  <si>
    <t>9276717</t>
  </si>
  <si>
    <t>398058</t>
  </si>
  <si>
    <t>HETTICH 9276717 TopLine XL new horní profil 5300 mm</t>
  </si>
  <si>
    <t>9276732</t>
  </si>
  <si>
    <t>398033</t>
  </si>
  <si>
    <t>HETTICH 9276732 TopLine XL sada tlumení pro 2 křídla 30-80kg</t>
  </si>
  <si>
    <t>9276735</t>
  </si>
  <si>
    <t>398032</t>
  </si>
  <si>
    <t>HETTICH 9276735 TopLine XL sada tlumení pro 2 křídla 15-35kg</t>
  </si>
  <si>
    <t>9276737</t>
  </si>
  <si>
    <t>398034</t>
  </si>
  <si>
    <t>HETTICH 9276737 TopLine XL sada tlumení pro 2 křídla 60-100kg</t>
  </si>
  <si>
    <t>9277000</t>
  </si>
  <si>
    <t>509412</t>
  </si>
  <si>
    <t>HETTICH 9277000 CYLINDRICKÁ VLOŽKA Z42 18001-18500</t>
  </si>
  <si>
    <t>9277096</t>
  </si>
  <si>
    <t>404542</t>
  </si>
  <si>
    <t>HETTICH 9277096 TopLine L new sada tlumení, 2 křídla ve směru zavírání, 20 kg</t>
  </si>
  <si>
    <t>9277098</t>
  </si>
  <si>
    <t>404543</t>
  </si>
  <si>
    <t>HETTICH 9277098 TopLine L new sada tlumení, 3 křídla ve směru zavírání, 20 kg</t>
  </si>
  <si>
    <t>9277151</t>
  </si>
  <si>
    <t>404546</t>
  </si>
  <si>
    <t>HETTICH 9277151 TopLine L new sada tlumení, 2 křídla ve směru otvírání, 20 kg</t>
  </si>
  <si>
    <t>9277152</t>
  </si>
  <si>
    <t>404547</t>
  </si>
  <si>
    <t>HETTICH 9277152 TopLine L new sada tlumení, 3 křídla ve směru otvírání, 20 kg</t>
  </si>
  <si>
    <t>9277153</t>
  </si>
  <si>
    <t>404554</t>
  </si>
  <si>
    <t>HETTICH 9277153 TopLine L montážní pouzdra pro tenký materiál 10-12mm</t>
  </si>
  <si>
    <t>9277164</t>
  </si>
  <si>
    <t>404551</t>
  </si>
  <si>
    <t>HETTICH 9277164 TopLine L new sada vodících profilů 2300 mm</t>
  </si>
  <si>
    <t>9277167</t>
  </si>
  <si>
    <t>404552</t>
  </si>
  <si>
    <t>HETTICH 9277167 TopLine L new sada vodících profilů 4000 mm</t>
  </si>
  <si>
    <t>9277440</t>
  </si>
  <si>
    <t>404553</t>
  </si>
  <si>
    <t>HETTICH 9277440 TopLine L krycí profil plast 1500mm šedá</t>
  </si>
  <si>
    <t>9277500</t>
  </si>
  <si>
    <t>398089</t>
  </si>
  <si>
    <t>HETTICH 9277500 AvanFit 300 montážní přípravek</t>
  </si>
  <si>
    <t>9277605</t>
  </si>
  <si>
    <t>519893</t>
  </si>
  <si>
    <t>HETTICH 9277605 čelní výsuv Style 2-patrový KB150/90° antracit</t>
  </si>
  <si>
    <t>9277621</t>
  </si>
  <si>
    <t>519913</t>
  </si>
  <si>
    <t>HETTICH 9277621 Dispensa Junior Slim rám 695-783 stříbrný</t>
  </si>
  <si>
    <t>9277688</t>
  </si>
  <si>
    <t>417373</t>
  </si>
  <si>
    <t>HETTICH 9277688 zamykací těleso pro dřevěnou zásuvku jednostranné P antracit</t>
  </si>
  <si>
    <t>9277712</t>
  </si>
  <si>
    <t>519306</t>
  </si>
  <si>
    <t>HETTICH 9277712 NAPOJENÍ ZÁMKU STOP CONTROL JEDNOSTRANNÉ</t>
  </si>
  <si>
    <t>9277719</t>
  </si>
  <si>
    <t>518248</t>
  </si>
  <si>
    <t>HETTICH 9277719 závěsné rektifikační kován SAH 215 s pojistkou, nosnost 45 kg/ks</t>
  </si>
  <si>
    <t>9277856</t>
  </si>
  <si>
    <t>458855</t>
  </si>
  <si>
    <t>HETTICH 9277856 SafeFix ECo dětská pojistka sada</t>
  </si>
  <si>
    <t>9278080</t>
  </si>
  <si>
    <t>398055</t>
  </si>
  <si>
    <t>HETTICH 9278080 TopLine XL new sada klipů vodících profilů 5300 mm</t>
  </si>
  <si>
    <t>9278125</t>
  </si>
  <si>
    <t>507802</t>
  </si>
  <si>
    <t>HETTICH 9278125 TopLine XL new spodní profil 2300 mm použití s klipy</t>
  </si>
  <si>
    <t>9278126</t>
  </si>
  <si>
    <t>398065</t>
  </si>
  <si>
    <t>HETTICH 9278126 TopLine XL new spodní profil STB 19.1 2300 mm k našroubování</t>
  </si>
  <si>
    <t>9278127</t>
  </si>
  <si>
    <t>507801</t>
  </si>
  <si>
    <t>HETTICH 9278127 TopLine XL new nosný profil střední 2300 mm</t>
  </si>
  <si>
    <t>9278224</t>
  </si>
  <si>
    <t>518511</t>
  </si>
  <si>
    <t>HETTICH 9278224 AvanTech YOU vrut 3,5x30mm PZ2 panhead bílý zinek</t>
  </si>
  <si>
    <t>9278249</t>
  </si>
  <si>
    <t>397939</t>
  </si>
  <si>
    <t>HETTICH 9278249 OrgaStore 810/830 dělící prvek antracit</t>
  </si>
  <si>
    <t>491181</t>
  </si>
  <si>
    <t>HETTICH 9278249 OrgaStore 810/830 dělící prvek antracit PD-50</t>
  </si>
  <si>
    <t>9278260</t>
  </si>
  <si>
    <t>409221</t>
  </si>
  <si>
    <t>HETTICH 9278260 WingLine L do 12 kg, Push to move šedý levý</t>
  </si>
  <si>
    <t>9278291</t>
  </si>
  <si>
    <t>397910</t>
  </si>
  <si>
    <t>HETTICH 9278291 Příborník OrgaTray 270, 270/450mm, buk antracit</t>
  </si>
  <si>
    <t>9278292</t>
  </si>
  <si>
    <t>397911</t>
  </si>
  <si>
    <t>HETTICH 9278292 Příborník OrgaTray 270, 270/500mm, buk antracit</t>
  </si>
  <si>
    <t>9278293</t>
  </si>
  <si>
    <t>397912</t>
  </si>
  <si>
    <t>HETTICH 9278293 Multifunkční vložka OrgaTray 270, 150/450mm, buk antracit</t>
  </si>
  <si>
    <t>9278294</t>
  </si>
  <si>
    <t>397913</t>
  </si>
  <si>
    <t>HETTICH 9278294 Multifunkční vložka OrgaTray 270, 150/500mm, buk antracit</t>
  </si>
  <si>
    <t>9278301</t>
  </si>
  <si>
    <t>409021</t>
  </si>
  <si>
    <t>HETTICH 9278301 Miska OrgaTray 270, 300/118mm, buk antracit</t>
  </si>
  <si>
    <t>9278302</t>
  </si>
  <si>
    <t>409020</t>
  </si>
  <si>
    <t>HETTICH 9278302 Miska OrgaTray 270, 300/105,5mm, buk antracit</t>
  </si>
  <si>
    <t>9278303</t>
  </si>
  <si>
    <t>503167</t>
  </si>
  <si>
    <t>HETTICH 9278303 Příborník OrgaTray 270, 270/470mm, buk antracit</t>
  </si>
  <si>
    <t>9278304</t>
  </si>
  <si>
    <t>503170</t>
  </si>
  <si>
    <t>HETTICH 9278304 Multifunkční vložka OrgaTray 270, 150/470mm, buk antracit</t>
  </si>
  <si>
    <t>9278309</t>
  </si>
  <si>
    <t>397940</t>
  </si>
  <si>
    <t>HETTICH 9278309 Ukládací box OrgaStore 270, buk antracit</t>
  </si>
  <si>
    <t>9278310</t>
  </si>
  <si>
    <t>397941</t>
  </si>
  <si>
    <t>HETTICH 9278310 Držák talířů OrgaStore 270, buk antracit</t>
  </si>
  <si>
    <t>9278312</t>
  </si>
  <si>
    <t>397916</t>
  </si>
  <si>
    <t>HETTICH 9278312 Příborník OrgaTray 270 spojovací element hliník</t>
  </si>
  <si>
    <t>9278313</t>
  </si>
  <si>
    <t>409022</t>
  </si>
  <si>
    <t>HETTICH 9278313 Příčka OrgaTray 270, 526/100mm, buk antracit</t>
  </si>
  <si>
    <t>9278315</t>
  </si>
  <si>
    <t>397923</t>
  </si>
  <si>
    <t>HETTICH 9278315 Rozdělovník OrgaTray 630, 271/450mm, stříbrná</t>
  </si>
  <si>
    <t>9278316</t>
  </si>
  <si>
    <t>397924</t>
  </si>
  <si>
    <t>HETTICH 9278316 Rozdělovník OrgaTray 630, 271/500mm, stříbrná</t>
  </si>
  <si>
    <t>9278317</t>
  </si>
  <si>
    <t>397925</t>
  </si>
  <si>
    <t>HETTICH 9278317 Rozdělovník OrgaTray 630, 271/550mm, stříbrná</t>
  </si>
  <si>
    <t>9278318</t>
  </si>
  <si>
    <t>397929</t>
  </si>
  <si>
    <t>HETTICH 9278318 Rozdělovník OrgaTray 630, 271/450mm, antracit</t>
  </si>
  <si>
    <t>9278319</t>
  </si>
  <si>
    <t>397930</t>
  </si>
  <si>
    <t>HETTICH 9278319 Rozdělovník OrgaTray 630, 271/500mm, antracit</t>
  </si>
  <si>
    <t>9278320</t>
  </si>
  <si>
    <t>397931</t>
  </si>
  <si>
    <t>HETTICH 9278320 Rozdělovník OrgaTray 630, 271/550mm, antracit</t>
  </si>
  <si>
    <t>9278331</t>
  </si>
  <si>
    <t>397926</t>
  </si>
  <si>
    <t>HETTICH 9278331 Rozdělovník OrgaTray 630, 271/450mm, bílá</t>
  </si>
  <si>
    <t>9278332</t>
  </si>
  <si>
    <t>397927</t>
  </si>
  <si>
    <t>HETTICH 9278332 Rozdělovník OrgaTray 630, 271/500mm, bílá</t>
  </si>
  <si>
    <t>9278333</t>
  </si>
  <si>
    <t>397928</t>
  </si>
  <si>
    <t>HETTICH 9278333 Rozdělovník OrgaTray 630, 271/550mm, bílá</t>
  </si>
  <si>
    <t>9278334</t>
  </si>
  <si>
    <t>512988</t>
  </si>
  <si>
    <t>HETTICH 9278334 rám AvanTech YOU Pull NL500/KB450 2dílný antracit</t>
  </si>
  <si>
    <t>9278335</t>
  </si>
  <si>
    <t>420151</t>
  </si>
  <si>
    <t>HETTICH 9278335 rám AvanTech YOU Pull NL500/KB500 2dílný antracit</t>
  </si>
  <si>
    <t>9278336</t>
  </si>
  <si>
    <t>461115</t>
  </si>
  <si>
    <t>HETTICH 9278336 rám AvanTech YOU Pull 500/600 4dílný antracit</t>
  </si>
  <si>
    <t>9278337</t>
  </si>
  <si>
    <t>474343</t>
  </si>
  <si>
    <t>HETTICH 9278337 rám AvanTech YOU Pull 500/600 2dílný antracit</t>
  </si>
  <si>
    <t>9278340</t>
  </si>
  <si>
    <t>464285</t>
  </si>
  <si>
    <t>HETTICH 9278340 rám AvanTech YOU Pull 400/600 antracit</t>
  </si>
  <si>
    <t>9278342</t>
  </si>
  <si>
    <t>475299</t>
  </si>
  <si>
    <t>HETTICH 9278342 Ohrádka pro výřez na sifon hranatá, stříbrná</t>
  </si>
  <si>
    <t>9278343</t>
  </si>
  <si>
    <t>482778</t>
  </si>
  <si>
    <t>HETTICH 9278343 Ohrádka pro výřez na sifon hranatá, antracitová</t>
  </si>
  <si>
    <t>9278344</t>
  </si>
  <si>
    <t>482779</t>
  </si>
  <si>
    <t>HETTICH 9278344 Ohrádka pro výřez na sifon hranatá, bílá</t>
  </si>
  <si>
    <t>9278452</t>
  </si>
  <si>
    <t>462468</t>
  </si>
  <si>
    <t>HETTICH 9278452 P2O dvojitý synchronizační adaptér Actro YOU/Quadro YOU/Actro 5D</t>
  </si>
  <si>
    <t>9278453</t>
  </si>
  <si>
    <t>467233</t>
  </si>
  <si>
    <t>HETTICH 9278453 napojení synchronizace P2O dřezová zásuvka</t>
  </si>
  <si>
    <t>9278486</t>
  </si>
  <si>
    <t>409218</t>
  </si>
  <si>
    <t>HETTICH 9278486 WingLine L do 25 kg, Pull to move silent šedý pravý</t>
  </si>
  <si>
    <t>9278571</t>
  </si>
  <si>
    <t>409227</t>
  </si>
  <si>
    <t>HETTICH 9278571 WingLine L do 25 kg, Push to move šedý levý</t>
  </si>
  <si>
    <t>9278580</t>
  </si>
  <si>
    <t>409230</t>
  </si>
  <si>
    <t>HETTICH 9278580 WingLine L do 25 kg, Push to move šedý pravý</t>
  </si>
  <si>
    <t>9278610</t>
  </si>
  <si>
    <t>409233</t>
  </si>
  <si>
    <t>HETTICH 9278610 WingLine L do 12 kg, Pull to move silent šedý levý bez dolního</t>
  </si>
  <si>
    <t>9278611</t>
  </si>
  <si>
    <t>409236</t>
  </si>
  <si>
    <t>HETTICH 9278611 WingLine L do 12 kg, Pull to move silent šedý pravý bez dolního</t>
  </si>
  <si>
    <t>9278642</t>
  </si>
  <si>
    <t>409242</t>
  </si>
  <si>
    <t>HETTICH 9278642 WingLine L do 12 kg, Push to move šedý pravý bez dolního</t>
  </si>
  <si>
    <t>9278657</t>
  </si>
  <si>
    <t>398053</t>
  </si>
  <si>
    <t>HETTICH 9278657 TopLine XL horní a spodní vedení s příchyty 4000mm stříbrná elox</t>
  </si>
  <si>
    <t>9278672</t>
  </si>
  <si>
    <t>398052</t>
  </si>
  <si>
    <t>HETTICH 9278672 TopLine XL horní a spodní vedení s příchyty 2300mm stříbrná elox</t>
  </si>
  <si>
    <t>9278694</t>
  </si>
  <si>
    <t>409245</t>
  </si>
  <si>
    <t>HETTICH 9278694 WingLine L skládací závěsy 2 ks k našroubování</t>
  </si>
  <si>
    <t>9278742</t>
  </si>
  <si>
    <t>409247</t>
  </si>
  <si>
    <t>HETTICH 9278742 WingLine L skládací závěsy 3 ks k našroubování</t>
  </si>
  <si>
    <t>9278780</t>
  </si>
  <si>
    <t>398018</t>
  </si>
  <si>
    <t>HETTICH 9278780 TopLine XL posuvné dveře sada pro 4 křídla,17mm,18-30mm/60kg</t>
  </si>
  <si>
    <t>9278787</t>
  </si>
  <si>
    <t>409248</t>
  </si>
  <si>
    <t>HETTICH 9278787 WingLine L skládací závěsy 3 ks k zalisování</t>
  </si>
  <si>
    <t>9278788</t>
  </si>
  <si>
    <t>409246</t>
  </si>
  <si>
    <t>HETTICH 9278788 WingLine L skládací závěsy 2 ks k zalisování</t>
  </si>
  <si>
    <t>9278791</t>
  </si>
  <si>
    <t>398019</t>
  </si>
  <si>
    <t>HETTICH 9278791 TopLine XL posuvné dveře sada pro 4 křídla,17mm,22-30mm/80kg</t>
  </si>
  <si>
    <t>9278792</t>
  </si>
  <si>
    <t>519712</t>
  </si>
  <si>
    <t>HETTICH 9278792 TopLine XL posuvné dveře sada pro 4 křídla,17mm,30-40mm/80kg</t>
  </si>
  <si>
    <t>9278793</t>
  </si>
  <si>
    <t>398020</t>
  </si>
  <si>
    <t>HETTICH 9278793 TopLine XL posuvné dveře sada pro 4 křídla,17mm,32-40mm/100kg</t>
  </si>
  <si>
    <t>9278794</t>
  </si>
  <si>
    <t>398029</t>
  </si>
  <si>
    <t>HETTICH 9278794 TopLine XL posuvné dveře sada pro 4 křídla,33mm,18-30mm/60kg</t>
  </si>
  <si>
    <t>9278795</t>
  </si>
  <si>
    <t>398030</t>
  </si>
  <si>
    <t>HETTICH 9278795 TopLine XL posuvné dveře sada pro 4 křídla,33mm,22-30mm/80kg</t>
  </si>
  <si>
    <t>9278796</t>
  </si>
  <si>
    <t>519713</t>
  </si>
  <si>
    <t>HETTICH 9278796 TopLine XL posuvné dveře sada pro 4 křídla,33mm,30-40mm/80kg</t>
  </si>
  <si>
    <t>9278798</t>
  </si>
  <si>
    <t>398041</t>
  </si>
  <si>
    <t>HETTICH 9278798 TopLine XL sada tlumení pro 4 křídla 15-35kg</t>
  </si>
  <si>
    <t>9278799</t>
  </si>
  <si>
    <t>398042</t>
  </si>
  <si>
    <t>HETTICH 9278799 TopLine XL sada tlumení pro 4 křídla 30-80kg</t>
  </si>
  <si>
    <t>9278801</t>
  </si>
  <si>
    <t>398070</t>
  </si>
  <si>
    <t>HETTICH 9278801 TopLine XL krycí profil plast 2000mm šedá</t>
  </si>
  <si>
    <t>9279064</t>
  </si>
  <si>
    <t>489843</t>
  </si>
  <si>
    <t>HETTICH 9279064 výsuvné otočné zrcadlo 305/1155mm rám antracit</t>
  </si>
  <si>
    <t>9279065</t>
  </si>
  <si>
    <t>498508</t>
  </si>
  <si>
    <t>HETTICH 9279065 sklopný věšák na ramínka, antracit</t>
  </si>
  <si>
    <t>9279066</t>
  </si>
  <si>
    <t>511420</t>
  </si>
  <si>
    <t>HETTICH 9279066 výsuvný věšák na kalhoty antracit</t>
  </si>
  <si>
    <t>9279106</t>
  </si>
  <si>
    <t>483862</t>
  </si>
  <si>
    <t>HETTICH 9279106 AvanTech YOU Pull Laundry - koš na prádlo 600 500 mm plast bílý</t>
  </si>
  <si>
    <t>9279123</t>
  </si>
  <si>
    <t>409255</t>
  </si>
  <si>
    <t>HETTICH 9279123 WingLine L horní vodící profil 1200 mm eloxovaný hliník</t>
  </si>
  <si>
    <t>9279125</t>
  </si>
  <si>
    <t>409254</t>
  </si>
  <si>
    <t>HETTICH 9279125 WingLine L vodící profily 2400 mm černé</t>
  </si>
  <si>
    <t>9279130</t>
  </si>
  <si>
    <t>409312</t>
  </si>
  <si>
    <t>HETTICH 9279130 WingLine S horní vodící profil 1200 mm eloxovaný hliník</t>
  </si>
  <si>
    <t>9279162</t>
  </si>
  <si>
    <t>409315</t>
  </si>
  <si>
    <t>HETTICH 9279162 WingLine S horní vodící profil 2400 mm eloxovaný hliník</t>
  </si>
  <si>
    <t>9279166</t>
  </si>
  <si>
    <t>409256</t>
  </si>
  <si>
    <t>HETTICH 9279166 WingLine L horní vodící profil 1200 mm bílý</t>
  </si>
  <si>
    <t>9279167</t>
  </si>
  <si>
    <t>409313</t>
  </si>
  <si>
    <t>HETTICH 9279167 WingLine S horní vodící profil 1200 mm bílý</t>
  </si>
  <si>
    <t>9279168</t>
  </si>
  <si>
    <t>409250</t>
  </si>
  <si>
    <t>HETTICH 9279168 WingLine L vodící profily 1200 mm bílé</t>
  </si>
  <si>
    <t>9279169</t>
  </si>
  <si>
    <t>409253</t>
  </si>
  <si>
    <t>HETTICH 9279169 WingLine L vodící profily 2400 mm bílé</t>
  </si>
  <si>
    <t>9279170</t>
  </si>
  <si>
    <t>409259</t>
  </si>
  <si>
    <t>HETTICH 9279170 WingLine L horní vodící profil 2400 mm bílý</t>
  </si>
  <si>
    <t>9279203</t>
  </si>
  <si>
    <t>409023</t>
  </si>
  <si>
    <t>HETTICH 9279203 Příčka OrgaTray 270, 1126/100mm, buk antracit</t>
  </si>
  <si>
    <t>9279210</t>
  </si>
  <si>
    <t>519895</t>
  </si>
  <si>
    <t>HETTICH 9279210 Actro PTOs sada pro čelní/ručníkový výsuv KB150/90°</t>
  </si>
  <si>
    <t>9279390</t>
  </si>
  <si>
    <t>461116</t>
  </si>
  <si>
    <t>HETTICH 9279390 nádoba 8L pro Pull systém, antracitová, 152x225x295mm</t>
  </si>
  <si>
    <t>9279391</t>
  </si>
  <si>
    <t>519865</t>
  </si>
  <si>
    <t>HETTICH 9279391 náhradní nádoba pro PULL systém, 11L antracit</t>
  </si>
  <si>
    <t>9279392</t>
  </si>
  <si>
    <t>420154</t>
  </si>
  <si>
    <t>HETTICH 9279392 nádoba 17L pro Pull systém, antracitová, 225x304x295mm</t>
  </si>
  <si>
    <t>9279393</t>
  </si>
  <si>
    <t>420153</t>
  </si>
  <si>
    <t>HETTICH 9279393 nádoba 29L pro Pull systém, antracitová 225x304x460mm</t>
  </si>
  <si>
    <t>9279394</t>
  </si>
  <si>
    <t>469676</t>
  </si>
  <si>
    <t>HETTICH 9279394 nádoba 40L pro Pull systém, antracitová 223x418x505mm</t>
  </si>
  <si>
    <t>9279396</t>
  </si>
  <si>
    <t>519867</t>
  </si>
  <si>
    <t>HETTICH 9279396 víko Pull nádoby 8L 152x225x21mm antracit</t>
  </si>
  <si>
    <t>9279398</t>
  </si>
  <si>
    <t>475074</t>
  </si>
  <si>
    <t>HETTICH 9279398 Pull víko na odpadkový koš 17L/29L</t>
  </si>
  <si>
    <t>9279399</t>
  </si>
  <si>
    <t>487562</t>
  </si>
  <si>
    <t>HETTICH 9279399 víko na odpadkový koš Pull 40L, 223x418mm</t>
  </si>
  <si>
    <t>9279405</t>
  </si>
  <si>
    <t>469680</t>
  </si>
  <si>
    <t>HETTICH 9279405 ArciTech Pull rám NL500/KB600mm antracit</t>
  </si>
  <si>
    <t>9279409</t>
  </si>
  <si>
    <t>519879</t>
  </si>
  <si>
    <t>HETTICH 9279409 pull rám pro Innotech Atira NL470/KB300 antracit</t>
  </si>
  <si>
    <t>9279411</t>
  </si>
  <si>
    <t>473367</t>
  </si>
  <si>
    <t>HETTICH 9279411 InnoTech Pull rám antracit KB450 NL470</t>
  </si>
  <si>
    <t>9279412</t>
  </si>
  <si>
    <t>491191</t>
  </si>
  <si>
    <t>HETTICH 9279412 rám InnoTech Pull NL470/KB500 antracit</t>
  </si>
  <si>
    <t>9279414</t>
  </si>
  <si>
    <t>519882</t>
  </si>
  <si>
    <t>HETTICH 9279414 Rám sorteru InnoTech Pull s víkem KB600/NL470 antracit</t>
  </si>
  <si>
    <t>9279421</t>
  </si>
  <si>
    <t>473199</t>
  </si>
  <si>
    <t>HETTICH 9279421 Cargo Synchro KB450/NL400/1x55L</t>
  </si>
  <si>
    <t>9279422</t>
  </si>
  <si>
    <t>492729</t>
  </si>
  <si>
    <t>HETTICH 9279422 Cargo Synchro KB500/NL400/2x13L+1x18L</t>
  </si>
  <si>
    <t>9279423</t>
  </si>
  <si>
    <t>477443</t>
  </si>
  <si>
    <t>HETTICH 9279423 Cargo Synchro KB600/NL400/1x28L+2x13L</t>
  </si>
  <si>
    <t>9280111</t>
  </si>
  <si>
    <t>519481</t>
  </si>
  <si>
    <t>HETTICH 9280111 Quadro 25 300mm/20kg EB20 PTO L+P na čep</t>
  </si>
  <si>
    <t>9280113</t>
  </si>
  <si>
    <t>519484</t>
  </si>
  <si>
    <t>HETTICH 9280113 Quadro 350mm EB20 na čep, Push to Open, částečný výsuv</t>
  </si>
  <si>
    <t>9280122</t>
  </si>
  <si>
    <t>496956</t>
  </si>
  <si>
    <t>HETTICH 9280122 Quadro 25 350mm/22kg EB20 PTO</t>
  </si>
  <si>
    <t>9280125</t>
  </si>
  <si>
    <t>500486</t>
  </si>
  <si>
    <t>HETTICH 9280125 Quadro 25 450mm/25kg EB20 PTO</t>
  </si>
  <si>
    <t>9280180</t>
  </si>
  <si>
    <t>484184</t>
  </si>
  <si>
    <t>HETTICH 9280180 TopLine L, vyrovnávací kování pro tenké dveře</t>
  </si>
  <si>
    <t>9281947</t>
  </si>
  <si>
    <t>518324</t>
  </si>
  <si>
    <t>HETTICH 9281947 Actro 500mm/40kg EB13 (18mm) SiSy/PTOs (2x P)</t>
  </si>
  <si>
    <t>9281999</t>
  </si>
  <si>
    <t>471942</t>
  </si>
  <si>
    <t>HETTICH 9281999 Actro plnovýsuv s přesahem 400mm/40kg SiSy EB12 L+P CargoSynchro</t>
  </si>
  <si>
    <t>9282527</t>
  </si>
  <si>
    <t>518639</t>
  </si>
  <si>
    <t>HETTICH 9282527 WingLine L/S mechanická aretace,Push2M,šedá,bez úchytky</t>
  </si>
  <si>
    <t>9282600</t>
  </si>
  <si>
    <t>518637</t>
  </si>
  <si>
    <t>HETTICH 9282600 WingLine L/S mechanická aretace,Push2M,bílá,bez úchytky</t>
  </si>
  <si>
    <t>9282601</t>
  </si>
  <si>
    <t>518638</t>
  </si>
  <si>
    <t>HETTICH 9282601 WingLine L/S mechanická aretace,Push2M,černá,bez úchytky</t>
  </si>
  <si>
    <t>9282776</t>
  </si>
  <si>
    <t>489438</t>
  </si>
  <si>
    <t>HETTICH 9282776 Úchytka FERMO 74/64 nebo 32 mm černá matná</t>
  </si>
  <si>
    <t>9282900</t>
  </si>
  <si>
    <t>518636</t>
  </si>
  <si>
    <t>HETTICH 9282900 WingLine L/S magnetická aretace Standard,Push2M,šedá,bez úchytky</t>
  </si>
  <si>
    <t>9282901</t>
  </si>
  <si>
    <t>518635</t>
  </si>
  <si>
    <t>HETTICH 9282901 WingLine L/S magnetická aretace Design,Push2M,bílá,bez úchytky</t>
  </si>
  <si>
    <t>9282902</t>
  </si>
  <si>
    <t>486136</t>
  </si>
  <si>
    <t>HETTICH 9282902 WingLine L/S magnetická aretace Design,Push2M,antracit,bez úchyt</t>
  </si>
  <si>
    <t>9283117</t>
  </si>
  <si>
    <t>409300</t>
  </si>
  <si>
    <t>HETTICH 9283117 WingLine S Pull to move silent šedý pravý</t>
  </si>
  <si>
    <t>9283178</t>
  </si>
  <si>
    <t>421346</t>
  </si>
  <si>
    <t>HETTICH 9283178 Avantech YOU skleněná výplň 10mm pro Inlay 187/350mm</t>
  </si>
  <si>
    <t>9283179</t>
  </si>
  <si>
    <t>421347</t>
  </si>
  <si>
    <t>HETTICH 9283179 Avantech YOU skleněná výplň 10mm pro Inlay 187/400mm</t>
  </si>
  <si>
    <t>9283180</t>
  </si>
  <si>
    <t>421348</t>
  </si>
  <si>
    <t>HETTICH 9283180 Avantech YOU skleněná výplň 10mm pro Inlay 187/450mm</t>
  </si>
  <si>
    <t>9283181</t>
  </si>
  <si>
    <t>421349</t>
  </si>
  <si>
    <t>HETTICH 9283181 Avantech YOU skleněná výplň 10mm pro Inlay 187/500mm</t>
  </si>
  <si>
    <t>9283182</t>
  </si>
  <si>
    <t>421350</t>
  </si>
  <si>
    <t>HETTICH 9283182 Avantech YOU skleněná výplň 10mm pro Inlay 187/550mm</t>
  </si>
  <si>
    <t>9283183</t>
  </si>
  <si>
    <t>421351</t>
  </si>
  <si>
    <t>HETTICH 9283183 Avantech YOU skleněná výplň 10mm pro Inlay 187/600mm</t>
  </si>
  <si>
    <t>9283184</t>
  </si>
  <si>
    <t>421352</t>
  </si>
  <si>
    <t>HETTICH 9283184 Avantech YOU skleněná výplň 10mm pro Inlay 187/650mm</t>
  </si>
  <si>
    <t>9283217</t>
  </si>
  <si>
    <t>475475</t>
  </si>
  <si>
    <t>HETTICH 9283217 AvanTech YOU DesignCape 101/1970 imitace dubu</t>
  </si>
  <si>
    <t>9283218</t>
  </si>
  <si>
    <t>475477</t>
  </si>
  <si>
    <t>HETTICH 9283218 AvanTech YOU DesignCape 101/1970 imitace mědi</t>
  </si>
  <si>
    <t>9283219</t>
  </si>
  <si>
    <t>475479</t>
  </si>
  <si>
    <t>HETTICH 9283219 AvanTech YOU DesignCape 101/1970 imitace betonu</t>
  </si>
  <si>
    <t>9283221</t>
  </si>
  <si>
    <t>475476</t>
  </si>
  <si>
    <t>HETTICH 9283221 AvanTech YOU DesignCape 187/1970 imitace dubu</t>
  </si>
  <si>
    <t>9283223</t>
  </si>
  <si>
    <t>475478</t>
  </si>
  <si>
    <t>HETTICH 9283223 AvanTech YOU DesignCape 187/1970 imitace mědi</t>
  </si>
  <si>
    <t>9283224</t>
  </si>
  <si>
    <t>475480</t>
  </si>
  <si>
    <t>HETTICH 9283224 AvanTech YOU DesignCape 187/1970 imitace betonu</t>
  </si>
  <si>
    <t>9283229</t>
  </si>
  <si>
    <t>489687</t>
  </si>
  <si>
    <t>HETTICH 9283229 Avantech YOU poloviční čelní sklo vnitřní zásuvky 187mm, KB600</t>
  </si>
  <si>
    <t>9283230</t>
  </si>
  <si>
    <t>409297</t>
  </si>
  <si>
    <t>HETTICH 9283230 WingLine S Pull to move silent šedý levý</t>
  </si>
  <si>
    <t>9283231</t>
  </si>
  <si>
    <t>518509</t>
  </si>
  <si>
    <t>HETTICH 9283231 AVANTECH YOU SKLENĚNÁ VÝPLŇ 10MM K ČELU INLAY V66/Š900/KD18 MM</t>
  </si>
  <si>
    <t>9283232</t>
  </si>
  <si>
    <t>518502</t>
  </si>
  <si>
    <t>HETTICH 9283232 AVANTECH YOU SKLENĚNÁ VÝPLŇ 10MM K ČELU INLAY V66/Š1200/KD18 MM</t>
  </si>
  <si>
    <t>9283233</t>
  </si>
  <si>
    <t>518494</t>
  </si>
  <si>
    <t>HETTICH 9283233 AVANTECH YOU SKLENĚNÁ VÝPLŇ 10MM K ČELU INLAY V130/Š450/KD18 MM</t>
  </si>
  <si>
    <t>9283235</t>
  </si>
  <si>
    <t>475081</t>
  </si>
  <si>
    <t>HETTICH 9283235 AvanTech You čelní sklo vnitřní zásuvky čiré vysoké KB600/KD18</t>
  </si>
  <si>
    <t>9283237</t>
  </si>
  <si>
    <t>518499</t>
  </si>
  <si>
    <t>HETTICH 9283237 AVANTECH YOU SKLENĚNÁ VÝPLŇ 10MM K ČELU INLAY V130/Š900/KD18 MM</t>
  </si>
  <si>
    <t>9283238</t>
  </si>
  <si>
    <t>518491</t>
  </si>
  <si>
    <t>HETTICH 9283238 AVANTECH YOU SKLENĚNÁ VÝPLŇ 10MM K ČELU INLAY V130/Š1200/KD18 MM</t>
  </si>
  <si>
    <t>9283243</t>
  </si>
  <si>
    <t>409306</t>
  </si>
  <si>
    <t>HETTICH 9283243 WingLine S Push to move silent šedý pravý</t>
  </si>
  <si>
    <t>9283265</t>
  </si>
  <si>
    <t>409309</t>
  </si>
  <si>
    <t>HETTICH 9283265 WingLine S tlumič dorazu šedý</t>
  </si>
  <si>
    <t>9283267</t>
  </si>
  <si>
    <t>409310</t>
  </si>
  <si>
    <t>HETTICH 9283267 WingLine S tlumič dorazu bílý</t>
  </si>
  <si>
    <t>9283413</t>
  </si>
  <si>
    <t>473879</t>
  </si>
  <si>
    <t>HETTICH 9283413 Držák na folie OrgaTray 270, NL500, buk antracit</t>
  </si>
  <si>
    <t>9283414</t>
  </si>
  <si>
    <t>491302</t>
  </si>
  <si>
    <t>HETTICH 9283414 OrgaTray 270 držák na kořenky 150/500 buk antracit</t>
  </si>
  <si>
    <t>9283423</t>
  </si>
  <si>
    <t>494851</t>
  </si>
  <si>
    <t>HETTICH 9283423 Držák na nože OrgaTray 270, NL450, buk antracit</t>
  </si>
  <si>
    <t>9283424</t>
  </si>
  <si>
    <t>494865</t>
  </si>
  <si>
    <t>HETTICH 9283424 Držák na folie OrgaTray 270, NL450, buk antracit</t>
  </si>
  <si>
    <t>9283425</t>
  </si>
  <si>
    <t>517610</t>
  </si>
  <si>
    <t>HETTICH 9283425 OrgaTray 270 držák na kořenky NL=450mm antracit</t>
  </si>
  <si>
    <t>9283426</t>
  </si>
  <si>
    <t>473876</t>
  </si>
  <si>
    <t>HETTICH 9283426 Držák na nože OrgaTray 270, NL500, buk antracit</t>
  </si>
  <si>
    <t>9288441</t>
  </si>
  <si>
    <t>462454</t>
  </si>
  <si>
    <t>HETTICH 9288441 OrgaTray 630 rozdělovník 271/470 stříbrná</t>
  </si>
  <si>
    <t>9289590</t>
  </si>
  <si>
    <t>468852</t>
  </si>
  <si>
    <t>HETTICH 9289590 Veosys závěs naložený nerez vrut TH52x5,5 SiSy</t>
  </si>
  <si>
    <t>9289592</t>
  </si>
  <si>
    <t>468853</t>
  </si>
  <si>
    <t>HETTICH 9289592 Veosys závěs polonaložený nerez vrut TH52x5,5 SiSy</t>
  </si>
  <si>
    <t>9289595</t>
  </si>
  <si>
    <t>468854</t>
  </si>
  <si>
    <t>HETTICH 9289595 Veosys závěs vložený nerez vrut TH52x5,5 SiSy</t>
  </si>
  <si>
    <t>9289598</t>
  </si>
  <si>
    <t>468855</t>
  </si>
  <si>
    <t>HETTICH 9289598 Veosys montážní podložka křížová nerez D=0</t>
  </si>
  <si>
    <t>9289609</t>
  </si>
  <si>
    <t>468856</t>
  </si>
  <si>
    <t>HETTICH 9289609 Veosys montážní podložka křížová nerez D=2</t>
  </si>
  <si>
    <t>9289610</t>
  </si>
  <si>
    <t>468860</t>
  </si>
  <si>
    <t>HETTICH 9289610 Veosys krytka ramínka s logem nerez</t>
  </si>
  <si>
    <t>9290625</t>
  </si>
  <si>
    <t>107174</t>
  </si>
  <si>
    <t>HETTICH 9290625/45299 Quadro V6 350mm/30kg EB12,5 SiSy</t>
  </si>
  <si>
    <t>9290627</t>
  </si>
  <si>
    <t>518392</t>
  </si>
  <si>
    <t>HETTICH 9290627 Quadro V6 470MM EB12,5 Silent System FL Plnovýsuv</t>
  </si>
  <si>
    <t>9290628</t>
  </si>
  <si>
    <t>103780</t>
  </si>
  <si>
    <t>HETTICH 9290628/45303 Quadro V6 520mm EB12,5 SiSy</t>
  </si>
  <si>
    <t>9291927</t>
  </si>
  <si>
    <t>505782</t>
  </si>
  <si>
    <t>HETTICH 9291927 Quadro 25 částečný 550mm/25kg SiSy EB23 L</t>
  </si>
  <si>
    <t>9291928</t>
  </si>
  <si>
    <t>505783</t>
  </si>
  <si>
    <t>HETTICH 9291928 Quadro 25 částečný 550mm/25kg SiSy EB23 P</t>
  </si>
  <si>
    <t>9292827</t>
  </si>
  <si>
    <t>488241</t>
  </si>
  <si>
    <t>HETTICH 9292827 Quadro V6 250 EB23 celovýsuv SiSy L</t>
  </si>
  <si>
    <t>9292828</t>
  </si>
  <si>
    <t>488243</t>
  </si>
  <si>
    <t>HETTICH 9292828 Quadro V6 250 EB23 celovýsuv SiSy P</t>
  </si>
  <si>
    <t>9292843</t>
  </si>
  <si>
    <t>488244</t>
  </si>
  <si>
    <t>HETTICH 9292843 Quadro V6 250 EB23 celovýsuv P2O L</t>
  </si>
  <si>
    <t>9292844</t>
  </si>
  <si>
    <t>488245</t>
  </si>
  <si>
    <t>HETTICH 9292844 Quadro V6 250 EB23 celovýsuv P2O P</t>
  </si>
  <si>
    <t>9292845</t>
  </si>
  <si>
    <t>500642</t>
  </si>
  <si>
    <t>HETTICH 9292845 Quadro V6 550mm/30kg EB23 PTO L</t>
  </si>
  <si>
    <t>9292846</t>
  </si>
  <si>
    <t>500643</t>
  </si>
  <si>
    <t>HETTICH 9292846 Quadro V6 550mm/30kg EB23 PTO P</t>
  </si>
  <si>
    <t>9293053</t>
  </si>
  <si>
    <t>536690</t>
  </si>
  <si>
    <t>HETTICH 9293053 TopLine L/M sada příslušenství pro montáž ocelového profilu</t>
  </si>
  <si>
    <t>9293482</t>
  </si>
  <si>
    <t>458714</t>
  </si>
  <si>
    <t>HETTICH 9293482 Atira čelo vnitřní zásuvky 100, 144/600 mm stříbrné</t>
  </si>
  <si>
    <t>9293485</t>
  </si>
  <si>
    <t>456722</t>
  </si>
  <si>
    <t>HETTICH 9293485 Atira čelo vnitřní zásuvky 100, 144/900 mm stříbrné</t>
  </si>
  <si>
    <t>9293499</t>
  </si>
  <si>
    <t>492588</t>
  </si>
  <si>
    <t>HETTICH 9293499 Atira čelo vnitřní zásuvky 144/400 mm bílý</t>
  </si>
  <si>
    <t>9293516</t>
  </si>
  <si>
    <t>458035</t>
  </si>
  <si>
    <t>HETTICH 9293516 Atira příchyty čela vnitřní zásuvky 144, stříbrná</t>
  </si>
  <si>
    <t>9293517</t>
  </si>
  <si>
    <t>467389</t>
  </si>
  <si>
    <t>HETTICH 9293517 Atira příchyty čela vnitřní zásuvky 144, bílá</t>
  </si>
  <si>
    <t>9293518</t>
  </si>
  <si>
    <t>459932</t>
  </si>
  <si>
    <t>HETTICH 9293518 Atira příchyty čela vnitřní zásuvky 144, antracit</t>
  </si>
  <si>
    <t>9295348</t>
  </si>
  <si>
    <t>416755</t>
  </si>
  <si>
    <t>HETTICH 9295348 komplet alu šablon AvanTech YOU</t>
  </si>
  <si>
    <t>9302706</t>
  </si>
  <si>
    <t>457451</t>
  </si>
  <si>
    <t>HETTICH 9302706 Příborník OrgaTray 740, 300/450mm, stříbrná</t>
  </si>
  <si>
    <t>9302707</t>
  </si>
  <si>
    <t>457454</t>
  </si>
  <si>
    <t>HETTICH 9302707 Příborník OrgaTray 740, 400/450mm, stříbrná</t>
  </si>
  <si>
    <t>9302708</t>
  </si>
  <si>
    <t>457457</t>
  </si>
  <si>
    <t>HETTICH 9302708 Příborník OrgaTray 740, 450/450mm, stříbrná</t>
  </si>
  <si>
    <t>9302709</t>
  </si>
  <si>
    <t>457460</t>
  </si>
  <si>
    <t>HETTICH 9302709 Příborník OrgaTray 740, 500/450mm, stříbrná</t>
  </si>
  <si>
    <t>9302710</t>
  </si>
  <si>
    <t>457464</t>
  </si>
  <si>
    <t>HETTICH 9302710 Příborník OrgaTray 740, 600/450mm, stříbrná</t>
  </si>
  <si>
    <t>9302711</t>
  </si>
  <si>
    <t>457467</t>
  </si>
  <si>
    <t>HETTICH 9302711 Příborník OrgaTray 740, 800/450mm, stříbrná</t>
  </si>
  <si>
    <t>9302712</t>
  </si>
  <si>
    <t>457470</t>
  </si>
  <si>
    <t>HETTICH 9302712 Příborník OrgaTray 740, 900/450mm, stříbrná</t>
  </si>
  <si>
    <t>9302713</t>
  </si>
  <si>
    <t>457473</t>
  </si>
  <si>
    <t>HETTICH 9302713 Příborník OrgaTray 740, 1000/450mm, stříbrná</t>
  </si>
  <si>
    <t>9302714</t>
  </si>
  <si>
    <t>457476</t>
  </si>
  <si>
    <t>HETTICH 9302714 Příborník OrgaTray 740, 1200/450mm, stříbrná</t>
  </si>
  <si>
    <t>9302715</t>
  </si>
  <si>
    <t>457479</t>
  </si>
  <si>
    <t>HETTICH 9302715 Příborník OrgaTray 740, 300/500mm, stříbrná</t>
  </si>
  <si>
    <t>9302716</t>
  </si>
  <si>
    <t>457482</t>
  </si>
  <si>
    <t>HETTICH 9302716 Příborník OrgaTray 740, 400/500mm, stříbrná</t>
  </si>
  <si>
    <t>9302717</t>
  </si>
  <si>
    <t>457485</t>
  </si>
  <si>
    <t>HETTICH 9302717 Příborník OrgaTray 740, 450/500mm, stříbrná</t>
  </si>
  <si>
    <t>9302718</t>
  </si>
  <si>
    <t>457488</t>
  </si>
  <si>
    <t>HETTICH 9302718 Příborník OrgaTray 740, 500/500mm, stříbrná</t>
  </si>
  <si>
    <t>9302719</t>
  </si>
  <si>
    <t>457491</t>
  </si>
  <si>
    <t>HETTICH 9302719 Příborník OrgaTray 740, 600/500mm, stříbrná</t>
  </si>
  <si>
    <t>9302720</t>
  </si>
  <si>
    <t>457503</t>
  </si>
  <si>
    <t>HETTICH 9302720 Příborník OrgaTray 740, 800/500mm, stříbrná</t>
  </si>
  <si>
    <t>9302721</t>
  </si>
  <si>
    <t>457506</t>
  </si>
  <si>
    <t>HETTICH 9302721 Příborník OrgaTray 740, 900/500mm, stříbrná</t>
  </si>
  <si>
    <t>9302722</t>
  </si>
  <si>
    <t>457509</t>
  </si>
  <si>
    <t>HETTICH 9302722 Příborník OrgaTray 740, 1000/500mm, stříbrná</t>
  </si>
  <si>
    <t>9302723</t>
  </si>
  <si>
    <t>457512</t>
  </si>
  <si>
    <t>HETTICH 9302723 Příborník OrgaTray 740, 1200/500mm, stříbrná</t>
  </si>
  <si>
    <t>9302724</t>
  </si>
  <si>
    <t>457515</t>
  </si>
  <si>
    <t>HETTICH 9302724 Příborník OrgaTray 740, 300/550mm, stříbrná</t>
  </si>
  <si>
    <t>9302725</t>
  </si>
  <si>
    <t>457518</t>
  </si>
  <si>
    <t>HETTICH 9302725 Příborník OrgaTray 740, 400/550mm, stříbrná</t>
  </si>
  <si>
    <t>9302726</t>
  </si>
  <si>
    <t>457521</t>
  </si>
  <si>
    <t>HETTICH 9302726 Příborník OrgaTray 740, 450/550mm, stříbrná</t>
  </si>
  <si>
    <t>9302727</t>
  </si>
  <si>
    <t>457524</t>
  </si>
  <si>
    <t>HETTICH 9302727 Příborník OrgaTray 740, 500/550mm, stříbrná</t>
  </si>
  <si>
    <t>9302728</t>
  </si>
  <si>
    <t>457527</t>
  </si>
  <si>
    <t>HETTICH 9302728 Příborník OrgaTray 740, 600/550mm, stříbrná</t>
  </si>
  <si>
    <t>9302730</t>
  </si>
  <si>
    <t>457533</t>
  </si>
  <si>
    <t>HETTICH 9302730 Příborník OrgaTray 740, 900/550mm, stříbrná</t>
  </si>
  <si>
    <t>9302731</t>
  </si>
  <si>
    <t>457536</t>
  </si>
  <si>
    <t>HETTICH 9302731 Příborník OrgaTray 740, 1000/550mm, stříbrná</t>
  </si>
  <si>
    <t>9302732</t>
  </si>
  <si>
    <t>457539</t>
  </si>
  <si>
    <t>HETTICH 9302732 Příborník OrgaTray 740, 1200/550mm, stříbrná</t>
  </si>
  <si>
    <t>9302733</t>
  </si>
  <si>
    <t>457450</t>
  </si>
  <si>
    <t>HETTICH 9302733 Příborník OrgaTray 740, 300/450mm, bílá</t>
  </si>
  <si>
    <t>9302734</t>
  </si>
  <si>
    <t>457453</t>
  </si>
  <si>
    <t>HETTICH 9302734 Příborník OrgaTray 740, 400/450mm, bílá</t>
  </si>
  <si>
    <t>9302735</t>
  </si>
  <si>
    <t>457456</t>
  </si>
  <si>
    <t>HETTICH 9302735 Příborník OrgaTray 740, 450/450mm, bílá</t>
  </si>
  <si>
    <t>9302736</t>
  </si>
  <si>
    <t>457459</t>
  </si>
  <si>
    <t>HETTICH 9302736 Příborník OrgaTray 740, 500/450mm, bílá</t>
  </si>
  <si>
    <t>9302737</t>
  </si>
  <si>
    <t>457463</t>
  </si>
  <si>
    <t>HETTICH 9302737 Příborník OrgaTray 740, 600/450mm, bílá</t>
  </si>
  <si>
    <t>9302738</t>
  </si>
  <si>
    <t>457466</t>
  </si>
  <si>
    <t>HETTICH 9302738 Příborník OrgaTray 740, 800/450mm, bílá</t>
  </si>
  <si>
    <t>9302739</t>
  </si>
  <si>
    <t>457469</t>
  </si>
  <si>
    <t>HETTICH 9302739 Příborník OrgaTray 740, 900/450mm, bílá</t>
  </si>
  <si>
    <t>9302740</t>
  </si>
  <si>
    <t>457472</t>
  </si>
  <si>
    <t>HETTICH 9302740 Příborník OrgaTray 740, 1000/450mm, bílá</t>
  </si>
  <si>
    <t>9302741</t>
  </si>
  <si>
    <t>457475</t>
  </si>
  <si>
    <t>HETTICH 9302741 Příborník OrgaTray 740, 1200/450mm, bílá</t>
  </si>
  <si>
    <t>9302742</t>
  </si>
  <si>
    <t>457478</t>
  </si>
  <si>
    <t>HETTICH 9302742 Příborník OrgaTray 740, 300/500mm, bílá</t>
  </si>
  <si>
    <t>9302743</t>
  </si>
  <si>
    <t>457481</t>
  </si>
  <si>
    <t>HETTICH 9302743 Příborník OrgaTray 740, 400/500mm, bílá</t>
  </si>
  <si>
    <t>9302744</t>
  </si>
  <si>
    <t>457484</t>
  </si>
  <si>
    <t>HETTICH 9302744 Příborník OrgaTray 740, 450/500mm, bílá</t>
  </si>
  <si>
    <t>9302745</t>
  </si>
  <si>
    <t>457487</t>
  </si>
  <si>
    <t>HETTICH 9302745 Příborník OrgaTray 740, 500/500mm, bílá</t>
  </si>
  <si>
    <t>9302746</t>
  </si>
  <si>
    <t>457490</t>
  </si>
  <si>
    <t>HETTICH 9302746 Příborník OrgaTray 740, 600/500mm, bílá</t>
  </si>
  <si>
    <t>9302747</t>
  </si>
  <si>
    <t>457502</t>
  </si>
  <si>
    <t>HETTICH 9302747 Příborník OrgaTray 740, 800/500mm, bílá</t>
  </si>
  <si>
    <t>9302748</t>
  </si>
  <si>
    <t>457505</t>
  </si>
  <si>
    <t>HETTICH 9302748 Příborník OrgaTray 740, 900/500mm, bílá</t>
  </si>
  <si>
    <t>9302749</t>
  </si>
  <si>
    <t>457508</t>
  </si>
  <si>
    <t>HETTICH 9302749 Příborník OrgaTray 740, 1000/500mm, bílá</t>
  </si>
  <si>
    <t>9302750</t>
  </si>
  <si>
    <t>457511</t>
  </si>
  <si>
    <t>HETTICH 9302750 Příborník OrgaTray 740, 1200/500mm, bílá</t>
  </si>
  <si>
    <t>9302751</t>
  </si>
  <si>
    <t>457514</t>
  </si>
  <si>
    <t>HETTICH 9302751 Příborník OrgaTray 740, 300/550mm, bílá</t>
  </si>
  <si>
    <t>9302752</t>
  </si>
  <si>
    <t>457517</t>
  </si>
  <si>
    <t>HETTICH 9302752 Příborník OrgaTray 740, 400/550mm, bílá</t>
  </si>
  <si>
    <t>9302753</t>
  </si>
  <si>
    <t>457520</t>
  </si>
  <si>
    <t>HETTICH 9302753 Příborník OrgaTray 740, 450/550mm, bílá</t>
  </si>
  <si>
    <t>9302754</t>
  </si>
  <si>
    <t>457523</t>
  </si>
  <si>
    <t>HETTICH 9302754 Příborník OrgaTray 740, 500/550mm, bílá</t>
  </si>
  <si>
    <t>9302755</t>
  </si>
  <si>
    <t>457526</t>
  </si>
  <si>
    <t>HETTICH 9302755 Příborník OrgaTray 740, 600/550mm, bílá</t>
  </si>
  <si>
    <t>9302756</t>
  </si>
  <si>
    <t>457529</t>
  </si>
  <si>
    <t>HETTICH 9302756 Příborník OrgaTray 740, 800/550mm, bílá</t>
  </si>
  <si>
    <t>9302757</t>
  </si>
  <si>
    <t>457532</t>
  </si>
  <si>
    <t>HETTICH 9302757 Příborník OrgaTray 740, 900/550mm, bílá</t>
  </si>
  <si>
    <t>9302758</t>
  </si>
  <si>
    <t>457535</t>
  </si>
  <si>
    <t>HETTICH 9302758 Příborník OrgaTray 740, 1000/550mm, bílá</t>
  </si>
  <si>
    <t>9302759</t>
  </si>
  <si>
    <t>457538</t>
  </si>
  <si>
    <t>HETTICH 9302759 Příborník OrgaTray 740, 1200/550mm, bílá</t>
  </si>
  <si>
    <t>9302760</t>
  </si>
  <si>
    <t>457449</t>
  </si>
  <si>
    <t>HETTICH 9302760 Příborník OrgaTray 740, 300/450mm, antracit</t>
  </si>
  <si>
    <t>9302761</t>
  </si>
  <si>
    <t>457452</t>
  </si>
  <si>
    <t>HETTICH 9302761 Příborník OrgaTray 740, 400/450mm, antracit</t>
  </si>
  <si>
    <t>9302762</t>
  </si>
  <si>
    <t>457455</t>
  </si>
  <si>
    <t>HETTICH 9302762 Příborník OrgaTray 740, 450/450mm, antracit</t>
  </si>
  <si>
    <t>9302763</t>
  </si>
  <si>
    <t>457458</t>
  </si>
  <si>
    <t>HETTICH 9302763 Příborník OrgaTray 740, 500/450mm, antracit</t>
  </si>
  <si>
    <t>9302764</t>
  </si>
  <si>
    <t>457462</t>
  </si>
  <si>
    <t>HETTICH 9302764 Příborník OrgaTray 740, 600/450mm, antracit</t>
  </si>
  <si>
    <t>9302765</t>
  </si>
  <si>
    <t>457465</t>
  </si>
  <si>
    <t>HETTICH 9302765 Příborník OrgaTray 740, 800/450mm, antracit</t>
  </si>
  <si>
    <t>9302766</t>
  </si>
  <si>
    <t>457468</t>
  </si>
  <si>
    <t>HETTICH 9302766 Příborník OrgaTray 740, 900/450mm, antracit</t>
  </si>
  <si>
    <t>9302767</t>
  </si>
  <si>
    <t>457471</t>
  </si>
  <si>
    <t>HETTICH 9302767 Příborník OrgaTray 740, 1000/450mm, antracit</t>
  </si>
  <si>
    <t>9302768</t>
  </si>
  <si>
    <t>457474</t>
  </si>
  <si>
    <t>HETTICH 9302768 Příborník OrgaTray 740, 1200/450mm, antracit</t>
  </si>
  <si>
    <t>9302769</t>
  </si>
  <si>
    <t>457477</t>
  </si>
  <si>
    <t>HETTICH 9302769 Příborník OrgaTray 740, 300/500mm, antracit</t>
  </si>
  <si>
    <t>9302770</t>
  </si>
  <si>
    <t>457480</t>
  </si>
  <si>
    <t>HETTICH 9302770 Příborník OrgaTray 740, 400/500mm, antracit</t>
  </si>
  <si>
    <t>9302771</t>
  </si>
  <si>
    <t>457483</t>
  </si>
  <si>
    <t>HETTICH 9302771 Příborník OrgaTray 740, 450/500mm, antracit</t>
  </si>
  <si>
    <t>9302772</t>
  </si>
  <si>
    <t>457486</t>
  </si>
  <si>
    <t>HETTICH 9302772 Příborník OrgaTray 740, 500/500mm, antracit</t>
  </si>
  <si>
    <t>9302773</t>
  </si>
  <si>
    <t>457489</t>
  </si>
  <si>
    <t>HETTICH 9302773 Příborník OrgaTray 740, 600/500mm, antracit</t>
  </si>
  <si>
    <t>9302774</t>
  </si>
  <si>
    <t>457501</t>
  </si>
  <si>
    <t>HETTICH 9302774 Příborník OrgaTray 740, 800/500mm, antracit</t>
  </si>
  <si>
    <t>9302775</t>
  </si>
  <si>
    <t>457504</t>
  </si>
  <si>
    <t>HETTICH 9302775 Příborník OrgaTray 740, 900/500mm, antracit</t>
  </si>
  <si>
    <t>9302776</t>
  </si>
  <si>
    <t>457507</t>
  </si>
  <si>
    <t>HETTICH 9302776 Příborník OrgaTray 740, 1000/500mm, antracit</t>
  </si>
  <si>
    <t>9302777</t>
  </si>
  <si>
    <t>457510</t>
  </si>
  <si>
    <t>HETTICH 9302777 Příborník OrgaTray 740, 1200/500mm, antracit</t>
  </si>
  <si>
    <t>9302778</t>
  </si>
  <si>
    <t>457513</t>
  </si>
  <si>
    <t>HETTICH 9302778 Příborník OrgaTray 740, 300/550mm, antracit</t>
  </si>
  <si>
    <t>9302779</t>
  </si>
  <si>
    <t>457516</t>
  </si>
  <si>
    <t>HETTICH 9302779 Příborník OrgaTray 740, 400/550mm, antracit</t>
  </si>
  <si>
    <t>9302780</t>
  </si>
  <si>
    <t>457519</t>
  </si>
  <si>
    <t>HETTICH 9302780 Příborník OrgaTray 740, 450/550mm, antracit</t>
  </si>
  <si>
    <t>9302781</t>
  </si>
  <si>
    <t>457522</t>
  </si>
  <si>
    <t>HETTICH 9302781 Příborník OrgaTray 740, 500/550mm, antracit</t>
  </si>
  <si>
    <t>9302782</t>
  </si>
  <si>
    <t>457525</t>
  </si>
  <si>
    <t>HETTICH 9302782 Příborník OrgaTray 740, 600/550mm, antracit</t>
  </si>
  <si>
    <t>9302783</t>
  </si>
  <si>
    <t>457528</t>
  </si>
  <si>
    <t>HETTICH 9302783 Příborník OrgaTray 740, 800/550mm, antracit</t>
  </si>
  <si>
    <t>9302784</t>
  </si>
  <si>
    <t>457531</t>
  </si>
  <si>
    <t>HETTICH 9302784 Příborník OrgaTray 740, 900/550mm, antracit</t>
  </si>
  <si>
    <t>9302785</t>
  </si>
  <si>
    <t>457534</t>
  </si>
  <si>
    <t>HETTICH 9302785 Příborník OrgaTray 740, 1000/550mm, antracit</t>
  </si>
  <si>
    <t>9302786</t>
  </si>
  <si>
    <t>457537</t>
  </si>
  <si>
    <t>HETTICH 9302786 Příborník OrgaTray 740, 1200/550mm, antracit</t>
  </si>
  <si>
    <t>9303610</t>
  </si>
  <si>
    <t>515085</t>
  </si>
  <si>
    <t>HETTICH 9303610 Úchytka AVENIO 352 mm, černá matná</t>
  </si>
  <si>
    <t>559327</t>
  </si>
  <si>
    <t>HETTICH 9303928 Cadro závěs na sklo s dorazem, sada, černá mat</t>
  </si>
  <si>
    <t>559328</t>
  </si>
  <si>
    <t>HETTICH 9303932 Cadro zámek na skleněné dveře, sada, černá mat</t>
  </si>
  <si>
    <t>9305742</t>
  </si>
  <si>
    <t>499767</t>
  </si>
  <si>
    <t>HETTICH 9305742 osvětlovací krycí profil pro AvanTech YOU antracitový, max 650mm</t>
  </si>
  <si>
    <t>9305743</t>
  </si>
  <si>
    <t>487062</t>
  </si>
  <si>
    <t>HETTICH 9305743 osvětlovací krycí profil pro AvanTech YOU nerezový, max 450mm</t>
  </si>
  <si>
    <t>9305744</t>
  </si>
  <si>
    <t>487060</t>
  </si>
  <si>
    <t>HETTICH 9305744 osvětlovací krycí profil pro AvanTech YOU nerezový, max 550mm</t>
  </si>
  <si>
    <t>9305745</t>
  </si>
  <si>
    <t>490707</t>
  </si>
  <si>
    <t>HETTICH 9305745 osvětlovací krycí profil pro AvanTech YOU nerezový, max 500mm</t>
  </si>
  <si>
    <t>9305746</t>
  </si>
  <si>
    <t>487064</t>
  </si>
  <si>
    <t>HETTICH 9305746 osvětlovací krycí profil pro AvanTech YOU nerezový, max 650mm</t>
  </si>
  <si>
    <t>9305747</t>
  </si>
  <si>
    <t>481317</t>
  </si>
  <si>
    <t>HETTICH 9305747 prosvětlovací sada pro Inlay bočnice AvanTech YOU 187mm</t>
  </si>
  <si>
    <t>9306015</t>
  </si>
  <si>
    <t>105987</t>
  </si>
  <si>
    <t>HETTICH 9306015 noha Korrekt, 70 mm, černá</t>
  </si>
  <si>
    <t>9306016</t>
  </si>
  <si>
    <t>105996</t>
  </si>
  <si>
    <t>HETTICH 9306016 Korrekt noha 150 mm černá</t>
  </si>
  <si>
    <t>9306017</t>
  </si>
  <si>
    <t>379173</t>
  </si>
  <si>
    <t>HETTICH 9306017 Korrekt noha 150 mm černá</t>
  </si>
  <si>
    <t>105995</t>
  </si>
  <si>
    <t>HETTICH 9306017 noha Korrekt, 150 mm, černá</t>
  </si>
  <si>
    <t>9306227</t>
  </si>
  <si>
    <t>519357</t>
  </si>
  <si>
    <t>HETTICH 9306227 ÚCHYTKA TICINUM •–• 32 ČERNÁ MAT.</t>
  </si>
  <si>
    <t>9306263</t>
  </si>
  <si>
    <t>518957</t>
  </si>
  <si>
    <t>HETTICH 9306263 Veosys adaptér pod misku TH, 1,8mm</t>
  </si>
  <si>
    <t>9306941</t>
  </si>
  <si>
    <t>504367</t>
  </si>
  <si>
    <t>HETTICH 9306941 Úchytka AVENIO 138/128 mm černá matná</t>
  </si>
  <si>
    <t>9306943</t>
  </si>
  <si>
    <t>517645</t>
  </si>
  <si>
    <t>HETTICH 9306943 Úchytka AVENIO 192 mm, černá matná</t>
  </si>
  <si>
    <t>9306950</t>
  </si>
  <si>
    <t>497727</t>
  </si>
  <si>
    <t>HETTICH 9306950 Úchytka Hale 96, černá matná</t>
  </si>
  <si>
    <t>9306951</t>
  </si>
  <si>
    <t>497728</t>
  </si>
  <si>
    <t>HETTICH 9306951 Úchytka Hale 128, černá matná</t>
  </si>
  <si>
    <t>9306952</t>
  </si>
  <si>
    <t>505453</t>
  </si>
  <si>
    <t>HETTICH 9306952 Úchytka Hale 160, černá matná</t>
  </si>
  <si>
    <t>9307088</t>
  </si>
  <si>
    <t>486150</t>
  </si>
  <si>
    <t>HETTICH 9307088 Atira sada bočnic úplná, 54/470mm, stříbrná</t>
  </si>
  <si>
    <t>9307089</t>
  </si>
  <si>
    <t>486148</t>
  </si>
  <si>
    <t>HETTICH 9307089 Atira sada bočnic úplná, 54/470mm, antracit</t>
  </si>
  <si>
    <t>9307091</t>
  </si>
  <si>
    <t>486149</t>
  </si>
  <si>
    <t>HETTICH 9307091 Atira flexi sada úplná 470/54 bílá</t>
  </si>
  <si>
    <t>9307101</t>
  </si>
  <si>
    <t>486153</t>
  </si>
  <si>
    <t>HETTICH 9307101 Atira sada bočnic úplná, 70/260mm, stříbrná</t>
  </si>
  <si>
    <t>9307105</t>
  </si>
  <si>
    <t>486156</t>
  </si>
  <si>
    <t>HETTICH 9307105 Atira sada bočnic úplná, 70/300mm, stříbrná</t>
  </si>
  <si>
    <t>9307108</t>
  </si>
  <si>
    <t>486159</t>
  </si>
  <si>
    <t>HETTICH 9307108 Atira sada bočnic úplná, 70/350mm, stříbrná</t>
  </si>
  <si>
    <t>9307110</t>
  </si>
  <si>
    <t>486162</t>
  </si>
  <si>
    <t>HETTICH 9307110 Atira sada bočnic úplná, 70/420mm, stříbrná</t>
  </si>
  <si>
    <t>9307113</t>
  </si>
  <si>
    <t>486165</t>
  </si>
  <si>
    <t>HETTICH 9307113 Atira sada bočnic úplná, 70/470mm, stříbrná</t>
  </si>
  <si>
    <t>9307115</t>
  </si>
  <si>
    <t>486168</t>
  </si>
  <si>
    <t>HETTICH 9307115 Atira sada bočnic úplná, 70/520mm, stříbrná</t>
  </si>
  <si>
    <t>9307117</t>
  </si>
  <si>
    <t>486171</t>
  </si>
  <si>
    <t>HETTICH 9307117 Atira sada bočnic úplná, 70/620mm, stříbrná</t>
  </si>
  <si>
    <t>9307119</t>
  </si>
  <si>
    <t>486151</t>
  </si>
  <si>
    <t>HETTICH 9307119 Atira sada bočnic úplná, 70/260mm, antracit</t>
  </si>
  <si>
    <t>9307122</t>
  </si>
  <si>
    <t>486154</t>
  </si>
  <si>
    <t>HETTICH 9307122 Atira sada bočnic úplná, 70/300mm, antracit</t>
  </si>
  <si>
    <t>9307123</t>
  </si>
  <si>
    <t>486157</t>
  </si>
  <si>
    <t>HETTICH 9307123 Atira sada bočnic úplná, 70/350mm, antracit</t>
  </si>
  <si>
    <t>9307125</t>
  </si>
  <si>
    <t>486160</t>
  </si>
  <si>
    <t>HETTICH 9307125 Atira sada bočnic úplná, 70/420mm, antracit</t>
  </si>
  <si>
    <t>9307127</t>
  </si>
  <si>
    <t>486163</t>
  </si>
  <si>
    <t>HETTICH 9307127 Atira sada bočnic úplná, 70/470mm, antracit</t>
  </si>
  <si>
    <t>9307129</t>
  </si>
  <si>
    <t>486166</t>
  </si>
  <si>
    <t>HETTICH 9307129 Atira sada bočnic úplná, 70/520mm, antracit</t>
  </si>
  <si>
    <t>9307131</t>
  </si>
  <si>
    <t>486169</t>
  </si>
  <si>
    <t>HETTICH 9307131 Atira sada bočnic úplná, 70/620mm, antracit</t>
  </si>
  <si>
    <t>9307133</t>
  </si>
  <si>
    <t>486152</t>
  </si>
  <si>
    <t>HETTICH 9307133 Atira sada bočnic úplná, 70/260mm, bílá</t>
  </si>
  <si>
    <t>9307135</t>
  </si>
  <si>
    <t>486155</t>
  </si>
  <si>
    <t>HETTICH 9307135 Atira sada bočnic úplná, 70/300mm, bílá</t>
  </si>
  <si>
    <t>9307137</t>
  </si>
  <si>
    <t>486158</t>
  </si>
  <si>
    <t>HETTICH 9307137 Atira sada bočnic úplná, 70/350mm, bílá</t>
  </si>
  <si>
    <t>9307139</t>
  </si>
  <si>
    <t>486161</t>
  </si>
  <si>
    <t>HETTICH 9307139 Atira sada bočnic úplná, 70/420mm, bílá</t>
  </si>
  <si>
    <t>9307140</t>
  </si>
  <si>
    <t>486164</t>
  </si>
  <si>
    <t>HETTICH 9307140 Atira sada bočnic úplná, 70/470mm, bílá</t>
  </si>
  <si>
    <t>9307142</t>
  </si>
  <si>
    <t>486167</t>
  </si>
  <si>
    <t>HETTICH 9307142 Atira sada bočnic úplná, 70/520mm, bílá</t>
  </si>
  <si>
    <t>9307144</t>
  </si>
  <si>
    <t>486170</t>
  </si>
  <si>
    <t>HETTICH 9307144 Atira sada bočnic úplná, 70/620mm, bílá</t>
  </si>
  <si>
    <t>9307202</t>
  </si>
  <si>
    <t>489851</t>
  </si>
  <si>
    <t>HETTICH 9307202 Atira flexi sada úplná 260/144 stříbrná, reling, čelní příchyt</t>
  </si>
  <si>
    <t>9307203</t>
  </si>
  <si>
    <t>489852</t>
  </si>
  <si>
    <t>HETTICH 9307203 Atira flexi sada úplná 300/144 stříbrná, reling, čelní příchyt</t>
  </si>
  <si>
    <t>9307204</t>
  </si>
  <si>
    <t>489853</t>
  </si>
  <si>
    <t>HETTICH 9307204 Atira flexi sada úplná 350/144 stříbrná, reling, čelní příchyt</t>
  </si>
  <si>
    <t>9307205</t>
  </si>
  <si>
    <t>489854</t>
  </si>
  <si>
    <t>HETTICH 9307205 Atira flexi sada úplná 420/144 stříbrná, reling, čelní příchyt</t>
  </si>
  <si>
    <t>9307206</t>
  </si>
  <si>
    <t>489855</t>
  </si>
  <si>
    <t>HETTICH 9307206 Atira flexi sada úplná 470/144 stříbrná, reling, čelní příchyt</t>
  </si>
  <si>
    <t>9307207</t>
  </si>
  <si>
    <t>489856</t>
  </si>
  <si>
    <t>HETTICH 9307207 Atira flexi sada úplná 520/144 stříbrná, reling, čelní příchyt</t>
  </si>
  <si>
    <t>9307208</t>
  </si>
  <si>
    <t>489857</t>
  </si>
  <si>
    <t>HETTICH 9307208 Atira flexi sada úplná 620/144 stříbrná, reling, čelní příchyt</t>
  </si>
  <si>
    <t>9307209</t>
  </si>
  <si>
    <t>489858</t>
  </si>
  <si>
    <t>HETTICH 9307209 Atira flexi sada úplná 260/144 antracit, reling, čelní příchyt</t>
  </si>
  <si>
    <t>9307210</t>
  </si>
  <si>
    <t>489859</t>
  </si>
  <si>
    <t>HETTICH 9307210 Atira flexi sada úplná 300/144 antracit, reling, čelní příchyt</t>
  </si>
  <si>
    <t>9307211</t>
  </si>
  <si>
    <t>489860</t>
  </si>
  <si>
    <t>HETTICH 9307211 Atira flexi sada úplná 350/144 antracit, reling, čelní příchyt</t>
  </si>
  <si>
    <t>9307212</t>
  </si>
  <si>
    <t>489861</t>
  </si>
  <si>
    <t>HETTICH 9307212 Atira flexi sada úplná 420/144 antracit, reling, čelní příchyt</t>
  </si>
  <si>
    <t>9307213</t>
  </si>
  <si>
    <t>489862</t>
  </si>
  <si>
    <t>HETTICH 9307213 Atira flexi sada úplná 470/144 antracit, reling, čelní příchyt</t>
  </si>
  <si>
    <t>9307214</t>
  </si>
  <si>
    <t>489863</t>
  </si>
  <si>
    <t>HETTICH 9307214 Atira flexi sada úplná 520/144 antracit, reling, čelní příchyt</t>
  </si>
  <si>
    <t>9307215</t>
  </si>
  <si>
    <t>489864</t>
  </si>
  <si>
    <t>HETTICH 9307215 Atira flexi sada úplná 620/144 antracit, reling, čelní příchyt</t>
  </si>
  <si>
    <t>9307216</t>
  </si>
  <si>
    <t>489844</t>
  </si>
  <si>
    <t>HETTICH 9307216 Atira flexi sada úplná 260/144 bílá, reling, čelní příchyt</t>
  </si>
  <si>
    <t>9307217</t>
  </si>
  <si>
    <t>489845</t>
  </si>
  <si>
    <t>HETTICH 9307217 Atira flexi sada úplná 300/144 bílá, reling, čelní příchyt</t>
  </si>
  <si>
    <t>9307218</t>
  </si>
  <si>
    <t>489846</t>
  </si>
  <si>
    <t>HETTICH 9307218 Atira flexi sada úplná 350/144 bílá, reling, čelní příchyt</t>
  </si>
  <si>
    <t>9307219</t>
  </si>
  <si>
    <t>489847</t>
  </si>
  <si>
    <t>HETTICH 9307219 Atira flexi sada úplná 420/144 bílá, reling, čelní příchyt</t>
  </si>
  <si>
    <t>9307220</t>
  </si>
  <si>
    <t>489848</t>
  </si>
  <si>
    <t>HETTICH 9307220 Atira flexi sada úplná 470/144 bílá, reling, čelní příchyt</t>
  </si>
  <si>
    <t>9307221</t>
  </si>
  <si>
    <t>489849</t>
  </si>
  <si>
    <t>HETTICH 9307221 Atira flexi sada úplná 520/144 bílá, reling, čelní příchyt</t>
  </si>
  <si>
    <t>9307222</t>
  </si>
  <si>
    <t>489850</t>
  </si>
  <si>
    <t>HETTICH 9307222 Atira flexi sada úplná 620/144 bílá, reling, čelní příchyt</t>
  </si>
  <si>
    <t>9307223</t>
  </si>
  <si>
    <t>489872</t>
  </si>
  <si>
    <t>HETTICH 9307223 Atira flexi sada úplná 260/176 stříbrná, reling, čelní příchyt</t>
  </si>
  <si>
    <t>9307224</t>
  </si>
  <si>
    <t>489873</t>
  </si>
  <si>
    <t>HETTICH 9307224 Atira flexi sada úplná 300/176 stříbrná, reling, čelní příchyt</t>
  </si>
  <si>
    <t>9307225</t>
  </si>
  <si>
    <t>489874</t>
  </si>
  <si>
    <t>HETTICH 9307225 Atira flexi sada úplná 350/176 stříbrná, reling, čelní příchyt</t>
  </si>
  <si>
    <t>9307226</t>
  </si>
  <si>
    <t>489875</t>
  </si>
  <si>
    <t>HETTICH 9307226 Atira flexi sada úplná 420/176 stříbrná, reling, čelní příchyt</t>
  </si>
  <si>
    <t>9307227</t>
  </si>
  <si>
    <t>489876</t>
  </si>
  <si>
    <t>HETTICH 9307227 Atira flexi sada úplná 470/176 stříbrná, reling, čelní příchyt</t>
  </si>
  <si>
    <t>9307228</t>
  </si>
  <si>
    <t>489877</t>
  </si>
  <si>
    <t>HETTICH 9307228 Atira flexi sada úplná 520/176 stříbrná, reling, čelní příchyt</t>
  </si>
  <si>
    <t>9307229</t>
  </si>
  <si>
    <t>489878</t>
  </si>
  <si>
    <t>HETTICH 9307229 Atira flexi sada úplná 620/176 stříbrná, reling, čelní příchyt</t>
  </si>
  <si>
    <t>9307230</t>
  </si>
  <si>
    <t>489879</t>
  </si>
  <si>
    <t>HETTICH 9307230 Atira flexi sada úplná 260/176 antracit, reling, čelní příchyt</t>
  </si>
  <si>
    <t>9307231</t>
  </si>
  <si>
    <t>489880</t>
  </si>
  <si>
    <t>HETTICH 9307231 Atira flexi sada úplná 300/176 antracit, reling, čelní příchyt</t>
  </si>
  <si>
    <t>9307232</t>
  </si>
  <si>
    <t>489881</t>
  </si>
  <si>
    <t>HETTICH 9307232 Atira flexi sada úplná 350/176 antracit, reling, čelní příchyt</t>
  </si>
  <si>
    <t>9307233</t>
  </si>
  <si>
    <t>489882</t>
  </si>
  <si>
    <t>HETTICH 9307233 Atira flexi sada úplná 420/176 antracit, reling, čelní příchyt</t>
  </si>
  <si>
    <t>9307234</t>
  </si>
  <si>
    <t>489883</t>
  </si>
  <si>
    <t>HETTICH 9307234 Atira flexi sada úplná 470/176 antracit, reling, čelní příchyt</t>
  </si>
  <si>
    <t>9307235</t>
  </si>
  <si>
    <t>489884</t>
  </si>
  <si>
    <t>HETTICH 9307235 Atira flexi sada úplná 520/176 antracit, reling, čelní příchyt</t>
  </si>
  <si>
    <t>9307236</t>
  </si>
  <si>
    <t>489885</t>
  </si>
  <si>
    <t>HETTICH 9307236 Atira flexi sada úplná 620/176 antracit, reling, čelní příchyt</t>
  </si>
  <si>
    <t>9307237</t>
  </si>
  <si>
    <t>489865</t>
  </si>
  <si>
    <t>HETTICH 9307237 Atira flexi sada úplná 260/176 bílá, reling, čelní příchyt</t>
  </si>
  <si>
    <t>9307238</t>
  </si>
  <si>
    <t>489866</t>
  </si>
  <si>
    <t>HETTICH 9307238 Atira flexi sada úplná 300/176 bílá, reling, čelní příchyt</t>
  </si>
  <si>
    <t>9307239</t>
  </si>
  <si>
    <t>489867</t>
  </si>
  <si>
    <t>HETTICH 9307239 Atira flexi sada úplná 350/176 bílá, reling, čelní příchyt</t>
  </si>
  <si>
    <t>9307240</t>
  </si>
  <si>
    <t>489868</t>
  </si>
  <si>
    <t>HETTICH 9307240 Atira flexi sada úplná 420/176 bílá, reling, čelní příchyt</t>
  </si>
  <si>
    <t>9307241</t>
  </si>
  <si>
    <t>489869</t>
  </si>
  <si>
    <t>HETTICH 9307241 Atira flexi sada úplná 470/176 bílá, reling, čelní příchyt</t>
  </si>
  <si>
    <t>9307242</t>
  </si>
  <si>
    <t>489870</t>
  </si>
  <si>
    <t>HETTICH 9307242 Atira flexi sada úplná 520/176 bílá, reling, čelní příchyt</t>
  </si>
  <si>
    <t>9307243</t>
  </si>
  <si>
    <t>489871</t>
  </si>
  <si>
    <t>HETTICH 9307243 Atira flexi sada úplná 620/176 bílá, reling, čelní příchyt</t>
  </si>
  <si>
    <t>9307630</t>
  </si>
  <si>
    <t>104022</t>
  </si>
  <si>
    <t>HETTICH 9307630/40270 Quadro V6+ 620mm/50kg EB10,5 SiSy</t>
  </si>
  <si>
    <t>9307632</t>
  </si>
  <si>
    <t>518411</t>
  </si>
  <si>
    <t>HETTICH 9307632 plnovýsuv Quadro V6+ 470mm/50kg EB10,5 SiSy</t>
  </si>
  <si>
    <t>9307633</t>
  </si>
  <si>
    <t>105259</t>
  </si>
  <si>
    <t>HETTICH 9307633 Atira celovýsuv, Quadro V6+, 420mm/50kg, bok 18mm, pár, SiSy</t>
  </si>
  <si>
    <t>9307634</t>
  </si>
  <si>
    <t>478184</t>
  </si>
  <si>
    <t>HETTICH 9307634 Quadro V6+ 350mm/40kg EB10,5 SiSy L+P</t>
  </si>
  <si>
    <t>9307635</t>
  </si>
  <si>
    <t>489519</t>
  </si>
  <si>
    <t>HETTICH 9307635 Quadro V6+ 300mm/50KG EB10,5 SiSy L+P</t>
  </si>
  <si>
    <t>9307638</t>
  </si>
  <si>
    <t>119109</t>
  </si>
  <si>
    <t>HETTICH 9307638/48355 Quadro V6+ 470mm/50kg EB12,5 SiSy</t>
  </si>
  <si>
    <t>9307639</t>
  </si>
  <si>
    <t>489520</t>
  </si>
  <si>
    <t>HETTICH 9307639 Quadro V6+ 420mm/50kg EB12,5 SiSy L+P</t>
  </si>
  <si>
    <t>9307652</t>
  </si>
  <si>
    <t>104903</t>
  </si>
  <si>
    <t>HETTICH 9307652/45313 Quadro V6 520mm/30kg EB9,5 SiSy</t>
  </si>
  <si>
    <t>9307653</t>
  </si>
  <si>
    <t>153828</t>
  </si>
  <si>
    <t>HETTICH 9307653/45312 Quadro V6 470mm/30kg EB9,5 SiSy</t>
  </si>
  <si>
    <t>9307654</t>
  </si>
  <si>
    <t>107186</t>
  </si>
  <si>
    <t>HETTICH 9307654/45311 Quadro V6 420mm/30kg EB9,5 SiSy</t>
  </si>
  <si>
    <t>9307655</t>
  </si>
  <si>
    <t>518387</t>
  </si>
  <si>
    <t>HETTICH 9307655 Quadro V6 celovýsuv Atira, 350mm/30kg, EB9,5, SiSy</t>
  </si>
  <si>
    <t>9307658</t>
  </si>
  <si>
    <t>477638</t>
  </si>
  <si>
    <t>HETTICH 9307658 Quadro V6 520mm/30kg EB10,5 SiSy pro Atira</t>
  </si>
  <si>
    <t>9307660</t>
  </si>
  <si>
    <t>474942</t>
  </si>
  <si>
    <t>HETTICH 9307660 Atira celovýsuv, Quadro V6, 420mm/30kg, bok 18mm, pár, SiSy</t>
  </si>
  <si>
    <t>9307661</t>
  </si>
  <si>
    <t>104837</t>
  </si>
  <si>
    <t>HETTICH 9307661/45305 Quadro V6 350mm/30kg EB10,5 SiSy</t>
  </si>
  <si>
    <t>9307978</t>
  </si>
  <si>
    <t>511424</t>
  </si>
  <si>
    <t>HETTICH 9307978 Sensys křížová podložka D=1,5 obsidián, eurošrouby</t>
  </si>
  <si>
    <t>9308021</t>
  </si>
  <si>
    <t>518895</t>
  </si>
  <si>
    <t>HETTICH 9308021 křížová podložka s předmontovanými eurošrouby, D0, s excentrem</t>
  </si>
  <si>
    <t>9308022</t>
  </si>
  <si>
    <t>518897</t>
  </si>
  <si>
    <t>HETTICH 9308022 PODLOŽKA 8099 D1,5 S EUROŠROUBY S EXCENTREM OBSIDIÁN</t>
  </si>
  <si>
    <t>9308035</t>
  </si>
  <si>
    <t>518896</t>
  </si>
  <si>
    <t>HETTICH 9308035 PODLOŽKA 8099 D1,5 DIREKT D1,5 MM S EXCENTREM OBSIDIÁN</t>
  </si>
  <si>
    <t>9308077</t>
  </si>
  <si>
    <t>397949</t>
  </si>
  <si>
    <t>HETTICH 9308077 podložka přímá Sensys D=1,5 mm obsidián vrut</t>
  </si>
  <si>
    <t>9308078</t>
  </si>
  <si>
    <t>518880</t>
  </si>
  <si>
    <t>HETTICH 9308078 PODLOŽKA 8099 D1,5 LINEÁRNÍ K NAŠROUBOVÁNÍ S EXCENTREM</t>
  </si>
  <si>
    <t>9308181</t>
  </si>
  <si>
    <t>518906</t>
  </si>
  <si>
    <t>HETTICH 9308181 krytka pro ramínko závěsu (kromě 165°) bez loga obsidián</t>
  </si>
  <si>
    <t>9308182</t>
  </si>
  <si>
    <t>518909</t>
  </si>
  <si>
    <t>HETTICH 9308182 krytka na ramínko s logem Obsidián</t>
  </si>
  <si>
    <t>9308183</t>
  </si>
  <si>
    <t>518913</t>
  </si>
  <si>
    <t>HETTICH 9308183 krytka na misku Obsidián</t>
  </si>
  <si>
    <t>9308346</t>
  </si>
  <si>
    <t>503172</t>
  </si>
  <si>
    <t>HETTICH 9308346 Držák na folie OrgaTray 270, NL470, buk antracit</t>
  </si>
  <si>
    <t>9308347</t>
  </si>
  <si>
    <t>503171</t>
  </si>
  <si>
    <t>HETTICH 9308347 Držák na nože OrgaTray 270, NL470, buk antracit</t>
  </si>
  <si>
    <t>9309760</t>
  </si>
  <si>
    <t>519785</t>
  </si>
  <si>
    <t>HETTICH 9309760 STEELFORCE PRO 670 SLS HIGHLINE STŘÍBRNÁ</t>
  </si>
  <si>
    <t>9309813</t>
  </si>
  <si>
    <t>517778</t>
  </si>
  <si>
    <t>HETTICH 9309813 kabelový kanál SLIM černý</t>
  </si>
  <si>
    <t>9309820</t>
  </si>
  <si>
    <t>519833</t>
  </si>
  <si>
    <t>HETTICH 9309820 ZÁSUVKA SN GRIP ČERNÁ</t>
  </si>
  <si>
    <t>9311352</t>
  </si>
  <si>
    <t>536200</t>
  </si>
  <si>
    <t>HETTICH 9311352 ND vrták 2,5mm bez středicího pouzdra</t>
  </si>
  <si>
    <t>9311353</t>
  </si>
  <si>
    <t>536201</t>
  </si>
  <si>
    <t>HETTICH 9311353 ND vrták 3,0mm bez středicího pouzdra</t>
  </si>
  <si>
    <t>9311354</t>
  </si>
  <si>
    <t>536202</t>
  </si>
  <si>
    <t>HETTICH 9311354 ND vrták 5,0mm bez středicího pouzdra</t>
  </si>
  <si>
    <t>9311544</t>
  </si>
  <si>
    <t>518367</t>
  </si>
  <si>
    <t>HETTICH 9311544 QUADRO COMPACT OUTDOOR 470MM EB12,5 SILENT SYSTEM PLNOVÝSUV LEVÝ</t>
  </si>
  <si>
    <t>9311545</t>
  </si>
  <si>
    <t>518368</t>
  </si>
  <si>
    <t>HETTICH 9311545 QUADRO COMPACT OUTDOOR 470MM EB12,5 SILENT SYSTEM PLNOVÝSUV P</t>
  </si>
  <si>
    <t>9311546</t>
  </si>
  <si>
    <t>518365</t>
  </si>
  <si>
    <t>HETTICH 9311546 QUADRO COMPACT OUTDOOR 470MM EB12,5 PUSH TO OPEN PLNOVÝSUV LEVÝ</t>
  </si>
  <si>
    <t>9311547</t>
  </si>
  <si>
    <t>518366</t>
  </si>
  <si>
    <t>HETTICH 9311547 QUADRO COMPACT OUTDOOR 470MM EB12,5 PUSH TO OPEN PLNOVÝSUV PRAVÝ</t>
  </si>
  <si>
    <t>9313091</t>
  </si>
  <si>
    <t>519148</t>
  </si>
  <si>
    <t>HETTICH 9313091 Novisys krytka na ramínko s logem Hettich</t>
  </si>
  <si>
    <t>9313093</t>
  </si>
  <si>
    <t>497667</t>
  </si>
  <si>
    <t>HETTICH 9313093 Novisys omezovač úhlu otevření 85°</t>
  </si>
  <si>
    <t>9313100</t>
  </si>
  <si>
    <t>497622</t>
  </si>
  <si>
    <t>HETTICH 9313100 Novisys závěs naložený 105° TH52 vrut SiSy</t>
  </si>
  <si>
    <t>9313101</t>
  </si>
  <si>
    <t>497625</t>
  </si>
  <si>
    <t>HETTICH 9313101 Novisys závěs naložený 105° TH lisování SiSy</t>
  </si>
  <si>
    <t>9313104</t>
  </si>
  <si>
    <t>518985</t>
  </si>
  <si>
    <t>HETTICH 9313104 Novisys závěs naložený 105° TH eurošroub SiSy</t>
  </si>
  <si>
    <t>9313106</t>
  </si>
  <si>
    <t>518986</t>
  </si>
  <si>
    <t>HETTICH 9313106 NOVISYS 8848i 105° B12,5 TH48 S TLUMIČEM</t>
  </si>
  <si>
    <t>9313110</t>
  </si>
  <si>
    <t>497623</t>
  </si>
  <si>
    <t>HETTICH 9313110 Novisys závěs polonaložený 105° TH vrut SiSy</t>
  </si>
  <si>
    <t>9313111</t>
  </si>
  <si>
    <t>497626</t>
  </si>
  <si>
    <t>HETTICH 9313111 Novisys závěs polonaložený 105° TH lisování SiSy</t>
  </si>
  <si>
    <t>9313114</t>
  </si>
  <si>
    <t>518983</t>
  </si>
  <si>
    <t>HETTICH 9313114 NOVISYS 8848i 105° B3 TH46 S TLUMIČEM</t>
  </si>
  <si>
    <t>9313116</t>
  </si>
  <si>
    <t>518984</t>
  </si>
  <si>
    <t>HETTICH 9313116 NOVISYS 8848i 105° B3 TH48 S TLUMIČEM</t>
  </si>
  <si>
    <t>9313120</t>
  </si>
  <si>
    <t>497624</t>
  </si>
  <si>
    <t>HETTICH 9313120 Novisys závěs vložený 105° TH vrut SiSy</t>
  </si>
  <si>
    <t>9313121</t>
  </si>
  <si>
    <t>497627</t>
  </si>
  <si>
    <t>HETTICH 9313121 Novisys závěs vložený 105° TH lisování SiSy</t>
  </si>
  <si>
    <t>9313124</t>
  </si>
  <si>
    <t>518981</t>
  </si>
  <si>
    <t>HETTICH 9313124 NOVISYS 8848i 105° B-4 TH46 S TLUMIČEM</t>
  </si>
  <si>
    <t>9313126</t>
  </si>
  <si>
    <t>518982</t>
  </si>
  <si>
    <t>HETTICH 9313126 NOVISYS 8848i 105° B-4 TH48 S TLUMIČEM</t>
  </si>
  <si>
    <t>9313130</t>
  </si>
  <si>
    <t>497628</t>
  </si>
  <si>
    <t>HETTICH 9313130 Novisys závěs naložený 105° TH vrut pružina</t>
  </si>
  <si>
    <t>9313131</t>
  </si>
  <si>
    <t>497631</t>
  </si>
  <si>
    <t>HETTICH 9313131 Novisys závěs naložený 105° TH lisování pružina</t>
  </si>
  <si>
    <t>9313134</t>
  </si>
  <si>
    <t>518979</t>
  </si>
  <si>
    <t>HETTICH 9313134 NOVISYS 8848 105° B12,5 TH46 BEZ TLUMIČE</t>
  </si>
  <si>
    <t>9313136</t>
  </si>
  <si>
    <t>518980</t>
  </si>
  <si>
    <t>HETTICH 9313136 NOVISYS 8848 105° B12,5 TH48 BEZ TLUMIČE</t>
  </si>
  <si>
    <t>9313140</t>
  </si>
  <si>
    <t>497629</t>
  </si>
  <si>
    <t>HETTICH 9313140 Novisys závěs polonaložený 105° TH vrut pružina</t>
  </si>
  <si>
    <t>9313141</t>
  </si>
  <si>
    <t>497632</t>
  </si>
  <si>
    <t>HETTICH 9313141 Novisys závěs polonaložený 105° TH lisování pružina</t>
  </si>
  <si>
    <t>9313150</t>
  </si>
  <si>
    <t>497630</t>
  </si>
  <si>
    <t>HETTICH 9313150 Novisys závěs vložený 105° TH vrut pružina</t>
  </si>
  <si>
    <t>9313151</t>
  </si>
  <si>
    <t>497633</t>
  </si>
  <si>
    <t>HETTICH 9313151 Novisys závěs vložený 105° TH lisování pružina</t>
  </si>
  <si>
    <t>9313160</t>
  </si>
  <si>
    <t>497634</t>
  </si>
  <si>
    <t>HETTICH 9313160 Novisys závěs naložený 105° TH vrut PTO</t>
  </si>
  <si>
    <t>9313161</t>
  </si>
  <si>
    <t>497637</t>
  </si>
  <si>
    <t>HETTICH 9313161 Novisys závěs naložený 105° TH lisování PTO</t>
  </si>
  <si>
    <t>9313170</t>
  </si>
  <si>
    <t>497635</t>
  </si>
  <si>
    <t>HETTICH 9313170 Novisys závěs polonaložený 105° TH vrut PTO</t>
  </si>
  <si>
    <t>9313171</t>
  </si>
  <si>
    <t>497638</t>
  </si>
  <si>
    <t>HETTICH 9313171 Novisys závěs polonaložený 105° TH lisování PTO</t>
  </si>
  <si>
    <t>9313180</t>
  </si>
  <si>
    <t>497636</t>
  </si>
  <si>
    <t>HETTICH 9313180 Novisys závěs vložený 105° TH vrut PTO</t>
  </si>
  <si>
    <t>9313181</t>
  </si>
  <si>
    <t>497639</t>
  </si>
  <si>
    <t>HETTICH 9313181 Novisys závěs vložený 105° TH lisování PTO</t>
  </si>
  <si>
    <t>9313190</t>
  </si>
  <si>
    <t>497640</t>
  </si>
  <si>
    <t>HETTICH 9313190 Novisys závěs naložený 105° TB vrut SiSy</t>
  </si>
  <si>
    <t>9313191</t>
  </si>
  <si>
    <t>497643</t>
  </si>
  <si>
    <t>HETTICH 9313191 Novisys závěs naložený 105° TB lisování SiSy</t>
  </si>
  <si>
    <t>9313194</t>
  </si>
  <si>
    <t>510744</t>
  </si>
  <si>
    <t>HETTICH 9313194 Novisys naložený 105° TB45 eurošroub SiSy</t>
  </si>
  <si>
    <t>536243</t>
  </si>
  <si>
    <t>HETTICH 9313194 Novisys naložený 105° TB45 eurošroub SiSy INTERIER TECH</t>
  </si>
  <si>
    <t>9313200</t>
  </si>
  <si>
    <t>497641</t>
  </si>
  <si>
    <t>HETTICH 9313200 Novisys závěs polonaložený 105° TB vrut SiSy</t>
  </si>
  <si>
    <t>9313201</t>
  </si>
  <si>
    <t>497644</t>
  </si>
  <si>
    <t>HETTICH 9313201 Novisys závěs polonaložený 105° TB lisování SiSy</t>
  </si>
  <si>
    <t>9313210</t>
  </si>
  <si>
    <t>497642</t>
  </si>
  <si>
    <t>HETTICH 9313210 Novisys závěs vložený 105° TB vrut SiSy</t>
  </si>
  <si>
    <t>9313211</t>
  </si>
  <si>
    <t>497645</t>
  </si>
  <si>
    <t>HETTICH 9313211 Novisys závěs vložený 105° TB lisování SiSy</t>
  </si>
  <si>
    <t>9313220</t>
  </si>
  <si>
    <t>497646</t>
  </si>
  <si>
    <t>HETTICH 9313220 Novisys závěs naložený 105° TB vrut pružina</t>
  </si>
  <si>
    <t>9313221</t>
  </si>
  <si>
    <t>497649</t>
  </si>
  <si>
    <t>HETTICH 9313221 Novisys závěs naložený 105° TB lisování pružina</t>
  </si>
  <si>
    <t>9313224</t>
  </si>
  <si>
    <t>510780</t>
  </si>
  <si>
    <t>HETTICH 9313224 Novisys naložený 105° TB45 eurošroub</t>
  </si>
  <si>
    <t>536242</t>
  </si>
  <si>
    <t>HETTICH 9313224 Novisys naložený 105° TB45 eurošroub INTERIER TECH</t>
  </si>
  <si>
    <t>9313230</t>
  </si>
  <si>
    <t>497647</t>
  </si>
  <si>
    <t>HETTICH 9313230 Novisys závěs polonaložený 105° TB vrut pružina</t>
  </si>
  <si>
    <t>9313231</t>
  </si>
  <si>
    <t>497650</t>
  </si>
  <si>
    <t>HETTICH 9313231 Novisys závěs polonaložený 105° TB lisování pružina</t>
  </si>
  <si>
    <t>9313240</t>
  </si>
  <si>
    <t>497648</t>
  </si>
  <si>
    <t>HETTICH 9313240 Novisys závěs vložený 105° TB vrut pružina</t>
  </si>
  <si>
    <t>9313241</t>
  </si>
  <si>
    <t>497651</t>
  </si>
  <si>
    <t>HETTICH 9313241 Novisys závěs vložený 105° TB lisování pružina</t>
  </si>
  <si>
    <t>9313250</t>
  </si>
  <si>
    <t>497652</t>
  </si>
  <si>
    <t>HETTICH 9313250 Novisys závěs naložený 105° TB vrut PTO</t>
  </si>
  <si>
    <t>9313251</t>
  </si>
  <si>
    <t>497655</t>
  </si>
  <si>
    <t>HETTICH 9313251 Novisys závěs naložený 105° TB lisování PTO</t>
  </si>
  <si>
    <t>9313260</t>
  </si>
  <si>
    <t>497653</t>
  </si>
  <si>
    <t>HETTICH 9313260 Novisys závěs polonaložený 105° TB vrut PTO</t>
  </si>
  <si>
    <t>9313261</t>
  </si>
  <si>
    <t>497656</t>
  </si>
  <si>
    <t>HETTICH 9313261 Novisys závěs polonaložený 105° TB lisování PTO</t>
  </si>
  <si>
    <t>9313270</t>
  </si>
  <si>
    <t>497654</t>
  </si>
  <si>
    <t>HETTICH 9313270 Novisys závěs vložený 105° TB vrut PTO</t>
  </si>
  <si>
    <t>9313271</t>
  </si>
  <si>
    <t>497657</t>
  </si>
  <si>
    <t>HETTICH 9313271 Novisys závěs vložený 105° TB lisování PTO</t>
  </si>
  <si>
    <t>9313280</t>
  </si>
  <si>
    <t>515084</t>
  </si>
  <si>
    <t>HETTICH 9313280 Novisys 105° TS48 (Salice) naložený, vrut, SiSy</t>
  </si>
  <si>
    <t>9313860</t>
  </si>
  <si>
    <t>497658</t>
  </si>
  <si>
    <t>HETTICH 9313860 Novisys montážní podložka křížová D0 vrut</t>
  </si>
  <si>
    <t>9313861</t>
  </si>
  <si>
    <t>497662</t>
  </si>
  <si>
    <t>HETTICH 9313861 Novisys montážní podložka křížová D0 eurošroub</t>
  </si>
  <si>
    <t>9313873</t>
  </si>
  <si>
    <t>497659</t>
  </si>
  <si>
    <t>HETTICH 9313873 Novisys montážní podložka křížová D1,5 vrut</t>
  </si>
  <si>
    <t>9313874</t>
  </si>
  <si>
    <t>497663</t>
  </si>
  <si>
    <t>HETTICH 9313874 Novisys montážní podložka křížová D1,5 eurošroub</t>
  </si>
  <si>
    <t>510741</t>
  </si>
  <si>
    <t>HETTICH 9313874 podložka Novisys D=1,5 eurošroub INTERIER TECH</t>
  </si>
  <si>
    <t>9313875</t>
  </si>
  <si>
    <t>518967</t>
  </si>
  <si>
    <t>HETTICH 9313875 NOVISYS PODLOŽKA M 4 37x32 D1,5 HETTICH DIREKT</t>
  </si>
  <si>
    <t>9313878</t>
  </si>
  <si>
    <t>518968</t>
  </si>
  <si>
    <t>HETTICH 9313878 NOVISYS PODLOŽKA M 4 37x32 D1,5 ROZPĚR.POUZDRA</t>
  </si>
  <si>
    <t>9313885</t>
  </si>
  <si>
    <t>497660</t>
  </si>
  <si>
    <t>HETTICH 9313885 Novisys montážní podložka křížová D3 vrut</t>
  </si>
  <si>
    <t>9313886</t>
  </si>
  <si>
    <t>497664</t>
  </si>
  <si>
    <t>HETTICH 9313886 Novisys montážní podložka křížová D3 eurošroub</t>
  </si>
  <si>
    <t>9313897</t>
  </si>
  <si>
    <t>497661</t>
  </si>
  <si>
    <t>HETTICH 9313897 Novisys montážní podložka křížová D5 vrut</t>
  </si>
  <si>
    <t>9313898</t>
  </si>
  <si>
    <t>497665</t>
  </si>
  <si>
    <t>HETTICH 9313898 Novisys montážní podložka křížová D5 eurošroub</t>
  </si>
  <si>
    <t>9314053</t>
  </si>
  <si>
    <t>518371</t>
  </si>
  <si>
    <t>HETTICH 9314053 QUADRO COMPACT OUTDOOR 520MM EB12,5 SILENT SYSTEM PLNOVÝSUV LEVÝ</t>
  </si>
  <si>
    <t>9314054</t>
  </si>
  <si>
    <t>518372</t>
  </si>
  <si>
    <t>HETTICH 9314054 QUADRO COMPACT OUTDOOR 520MM EB12,5 SILENT SYSTEM PLNOVÝSUV P</t>
  </si>
  <si>
    <t>9314055</t>
  </si>
  <si>
    <t>518369</t>
  </si>
  <si>
    <t>HETTICH 9314055 QUADRO COMPACT OUTDOOR 520MM EB12,5 PUSH TO OPEN PLNOVÝSUV LEVÝ</t>
  </si>
  <si>
    <t>9314056</t>
  </si>
  <si>
    <t>518370</t>
  </si>
  <si>
    <t>HETTICH 9314056 QUADRO COMPACT OUTDOOR 520MM EB12,5 PUSH TO OPEN PLNOVÝSUV PRAVÝ</t>
  </si>
  <si>
    <t>9314621</t>
  </si>
  <si>
    <t>512182</t>
  </si>
  <si>
    <t>HETTICH 9314621 Quadro Compact pro Atiru 470mm/40kg EB12,5 SiSy venkovní použití</t>
  </si>
  <si>
    <t>9314622</t>
  </si>
  <si>
    <t>512186</t>
  </si>
  <si>
    <t>HETTICH 9314622 Quadro Compact pro Atiru 470mm/40kg EB12,5 PTO venkovní použití</t>
  </si>
  <si>
    <t>9314623</t>
  </si>
  <si>
    <t>512184</t>
  </si>
  <si>
    <t>HETTICH 9314623 Quadro Compact pro Atiru 520mm/40kg EB12,5 SiSy venkovní použití</t>
  </si>
  <si>
    <t>523639</t>
  </si>
  <si>
    <t>HETTICH 9314623 ŠIMČÁK</t>
  </si>
  <si>
    <t>9314624</t>
  </si>
  <si>
    <t>512187</t>
  </si>
  <si>
    <t>HETTICH 9314624 Quadro Compact pro Atiru 520mm/40kg EB12,5 PTO venkovní použití</t>
  </si>
  <si>
    <t>9315928</t>
  </si>
  <si>
    <t>492582</t>
  </si>
  <si>
    <t>HETTICH 9315928 Vestavné žehlící prkno</t>
  </si>
  <si>
    <t>9316556</t>
  </si>
  <si>
    <t>503244</t>
  </si>
  <si>
    <t>HETTICH 9316556 Křížová příčka OrgaStore 270 Box, buk antracit</t>
  </si>
  <si>
    <t>9316893</t>
  </si>
  <si>
    <t>524839</t>
  </si>
  <si>
    <t>HETTICH 9316893 ND baterie pro osvětlení zásuvek AvanTech YOU</t>
  </si>
  <si>
    <t>9256959</t>
  </si>
  <si>
    <t>397769</t>
  </si>
  <si>
    <t>HETTICH 9318145 Actro You celovýsuv, 270mm/10kg, levá, SiSy</t>
  </si>
  <si>
    <t>9256960</t>
  </si>
  <si>
    <t>397770</t>
  </si>
  <si>
    <t>HETTICH 9318146 Actro You celovýsuv, 270mm/10kg, pravá, SiSy</t>
  </si>
  <si>
    <t>9256961</t>
  </si>
  <si>
    <t>397771</t>
  </si>
  <si>
    <t>HETTICH 9318147 Actro You celovýsuv, 300mm/10kg, levá, SiSy</t>
  </si>
  <si>
    <t>9256962</t>
  </si>
  <si>
    <t>397772</t>
  </si>
  <si>
    <t>HETTICH 9318148 Actro You celovýsuv, 300mm/10kg, pravá, SiSy</t>
  </si>
  <si>
    <t>9318149</t>
  </si>
  <si>
    <t>397773</t>
  </si>
  <si>
    <t>HETTICH 9318149 Actro You celovýsuv, 350mm/10kg, levá, SiSy</t>
  </si>
  <si>
    <t>9318150</t>
  </si>
  <si>
    <t>397774</t>
  </si>
  <si>
    <t>HETTICH 9318150 Actro You celovýsuv, 350mm/10kg, pravá, SiSy</t>
  </si>
  <si>
    <t>9318154</t>
  </si>
  <si>
    <t>518516</t>
  </si>
  <si>
    <t>HETTICH 9318154 ACTRO YOU 10KG PLNOVÝSUV 270 MM EB21 SILENT SYSTEM SADA</t>
  </si>
  <si>
    <t>9318156</t>
  </si>
  <si>
    <t>518519</t>
  </si>
  <si>
    <t>HETTICH 9318156 ACTRO YOU 10KG PLNOVÝSUV 300 MM EB21 SILENT SYSTEM SADA</t>
  </si>
  <si>
    <t>9256969</t>
  </si>
  <si>
    <t>461117</t>
  </si>
  <si>
    <t>HETTICH 9318156/9256969 Actro You celovýsuv 300mm/10kg SiSy EB21 L+P</t>
  </si>
  <si>
    <t>9318160</t>
  </si>
  <si>
    <t>518520</t>
  </si>
  <si>
    <t>HETTICH 9318160 ACTRO YOU 10KG PLNOVÝSUV 350 MM EB21 SILENT SYSTEM SADA</t>
  </si>
  <si>
    <t>9256974</t>
  </si>
  <si>
    <t>397775</t>
  </si>
  <si>
    <t>HETTICH 9318167 Actro You celovýsuv, 270mm/40kg, levá, SiSy</t>
  </si>
  <si>
    <t>9256975</t>
  </si>
  <si>
    <t>397776</t>
  </si>
  <si>
    <t>HETTICH 9318170 Actro You celovýsuv, 270mm/40kg, pravá, SiSy</t>
  </si>
  <si>
    <t>9256976</t>
  </si>
  <si>
    <t>397777</t>
  </si>
  <si>
    <t>HETTICH 9318171 Actro You celovýsuv, 300mm/40kg, levá, SiSy</t>
  </si>
  <si>
    <t>9318172</t>
  </si>
  <si>
    <t>397778</t>
  </si>
  <si>
    <t>HETTICH 9318172 Actro You celovýsuv, 300mm/40kg, pravá, SiSy</t>
  </si>
  <si>
    <t>9318173</t>
  </si>
  <si>
    <t>397779</t>
  </si>
  <si>
    <t>HETTICH 9318173 Actro You celovýsuv, 350mm/40kg, levá, SiSy</t>
  </si>
  <si>
    <t>9256981</t>
  </si>
  <si>
    <t>397780</t>
  </si>
  <si>
    <t>HETTICH 9318174 Actro You celovýsuv, 350mm/40kg, pravá, SiSy</t>
  </si>
  <si>
    <t>9318175</t>
  </si>
  <si>
    <t>397781</t>
  </si>
  <si>
    <t>HETTICH 9318175 Actro You celovýsuv, 400mm/40kg, levá, SiSy</t>
  </si>
  <si>
    <t>9318176</t>
  </si>
  <si>
    <t>397782</t>
  </si>
  <si>
    <t>HETTICH 9318176 Actro You celovýsuv, 400mm/40kg, pravá, SiSy</t>
  </si>
  <si>
    <t>9256988</t>
  </si>
  <si>
    <t>397783</t>
  </si>
  <si>
    <t>HETTICH 9318177 Actro You celovýsuv, 450mm/40kg, levá, SiSy</t>
  </si>
  <si>
    <t>9318178</t>
  </si>
  <si>
    <t>397784</t>
  </si>
  <si>
    <t>HETTICH 9318178 Actro You celovýsuv, 450mm/40kg, pravá, SiSy</t>
  </si>
  <si>
    <t>9318179</t>
  </si>
  <si>
    <t>527922</t>
  </si>
  <si>
    <t>HETTICH 9318179 Actro You celovýsuv 500 40 kg SiSy L - DALNO</t>
  </si>
  <si>
    <t>397785</t>
  </si>
  <si>
    <t>HETTICH 9318179 Actro You celovýsuv, 500mm/40kg, levá, SiSy</t>
  </si>
  <si>
    <t>9318180</t>
  </si>
  <si>
    <t>527923</t>
  </si>
  <si>
    <t>HETTICH 9318180 Actro You celovýsuv 500 40 kg SiSy P - DALNO</t>
  </si>
  <si>
    <t>397786</t>
  </si>
  <si>
    <t>HETTICH 9318180 Actro You celovýsuv, 500mm/40kg, pravá, SiSy</t>
  </si>
  <si>
    <t>9318181</t>
  </si>
  <si>
    <t>397787</t>
  </si>
  <si>
    <t>HETTICH 9318181 Actro You celovýsuv, 550mm/40kg, levá, SiSy</t>
  </si>
  <si>
    <t>9318182</t>
  </si>
  <si>
    <t>397788</t>
  </si>
  <si>
    <t>HETTICH 9318182 Actro You celovýsuv, 550mm/40kg, pravá, SiSy</t>
  </si>
  <si>
    <t>9318183</t>
  </si>
  <si>
    <t>397789</t>
  </si>
  <si>
    <t>HETTICH 9318183 Actro You celovýsuv, 600mm/40kg, levá, SiSy</t>
  </si>
  <si>
    <t>9268680</t>
  </si>
  <si>
    <t>397790</t>
  </si>
  <si>
    <t>HETTICH 9318184 Actro You celovýsuv, 600mm/40kg, pravá, SiSy</t>
  </si>
  <si>
    <t>9318186</t>
  </si>
  <si>
    <t>518523</t>
  </si>
  <si>
    <t>HETTICH 9318186 ACTRO YOU 40KG PLNOVÝSUV 270 MM EB21 SILENT SYSTEM SADA</t>
  </si>
  <si>
    <t>9318187</t>
  </si>
  <si>
    <t>518524</t>
  </si>
  <si>
    <t>HETTICH 9318187 ACTRO YOU 40KG PLNOVÝSUV 300 MM EB21 SILENT SYSTEM SADA</t>
  </si>
  <si>
    <t>9318188</t>
  </si>
  <si>
    <t>518526</t>
  </si>
  <si>
    <t>HETTICH 9318188 Actro YOU celovýsuv 350 40 kg SiSy EB21</t>
  </si>
  <si>
    <t>9318190</t>
  </si>
  <si>
    <t>518527</t>
  </si>
  <si>
    <t>HETTICH 9318190 ACTRO YOU 40KG PLNOVÝSUV 400 MM EB21 SILENT SYSTEM SADA</t>
  </si>
  <si>
    <t>422188</t>
  </si>
  <si>
    <t>HETTICH 9318190 Actro YOU celovýsuv 400 40kg SiSy L+P</t>
  </si>
  <si>
    <t>9318191</t>
  </si>
  <si>
    <t>518529</t>
  </si>
  <si>
    <t>HETTICH 9318191 ACTRO YOU 40KG PLNOVÝSUV 450 MM EB21 SILENT SYSTEM SADA</t>
  </si>
  <si>
    <t>421497</t>
  </si>
  <si>
    <t>HETTICH 9318191 Actro YOU celovýsuv 450 40kg SiSy L+P</t>
  </si>
  <si>
    <t>9257008</t>
  </si>
  <si>
    <t>421496</t>
  </si>
  <si>
    <t>HETTICH 9318192/9257008 Actro YOU celovýsuv 500 40kg SiSy L+P</t>
  </si>
  <si>
    <t>9318194</t>
  </si>
  <si>
    <t>518530</t>
  </si>
  <si>
    <t>HETTICH 9318194 ACTRO YOU 40KG PLNOVÝSUV 550 MM EB21 SILENT SYSTEM SADA</t>
  </si>
  <si>
    <t>9257010</t>
  </si>
  <si>
    <t>489898</t>
  </si>
  <si>
    <t>HETTICH 9318194/9257010 Actro YOU celovýsuv 550mm/40kg SiSy L+P PD-50</t>
  </si>
  <si>
    <t>9318196</t>
  </si>
  <si>
    <t>518532</t>
  </si>
  <si>
    <t>HETTICH 9318196 ACTRO YOU 40KG PLNOVÝSUV 600 MM EB21 SILENT SYSTEM SADA</t>
  </si>
  <si>
    <t>9268681</t>
  </si>
  <si>
    <t>492580</t>
  </si>
  <si>
    <t>HETTICH 9318196/9268681 Actro You celovýsuv 600mm/40kg SiSy</t>
  </si>
  <si>
    <t>9257013</t>
  </si>
  <si>
    <t>397791</t>
  </si>
  <si>
    <t>HETTICH 9318198 Actro You celovýsuv, 450mm/70kg, levá, SiSy</t>
  </si>
  <si>
    <t>9257014</t>
  </si>
  <si>
    <t>397792</t>
  </si>
  <si>
    <t>HETTICH 9318199 Actro You celovýsuv, 450mm/70kg, pravá, SiSy</t>
  </si>
  <si>
    <t>9318201</t>
  </si>
  <si>
    <t>397793</t>
  </si>
  <si>
    <t>HETTICH 9318201 Actro You celovýsuv, 500mm/70kg, levá, SiSy</t>
  </si>
  <si>
    <t>9318203</t>
  </si>
  <si>
    <t>397794</t>
  </si>
  <si>
    <t>HETTICH 9318203 Actro You celovýsuv, 500mm/70kg, pravá, SiSy</t>
  </si>
  <si>
    <t>9318208</t>
  </si>
  <si>
    <t>397795</t>
  </si>
  <si>
    <t>HETTICH 9318208 Actro You celovýsuv, 550mm/70kg, levá, SiSy</t>
  </si>
  <si>
    <t>9318209</t>
  </si>
  <si>
    <t>397796</t>
  </si>
  <si>
    <t>HETTICH 9318209 Actro You celovýsuv, 550mm/70kg, pravá, SiSy</t>
  </si>
  <si>
    <t>9318211</t>
  </si>
  <si>
    <t>398924</t>
  </si>
  <si>
    <t>HETTICH 9318211 Actro You celovýsuv, 600mm/70kg, levá, SiSy</t>
  </si>
  <si>
    <t>9318212</t>
  </si>
  <si>
    <t>398925</t>
  </si>
  <si>
    <t>HETTICH 9318212 Actro You celovýsuv, 600mm/70kg, pravá, SiSy</t>
  </si>
  <si>
    <t>9318213</t>
  </si>
  <si>
    <t>397797</t>
  </si>
  <si>
    <t>HETTICH 9318213 Actro You celovýsuv, 650mm/70kg, levá, SiSy</t>
  </si>
  <si>
    <t>9318214</t>
  </si>
  <si>
    <t>397798</t>
  </si>
  <si>
    <t>HETTICH 9318214 Actro You celovýsuv, 650mm/70kg, pravá, SiSy</t>
  </si>
  <si>
    <t>9257034</t>
  </si>
  <si>
    <t>462508</t>
  </si>
  <si>
    <t>HETTICH 9318215/9257034 Actro YOU celovýsuv 450mm/70kg SiSy L+P</t>
  </si>
  <si>
    <t>9318216</t>
  </si>
  <si>
    <t>422189</t>
  </si>
  <si>
    <t>HETTICH 9318216 Actro YOU celovýsuv 500mm/70kg SiSy L+P</t>
  </si>
  <si>
    <t>9318217</t>
  </si>
  <si>
    <t>518538</t>
  </si>
  <si>
    <t>HETTICH 9318217 ACTRO YOU 70KG PLNOVÝSUV 550 MM EB21 SILENT SYSTEM SADA</t>
  </si>
  <si>
    <t>9257038</t>
  </si>
  <si>
    <t>462509</t>
  </si>
  <si>
    <t>HETTICH 9318217/9257038 Actro YOU celovýsuv 550mm/70kg SiSy L+P</t>
  </si>
  <si>
    <t>9318218</t>
  </si>
  <si>
    <t>518540</t>
  </si>
  <si>
    <t>HETTICH 9318218 ACTRO YOU 70KG PLNOVÝSUV 600 MM EB21 SILENT SYSTEM SADA</t>
  </si>
  <si>
    <t>462510</t>
  </si>
  <si>
    <t>HETTICH 9318218 Actro YOU celovýsuv 600mm/70kg SiSy L+P</t>
  </si>
  <si>
    <t>9318219</t>
  </si>
  <si>
    <t>518543</t>
  </si>
  <si>
    <t>HETTICH 9318219 ACTRO YOU 70KG PLNOVÝSUV 650 MM EB21 SILENT SYSTEM SADA</t>
  </si>
  <si>
    <t>9257041</t>
  </si>
  <si>
    <t>462512</t>
  </si>
  <si>
    <t>HETTICH 9318219/9257041 Actro YOU celovýsuv 650mm/70kg SiSy L+P</t>
  </si>
  <si>
    <t>489897</t>
  </si>
  <si>
    <t>HETTICH 9318219/9257041 Actro YOU celovýsuv 650mm/70kg SiSy L+P PD-50</t>
  </si>
  <si>
    <t>9318221</t>
  </si>
  <si>
    <t>397851</t>
  </si>
  <si>
    <t>HETTICH 9318221 Actro 5D celovýsuv 250 10 kg SiSy P</t>
  </si>
  <si>
    <t>9318228</t>
  </si>
  <si>
    <t>397858</t>
  </si>
  <si>
    <t>HETTICH 9318228 Actro 5D celovýsuv 350 10 kg SiSy L</t>
  </si>
  <si>
    <t>9318229</t>
  </si>
  <si>
    <t>397859</t>
  </si>
  <si>
    <t>HETTICH 9318229 Actro 5D celovýsuv 350 10 kg SiSy P</t>
  </si>
  <si>
    <t>9318230</t>
  </si>
  <si>
    <t>462469</t>
  </si>
  <si>
    <t>HETTICH 9318230 Actro 5D celovýsuv 250 10 kg SiSy L+P</t>
  </si>
  <si>
    <t>519613</t>
  </si>
  <si>
    <t>HETTICH 9318230 ACTRO 5D XS 10 KG SILENT SYSTEM PLNOVÝSUV SADA 250 MM EB23</t>
  </si>
  <si>
    <t>9318231</t>
  </si>
  <si>
    <t>462470</t>
  </si>
  <si>
    <t>HETTICH 9318231 Actro 5D celovýsuv 270 10 kg SiSy L+P</t>
  </si>
  <si>
    <t>519614</t>
  </si>
  <si>
    <t>HETTICH 9318231 ACTRO 5D XS 10 KG SILENT SYSTEM PLNOVÝSUV SADA 270 MM EB23</t>
  </si>
  <si>
    <t>9318232</t>
  </si>
  <si>
    <t>462472</t>
  </si>
  <si>
    <t>HETTICH 9318232 Actro 5D celovýsuv 300 10 kg SiSy L+P</t>
  </si>
  <si>
    <t>519615</t>
  </si>
  <si>
    <t>HETTICH 9318232 ACTRO 5D XS 10 KG SILENT SYSTEM PLNOVÝSUV SADA 300 MM EB23</t>
  </si>
  <si>
    <t>9318233</t>
  </si>
  <si>
    <t>462473</t>
  </si>
  <si>
    <t>HETTICH 9318233 Actro 5D celovýsuv 320 10 kg SiSy L+P</t>
  </si>
  <si>
    <t>519616</t>
  </si>
  <si>
    <t>HETTICH 9318233 ACTRO 5D XS 10 KG SILENT SYSTEM PLNOVÝSUV SADA 320 MM EB23</t>
  </si>
  <si>
    <t>9318234</t>
  </si>
  <si>
    <t>462474</t>
  </si>
  <si>
    <t>HETTICH 9318234 Actro 5D celovýsuv 350 10 kg SiSy L+P</t>
  </si>
  <si>
    <t>519617</t>
  </si>
  <si>
    <t>HETTICH 9318234 ACTRO 5D XS 10 KG SILENT SYSTEM PLNOVÝSUV SADA 350 MM EB23</t>
  </si>
  <si>
    <t>9318240</t>
  </si>
  <si>
    <t>397865</t>
  </si>
  <si>
    <t>HETTICH 9318240 Actro 5D celovýsuv 300 40 kg SiSy P</t>
  </si>
  <si>
    <t>9318241</t>
  </si>
  <si>
    <t>397866</t>
  </si>
  <si>
    <t>HETTICH 9318241 Actro 5D celovýsuv 320 40 kg SiSy L</t>
  </si>
  <si>
    <t>9318242</t>
  </si>
  <si>
    <t>397867</t>
  </si>
  <si>
    <t>HETTICH 9318242 Actro 5D celovýsuv 320 40 kg SiSy P</t>
  </si>
  <si>
    <t>9318243</t>
  </si>
  <si>
    <t>397868</t>
  </si>
  <si>
    <t>HETTICH 9318243 Actro 5D celovýsuv 350 40 kg SiSy L</t>
  </si>
  <si>
    <t>9318244</t>
  </si>
  <si>
    <t>397869</t>
  </si>
  <si>
    <t>HETTICH 9318244 Actro 5D celovýsuv 350 40 kg SiSy P</t>
  </si>
  <si>
    <t>9318245</t>
  </si>
  <si>
    <t>397870</t>
  </si>
  <si>
    <t>HETTICH 9318245 Actro 5D celovýsuv 380 40 kg SiSy L</t>
  </si>
  <si>
    <t>9318246</t>
  </si>
  <si>
    <t>397871</t>
  </si>
  <si>
    <t>HETTICH 9318246 Actro 5D celovýsuv 380 40 kg SiSy P</t>
  </si>
  <si>
    <t>9318247</t>
  </si>
  <si>
    <t>397872</t>
  </si>
  <si>
    <t>HETTICH 9318247 Actro 5D celovýsuv 400 40 kg SiSy L</t>
  </si>
  <si>
    <t>9318248</t>
  </si>
  <si>
    <t>397873</t>
  </si>
  <si>
    <t>HETTICH 9318248 Actro 5D celovýsuv 400 40 kg SiSy P</t>
  </si>
  <si>
    <t>9318249</t>
  </si>
  <si>
    <t>397874</t>
  </si>
  <si>
    <t>HETTICH 9318249 Actro 5D celovýsuv 420 40 kg SiSy L</t>
  </si>
  <si>
    <t>9318250</t>
  </si>
  <si>
    <t>397875</t>
  </si>
  <si>
    <t>HETTICH 9318250 Actro 5D celovýsuv 420 40 kg SiSy P</t>
  </si>
  <si>
    <t>9318251</t>
  </si>
  <si>
    <t>397876</t>
  </si>
  <si>
    <t>HETTICH 9318251 Actro 5D celovýsuv 450 40 kg SiSy L</t>
  </si>
  <si>
    <t>9318252</t>
  </si>
  <si>
    <t>397877</t>
  </si>
  <si>
    <t>HETTICH 9318252 Actro 5D celovýsuv 450 40 kg SiSy P</t>
  </si>
  <si>
    <t>9318253</t>
  </si>
  <si>
    <t>397878</t>
  </si>
  <si>
    <t>HETTICH 9318253 Actro 5D celovýsuv 480 40 kg SiSy L</t>
  </si>
  <si>
    <t>9318254</t>
  </si>
  <si>
    <t>397879</t>
  </si>
  <si>
    <t>HETTICH 9318254 Actro 5D celovýsuv 480 40 kg SiSy P</t>
  </si>
  <si>
    <t>9318255</t>
  </si>
  <si>
    <t>502181</t>
  </si>
  <si>
    <t>HETTICH 9318255 seřizovací soklový šroub, M8, 50 mm</t>
  </si>
  <si>
    <t>9318256</t>
  </si>
  <si>
    <t>397880</t>
  </si>
  <si>
    <t>HETTICH 9318256 Actro 5D celovýsuv 500 40 kg SiSy L</t>
  </si>
  <si>
    <t>9318257</t>
  </si>
  <si>
    <t>502312</t>
  </si>
  <si>
    <t>HETTICH 9318257 Seřizovací soklový šroub M8/60</t>
  </si>
  <si>
    <t>9318258</t>
  </si>
  <si>
    <t>397881</t>
  </si>
  <si>
    <t>HETTICH 9318258 Actro 5D celovýsuv 500 40 kg SiSy P</t>
  </si>
  <si>
    <t>9318259</t>
  </si>
  <si>
    <t>502313</t>
  </si>
  <si>
    <t>HETTICH 9318259 Seřizovací soklový šroub M8/70</t>
  </si>
  <si>
    <t>9318260</t>
  </si>
  <si>
    <t>502182</t>
  </si>
  <si>
    <t>HETTICH 9318260 seřizovací soklový šroub, M8, 80 mm</t>
  </si>
  <si>
    <t>9318261</t>
  </si>
  <si>
    <t>502183</t>
  </si>
  <si>
    <t>HETTICH 9318261 seřizovací soklový šroub, M8, 100 mm</t>
  </si>
  <si>
    <t>9318262</t>
  </si>
  <si>
    <t>397882</t>
  </si>
  <si>
    <t>HETTICH 9318262 Actro 5D celovýsuv 520 40 kg SiSy L</t>
  </si>
  <si>
    <t>9318263</t>
  </si>
  <si>
    <t>397883</t>
  </si>
  <si>
    <t>HETTICH 9318263 Actro 5D celovýsuv 520 40 kg SiSy P</t>
  </si>
  <si>
    <t>9318264</t>
  </si>
  <si>
    <t>397884</t>
  </si>
  <si>
    <t>HETTICH 9318264 Actro 5D celovýsuv 550 40 kg SiSy L</t>
  </si>
  <si>
    <t>9318265</t>
  </si>
  <si>
    <t>397885</t>
  </si>
  <si>
    <t>HETTICH 9318265 Actro 5D celovýsuv 550 40 kg SiSy P</t>
  </si>
  <si>
    <t>9318266</t>
  </si>
  <si>
    <t>397886</t>
  </si>
  <si>
    <t>HETTICH 9318266 Actro 5D celovýsuv 600 40 kg SiSy L</t>
  </si>
  <si>
    <t>9318267</t>
  </si>
  <si>
    <t>397887</t>
  </si>
  <si>
    <t>HETTICH 9318267 Actro 5D celovýsuv 600 40 kg SiSy P</t>
  </si>
  <si>
    <t>9318268</t>
  </si>
  <si>
    <t>462475</t>
  </si>
  <si>
    <t>HETTICH 9318268 Actro 5D celovýsuv 250 40 kg SiSy L+P</t>
  </si>
  <si>
    <t>519564</t>
  </si>
  <si>
    <t>HETTICH 9318268 ACTRO 5D L 40 KG SILENT SYSTEM PLNOVÝSUV SADA 250 MM EB23</t>
  </si>
  <si>
    <t>9318269</t>
  </si>
  <si>
    <t>462476</t>
  </si>
  <si>
    <t>HETTICH 9318269 Actro 5D celovýsuv 270 40 kg SiSy L+P</t>
  </si>
  <si>
    <t>519565</t>
  </si>
  <si>
    <t>HETTICH 9318269 ACTRO 5D L 40 KG SILENT SYSTEM PLNOVÝSUV SADA 270 MM EB23</t>
  </si>
  <si>
    <t>9318270</t>
  </si>
  <si>
    <t>462477</t>
  </si>
  <si>
    <t>HETTICH 9318270 Actro 5D celovýsuv 300 40 kg SiSy L+P</t>
  </si>
  <si>
    <t>519566</t>
  </si>
  <si>
    <t>HETTICH 9318270 ACTRO 5D L 40 KG SILENT SYSTEM PLNOVÝSUV SADA 300 MM EB23</t>
  </si>
  <si>
    <t>9318281</t>
  </si>
  <si>
    <t>462478</t>
  </si>
  <si>
    <t>HETTICH 9318281 Actro 5D celovýsuv 320 40 kg SiSy L+P</t>
  </si>
  <si>
    <t>519567</t>
  </si>
  <si>
    <t>HETTICH 9318281 ACTRO 5D L 40 KG SILENT SYSTEM PLNOVÝSUV SADA 320 MM EB23</t>
  </si>
  <si>
    <t>9318282</t>
  </si>
  <si>
    <t>462479</t>
  </si>
  <si>
    <t>HETTICH 9318282 Actro 5D celovýsuv 350 40 kg SiSy L+P</t>
  </si>
  <si>
    <t>519568</t>
  </si>
  <si>
    <t>HETTICH 9318282 ACTRO 5D L 40 KG SILENT SYSTEM PLNOVÝSUV SADA 350 MM EB23</t>
  </si>
  <si>
    <t>9318283</t>
  </si>
  <si>
    <t>519569</t>
  </si>
  <si>
    <t>HETTICH 9318283 ACTRO 5D L 40 KG SILENT SYSTEM PLNOVÝSUV SADA 380 MM EB23</t>
  </si>
  <si>
    <t>9318284</t>
  </si>
  <si>
    <t>462481</t>
  </si>
  <si>
    <t>HETTICH 9318284 Actro 5D celovýsuv 400 40 kg SiSy L+P</t>
  </si>
  <si>
    <t>519570</t>
  </si>
  <si>
    <t>HETTICH 9318284 ACTRO 5D L 40 KG SILENT SYSTEM PLNOVÝSUV SADA 400 MM EB23</t>
  </si>
  <si>
    <t>9318285</t>
  </si>
  <si>
    <t>462482</t>
  </si>
  <si>
    <t>HETTICH 9318285 Actro 5D celovýsuv 420 40 kg SiSy L+P</t>
  </si>
  <si>
    <t>519571</t>
  </si>
  <si>
    <t>HETTICH 9318285 ACTRO 5D L 40 KG SILENT SYSTEM PLNOVÝSUV SADA 420 MM EB23</t>
  </si>
  <si>
    <t>9318286</t>
  </si>
  <si>
    <t>462483</t>
  </si>
  <si>
    <t>HETTICH 9318286 Actro 5D celovýsuv 450 40 kg SiSy L+P</t>
  </si>
  <si>
    <t>519572</t>
  </si>
  <si>
    <t>HETTICH 9318286 ACTRO 5D L 40 KG SILENT SYSTEM PLNOVÝSUV SADA 450 MM EB23</t>
  </si>
  <si>
    <t>9318287</t>
  </si>
  <si>
    <t>462485</t>
  </si>
  <si>
    <t>HETTICH 9318287 Actro 5D celovýsuv 480 40 kg SiSy L+P</t>
  </si>
  <si>
    <t>519573</t>
  </si>
  <si>
    <t>HETTICH 9318287 ACTRO 5D L 40 KG SILENT SYSTEM PLNOVÝSUV SADA 480 MM EB23</t>
  </si>
  <si>
    <t>9318288</t>
  </si>
  <si>
    <t>462488</t>
  </si>
  <si>
    <t>HETTICH 9318288 Actro 5D celovýsuv 500 40 kg SiSy L+P</t>
  </si>
  <si>
    <t>519574</t>
  </si>
  <si>
    <t>HETTICH 9318288 ACTRO 5D L 40 KG SILENT SYSTEM PLNOVÝSUV SADA 500 MM EB23</t>
  </si>
  <si>
    <t>9318289</t>
  </si>
  <si>
    <t>462489</t>
  </si>
  <si>
    <t>HETTICH 9318289 Actro 5D celovýsuv 520 40 kg SiSy L+P</t>
  </si>
  <si>
    <t>519575</t>
  </si>
  <si>
    <t>HETTICH 9318289 ACTRO 5D L 40 KG SILENT SYSTEM PLNOVÝSUV SADA 520 MM EB23</t>
  </si>
  <si>
    <t>9318290</t>
  </si>
  <si>
    <t>462493</t>
  </si>
  <si>
    <t>HETTICH 9318290 Actro 5D celovýsuv 550 40 kg SiSy L+P</t>
  </si>
  <si>
    <t>519576</t>
  </si>
  <si>
    <t>HETTICH 9318290 ACTRO 5D L 40 KG SILENT SYSTEM PLNOVÝSUV SADA 550 MM EB23</t>
  </si>
  <si>
    <t>9318291</t>
  </si>
  <si>
    <t>462494</t>
  </si>
  <si>
    <t>HETTICH 9318291 Actro 5D celovýsuv 600 40 kg SiSy L+P</t>
  </si>
  <si>
    <t>519577</t>
  </si>
  <si>
    <t>HETTICH 9318291 ACTRO 5D L 40 KG SILENT SYSTEM PLNOVÝSUV SADA 600 MM EB23</t>
  </si>
  <si>
    <t>9318292</t>
  </si>
  <si>
    <t>397888</t>
  </si>
  <si>
    <t>HETTICH 9318292 Actro 5D celovýsuv 450 70 kg SiSy L</t>
  </si>
  <si>
    <t>9318293</t>
  </si>
  <si>
    <t>397889</t>
  </si>
  <si>
    <t>HETTICH 9318293 Actro 5D celovýsuv 450 70 kg SiSy P</t>
  </si>
  <si>
    <t>9318294</t>
  </si>
  <si>
    <t>397890</t>
  </si>
  <si>
    <t>HETTICH 9318294 Actro 5D celovýsuv 500 70 kg SiSy L</t>
  </si>
  <si>
    <t>9318295</t>
  </si>
  <si>
    <t>397891</t>
  </si>
  <si>
    <t>HETTICH 9318295 Actro 5D celovýsuv 500 70 kg SiSy P</t>
  </si>
  <si>
    <t>9318296</t>
  </si>
  <si>
    <t>397892</t>
  </si>
  <si>
    <t>HETTICH 9318296 Actro 5D celovýsuv 520 70 kg SiSy L</t>
  </si>
  <si>
    <t>9318297</t>
  </si>
  <si>
    <t>397893</t>
  </si>
  <si>
    <t>HETTICH 9318297 Actro 5D celovýsuv 520 70 kg SiSy P</t>
  </si>
  <si>
    <t>9318298</t>
  </si>
  <si>
    <t>397894</t>
  </si>
  <si>
    <t>HETTICH 9318298 Actro 5D celovýsuv 550 70 kg SiSy L</t>
  </si>
  <si>
    <t>9318299</t>
  </si>
  <si>
    <t>397895</t>
  </si>
  <si>
    <t>HETTICH 9318299 Actro 5D celovýsuv 550 70 kg SiSy P</t>
  </si>
  <si>
    <t>9318300</t>
  </si>
  <si>
    <t>397896</t>
  </si>
  <si>
    <t>HETTICH 9318300 Actro 5D celovýsuv 580 70 kg SiSy L</t>
  </si>
  <si>
    <t>9318301</t>
  </si>
  <si>
    <t>397897</t>
  </si>
  <si>
    <t>HETTICH 9318301 Actro 5D celovýsuv 580 70 kg SiSy P</t>
  </si>
  <si>
    <t>9318302</t>
  </si>
  <si>
    <t>397898</t>
  </si>
  <si>
    <t>HETTICH 9318302 Actro 5D celovýsuv 600 70 kg SiSy L</t>
  </si>
  <si>
    <t>9318303</t>
  </si>
  <si>
    <t>397899</t>
  </si>
  <si>
    <t>HETTICH 9318303 Actro 5D celovýsuv 600 70 kg SiSy P</t>
  </si>
  <si>
    <t>9318304</t>
  </si>
  <si>
    <t>397900</t>
  </si>
  <si>
    <t>HETTICH 9318304 Actro 5D celovýsuv 650 70 kg SiSy L</t>
  </si>
  <si>
    <t>9318305</t>
  </si>
  <si>
    <t>397901</t>
  </si>
  <si>
    <t>HETTICH 9318305 Actro 5D celovýsuv 650 70 kg SiSy P</t>
  </si>
  <si>
    <t>9318306</t>
  </si>
  <si>
    <t>397902</t>
  </si>
  <si>
    <t>HETTICH 9318306 Actro 5D celovýsuv 700 70 kg SiSy L</t>
  </si>
  <si>
    <t>9318307</t>
  </si>
  <si>
    <t>397903</t>
  </si>
  <si>
    <t>HETTICH 9318307 Actro 5D celovýsuv 700 70 kg SiSy P</t>
  </si>
  <si>
    <t>9318308</t>
  </si>
  <si>
    <t>397904</t>
  </si>
  <si>
    <t>HETTICH 9318308 Actro 5D celovýsuv 750 70 kg SiSy L</t>
  </si>
  <si>
    <t>9318309</t>
  </si>
  <si>
    <t>397905</t>
  </si>
  <si>
    <t>HETTICH 9318309 Actro 5D celovýsuv 750 70 kg SiSy P</t>
  </si>
  <si>
    <t>9318310</t>
  </si>
  <si>
    <t>462495</t>
  </si>
  <si>
    <t>HETTICH 9318310 Actro 5D celovýsuv 450 70 kg SiSy L+P</t>
  </si>
  <si>
    <t>519596</t>
  </si>
  <si>
    <t>HETTICH 9318310 ACTRO 5D XL 70 KG SILENT SYSTEM PLNOVÝSUV SADA 450 MM EB23</t>
  </si>
  <si>
    <t>9318311</t>
  </si>
  <si>
    <t>462497</t>
  </si>
  <si>
    <t>HETTICH 9318311 Actro 5D celovýsuv 500 70 kg SiSy L+P</t>
  </si>
  <si>
    <t>9318312</t>
  </si>
  <si>
    <t>519598</t>
  </si>
  <si>
    <t>HETTICH 9318312 ACTRO 5D XL 70 KG SILENT SYSTEM PLNOVÝSUV SADA 520 MM EB23</t>
  </si>
  <si>
    <t>9318313</t>
  </si>
  <si>
    <t>519599</t>
  </si>
  <si>
    <t>HETTICH 9318313 ACTRO 5D XL 70 KG SILENT SYSTEM PLNOVÝSUV SADA 550 MM EB23</t>
  </si>
  <si>
    <t>9318315</t>
  </si>
  <si>
    <t>519600</t>
  </si>
  <si>
    <t>HETTICH 9318315 ACTRO 5D XL 70 KG SILENT SYSTEM PLNOVÝSUV SADA 600 MM EB23</t>
  </si>
  <si>
    <t>9318316</t>
  </si>
  <si>
    <t>462503</t>
  </si>
  <si>
    <t>HETTICH 9318316 Actro 5D celovýsuv 650 70 kg SiSy L+P</t>
  </si>
  <si>
    <t>519601</t>
  </si>
  <si>
    <t>HETTICH 9318316 ACTRO 5D XL 70 KG SILENT SYSTEM PLNOVÝSUV SADA 650 MM EB23</t>
  </si>
  <si>
    <t>9318317</t>
  </si>
  <si>
    <t>519602</t>
  </si>
  <si>
    <t>HETTICH 9318317 ACTRO 5D XL 70 KG SILENT SYSTEM PLNOVÝSUV SADA 700 MM EB23</t>
  </si>
  <si>
    <t>9318318</t>
  </si>
  <si>
    <t>462505</t>
  </si>
  <si>
    <t>HETTICH 9318318 Actro 5D celovýsuv 750 70 kg SiSy L+P</t>
  </si>
  <si>
    <t>519603</t>
  </si>
  <si>
    <t>HETTICH 9318318 ACTRO 5D XL 70 KG SILENT SYSTEM PLNOVÝSUV SADA 750 MM EB23</t>
  </si>
  <si>
    <t>9318327</t>
  </si>
  <si>
    <t>519629</t>
  </si>
  <si>
    <t>HETTICH 9318327 ACTRO 5D L 40 KG SISY PLNOVÝSUV L+P 350 MM EB23 MONTÁŽ NA DNO</t>
  </si>
  <si>
    <t>9318328</t>
  </si>
  <si>
    <t>519630</t>
  </si>
  <si>
    <t>HETTICH 9318328 ACTRO 5D L 40 KG SISY PLNOVÝSUV L+P 400 MM EB23 MONTÁŽ NA DNO</t>
  </si>
  <si>
    <t>9318329</t>
  </si>
  <si>
    <t>519631</t>
  </si>
  <si>
    <t>HETTICH 9318329 Actro 5D celovýsuv 450mm/40kg SiSy EB23 montáž na dno L+P</t>
  </si>
  <si>
    <t>9318330</t>
  </si>
  <si>
    <t>519632</t>
  </si>
  <si>
    <t>HETTICH 9318330 Actro 5D plnovýsuv 500mm/40kg SiSy EB23 montáž na dno L+P</t>
  </si>
  <si>
    <t>9318521</t>
  </si>
  <si>
    <t>536028</t>
  </si>
  <si>
    <t>HETTICH 9318521 Quadro 25 2D částečný výsuv 270mm/25kg EB21 SiSy L</t>
  </si>
  <si>
    <t>9318522</t>
  </si>
  <si>
    <t>536029</t>
  </si>
  <si>
    <t>HETTICH 9318522 Quadro 25 2D částečný výsuv 270mm/25kg EB21 SiSy P</t>
  </si>
  <si>
    <t>9318523</t>
  </si>
  <si>
    <t>536030</t>
  </si>
  <si>
    <t>HETTICH 9318523 Quadro 25 2D částečný výsuv 300mm/25kg EB21 SiSy L</t>
  </si>
  <si>
    <t>9318524</t>
  </si>
  <si>
    <t>536031</t>
  </si>
  <si>
    <t>HETTICH 9318524 Quadro 25 2D částečný výsuv 300mm/25kg EB21 SiSy P</t>
  </si>
  <si>
    <t>9318525</t>
  </si>
  <si>
    <t>536032</t>
  </si>
  <si>
    <t>HETTICH 9318525 Quadro 25 2D částečný výsuv 320mm/25kg EB21 SiSy L</t>
  </si>
  <si>
    <t>9318526</t>
  </si>
  <si>
    <t>536033</t>
  </si>
  <si>
    <t>HETTICH 9318526 Quadro 25 2D částečný výsuv 320mm/25kg EB21 SiSy P</t>
  </si>
  <si>
    <t>9318527</t>
  </si>
  <si>
    <t>536034</t>
  </si>
  <si>
    <t>HETTICH 9318527 Quadro 25 2D částečný výsuv 350mm/25kg EB21 SiSy L</t>
  </si>
  <si>
    <t>9318528</t>
  </si>
  <si>
    <t>536035</t>
  </si>
  <si>
    <t>HETTICH 9318528 Quadro 25 2D částečný výsuv 350mm/25kg EB21 SiSy P</t>
  </si>
  <si>
    <t>9318529</t>
  </si>
  <si>
    <t>536036</t>
  </si>
  <si>
    <t>HETTICH 9318529 Quadro 25 2D částečný výsuv 380mm/25kg EB21 SiSy L</t>
  </si>
  <si>
    <t>9318530</t>
  </si>
  <si>
    <t>536037</t>
  </si>
  <si>
    <t>HETTICH 9318530 Quadro 25 2D částečný výsuv 380mm/25kg EB21 SiSy P</t>
  </si>
  <si>
    <t>9318531</t>
  </si>
  <si>
    <t>536038</t>
  </si>
  <si>
    <t>HETTICH 9318531 Quadro 25 2D částečný výsuv 400mm/25kg EB21 SiSy L</t>
  </si>
  <si>
    <t>9318532</t>
  </si>
  <si>
    <t>536039</t>
  </si>
  <si>
    <t>HETTICH 9318532 Quadro 25 2D částečný výsuv 400mm/25kg EB21 SiSy P</t>
  </si>
  <si>
    <t>9318533</t>
  </si>
  <si>
    <t>536040</t>
  </si>
  <si>
    <t>HETTICH 9318533 Quadro 25 2D částečný výsuv 420mm/25kg EB21 SiSy L</t>
  </si>
  <si>
    <t>9318534</t>
  </si>
  <si>
    <t>536041</t>
  </si>
  <si>
    <t>HETTICH 9318534 Quadro 25 2D částečný výsuv 420mm/25kg EB21 SiSy P</t>
  </si>
  <si>
    <t>9318535</t>
  </si>
  <si>
    <t>536042</t>
  </si>
  <si>
    <t>HETTICH 9318535 Quadro 25 2D částečný výsuv 450mm/25kg EB21 SiSy L</t>
  </si>
  <si>
    <t>9318536</t>
  </si>
  <si>
    <t>536043</t>
  </si>
  <si>
    <t>HETTICH 9318536 Quadro 25 2D částečný výsuv 450mm/25kg EB21 SiSy P</t>
  </si>
  <si>
    <t>9318537</t>
  </si>
  <si>
    <t>536044</t>
  </si>
  <si>
    <t>HETTICH 9318537 Quadro 25 2D částečný výsuv 480mm/25kg EB21 SiSy L</t>
  </si>
  <si>
    <t>9318538</t>
  </si>
  <si>
    <t>536045</t>
  </si>
  <si>
    <t>HETTICH 9318538 Quadro 25 2D částečný výsuv 480mm/25kg EB21 SiSy P</t>
  </si>
  <si>
    <t>9318539</t>
  </si>
  <si>
    <t>536046</t>
  </si>
  <si>
    <t>HETTICH 9318539 Quadro 25 2D částečný výsuv 500mm/25kg EB21 SiSy L</t>
  </si>
  <si>
    <t>9318540</t>
  </si>
  <si>
    <t>536047</t>
  </si>
  <si>
    <t>HETTICH 9318540 Quadro 25 2D částečný výsuv 500mm/25kg EB21 SiSy P</t>
  </si>
  <si>
    <t>9318541</t>
  </si>
  <si>
    <t>536048</t>
  </si>
  <si>
    <t>HETTICH 9318541 Quadro 25 2D částečný výsuv 520mm/25kg EB21 SiSy L</t>
  </si>
  <si>
    <t>9318542</t>
  </si>
  <si>
    <t>536049</t>
  </si>
  <si>
    <t>HETTICH 9318542 Quadro 25 2D částečný výsuv 520mm/25kg EB21 SiSy P</t>
  </si>
  <si>
    <t>9318543</t>
  </si>
  <si>
    <t>536050</t>
  </si>
  <si>
    <t>HETTICH 9318543 Quadro 25 2D částečný výsuv 550mm/25kg EB21 SiSy L</t>
  </si>
  <si>
    <t>9318544</t>
  </si>
  <si>
    <t>536051</t>
  </si>
  <si>
    <t>HETTICH 9318544 Quadro 25 2D částečný výsuv 550mm/25kg EB21 SiSy P</t>
  </si>
  <si>
    <t>9318624</t>
  </si>
  <si>
    <t>536103</t>
  </si>
  <si>
    <t>HETTICH 9318624 Quadro 25 YOU částečný výsuv 270mm/25kg EB21 SiSy L</t>
  </si>
  <si>
    <t>9318625</t>
  </si>
  <si>
    <t>536104</t>
  </si>
  <si>
    <t>HETTICH 9318625 Quadro 25 YOU částečný výsuv 270mm/25kg EB21 SiSy P</t>
  </si>
  <si>
    <t>9318626</t>
  </si>
  <si>
    <t>536105</t>
  </si>
  <si>
    <t>HETTICH 9318626 Quadro 25 YOU částečný výsuv 300mm/25kg EB21 SiSy L</t>
  </si>
  <si>
    <t>9318627</t>
  </si>
  <si>
    <t>536106</t>
  </si>
  <si>
    <t>HETTICH 9318627 Quadro 25 YOU částečný výsuv 300mm/25kg EB21 SiSy P</t>
  </si>
  <si>
    <t>9318628</t>
  </si>
  <si>
    <t>536107</t>
  </si>
  <si>
    <t>HETTICH 9318628 Quadro 25 YOU částečný výsuv 320mm/25kg EB21 SiSy L</t>
  </si>
  <si>
    <t>9318629</t>
  </si>
  <si>
    <t>536108</t>
  </si>
  <si>
    <t>HETTICH 9318629 Quadro 25 YOU částečný výsuv 320mm/25kg EB21 SiSy P</t>
  </si>
  <si>
    <t>9318630</t>
  </si>
  <si>
    <t>536109</t>
  </si>
  <si>
    <t>HETTICH 9318630 Quadro 25 YOU částečný výsuv 350mm/25kg EB21 SiSy L</t>
  </si>
  <si>
    <t>9318631</t>
  </si>
  <si>
    <t>536110</t>
  </si>
  <si>
    <t>HETTICH 9318631 Quadro 25 YOU částečný výsuv 350mm/25kg EB21 SiSy P</t>
  </si>
  <si>
    <t>9318632</t>
  </si>
  <si>
    <t>536111</t>
  </si>
  <si>
    <t>HETTICH 9318632 Quadro 25 YOU částečný výsuv 380mm/25kg EB21 SiSy L</t>
  </si>
  <si>
    <t>9318633</t>
  </si>
  <si>
    <t>536112</t>
  </si>
  <si>
    <t>HETTICH 9318633 Quadro 25 YOU částečný výsuv 380mm/25kg EB21 SiSy P</t>
  </si>
  <si>
    <t>9318634</t>
  </si>
  <si>
    <t>536113</t>
  </si>
  <si>
    <t>HETTICH 9318634 Quadro 25 YOU částečný výsuv 400mm/25kg EB21 SiSy L</t>
  </si>
  <si>
    <t>9318635</t>
  </si>
  <si>
    <t>536114</t>
  </si>
  <si>
    <t>HETTICH 9318635 Quadro 25 YOU částečný výsuv 400mm/25kg EB21 SiSy P</t>
  </si>
  <si>
    <t>9318636</t>
  </si>
  <si>
    <t>536115</t>
  </si>
  <si>
    <t>HETTICH 9318636 Quadro 25 YOU částečný výsuv 420mm/25kg EB21 SiSy L</t>
  </si>
  <si>
    <t>9318637</t>
  </si>
  <si>
    <t>536116</t>
  </si>
  <si>
    <t>HETTICH 9318637 Quadro 25 YOU částečný výsuv 420mm/25kg EB21 SiSy P</t>
  </si>
  <si>
    <t>9318638</t>
  </si>
  <si>
    <t>536117</t>
  </si>
  <si>
    <t>HETTICH 9318638 Quadro 25 YOU částečný výsuv 450mm/25kg EB21 SiSy L</t>
  </si>
  <si>
    <t>9318639</t>
  </si>
  <si>
    <t>536118</t>
  </si>
  <si>
    <t>HETTICH 9318639 Quadro 25 YOU částečný výsuv 450mm/25kg EB21 SiSy P</t>
  </si>
  <si>
    <t>9318640</t>
  </si>
  <si>
    <t>536119</t>
  </si>
  <si>
    <t>HETTICH 9318640 Quadro 25 YOU částečný výsuv 480mm/25kg EB21 SiSy L</t>
  </si>
  <si>
    <t>9318641</t>
  </si>
  <si>
    <t>536120</t>
  </si>
  <si>
    <t>HETTICH 9318641 Quadro 25 YOU částečný výsuv 480mm/25kg EB21 SiSy P</t>
  </si>
  <si>
    <t>9318642</t>
  </si>
  <si>
    <t>536121</t>
  </si>
  <si>
    <t>HETTICH 9318642 Quadro 25 YOU částečný výsuv 500mm/25kg EB21 SiSy L</t>
  </si>
  <si>
    <t>9318643</t>
  </si>
  <si>
    <t>536122</t>
  </si>
  <si>
    <t>HETTICH 9318643 Quadro 25 YOU částečný výsuv 500mm/25kg EB21 SiSy P</t>
  </si>
  <si>
    <t>9318644</t>
  </si>
  <si>
    <t>536123</t>
  </si>
  <si>
    <t>HETTICH 9318644 Quadro 25 YOU částečný výsuv 520mm/25kg EB21 SiSy L</t>
  </si>
  <si>
    <t>9318645</t>
  </si>
  <si>
    <t>536124</t>
  </si>
  <si>
    <t>HETTICH 9318645 Quadro 25 YOU částečný výsuv 520mm/25kg EB21 SiSy P</t>
  </si>
  <si>
    <t>9318646</t>
  </si>
  <si>
    <t>536125</t>
  </si>
  <si>
    <t>HETTICH 9318646 Quadro 25 YOU částečný výsuv 550mm/25kg EB21 SiSy L</t>
  </si>
  <si>
    <t>9318647</t>
  </si>
  <si>
    <t>536126</t>
  </si>
  <si>
    <t>HETTICH 9318647 Quadro 25 YOU částečný výsuv 550mm/25kg EB21 SiSy P</t>
  </si>
  <si>
    <t>9319311</t>
  </si>
  <si>
    <t>536052</t>
  </si>
  <si>
    <t>HETTICH 9319311 Quadro 25 2D částečný výsuv 270mm/25kg EB21 PTO L</t>
  </si>
  <si>
    <t>9319312</t>
  </si>
  <si>
    <t>536053</t>
  </si>
  <si>
    <t>HETTICH 9319312 Quadro 25 2D částečný výsuv 270mm/25kg EB21 PTO P</t>
  </si>
  <si>
    <t>9319314</t>
  </si>
  <si>
    <t>536054</t>
  </si>
  <si>
    <t>HETTICH 9319314 Quadro 25 2D částečný výsuv 300mm/25kg EB21 PTO L</t>
  </si>
  <si>
    <t>9319315</t>
  </si>
  <si>
    <t>536055</t>
  </si>
  <si>
    <t>HETTICH 9319315 Quadro 25 2D částečný výsuv 300mm/25kg EB21 PTO P</t>
  </si>
  <si>
    <t>9319317</t>
  </si>
  <si>
    <t>536056</t>
  </si>
  <si>
    <t>HETTICH 9319317 Quadro 25 2D částečný výsuv 320mm/25kg EB21 PTO L</t>
  </si>
  <si>
    <t>9319318</t>
  </si>
  <si>
    <t>536057</t>
  </si>
  <si>
    <t>HETTICH 9319318 Quadro 25 2D částečný výsuv 320mm/25kg EB21 PTO P</t>
  </si>
  <si>
    <t>9319323</t>
  </si>
  <si>
    <t>536058</t>
  </si>
  <si>
    <t>HETTICH 9319323 Quadro 25 2D částečný výsuv 350mm/25kg EB21 PTO L</t>
  </si>
  <si>
    <t>9319324</t>
  </si>
  <si>
    <t>536059</t>
  </si>
  <si>
    <t>HETTICH 9319324 Quadro 25 2D částečný výsuv 350mm/25kg EB21 PTO P</t>
  </si>
  <si>
    <t>9319327</t>
  </si>
  <si>
    <t>536060</t>
  </si>
  <si>
    <t>HETTICH 9319327 Quadro 25 2D částečný výsuv 380mm/25kg EB21 PTO L</t>
  </si>
  <si>
    <t>9319328</t>
  </si>
  <si>
    <t>536061</t>
  </si>
  <si>
    <t>HETTICH 9319328 Quadro 25 2D částečný výsuv 380mm/25kg EB21 PTO P</t>
  </si>
  <si>
    <t>9319329</t>
  </si>
  <si>
    <t>536062</t>
  </si>
  <si>
    <t>HETTICH 9319329 Quadro 25 2D částečný výsuv 400mm/25kg EB21 PTO L</t>
  </si>
  <si>
    <t>9319330</t>
  </si>
  <si>
    <t>536063</t>
  </si>
  <si>
    <t>HETTICH 9319330 Quadro 25 2D částečný výsuv 400mm/25kg EB21 PTO P</t>
  </si>
  <si>
    <t>9319331</t>
  </si>
  <si>
    <t>536064</t>
  </si>
  <si>
    <t>HETTICH 9319331 Quadro 25 2D částečný výsuv 420mm/25kg EB21 PTO L</t>
  </si>
  <si>
    <t>9319332</t>
  </si>
  <si>
    <t>536065</t>
  </si>
  <si>
    <t>HETTICH 9319332 Quadro 25 2D částečný výsuv 420mm/25kg EB21 PTO P</t>
  </si>
  <si>
    <t>9319333</t>
  </si>
  <si>
    <t>536066</t>
  </si>
  <si>
    <t>HETTICH 9319333 Quadro 25 2D částečný výsuv 450mm/25kg EB21 PTO L</t>
  </si>
  <si>
    <t>9319334</t>
  </si>
  <si>
    <t>536067</t>
  </si>
  <si>
    <t>HETTICH 9319334 Quadro 25 2D částečný výsuv 450mm/25kg EB21 PTO P</t>
  </si>
  <si>
    <t>9319335</t>
  </si>
  <si>
    <t>536068</t>
  </si>
  <si>
    <t>HETTICH 9319335 Quadro 25 2D částečný výsuv 480mm/25kg EB21 PTO L</t>
  </si>
  <si>
    <t>9319336</t>
  </si>
  <si>
    <t>536069</t>
  </si>
  <si>
    <t>HETTICH 9319336 Quadro 25 2D částečný výsuv 480mm/25kg EB21 PTO P</t>
  </si>
  <si>
    <t>9319337</t>
  </si>
  <si>
    <t>536070</t>
  </si>
  <si>
    <t>HETTICH 9319337 Quadro 25 2D částečný výsuv 500mm/25kg EB21 PTO L</t>
  </si>
  <si>
    <t>9319338</t>
  </si>
  <si>
    <t>536071</t>
  </si>
  <si>
    <t>HETTICH 9319338 Quadro 25 2D částečný výsuv 500mm/25kg EB21 PTO P</t>
  </si>
  <si>
    <t>9319339</t>
  </si>
  <si>
    <t>536072</t>
  </si>
  <si>
    <t>HETTICH 9319339 Quadro 25 2D částečný výsuv 520mm/25kg EB21 PTO L</t>
  </si>
  <si>
    <t>9319340</t>
  </si>
  <si>
    <t>536073</t>
  </si>
  <si>
    <t>HETTICH 9319340 Quadro 25 2D částečný výsuv 520mm/25kg EB21 PTO P</t>
  </si>
  <si>
    <t>9319341</t>
  </si>
  <si>
    <t>536074</t>
  </si>
  <si>
    <t>HETTICH 9319341 Quadro 25 2D částečný výsuv 550mm/25kg EB21 PTO L</t>
  </si>
  <si>
    <t>9319342</t>
  </si>
  <si>
    <t>536075</t>
  </si>
  <si>
    <t>HETTICH 9319342 Quadro 25 2D částečný výsuv 550mm/25kg EB21 PTO P</t>
  </si>
  <si>
    <t>9319412</t>
  </si>
  <si>
    <t>536127</t>
  </si>
  <si>
    <t>HETTICH 9319412 Quadro 25 YOU částečný výsuv 270mm/25kg EB21 PTO L</t>
  </si>
  <si>
    <t>9319413</t>
  </si>
  <si>
    <t>536128</t>
  </si>
  <si>
    <t>HETTICH 9319413 Quadro 25 YOU částečný výsuv 270mm/25kg EB21 PTO P</t>
  </si>
  <si>
    <t>9319414</t>
  </si>
  <si>
    <t>536129</t>
  </si>
  <si>
    <t>HETTICH 9319414 Quadro 25 YOU částečný výsuv 300mm/25kg EB21 PTO L</t>
  </si>
  <si>
    <t>9319415</t>
  </si>
  <si>
    <t>536130</t>
  </si>
  <si>
    <t>HETTICH 9319415 Quadro 25 YOU částečný výsuv 300mm/25kg EB21 PTO P</t>
  </si>
  <si>
    <t>9319416</t>
  </si>
  <si>
    <t>536131</t>
  </si>
  <si>
    <t>HETTICH 9319416 Quadro 25 YOU částečný výsuv 320mm/25kg EB21 PTO L</t>
  </si>
  <si>
    <t>9319417</t>
  </si>
  <si>
    <t>536132</t>
  </si>
  <si>
    <t>HETTICH 9319417 Quadro 25 YOU částečný výsuv 320mm/25kg EB21 PTO P</t>
  </si>
  <si>
    <t>9319418</t>
  </si>
  <si>
    <t>536133</t>
  </si>
  <si>
    <t>HETTICH 9319418 Quadro 25 YOU částečný výsuv 350mm/25kg EB21 PTO L</t>
  </si>
  <si>
    <t>9319419</t>
  </si>
  <si>
    <t>536134</t>
  </si>
  <si>
    <t>HETTICH 9319419 Quadro 25 YOU částečný výsuv 350mm/25kg EB21 PTO P</t>
  </si>
  <si>
    <t>9319420</t>
  </si>
  <si>
    <t>536135</t>
  </si>
  <si>
    <t>HETTICH 9319420 Quadro 25 YOU částečný výsuv 380mm/25kg EB21 PTO L</t>
  </si>
  <si>
    <t>9319421</t>
  </si>
  <si>
    <t>536136</t>
  </si>
  <si>
    <t>HETTICH 9319421 Quadro 25 YOU částečný výsuv 380mm/25kg EB21 PTO P</t>
  </si>
  <si>
    <t>9319422</t>
  </si>
  <si>
    <t>536137</t>
  </si>
  <si>
    <t>HETTICH 9319422 Quadro 25 YOU částečný výsuv 400mm/25kg EB21 PTO L</t>
  </si>
  <si>
    <t>9319423</t>
  </si>
  <si>
    <t>536138</t>
  </si>
  <si>
    <t>HETTICH 9319423 Quadro 25 YOU částečný výsuv 400mm/25kg EB21 PTO P</t>
  </si>
  <si>
    <t>9319425</t>
  </si>
  <si>
    <t>536139</t>
  </si>
  <si>
    <t>HETTICH 9319425 Quadro 25 YOU částečný výsuv 420mm/25kg EB21 PTO L</t>
  </si>
  <si>
    <t>9319426</t>
  </si>
  <si>
    <t>536140</t>
  </si>
  <si>
    <t>HETTICH 9319426 Quadro 25 YOU částečný výsuv 420mm/25kg EB21 PTO P</t>
  </si>
  <si>
    <t>9319429</t>
  </si>
  <si>
    <t>536141</t>
  </si>
  <si>
    <t>HETTICH 9319429 Quadro 25 YOU částečný výsuv 450mm/25kg EB21 PTO L</t>
  </si>
  <si>
    <t>9319430</t>
  </si>
  <si>
    <t>536142</t>
  </si>
  <si>
    <t>HETTICH 9319430 Quadro 25 YOU částečný výsuv 450mm/25kg EB21 PTO P</t>
  </si>
  <si>
    <t>9319431</t>
  </si>
  <si>
    <t>536143</t>
  </si>
  <si>
    <t>HETTICH 9319431 Quadro 25 YOU částečný výsuv 480mm/25kg EB21 PTO L</t>
  </si>
  <si>
    <t>9319432</t>
  </si>
  <si>
    <t>536144</t>
  </si>
  <si>
    <t>HETTICH 9319432 Quadro 25 YOU částečný výsuv 480mm/25kg EB21 PTO P</t>
  </si>
  <si>
    <t>9319433</t>
  </si>
  <si>
    <t>536146</t>
  </si>
  <si>
    <t>HETTICH 9319433 Quadro 25 YOU částečný výsuv 500mm/25kg EB21 PTO L</t>
  </si>
  <si>
    <t>9319434</t>
  </si>
  <si>
    <t>536147</t>
  </si>
  <si>
    <t>HETTICH 9319434 Quadro 25 YOU částečný výsuv 500mm/25kg EB21 PTO P</t>
  </si>
  <si>
    <t>9319435</t>
  </si>
  <si>
    <t>536148</t>
  </si>
  <si>
    <t>HETTICH 9319435 Quadro 25 YOU částečný výsuv 520mm/25kg EB21 PTO L</t>
  </si>
  <si>
    <t>9319436</t>
  </si>
  <si>
    <t>536149</t>
  </si>
  <si>
    <t>HETTICH 9319436 Quadro 25 YOU částečný výsuv 520mm/25kg EB21 PTO P</t>
  </si>
  <si>
    <t>9319438</t>
  </si>
  <si>
    <t>536150</t>
  </si>
  <si>
    <t>HETTICH 9319438 Quadro 25 YOU částečný výsuv 550mm/25kg EB21 PTO L</t>
  </si>
  <si>
    <t>9319439</t>
  </si>
  <si>
    <t>536151</t>
  </si>
  <si>
    <t>HETTICH 9319439 Quadro 25 YOU částečný výsuv 550mm/25kg EB21 PTO P</t>
  </si>
  <si>
    <t>9319972</t>
  </si>
  <si>
    <t>492895</t>
  </si>
  <si>
    <t>HETTICH 9319972 příchyt soklu Korrekt, do drážky, pro plast a hliníkové lišty</t>
  </si>
  <si>
    <t>9320320</t>
  </si>
  <si>
    <t>518546</t>
  </si>
  <si>
    <t>HETTICH 9320320 sada spojek pro Actro YOU pro dřevěnou zásuvku L+P nová</t>
  </si>
  <si>
    <t>9320331</t>
  </si>
  <si>
    <t>518544</t>
  </si>
  <si>
    <t>HETTICH 9320331 spojka pro Actro YOU pro dřevěnou zásuvku L nová</t>
  </si>
  <si>
    <t>9320332</t>
  </si>
  <si>
    <t>518545</t>
  </si>
  <si>
    <t>HETTICH 9320332 spojka pro Actro YOU pro dřevěnou zásuvku P nová</t>
  </si>
  <si>
    <t>9320333</t>
  </si>
  <si>
    <t>517908</t>
  </si>
  <si>
    <t>HETTICH 9320333 Actro 5D čelní příchyt L+P nový</t>
  </si>
  <si>
    <t>9320334</t>
  </si>
  <si>
    <t>517628</t>
  </si>
  <si>
    <t>HETTICH 9320334 Actro 5D čelní příchyt L nový</t>
  </si>
  <si>
    <t>9320335</t>
  </si>
  <si>
    <t>517629</t>
  </si>
  <si>
    <t>HETTICH 9320335 Actro 5D čelní příchyt P nový</t>
  </si>
  <si>
    <t>9320612</t>
  </si>
  <si>
    <t>544537</t>
  </si>
  <si>
    <t>HETTICH 9320612 Actro 5D 250mm 40kg PTO L+P</t>
  </si>
  <si>
    <t>9320613</t>
  </si>
  <si>
    <t>544538</t>
  </si>
  <si>
    <t>HETTICH 9320613 Actro 5D 270mm 40kg PTO L+P</t>
  </si>
  <si>
    <t>9320614</t>
  </si>
  <si>
    <t>544539</t>
  </si>
  <si>
    <t>HETTICH 9320614 Actro 5D 300mm 40kg PTO L+P</t>
  </si>
  <si>
    <t>9320615</t>
  </si>
  <si>
    <t>544540</t>
  </si>
  <si>
    <t>HETTICH 9320615 Actro 5D 320mm 40kg PTO L+P</t>
  </si>
  <si>
    <t>9320616</t>
  </si>
  <si>
    <t>544541</t>
  </si>
  <si>
    <t>HETTICH 9320616 Actro 5D 350mm 40kg PTO L+P</t>
  </si>
  <si>
    <t>9320617</t>
  </si>
  <si>
    <t>544542</t>
  </si>
  <si>
    <t>HETTICH 9320617 Actro 5D 380mm 40kg PTO L+P</t>
  </si>
  <si>
    <t>9320618</t>
  </si>
  <si>
    <t>544543</t>
  </si>
  <si>
    <t>HETTICH 9320618 Actro 5D 400mm 40kg PTO L+P</t>
  </si>
  <si>
    <t>9320619</t>
  </si>
  <si>
    <t>544544</t>
  </si>
  <si>
    <t>HETTICH 9320619 Actro 5D 420mm 40kg PTO L+P</t>
  </si>
  <si>
    <t>9320620</t>
  </si>
  <si>
    <t>544545</t>
  </si>
  <si>
    <t>HETTICH 9320620 Actro 5D 450mm 40kg PTO L+P</t>
  </si>
  <si>
    <t>9320621</t>
  </si>
  <si>
    <t>544546</t>
  </si>
  <si>
    <t>HETTICH 9320621 Actro 5D 480mm 40kg PTO L+P</t>
  </si>
  <si>
    <t>9320622</t>
  </si>
  <si>
    <t>544547</t>
  </si>
  <si>
    <t>HETTICH 9320622 Actro 5D 500mm 40kg PTO L+P</t>
  </si>
  <si>
    <t>9320623</t>
  </si>
  <si>
    <t>544548</t>
  </si>
  <si>
    <t>HETTICH 9320623 Actro 5D 520mm 40kg PTO L+P</t>
  </si>
  <si>
    <t>9320624</t>
  </si>
  <si>
    <t>544549</t>
  </si>
  <si>
    <t>HETTICH 9320624 Actro 5D 550mm 40kg PTO L+P</t>
  </si>
  <si>
    <t>9320625</t>
  </si>
  <si>
    <t>544550</t>
  </si>
  <si>
    <t>HETTICH 9320625 Actro 5D 600mm 40kg PTO L+P</t>
  </si>
  <si>
    <t>9320626</t>
  </si>
  <si>
    <t>544551</t>
  </si>
  <si>
    <t>HETTICH 9320626 Actro 5D 450mm 70kg PTO L+P</t>
  </si>
  <si>
    <t>9320627</t>
  </si>
  <si>
    <t>544552</t>
  </si>
  <si>
    <t>HETTICH 9320627 Actro 5D 500mm 70kg PTO L+P</t>
  </si>
  <si>
    <t>9320628</t>
  </si>
  <si>
    <t>544553</t>
  </si>
  <si>
    <t>HETTICH 9320628 Actro 5D 520mm 70kg PTO L+P</t>
  </si>
  <si>
    <t>9320629</t>
  </si>
  <si>
    <t>544554</t>
  </si>
  <si>
    <t>HETTICH 9320629 Actro 5D 550mm 70kg PTO L+P</t>
  </si>
  <si>
    <t>9320630</t>
  </si>
  <si>
    <t>544555</t>
  </si>
  <si>
    <t>HETTICH 9320630 Actro 5D 580mm 70kg PTO L+P</t>
  </si>
  <si>
    <t>9320631</t>
  </si>
  <si>
    <t>544556</t>
  </si>
  <si>
    <t>HETTICH 9320631 Actro 5D 600mm 70kg PTO L+P</t>
  </si>
  <si>
    <t>9320632</t>
  </si>
  <si>
    <t>544557</t>
  </si>
  <si>
    <t>HETTICH 9320632 Actro 5D 650mm 70kg PTO L+P</t>
  </si>
  <si>
    <t>9320633</t>
  </si>
  <si>
    <t>544558</t>
  </si>
  <si>
    <t>HETTICH 9320633 Actro 5D 700mm 70kg PTO L+P</t>
  </si>
  <si>
    <t>9320634</t>
  </si>
  <si>
    <t>544559</t>
  </si>
  <si>
    <t>HETTICH 9320634 Actro 5D 750mm 70kg PTO L+P</t>
  </si>
  <si>
    <t>46700</t>
  </si>
  <si>
    <t>107685</t>
  </si>
  <si>
    <t>HETTICH 9321319/46700 Speciál. šroub 6,3x14 pro úchyt. NICA</t>
  </si>
  <si>
    <t>9321561</t>
  </si>
  <si>
    <t>226256</t>
  </si>
  <si>
    <t>HETTICH 9321561 stabilizátor čela pro ArciTech/AvanTech</t>
  </si>
  <si>
    <t>9323120</t>
  </si>
  <si>
    <t>506990</t>
  </si>
  <si>
    <t>HETTICH 9323120 TopLine 27 posuvné dveře sada pro 2 křídla s tlumením</t>
  </si>
  <si>
    <t>9323130</t>
  </si>
  <si>
    <t>506992</t>
  </si>
  <si>
    <t>HETTICH 9323130 TopLine 1 posuvné dveře sada pro 2 křídla s tlumením 75 kg</t>
  </si>
  <si>
    <t>9323131</t>
  </si>
  <si>
    <t>506991</t>
  </si>
  <si>
    <t>HETTICH 9323131 TopLine 1 posuvné dveře sada pro 2 křídla s tlumením 50 kg</t>
  </si>
  <si>
    <t>9323473</t>
  </si>
  <si>
    <t>536198</t>
  </si>
  <si>
    <t>HETTICH 9323473 BlueJig vrtací přípravek na spojky a C-hák pro Quadro 2D</t>
  </si>
  <si>
    <t>9325328</t>
  </si>
  <si>
    <t>464179</t>
  </si>
  <si>
    <t>HETTICH 9325328/9264627 Comfort Spin 360° otočná police 8kg</t>
  </si>
  <si>
    <t>9325329</t>
  </si>
  <si>
    <t>519863</t>
  </si>
  <si>
    <t>HETTICH 9325329 Comfortspin, otočná police, antracit</t>
  </si>
  <si>
    <t>9325364</t>
  </si>
  <si>
    <t>543606</t>
  </si>
  <si>
    <t>HETTICH 9325364 Úchytka Empoli L38/25 černá</t>
  </si>
  <si>
    <t>9325749</t>
  </si>
  <si>
    <t>537707</t>
  </si>
  <si>
    <t>HETTICH 9325749 Veosys závěs naložený nerez vrut TH52 SiSy tenké dvířko od 12mm</t>
  </si>
  <si>
    <t>9326873</t>
  </si>
  <si>
    <t>503212</t>
  </si>
  <si>
    <t>HETTICH 9326873 osvětlovací krycí profil pro AvanTech YOU 270mm vzhled nerez</t>
  </si>
  <si>
    <t>9326874</t>
  </si>
  <si>
    <t>503213</t>
  </si>
  <si>
    <t>HETTICH 9326874 osvětlovací krycí profil pro AvanTech YOU 300mm vzhled nerez</t>
  </si>
  <si>
    <t>9326875</t>
  </si>
  <si>
    <t>503214</t>
  </si>
  <si>
    <t>HETTICH 9326875 osvětlovací krycí profil pro AvanTech YOU 350mm vzhled nerez</t>
  </si>
  <si>
    <t>9326876</t>
  </si>
  <si>
    <t>503215</t>
  </si>
  <si>
    <t>HETTICH 9326876 osvětlovací krycí profil pro AvanTech YOU 400mm vzhled nerez</t>
  </si>
  <si>
    <t>9326877</t>
  </si>
  <si>
    <t>503216</t>
  </si>
  <si>
    <t>HETTICH 9326877 osvětlovací krycí profil pro AvanTech YOU 450mm vzhled nerez</t>
  </si>
  <si>
    <t>9326878</t>
  </si>
  <si>
    <t>503217</t>
  </si>
  <si>
    <t>HETTICH 9326878 osvětlovací krycí profil pro AvanTech YOU 500mm vzhled nerez</t>
  </si>
  <si>
    <t>9326879</t>
  </si>
  <si>
    <t>503218</t>
  </si>
  <si>
    <t>HETTICH 9326879 osvětlovací krycí profil pro AvanTech YOU 550mm vzhled nerez</t>
  </si>
  <si>
    <t>9326880</t>
  </si>
  <si>
    <t>503219</t>
  </si>
  <si>
    <t>HETTICH 9326880 osvětlovací krycí profil pro AvanTech YOU 600mm vzhled nerez</t>
  </si>
  <si>
    <t>9326921</t>
  </si>
  <si>
    <t>503220</t>
  </si>
  <si>
    <t>HETTICH 9326921 osvětlovací krycí profil pro AvanTech YOU 650mm vzhled nerez</t>
  </si>
  <si>
    <t>9326922</t>
  </si>
  <si>
    <t>503203</t>
  </si>
  <si>
    <t>HETTICH 9326922 osvětlovací krycí profil pro AvanTech YOU 270mm antracit</t>
  </si>
  <si>
    <t>9326923</t>
  </si>
  <si>
    <t>503204</t>
  </si>
  <si>
    <t>HETTICH 9326923 osvětlovací krycí profil pro AvanTech YOU 300mm antracit</t>
  </si>
  <si>
    <t>9326924</t>
  </si>
  <si>
    <t>503205</t>
  </si>
  <si>
    <t>HETTICH 9326924 osvětlovací krycí profil pro AvanTech YOU 350mm antracit</t>
  </si>
  <si>
    <t>9326925</t>
  </si>
  <si>
    <t>503206</t>
  </si>
  <si>
    <t>HETTICH 9326925 osvětlovací krycí profil pro AvanTech YOU 400mm antracit</t>
  </si>
  <si>
    <t>9326926</t>
  </si>
  <si>
    <t>503207</t>
  </si>
  <si>
    <t>HETTICH 9326926 osvětlovací krycí profil pro AvanTech YOU 450mm antracit</t>
  </si>
  <si>
    <t>9326927</t>
  </si>
  <si>
    <t>503208</t>
  </si>
  <si>
    <t>HETTICH 9326927 osvětlovací krycí profil pro AvanTech YOU 500mm antracit</t>
  </si>
  <si>
    <t>9326928</t>
  </si>
  <si>
    <t>503209</t>
  </si>
  <si>
    <t>HETTICH 9326928 osvětlovací krycí profil pro AvanTech YOU 550mm antracit</t>
  </si>
  <si>
    <t>9326929</t>
  </si>
  <si>
    <t>503210</t>
  </si>
  <si>
    <t>HETTICH 9326929 osvětlovací krycí profil pro AvanTech YOU 600mm antracit</t>
  </si>
  <si>
    <t>9326930</t>
  </si>
  <si>
    <t>503211</t>
  </si>
  <si>
    <t>HETTICH 9326930 osvětlovací krycí profil pro AvanTech YOU 650mm antracit</t>
  </si>
  <si>
    <t>538091</t>
  </si>
  <si>
    <t>HETTICH 9327202 AvanTech You čelo vnitřní zásuvky H101/2000 stříbrná pro LED</t>
  </si>
  <si>
    <t>538093</t>
  </si>
  <si>
    <t>HETTICH 9327203 AvanTech You čelo vnitřní zásuvky H139/2000 stříbrná pro LED</t>
  </si>
  <si>
    <t>538095</t>
  </si>
  <si>
    <t>HETTICH 9327204 AvanTech You čelo vnitřní zásuvky H187/2000 stříbrná pro LED</t>
  </si>
  <si>
    <t>9327208</t>
  </si>
  <si>
    <t>538090</t>
  </si>
  <si>
    <t>HETTICH 9327208 AvanTech You čelo vnitřní zásuvky H101/2000 antracit pro LED</t>
  </si>
  <si>
    <t>9327209</t>
  </si>
  <si>
    <t>538092</t>
  </si>
  <si>
    <t>HETTICH 9327209 AvanTech You čelo vnitřní zásuvky H139/2000 antracit pro LED</t>
  </si>
  <si>
    <t>9327210</t>
  </si>
  <si>
    <t>538094</t>
  </si>
  <si>
    <t>HETTICH 9327210 AvanTech You čelo vnitřní zásuvky H187/2000 antracit pro LED</t>
  </si>
  <si>
    <t>538097</t>
  </si>
  <si>
    <t>HETTICH 9327211 AvanTech You spojky čela vnitř. zás. boky+čelo H101 stříbrná LED</t>
  </si>
  <si>
    <t>538099</t>
  </si>
  <si>
    <t>HETTICH 9327212 AvanTech You spojky čela vnitř. zás. boky+čelo H139 stříbrná LED</t>
  </si>
  <si>
    <t>538101</t>
  </si>
  <si>
    <t>HETTICH 9327213 AvanTech You spojky čela vnitř. zás. boky+čelo H187 stříbrná LED</t>
  </si>
  <si>
    <t>9327217</t>
  </si>
  <si>
    <t>538096</t>
  </si>
  <si>
    <t>HETTICH 9327217 AvanTech You spojky čela vnitř. zás. boky+čelo H101 antracit LED</t>
  </si>
  <si>
    <t>9327218</t>
  </si>
  <si>
    <t>538098</t>
  </si>
  <si>
    <t>HETTICH 9327218 AvanTech You spojky čela vnitř. zás. boky+čelo H139 antracit LED</t>
  </si>
  <si>
    <t>9327219</t>
  </si>
  <si>
    <t>538100</t>
  </si>
  <si>
    <t>HETTICH 9327219 AvanTech You spojky čela vnitř. zás. boky+čelo H187 antracit LED</t>
  </si>
  <si>
    <t>538109</t>
  </si>
  <si>
    <t>HETTICH 9327220 AvanTech You spojky čela vnitř. zás. boky+sklo H187 stříbrná LED</t>
  </si>
  <si>
    <t>538108</t>
  </si>
  <si>
    <t>HETTICH 9327222 AvanTech You spojky čela vnitř. zás. boky+sklo H187 antracit LED</t>
  </si>
  <si>
    <t>538103</t>
  </si>
  <si>
    <t>HETTICH 9327223 AvanTech You koncovka čela vnitřní zásuvky H101 stříbrná pro LED</t>
  </si>
  <si>
    <t>538105</t>
  </si>
  <si>
    <t>HETTICH 9327224 AvanTech You koncovka čela vnitřní zásuvky H139 stříbrná pro LED</t>
  </si>
  <si>
    <t>538107</t>
  </si>
  <si>
    <t>HETTICH 9327225 AvanTech You koncovka čela vnitřní zásuvky H187 stříbrná pro LED</t>
  </si>
  <si>
    <t>538102</t>
  </si>
  <si>
    <t>HETTICH 9327229 AvanTech You koncovka čela vnitřní zásuvky H101 antracit pro LED</t>
  </si>
  <si>
    <t>538104</t>
  </si>
  <si>
    <t>HETTICH 9327230 AvanTech You koncovka čela vnitřní zásuvky H139 antracit pro LED</t>
  </si>
  <si>
    <t>538106</t>
  </si>
  <si>
    <t>HETTICH 9327231 AvanTech You koncovka čela vnitřní zásuvky H187 antracit pro LED</t>
  </si>
  <si>
    <t>9327413</t>
  </si>
  <si>
    <t>536176</t>
  </si>
  <si>
    <t>HETTICH 9327413 dvojitý synchronizační adaptér typ C pro Quadro 25 2D/YOU PTO</t>
  </si>
  <si>
    <t>9327899</t>
  </si>
  <si>
    <t>545380</t>
  </si>
  <si>
    <t>HETTICH 9327899 SAH krytka levá plast antracit</t>
  </si>
  <si>
    <t>9327900</t>
  </si>
  <si>
    <t>545381</t>
  </si>
  <si>
    <t>HETTICH 9327900 SAH krytka pravá plast antracit</t>
  </si>
  <si>
    <t>9329098</t>
  </si>
  <si>
    <t>518445</t>
  </si>
  <si>
    <t>HETTICH 9329098 MultiTech doplňkový tlumič dotahu SiSy</t>
  </si>
  <si>
    <t>9329162</t>
  </si>
  <si>
    <t>536100</t>
  </si>
  <si>
    <t>HETTICH 9329162 spojka 2D pro Quadro V6 5D / Quadro 25 2D L</t>
  </si>
  <si>
    <t>9329163</t>
  </si>
  <si>
    <t>536101</t>
  </si>
  <si>
    <t>HETTICH 9329163 spojka 2D pro Quadro V6 5D / Quadro 25 2D P</t>
  </si>
  <si>
    <t>9329164</t>
  </si>
  <si>
    <t>536102</t>
  </si>
  <si>
    <t>HETTICH 9329164 spojka 2D pro Quadro V6 5D / Quadro 25 2D L+P</t>
  </si>
  <si>
    <t>9332629</t>
  </si>
  <si>
    <t>535959</t>
  </si>
  <si>
    <t>HETTICH 9332629 Quadro V6 5D plnovýsuv 250mm/10kg EB21 SiSy L</t>
  </si>
  <si>
    <t>9332630</t>
  </si>
  <si>
    <t>535960</t>
  </si>
  <si>
    <t>HETTICH 9332630 Quadro V6 5D plnovýsuv 250mm/10kg EB21 SiSy P</t>
  </si>
  <si>
    <t>9332631</t>
  </si>
  <si>
    <t>535961</t>
  </si>
  <si>
    <t>HETTICH 9332631 Quadro V6 5D plnovýsuv 270mm/10kg EB21 SiSy L</t>
  </si>
  <si>
    <t>9332632</t>
  </si>
  <si>
    <t>535962</t>
  </si>
  <si>
    <t>HETTICH 9332632 Quadro V6 5D plnovýsuv 270mm/10kg EB21 SiSy P</t>
  </si>
  <si>
    <t>9332633</t>
  </si>
  <si>
    <t>535963</t>
  </si>
  <si>
    <t>HETTICH 9332633 Quadro V6 5D plnovýsuv 300mm/10kg EB21 SiSy L</t>
  </si>
  <si>
    <t>9332634</t>
  </si>
  <si>
    <t>535964</t>
  </si>
  <si>
    <t>HETTICH 9332634 Quadro V6 5D plnovýsuv 300mm/10kg EB21 SiSy P</t>
  </si>
  <si>
    <t>9332635</t>
  </si>
  <si>
    <t>535965</t>
  </si>
  <si>
    <t>HETTICH 9332635 Quadro V6 5D plnovýsuv 320mm/10kg EB21 SiSy L</t>
  </si>
  <si>
    <t>9332636</t>
  </si>
  <si>
    <t>535966</t>
  </si>
  <si>
    <t>HETTICH 9332636 Quadro V6 5D plnovýsuv 320mm/10kg EB21 SiSy P</t>
  </si>
  <si>
    <t>9332637</t>
  </si>
  <si>
    <t>535967</t>
  </si>
  <si>
    <t>HETTICH 9332637 Quadro V6 5D plnovýsuv 350mm/10kg EB21 SiSy L</t>
  </si>
  <si>
    <t>9332638</t>
  </si>
  <si>
    <t>535968</t>
  </si>
  <si>
    <t>HETTICH 9332638 Quadro V6 5D plnovýsuv 350mm/10kg EB21 SiSy P</t>
  </si>
  <si>
    <t>9332639</t>
  </si>
  <si>
    <t>535969</t>
  </si>
  <si>
    <t>HETTICH 9332639 Quadro V6 5D plnovýsuv 250mm/30kg EB21 SiSy L</t>
  </si>
  <si>
    <t>9332640</t>
  </si>
  <si>
    <t>535970</t>
  </si>
  <si>
    <t>HETTICH 9332640 Quadro V6 5D plnovýsuv 250mm/30kg EB21 SiSy P</t>
  </si>
  <si>
    <t>9332641</t>
  </si>
  <si>
    <t>535971</t>
  </si>
  <si>
    <t>HETTICH 9332641 Quadro V6 5D plnovýsuv 270mm/30kg EB21 SiSy L</t>
  </si>
  <si>
    <t>9332642</t>
  </si>
  <si>
    <t>535973</t>
  </si>
  <si>
    <t>HETTICH 9332642 Quadro V6 5D plnovýsuv 270mm/30kg EB21 SiSy P</t>
  </si>
  <si>
    <t>9332643</t>
  </si>
  <si>
    <t>535974</t>
  </si>
  <si>
    <t>HETTICH 9332643 Quadro V6 5D plnovýsuv 300mm/30kg EB21 SiSy L</t>
  </si>
  <si>
    <t>9332644</t>
  </si>
  <si>
    <t>535975</t>
  </si>
  <si>
    <t>HETTICH 9332644 Quadro V6 5D plnovýsuv 300mm/30kg EB21 SiSy P</t>
  </si>
  <si>
    <t>9332645</t>
  </si>
  <si>
    <t>535976</t>
  </si>
  <si>
    <t>HETTICH 9332645 Quadro V6 5D plnovýsuv 320mm/30kg EB21 SiSy L</t>
  </si>
  <si>
    <t>9332646</t>
  </si>
  <si>
    <t>535977</t>
  </si>
  <si>
    <t>HETTICH 9332646 Quadro V6 5D plnovýsuv 320mm/30kg EB21 SiSy P</t>
  </si>
  <si>
    <t>9332647</t>
  </si>
  <si>
    <t>535978</t>
  </si>
  <si>
    <t>HETTICH 9332647 Quadro V6 5D plnovýsuv 350mm/30kg EB21 SiSy L</t>
  </si>
  <si>
    <t>9332648</t>
  </si>
  <si>
    <t>535979</t>
  </si>
  <si>
    <t>HETTICH 9332648 Quadro V6 5D plnovýsuv 350mm/30kg EB21 SiSy P</t>
  </si>
  <si>
    <t>9332649</t>
  </si>
  <si>
    <t>535980</t>
  </si>
  <si>
    <t>HETTICH 9332649 Quadro V6 5D plnovýsuv 380mm/30kg EB21 SiSy L</t>
  </si>
  <si>
    <t>9332650</t>
  </si>
  <si>
    <t>535981</t>
  </si>
  <si>
    <t>HETTICH 9332650 Quadro V6 5D plnovýsuv 380mm/30kg EB21 SiSy P</t>
  </si>
  <si>
    <t>9332651</t>
  </si>
  <si>
    <t>535982</t>
  </si>
  <si>
    <t>HETTICH 9332651 Quadro V6 5D plnovýsuv 400mm/30kg EB21 SiSy L</t>
  </si>
  <si>
    <t>9332652</t>
  </si>
  <si>
    <t>535983</t>
  </si>
  <si>
    <t>HETTICH 9332652 Quadro V6 5D plnovýsuv 400mm/30kg EB21 SiSy P</t>
  </si>
  <si>
    <t>9332653</t>
  </si>
  <si>
    <t>535984</t>
  </si>
  <si>
    <t>HETTICH 9332653 Quadro V6 5D plnovýsuv 420mm/30kg EB21 SiSy L</t>
  </si>
  <si>
    <t>9332654</t>
  </si>
  <si>
    <t>535985</t>
  </si>
  <si>
    <t>HETTICH 9332654 Quadro V6 5D plnovýsuv 420mm/30kg EB21 SiSy P</t>
  </si>
  <si>
    <t>9332655</t>
  </si>
  <si>
    <t>535986</t>
  </si>
  <si>
    <t>HETTICH 9332655 Quadro V6 5D plnovýsuv 450mm/30kg EB21 SiSy L</t>
  </si>
  <si>
    <t>9332656</t>
  </si>
  <si>
    <t>535987</t>
  </si>
  <si>
    <t>HETTICH 9332656 Quadro V6 5D plnovýsuv 450mm/30kg EB21 SiSy P</t>
  </si>
  <si>
    <t>9332657</t>
  </si>
  <si>
    <t>535988</t>
  </si>
  <si>
    <t>HETTICH 9332657 Quadro V6 5D plnovýsuv 480mm/30kg EB21 SiSy L</t>
  </si>
  <si>
    <t>9332658</t>
  </si>
  <si>
    <t>535989</t>
  </si>
  <si>
    <t>HETTICH 9332658 Quadro V6 5D plnovýsuv 480mm/30kg EB21 SiSy P</t>
  </si>
  <si>
    <t>9332659</t>
  </si>
  <si>
    <t>535990</t>
  </si>
  <si>
    <t>HETTICH 9332659 Quadro V6 5D plnovýsuv 500mm/30kg EB21 SiSy L</t>
  </si>
  <si>
    <t>9332660</t>
  </si>
  <si>
    <t>535991</t>
  </si>
  <si>
    <t>HETTICH 9332660 Quadro V6 5D plnovýsuv 500mm/30kg EB21 SiSy P</t>
  </si>
  <si>
    <t>9332661</t>
  </si>
  <si>
    <t>535992</t>
  </si>
  <si>
    <t>HETTICH 9332661 Quadro V6 5D plnovýsuv 520mm/30kg EB21 SiSy L</t>
  </si>
  <si>
    <t>9332662</t>
  </si>
  <si>
    <t>535993</t>
  </si>
  <si>
    <t>HETTICH 9332662 Quadro V6 5D plnovýsuv 520mm/30kg EB21 SiSy P</t>
  </si>
  <si>
    <t>9332663</t>
  </si>
  <si>
    <t>535994</t>
  </si>
  <si>
    <t>HETTICH 9332663 Quadro V6 5D plnovýsuv 550mm/30kg EB21 SiSy L</t>
  </si>
  <si>
    <t>9332664</t>
  </si>
  <si>
    <t>535995</t>
  </si>
  <si>
    <t>HETTICH 9332664 Quadro V6 5D plnovýsuv 550mm/30kg EB21 SiSy P</t>
  </si>
  <si>
    <t>9332665</t>
  </si>
  <si>
    <t>535996</t>
  </si>
  <si>
    <t>HETTICH 9332665 Quadro V6 5D plnovýsuv 580mm/30kg EB21 SiSy L</t>
  </si>
  <si>
    <t>9332666</t>
  </si>
  <si>
    <t>535997</t>
  </si>
  <si>
    <t>HETTICH 9332666 Quadro V6 5D plnovýsuv 580mm/30kg EB21 SiSy P</t>
  </si>
  <si>
    <t>9332667</t>
  </si>
  <si>
    <t>535998</t>
  </si>
  <si>
    <t>HETTICH 9332667 Quadro V6 5D plnovýsuv 600mm/30kg EB21 SiSy L</t>
  </si>
  <si>
    <t>9332668</t>
  </si>
  <si>
    <t>535999</t>
  </si>
  <si>
    <t>HETTICH 9332668 Quadro V6 5D plnovýsuv 600mm/30kg EB21 SiSy P</t>
  </si>
  <si>
    <t>9332669</t>
  </si>
  <si>
    <t>536000</t>
  </si>
  <si>
    <t>HETTICH 9332669 Quadro V6 5D plnovýsuv 250mm/30kg EB21 PTO L</t>
  </si>
  <si>
    <t>9332670</t>
  </si>
  <si>
    <t>536001</t>
  </si>
  <si>
    <t>HETTICH 9332670 Quadro V6 5D plnovýsuv 250mm/30kg EB21 PTO P</t>
  </si>
  <si>
    <t>9332671</t>
  </si>
  <si>
    <t>536002</t>
  </si>
  <si>
    <t>HETTICH 9332671 Quadro V6 5D plnovýsuv 300mm/30kg EB21 PTO L</t>
  </si>
  <si>
    <t>9332672</t>
  </si>
  <si>
    <t>536003</t>
  </si>
  <si>
    <t>HETTICH 9332672 Quadro V6 5D plnovýsuv 300mm/30kg EB21 PTO P</t>
  </si>
  <si>
    <t>9332673</t>
  </si>
  <si>
    <t>536004</t>
  </si>
  <si>
    <t>HETTICH 9332673 Quadro V6 5D plnovýsuv 320mm/30kg EB21 PTO L</t>
  </si>
  <si>
    <t>9332674</t>
  </si>
  <si>
    <t>536005</t>
  </si>
  <si>
    <t>HETTICH 9332674 Quadro V6 5D plnovýsuv 320mm/30kg EB21 PTO P</t>
  </si>
  <si>
    <t>9332675</t>
  </si>
  <si>
    <t>536006</t>
  </si>
  <si>
    <t>HETTICH 9332675 Quadro V6 5D plnovýsuv 350mm/30kg EB21 PTO L</t>
  </si>
  <si>
    <t>9332676</t>
  </si>
  <si>
    <t>536007</t>
  </si>
  <si>
    <t>HETTICH 9332676 Quadro V6 5D plnovýsuv 350mm/30kg EB21 PTO P</t>
  </si>
  <si>
    <t>9332677</t>
  </si>
  <si>
    <t>536008</t>
  </si>
  <si>
    <t>HETTICH 9332677 Quadro V6 5D plnovýsuv 380mm/30kg EB21 PTO L</t>
  </si>
  <si>
    <t>9332678</t>
  </si>
  <si>
    <t>536009</t>
  </si>
  <si>
    <t>HETTICH 9332678 Quadro V6 5D plnovýsuv 380mm/30kg EB21 PTO P</t>
  </si>
  <si>
    <t>9332679</t>
  </si>
  <si>
    <t>536010</t>
  </si>
  <si>
    <t>HETTICH 9332679 Quadro V6 5D plnovýsuv 400mm/30kg EB21 PTO L</t>
  </si>
  <si>
    <t>9332680</t>
  </si>
  <si>
    <t>536011</t>
  </si>
  <si>
    <t>HETTICH 9332680 Quadro V6 5D plnovýsuv 400mm/30kg EB21 PTO P</t>
  </si>
  <si>
    <t>9332681</t>
  </si>
  <si>
    <t>536012</t>
  </si>
  <si>
    <t>HETTICH 9332681 Quadro V6 5D plnovýsuv 420mm/30kg EB21 PTO L</t>
  </si>
  <si>
    <t>9332682</t>
  </si>
  <si>
    <t>536013</t>
  </si>
  <si>
    <t>HETTICH 9332682 Quadro V6 5D plnovýsuv 420mm/30kg EB21 PTO P</t>
  </si>
  <si>
    <t>9332683</t>
  </si>
  <si>
    <t>536014</t>
  </si>
  <si>
    <t>HETTICH 9332683 Quadro V6 5D plnovýsuv 450mm/30kg EB21 PTO L</t>
  </si>
  <si>
    <t>9332684</t>
  </si>
  <si>
    <t>536015</t>
  </si>
  <si>
    <t>HETTICH 9332684 Quadro V6 5D plnovýsuv 450mm/30kg EB21 PTO P</t>
  </si>
  <si>
    <t>9332685</t>
  </si>
  <si>
    <t>536016</t>
  </si>
  <si>
    <t>HETTICH 9332685 Quadro V6 5D plnovýsuv 480mm/30kg EB21 PTO L</t>
  </si>
  <si>
    <t>9332686</t>
  </si>
  <si>
    <t>536017</t>
  </si>
  <si>
    <t>HETTICH 9332686 Quadro V6 5D plnovýsuv 480mm/30kg EB21 PTO P</t>
  </si>
  <si>
    <t>9332687</t>
  </si>
  <si>
    <t>536018</t>
  </si>
  <si>
    <t>HETTICH 9332687 Quadro V6 5D plnovýsuv 500mm/30kg EB21 PTO L</t>
  </si>
  <si>
    <t>9332688</t>
  </si>
  <si>
    <t>536019</t>
  </si>
  <si>
    <t>HETTICH 9332688 Quadro V6 5D plnovýsuv 500mm/30kg EB21 PTO P</t>
  </si>
  <si>
    <t>9332689</t>
  </si>
  <si>
    <t>536020</t>
  </si>
  <si>
    <t>HETTICH 9332689 Quadro V6 5D plnovýsuv 520mm/30kg EB21 PTO L</t>
  </si>
  <si>
    <t>9332690</t>
  </si>
  <si>
    <t>536021</t>
  </si>
  <si>
    <t>HETTICH 9332690 Quadro V6 5D plnovýsuv 520mm/30kg EB21 PTO P</t>
  </si>
  <si>
    <t>9332691</t>
  </si>
  <si>
    <t>536022</t>
  </si>
  <si>
    <t>HETTICH 9332691 Quadro V6 5D plnovýsuv 550mm/30kg EB21 PTO L</t>
  </si>
  <si>
    <t>9332692</t>
  </si>
  <si>
    <t>536023</t>
  </si>
  <si>
    <t>HETTICH 9332692 Quadro V6 5D plnovýsuv 550mm/30kg EB21 PTO P</t>
  </si>
  <si>
    <t>9332693</t>
  </si>
  <si>
    <t>536024</t>
  </si>
  <si>
    <t>HETTICH 9332693 Quadro V6 5D plnovýsuv 580mm/30kg EB21 PTO L</t>
  </si>
  <si>
    <t>9332694</t>
  </si>
  <si>
    <t>536025</t>
  </si>
  <si>
    <t>HETTICH 9332694 Quadro V6 5D plnovýsuv 580mm/30kg EB21 PTO P</t>
  </si>
  <si>
    <t>9332695</t>
  </si>
  <si>
    <t>536026</t>
  </si>
  <si>
    <t>HETTICH 9332695 Quadro V6 5D plnovýsuv 600mm/30kg EB21 PTO L</t>
  </si>
  <si>
    <t>9332696</t>
  </si>
  <si>
    <t>536027</t>
  </si>
  <si>
    <t>HETTICH 9332696 Quadro V6 5D plnovýsuv 600mm/30kg EB21 PTO P</t>
  </si>
  <si>
    <t>9332697</t>
  </si>
  <si>
    <t>535925</t>
  </si>
  <si>
    <t>HETTICH 9332697 Quadro V6 5D plnovýsuv 250mm/10kg EB21 SiSy L+P</t>
  </si>
  <si>
    <t>9332698</t>
  </si>
  <si>
    <t>535926</t>
  </si>
  <si>
    <t>HETTICH 9332698 Quadro V6 5D plnovýsuv 270mm/10kg EB21 SiSy L+P</t>
  </si>
  <si>
    <t>9332699</t>
  </si>
  <si>
    <t>535927</t>
  </si>
  <si>
    <t>HETTICH 9332699 Quadro V6 5D plnovýsuv 300mm/10kg EB21 SiSy L+P</t>
  </si>
  <si>
    <t>9332700</t>
  </si>
  <si>
    <t>535928</t>
  </si>
  <si>
    <t>HETTICH 9332700 Quadro V6 5D plnovýsuv 320mm/10kg EB21 SiSy L+P</t>
  </si>
  <si>
    <t>9332701</t>
  </si>
  <si>
    <t>535929</t>
  </si>
  <si>
    <t>HETTICH 9332701 Quadro V6 5D plnovýsuv 350mm/10kg EB21 SiSy L+P</t>
  </si>
  <si>
    <t>9332702</t>
  </si>
  <si>
    <t>535930</t>
  </si>
  <si>
    <t>HETTICH 9332702 Quadro V6 5D plnovýsuv 250mm/30kg EB21 SiSy L+P</t>
  </si>
  <si>
    <t>9332703</t>
  </si>
  <si>
    <t>535931</t>
  </si>
  <si>
    <t>HETTICH 9332703 Quadro V6 5D plnovýsuv 270mm/30kg EB21 SiSy L+P</t>
  </si>
  <si>
    <t>9332704</t>
  </si>
  <si>
    <t>535932</t>
  </si>
  <si>
    <t>HETTICH 9332704 Quadro V6 5D plnovýsuv 300mm/30kg EB21 SiSy L+P</t>
  </si>
  <si>
    <t>9332705</t>
  </si>
  <si>
    <t>535933</t>
  </si>
  <si>
    <t>HETTICH 9332705 Quadro V6 5D plnovýsuv 320mm/30kg EB21 SiSy L+P</t>
  </si>
  <si>
    <t>9332706</t>
  </si>
  <si>
    <t>535934</t>
  </si>
  <si>
    <t>HETTICH 9332706 Quadro V6 5D plnovýsuv 350mm/30kg EB21 SiSy L+P</t>
  </si>
  <si>
    <t>9332707</t>
  </si>
  <si>
    <t>535935</t>
  </si>
  <si>
    <t>HETTICH 9332707 Quadro V6 5D plnovýsuv 380mm/30kg EB21 SiSy L+P</t>
  </si>
  <si>
    <t>9332708</t>
  </si>
  <si>
    <t>535936</t>
  </si>
  <si>
    <t>HETTICH 9332708 Quadro V6 5D plnovýsuv 400mm/30kg EB21 SiSy L+P</t>
  </si>
  <si>
    <t>9332709</t>
  </si>
  <si>
    <t>535937</t>
  </si>
  <si>
    <t>HETTICH 9332709 Quadro V6 5D plnovýsuv 420mm/30kg EB21 SiSy L+P</t>
  </si>
  <si>
    <t>9332710</t>
  </si>
  <si>
    <t>535938</t>
  </si>
  <si>
    <t>HETTICH 9332710 Quadro V6 5D plnovýsuv 450mm/30kg EB21 SiSy L+P</t>
  </si>
  <si>
    <t>9332711</t>
  </si>
  <si>
    <t>535939</t>
  </si>
  <si>
    <t>HETTICH 9332711 Quadro V6 5D plnovýsuv 480mm/30kg EB21 SiSy L+P</t>
  </si>
  <si>
    <t>9332712</t>
  </si>
  <si>
    <t>535940</t>
  </si>
  <si>
    <t>HETTICH 9332712 Quadro V6 5D plnovýsuv 500mm/30kg EB21 SiSy L+P</t>
  </si>
  <si>
    <t>9332713</t>
  </si>
  <si>
    <t>535941</t>
  </si>
  <si>
    <t>HETTICH 9332713 Quadro V6 5D plnovýsuv 520mm/30kg EB21 SiSy L+P</t>
  </si>
  <si>
    <t>9332714</t>
  </si>
  <si>
    <t>535942</t>
  </si>
  <si>
    <t>HETTICH 9332714 Quadro V6 5D plnovýsuv 550mm/30kg EB21 SiSy L+P</t>
  </si>
  <si>
    <t>9332715</t>
  </si>
  <si>
    <t>535943</t>
  </si>
  <si>
    <t>HETTICH 9332715 Quadro V6 5D plnovýsuv 580mm/30kg EB21 SiSy L+P</t>
  </si>
  <si>
    <t>9332716</t>
  </si>
  <si>
    <t>535944</t>
  </si>
  <si>
    <t>HETTICH 9332716 Quadro V6 5D plnovýsuv 600mm/30kg EB21 SiSy L+P</t>
  </si>
  <si>
    <t>9332717</t>
  </si>
  <si>
    <t>535945</t>
  </si>
  <si>
    <t>HETTICH 9332717 Quadro V6 5D plnovýsuv 250mm/30kg EB21 PTO L+P</t>
  </si>
  <si>
    <t>9332718</t>
  </si>
  <si>
    <t>535946</t>
  </si>
  <si>
    <t>HETTICH 9332718 Quadro V6 5D plnovýsuv 300mm/30kg EB21 PTO L+P</t>
  </si>
  <si>
    <t>9332719</t>
  </si>
  <si>
    <t>535947</t>
  </si>
  <si>
    <t>HETTICH 9332719 Quadro V6 5D plnovýsuv 320mm/30kg EB21 PTO L+P</t>
  </si>
  <si>
    <t>9332720</t>
  </si>
  <si>
    <t>535948</t>
  </si>
  <si>
    <t>HETTICH 9332720 Quadro V6 5D plnovýsuv 350mm/30kg EB21 PTO L+P</t>
  </si>
  <si>
    <t>9332721</t>
  </si>
  <si>
    <t>535949</t>
  </si>
  <si>
    <t>HETTICH 9332721 Quadro V6 5D plnovýsuv 380mm/30kg EB21 PTO L+P</t>
  </si>
  <si>
    <t>9332722</t>
  </si>
  <si>
    <t>535950</t>
  </si>
  <si>
    <t>HETTICH 9332722 Quadro V6 5D plnovýsuv 400mm/30kg EB21 PTO L+P</t>
  </si>
  <si>
    <t>9332723</t>
  </si>
  <si>
    <t>535951</t>
  </si>
  <si>
    <t>HETTICH 9332723 Quadro V6 5D plnovýsuv 420mm/30kg EB21 PTO L+P</t>
  </si>
  <si>
    <t>9332724</t>
  </si>
  <si>
    <t>535952</t>
  </si>
  <si>
    <t>HETTICH 9332724 Quadro V6 5D plnovýsuv 450mm/30kg EB21 PTO L+P</t>
  </si>
  <si>
    <t>9332725</t>
  </si>
  <si>
    <t>535953</t>
  </si>
  <si>
    <t>HETTICH 9332725 Quadro V6 5D plnovýsuv 480mm/30kg EB21 PTO L+P</t>
  </si>
  <si>
    <t>9332726</t>
  </si>
  <si>
    <t>535954</t>
  </si>
  <si>
    <t>HETTICH 9332726 Quadro V6 5D plnovýsuv 500mm/30kg EB21 PTO L+P</t>
  </si>
  <si>
    <t>9332727</t>
  </si>
  <si>
    <t>535955</t>
  </si>
  <si>
    <t>HETTICH 9332727 Quadro V6 5D plnovýsuv 520mm/30kg EB21 PTO L+P</t>
  </si>
  <si>
    <t>9332728</t>
  </si>
  <si>
    <t>535956</t>
  </si>
  <si>
    <t>HETTICH 9332728 Quadro V6 5D plnovýsuv 550mm/30kg EB21 PTO L+P</t>
  </si>
  <si>
    <t>9332729</t>
  </si>
  <si>
    <t>535957</t>
  </si>
  <si>
    <t>HETTICH 9332729 Quadro V6 5D plnovýsuv 580mm/30kg EB21 PTO L+P</t>
  </si>
  <si>
    <t>9332730</t>
  </si>
  <si>
    <t>535958</t>
  </si>
  <si>
    <t>HETTICH 9332730 Quadro V6 5D plnovýsuv 600mm/30kg EB21 PTO L+P</t>
  </si>
  <si>
    <t>9333175</t>
  </si>
  <si>
    <t>536152</t>
  </si>
  <si>
    <t>HETTICH 9333175 Quadro 25 YOU částečný výsuv 270mm/25kg EB21 SiSy L+P</t>
  </si>
  <si>
    <t>9333176</t>
  </si>
  <si>
    <t>536153</t>
  </si>
  <si>
    <t>HETTICH 9333176 Quadro 25 YOU částečný výsuv 300mm/25kg EB21 SiSy L+P</t>
  </si>
  <si>
    <t>9333177</t>
  </si>
  <si>
    <t>536154</t>
  </si>
  <si>
    <t>HETTICH 9333177 Quadro 25 YOU částečný výsuv 320mm/25kg EB21 SiSy L+P</t>
  </si>
  <si>
    <t>9333178</t>
  </si>
  <si>
    <t>536155</t>
  </si>
  <si>
    <t>HETTICH 9333178 Quadro 25 YOU částečný výsuv 350mm/25kg EB21 SiSy L+P</t>
  </si>
  <si>
    <t>9333179</t>
  </si>
  <si>
    <t>536156</t>
  </si>
  <si>
    <t>HETTICH 9333179 Quadro 25 YOU částečný výsuv 380mm/25kg EB21 SiSy L+P</t>
  </si>
  <si>
    <t>9333180</t>
  </si>
  <si>
    <t>536157</t>
  </si>
  <si>
    <t>HETTICH 9333180 Quadro 25 YOU částečný výsuv 400mm/25kg EB21 SiSy L+P</t>
  </si>
  <si>
    <t>9333181</t>
  </si>
  <si>
    <t>536158</t>
  </si>
  <si>
    <t>HETTICH 9333181 Quadro 25 YOU částečný výsuv 420mm/25kg EB21 SiSy L+P</t>
  </si>
  <si>
    <t>9333182</t>
  </si>
  <si>
    <t>536159</t>
  </si>
  <si>
    <t>HETTICH 9333182 Quadro 25 YOU částečný výsuv 450mm/25kg EB21 SiSy L+P</t>
  </si>
  <si>
    <t>9333183</t>
  </si>
  <si>
    <t>536160</t>
  </si>
  <si>
    <t>HETTICH 9333183 Quadro 25 YOU částečný výsuv 480mm/25kg EB21 SiSy L+P</t>
  </si>
  <si>
    <t>9333185</t>
  </si>
  <si>
    <t>536161</t>
  </si>
  <si>
    <t>HETTICH 9333185 Quadro 25 YOU částečný výsuv 500mm/25kg EB21 SiSy L+P</t>
  </si>
  <si>
    <t>9333186</t>
  </si>
  <si>
    <t>536162</t>
  </si>
  <si>
    <t>HETTICH 9333186 Quadro 25 YOU částečný výsuv 520mm/25kg EB21 SiSy L+P</t>
  </si>
  <si>
    <t>9333187</t>
  </si>
  <si>
    <t>536163</t>
  </si>
  <si>
    <t>HETTICH 9333187 Quadro 25 YOU částečný výsuv 550mm/25kg EB21 SiSy L+P</t>
  </si>
  <si>
    <t>9333188</t>
  </si>
  <si>
    <t>536076</t>
  </si>
  <si>
    <t>HETTICH 9333188 Quadro 25 2D částečný výsuv 270mm/25kg EB21 SiSy L+P</t>
  </si>
  <si>
    <t>9333189</t>
  </si>
  <si>
    <t>536077</t>
  </si>
  <si>
    <t>HETTICH 9333189 Quadro 25 2D částečný výsuv 300mm/25kg EB21 SiSy L+P</t>
  </si>
  <si>
    <t>9333190</t>
  </si>
  <si>
    <t>536078</t>
  </si>
  <si>
    <t>HETTICH 9333190 Quadro 25 2D částečný výsuv 320mm/25kg EB21 SiSy L+P</t>
  </si>
  <si>
    <t>9333191</t>
  </si>
  <si>
    <t>536079</t>
  </si>
  <si>
    <t>HETTICH 9333191 Quadro 25 2D částečný výsuv 350mm/25kg EB21 SiSy L+P</t>
  </si>
  <si>
    <t>9333192</t>
  </si>
  <si>
    <t>536080</t>
  </si>
  <si>
    <t>HETTICH 9333192 Quadro 25 2D částečný výsuv 380mm/25kg EB21 SiSy L+P</t>
  </si>
  <si>
    <t>9333193</t>
  </si>
  <si>
    <t>536081</t>
  </si>
  <si>
    <t>HETTICH 9333193 Quadro 25 2D částečný výsuv 400mm/25kg EB21 SiSy L+P</t>
  </si>
  <si>
    <t>9333194</t>
  </si>
  <si>
    <t>536082</t>
  </si>
  <si>
    <t>HETTICH 9333194 Quadro 25 2D částečný výsuv 420mm/25kg EB21 SiSy L+P</t>
  </si>
  <si>
    <t>9333195</t>
  </si>
  <si>
    <t>536083</t>
  </si>
  <si>
    <t>HETTICH 9333195 Quadro 25 2D částečný výsuv 450mm/25kg EB21 SiSy L+P</t>
  </si>
  <si>
    <t>9333196</t>
  </si>
  <si>
    <t>536084</t>
  </si>
  <si>
    <t>HETTICH 9333196 Quadro 25 2D částečný výsuv 480mm/25kg EB21 SiSy L+P</t>
  </si>
  <si>
    <t>9333197</t>
  </si>
  <si>
    <t>536085</t>
  </si>
  <si>
    <t>HETTICH 9333197 Quadro 25 2D částečný výsuv 500mm/25kg EB21 SiSy L+P</t>
  </si>
  <si>
    <t>9333198</t>
  </si>
  <si>
    <t>536086</t>
  </si>
  <si>
    <t>HETTICH 9333198 Quadro 25 2D částečný výsuv 520mm/25kg EB21 SiSy L+P</t>
  </si>
  <si>
    <t>9333199</t>
  </si>
  <si>
    <t>536087</t>
  </si>
  <si>
    <t>HETTICH 9333199 Quadro 25 2D částečný výsuv 550mm/25kg EB21 SiSy L+P</t>
  </si>
  <si>
    <t>9333201</t>
  </si>
  <si>
    <t>536164</t>
  </si>
  <si>
    <t>HETTICH 9333201 Quadro 25 YOU částečný výsuv 270mm/25kg EB21 PTO L+P</t>
  </si>
  <si>
    <t>9333202</t>
  </si>
  <si>
    <t>536165</t>
  </si>
  <si>
    <t>HETTICH 9333202 Quadro 25 YOU částečný výsuv 300mm/25kg EB21 PTO L+P</t>
  </si>
  <si>
    <t>9333203</t>
  </si>
  <si>
    <t>536166</t>
  </si>
  <si>
    <t>HETTICH 9333203 Quadro 25 YOU částečný výsuv 320mm/25kg EB21 PTO L+P</t>
  </si>
  <si>
    <t>9333204</t>
  </si>
  <si>
    <t>536167</t>
  </si>
  <si>
    <t>HETTICH 9333204 Quadro 25 YOU částečný výsuv 350mm/25kg EB21 PTO L+P</t>
  </si>
  <si>
    <t>9333205</t>
  </si>
  <si>
    <t>536168</t>
  </si>
  <si>
    <t>HETTICH 9333205 Quadro 25 YOU částečný výsuv 380mm/25kg EB21 PTO L+P</t>
  </si>
  <si>
    <t>9333206</t>
  </si>
  <si>
    <t>536169</t>
  </si>
  <si>
    <t>HETTICH 9333206 Quadro 25 YOU částečný výsuv 400mm/25kg EB21 PTO L+P</t>
  </si>
  <si>
    <t>9333207</t>
  </si>
  <si>
    <t>536170</t>
  </si>
  <si>
    <t>HETTICH 9333207 Quadro 25 YOU částečný výsuv 420mm/25kg EB21 PTO L+P</t>
  </si>
  <si>
    <t>9333208</t>
  </si>
  <si>
    <t>536171</t>
  </si>
  <si>
    <t>HETTICH 9333208 Quadro 25 YOU částečný výsuv 450mm/25kg EB21 PTO L+P</t>
  </si>
  <si>
    <t>9333209</t>
  </si>
  <si>
    <t>536172</t>
  </si>
  <si>
    <t>HETTICH 9333209 Quadro 25 YOU částečný výsuv 480mm/25kg EB21 PTO L+P</t>
  </si>
  <si>
    <t>9333210</t>
  </si>
  <si>
    <t>536173</t>
  </si>
  <si>
    <t>HETTICH 9333210 Quadro 25 YOU částečný výsuv 500mm/25kg EB21 PTO L+P</t>
  </si>
  <si>
    <t>9333211</t>
  </si>
  <si>
    <t>536174</t>
  </si>
  <si>
    <t>HETTICH 9333211 Quadro 25 YOU částečný výsuv 520mm/25kg EB21 PTO L+P</t>
  </si>
  <si>
    <t>9333212</t>
  </si>
  <si>
    <t>536175</t>
  </si>
  <si>
    <t>HETTICH 9333212 Quadro 25 YOU částečný výsuv 550mm/25kg EB21 PTO L+P</t>
  </si>
  <si>
    <t>9333214</t>
  </si>
  <si>
    <t>536088</t>
  </si>
  <si>
    <t>HETTICH 9333214 Quadro 25 2D částečný výsuv 270mm/25kg EB21 PTO L+P</t>
  </si>
  <si>
    <t>9333215</t>
  </si>
  <si>
    <t>536089</t>
  </si>
  <si>
    <t>HETTICH 9333215 Quadro 25 2D částečný výsuv 300mm/25kg EB21 PTO L+P</t>
  </si>
  <si>
    <t>9333216</t>
  </si>
  <si>
    <t>536090</t>
  </si>
  <si>
    <t>HETTICH 9333216 Quadro 25 2D částečný výsuv 320mm/25kg EB21 PTO L+P</t>
  </si>
  <si>
    <t>9333217</t>
  </si>
  <si>
    <t>536091</t>
  </si>
  <si>
    <t>HETTICH 9333217 Quadro 25 2D částečný výsuv 350mm/25kg EB21 PTO L+P</t>
  </si>
  <si>
    <t>9333218</t>
  </si>
  <si>
    <t>536092</t>
  </si>
  <si>
    <t>HETTICH 9333218 Quadro 25 2D částečný výsuv 380mm/25kg EB21 PTO L+P</t>
  </si>
  <si>
    <t>9333219</t>
  </si>
  <si>
    <t>536093</t>
  </si>
  <si>
    <t>HETTICH 9333219 Quadro 25 2D částečný výsuv 400mm/25kg EB21 PTO L+P</t>
  </si>
  <si>
    <t>9333220</t>
  </si>
  <si>
    <t>536094</t>
  </si>
  <si>
    <t>HETTICH 9333220 Quadro 25 2D částečný výsuv 420mm/25kg EB21 PTO L+P</t>
  </si>
  <si>
    <t>9333222</t>
  </si>
  <si>
    <t>536095</t>
  </si>
  <si>
    <t>HETTICH 9333222 Quadro 25 2D částečný výsuv 450mm/25kg EB21 PTO L+P</t>
  </si>
  <si>
    <t>9333223</t>
  </si>
  <si>
    <t>536096</t>
  </si>
  <si>
    <t>HETTICH 9333223 Quadro 25 2D částečný výsuv 480mm/25kg EB21 PTO L+P</t>
  </si>
  <si>
    <t>9333225</t>
  </si>
  <si>
    <t>536097</t>
  </si>
  <si>
    <t>HETTICH 9333225 Quadro 25 2D částečný výsuv 500mm/25kg EB21 PTO L+P</t>
  </si>
  <si>
    <t>9333226</t>
  </si>
  <si>
    <t>536098</t>
  </si>
  <si>
    <t>HETTICH 9333226 Quadro 25 2D částečný výsuv 520mm/25kg EB21 PTO L+P</t>
  </si>
  <si>
    <t>9333227</t>
  </si>
  <si>
    <t>536099</t>
  </si>
  <si>
    <t>HETTICH 9333227 Quadro 25 2D částečný výsuv 550mm/25kg EB21 PTO L+P</t>
  </si>
  <si>
    <t>9334192</t>
  </si>
  <si>
    <t>555960</t>
  </si>
  <si>
    <t>HETTICH 9334192 rám AvanTech YOU Pull 500/400 antracit</t>
  </si>
  <si>
    <t>9334793</t>
  </si>
  <si>
    <t>541414</t>
  </si>
  <si>
    <t>HETTICH 9334793 odpružený doraz - L</t>
  </si>
  <si>
    <t>9334794</t>
  </si>
  <si>
    <t>541415</t>
  </si>
  <si>
    <t>HETTICH 9334794 odpružený doraz - P</t>
  </si>
  <si>
    <t>9336112</t>
  </si>
  <si>
    <t>541418</t>
  </si>
  <si>
    <t>HETTICH 9336112 krytka SAH 215/216, plast, antracit</t>
  </si>
  <si>
    <t>9336464</t>
  </si>
  <si>
    <t>541354</t>
  </si>
  <si>
    <t>HETTICH 9336464 TopLine XL sada tlumení pro 2 křídla 15-35kg černá</t>
  </si>
  <si>
    <t>9336465</t>
  </si>
  <si>
    <t>541355</t>
  </si>
  <si>
    <t>HETTICH 9336465 TopLine XL sada tlumení pro 2 křídla 30-80kg černá</t>
  </si>
  <si>
    <t>9336466</t>
  </si>
  <si>
    <t>541358</t>
  </si>
  <si>
    <t>HETTICH 9336466 TopLine XL sada tlumení pro 2 křídla 60-100kg černá</t>
  </si>
  <si>
    <t>9336467</t>
  </si>
  <si>
    <t>541359</t>
  </si>
  <si>
    <t>HETTICH 9336467 TopLine XL sada tlumení pro 3 křídla oboustranná 15-35kg černá</t>
  </si>
  <si>
    <t>9336468</t>
  </si>
  <si>
    <t>541360</t>
  </si>
  <si>
    <t>HETTICH 9336468 TopLine XL sada tlumení pro 3 křídla oboustranná 30-80kg černá</t>
  </si>
  <si>
    <t>9336469</t>
  </si>
  <si>
    <t>541361</t>
  </si>
  <si>
    <t>HETTICH 9336469 TopLine XL sada tlumení pro 3 křídla oboustranná 60-100kg černá</t>
  </si>
  <si>
    <t>9336470</t>
  </si>
  <si>
    <t>541353</t>
  </si>
  <si>
    <t>HETTICH 9336470 TopLine XL horní a spodní vedení s příchyty 4000mm černá elox</t>
  </si>
  <si>
    <t>9338328</t>
  </si>
  <si>
    <t>536692</t>
  </si>
  <si>
    <t>HETTICH 9338328 TopLine L nutné příslušenství</t>
  </si>
  <si>
    <t>9338329</t>
  </si>
  <si>
    <t>541352</t>
  </si>
  <si>
    <t>HETTICH 9338329 TopLine XL horní a spodní vedení s příchyty 2300mm černá elox</t>
  </si>
  <si>
    <t>9338462</t>
  </si>
  <si>
    <t>536177</t>
  </si>
  <si>
    <t>HETTICH 9338462 Quadro Compact BM 470mm/40kg na dno SiSy L+P venkovní použití</t>
  </si>
  <si>
    <t>9338659</t>
  </si>
  <si>
    <t>534388</t>
  </si>
  <si>
    <t>HETTICH 9338659 WingLine S new do 5 kg, vodící díl s pružinou, šedá, pravá</t>
  </si>
  <si>
    <t>9338688</t>
  </si>
  <si>
    <t>534400</t>
  </si>
  <si>
    <t>HETTICH 9338688 WingLine S new do 5 kg, vodící díl s pružinou, bílá, pravá</t>
  </si>
  <si>
    <t>9338690</t>
  </si>
  <si>
    <t>534401</t>
  </si>
  <si>
    <t>HETTICH 9338690 WingLine S new do 5 kg, vodící díl s pružinou, antracit, pravá</t>
  </si>
  <si>
    <t>9338702</t>
  </si>
  <si>
    <t>534394</t>
  </si>
  <si>
    <t>HETTICH 9338702 WingLine S new do 5 kg, vodící díl bez pružiny, šedá, pravá</t>
  </si>
  <si>
    <t>9338704</t>
  </si>
  <si>
    <t>534405</t>
  </si>
  <si>
    <t>HETTICH 9338704 WingLine S new do 5 kg, vodící díl bez pružiny, bílá, pravá</t>
  </si>
  <si>
    <t>9338706</t>
  </si>
  <si>
    <t>534406</t>
  </si>
  <si>
    <t>HETTICH 9338706 WingLine S new do 5 kg, vodící díl bez pružiny, antracit, pravá</t>
  </si>
  <si>
    <t>9338977</t>
  </si>
  <si>
    <t>534387</t>
  </si>
  <si>
    <t>HETTICH 9338977 WingLine S new do 5 kg, vodící díl s pružinou, šedá, levá</t>
  </si>
  <si>
    <t>9338979</t>
  </si>
  <si>
    <t>534396</t>
  </si>
  <si>
    <t>HETTICH 9338979 WingLine S new do 5 kg, vodící díl s pružinou, bílá, levá</t>
  </si>
  <si>
    <t>9339051</t>
  </si>
  <si>
    <t>534397</t>
  </si>
  <si>
    <t>HETTICH 9339051 WingLine S new do 5 kg, vodící díl s pružinou, antracit, levá</t>
  </si>
  <si>
    <t>9339054</t>
  </si>
  <si>
    <t>534392</t>
  </si>
  <si>
    <t>HETTICH 9339054 WingLine S new do 5 kg, vodící díl bez pružiny, šedá, levá</t>
  </si>
  <si>
    <t>9339057</t>
  </si>
  <si>
    <t>534403</t>
  </si>
  <si>
    <t>HETTICH 9339057 WingLine S new do 5 kg, vodící díl bez pružiny, bílá, levá</t>
  </si>
  <si>
    <t>9339059</t>
  </si>
  <si>
    <t>534404</t>
  </si>
  <si>
    <t>HETTICH 9339059 WingLine S new do 5 kg, vodící díl bez pružiny, antracit, levá</t>
  </si>
  <si>
    <t>9339344</t>
  </si>
  <si>
    <t>533216</t>
  </si>
  <si>
    <t>HETTICH 9339344 WingLine L new do 25 kg, sada s pružinou, šedá, pravá</t>
  </si>
  <si>
    <t>9339346</t>
  </si>
  <si>
    <t>534176</t>
  </si>
  <si>
    <t>HETTICH 9339346 WingLine L new do 25 kg, sada s pružinou, bílá, pravá</t>
  </si>
  <si>
    <t>9339347</t>
  </si>
  <si>
    <t>534179</t>
  </si>
  <si>
    <t>HETTICH 9339347 WingLine L new do 25 kg, sada s pružinou, antracit, pravá</t>
  </si>
  <si>
    <t>9339348</t>
  </si>
  <si>
    <t>533225</t>
  </si>
  <si>
    <t>HETTICH 9339348 WingLine L new do 25 kg, sada bez pružiny, šedá, pravá</t>
  </si>
  <si>
    <t>9339349</t>
  </si>
  <si>
    <t>534295</t>
  </si>
  <si>
    <t>HETTICH 9339349 WingLine L new do 25 kg, sada bez pružiny, bílá, pravá</t>
  </si>
  <si>
    <t>9339350</t>
  </si>
  <si>
    <t>534296</t>
  </si>
  <si>
    <t>HETTICH 9339350 WingLine L new do 25 kg, sada bez pružiny, antracit, pravá</t>
  </si>
  <si>
    <t>9339352</t>
  </si>
  <si>
    <t>533204</t>
  </si>
  <si>
    <t>HETTICH 9339352 WingLine L new do 25 kg, sada s pružinou, šedá, levá</t>
  </si>
  <si>
    <t>9339354</t>
  </si>
  <si>
    <t>534148</t>
  </si>
  <si>
    <t>HETTICH 9339354 WingLine L new do 25 kg, sada s pružinou, bílá, levá</t>
  </si>
  <si>
    <t>9339356</t>
  </si>
  <si>
    <t>534172</t>
  </si>
  <si>
    <t>HETTICH 9339356 WingLine L new do 25 kg, sada s pružinou, antracit, levá</t>
  </si>
  <si>
    <t>9339357</t>
  </si>
  <si>
    <t>533217</t>
  </si>
  <si>
    <t>HETTICH 9339357 WingLine L new do 25 kg, sada bez pružiny, šedá, levá</t>
  </si>
  <si>
    <t>9339363</t>
  </si>
  <si>
    <t>534293</t>
  </si>
  <si>
    <t>HETTICH 9339363 WingLine L new do 25 kg, sada bez pružiny, bílá, levá</t>
  </si>
  <si>
    <t>9339364</t>
  </si>
  <si>
    <t>534294</t>
  </si>
  <si>
    <t>HETTICH 9339364 WingLine L new do 25 kg, sada bez pružiny, antracit, levá</t>
  </si>
  <si>
    <t>9339366</t>
  </si>
  <si>
    <t>533229</t>
  </si>
  <si>
    <t>HETTICH 9339366 WingLine L new do 12 kg,sada s pružinou,šedá,pravá,s vedením</t>
  </si>
  <si>
    <t>9339367</t>
  </si>
  <si>
    <t>534291</t>
  </si>
  <si>
    <t>HETTICH 9339367 WingLine L new do 12 kg,sada s pružinou,bílá,pravá,s vedením</t>
  </si>
  <si>
    <t>9339368</t>
  </si>
  <si>
    <t>534292</t>
  </si>
  <si>
    <t>HETTICH 9339368 WingLine L new do 12 kg,sada s pružinou,antracit,pravá,s vedením</t>
  </si>
  <si>
    <t>9339369</t>
  </si>
  <si>
    <t>533768</t>
  </si>
  <si>
    <t>HETTICH 9339369 WingLine L new do 12 kg,sada bez pružiny,šedá,pravá,s vedením</t>
  </si>
  <si>
    <t>9339370</t>
  </si>
  <si>
    <t>534299</t>
  </si>
  <si>
    <t>HETTICH 9339370 WingLine L new do 12 kg,sada bez pružiny,bílá,pravá,s vedením</t>
  </si>
  <si>
    <t>9339381</t>
  </si>
  <si>
    <t>534300</t>
  </si>
  <si>
    <t>HETTICH 9339381 WingLine L new do 12 kg,sada bez pružiny,antraci,pravá,s vedením</t>
  </si>
  <si>
    <t>9339382</t>
  </si>
  <si>
    <t>533228</t>
  </si>
  <si>
    <t>HETTICH 9339382 WingLine L new do 12 kg,sada s pružinou,šedá,levá,s vedením</t>
  </si>
  <si>
    <t>9339383</t>
  </si>
  <si>
    <t>534289</t>
  </si>
  <si>
    <t>HETTICH 9339383 WingLine L new do 12 kg,sada s pružinou,bílá,levá,s vedením</t>
  </si>
  <si>
    <t>9339384</t>
  </si>
  <si>
    <t>534290</t>
  </si>
  <si>
    <t>HETTICH 9339384 WingLine L new do 12 kg,sada s pružinou,antracit,levá,s vedením</t>
  </si>
  <si>
    <t>9339386</t>
  </si>
  <si>
    <t>533767</t>
  </si>
  <si>
    <t>HETTICH 9339386 WingLine L new do 12 kg,sada bez pružiny,šedá,levá,s vedením</t>
  </si>
  <si>
    <t>9339387</t>
  </si>
  <si>
    <t>534297</t>
  </si>
  <si>
    <t>HETTICH 9339387 WingLine L new do 12 kg,sada bez pružiny,bílá,levá,s vedením</t>
  </si>
  <si>
    <t>9339388</t>
  </si>
  <si>
    <t>534298</t>
  </si>
  <si>
    <t>HETTICH 9339388 WingLine L new do 12 kg,sada bez pružiny,antracit,levá,s vedením</t>
  </si>
  <si>
    <t>9339389</t>
  </si>
  <si>
    <t>533966</t>
  </si>
  <si>
    <t>HETTICH 9339389 WingLine L new do 12 kg,sada s pružinou,šedá,pravá,bez vedení</t>
  </si>
  <si>
    <t>9339390</t>
  </si>
  <si>
    <t>534309</t>
  </si>
  <si>
    <t>HETTICH 9339390 WingLine L new do 12 kg,sada s pružinou,bílá,pravá,bez vedení</t>
  </si>
  <si>
    <t>9339391</t>
  </si>
  <si>
    <t>534310</t>
  </si>
  <si>
    <t>HETTICH 9339391 WingLine L new do 12 kg,sada s pružinou,antraci,pravá,bez vedení</t>
  </si>
  <si>
    <t>9339392</t>
  </si>
  <si>
    <t>533968</t>
  </si>
  <si>
    <t>HETTICH 9339392 WingLine L new do 12 kg,bez pružiny,šedá,pravá,bez vedení</t>
  </si>
  <si>
    <t>9339393</t>
  </si>
  <si>
    <t>534316</t>
  </si>
  <si>
    <t>HETTICH 9339393 WingLine L new do 12 kg,bez pružiny,bílá,pravá,bez vedení</t>
  </si>
  <si>
    <t>9339394</t>
  </si>
  <si>
    <t>534317</t>
  </si>
  <si>
    <t>HETTICH 9339394 WingLine L new do 12 kg,bez pružiny,antracit,pravá,bez vedení</t>
  </si>
  <si>
    <t>9339477</t>
  </si>
  <si>
    <t>533965</t>
  </si>
  <si>
    <t>HETTICH 9339477 WingLine L new do 12 kg,sada s pružinou,šedá,levá,bez vedení</t>
  </si>
  <si>
    <t>9339478</t>
  </si>
  <si>
    <t>534303</t>
  </si>
  <si>
    <t>HETTICH 9339478 WingLine L new do 12 kg,sada s pružinou,bílá,levá,bez vedení</t>
  </si>
  <si>
    <t>9339479</t>
  </si>
  <si>
    <t>534308</t>
  </si>
  <si>
    <t>HETTICH 9339479 WingLine L new do 12 kg,sada s pružinou,antracit,levá,bez vedení</t>
  </si>
  <si>
    <t>9339480</t>
  </si>
  <si>
    <t>534078</t>
  </si>
  <si>
    <t>HETTICH 9339480 WingLine L new středové závěsy standardní 2 ks, šedá</t>
  </si>
  <si>
    <t>9339481</t>
  </si>
  <si>
    <t>533967</t>
  </si>
  <si>
    <t>HETTICH 9339481 WingLine L new do 12 kg,bez pružiny,šedá,levá,bez vedení</t>
  </si>
  <si>
    <t>9339482</t>
  </si>
  <si>
    <t>534312</t>
  </si>
  <si>
    <t>HETTICH 9339482 WingLine L new do 12 kg,bez pružiny,bílá,levá,bez vedení</t>
  </si>
  <si>
    <t>9339483</t>
  </si>
  <si>
    <t>534313</t>
  </si>
  <si>
    <t>HETTICH 9339483 WingLine L new do 12 kg,bez pružiny,antracit,levá,bez vedení</t>
  </si>
  <si>
    <t>9339484</t>
  </si>
  <si>
    <t>534362</t>
  </si>
  <si>
    <t>HETTICH 9339484 WingLine L new středové závěsy standardní 2 ks, bílá</t>
  </si>
  <si>
    <t>9339485</t>
  </si>
  <si>
    <t>534364</t>
  </si>
  <si>
    <t>HETTICH 9339485 WingLine L new středové závěsy standardní 2 ks, antracit</t>
  </si>
  <si>
    <t>9339486</t>
  </si>
  <si>
    <t>534125</t>
  </si>
  <si>
    <t>HETTICH 9339486 WingLine L new středové závěsy standardní 3 ks, šedá</t>
  </si>
  <si>
    <t>9339487</t>
  </si>
  <si>
    <t>534366</t>
  </si>
  <si>
    <t>HETTICH 9339487 WingLine L new středové závěsy standardní 3 ks, bílá</t>
  </si>
  <si>
    <t>9339491</t>
  </si>
  <si>
    <t>534368</t>
  </si>
  <si>
    <t>HETTICH 9339491 WingLine L new středové závěsy standardní 3 ks, antracit</t>
  </si>
  <si>
    <t>9339492</t>
  </si>
  <si>
    <t>534049</t>
  </si>
  <si>
    <t>HETTICH 9339492 WingLine L new středové závěsy seřiditelné 2 ks, šedá</t>
  </si>
  <si>
    <t>9339493</t>
  </si>
  <si>
    <t>534323</t>
  </si>
  <si>
    <t>HETTICH 9339493 WingLine L new středové závěsy seřiditelné 2 ks, bílý</t>
  </si>
  <si>
    <t>9339494</t>
  </si>
  <si>
    <t>534332</t>
  </si>
  <si>
    <t>HETTICH 9339494 WingLine L new středové závěsy seřiditelné 2 ks, antracit</t>
  </si>
  <si>
    <t>9339496</t>
  </si>
  <si>
    <t>534052</t>
  </si>
  <si>
    <t>HETTICH 9339496 WingLine L new středové závěsy seřiditelné 3 ks, šedá</t>
  </si>
  <si>
    <t>9339498</t>
  </si>
  <si>
    <t>534337</t>
  </si>
  <si>
    <t>HETTICH 9339498 WingLine L new středové závěsy seřiditelné 3 ks, bílý</t>
  </si>
  <si>
    <t>9339499</t>
  </si>
  <si>
    <t>534342</t>
  </si>
  <si>
    <t>HETTICH 9339499 WingLine L new středové závěsy seřiditelné 3 ks, antracit</t>
  </si>
  <si>
    <t>9339500</t>
  </si>
  <si>
    <t>533972</t>
  </si>
  <si>
    <t>HETTICH 9339500 WingLine L new vodící profily 1200 mm elox stříbrný</t>
  </si>
  <si>
    <t>9339502</t>
  </si>
  <si>
    <t>534318</t>
  </si>
  <si>
    <t>HETTICH 9339502 WingLine L new vodící profily 1200 mm antracit</t>
  </si>
  <si>
    <t>9339503</t>
  </si>
  <si>
    <t>533974</t>
  </si>
  <si>
    <t>HETTICH 9339503 WingLine L new vodící profily 2400 mm elox stříbrný</t>
  </si>
  <si>
    <t>9339505</t>
  </si>
  <si>
    <t>534320</t>
  </si>
  <si>
    <t>HETTICH 9339505 WingLine L new vodící profily 2400 mm antracit</t>
  </si>
  <si>
    <t>9339507</t>
  </si>
  <si>
    <t>534034</t>
  </si>
  <si>
    <t>HETTICH 9339507 WingLine L new horní vodící profil 1200 mm elox stříbrný</t>
  </si>
  <si>
    <t>9339509</t>
  </si>
  <si>
    <t>534321</t>
  </si>
  <si>
    <t>HETTICH 9339509 WingLine L new horní vodící profil 1200 mm antracit</t>
  </si>
  <si>
    <t>9339510</t>
  </si>
  <si>
    <t>534048</t>
  </si>
  <si>
    <t>HETTICH 9339510 WingLine L new horní vodící profil 2400 mm elox stříbrný</t>
  </si>
  <si>
    <t>9339512</t>
  </si>
  <si>
    <t>534322</t>
  </si>
  <si>
    <t>HETTICH 9339512 WingLine L new horní vodící profil 2400 mm antracit</t>
  </si>
  <si>
    <t>9339513</t>
  </si>
  <si>
    <t>534407</t>
  </si>
  <si>
    <t>HETTICH 9339513 WingLine S new horní vodící profil 1200 mm antracit</t>
  </si>
  <si>
    <t>9339514</t>
  </si>
  <si>
    <t>534409</t>
  </si>
  <si>
    <t>HETTICH 9339514 WingLine S new horní vodící profil 2400 mm antracit</t>
  </si>
  <si>
    <t>9339516</t>
  </si>
  <si>
    <t>534145</t>
  </si>
  <si>
    <t>HETTICH 9339516 WingLine L/S new sada Push/Pull to move, lehké dveře, šedá</t>
  </si>
  <si>
    <t>9339517</t>
  </si>
  <si>
    <t>534360</t>
  </si>
  <si>
    <t>HETTICH 9339517 WingLine L/S new sada Push/Pull to move, lehké dveře, bílá</t>
  </si>
  <si>
    <t>9339518</t>
  </si>
  <si>
    <t>534361</t>
  </si>
  <si>
    <t>HETTICH 9339518 WingLine L/S new sada Push/Pull to move, lehké dveře, antracit</t>
  </si>
  <si>
    <t>9339520</t>
  </si>
  <si>
    <t>534135</t>
  </si>
  <si>
    <t>HETTICH 9339520 WingLine L new sada Push/Pull to move, těžké dveře, šedá</t>
  </si>
  <si>
    <t>9339521</t>
  </si>
  <si>
    <t>534358</t>
  </si>
  <si>
    <t>HETTICH 9339521 WingLine L new sada Push/Pull to move, těžké dveře, bílá</t>
  </si>
  <si>
    <t>9339522</t>
  </si>
  <si>
    <t>534359</t>
  </si>
  <si>
    <t>HETTICH 9339522 WingLine L new sada Push/Pull to move, těžké dveře, antracit</t>
  </si>
  <si>
    <t>9339523</t>
  </si>
  <si>
    <t>534132</t>
  </si>
  <si>
    <t>HETTICH 9339523 WingLine L/S new sada Pull to move Silent, lehké dveře, šedá</t>
  </si>
  <si>
    <t>9339583</t>
  </si>
  <si>
    <t>534349</t>
  </si>
  <si>
    <t>HETTICH 9339583 WingLine L/S new sada Pull to move Silent, lehké dveře, bílá</t>
  </si>
  <si>
    <t>9339584</t>
  </si>
  <si>
    <t>534357</t>
  </si>
  <si>
    <t>HETTICH 9339584 WingLine L/S new sada Pull to move Silent, lehké dveře, antracit</t>
  </si>
  <si>
    <t>9339585</t>
  </si>
  <si>
    <t>534130</t>
  </si>
  <si>
    <t>HETTICH 9339585 WingLine L new sada Pull to move Silent, těžké dveře, šedá</t>
  </si>
  <si>
    <t>9339586</t>
  </si>
  <si>
    <t>534346</t>
  </si>
  <si>
    <t>HETTICH 9339586 WingLine L new sada Pull to move Silent, těžké dveře, bílá</t>
  </si>
  <si>
    <t>9339587</t>
  </si>
  <si>
    <t>534347</t>
  </si>
  <si>
    <t>HETTICH 9339587 WingLine L new sada Pull to move Silent, těžké dveře, antracit</t>
  </si>
  <si>
    <t>9340632</t>
  </si>
  <si>
    <t>553282</t>
  </si>
  <si>
    <t>HETTICH 9340632 šroub 3.5x9.5mm DIN7982 pro široké alu rámečky, Obsidián</t>
  </si>
  <si>
    <t>9342320</t>
  </si>
  <si>
    <t>548047</t>
  </si>
  <si>
    <t>HETTICH 9342320 Bin.it Classic, 290x304x365mm, 15 l, nerezová ocel, plast černý</t>
  </si>
  <si>
    <t>9343483</t>
  </si>
  <si>
    <t>538127</t>
  </si>
  <si>
    <t>HETTICH 9343483 EviSys vodicí závěs 115° s tlumičem včetně krytky antracit</t>
  </si>
  <si>
    <t>9343486</t>
  </si>
  <si>
    <t>538128</t>
  </si>
  <si>
    <t>HETTICH 9343486 EviSys vodicí závěs 115° s tlumičem včetně krytky antracit</t>
  </si>
  <si>
    <t>544561</t>
  </si>
  <si>
    <t>HETTICH 9343677 P2O synchronizační adaptér Actro 5D P2O</t>
  </si>
  <si>
    <t>9345018</t>
  </si>
  <si>
    <t>538110</t>
  </si>
  <si>
    <t>HETTICH 9345018 Synchro Access základní sada pro vnitřní zásuvku</t>
  </si>
  <si>
    <t>9345371</t>
  </si>
  <si>
    <t>550064</t>
  </si>
  <si>
    <t>HETTICH 9345371 Knop Almus černá matná</t>
  </si>
  <si>
    <t>9345418</t>
  </si>
  <si>
    <t>553370</t>
  </si>
  <si>
    <t>HETTICH 9345418 Úchytka Nidum 192 černá matná zápustná</t>
  </si>
  <si>
    <t>9345464</t>
  </si>
  <si>
    <t>536671</t>
  </si>
  <si>
    <t>HETTICH 9345464 knobka VENUSIA L60/32 černá</t>
  </si>
  <si>
    <t>9347484</t>
  </si>
  <si>
    <t>532199</t>
  </si>
  <si>
    <t>HETTICH 9347484 AvanTech YOU dekorativní profil hybrid, 270mm, nerez</t>
  </si>
  <si>
    <t>9347485</t>
  </si>
  <si>
    <t>532200</t>
  </si>
  <si>
    <t>HETTICH 9347485 AvanTech YOU dekorativní profil hybrid, 300mm, nerez</t>
  </si>
  <si>
    <t>9347486</t>
  </si>
  <si>
    <t>532201</t>
  </si>
  <si>
    <t>HETTICH 9347486 AvanTech YOU dekorativní profil hybrid, 350mm, nerez</t>
  </si>
  <si>
    <t>9347487</t>
  </si>
  <si>
    <t>532202</t>
  </si>
  <si>
    <t>HETTICH 9347487 AvanTech YOU dekorativní profil hybrid, 400mm, nerez</t>
  </si>
  <si>
    <t>9347488</t>
  </si>
  <si>
    <t>532203</t>
  </si>
  <si>
    <t>HETTICH 9347488 AvanTech YOU dekorativní profil hybrid, 450mm, nerez</t>
  </si>
  <si>
    <t>9347489</t>
  </si>
  <si>
    <t>532204</t>
  </si>
  <si>
    <t>HETTICH 9347489 AvanTech YOU dekorativní profil hybrid, 500mm, nerez</t>
  </si>
  <si>
    <t>9347490</t>
  </si>
  <si>
    <t>532205</t>
  </si>
  <si>
    <t>HETTICH 9347490 AvanTech YOU dekorativní profil hybrid, 550mm, nerez</t>
  </si>
  <si>
    <t>9347491</t>
  </si>
  <si>
    <t>532206</t>
  </si>
  <si>
    <t>HETTICH 9347491 AvanTech YOU dekorativní profil hybrid, 600mm, nerez</t>
  </si>
  <si>
    <t>9347492</t>
  </si>
  <si>
    <t>532207</t>
  </si>
  <si>
    <t>HETTICH 9347492 AvanTech YOU dekorativní profil hybrid, 650mm, nerez</t>
  </si>
  <si>
    <t>9347502</t>
  </si>
  <si>
    <t>532174</t>
  </si>
  <si>
    <t>HETTICH 9347502 AvanTech YOU dekorativní profil hybrid, 270mm, stříbrná</t>
  </si>
  <si>
    <t>9347503</t>
  </si>
  <si>
    <t>532177</t>
  </si>
  <si>
    <t>HETTICH 9347503 AvanTech YOU dekorativní profil hybrid, 300mm, stříbrná</t>
  </si>
  <si>
    <t>9347504</t>
  </si>
  <si>
    <t>532180</t>
  </si>
  <si>
    <t>HETTICH 9347504 AvanTech YOU dekorativní profil hybrid, 350mm, stříbrná</t>
  </si>
  <si>
    <t>9347505</t>
  </si>
  <si>
    <t>532183</t>
  </si>
  <si>
    <t>HETTICH 9347505 AvanTech YOU dekorativní profil hybrid, 400mm, stříbrná</t>
  </si>
  <si>
    <t>9347506</t>
  </si>
  <si>
    <t>532186</t>
  </si>
  <si>
    <t>HETTICH 9347506 AvanTech YOU dekorativní profil hybrid, 450mm, stříbrná</t>
  </si>
  <si>
    <t>9347507</t>
  </si>
  <si>
    <t>532189</t>
  </si>
  <si>
    <t>HETTICH 9347507 AvanTech YOU dekorativní profil hybrid, 500mm, stříbrná</t>
  </si>
  <si>
    <t>9347508</t>
  </si>
  <si>
    <t>532192</t>
  </si>
  <si>
    <t>HETTICH 9347508 AvanTech YOU dekorativní profil hybrid, 550mm, stříbrná</t>
  </si>
  <si>
    <t>9347509</t>
  </si>
  <si>
    <t>532195</t>
  </si>
  <si>
    <t>HETTICH 9347509 AvanTech YOU dekorativní profil hybrid, 600mm, stříbrná</t>
  </si>
  <si>
    <t>9347510</t>
  </si>
  <si>
    <t>532198</t>
  </si>
  <si>
    <t>HETTICH 9347510 AvanTech YOU dekorativní profil hybrid, 650mm, stříbrná</t>
  </si>
  <si>
    <t>9347511</t>
  </si>
  <si>
    <t>532173</t>
  </si>
  <si>
    <t>HETTICH 9347511 AvanTech YOU dekorativní profil hybrid, 270mm, bílá</t>
  </si>
  <si>
    <t>9347512</t>
  </si>
  <si>
    <t>532176</t>
  </si>
  <si>
    <t>HETTICH 9347512 AvanTech YOU dekorativní profil hybrid, 300mm, bílá</t>
  </si>
  <si>
    <t>9347513</t>
  </si>
  <si>
    <t>532179</t>
  </si>
  <si>
    <t>HETTICH 9347513 AvanTech YOU dekorativní profil hybrid, 350mm, bílá</t>
  </si>
  <si>
    <t>9347514</t>
  </si>
  <si>
    <t>532182</t>
  </si>
  <si>
    <t>HETTICH 9347514 AvanTech YOU dekorativní profil hybrid, 400mm, bílá</t>
  </si>
  <si>
    <t>9347515</t>
  </si>
  <si>
    <t>532185</t>
  </si>
  <si>
    <t>HETTICH 9347515 AvanTech YOU dekorativní profil hybrid, 450mm, bílá</t>
  </si>
  <si>
    <t>9347516</t>
  </si>
  <si>
    <t>532188</t>
  </si>
  <si>
    <t>HETTICH 9347516 AvanTech YOU dekorativní profil hybrid, 500mm, bílá</t>
  </si>
  <si>
    <t>9347517</t>
  </si>
  <si>
    <t>532191</t>
  </si>
  <si>
    <t>HETTICH 9347517 AvanTech YOU dekorativní profil hybrid, 550mm, bílá</t>
  </si>
  <si>
    <t>9347518</t>
  </si>
  <si>
    <t>532194</t>
  </si>
  <si>
    <t>HETTICH 9347518 AvanTech YOU dekorativní profil hybrid, 600mm, bílá</t>
  </si>
  <si>
    <t>9347519</t>
  </si>
  <si>
    <t>532197</t>
  </si>
  <si>
    <t>HETTICH 9347519 AvanTech YOU dekorativní profil hybrid, 650mm, bílá</t>
  </si>
  <si>
    <t>9347520</t>
  </si>
  <si>
    <t>532172</t>
  </si>
  <si>
    <t>HETTICH 9347520 AvanTech YOU dekorativní profil hybrid, 270mm, antracit</t>
  </si>
  <si>
    <t>9347521</t>
  </si>
  <si>
    <t>532175</t>
  </si>
  <si>
    <t>HETTICH 9347521 AvanTech YOU dekorativní profil hybrid, 300mm, antracit</t>
  </si>
  <si>
    <t>9347522</t>
  </si>
  <si>
    <t>532178</t>
  </si>
  <si>
    <t>HETTICH 9347522 AvanTech YOU dekorativní profil hybrid, 350mm, antracit</t>
  </si>
  <si>
    <t>9347523</t>
  </si>
  <si>
    <t>532181</t>
  </si>
  <si>
    <t>HETTICH 9347523 AvanTech YOU dekorativní profil hybrid, 400mm, antracit</t>
  </si>
  <si>
    <t>9347524</t>
  </si>
  <si>
    <t>532184</t>
  </si>
  <si>
    <t>HETTICH 9347524 AvanTech YOU dekorativní profil hybrid, 450mm, antracit</t>
  </si>
  <si>
    <t>9347525</t>
  </si>
  <si>
    <t>532187</t>
  </si>
  <si>
    <t>HETTICH 9347525 AvanTech YOU dekorativní profil hybrid, 500mm, antracit</t>
  </si>
  <si>
    <t>9347526</t>
  </si>
  <si>
    <t>532190</t>
  </si>
  <si>
    <t>HETTICH 9347526 AvanTech YOU dekorativní profil hybrid, 550mm, antracit</t>
  </si>
  <si>
    <t>9347527</t>
  </si>
  <si>
    <t>532193</t>
  </si>
  <si>
    <t>HETTICH 9347527 AvanTech YOU dekorativní profil hybrid, 600mm, antracit</t>
  </si>
  <si>
    <t>9347528</t>
  </si>
  <si>
    <t>532196</t>
  </si>
  <si>
    <t>HETTICH 9347528 AvanTech YOU dekorativní profil hybrid, 650mm, antracit</t>
  </si>
  <si>
    <t>9347581</t>
  </si>
  <si>
    <t>543009</t>
  </si>
  <si>
    <t>HETTICH 9347581 Úchytka Genzone 134 černá matná</t>
  </si>
  <si>
    <t>9347582</t>
  </si>
  <si>
    <t>548785</t>
  </si>
  <si>
    <t>HETTICH 9347582 Úchytka SPIRA L2000 černá matná zápustná</t>
  </si>
  <si>
    <t>9347583</t>
  </si>
  <si>
    <t>548786</t>
  </si>
  <si>
    <t>HETTICH 9347583 Sada koncovek SPIRA černá matná</t>
  </si>
  <si>
    <t>9347594</t>
  </si>
  <si>
    <t>543580</t>
  </si>
  <si>
    <t>HETTICH 9347594 Příchytka se závitem M4 pro kožené úchytky černá matná</t>
  </si>
  <si>
    <t>9348242</t>
  </si>
  <si>
    <t>541708</t>
  </si>
  <si>
    <t>HETTICH 9348242 Úchytka Tribano 96 mosaz finiš antik</t>
  </si>
  <si>
    <t>9348263</t>
  </si>
  <si>
    <t>541254</t>
  </si>
  <si>
    <t>HETTICH 9348263 Knop Olvera buk</t>
  </si>
  <si>
    <t>9348278</t>
  </si>
  <si>
    <t>544918</t>
  </si>
  <si>
    <t>HETTICH 9348278 Úchytka Lariano 128 černá matná</t>
  </si>
  <si>
    <t>9349281</t>
  </si>
  <si>
    <t>544990</t>
  </si>
  <si>
    <t>HETTICH 9349281 FurnSpin S SiSy levá</t>
  </si>
  <si>
    <t>9349282</t>
  </si>
  <si>
    <t>544991</t>
  </si>
  <si>
    <t>HETTICH 9349282 FurnSpin S SiSy pravá</t>
  </si>
  <si>
    <t>9349283</t>
  </si>
  <si>
    <t>544996</t>
  </si>
  <si>
    <t>HETTICH 9349283 FurnSpin S PTOs levá, nahoře</t>
  </si>
  <si>
    <t>9349284</t>
  </si>
  <si>
    <t>544997</t>
  </si>
  <si>
    <t>HETTICH 9349284 FurnSpin S PTOs pravá, nahoře</t>
  </si>
  <si>
    <t>9349285</t>
  </si>
  <si>
    <t>544998</t>
  </si>
  <si>
    <t>HETTICH 9349285 FurnSpin S PTOs levá, dole</t>
  </si>
  <si>
    <t>9349286</t>
  </si>
  <si>
    <t>544999</t>
  </si>
  <si>
    <t>HETTICH 9349286 FurnSpin S PTOs pravá, dole</t>
  </si>
  <si>
    <t>9349287</t>
  </si>
  <si>
    <t>544992</t>
  </si>
  <si>
    <t>HETTICH 9349287 FurnSpin M SiSy levá</t>
  </si>
  <si>
    <t>9349288</t>
  </si>
  <si>
    <t>544993</t>
  </si>
  <si>
    <t>HETTICH 9349288 FurnSpin M SiSy pravá</t>
  </si>
  <si>
    <t>9349289</t>
  </si>
  <si>
    <t>545000</t>
  </si>
  <si>
    <t>HETTICH 9349289 FurnSpin M PTOs levá, nahoře</t>
  </si>
  <si>
    <t>9349290</t>
  </si>
  <si>
    <t>545001</t>
  </si>
  <si>
    <t>HETTICH 9349290 FurnSpin M PTOs pravá, nahoře</t>
  </si>
  <si>
    <t>9349301</t>
  </si>
  <si>
    <t>545002</t>
  </si>
  <si>
    <t>HETTICH 9349301 FurnSpin M PTOs levá, dole</t>
  </si>
  <si>
    <t>9349302</t>
  </si>
  <si>
    <t>545003</t>
  </si>
  <si>
    <t>HETTICH 9349302 FurnSpin M PTOs pravá, dole</t>
  </si>
  <si>
    <t>9349303</t>
  </si>
  <si>
    <t>544994</t>
  </si>
  <si>
    <t>HETTICH 9349303 FurnSpin XL SiSy levá</t>
  </si>
  <si>
    <t>9349304</t>
  </si>
  <si>
    <t>544995</t>
  </si>
  <si>
    <t>HETTICH 9349304 FurnSpin XL SiSy pravá</t>
  </si>
  <si>
    <t>9349305</t>
  </si>
  <si>
    <t>545004</t>
  </si>
  <si>
    <t>HETTICH 9349305 FurnSpin XL PTOs levá, nahoře</t>
  </si>
  <si>
    <t>9349306</t>
  </si>
  <si>
    <t>545005</t>
  </si>
  <si>
    <t>HETTICH 9349306 FurnSpin XL PTOs pravá, nahoře</t>
  </si>
  <si>
    <t>9349307</t>
  </si>
  <si>
    <t>545006</t>
  </si>
  <si>
    <t>HETTICH 9349307 FurnSpin XL PTOs levá, dole</t>
  </si>
  <si>
    <t>9349308</t>
  </si>
  <si>
    <t>545007</t>
  </si>
  <si>
    <t>HETTICH 9349308 FurnSpin XL PTOs pravá, dole</t>
  </si>
  <si>
    <t>9351287</t>
  </si>
  <si>
    <t>561355</t>
  </si>
  <si>
    <t>HETTICH 9351287 Veosys omezovač úhlu otevření 105°&gt;90°</t>
  </si>
  <si>
    <t>9352251</t>
  </si>
  <si>
    <t>547337</t>
  </si>
  <si>
    <t>HETTICH 9352251 FurnSpin Cadro adaptér černá</t>
  </si>
  <si>
    <t>9352252</t>
  </si>
  <si>
    <t>547336</t>
  </si>
  <si>
    <t>HETTICH 9352252 FurnSpin Cadro adaptér bílá</t>
  </si>
  <si>
    <t>9352253</t>
  </si>
  <si>
    <t>547345</t>
  </si>
  <si>
    <t>HETTICH 9352253 FurnSpin Cadro klip pro krycí profil černá</t>
  </si>
  <si>
    <t>9352255</t>
  </si>
  <si>
    <t>547351</t>
  </si>
  <si>
    <t>HETTICH 9352255 FurnSpin Cadro koncovka pro kryt kování levá černá</t>
  </si>
  <si>
    <t>9352256</t>
  </si>
  <si>
    <t>547350</t>
  </si>
  <si>
    <t>HETTICH 9352256 FurnSpin Cadro koncovka pro kryt kování levá bílá</t>
  </si>
  <si>
    <t>9352257</t>
  </si>
  <si>
    <t>547353</t>
  </si>
  <si>
    <t>HETTICH 9352257 FurnSpin Cadro koncovka pro kryt kování pravá černá</t>
  </si>
  <si>
    <t>9352258</t>
  </si>
  <si>
    <t>547352</t>
  </si>
  <si>
    <t>HETTICH 9352258 FurnSpin Cadro koncovka pro kryt kování pravá bílá</t>
  </si>
  <si>
    <t>9352259</t>
  </si>
  <si>
    <t>547361</t>
  </si>
  <si>
    <t>HETTICH 9352259 FurnSpin Cadro rohový uzel horizontální + vertikální černá</t>
  </si>
  <si>
    <t>9352260</t>
  </si>
  <si>
    <t>547360</t>
  </si>
  <si>
    <t>HETTICH 9352260 FurnSpin Cadro rohový uzel horizontální + vertikální bílá</t>
  </si>
  <si>
    <t>9352261</t>
  </si>
  <si>
    <t>547357</t>
  </si>
  <si>
    <t>HETTICH 9352261 FurnSpin Cadro rohový uzel horizontální černá</t>
  </si>
  <si>
    <t>9352262</t>
  </si>
  <si>
    <t>547356</t>
  </si>
  <si>
    <t>HETTICH 9352262 FurnSpin Cadro rohový uzel horizontální bílá</t>
  </si>
  <si>
    <t>9352263</t>
  </si>
  <si>
    <t>547349</t>
  </si>
  <si>
    <t>HETTICH 9352263 FurnSpin Cadro adaptér pro kryt kování černá</t>
  </si>
  <si>
    <t>9352264</t>
  </si>
  <si>
    <t>547348</t>
  </si>
  <si>
    <t>HETTICH 9352264 FurnSpin Cadro adaptér pro kryt kování bílá</t>
  </si>
  <si>
    <t>9352267</t>
  </si>
  <si>
    <t>547347</t>
  </si>
  <si>
    <t>HETTICH 9352267 FurnSpin Cadro koncovka pro krycí profil černá</t>
  </si>
  <si>
    <t>9352268</t>
  </si>
  <si>
    <t>547346</t>
  </si>
  <si>
    <t>HETTICH 9352268 FurnSpin Cadro koncovka pro krycí profil bílá</t>
  </si>
  <si>
    <t>9352269</t>
  </si>
  <si>
    <t>547355</t>
  </si>
  <si>
    <t>HETTICH 9352269 FurnSpin Cadro kryt kování černá 3000 mm</t>
  </si>
  <si>
    <t>9352270</t>
  </si>
  <si>
    <t>547354</t>
  </si>
  <si>
    <t>HETTICH 9352270 FurnSpin Cadro kryt kování bílá 3000 mm</t>
  </si>
  <si>
    <t>9352281</t>
  </si>
  <si>
    <t>547339</t>
  </si>
  <si>
    <t>HETTICH 9352281 FurnSpin Cadro krycí profil černá 3000 mm</t>
  </si>
  <si>
    <t>9352282</t>
  </si>
  <si>
    <t>547338</t>
  </si>
  <si>
    <t>HETTICH 9352282 FurnSpin Cadro krycí profil bílá 3000 mm</t>
  </si>
  <si>
    <t>9352285</t>
  </si>
  <si>
    <t>547340</t>
  </si>
  <si>
    <t>HETTICH 9352285 FurnSpin Cadro rohový profil bílá 3000 mm</t>
  </si>
  <si>
    <t>9352287</t>
  </si>
  <si>
    <t>547358</t>
  </si>
  <si>
    <t>HETTICH 9352287 FurnSpin Cadro krytka pro závitový kolík m5 bílá</t>
  </si>
  <si>
    <t>9352459</t>
  </si>
  <si>
    <t>542182</t>
  </si>
  <si>
    <t>HETTICH 9352459 Insertflex 500 pro Arcitech/Innotech Atira, 500mm, antracit</t>
  </si>
  <si>
    <t>9352508</t>
  </si>
  <si>
    <t>537702</t>
  </si>
  <si>
    <t>HETTICH 9352508 elektromechanický systém otvírání Libero</t>
  </si>
  <si>
    <t>9353283</t>
  </si>
  <si>
    <t>530109</t>
  </si>
  <si>
    <t>HETTICH 9353283 AvanTech YOU sada bočnic inlay, 187/350mm, stříbrná (ver.2025)</t>
  </si>
  <si>
    <t>9353284</t>
  </si>
  <si>
    <t>530110</t>
  </si>
  <si>
    <t>HETTICH 9353284 AvanTech YOU sada bočnic inlay, 187/400mm, stříbrná (ver.2025)</t>
  </si>
  <si>
    <t>9353285</t>
  </si>
  <si>
    <t>530111</t>
  </si>
  <si>
    <t>HETTICH 9353285 AvanTech YOU sada bočnic inlay, 187/450mm, stříbrná (ver.2025)</t>
  </si>
  <si>
    <t>9353286</t>
  </si>
  <si>
    <t>530112</t>
  </si>
  <si>
    <t>HETTICH 9353286 AvanTech YOU sada bočnic inlay, 187/500mm, stříbrná (ver.2025)</t>
  </si>
  <si>
    <t>9353287</t>
  </si>
  <si>
    <t>530113</t>
  </si>
  <si>
    <t>HETTICH 9353287 AvanTech YOU sada bočnic inlay H187/550 stříbrná (ver.2025)</t>
  </si>
  <si>
    <t>9353288</t>
  </si>
  <si>
    <t>530114</t>
  </si>
  <si>
    <t>HETTICH 9353288 AvanTech YOU sada bočnic inlay H187/600 stříbrná (ver.2025)</t>
  </si>
  <si>
    <t>9353289</t>
  </si>
  <si>
    <t>530115</t>
  </si>
  <si>
    <t>HETTICH 9353289 AvanTech YOU sada bočnic inlay H187/650 stříbrná (ver.2025)</t>
  </si>
  <si>
    <t>9353290</t>
  </si>
  <si>
    <t>530116</t>
  </si>
  <si>
    <t>HETTICH 9353290 AvanTech YOU sada bočnic inlay, 187/350mm, bílá (ver.2025)</t>
  </si>
  <si>
    <t>9353291</t>
  </si>
  <si>
    <t>530117</t>
  </si>
  <si>
    <t>HETTICH 9353291 AvanTech YOU sada bočnic inlay, 187/400mm, bílá (ver.2025)</t>
  </si>
  <si>
    <t>9353292</t>
  </si>
  <si>
    <t>530118</t>
  </si>
  <si>
    <t>HETTICH 9353292 AvanTech YOU sada bočnic inlay, 187/450mm, bílá (ver.2025)</t>
  </si>
  <si>
    <t>9353293</t>
  </si>
  <si>
    <t>530119</t>
  </si>
  <si>
    <t>HETTICH 9353293 AvanTech YOU sada bočnic inlay, 187/500mm, bílá (ver.2025)</t>
  </si>
  <si>
    <t>9353294</t>
  </si>
  <si>
    <t>530120</t>
  </si>
  <si>
    <t>HETTICH 9353294 AvanTech YOU sada bočnic inlay, 187/550mm, bílá (ver.2025)</t>
  </si>
  <si>
    <t>9353295</t>
  </si>
  <si>
    <t>530121</t>
  </si>
  <si>
    <t>HETTICH 9353295 AvanTech YOU sada bočnic inlay, 187/600mm, bílá (ver.2025)</t>
  </si>
  <si>
    <t>9353296</t>
  </si>
  <si>
    <t>530122</t>
  </si>
  <si>
    <t>HETTICH 9353296 AvanTech YOU sada bočnic inlay, 187/650mm, bílá (ver.2025)</t>
  </si>
  <si>
    <t>9353297</t>
  </si>
  <si>
    <t>530123</t>
  </si>
  <si>
    <t>HETTICH 9353297 AvanTech YOU sada bočnic inlay, 187/350mm, antracit (ver.2025)</t>
  </si>
  <si>
    <t>9353298</t>
  </si>
  <si>
    <t>530124</t>
  </si>
  <si>
    <t>HETTICH 9353298 AvanTech YOU sada bočnic inlay, 187/400mm, antracit (ver.2025)</t>
  </si>
  <si>
    <t>9353299</t>
  </si>
  <si>
    <t>530125</t>
  </si>
  <si>
    <t>HETTICH 9353299 AvanTech YOU sada bočnic inlay, 187/450mm, antracit (ver.2025)</t>
  </si>
  <si>
    <t>9353300</t>
  </si>
  <si>
    <t>530126</t>
  </si>
  <si>
    <t>HETTICH 9353300 AvanTech YOU sada bočnic inlay, 187/500mm, antracit (ver.2025)</t>
  </si>
  <si>
    <t>9353301</t>
  </si>
  <si>
    <t>530127</t>
  </si>
  <si>
    <t>HETTICH 9353301 AvanTech YOU sada bočnic inlay H187/550 antracit (ver.2025)</t>
  </si>
  <si>
    <t>9353302</t>
  </si>
  <si>
    <t>530128</t>
  </si>
  <si>
    <t>HETTICH 9353302 AvanTech YOU sada bočnic inlay H187/600 antracit (ver.2025)</t>
  </si>
  <si>
    <t>9353303</t>
  </si>
  <si>
    <t>530129</t>
  </si>
  <si>
    <t>HETTICH 9353303 AvanTech YOU sada bočnic inlay H187/650 antracit (ver.2025)</t>
  </si>
  <si>
    <t>9353331</t>
  </si>
  <si>
    <t>529995</t>
  </si>
  <si>
    <t>HETTICH 9353331 AvanTech YOU sada bočnic, 77/400mm, stříbrná (ver.2025)</t>
  </si>
  <si>
    <t>9353332</t>
  </si>
  <si>
    <t>529996</t>
  </si>
  <si>
    <t>HETTICH 9353332 AvanTech YOU sada bočnic, 77/450mm, stříbrná (ver.2025)</t>
  </si>
  <si>
    <t>9353333</t>
  </si>
  <si>
    <t>529997</t>
  </si>
  <si>
    <t>HETTICH 9353333 AvanTech YOU sada bočnic, 77/500mm, stříbrná (ver.2025)</t>
  </si>
  <si>
    <t>9353334</t>
  </si>
  <si>
    <t>529998</t>
  </si>
  <si>
    <t>HETTICH 9353334 AvanTech YOU sada bočnic, 77/550mm, stříbrná (ver.2025)</t>
  </si>
  <si>
    <t>9353335</t>
  </si>
  <si>
    <t>530007</t>
  </si>
  <si>
    <t>HETTICH 9353335 AvanTech YOU sada bočnic, 101/270mm, stříbrná (ver.2025)</t>
  </si>
  <si>
    <t>9353336</t>
  </si>
  <si>
    <t>530008</t>
  </si>
  <si>
    <t>HETTICH 9353336 AvanTech YOU sada bočnic, 101/300mm, stříbrná (ver.2025)</t>
  </si>
  <si>
    <t>9353337</t>
  </si>
  <si>
    <t>530009</t>
  </si>
  <si>
    <t>HETTICH 9353337 AvanTech YOU sada bočnic, 101/350mm, stříbrná (ver.2025)</t>
  </si>
  <si>
    <t>9353338</t>
  </si>
  <si>
    <t>530010</t>
  </si>
  <si>
    <t>HETTICH 9353338 AvanTech YOU sada bočnic, 101/400mm, stříbrná (ver.2025)</t>
  </si>
  <si>
    <t>9353339</t>
  </si>
  <si>
    <t>530011</t>
  </si>
  <si>
    <t>HETTICH 9353339 AvanTech YOU sada bočnic, 101/450mm, stříbrná (ver.2025)</t>
  </si>
  <si>
    <t>9353340</t>
  </si>
  <si>
    <t>530012</t>
  </si>
  <si>
    <t>HETTICH 9353340 AvanTech YOU sada bočnic, 101/500mm, stříbrná (ver.2025)</t>
  </si>
  <si>
    <t>9353341</t>
  </si>
  <si>
    <t>530013</t>
  </si>
  <si>
    <t>HETTICH 9353341 AvanTech YOU sada bočnic, 101/550mm, stříbrná (ver.2025)</t>
  </si>
  <si>
    <t>9353342</t>
  </si>
  <si>
    <t>530014</t>
  </si>
  <si>
    <t>HETTICH 9353342 AvanTech YOU sada bočnic, 101/600mm, stříbrná (ver.2025)</t>
  </si>
  <si>
    <t>9353343</t>
  </si>
  <si>
    <t>530015</t>
  </si>
  <si>
    <t>HETTICH 9353343 AvanTech YOU sada bočnic, 101/650mm, stříbrná (ver.2025)</t>
  </si>
  <si>
    <t>9353344</t>
  </si>
  <si>
    <t>530034</t>
  </si>
  <si>
    <t>HETTICH 9353344 AvanTech YOU sada bočnic, 139/270mm, stříbrná (ver.2025)</t>
  </si>
  <si>
    <t>9353345</t>
  </si>
  <si>
    <t>530035</t>
  </si>
  <si>
    <t>HETTICH 9353345 AvanTech YOU sada bočnic H139/300 stříbrná (ver.2025)</t>
  </si>
  <si>
    <t>9353346</t>
  </si>
  <si>
    <t>530036</t>
  </si>
  <si>
    <t>HETTICH 9353346 AvanTech YOU sada bočnic H139/350 stříbrná (ver.2025)</t>
  </si>
  <si>
    <t>9353347</t>
  </si>
  <si>
    <t>530037</t>
  </si>
  <si>
    <t>HETTICH 9353347 AvanTech YOU sada bočnic H139/400 stříbrná (ver.2025)</t>
  </si>
  <si>
    <t>9353348</t>
  </si>
  <si>
    <t>530038</t>
  </si>
  <si>
    <t>HETTICH 9353348 AvanTech YOU sada bočnic H139/450 stříbrná (ver.2025)</t>
  </si>
  <si>
    <t>9353349</t>
  </si>
  <si>
    <t>530039</t>
  </si>
  <si>
    <t>HETTICH 9353349 AvanTech YOU sada bočnic H139/500 stříbrná (ver.2025)</t>
  </si>
  <si>
    <t>9353350</t>
  </si>
  <si>
    <t>530040</t>
  </si>
  <si>
    <t>HETTICH 9353350 AvanTech YOU sada bočnic H139/550 stříbrná (ver.2025)</t>
  </si>
  <si>
    <t>9353351</t>
  </si>
  <si>
    <t>530041</t>
  </si>
  <si>
    <t>HETTICH 9353351 AvanTech YOU sada bočnic H139/600 stříbrná (ver.2025)</t>
  </si>
  <si>
    <t>9353352</t>
  </si>
  <si>
    <t>530042</t>
  </si>
  <si>
    <t>HETTICH 9353352 AvanTech YOU sada bočnic, 139/650mm, stříbrná (ver.2025)</t>
  </si>
  <si>
    <t>9353353</t>
  </si>
  <si>
    <t>530061</t>
  </si>
  <si>
    <t>HETTICH 9353353 AvanTech YOU sada bočnic H187/270 stříbrná (ver.2025)</t>
  </si>
  <si>
    <t>9353354</t>
  </si>
  <si>
    <t>530062</t>
  </si>
  <si>
    <t>HETTICH 9353354 AvanTech YOU sada bočnic H187/300 stříbrná (ver.2025)</t>
  </si>
  <si>
    <t>9353355</t>
  </si>
  <si>
    <t>530063</t>
  </si>
  <si>
    <t>HETTICH 9353355 AvanTech YOU sada bočnic H187/350 stříbrná (ver.2025)</t>
  </si>
  <si>
    <t>9353356</t>
  </si>
  <si>
    <t>530064</t>
  </si>
  <si>
    <t>HETTICH 9353356 AvanTech YOU sada bočnic H187/400 stříbrná (ver.2025)</t>
  </si>
  <si>
    <t>9353357</t>
  </si>
  <si>
    <t>530065</t>
  </si>
  <si>
    <t>HETTICH 9353357 AvanTech YOU sada bočnic H187/450 stříbrná (ver.2025)</t>
  </si>
  <si>
    <t>9353358</t>
  </si>
  <si>
    <t>530066</t>
  </si>
  <si>
    <t>HETTICH 9353358 AvanTech YOU sada bočnic H187/500 stříbrná (ver.2025)</t>
  </si>
  <si>
    <t>9353359</t>
  </si>
  <si>
    <t>530067</t>
  </si>
  <si>
    <t>HETTICH 9353359 AvanTech YOU sada bočnic H187/550 stříbrná (ver.2025)</t>
  </si>
  <si>
    <t>9353360</t>
  </si>
  <si>
    <t>530068</t>
  </si>
  <si>
    <t>HETTICH 9353360 AvanTech YOU sada bočnic H187/600 stříbrná (ver.2025)</t>
  </si>
  <si>
    <t>9353371</t>
  </si>
  <si>
    <t>530069</t>
  </si>
  <si>
    <t>HETTICH 9353371 AvanTech YOU sada bočnic H187/650 stříbrná (ver.2025)</t>
  </si>
  <si>
    <t>9353372</t>
  </si>
  <si>
    <t>530088</t>
  </si>
  <si>
    <t>HETTICH 9353372 AvanTech YOU sada bočnic H251/350 stříbrná (ver.2025)</t>
  </si>
  <si>
    <t>9353373</t>
  </si>
  <si>
    <t>530089</t>
  </si>
  <si>
    <t>HETTICH 9353373 AvanTech YOU sada bočnic H251/400 stříbrná (ver.2025)</t>
  </si>
  <si>
    <t>9353374</t>
  </si>
  <si>
    <t>530090</t>
  </si>
  <si>
    <t>HETTICH 9353374 AvanTech YOU sada bočnic H251/450 stříbrná (ver.2025)</t>
  </si>
  <si>
    <t>9353375</t>
  </si>
  <si>
    <t>530091</t>
  </si>
  <si>
    <t>HETTICH 9353375 AvanTech YOU sada bočnic H251/500 stříbrná (ver.2025)</t>
  </si>
  <si>
    <t>9353376</t>
  </si>
  <si>
    <t>530092</t>
  </si>
  <si>
    <t>HETTICH 9353376 AvanTech YOU sada bočnic H251/550 stříbrná (ver.2025)</t>
  </si>
  <si>
    <t>9353377</t>
  </si>
  <si>
    <t>530093</t>
  </si>
  <si>
    <t>HETTICH 9353377 AvanTech YOU sada bočnic H251/600 stříbrná (ver.2025)</t>
  </si>
  <si>
    <t>9353378</t>
  </si>
  <si>
    <t>530094</t>
  </si>
  <si>
    <t>HETTICH 9353378 AvanTech YOU sada bočnic H251/650 stříbrná (ver.2025)</t>
  </si>
  <si>
    <t>9353379</t>
  </si>
  <si>
    <t>529999</t>
  </si>
  <si>
    <t>HETTICH 9353379 AvanTech YOU sada bočnic, 77/400mm, bílá (ver.2025)</t>
  </si>
  <si>
    <t>9353380</t>
  </si>
  <si>
    <t>530000</t>
  </si>
  <si>
    <t>HETTICH 9353380 AvanTech YOU sada bočnic, 77/450mm, bílá (ver.2025)</t>
  </si>
  <si>
    <t>9353381</t>
  </si>
  <si>
    <t>530001</t>
  </si>
  <si>
    <t>HETTICH 9353381 AvanTech YOU sada bočnic, 77/500mm, bílá (ver.2025)</t>
  </si>
  <si>
    <t>9353382</t>
  </si>
  <si>
    <t>530002</t>
  </si>
  <si>
    <t>HETTICH 9353382 AvanTech YOU sada bočnic, 77/550mm, bílá (ver.2025)</t>
  </si>
  <si>
    <t>9353383</t>
  </si>
  <si>
    <t>530016</t>
  </si>
  <si>
    <t>HETTICH 9353383 AvanTech YOU sada bočnic, 101/270mm, bílá (ver.2025)</t>
  </si>
  <si>
    <t>9353384</t>
  </si>
  <si>
    <t>530017</t>
  </si>
  <si>
    <t>HETTICH 9353384 AvanTech YOU sada bočnic, 101/300mm, bílá (ver.2025)</t>
  </si>
  <si>
    <t>9353385</t>
  </si>
  <si>
    <t>530018</t>
  </si>
  <si>
    <t>HETTICH 9353385 AvanTech YOU sada bočnic, 101/350mm, bílá (ver.2025)</t>
  </si>
  <si>
    <t>9353386</t>
  </si>
  <si>
    <t>530019</t>
  </si>
  <si>
    <t>HETTICH 9353386 AvanTech YOU sada bočnic, 101/400mm, bílá (ver.2025)</t>
  </si>
  <si>
    <t>9353387</t>
  </si>
  <si>
    <t>530020</t>
  </si>
  <si>
    <t>HETTICH 9353387 AvanTech YOU sada bočnic, 101/450mm, bílá (ver.2025)</t>
  </si>
  <si>
    <t>9353388</t>
  </si>
  <si>
    <t>530021</t>
  </si>
  <si>
    <t>HETTICH 9353388 AvanTech YOU sada bočnic, 101/500mm, bílá (ver.2025)</t>
  </si>
  <si>
    <t>9353389</t>
  </si>
  <si>
    <t>530022</t>
  </si>
  <si>
    <t>HETTICH 9353389 AvanTech YOU sada bočnic, 101/550mm, bílá (ver.2025)</t>
  </si>
  <si>
    <t>9353390</t>
  </si>
  <si>
    <t>530023</t>
  </si>
  <si>
    <t>HETTICH 9353390 AvanTech YOU sada bočnic, 101/600mm, bílá (ver.2025)</t>
  </si>
  <si>
    <t>9353391</t>
  </si>
  <si>
    <t>530024</t>
  </si>
  <si>
    <t>HETTICH 9353391 AvanTech YOU sada bočnic, 101/650mm, bílá (ver.2025)</t>
  </si>
  <si>
    <t>9353392</t>
  </si>
  <si>
    <t>530043</t>
  </si>
  <si>
    <t>HETTICH 9353392 AvanTech YOU sada bočnic, 139/270mm, bílá (ver.2025)</t>
  </si>
  <si>
    <t>9353393</t>
  </si>
  <si>
    <t>530044</t>
  </si>
  <si>
    <t>HETTICH 9353393 AvanTech YOU sada bočnic, 139/300mm, bílá (ver.2025)</t>
  </si>
  <si>
    <t>9353394</t>
  </si>
  <si>
    <t>530045</t>
  </si>
  <si>
    <t>HETTICH 9353394 AvanTech YOU sada bočnic, 139/350mm, bílá (ver.2025)</t>
  </si>
  <si>
    <t>9353395</t>
  </si>
  <si>
    <t>530046</t>
  </si>
  <si>
    <t>HETTICH 9353395 AvanTech YOU sada bočnic, 139/400mm, bílá (ver.2025)</t>
  </si>
  <si>
    <t>9353396</t>
  </si>
  <si>
    <t>530047</t>
  </si>
  <si>
    <t>HETTICH 9353396 AvanTech YOU sada bočnic, 139/450mm, bílá (ver.2025)</t>
  </si>
  <si>
    <t>9353397</t>
  </si>
  <si>
    <t>530048</t>
  </si>
  <si>
    <t>HETTICH 9353397 AvanTech YOU sada bočnic, 139/500mm, bílá (ver.2025)</t>
  </si>
  <si>
    <t>9353398</t>
  </si>
  <si>
    <t>530049</t>
  </si>
  <si>
    <t>HETTICH 9353398 AvanTech YOU sada bočnic, 139/550mm, bílá (ver.2025)</t>
  </si>
  <si>
    <t>9353399</t>
  </si>
  <si>
    <t>530050</t>
  </si>
  <si>
    <t>HETTICH 9353399 AvanTech YOU sada bočnic, 139/600mm, bílá (ver.2025)</t>
  </si>
  <si>
    <t>9353400</t>
  </si>
  <si>
    <t>530051</t>
  </si>
  <si>
    <t>HETTICH 9353400 AvanTech YOU sada bočnic, 139/650mm, bílá (ver.2025)</t>
  </si>
  <si>
    <t>9353401</t>
  </si>
  <si>
    <t>530070</t>
  </si>
  <si>
    <t>HETTICH 9353401 AvanTech YOU sada bočnic, 187/270mm, bílá (ver.2025)</t>
  </si>
  <si>
    <t>9353402</t>
  </si>
  <si>
    <t>530071</t>
  </si>
  <si>
    <t>HETTICH 9353402 AvanTech YOU sada bočnic, 187/300mm, bílá (ver.2025)</t>
  </si>
  <si>
    <t>9353403</t>
  </si>
  <si>
    <t>530072</t>
  </si>
  <si>
    <t>HETTICH 9353403 AvanTech YOU sada bočnic, 187/350mm, bílá (ver.2025)</t>
  </si>
  <si>
    <t>9353404</t>
  </si>
  <si>
    <t>530073</t>
  </si>
  <si>
    <t>HETTICH 9353404 AvanTech YOU sada bočnic, 187/400mm, bílá (ver.2025)</t>
  </si>
  <si>
    <t>9353405</t>
  </si>
  <si>
    <t>530074</t>
  </si>
  <si>
    <t>HETTICH 9353405 AvanTech YOU sada bočnic, 187/450mm, bílá (ver.2025)</t>
  </si>
  <si>
    <t>9353406</t>
  </si>
  <si>
    <t>530075</t>
  </si>
  <si>
    <t>HETTICH 9353406 AvanTech YOU sada bočnic, 187/500mm, bílá (ver.2025)</t>
  </si>
  <si>
    <t>9353407</t>
  </si>
  <si>
    <t>530076</t>
  </si>
  <si>
    <t>HETTICH 9353407 AvanTech YOU sada bočnic, 187/550mm, bílá (ver.2025)</t>
  </si>
  <si>
    <t>9353408</t>
  </si>
  <si>
    <t>530077</t>
  </si>
  <si>
    <t>HETTICH 9353408 AvanTech YOU sada bočnic, 187/600mm, bílá (ver.2025)</t>
  </si>
  <si>
    <t>9353409</t>
  </si>
  <si>
    <t>530078</t>
  </si>
  <si>
    <t>HETTICH 9353409 AvanTech YOU sada bočnic, 187/650mm, bílá (ver.2025)</t>
  </si>
  <si>
    <t>9353410</t>
  </si>
  <si>
    <t>530095</t>
  </si>
  <si>
    <t>HETTICH 9353410 AvanTech YOU sada bočnic, 251/350mm, bílá (ver.2025)</t>
  </si>
  <si>
    <t>9353411</t>
  </si>
  <si>
    <t>530096</t>
  </si>
  <si>
    <t>HETTICH 9353411 AvanTech YOU sada bočnic, 251/400mm, bílá (ver.2025)</t>
  </si>
  <si>
    <t>9353412</t>
  </si>
  <si>
    <t>530097</t>
  </si>
  <si>
    <t>HETTICH 9353412 AvanTech YOU sada bočnic, 251/450mm, bílá (ver.2025)</t>
  </si>
  <si>
    <t>9353413</t>
  </si>
  <si>
    <t>530098</t>
  </si>
  <si>
    <t>HETTICH 9353413 AvanTech YOU sada bočnic, 251/500mm, bílá (ver.2025)</t>
  </si>
  <si>
    <t>9353414</t>
  </si>
  <si>
    <t>530099</t>
  </si>
  <si>
    <t>HETTICH 9353414 AvanTech YOU sada bočnic, 251/550mm, bílá (ver.2025)</t>
  </si>
  <si>
    <t>9353415</t>
  </si>
  <si>
    <t>530100</t>
  </si>
  <si>
    <t>HETTICH 9353415 AvanTech YOU sada bočnic, 251/600mm, bílá (ver.2025)</t>
  </si>
  <si>
    <t>9353416</t>
  </si>
  <si>
    <t>530101</t>
  </si>
  <si>
    <t>HETTICH 9353416 AvanTech YOU sada bočnic, 251/650mm, bílá (ver.2025)</t>
  </si>
  <si>
    <t>9353417</t>
  </si>
  <si>
    <t>530003</t>
  </si>
  <si>
    <t>HETTICH 9353417 AvanTech YOU sada bočnic, 77/400mm, antracit (ver.2025)</t>
  </si>
  <si>
    <t>9353418</t>
  </si>
  <si>
    <t>530004</t>
  </si>
  <si>
    <t>HETTICH 9353418 AvanTech YOU sada bočnic, 77/450mm, antracit (ver.2025)</t>
  </si>
  <si>
    <t>9353419</t>
  </si>
  <si>
    <t>530005</t>
  </si>
  <si>
    <t>HETTICH 9353419 AvanTech YOU sada bočnic, 77/500mm, antracit (ver.2025)</t>
  </si>
  <si>
    <t>9353420</t>
  </si>
  <si>
    <t>530006</t>
  </si>
  <si>
    <t>HETTICH 9353420 AvanTech YOU sada bočnic, 77/550mm, antracit (ver.2025)</t>
  </si>
  <si>
    <t>9353421</t>
  </si>
  <si>
    <t>530025</t>
  </si>
  <si>
    <t>HETTICH 9353421 AvanTech YOU sada bočnic, 101/270mm, antracit (ver.2025)</t>
  </si>
  <si>
    <t>9353422</t>
  </si>
  <si>
    <t>530026</t>
  </si>
  <si>
    <t>HETTICH 9353422 AvanTech YOU sada bočnic, 101/300mm, antracit (ver.2025)</t>
  </si>
  <si>
    <t>9353423</t>
  </si>
  <si>
    <t>530027</t>
  </si>
  <si>
    <t>HETTICH 9353423 AvanTech YOU sada bočnic, 101/350mm, antracit (ver.2025)</t>
  </si>
  <si>
    <t>9353424</t>
  </si>
  <si>
    <t>530028</t>
  </si>
  <si>
    <t>HETTICH 9353424 AvanTech YOU sada bočnic, 101/400mm, antracit (ver.2025)</t>
  </si>
  <si>
    <t>9353425</t>
  </si>
  <si>
    <t>530029</t>
  </si>
  <si>
    <t>HETTICH 9353425 AvanTech YOU sada bočnic, 101/450mm, antracit (ver.2025)</t>
  </si>
  <si>
    <t>9353426</t>
  </si>
  <si>
    <t>530030</t>
  </si>
  <si>
    <t>HETTICH 9353426 AvanTech YOU sada bočnic, 101/500mm, antracit (ver.2025)</t>
  </si>
  <si>
    <t>9353427</t>
  </si>
  <si>
    <t>530031</t>
  </si>
  <si>
    <t>HETTICH 9353427 AvanTech YOU sada bočnic, 101/550mm, antracit (ver.2025)</t>
  </si>
  <si>
    <t>9353428</t>
  </si>
  <si>
    <t>530032</t>
  </si>
  <si>
    <t>HETTICH 9353428 AvanTech YOU sada bočnic, 101/600mm, antracit (ver.2025)</t>
  </si>
  <si>
    <t>9353429</t>
  </si>
  <si>
    <t>530033</t>
  </si>
  <si>
    <t>HETTICH 9353429 AvanTech YOU sada bočnic, 101/650mm, antracit (ver.2025)</t>
  </si>
  <si>
    <t>9353430</t>
  </si>
  <si>
    <t>530052</t>
  </si>
  <si>
    <t>HETTICH 9353430 AvanTech YOU sada bočnic, 139/270mm, antracit (ver.2025)</t>
  </si>
  <si>
    <t>9353431</t>
  </si>
  <si>
    <t>530053</t>
  </si>
  <si>
    <t>HETTICH 9353431 AvanTech YOU sada bočnic, 139/300mm, antracit (ver.2025)</t>
  </si>
  <si>
    <t>9353432</t>
  </si>
  <si>
    <t>530054</t>
  </si>
  <si>
    <t>HETTICH 9353432 AvanTech YOU sada bočnic, 139/350mm, antracit (ver.2025)</t>
  </si>
  <si>
    <t>9353433</t>
  </si>
  <si>
    <t>530055</t>
  </si>
  <si>
    <t>HETTICH 9353433 AvanTech YOU sada bočnic, 139/400mm, antracit (ver.2025)</t>
  </si>
  <si>
    <t>9353434</t>
  </si>
  <si>
    <t>530056</t>
  </si>
  <si>
    <t>HETTICH 9353434 AvanTech YOU sada bočnic, 139/450mm, antracit (ver.2025)</t>
  </si>
  <si>
    <t>9353435</t>
  </si>
  <si>
    <t>530057</t>
  </si>
  <si>
    <t>HETTICH 9353435 AvanTech YOU sada bočnic, 139/500mm, antracit (ver.2025)</t>
  </si>
  <si>
    <t>9353436</t>
  </si>
  <si>
    <t>530058</t>
  </si>
  <si>
    <t>HETTICH 9353436 AvanTech YOU sada bočnic, 139/550mm, antracit (ver.2025)</t>
  </si>
  <si>
    <t>9353437</t>
  </si>
  <si>
    <t>530059</t>
  </si>
  <si>
    <t>HETTICH 9353437 AvanTech YOU sada bočnic, 139/600mm, antracit (ver.2025)</t>
  </si>
  <si>
    <t>9353438</t>
  </si>
  <si>
    <t>530060</t>
  </si>
  <si>
    <t>HETTICH 9353438 AvanTech YOU sada bočnic, 139/650mm, antracit (ver.2025)</t>
  </si>
  <si>
    <t>9353439</t>
  </si>
  <si>
    <t>530079</t>
  </si>
  <si>
    <t>HETTICH 9353439 AvanTech YOU sada bočnic, 187/270mm, antracit (ver.2025)</t>
  </si>
  <si>
    <t>9353440</t>
  </si>
  <si>
    <t>530080</t>
  </si>
  <si>
    <t>HETTICH 9353440 AvanTech YOU sada bočnic, 187/300mm, antracit (ver.2025)</t>
  </si>
  <si>
    <t>9353441</t>
  </si>
  <si>
    <t>530081</t>
  </si>
  <si>
    <t>HETTICH 9353441 AvanTech YOU sada bočnic, 187/350mm, antracit (ver.2025)</t>
  </si>
  <si>
    <t>9353442</t>
  </si>
  <si>
    <t>530082</t>
  </si>
  <si>
    <t>HETTICH 9353442 AvanTech YOU sada bočnic, 187/400mm, antracit (ver.2025)</t>
  </si>
  <si>
    <t>9353443</t>
  </si>
  <si>
    <t>530083</t>
  </si>
  <si>
    <t>HETTICH 9353443 AvanTech YOU sada bočnic, 187/450mm, antracit (ver.2025)</t>
  </si>
  <si>
    <t>9353444</t>
  </si>
  <si>
    <t>530084</t>
  </si>
  <si>
    <t>HETTICH 9353444 AvanTech YOU sada bočnic, 187/500mm, antracit (ver.2025)</t>
  </si>
  <si>
    <t>9353445</t>
  </si>
  <si>
    <t>530085</t>
  </si>
  <si>
    <t>HETTICH 9353445 AvanTech YOU sada bočnic, 187/550mm, antracit (ver.2025)</t>
  </si>
  <si>
    <t>9353446</t>
  </si>
  <si>
    <t>530086</t>
  </si>
  <si>
    <t>HETTICH 9353446 AvanTech YOU sada bočnic, 187/600mm, antracit (ver.2025)</t>
  </si>
  <si>
    <t>9353447</t>
  </si>
  <si>
    <t>530087</t>
  </si>
  <si>
    <t>HETTICH 9353447 AvanTech YOU sada bočnic, 187/650mm, antracit (ver.2025)</t>
  </si>
  <si>
    <t>9353448</t>
  </si>
  <si>
    <t>530102</t>
  </si>
  <si>
    <t>HETTICH 9353448 AvanTech YOU sada bočnic, 251/350mm, antracit (ver.2025)</t>
  </si>
  <si>
    <t>9353449</t>
  </si>
  <si>
    <t>530103</t>
  </si>
  <si>
    <t>HETTICH 9353449 AvanTech YOU sada bočnic, 251/400mm, antracit (ver.2025)</t>
  </si>
  <si>
    <t>9353450</t>
  </si>
  <si>
    <t>530104</t>
  </si>
  <si>
    <t>HETTICH 9353450 AvanTech YOU sada bočnic, 251/450mm, antracit (ver.2025)</t>
  </si>
  <si>
    <t>9353451</t>
  </si>
  <si>
    <t>530105</t>
  </si>
  <si>
    <t>HETTICH 9353451 AvanTech YOU sada bočnic, 251/500mm, antracit (ver.2025)</t>
  </si>
  <si>
    <t>9353452</t>
  </si>
  <si>
    <t>530106</t>
  </si>
  <si>
    <t>HETTICH 9353452 AvanTech YOU sada bočnic, 251/550mm, antracit (ver.2025)</t>
  </si>
  <si>
    <t>9353453</t>
  </si>
  <si>
    <t>530107</t>
  </si>
  <si>
    <t>HETTICH 9353453 AvanTech YOU sada bočnic, 251/600mm, antracit (ver.2025)</t>
  </si>
  <si>
    <t>9353454</t>
  </si>
  <si>
    <t>530108</t>
  </si>
  <si>
    <t>HETTICH 9353454 AvanTech YOU sada bočnic, 251/650mm, antracit (ver.2025)</t>
  </si>
  <si>
    <t>538088</t>
  </si>
  <si>
    <t>HETTICH 9359507 AvanTech You sada příchytů čela H251 vč stabilizátorů vrut</t>
  </si>
  <si>
    <t>538089</t>
  </si>
  <si>
    <t>HETTICH 9359508 AvanTech You sada příchytů čela H251 vč stabilizátorů zalisování</t>
  </si>
  <si>
    <t>9360710</t>
  </si>
  <si>
    <t>547341</t>
  </si>
  <si>
    <t>HETTICH 9360710 FurnSpin Cadro rohový profil černá 3000 mm</t>
  </si>
  <si>
    <t>9360714</t>
  </si>
  <si>
    <t>547359</t>
  </si>
  <si>
    <t>HETTICH 9360714 FurnSpin Cadro krytka pro závitový kolík m5 černá</t>
  </si>
  <si>
    <t>9360715</t>
  </si>
  <si>
    <t>547363</t>
  </si>
  <si>
    <t>HETTICH 9360715 FurnSpin Cadro samořezný závitový kolík m5 x 4 mm černá</t>
  </si>
  <si>
    <t>9360729</t>
  </si>
  <si>
    <t>547325</t>
  </si>
  <si>
    <t>HETTICH 9360729 FurnSpin Cadro bez profilů sada černá</t>
  </si>
  <si>
    <t>9360730</t>
  </si>
  <si>
    <t>547324</t>
  </si>
  <si>
    <t>HETTICH 9360730 FurnSpin Cadro bez profilů sada bílá</t>
  </si>
  <si>
    <t>9360731</t>
  </si>
  <si>
    <t>547343</t>
  </si>
  <si>
    <t>HETTICH 9360731 FurnSpin Cadro vertikální profily sada černá 3000 mm</t>
  </si>
  <si>
    <t>9360732</t>
  </si>
  <si>
    <t>547342</t>
  </si>
  <si>
    <t>HETTICH 9360732 FurnSpin Cadro vertikální profily sada bílá 3000 mm</t>
  </si>
  <si>
    <t>9360733</t>
  </si>
  <si>
    <t>547365</t>
  </si>
  <si>
    <t>HETTICH 9360733 FurnSpin Cadro pro polici sada černá</t>
  </si>
  <si>
    <t>9360734</t>
  </si>
  <si>
    <t>547364</t>
  </si>
  <si>
    <t>HETTICH 9360734 FurnSpin Cadro pro polici sada bílá</t>
  </si>
  <si>
    <t>9360735</t>
  </si>
  <si>
    <t>547329</t>
  </si>
  <si>
    <t>HETTICH 9360735 FurnSpin Cadro hybrid vertikální bez profilů sada černá</t>
  </si>
  <si>
    <t>9360736</t>
  </si>
  <si>
    <t>547328</t>
  </si>
  <si>
    <t>HETTICH 9360736 FurnSpin Cadro hybrid vertikální bez profilů sada bílá</t>
  </si>
  <si>
    <t>9360738</t>
  </si>
  <si>
    <t>547333</t>
  </si>
  <si>
    <t>HETTICH 9360738 FurnSpin Cadro hybrid horizontální bez profilů sada černá</t>
  </si>
  <si>
    <t>9360739</t>
  </si>
  <si>
    <t>547332</t>
  </si>
  <si>
    <t>HETTICH 9360739 FurnSpin Cadro hybrid horizontální bez profilů sada bílá</t>
  </si>
  <si>
    <t>9360943</t>
  </si>
  <si>
    <t>547327</t>
  </si>
  <si>
    <t>HETTICH 9360943 FurnSpin Cadro komplet sada černá</t>
  </si>
  <si>
    <t>9360944</t>
  </si>
  <si>
    <t>547326</t>
  </si>
  <si>
    <t>HETTICH 9360944 FurnSpin Cadro komplet sada bílá</t>
  </si>
  <si>
    <t>9360945</t>
  </si>
  <si>
    <t>547331</t>
  </si>
  <si>
    <t>HETTICH 9360945 FurnSpin Cadro hybrid vertikální komplet sada černá</t>
  </si>
  <si>
    <t>9360946</t>
  </si>
  <si>
    <t>547330</t>
  </si>
  <si>
    <t>HETTICH 9360946 FurnSpin Cadro hybrid vertikální komplet sada bílá</t>
  </si>
  <si>
    <t>9360947</t>
  </si>
  <si>
    <t>547335</t>
  </si>
  <si>
    <t>HETTICH 9360947 FurnSpin Cadro hybrid horizontální komplet sada černá</t>
  </si>
  <si>
    <t>9360948</t>
  </si>
  <si>
    <t>547334</t>
  </si>
  <si>
    <t>HETTICH 9360948 FurnSpin Cadro hybrid horizontální komplet sada bílá</t>
  </si>
  <si>
    <t>9364998</t>
  </si>
  <si>
    <t>559339</t>
  </si>
  <si>
    <t>HETTICH 9364998 Quadro výsuvný věšák 350 mm</t>
  </si>
  <si>
    <t>9364999</t>
  </si>
  <si>
    <t>559586</t>
  </si>
  <si>
    <t>HETTICH 9364999 výsuvný věšák na ramínka, 400 mm, stříbrná</t>
  </si>
  <si>
    <t>9375887</t>
  </si>
  <si>
    <t>549382</t>
  </si>
  <si>
    <t>HETTICH 9375887 pístek PTO s čočkou, krátký, s adaptérem, bílá</t>
  </si>
  <si>
    <t>9375889</t>
  </si>
  <si>
    <t>549383</t>
  </si>
  <si>
    <t>HETTICH 9375889 pístek PTO s čočkou, krátký, s adaptérem, antracit</t>
  </si>
  <si>
    <t>9375900</t>
  </si>
  <si>
    <t>549373</t>
  </si>
  <si>
    <t>HETTICH 9375900 pístek PTO s čočkou, krátký, s adaptérem, šedá</t>
  </si>
  <si>
    <t>9375901</t>
  </si>
  <si>
    <t>549384</t>
  </si>
  <si>
    <t>HETTICH 9375901 pístek PTO s čočkou, dlouhý, s adaptérem, bílá</t>
  </si>
  <si>
    <t>9375902</t>
  </si>
  <si>
    <t>549385</t>
  </si>
  <si>
    <t>HETTICH 9375902 pístek PTO s čočkou, dlouhý, s adaptérem, antracit</t>
  </si>
  <si>
    <t>9375904</t>
  </si>
  <si>
    <t>549374</t>
  </si>
  <si>
    <t>HETTICH 9375904 pístek PTO s čočkou, dlouhý, s adaptérem, šedá</t>
  </si>
  <si>
    <t>9375906</t>
  </si>
  <si>
    <t>549386</t>
  </si>
  <si>
    <t>HETTICH 9375906 pístek PTO s čočkou, krátký, k zavrtání, bílá</t>
  </si>
  <si>
    <t>9375907</t>
  </si>
  <si>
    <t>549387</t>
  </si>
  <si>
    <t>HETTICH 9375907 pístek PTO s čočkou, krátký, k zavrtání, antracit</t>
  </si>
  <si>
    <t>9375908</t>
  </si>
  <si>
    <t>549375</t>
  </si>
  <si>
    <t>HETTICH 9375908 pístek PTO s čočkou, krátký, k zavrtání, šedá</t>
  </si>
  <si>
    <t>9375920</t>
  </si>
  <si>
    <t>549388</t>
  </si>
  <si>
    <t>HETTICH 9375920 pístek PTO s čočkou, dlouhý, k zavrtání, bílá</t>
  </si>
  <si>
    <t>9375922</t>
  </si>
  <si>
    <t>549389</t>
  </si>
  <si>
    <t>HETTICH 9375922 pístek PTO s čočkou, dlouhý, k zavrtání, antracit</t>
  </si>
  <si>
    <t>9375925</t>
  </si>
  <si>
    <t>549376</t>
  </si>
  <si>
    <t>HETTICH 9375925 pístek PTO s čočkou, dlouhý, k zavrtání, šedá</t>
  </si>
  <si>
    <t>9375927</t>
  </si>
  <si>
    <t>549390</t>
  </si>
  <si>
    <t>HETTICH 9375927 pístek PTO s čočkou, krátký, extra silný, s adaptérem, bílá</t>
  </si>
  <si>
    <t>9375930</t>
  </si>
  <si>
    <t>549391</t>
  </si>
  <si>
    <t>HETTICH 9375930 pístek PTO s čočkou, krátký, extra silný, s adaptérem, antracit</t>
  </si>
  <si>
    <t>9375931</t>
  </si>
  <si>
    <t>549392</t>
  </si>
  <si>
    <t>HETTICH 9375931 pístek PTO s čočkou, krátký, extra silný, s adaptérem, šedá</t>
  </si>
  <si>
    <t>9375932</t>
  </si>
  <si>
    <t>549393</t>
  </si>
  <si>
    <t>HETTICH 9375932 pístek PTO s čočkou, dlouhý, extra silný, s adaptérem, bílá</t>
  </si>
  <si>
    <t>9375933</t>
  </si>
  <si>
    <t>549394</t>
  </si>
  <si>
    <t>HETTICH 9375933 pístek PTO s čočkou, dlouhý, extra silný, s adaptérem, antracit</t>
  </si>
  <si>
    <t>9375934</t>
  </si>
  <si>
    <t>548419</t>
  </si>
  <si>
    <t>HETTICH 9375934 pístek PTO s čočkou, dlouhý, extra silný, s adaptérem, šedá</t>
  </si>
  <si>
    <t>9375935</t>
  </si>
  <si>
    <t>549395</t>
  </si>
  <si>
    <t>HETTICH 9375935 pístek PTO s čočkou, krátký, extra silný, k zavrtání, bílá</t>
  </si>
  <si>
    <t>9375936</t>
  </si>
  <si>
    <t>549396</t>
  </si>
  <si>
    <t>HETTICH 9375936 pístek PTO s čočkou, krátký, extra silný, k zavrtání, antracit</t>
  </si>
  <si>
    <t>9375962</t>
  </si>
  <si>
    <t>549397</t>
  </si>
  <si>
    <t>HETTICH 9375962 pístek PTO s čočkou, dlouhý, extra silný, k zavrtání, šedá</t>
  </si>
  <si>
    <t>9375963</t>
  </si>
  <si>
    <t>549398</t>
  </si>
  <si>
    <t>HETTICH 9375963 pístek PTO s čočkou, dlouhý, extra silný, k zavrtání, bílá</t>
  </si>
  <si>
    <t>9375964</t>
  </si>
  <si>
    <t>549399</t>
  </si>
  <si>
    <t>HETTICH 9375964 pístek PTO s čočkou, dlouhý, extra silný, k zavrtání, antracit</t>
  </si>
  <si>
    <t>9375965</t>
  </si>
  <si>
    <t>549377</t>
  </si>
  <si>
    <t>HETTICH 9375965 pístek PTO s čočkou, dlouhý, extra silný, k zavrtání, šedá</t>
  </si>
  <si>
    <t>9375966</t>
  </si>
  <si>
    <t>549400</t>
  </si>
  <si>
    <t>HETTICH 9375966 pístek PTO s magnetem, krátký, s adaptérem, bílá</t>
  </si>
  <si>
    <t>9375967</t>
  </si>
  <si>
    <t>549401</t>
  </si>
  <si>
    <t>HETTICH 9375967 pístek PTO s magnetem, krátký, s adaptérem, antracit</t>
  </si>
  <si>
    <t>9375968</t>
  </si>
  <si>
    <t>546607</t>
  </si>
  <si>
    <t>HETTICH 9375968 pístek PTO s magnetem, krátký, s adaptérem, šedá</t>
  </si>
  <si>
    <t>9375969</t>
  </si>
  <si>
    <t>549276</t>
  </si>
  <si>
    <t>HETTICH 9375969 pístek PTO s magnetem, dlouhý, s adaptérem, bílá</t>
  </si>
  <si>
    <t>9375980</t>
  </si>
  <si>
    <t>549402</t>
  </si>
  <si>
    <t>HETTICH 9375980 pístek PTO s magnetem, dlouhý, s adaptérem, antracit</t>
  </si>
  <si>
    <t>9375981</t>
  </si>
  <si>
    <t>549378</t>
  </si>
  <si>
    <t>HETTICH 9375981 pístek PTO s magnetem, dlouhý, s adaptérem, šedá</t>
  </si>
  <si>
    <t>9375982</t>
  </si>
  <si>
    <t>549403</t>
  </si>
  <si>
    <t>HETTICH 9375982 pístek PTO s magnetem, krátký, k zavrtání, bílá</t>
  </si>
  <si>
    <t>9375983</t>
  </si>
  <si>
    <t>549404</t>
  </si>
  <si>
    <t>HETTICH 9375983 pístek PTO s magnetem, krátký, k zavrtání, antracit</t>
  </si>
  <si>
    <t>9375984</t>
  </si>
  <si>
    <t>549379</t>
  </si>
  <si>
    <t>HETTICH 9375984 pístek PTO s magnetem, krátký, k zavrtání, šedá</t>
  </si>
  <si>
    <t>9375985</t>
  </si>
  <si>
    <t>549405</t>
  </si>
  <si>
    <t>HETTICH 9375985 pístek PTO s magnetem, dlouhý, k zavrtání, bílá</t>
  </si>
  <si>
    <t>9375986</t>
  </si>
  <si>
    <t>549406</t>
  </si>
  <si>
    <t>HETTICH 9375986 pístek PTO s magnetem, dlouhý, k zavrtání, antracit</t>
  </si>
  <si>
    <t>9375988</t>
  </si>
  <si>
    <t>549380</t>
  </si>
  <si>
    <t>HETTICH 9375988 pístek PTO s magnetem, dlouhý, k zavrtání, šedá</t>
  </si>
  <si>
    <t>9378751</t>
  </si>
  <si>
    <t>548327</t>
  </si>
  <si>
    <t>HETTICH 9378751 Arcitech příčný reling KB1200, L=1103mm, stříbrná</t>
  </si>
  <si>
    <t>9378752</t>
  </si>
  <si>
    <t>548329</t>
  </si>
  <si>
    <t>HETTICH 9378752 Arcitech příčný reling KB1200, L=1103mm, antracit</t>
  </si>
  <si>
    <t>9378763</t>
  </si>
  <si>
    <t>548328</t>
  </si>
  <si>
    <t>HETTICH 9378763 Arcitech příčný reling KB1200, L=1103mm, bílá</t>
  </si>
  <si>
    <t>9378766</t>
  </si>
  <si>
    <t>548321</t>
  </si>
  <si>
    <t>HETTICH 9378766 Atira příčný reling KB1200, L=1102mm, stříbrná</t>
  </si>
  <si>
    <t>9378767</t>
  </si>
  <si>
    <t>548322</t>
  </si>
  <si>
    <t>HETTICH 9378767 Atira příčný reling KB1200, L=1102mm, bílá</t>
  </si>
  <si>
    <t>9378768</t>
  </si>
  <si>
    <t>548323</t>
  </si>
  <si>
    <t>HETTICH 9378768 Atira příčný reling KB1200, L=1102mm, antracit</t>
  </si>
  <si>
    <t>9380308</t>
  </si>
  <si>
    <t>549407</t>
  </si>
  <si>
    <t>HETTICH 9380308 magnet PTO Lock, k zavrtání, bílá</t>
  </si>
  <si>
    <t>9381335</t>
  </si>
  <si>
    <t>549408</t>
  </si>
  <si>
    <t>HETTICH 9381335 magnet PTO Lock, k zavrtání, šedá</t>
  </si>
  <si>
    <t>9381336</t>
  </si>
  <si>
    <t>549409</t>
  </si>
  <si>
    <t>HETTICH 9381336 magnet PTO Lock, k zavrtání, antracit</t>
  </si>
  <si>
    <t>9381496</t>
  </si>
  <si>
    <t>549410</t>
  </si>
  <si>
    <t>HETTICH 9381496 magnet PTO Lock, s adaptérem, bílá</t>
  </si>
  <si>
    <t>9381498</t>
  </si>
  <si>
    <t>549411</t>
  </si>
  <si>
    <t>HETTICH 9381498 magnet PTO Lock, s adaptérem, antracit</t>
  </si>
  <si>
    <t>9381499</t>
  </si>
  <si>
    <t>549412</t>
  </si>
  <si>
    <t>HETTICH 9381499 magnet PTO Lock, s adaptérem, šedá</t>
  </si>
  <si>
    <t>9382726</t>
  </si>
  <si>
    <t>547320</t>
  </si>
  <si>
    <t>HETTICH 9382726 FurnSpin náhradní nástroj pro seřízení</t>
  </si>
  <si>
    <t>9384316</t>
  </si>
  <si>
    <t>547322</t>
  </si>
  <si>
    <t>HETTICH 9384316 FurnSpin S vedení kabelů</t>
  </si>
  <si>
    <t>9384317</t>
  </si>
  <si>
    <t>547321</t>
  </si>
  <si>
    <t>HETTICH 9384317 FurnSpin M vedení kabelů</t>
  </si>
  <si>
    <t>9384318</t>
  </si>
  <si>
    <t>547323</t>
  </si>
  <si>
    <t>HETTICH 9384318 FurnSpin XL vedení kabelů</t>
  </si>
  <si>
    <t>544872</t>
  </si>
  <si>
    <t>HETTICH 9384899 AvanTech YOU dekorativní profil hybrid, 270mm, bronz</t>
  </si>
  <si>
    <t>544873</t>
  </si>
  <si>
    <t>HETTICH 9384900 AvanTech YOU dekorativní profil hybrid, 300mm, bronz</t>
  </si>
  <si>
    <t>544874</t>
  </si>
  <si>
    <t>HETTICH 9384901 AvanTech YOU dekorativní profil hybrid, 350mm, bronz</t>
  </si>
  <si>
    <t>544875</t>
  </si>
  <si>
    <t>HETTICH 9384902 AvanTech YOU dekorativní profil hybrid, 400mm, bronz</t>
  </si>
  <si>
    <t>544876</t>
  </si>
  <si>
    <t>HETTICH 9384903 AvanTech YOU dekorativní profil hybrid, 450mm, bronz</t>
  </si>
  <si>
    <t>544877</t>
  </si>
  <si>
    <t>HETTICH 9384904 AvanTech YOU dekorativní profil hybrid, 500mm, bronz</t>
  </si>
  <si>
    <t>544878</t>
  </si>
  <si>
    <t>HETTICH 9384905 AvanTech YOU dekorativní profil hybrid, 550mm, bronz</t>
  </si>
  <si>
    <t>544879</t>
  </si>
  <si>
    <t>HETTICH 9384906 AvanTech YOU dekorativní profil hybrid, 600mm, bronz</t>
  </si>
  <si>
    <t>544880</t>
  </si>
  <si>
    <t>HETTICH 9384917 AvanTech YOU dekorativní profil hybrid, 650mm, bronz</t>
  </si>
  <si>
    <t>9386065</t>
  </si>
  <si>
    <t>549413</t>
  </si>
  <si>
    <t>HETTICH 9386065 protikus PTO k nalepení, D15x0,5mm</t>
  </si>
  <si>
    <t>9386067</t>
  </si>
  <si>
    <t>549414</t>
  </si>
  <si>
    <t>HETTICH 9386067 protikus PTO k zalisování, D10x0,8mm, vrtání D5x12mm</t>
  </si>
  <si>
    <t>9386068</t>
  </si>
  <si>
    <t>549381</t>
  </si>
  <si>
    <t>HETTICH 9386068 protikus PTO k našroubování, D10x1mm, vrtání D2,5x10mm</t>
  </si>
  <si>
    <t>9395536</t>
  </si>
  <si>
    <t>547362</t>
  </si>
  <si>
    <t>HETTICH 9395536 FurnSpin Cadro samořezný závitový kolík m5 x 10 mm černá</t>
  </si>
  <si>
    <t>9398844</t>
  </si>
  <si>
    <t>555737</t>
  </si>
  <si>
    <t>HETTICH 9398844 krytka SAH 500 bílá L+P</t>
  </si>
  <si>
    <t>555738</t>
  </si>
  <si>
    <t>HETTICH 9398848 krytka SAH 500 šedá L+P</t>
  </si>
  <si>
    <t>9398862</t>
  </si>
  <si>
    <t>549584</t>
  </si>
  <si>
    <t>HETTICH 9398862 závěsné kování SAH 500 s pojistkou proti vyvěšení</t>
  </si>
  <si>
    <t>555739</t>
  </si>
  <si>
    <t>HETTICH 9398867 krytka SAH 500 černá L+P</t>
  </si>
  <si>
    <t>9995122</t>
  </si>
  <si>
    <t>188420</t>
  </si>
  <si>
    <t>HETTICH 9995122 Úchytka SEVESO 2400 mm eloxovaný hliník</t>
  </si>
  <si>
    <t>9995123</t>
  </si>
  <si>
    <t>170930</t>
  </si>
  <si>
    <t>HETTICH 9995123 Úchytka SEVESO 2400 mm eloxovaný hliník</t>
  </si>
  <si>
    <t>9995437</t>
  </si>
  <si>
    <t>162763</t>
  </si>
  <si>
    <t>HETTICH 9995437 Úchytka TRANI 52/32 mm eloxovaný hliník</t>
  </si>
  <si>
    <t>9995438</t>
  </si>
  <si>
    <t>146744</t>
  </si>
  <si>
    <t>HETTICH 9995438 Úchytka TRANI 84/64 mm eloxovaný hliník</t>
  </si>
  <si>
    <t>9995439</t>
  </si>
  <si>
    <t>146745</t>
  </si>
  <si>
    <t>HETTICH 9995439 Úchytka TRANI 116/96 mm eloxovaný hliník</t>
  </si>
  <si>
    <t>9995440</t>
  </si>
  <si>
    <t>180261</t>
  </si>
  <si>
    <t>HETTICH 9995440 Úchytka TRANI 148/128 mm eloxovaný hliník</t>
  </si>
  <si>
    <t>9995480</t>
  </si>
  <si>
    <t>188424</t>
  </si>
  <si>
    <t>HETTICH 9995480 Úchytka BALDONE 134/128 mm chrom matný</t>
  </si>
  <si>
    <t>9995481</t>
  </si>
  <si>
    <t>181747</t>
  </si>
  <si>
    <t>HETTICH 9995481 Úchytka BALDONE 134/128 mm imitace nerezi</t>
  </si>
  <si>
    <t>9995483</t>
  </si>
  <si>
    <t>160197</t>
  </si>
  <si>
    <t>HETTICH 9995483 Úchytka BALDONE 102/96 mm imitace nerezi</t>
  </si>
  <si>
    <t>9995484</t>
  </si>
  <si>
    <t>188426</t>
  </si>
  <si>
    <t>HETTICH 9995484 Úchytka BALDONE 262/256 mm chrom matný</t>
  </si>
  <si>
    <t>9995485</t>
  </si>
  <si>
    <t>135846</t>
  </si>
  <si>
    <t>HETTICH 9995485 Úchytka Baldone 256 imitace nerezi</t>
  </si>
  <si>
    <t>9995497</t>
  </si>
  <si>
    <t>167459</t>
  </si>
  <si>
    <t>HETTICH 9995497 Úchytka VIESTE 120/96 mm imitace nerezi</t>
  </si>
  <si>
    <t>9995499</t>
  </si>
  <si>
    <t>188427</t>
  </si>
  <si>
    <t>HETTICH 9995499 Úchytka VIESTE 160 imitace nerezi</t>
  </si>
  <si>
    <t>9995501</t>
  </si>
  <si>
    <t>130766</t>
  </si>
  <si>
    <t>HETTICH 9995501 Úchytka VIESTE 248/224 mm imitace nerezi</t>
  </si>
  <si>
    <t>9995540</t>
  </si>
  <si>
    <t>133474</t>
  </si>
  <si>
    <t>HETTICH 9995540 Úchytový profil Empoli 25/38 chrom matný</t>
  </si>
  <si>
    <t>9995541</t>
  </si>
  <si>
    <t>131685</t>
  </si>
  <si>
    <t>HETTICH 9995541 Úchytový profil Empoli 25/38 chrom lesklý</t>
  </si>
  <si>
    <t>9995542</t>
  </si>
  <si>
    <t>142100</t>
  </si>
  <si>
    <t>HETTICH 9995542 Úchytový profil Empoli 25/38 imitace nerezi</t>
  </si>
  <si>
    <t>9995546</t>
  </si>
  <si>
    <t>188430</t>
  </si>
  <si>
    <t>HETTICH 9995546 Úchytka BALDONE 102/96 mm chrom lesklý</t>
  </si>
  <si>
    <t>9995547</t>
  </si>
  <si>
    <t>188431</t>
  </si>
  <si>
    <t>HETTICH 9995547 Úchytka BALDONE 134/128 mm chrom lesklý</t>
  </si>
  <si>
    <t>9995548</t>
  </si>
  <si>
    <t>188432</t>
  </si>
  <si>
    <t>HETTICH 9995548 Úchytka BALDONE 262/256 mm chrom lesklý</t>
  </si>
  <si>
    <t>9995574</t>
  </si>
  <si>
    <t>134538</t>
  </si>
  <si>
    <t>HETTICH 9995574 Úchytový profil Narni 20/30 nerez broušený</t>
  </si>
  <si>
    <t>9995586</t>
  </si>
  <si>
    <t>132099</t>
  </si>
  <si>
    <t>HETTICH 9995586 Úchytka IMPERIA 252/224 mm imitace nerezi</t>
  </si>
  <si>
    <t>9995587</t>
  </si>
  <si>
    <t>129993</t>
  </si>
  <si>
    <t>HETTICH 9995587 Úchytka IMPERIA 348/320 mm imitace nerezi</t>
  </si>
  <si>
    <t>9995588</t>
  </si>
  <si>
    <t>130144</t>
  </si>
  <si>
    <t>HETTICH 9995588 Úchytka IMPERIA 476/448 mm imitace nerezi</t>
  </si>
  <si>
    <t>9995589</t>
  </si>
  <si>
    <t>188433</t>
  </si>
  <si>
    <t>HETTICH 9995589 Úchytka IMPERIA 569/541 mm imitace nerezi</t>
  </si>
  <si>
    <t>9995590</t>
  </si>
  <si>
    <t>135346</t>
  </si>
  <si>
    <t>HETTICH 9995590 Úchytka IMPERIA 588/560 mm imitace nerezi</t>
  </si>
  <si>
    <t>9995771</t>
  </si>
  <si>
    <t>165949</t>
  </si>
  <si>
    <t>HETTICH 9995771 Úchytka BELLUNO 130/96 mm imitace nerezi</t>
  </si>
  <si>
    <t>9995772</t>
  </si>
  <si>
    <t>159330</t>
  </si>
  <si>
    <t>HETTICH 9995772 Úchytka BELLUNO 200/192 nebo 160 mm imitace nerezi</t>
  </si>
  <si>
    <t>9995773</t>
  </si>
  <si>
    <t>160037</t>
  </si>
  <si>
    <t>HETTICH 9995773 Úchytka BELLUNO 267/256 nebo 224 mm imitace nerezi</t>
  </si>
  <si>
    <t>9995780</t>
  </si>
  <si>
    <t>170579</t>
  </si>
  <si>
    <t>HETTICH 9995780 Úchytka BALDONE 166/160 mm chrom lesklý</t>
  </si>
  <si>
    <t>9995781</t>
  </si>
  <si>
    <t>135847</t>
  </si>
  <si>
    <t>HETTICH 9995781 Úchytka BALDONE 166/160 mm imitace nerezi</t>
  </si>
  <si>
    <t>9995782</t>
  </si>
  <si>
    <t>169793</t>
  </si>
  <si>
    <t>HETTICH 9995782 Úchytka BALDONE 166/160 mm chrom matný</t>
  </si>
  <si>
    <t>532741</t>
  </si>
  <si>
    <t>HETTICH Actro 5D celovýsuv 380mm 40kg SiSy INVENTORY sada</t>
  </si>
  <si>
    <t>532742</t>
  </si>
  <si>
    <t>HETTICH Actro 5D celovýsuv 480mm 40kg SiSy INVENTORY sada</t>
  </si>
  <si>
    <t>532743</t>
  </si>
  <si>
    <t>HETTICH Actro 5D celovýsuv 520mm 40kg SiSy INVENTORY sada</t>
  </si>
  <si>
    <t>532744</t>
  </si>
  <si>
    <t>HETTICH Actro 5D celovýsuv 520mm 70kg SiSy INVENTORY sada</t>
  </si>
  <si>
    <t>532745</t>
  </si>
  <si>
    <t>HETTICH Actro 5D celovýsuv 550mm 70kg SiSy INVENTORY sada</t>
  </si>
  <si>
    <t>532747</t>
  </si>
  <si>
    <t>HETTICH Actro 5D celovýsuv 650mm 70kg SiSy INVENTORY sada</t>
  </si>
  <si>
    <t>INTERNÍ SADA</t>
  </si>
  <si>
    <t>348778</t>
  </si>
  <si>
    <t>HETTICH Atira zásuvka 144, 470mm/30kg, antracit, SiSy</t>
  </si>
  <si>
    <t>348776</t>
  </si>
  <si>
    <t>HETTICH Atira zásuvka 144, 470mm/30kg, bílá, SiSy</t>
  </si>
  <si>
    <t>348780</t>
  </si>
  <si>
    <t>HETTICH Atira zásuvka 144, 470mm/30kg, stříbrná, SiSy</t>
  </si>
  <si>
    <t>348777</t>
  </si>
  <si>
    <t>HETTICH Atira zásuvka 70, 470mm/30kg, antracit, SiSy</t>
  </si>
  <si>
    <t>348775</t>
  </si>
  <si>
    <t>HETTICH Atira zásuvka 70, 470mm/30kg, bílá, SiSy</t>
  </si>
  <si>
    <t>348779</t>
  </si>
  <si>
    <t>HETTICH Atira zásuvka 70, 470mm/30kg, stříbrná, SiSy</t>
  </si>
  <si>
    <t>475028</t>
  </si>
  <si>
    <t>HETTICH BlueMax Mini Modular Plus s příslušenstvím - Kadlec František</t>
  </si>
  <si>
    <t>378872</t>
  </si>
  <si>
    <t>HETTICH Innotech sada Atira stříbrná +závěsy Sensys balíček 2 PL</t>
  </si>
  <si>
    <t>366833</t>
  </si>
  <si>
    <t>HETTICH Karta pro registrace celoživotní záruky Hettich - SK</t>
  </si>
  <si>
    <t>179676</t>
  </si>
  <si>
    <t>HETTICH Karta pro registraci celoživotní záruky</t>
  </si>
  <si>
    <t>9208071</t>
  </si>
  <si>
    <t>409612</t>
  </si>
  <si>
    <t>HETTICH knop 9208071 Arnum 10/10 nerez</t>
  </si>
  <si>
    <t>9208072</t>
  </si>
  <si>
    <t>409613</t>
  </si>
  <si>
    <t>HETTICH knop 9208072 Arnum 12/12 nerez</t>
  </si>
  <si>
    <t>9266141</t>
  </si>
  <si>
    <t>409641</t>
  </si>
  <si>
    <t>HETTICH knop 9266141 Tardiano 60 imitace nerezi</t>
  </si>
  <si>
    <t>9266142</t>
  </si>
  <si>
    <t>409642</t>
  </si>
  <si>
    <t>HETTICH knop 9266142 Tardiano 60 černá matná</t>
  </si>
  <si>
    <t>1005796</t>
  </si>
  <si>
    <t>153478</t>
  </si>
  <si>
    <t>HETTICH ND 1005796 TopLine 25, 27 - vozík</t>
  </si>
  <si>
    <t>503169</t>
  </si>
  <si>
    <t>HETTICH PK_088_2023 vzorkovna ALIN nábytek (NV23030142)</t>
  </si>
  <si>
    <t>491020</t>
  </si>
  <si>
    <t>HETTICH sada Atira zásuvka 144, 300mm/30kg, antracit, SiSy</t>
  </si>
  <si>
    <t>491021</t>
  </si>
  <si>
    <t>HETTICH sada Atira zásuvka 144, 350mm/30kg, antracit, SiSy</t>
  </si>
  <si>
    <t>491015</t>
  </si>
  <si>
    <t>HETTICH sada Atira zásuvka 144, 350mm/30kg, bílá, SiSy</t>
  </si>
  <si>
    <t>491027</t>
  </si>
  <si>
    <t>HETTICH sada Atira zásuvka 144, 350mm/30kg, stříbrná, SiSy</t>
  </si>
  <si>
    <t>491022</t>
  </si>
  <si>
    <t>HETTICH sada Atira zásuvka 144, 420mm/30kg, antracit, SiSy</t>
  </si>
  <si>
    <t>491016</t>
  </si>
  <si>
    <t>HETTICH sada Atira zásuvka 144, 420mm/30kg, bílá, SiSy</t>
  </si>
  <si>
    <t>491028</t>
  </si>
  <si>
    <t>HETTICH sada Atira zásuvka 144, 420mm/30kg, stříbrná, SiSy</t>
  </si>
  <si>
    <t>491023</t>
  </si>
  <si>
    <t>HETTICH sada Atira zásuvka 144, 520mm/30kg, antracit, SiSy</t>
  </si>
  <si>
    <t>491017</t>
  </si>
  <si>
    <t>HETTICH sada Atira zásuvka 144, 520mm/30kg, bílá, SiSy</t>
  </si>
  <si>
    <t>491002</t>
  </si>
  <si>
    <t>HETTICH sada Atira zásuvka 70, 300mm/30kg, antracit, SiSy</t>
  </si>
  <si>
    <t>490996</t>
  </si>
  <si>
    <t>HETTICH sada Atira zásuvka 70, 300mm/30kg, bílá, SiSy</t>
  </si>
  <si>
    <t>491008</t>
  </si>
  <si>
    <t>HETTICH sada Atira zásuvka 70, 300mm/30kg, stříbrná, SiSy</t>
  </si>
  <si>
    <t>490997</t>
  </si>
  <si>
    <t>HETTICH sada Atira zásuvka 70, 350mm/30kg, bílá, SiSy</t>
  </si>
  <si>
    <t>491009</t>
  </si>
  <si>
    <t>HETTICH sada Atira zásuvka 70, 350mm/30kg, stříbrná, SiSy</t>
  </si>
  <si>
    <t>491004</t>
  </si>
  <si>
    <t>HETTICH sada Atira zásuvka 70, 420mm/30kg, antracit, SiSy</t>
  </si>
  <si>
    <t>490998</t>
  </si>
  <si>
    <t>HETTICH sada Atira zásuvka 70, 420mm/30kg, bílá, SiSy</t>
  </si>
  <si>
    <t>491010</t>
  </si>
  <si>
    <t>HETTICH sada Atira zásuvka 70, 420mm/30kg, stříbrná, SiSy</t>
  </si>
  <si>
    <t>491005</t>
  </si>
  <si>
    <t>HETTICH sada Atira zásuvka 70, 520mm/30kg, antracit, SiSy</t>
  </si>
  <si>
    <t>490999</t>
  </si>
  <si>
    <t>HETTICH sada Atira zásuvka 70, 520mm/30kg, bílá, SiSy</t>
  </si>
  <si>
    <t>469186</t>
  </si>
  <si>
    <t>HETTICH sada AvanTech YOU zásuvka, 101/270mm, 30kg, Quadro, antracit, SiSy</t>
  </si>
  <si>
    <t>468877</t>
  </si>
  <si>
    <t>HETTICH sada AvanTech YOU zásuvka, 101/270mm, 30kg, Quadro, bílá, SiSy</t>
  </si>
  <si>
    <t>469152</t>
  </si>
  <si>
    <t>HETTICH sada AvanTech YOU zásuvka, 101/270mm, 30kg, Quadro, stříbrná, SiSy</t>
  </si>
  <si>
    <t>469187</t>
  </si>
  <si>
    <t>HETTICH sada AvanTech YOU zásuvka, 101/300mm, 30kg, Quadro, antracit, SiSy</t>
  </si>
  <si>
    <t>468879</t>
  </si>
  <si>
    <t>HETTICH sada AvanTech YOU zásuvka, 101/300mm, 30kg, Quadro, bílá, SiSy</t>
  </si>
  <si>
    <t>469153</t>
  </si>
  <si>
    <t>HETTICH sada AvanTech YOU zásuvka, 101/300mm, 30kg, Quadro, stříbrná, SiSy</t>
  </si>
  <si>
    <t>469188</t>
  </si>
  <si>
    <t>HETTICH sada AvanTech YOU zásuvka, 101/350mm, 30kg, Quadro, antracit, SiSy</t>
  </si>
  <si>
    <t>468880</t>
  </si>
  <si>
    <t>HETTICH sada AvanTech YOU zásuvka, 101/350mm, 30kg, Quadro, bílá, SiSy</t>
  </si>
  <si>
    <t>469154</t>
  </si>
  <si>
    <t>HETTICH sada AvanTech YOU zásuvka, 101/350mm, 30kg, Quadro, stříbrná, SiSy</t>
  </si>
  <si>
    <t>469189</t>
  </si>
  <si>
    <t>HETTICH sada AvanTech YOU zásuvka, 101/400mm, 30kg, Quadro, antracit, SiSy</t>
  </si>
  <si>
    <t>468881</t>
  </si>
  <si>
    <t>HETTICH sada AvanTech YOU zásuvka, 101/400mm, 30kg, Quadro, bílá, SiSy</t>
  </si>
  <si>
    <t>469155</t>
  </si>
  <si>
    <t>HETTICH sada AvanTech YOU zásuvka, 101/400mm, 30kg, Quadro, stříbrná, SiSy</t>
  </si>
  <si>
    <t>413542</t>
  </si>
  <si>
    <t>HETTICH sada AvanTech YOU zásuvka, 101/450mm, 30kg, Quadro, antracit, SiSy</t>
  </si>
  <si>
    <t>413540</t>
  </si>
  <si>
    <t>HETTICH sada AvanTech YOU zásuvka, 101/450mm, 30kg, Quadro, bílá, SiSy</t>
  </si>
  <si>
    <t>413544</t>
  </si>
  <si>
    <t>HETTICH sada AvanTech YOU zásuvka, 101/450mm, 30kg, Quadro, stříbrná, SiSy</t>
  </si>
  <si>
    <t>413548</t>
  </si>
  <si>
    <t>HETTICH sada AvanTech YOU zásuvka, 101/500mm, 30kg, Quadro, antracit, SiSy</t>
  </si>
  <si>
    <t>413546</t>
  </si>
  <si>
    <t>HETTICH sada AvanTech YOU zásuvka, 101/500mm, 30kg, Quadro, bílá, SiSy</t>
  </si>
  <si>
    <t>413550</t>
  </si>
  <si>
    <t>HETTICH sada AvanTech YOU zásuvka, 101/500mm, 30kg, Quadro, stříbrná, SiSy</t>
  </si>
  <si>
    <t>469190</t>
  </si>
  <si>
    <t>HETTICH sada AvanTech YOU zásuvka, 101/550mm, 30kg, Quadro, antracit, SiSy</t>
  </si>
  <si>
    <t>469156</t>
  </si>
  <si>
    <t>HETTICH sada AvanTech YOU zásuvka, 101/550mm, 30kg, Quadro, stříbrná, SiSy</t>
  </si>
  <si>
    <t>469191</t>
  </si>
  <si>
    <t>HETTICH sada AvanTech YOU zásuvka, 101/600mm, 30kg, Quadro, antracit, SiSy</t>
  </si>
  <si>
    <t>468883</t>
  </si>
  <si>
    <t>HETTICH sada AvanTech YOU zásuvka, 101/600mm, 30kg, Quadro, bílá, SiSy</t>
  </si>
  <si>
    <t>469157</t>
  </si>
  <si>
    <t>HETTICH sada AvanTech YOU zásuvka, 101/600mm, 30kg, Quadro, stříbrná, SiSy</t>
  </si>
  <si>
    <t>469192</t>
  </si>
  <si>
    <t>HETTICH sada AvanTech YOU zásuvka, 101/650mm, 70kg, Actro, antracit, SiSy</t>
  </si>
  <si>
    <t>468886</t>
  </si>
  <si>
    <t>HETTICH sada AvanTech YOU zásuvka, 101/650mm, 70kg, Actro, bílá, SiSy</t>
  </si>
  <si>
    <t>469158</t>
  </si>
  <si>
    <t>HETTICH sada AvanTech YOU zásuvka, 101/650mm, 70kg, Actro, stříbrná, SiSy</t>
  </si>
  <si>
    <t>469193</t>
  </si>
  <si>
    <t>HETTICH sada AvanTech YOU zásuvka, 139/300mm, 30kg, Quadro, antracit, SiSy</t>
  </si>
  <si>
    <t>469160</t>
  </si>
  <si>
    <t>HETTICH sada AvanTech YOU zásuvka, 139/300mm, 30kg, Quadro, stříbrná, SiSy</t>
  </si>
  <si>
    <t>469125</t>
  </si>
  <si>
    <t>HETTICH sada AvanTech YOU zásuvka, 139/350mm, 30kg, Quadro, bílá, SiSy</t>
  </si>
  <si>
    <t>469161</t>
  </si>
  <si>
    <t>HETTICH sada AvanTech YOU zásuvka, 139/350mm, 30kg, Quadro, stříbrná, SiSy</t>
  </si>
  <si>
    <t>469195</t>
  </si>
  <si>
    <t>HETTICH sada AvanTech YOU zásuvka, 139/400mm, 30kg, Quadro, antracit, SiSy</t>
  </si>
  <si>
    <t>469126</t>
  </si>
  <si>
    <t>HETTICH sada AvanTech YOU zásuvka, 139/400mm, 30kg, Quadro, bílá, SiSy</t>
  </si>
  <si>
    <t>469162</t>
  </si>
  <si>
    <t>HETTICH sada AvanTech YOU zásuvka, 139/400mm, 30kg, Quadro, stříbrná, SiSy</t>
  </si>
  <si>
    <t>469196</t>
  </si>
  <si>
    <t>HETTICH sada AvanTech YOU zásuvka, 139/450mm, 30kg, Quadro, antracit, SiSy</t>
  </si>
  <si>
    <t>469127</t>
  </si>
  <si>
    <t>HETTICH sada AvanTech YOU zásuvka, 139/450mm, 30kg, Quadro, bílá, SiSy</t>
  </si>
  <si>
    <t>469163</t>
  </si>
  <si>
    <t>HETTICH sada AvanTech YOU zásuvka, 139/450mm, 30kg, Quadro, stříbrná, SiSy</t>
  </si>
  <si>
    <t>469197</t>
  </si>
  <si>
    <t>HETTICH sada AvanTech YOU zásuvka, 139/500mm, 30kg, Quadro, antracit, SiSy</t>
  </si>
  <si>
    <t>469128</t>
  </si>
  <si>
    <t>HETTICH sada AvanTech YOU zásuvka, 139/500mm, 30kg, Quadro, bílá, SiSy</t>
  </si>
  <si>
    <t>469198</t>
  </si>
  <si>
    <t>HETTICH sada AvanTech YOU zásuvka, 139/550mm, 30kg, Quadro, antracit, SiSy</t>
  </si>
  <si>
    <t>469165</t>
  </si>
  <si>
    <t>HETTICH sada AvanTech YOU zásuvka, 139/550mm, 30kg, Quadro, stříbrná, SiSy</t>
  </si>
  <si>
    <t>469199</t>
  </si>
  <si>
    <t>HETTICH sada AvanTech YOU zásuvka, 139/600mm, 30kg, Quadro, antracit, SiSy</t>
  </si>
  <si>
    <t>469130</t>
  </si>
  <si>
    <t>HETTICH sada AvanTech YOU zásuvka, 139/600mm, 30kg, Quadro, bílá, SiSy</t>
  </si>
  <si>
    <t>469166</t>
  </si>
  <si>
    <t>HETTICH sada AvanTech YOU zásuvka, 139/600mm, 30kg, Quadro, stříbrná, SiSy</t>
  </si>
  <si>
    <t>469200</t>
  </si>
  <si>
    <t>HETTICH sada AvanTech YOU zásuvka, 139/650mm, 70kg, Actro, antracit, SiSy</t>
  </si>
  <si>
    <t>469167</t>
  </si>
  <si>
    <t>HETTICH sada AvanTech YOU zásuvka, 139/650mm, 70kg, Actro, stříbrná, SiSy</t>
  </si>
  <si>
    <t>469201</t>
  </si>
  <si>
    <t>HETTICH sada AvanTech YOU zásuvka, 187/270mm, 30kg, Quadro, antracit, SiSy</t>
  </si>
  <si>
    <t>468888</t>
  </si>
  <si>
    <t>HETTICH sada AvanTech YOU zásuvka, 187/270mm, 30kg, Quadro, bílá, SiSy</t>
  </si>
  <si>
    <t>469168</t>
  </si>
  <si>
    <t>HETTICH sada AvanTech YOU zásuvka, 187/270mm, 30kg, Quadro, stříbrná, SiSy</t>
  </si>
  <si>
    <t>469202</t>
  </si>
  <si>
    <t>HETTICH sada AvanTech YOU zásuvka, 187/300mm, 30kg, Quadro, antracit, SiSy</t>
  </si>
  <si>
    <t>468889</t>
  </si>
  <si>
    <t>HETTICH sada AvanTech YOU zásuvka, 187/300mm, 30kg, Quadro, bílá, SiSy</t>
  </si>
  <si>
    <t>469169</t>
  </si>
  <si>
    <t>HETTICH sada AvanTech YOU zásuvka, 187/300mm, 30kg, Quadro, stříbrná, SiSy</t>
  </si>
  <si>
    <t>469203</t>
  </si>
  <si>
    <t>HETTICH sada AvanTech YOU zásuvka, 187/350mm, 30kg, Quadro, antracit, SiSy</t>
  </si>
  <si>
    <t>468890</t>
  </si>
  <si>
    <t>HETTICH sada AvanTech YOU zásuvka, 187/350mm, 30kg, Quadro, bílá, SiSy</t>
  </si>
  <si>
    <t>469170</t>
  </si>
  <si>
    <t>HETTICH sada AvanTech YOU zásuvka, 187/350mm, 30kg, Quadro, stříbrná, SiSy</t>
  </si>
  <si>
    <t>469204</t>
  </si>
  <si>
    <t>HETTICH sada AvanTech YOU zásuvka, 187/400mm, 30kg, Quadro, antracit, SiSy</t>
  </si>
  <si>
    <t>468891</t>
  </si>
  <si>
    <t>HETTICH sada AvanTech YOU zásuvka, 187/400mm, 30kg, Quadro, bílá, SiSy</t>
  </si>
  <si>
    <t>469171</t>
  </si>
  <si>
    <t>HETTICH sada AvanTech YOU zásuvka, 187/400mm, 30kg, Quadro, stříbrná, SiSy</t>
  </si>
  <si>
    <t>413541</t>
  </si>
  <si>
    <t>HETTICH sada AvanTech YOU zásuvka, 187/450mm, 30kg, Quadro, bílá, SiSy</t>
  </si>
  <si>
    <t>413545</t>
  </si>
  <si>
    <t>HETTICH sada AvanTech YOU zásuvka, 187/450mm, 30kg, Quadro, stříbrná, SiSy</t>
  </si>
  <si>
    <t>413549</t>
  </si>
  <si>
    <t>HETTICH sada AvanTech YOU zásuvka, 187/500mm, 30kg, Quadro, antracit, SiSy</t>
  </si>
  <si>
    <t>413547</t>
  </si>
  <si>
    <t>HETTICH sada AvanTech YOU zásuvka, 187/500mm, 30kg, Quadro, bílá, SiSy</t>
  </si>
  <si>
    <t>413551</t>
  </si>
  <si>
    <t>HETTICH sada AvanTech YOU zásuvka, 187/500mm, 30kg, Quadro, stříbrná, SiSy</t>
  </si>
  <si>
    <t>469205</t>
  </si>
  <si>
    <t>HETTICH sada AvanTech YOU zásuvka, 187/550mm, 30kg, Quadro, antracit, SiSy</t>
  </si>
  <si>
    <t>468892</t>
  </si>
  <si>
    <t>HETTICH sada AvanTech YOU zásuvka, 187/550mm, 30kg, Quadro, bílá, SiSy</t>
  </si>
  <si>
    <t>469172</t>
  </si>
  <si>
    <t>HETTICH sada AvanTech YOU zásuvka, 187/550mm, 30kg, Quadro, stříbrná, SiSy</t>
  </si>
  <si>
    <t>469206</t>
  </si>
  <si>
    <t>HETTICH sada AvanTech YOU zásuvka, 187/600mm, 30kg, Quadro, antracit, SiSy</t>
  </si>
  <si>
    <t>468893</t>
  </si>
  <si>
    <t>HETTICH sada AvanTech YOU zásuvka, 187/600mm, 30kg, Quadro, bílá, SiSy</t>
  </si>
  <si>
    <t>469173</t>
  </si>
  <si>
    <t>HETTICH sada AvanTech YOU zásuvka, 187/600mm, 30kg, Quadro, stříbrná, SiSy</t>
  </si>
  <si>
    <t>469207</t>
  </si>
  <si>
    <t>HETTICH sada AvanTech YOU zásuvka, 187/650mm, 70kg, Actro, antracit, SiSy</t>
  </si>
  <si>
    <t>468894</t>
  </si>
  <si>
    <t>HETTICH sada AvanTech YOU zásuvka, 187/650mm, 70kg, Actro, bílá, SiSy</t>
  </si>
  <si>
    <t>469174</t>
  </si>
  <si>
    <t>HETTICH sada AvanTech YOU zásuvka, 187/650mm, 70kg, Actro, stříbrná, SiSy</t>
  </si>
  <si>
    <t>469208</t>
  </si>
  <si>
    <t>HETTICH sada AvanTech YOU zásuvka, 251/350mm, 30kg, Quadro, antracit, SiSy</t>
  </si>
  <si>
    <t>469132</t>
  </si>
  <si>
    <t>HETTICH sada AvanTech YOU zásuvka, 251/350mm, 30kg, Quadro, bílá, SiSy</t>
  </si>
  <si>
    <t>469175</t>
  </si>
  <si>
    <t>HETTICH sada AvanTech YOU zásuvka, 251/350mm, 30kg, Quadro, stříbrná, SiSy</t>
  </si>
  <si>
    <t>469209</t>
  </si>
  <si>
    <t>HETTICH sada AvanTech YOU zásuvka, 251/400mm, 30kg, Quadro, antracit, SiSy</t>
  </si>
  <si>
    <t>469133</t>
  </si>
  <si>
    <t>HETTICH sada AvanTech YOU zásuvka, 251/400mm, 30kg, Quadro, bílá, SiSy</t>
  </si>
  <si>
    <t>469176</t>
  </si>
  <si>
    <t>HETTICH sada AvanTech YOU zásuvka, 251/400mm, 30kg, Quadro, stříbrná, SiSy</t>
  </si>
  <si>
    <t>469210</t>
  </si>
  <si>
    <t>HETTICH sada AvanTech YOU zásuvka, 251/450mm, 30kg, Quadro, antracit, SiSy</t>
  </si>
  <si>
    <t>469134</t>
  </si>
  <si>
    <t>HETTICH sada AvanTech YOU zásuvka, 251/450mm, 30kg, Quadro, bílá, SiSy</t>
  </si>
  <si>
    <t>469177</t>
  </si>
  <si>
    <t>HETTICH sada AvanTech YOU zásuvka, 251/450mm, 30kg, Quadro, stříbrná, SiSy</t>
  </si>
  <si>
    <t>469178</t>
  </si>
  <si>
    <t>HETTICH sada AvanTech YOU zásuvka, 251/500mm, 30kg, Quadro, stříbrná, SiSy</t>
  </si>
  <si>
    <t>469212</t>
  </si>
  <si>
    <t>HETTICH sada AvanTech YOU zásuvka, 251/550mm, 30kg, Quadro, antracit, SiSy</t>
  </si>
  <si>
    <t>469136</t>
  </si>
  <si>
    <t>HETTICH sada AvanTech YOU zásuvka, 251/550mm, 30kg, Quadro, bílá, SiSy</t>
  </si>
  <si>
    <t>469179</t>
  </si>
  <si>
    <t>HETTICH sada AvanTech YOU zásuvka, 251/550mm, 30kg, Quadro, stříbrná, SiSy</t>
  </si>
  <si>
    <t>469213</t>
  </si>
  <si>
    <t>HETTICH sada AvanTech YOU zásuvka, 251/600mm, 30kg, Quadro, antracit, SiSy</t>
  </si>
  <si>
    <t>469137</t>
  </si>
  <si>
    <t>HETTICH sada AvanTech YOU zásuvka, 251/600mm, 30kg, Quadro, bílá, SiSy</t>
  </si>
  <si>
    <t>469180</t>
  </si>
  <si>
    <t>HETTICH sada AvanTech YOU zásuvka, 251/600mm, 30kg, Quadro, stříbrná, SiSy</t>
  </si>
  <si>
    <t>469214</t>
  </si>
  <si>
    <t>HETTICH sada AvanTech YOU zásuvka, 251/650mm, 70kg, Actro, antracit, SiSy</t>
  </si>
  <si>
    <t>469138</t>
  </si>
  <si>
    <t>HETTICH sada AvanTech YOU zásuvka, 251/650mm, 70kg, Actro, bílá, SiSy</t>
  </si>
  <si>
    <t>469181</t>
  </si>
  <si>
    <t>HETTICH sada AvanTech YOU zásuvka, 251/650mm, 70kg, Actro, stříbrná, SiSy</t>
  </si>
  <si>
    <t>469184</t>
  </si>
  <si>
    <t>HETTICH sada AvanTech YOU zásuvka, 77/500mm, 30kg, Quadro, antracit, SiSy</t>
  </si>
  <si>
    <t>468874</t>
  </si>
  <si>
    <t>HETTICH sada AvanTech YOU zásuvka, 77/500mm, 30kg, Quadro, bílá, SiSy</t>
  </si>
  <si>
    <t>469150</t>
  </si>
  <si>
    <t>HETTICH sada AvanTech YOU zásuvka, 77/500mm, 30kg, Quadro, stříbrná, SiSy</t>
  </si>
  <si>
    <t>491007</t>
  </si>
  <si>
    <t>HETTICH sada Innotech Atira 260/70 stříbrná, 30 kg, SiSy</t>
  </si>
  <si>
    <t>491006</t>
  </si>
  <si>
    <t>HETTICH sada Innotech Atira 620/70 antracit, 30 kg, SiSy</t>
  </si>
  <si>
    <t>488166</t>
  </si>
  <si>
    <t>HETTICH sada šablon Practica pro AvanTech YOU akce PL</t>
  </si>
  <si>
    <t>9285170</t>
  </si>
  <si>
    <t>546251</t>
  </si>
  <si>
    <t>HETTICH TopLine L 9285170 aktivátor předních dveří pro dvoje dveře</t>
  </si>
  <si>
    <t>9190430</t>
  </si>
  <si>
    <t>409625</t>
  </si>
  <si>
    <t>HETTICH úchytka 9190430 Naila 135/128 hnědá metalická</t>
  </si>
  <si>
    <t>9190431</t>
  </si>
  <si>
    <t>409626</t>
  </si>
  <si>
    <t>HETTICH úchytka 9190431 Naila 167/160 hnědá metalická</t>
  </si>
  <si>
    <t>9208073</t>
  </si>
  <si>
    <t>409611</t>
  </si>
  <si>
    <t>HETTICH úchytka 9208073 Bermeo 109/96  imitace nerezi</t>
  </si>
  <si>
    <t>9208074</t>
  </si>
  <si>
    <t>409601</t>
  </si>
  <si>
    <t>HETTICH úchytka 9208074 Bermeo 141/128  imitace nerezi</t>
  </si>
  <si>
    <t>9208075</t>
  </si>
  <si>
    <t>409603</t>
  </si>
  <si>
    <t>HETTICH úchytka 9208075 Bermeo 173/160  imitace nerezi</t>
  </si>
  <si>
    <t>9208077</t>
  </si>
  <si>
    <t>409605</t>
  </si>
  <si>
    <t>HETTICH úchytka 9208077 Bermeo 237/224  imitace nerezi</t>
  </si>
  <si>
    <t>9208078</t>
  </si>
  <si>
    <t>409607</t>
  </si>
  <si>
    <t>HETTICH úchytka 9208078 Bermeo 269/256  imitace nerezi</t>
  </si>
  <si>
    <t>9208081</t>
  </si>
  <si>
    <t>409610</t>
  </si>
  <si>
    <t>HETTICH úchytka 9208081 Bermeo 109/96  černá/imitace nerezi</t>
  </si>
  <si>
    <t>9208082</t>
  </si>
  <si>
    <t>409602</t>
  </si>
  <si>
    <t>HETTICH úchytka 9208082 Bermeo 141/128 černá/imitace nerezi</t>
  </si>
  <si>
    <t>9208084</t>
  </si>
  <si>
    <t>409604</t>
  </si>
  <si>
    <t>HETTICH úchytka 9208084 Bermeo 205/192 černá/imitace nerezi</t>
  </si>
  <si>
    <t>9208085</t>
  </si>
  <si>
    <t>409606</t>
  </si>
  <si>
    <t>HETTICH úchytka 9208085 Bermeo 237/224 černá/imitace nerezi</t>
  </si>
  <si>
    <t>9208088</t>
  </si>
  <si>
    <t>409609</t>
  </si>
  <si>
    <t>HETTICH úchytka 9208088 Bermeo 333/320 černá/imitace nerezi</t>
  </si>
  <si>
    <t>9264082</t>
  </si>
  <si>
    <t>409622</t>
  </si>
  <si>
    <t>HETTICH úchytka 9264082 Brema 428/416 černá matná/imitace nerezi</t>
  </si>
  <si>
    <t>9266420</t>
  </si>
  <si>
    <t>459796</t>
  </si>
  <si>
    <t>HETTICH úchytka 9266420 Topeka 128 mm, černá matná</t>
  </si>
  <si>
    <t>9270230</t>
  </si>
  <si>
    <t>412080</t>
  </si>
  <si>
    <t>HETTICH úchytka 9270230 Topeka 160 mm, černá matná</t>
  </si>
  <si>
    <t>185178</t>
  </si>
  <si>
    <t>HETTICH/78091 raznice pro fixaci boků a dna Atira</t>
  </si>
  <si>
    <t>78097</t>
  </si>
  <si>
    <t>107415</t>
  </si>
  <si>
    <t>HETTICH/78097 Šablona BlueJig IT</t>
  </si>
  <si>
    <t>78987</t>
  </si>
  <si>
    <t>185199</t>
  </si>
  <si>
    <t>HETTICH/78987 BlueMax mini PNS 230 50 1 0,8</t>
  </si>
  <si>
    <t>1040926</t>
  </si>
  <si>
    <t>185341</t>
  </si>
  <si>
    <t>HETTICH-1040926 opěrka A5 naležato černá</t>
  </si>
  <si>
    <t>13121</t>
  </si>
  <si>
    <t>199033</t>
  </si>
  <si>
    <t>HETTICH-13121 kolík DU 643</t>
  </si>
  <si>
    <t>25066</t>
  </si>
  <si>
    <t>104428</t>
  </si>
  <si>
    <t>HT-25066 RASTEX 15/22 bez osazení Ni</t>
  </si>
  <si>
    <t>184363</t>
  </si>
  <si>
    <t>HT-45198 VYROVNÁVACÍ KOVÁNÍ (73347)</t>
  </si>
  <si>
    <t>104636</t>
  </si>
  <si>
    <t>HT-48574 ROZPĚRNÁ HMOŽDINKA 42/9,5</t>
  </si>
  <si>
    <t>346656</t>
  </si>
  <si>
    <t>InnoTech mocowanie frontu-przykrecane</t>
  </si>
  <si>
    <t>346654</t>
  </si>
  <si>
    <t>IT MT ELEMENT MOCUJACY relingU</t>
  </si>
  <si>
    <t>533040</t>
  </si>
  <si>
    <t>K HETTICH 9353339 AvanTech You sada bočnic 101/450 stříbrná (ver.2025 z průmysl)</t>
  </si>
  <si>
    <t>533043</t>
  </si>
  <si>
    <t>K HETTICH 9353340 AvanTech You sada bočnic 101/500 stříbrná (ver.2025 z průmysl)</t>
  </si>
  <si>
    <t>533045</t>
  </si>
  <si>
    <t>K HETTICH 9353349 AvanTech You sada bočnic 139/500 stříbrná (ver.2025 z průmysl)</t>
  </si>
  <si>
    <t>533047</t>
  </si>
  <si>
    <t>K HETTICH 9353357 AvanTech You sada bočnic 187/450 stříbrná (ver.2025 z průmysl)</t>
  </si>
  <si>
    <t>533039</t>
  </si>
  <si>
    <t>K HETTICH 9353387 AvanTech You sada bočnic 101/450 bílá (ver.2025 z průmyslu)</t>
  </si>
  <si>
    <t>533046</t>
  </si>
  <si>
    <t>K HETTICH 9353388 AvanTech You sada bočnic 101/500 bílá (ver.2025 z průmyslu)</t>
  </si>
  <si>
    <t>533044</t>
  </si>
  <si>
    <t>K HETTICH 9353397 AvanTech You sada bočnic 139/500 bílá (ver.2025 z průmyslu)</t>
  </si>
  <si>
    <t>533042</t>
  </si>
  <si>
    <t>K HETTICH 9353405 AvanTech You sada bočnic 187/450 bílá (ver.2025 z průmyslu)</t>
  </si>
  <si>
    <t>533041</t>
  </si>
  <si>
    <t>K HETTICH 9353425 AvanTech You sada bočnic 101/450 antracit (ver.2025 z průmysl)</t>
  </si>
  <si>
    <t>533049</t>
  </si>
  <si>
    <t>K HETTICH 9353435 AvanTech You sada bočnic 139/500 antracit (ver.2025 z průmysl)</t>
  </si>
  <si>
    <t>533048</t>
  </si>
  <si>
    <t>K HETTICH 9353443 AvanTech You sada bočnic 187/450 antracit (ver.2025 z průmysl)</t>
  </si>
  <si>
    <t>533010</t>
  </si>
  <si>
    <t>K HETTICH sada AvanTech YOU 101/270, antracit, 30 kg, Q/SiSy, vrut</t>
  </si>
  <si>
    <t>532944</t>
  </si>
  <si>
    <t>K HETTICH sada AvanTech YOU 101/270, bílá, 30 kg, Q/SiSy, vrut</t>
  </si>
  <si>
    <t>532977</t>
  </si>
  <si>
    <t>K HETTICH sada AvanTech YOU 101/270, stříbrný, 30 kg, Q/SiSy, vrut</t>
  </si>
  <si>
    <t>533011</t>
  </si>
  <si>
    <t>K HETTICH sada AvanTech YOU 101/300, antracit, 30 kg, Q/SiSy, vrut</t>
  </si>
  <si>
    <t>532945</t>
  </si>
  <si>
    <t>K HETTICH sada AvanTech YOU 101/300, bílá, 30 kg, Q/SiSy, vrut</t>
  </si>
  <si>
    <t>532978</t>
  </si>
  <si>
    <t>K HETTICH sada AvanTech YOU 101/300, stříbrný, 30 kg, Q/SiSy, vrut</t>
  </si>
  <si>
    <t>533012</t>
  </si>
  <si>
    <t>K HETTICH sada AvanTech YOU 101/350, antracit, 30 kg, Q/SiSy, vrut</t>
  </si>
  <si>
    <t>532946</t>
  </si>
  <si>
    <t>K HETTICH sada AvanTech YOU 101/350, bílá, 30 kg, Q/SiSy, vrut</t>
  </si>
  <si>
    <t>532979</t>
  </si>
  <si>
    <t>K HETTICH sada AvanTech YOU 101/350, stříbrný, 30 kg, Q/SiSy, vrut</t>
  </si>
  <si>
    <t>533013</t>
  </si>
  <si>
    <t>K HETTICH sada AvanTech YOU 101/400, antracit, 30 kg, Q/SiSy, vrut</t>
  </si>
  <si>
    <t>532947</t>
  </si>
  <si>
    <t>K HETTICH sada AvanTech YOU 101/400, bílá, 30 kg, Q/SiSy, vrut</t>
  </si>
  <si>
    <t>532980</t>
  </si>
  <si>
    <t>K HETTICH sada AvanTech YOU 101/400, stříbrný, 30 kg, Q/SiSy, vrut</t>
  </si>
  <si>
    <t>532932</t>
  </si>
  <si>
    <t>K HETTICH sada AvanTech YOU 101/450, antracit, 30 kg, Q/SiSy, vrut</t>
  </si>
  <si>
    <t>532928</t>
  </si>
  <si>
    <t>K HETTICH sada AvanTech YOU 101/450, bílá, 30 kg, Q/SiSy, vrut</t>
  </si>
  <si>
    <t>532936</t>
  </si>
  <si>
    <t>K HETTICH sada AvanTech YOU 101/450, stříbrný, 30 kg, Q/SiSy, vrut</t>
  </si>
  <si>
    <t>532934</t>
  </si>
  <si>
    <t>K HETTICH sada AvanTech YOU 101/500, antracit, 30 kg, Q/SiSy, vrut</t>
  </si>
  <si>
    <t>532930</t>
  </si>
  <si>
    <t>K HETTICH sada AvanTech YOU 101/500, bílá, 30 kg, Q/SiSy, vrut</t>
  </si>
  <si>
    <t>532938</t>
  </si>
  <si>
    <t>K HETTICH sada AvanTech YOU 101/500, stříbrný, 30 kg, Q/SiSy, vrut</t>
  </si>
  <si>
    <t>533014</t>
  </si>
  <si>
    <t>K HETTICH sada AvanTech YOU 101/550, antracit, 30 kg, Q/SiSy, vrut</t>
  </si>
  <si>
    <t>532948</t>
  </si>
  <si>
    <t>K HETTICH sada AvanTech YOU 101/550, bílá, 30 kg, Q/SiSy, vrut</t>
  </si>
  <si>
    <t>532981</t>
  </si>
  <si>
    <t>K HETTICH sada AvanTech YOU 101/550, stříbrný, 30 kg, Q/SiSy, vrut</t>
  </si>
  <si>
    <t>533015</t>
  </si>
  <si>
    <t>K HETTICH sada AvanTech YOU 101/600, antracit, 30 kg, Q/SiSy, vrut</t>
  </si>
  <si>
    <t>532949</t>
  </si>
  <si>
    <t>K HETTICH sada AvanTech YOU 101/600, bílá, 30 kg, Q/SiSy, vrut</t>
  </si>
  <si>
    <t>532982</t>
  </si>
  <si>
    <t>K HETTICH sada AvanTech YOU 101/600, stříbrný, 30 kg, Q/SiSy, vrut</t>
  </si>
  <si>
    <t>533016</t>
  </si>
  <si>
    <t>K HETTICH sada AvanTech YOU 101/650, antracit, 70 kg, A/SiSy, vrut</t>
  </si>
  <si>
    <t>532950</t>
  </si>
  <si>
    <t>K HETTICH sada AvanTech YOU 101/650, bílá, 70 kg, A/SiSy, vrut</t>
  </si>
  <si>
    <t>532983</t>
  </si>
  <si>
    <t>K HETTICH sada AvanTech YOU 101/650, stříbrný, 70 kg, A/SiSy, vrut</t>
  </si>
  <si>
    <t>533017</t>
  </si>
  <si>
    <t>K HETTICH sada AvanTech YOU 139/300, antracit, 30 kg, Q/SiSy, vrut</t>
  </si>
  <si>
    <t>532958</t>
  </si>
  <si>
    <t>K HETTICH sada AvanTech YOU 139/300, bílá, 30 kg, Q/SiSy, vrut</t>
  </si>
  <si>
    <t>532984</t>
  </si>
  <si>
    <t>K HETTICH sada AvanTech YOU 139/300, stříbrný, 30 kg, Q/SiSy, vrut</t>
  </si>
  <si>
    <t>533018</t>
  </si>
  <si>
    <t>K HETTICH sada AvanTech YOU 139/350, antracit, 30 kg, Q/SiSy, vrut</t>
  </si>
  <si>
    <t>532959</t>
  </si>
  <si>
    <t>K HETTICH sada AvanTech YOU 139/350, bílá, 30 kg, Q/SiSy, vrut</t>
  </si>
  <si>
    <t>532985</t>
  </si>
  <si>
    <t>K HETTICH sada AvanTech YOU 139/350, stříbrný, 30 kg, Q/SiSy, vrut</t>
  </si>
  <si>
    <t>533019</t>
  </si>
  <si>
    <t>K HETTICH sada AvanTech YOU 139/400, antracit, 30 kg, Q/SiSy, vrut</t>
  </si>
  <si>
    <t>532960</t>
  </si>
  <si>
    <t>K HETTICH sada AvanTech YOU 139/400, bílá, 30 kg, Q/SiSy, vrut</t>
  </si>
  <si>
    <t>532986</t>
  </si>
  <si>
    <t>K HETTICH sada AvanTech YOU 139/400, stříbrný, 30 kg, Q/SiSy, vrut</t>
  </si>
  <si>
    <t>533020</t>
  </si>
  <si>
    <t>K HETTICH sada AvanTech YOU 139/450, antracit, 30 kg, Q/SiSy, vrut</t>
  </si>
  <si>
    <t>532961</t>
  </si>
  <si>
    <t>K HETTICH sada AvanTech YOU 139/450, bílá, 30 kg, Q/SiSy, vrut</t>
  </si>
  <si>
    <t>532987</t>
  </si>
  <si>
    <t>K HETTICH sada AvanTech YOU 139/450, stříbrný, 30 kg, Q/SiSy, vrut</t>
  </si>
  <si>
    <t>533021</t>
  </si>
  <si>
    <t>K HETTICH sada AvanTech YOU 139/500, antracit, 30 kg, Q/SiSy, vrut</t>
  </si>
  <si>
    <t>532962</t>
  </si>
  <si>
    <t>K HETTICH sada AvanTech YOU 139/500, bílá, 30 kg, Q/SiSy, vrut</t>
  </si>
  <si>
    <t>532988</t>
  </si>
  <si>
    <t>K HETTICH sada AvanTech YOU 139/500, stříbrný, 30 kg, Q/SiSy, vrut</t>
  </si>
  <si>
    <t>533022</t>
  </si>
  <si>
    <t>K HETTICH sada AvanTech YOU 139/550, antracit, 30 kg, Q/SiSy, vrut</t>
  </si>
  <si>
    <t>532963</t>
  </si>
  <si>
    <t>K HETTICH sada AvanTech YOU 139/550, bílá, 30 kg, Q/SiSy, vrut</t>
  </si>
  <si>
    <t>532989</t>
  </si>
  <si>
    <t>K HETTICH sada AvanTech YOU 139/550, stříbrný, 30 kg, Q/SiSy, vrut</t>
  </si>
  <si>
    <t>533023</t>
  </si>
  <si>
    <t>K HETTICH sada AvanTech YOU 139/600, antracit, 30 kg, Q/SiSy, vrut</t>
  </si>
  <si>
    <t>532964</t>
  </si>
  <si>
    <t>K HETTICH sada AvanTech YOU 139/600, bílá, 30 kg, Q/SiSy, vrut</t>
  </si>
  <si>
    <t>532990</t>
  </si>
  <si>
    <t>K HETTICH sada AvanTech YOU 139/600, stříbrný, 30 kg, Q/SiSy, vrut</t>
  </si>
  <si>
    <t>533024</t>
  </si>
  <si>
    <t>K HETTICH sada AvanTech YOU 139/650, antracit, 70 kg, A/SiSy, vrut</t>
  </si>
  <si>
    <t>532965</t>
  </si>
  <si>
    <t>K HETTICH sada AvanTech YOU 139/650, bílá, 70 kg, A/SiSy, vrut</t>
  </si>
  <si>
    <t>532991</t>
  </si>
  <si>
    <t>K HETTICH sada AvanTech YOU 139/650, stříbrný, 70 kg, A/SiSy, vrut</t>
  </si>
  <si>
    <t>533025</t>
  </si>
  <si>
    <t>K HETTICH sada AvanTech YOU 187/270, antracit, 30 kg, Q/SiSy, vrut</t>
  </si>
  <si>
    <t>532951</t>
  </si>
  <si>
    <t>K HETTICH sada AvanTech YOU 187/270, bílá, 30 kg, Q/SiSy, vrut</t>
  </si>
  <si>
    <t>532992</t>
  </si>
  <si>
    <t>K HETTICH sada AvanTech YOU 187/270, stříbrný, 30 kg, Q/SiSy, vrut</t>
  </si>
  <si>
    <t>533026</t>
  </si>
  <si>
    <t>K HETTICH sada AvanTech YOU 187/300, antracit, 30 kg, Q/SiSy, vrut</t>
  </si>
  <si>
    <t>532952</t>
  </si>
  <si>
    <t>K HETTICH sada AvanTech YOU 187/300, bílá, 30 kg, Q/SiSy, vrut</t>
  </si>
  <si>
    <t>532993</t>
  </si>
  <si>
    <t>K HETTICH sada AvanTech YOU 187/300, stříbrný, 30 kg, Q/SiSy, vrut</t>
  </si>
  <si>
    <t>533027</t>
  </si>
  <si>
    <t>K HETTICH sada AvanTech YOU 187/350, antracit, 30 kg, Q/SiSy, vrut</t>
  </si>
  <si>
    <t>532953</t>
  </si>
  <si>
    <t>K HETTICH sada AvanTech YOU 187/350, bílá, 30 kg, Q/SiSy, vrut</t>
  </si>
  <si>
    <t>532994</t>
  </si>
  <si>
    <t>K HETTICH sada AvanTech YOU 187/350, stříbrný, 30 kg, Q/SiSy, vrut</t>
  </si>
  <si>
    <t>533028</t>
  </si>
  <si>
    <t>K HETTICH sada AvanTech YOU 187/400, antracit, 30 kg, Q/SiSy, vrut</t>
  </si>
  <si>
    <t>532954</t>
  </si>
  <si>
    <t>K HETTICH sada AvanTech YOU 187/400, bílá, 30 kg, Q/SiSy, vrut</t>
  </si>
  <si>
    <t>532995</t>
  </si>
  <si>
    <t>K HETTICH sada AvanTech YOU 187/400, stříbrný, 30 kg, Q/SiSy, vrut</t>
  </si>
  <si>
    <t>532933</t>
  </si>
  <si>
    <t>K HETTICH sada AvanTech YOU 187/450, antracit, 30 kg, Q/SiSy, vrut</t>
  </si>
  <si>
    <t>532929</t>
  </si>
  <si>
    <t>K HETTICH sada AvanTech YOU 187/450, bílá, 30 kg, Q/SiSy, vrut</t>
  </si>
  <si>
    <t>532937</t>
  </si>
  <si>
    <t>K HETTICH sada AvanTech YOU 187/450, stříbrný, 30 kg, Q/SiSy, vrut</t>
  </si>
  <si>
    <t>532935</t>
  </si>
  <si>
    <t>K HETTICH sada AvanTech YOU 187/500, antracit, 30 kg, Q/SiSy, vrut</t>
  </si>
  <si>
    <t>532931</t>
  </si>
  <si>
    <t>K HETTICH sada AvanTech YOU 187/500, bílá, 30 kg, Q/SiSy, vrut</t>
  </si>
  <si>
    <t>532939</t>
  </si>
  <si>
    <t>K HETTICH sada AvanTech YOU 187/500, stříbrný, 30 kg, Q/SiSy, vrut</t>
  </si>
  <si>
    <t>533029</t>
  </si>
  <si>
    <t>K HETTICH sada AvanTech YOU 187/550, antracit, 30 kg, Q/SiSy, vrut</t>
  </si>
  <si>
    <t>532955</t>
  </si>
  <si>
    <t>K HETTICH sada AvanTech YOU 187/550, bílá, 30 kg, Q/SiSy, vrut</t>
  </si>
  <si>
    <t>532996</t>
  </si>
  <si>
    <t>K HETTICH sada AvanTech YOU 187/550, stříbrný, 30 kg, Q/SiSy, vrut</t>
  </si>
  <si>
    <t>533030</t>
  </si>
  <si>
    <t>K HETTICH sada AvanTech YOU 187/600, antracit, 30 kg, Q/SiSy, vrut</t>
  </si>
  <si>
    <t>532956</t>
  </si>
  <si>
    <t>K HETTICH sada AvanTech YOU 187/600, bílá, 30 kg, Q/SiSy, vrut</t>
  </si>
  <si>
    <t>532997</t>
  </si>
  <si>
    <t>K HETTICH sada AvanTech YOU 187/600, stříbrný, 30 kg, Q/SiSy, vrut</t>
  </si>
  <si>
    <t>533031</t>
  </si>
  <si>
    <t>K HETTICH sada AvanTech YOU 187/650, antracit, 70 kg, A/SiSy, vrut</t>
  </si>
  <si>
    <t>532957</t>
  </si>
  <si>
    <t>K HETTICH sada AvanTech YOU 187/650, bílá, 70 kg, A/SiSy, vrut</t>
  </si>
  <si>
    <t>532998</t>
  </si>
  <si>
    <t>K HETTICH sada AvanTech YOU 187/650, stříbrný, 70 kg, A/SiSy, vrut</t>
  </si>
  <si>
    <t>533032</t>
  </si>
  <si>
    <t>K HETTICH sada AvanTech YOU 251/350, antracit, 30 kg, Q/SiSy, vrut</t>
  </si>
  <si>
    <t>532966</t>
  </si>
  <si>
    <t>K HETTICH sada AvanTech YOU 251/350, bílá, 30 kg, Q/SiSy, vrut</t>
  </si>
  <si>
    <t>532999</t>
  </si>
  <si>
    <t>K HETTICH sada AvanTech YOU 251/350, stříbrný, 30 kg, Q/SiSy, vrut</t>
  </si>
  <si>
    <t>533033</t>
  </si>
  <si>
    <t>K HETTICH sada AvanTech YOU 251/400, antracit, 30 kg, Q/SiSy, vrut</t>
  </si>
  <si>
    <t>532967</t>
  </si>
  <si>
    <t>K HETTICH sada AvanTech YOU 251/400, bílá, 30 kg, Q/SiSy, vrut</t>
  </si>
  <si>
    <t>533000</t>
  </si>
  <si>
    <t>K HETTICH sada AvanTech YOU 251/400, stříbrný, 30 kg, Q/SiSy, vrut</t>
  </si>
  <si>
    <t>533034</t>
  </si>
  <si>
    <t>K HETTICH sada AvanTech YOU 251/450, antracit, 30 kg, Q/SiSy, vrut</t>
  </si>
  <si>
    <t>532968</t>
  </si>
  <si>
    <t>K HETTICH sada AvanTech YOU 251/450, bílá, 30 kg, Q/SiSy, vrut</t>
  </si>
  <si>
    <t>533001</t>
  </si>
  <si>
    <t>K HETTICH sada AvanTech YOU 251/450, stříbrný, 30 kg, Q/SiSy, vrut</t>
  </si>
  <si>
    <t>533035</t>
  </si>
  <si>
    <t>K HETTICH sada AvanTech YOU 251/500, antracit, 30 kg, Q/SiSy, vrut</t>
  </si>
  <si>
    <t>532969</t>
  </si>
  <si>
    <t>K HETTICH sada AvanTech YOU 251/500, bílá, 30 kg, Q/SiSy, vrut</t>
  </si>
  <si>
    <t>533002</t>
  </si>
  <si>
    <t>K HETTICH sada AvanTech YOU 251/500, stříbrný, 30 kg, Q/SiSy, vrut</t>
  </si>
  <si>
    <t>533036</t>
  </si>
  <si>
    <t>K HETTICH sada AvanTech YOU 251/550, antracit, 30 kg, Q/SiSy, vrut</t>
  </si>
  <si>
    <t>532970</t>
  </si>
  <si>
    <t>K HETTICH sada AvanTech YOU 251/550, bílá, 30 kg, Q/SiSy, vrut</t>
  </si>
  <si>
    <t>533003</t>
  </si>
  <si>
    <t>K HETTICH sada AvanTech YOU 251/550, stříbrný, 30 kg, Q/SiSy, vrut</t>
  </si>
  <si>
    <t>533037</t>
  </si>
  <si>
    <t>K HETTICH sada AvanTech YOU 251/600, antracit, 30 kg, Q/SiSy, vrut</t>
  </si>
  <si>
    <t>532971</t>
  </si>
  <si>
    <t>K HETTICH sada AvanTech YOU 251/600, bílá, 30 kg, Q/SiSy, vrut</t>
  </si>
  <si>
    <t>533004</t>
  </si>
  <si>
    <t>K HETTICH sada AvanTech YOU 251/600, stříbrný, 30 kg, Q/SiSy, vrut</t>
  </si>
  <si>
    <t>533038</t>
  </si>
  <si>
    <t>K HETTICH sada AvanTech YOU 251/650, antracit, 70 kg, A/SiSy, vrut</t>
  </si>
  <si>
    <t>532972</t>
  </si>
  <si>
    <t>K HETTICH sada AvanTech YOU 251/650, bílá, 70 kg, A/SiSy, vrut</t>
  </si>
  <si>
    <t>533005</t>
  </si>
  <si>
    <t>K HETTICH sada AvanTech YOU 251/650, stříbrný, 70 kg, A/SiSy, vrut</t>
  </si>
  <si>
    <t>533006</t>
  </si>
  <si>
    <t>K HETTICH sada AvanTech YOU 77/400, antracit, 30 kg, Q/SiSy, vrut</t>
  </si>
  <si>
    <t>532940</t>
  </si>
  <si>
    <t>K HETTICH sada AvanTech YOU 77/400, bílá, 30 kg, Q/SiSy, vrut</t>
  </si>
  <si>
    <t>532973</t>
  </si>
  <si>
    <t>K HETTICH sada AvanTech YOU 77/400, stříbrný, 30 kg, Q/SiSy, vrut</t>
  </si>
  <si>
    <t>533007</t>
  </si>
  <si>
    <t>K HETTICH sada AvanTech YOU 77/450, antracit, 30 kg, Q/SiSy, vrut</t>
  </si>
  <si>
    <t>532941</t>
  </si>
  <si>
    <t>K HETTICH sada AvanTech YOU 77/450, bílá, 30 kg, Q/SiSy, vrut</t>
  </si>
  <si>
    <t>532974</t>
  </si>
  <si>
    <t>K HETTICH sada AvanTech YOU 77/450, stříbrný, 30 kg, Q/SiSy, vrut</t>
  </si>
  <si>
    <t>533008</t>
  </si>
  <si>
    <t>K HETTICH sada AvanTech YOU 77/500, antracit, 30 kg, Q/SiSy, vrut</t>
  </si>
  <si>
    <t>532942</t>
  </si>
  <si>
    <t>K HETTICH sada AvanTech YOU 77/500, bílá, 30 kg, Q/SiSy, vrut</t>
  </si>
  <si>
    <t>532975</t>
  </si>
  <si>
    <t>K HETTICH sada AvanTech YOU 77/500, stříbrný, 30 kg, Q/SiSy, vrut</t>
  </si>
  <si>
    <t>533009</t>
  </si>
  <si>
    <t>K HETTICH sada AvanTech YOU 77/550, antracit, 30 kg, Q/SiSy, vrut</t>
  </si>
  <si>
    <t>532943</t>
  </si>
  <si>
    <t>K HETTICH sada AvanTech YOU 77/550, bílá, 30 kg, Q/SiSy, vrut</t>
  </si>
  <si>
    <t>532976</t>
  </si>
  <si>
    <t>K HETTICH sada AvanTech YOU 77/550, stříbrný, 30 kg, Q/SiSy, vrut</t>
  </si>
  <si>
    <t>409494</t>
  </si>
  <si>
    <t>K-HETTICH 44763 Accura vrtací šablona pro úchytky</t>
  </si>
  <si>
    <t>454867</t>
  </si>
  <si>
    <t>K-Hettich 9071223 Sensys + 071576 Podložka 50x bity SPAX</t>
  </si>
  <si>
    <t>454844</t>
  </si>
  <si>
    <t>K-Hettich 9071223 Sensys + 071576 Podložka 50x fréza 35mm</t>
  </si>
  <si>
    <t>514212</t>
  </si>
  <si>
    <t>K-HETTICH 9255248 AvanTech YOU sada bočnic H101/450 stříbrná (ver.2025) z průmys</t>
  </si>
  <si>
    <t>514215</t>
  </si>
  <si>
    <t>K-HETTICH 9255249 AvanTech YOU sada bočnic H101/500 stříbrná (ver.2025) z průmys</t>
  </si>
  <si>
    <t>514217</t>
  </si>
  <si>
    <t>K-HETTICH 9255258 AvanTech YOU sada bočnic H139/500 stříbrná (ver.2025) z průmys</t>
  </si>
  <si>
    <t>525035</t>
  </si>
  <si>
    <t>K-HETTICH 9255266 AvanTech YOU sada bočnic H187/450 stříbrná (ver.2025) z průmys</t>
  </si>
  <si>
    <t>525036</t>
  </si>
  <si>
    <t>K-HETTICH 9255267 AvanTech YOU sada bočnic H187/500 stříbrná (ver.2025) z průmys</t>
  </si>
  <si>
    <t>514211</t>
  </si>
  <si>
    <t>K-HETTICH 9255288 AvanTech YOU sada bočnic H101/450 bílá (ver.2025) z průmyslu</t>
  </si>
  <si>
    <t>525034</t>
  </si>
  <si>
    <t>K-HETTICH 9255289 AvanTech YOU sada bočnic H101/500 bílá (ver.2025) z průmyslu</t>
  </si>
  <si>
    <t>514216</t>
  </si>
  <si>
    <t>K-HETTICH 9255298 AvanTech YOU sada bočnic H139/500 bílá (ver.2025) z průmyslu</t>
  </si>
  <si>
    <t>514214</t>
  </si>
  <si>
    <t>K-HETTICH 9255306 AvanTech YOU sada bočnic H187/450 bílá (ver.2025) z průmyslu</t>
  </si>
  <si>
    <t>514213</t>
  </si>
  <si>
    <t>K-HETTICH 9255328 AvanTech YOU sada bočnic H101/450 antracit (ver.2025) z průmys</t>
  </si>
  <si>
    <t>525038</t>
  </si>
  <si>
    <t>K-HETTICH 9255338 AvanTech YOU sada bočnic H139/500 antracit (ver.2025) z průmys</t>
  </si>
  <si>
    <t>525037</t>
  </si>
  <si>
    <t>K-HETTICH 9255346 AvanTech YOU sada bočnic H187/450 antracit (ver.2025) z průmys</t>
  </si>
  <si>
    <t>401597</t>
  </si>
  <si>
    <t>K-HETTICH Actro 5D skrytý celovýsuv, 250mm/10kg, sada pro 16mm, spojky, SiSy</t>
  </si>
  <si>
    <t>401602</t>
  </si>
  <si>
    <t>K-HETTICH Actro 5D skrytý celovýsuv, 250mm/40kg, sada pro 16mm, spojky, SiSy</t>
  </si>
  <si>
    <t>401598</t>
  </si>
  <si>
    <t>K-HETTICH Actro 5D skrytý celovýsuv, 270mm/10kg, sada pro 16mm, spojky, SiSy</t>
  </si>
  <si>
    <t>401603</t>
  </si>
  <si>
    <t>K-HETTICH Actro 5D skrytý celovýsuv, 270mm/40kg, sada pro 16mm, spojky, SiSy</t>
  </si>
  <si>
    <t>401599</t>
  </si>
  <si>
    <t>K-HETTICH Actro 5D skrytý celovýsuv, 300mm/10kg, sada pro 16mm, spojky, SiSy</t>
  </si>
  <si>
    <t>401604</t>
  </si>
  <si>
    <t>K-HETTICH Actro 5D skrytý celovýsuv, 300mm/40kg, sada pro 16mm, spojky, SiSy</t>
  </si>
  <si>
    <t>401600</t>
  </si>
  <si>
    <t>K-HETTICH Actro 5D skrytý celovýsuv, 320mm/10kg, sada pro 16mm, spojky, SiSy</t>
  </si>
  <si>
    <t>401605</t>
  </si>
  <si>
    <t>K-HETTICH Actro 5D skrytý celovýsuv, 320mm/40kg, sada pro 16mm, spojky, SiSy</t>
  </si>
  <si>
    <t>401601</t>
  </si>
  <si>
    <t>K-HETTICH Actro 5D skrytý celovýsuv, 350mm/10kg, sada pro 16mm, spojky, SiSy</t>
  </si>
  <si>
    <t>401606</t>
  </si>
  <si>
    <t>K-HETTICH Actro 5D skrytý celovýsuv, 350mm/40kg, sada pro 16mm, spojky, SiSy</t>
  </si>
  <si>
    <t>401607</t>
  </si>
  <si>
    <t>K-HETTICH Actro 5D skrytý celovýsuv, 380mm/40kg, sada pro 16mm, spojky, SiSy</t>
  </si>
  <si>
    <t>401608</t>
  </si>
  <si>
    <t>K-HETTICH Actro 5D skrytý celovýsuv, 400mm/40kg, sada pro 16mm, spojky, SiSy</t>
  </si>
  <si>
    <t>401609</t>
  </si>
  <si>
    <t>K-HETTICH Actro 5D skrytý celovýsuv, 420mm/40kg, sada pro 16mm, spojky, SiSy</t>
  </si>
  <si>
    <t>401610</t>
  </si>
  <si>
    <t>K-HETTICH Actro 5D skrytý celovýsuv, 450mm/40kg, sada pro 16mm, spojky, SiSy</t>
  </si>
  <si>
    <t>401616</t>
  </si>
  <si>
    <t>K-HETTICH Actro 5D skrytý celovýsuv, 450mm/70kg, sada pro 16mm, spojky, SiSy</t>
  </si>
  <si>
    <t>401611</t>
  </si>
  <si>
    <t>K-HETTICH Actro 5D skrytý celovýsuv, 480mm/40kg, sada pro 16mm, spojky, SiSy</t>
  </si>
  <si>
    <t>401612</t>
  </si>
  <si>
    <t>K-HETTICH Actro 5D skrytý celovýsuv, 500mm/40kg, sada pro 16mm, spojky, SiSy</t>
  </si>
  <si>
    <t>401617</t>
  </si>
  <si>
    <t>K-HETTICH Actro 5D skrytý celovýsuv, 500mm/70kg, sada pro 16mm, spojky, SiSy</t>
  </si>
  <si>
    <t>401613</t>
  </si>
  <si>
    <t>K-HETTICH Actro 5D skrytý celovýsuv, 520mm/40kg, sada pro 16mm, spojky, SiSy</t>
  </si>
  <si>
    <t>401618</t>
  </si>
  <si>
    <t>K-HETTICH Actro 5D skrytý celovýsuv, 520mm/70kg, sada pro 16mm, spojky, SiSy</t>
  </si>
  <si>
    <t>401614</t>
  </si>
  <si>
    <t>K-HETTICH Actro 5D skrytý celovýsuv, 550mm/40kg, sada pro 16mm, spojky, SiSy</t>
  </si>
  <si>
    <t>401619</t>
  </si>
  <si>
    <t>K-HETTICH Actro 5D skrytý celovýsuv, 550mm/70kg, sada pro 16mm, spojky, SiSy</t>
  </si>
  <si>
    <t>401620</t>
  </si>
  <si>
    <t>K-HETTICH Actro 5D skrytý celovýsuv, 580mm/70kg, sada pro 16mm, spojky, SiSy</t>
  </si>
  <si>
    <t>401615</t>
  </si>
  <si>
    <t>K-HETTICH Actro 5D skrytý celovýsuv, 600mm/40kg, sada pro 16mm, spojky, SiSy</t>
  </si>
  <si>
    <t>401621</t>
  </si>
  <si>
    <t>K-HETTICH Actro 5D skrytý celovýsuv, 600mm/70kg, sada pro 16mm, spojky, SiSy</t>
  </si>
  <si>
    <t>401622</t>
  </si>
  <si>
    <t>K-HETTICH Actro 5D skrytý celovýsuv, 650mm/70kg, sada pro 16mm, spojky, SiSy</t>
  </si>
  <si>
    <t>401623</t>
  </si>
  <si>
    <t>K-HETTICH Actro 5D skrytý celovýsuv, 700mm/70kg, sada pro 16mm, spojky, SiSy</t>
  </si>
  <si>
    <t>401624</t>
  </si>
  <si>
    <t>K-HETTICH Actro 5D skrytý celovýsuv, 750mm/70kg, sada pro 16mm, spojky, SiSy</t>
  </si>
  <si>
    <t>369799</t>
  </si>
  <si>
    <t>K-HETTICH akce Atira 470 antracit 1+2+Bosch</t>
  </si>
  <si>
    <t>369798</t>
  </si>
  <si>
    <t>K-HETTICH akce Atira 470 bílá 1+2+Bosch</t>
  </si>
  <si>
    <t>369797</t>
  </si>
  <si>
    <t>K-HETTICH akce Atira 470 stříbrná 1+2+Bosch</t>
  </si>
  <si>
    <t>390913</t>
  </si>
  <si>
    <t>K-HETTICH akce Korrekt + klíč pro seřízení (400+1) výška 80</t>
  </si>
  <si>
    <t>360208</t>
  </si>
  <si>
    <t>K-HETTICH ArciTech horní reling, 300mm, pár, hmoždinka, bílá</t>
  </si>
  <si>
    <t>360210</t>
  </si>
  <si>
    <t>K-HETTICH ArciTech horní reling, 350mm, pár, hmoždinka, bílá</t>
  </si>
  <si>
    <t>360211</t>
  </si>
  <si>
    <t>K-HETTICH ArciTech horní reling, 400mm, pár, hmoždinka, bílá</t>
  </si>
  <si>
    <t>360220</t>
  </si>
  <si>
    <t>K-HETTICH ArciTech horní reling, 450mm, pár, hmoždinka, antracit</t>
  </si>
  <si>
    <t>360212</t>
  </si>
  <si>
    <t>K-HETTICH ArciTech horní reling, 450mm, pár, hmoždinka, bílá</t>
  </si>
  <si>
    <t>360222</t>
  </si>
  <si>
    <t>K-HETTICH ArciTech horní reling, 500mm, pár, hmoždinka, antracit</t>
  </si>
  <si>
    <t>360213</t>
  </si>
  <si>
    <t>K-HETTICH ArciTech horní reling, 500mm, pár, hmoždinka, bílá</t>
  </si>
  <si>
    <t>360214</t>
  </si>
  <si>
    <t>K-HETTICH ArciTech horní reling, 550mm, pár, hmoždinka, bílá</t>
  </si>
  <si>
    <t>360216</t>
  </si>
  <si>
    <t>K-HETTICH ArciTech podélný reling 270 mm antracit, hmoždinka</t>
  </si>
  <si>
    <t>360207</t>
  </si>
  <si>
    <t>K-HETTICH ArciTech podélný reling 270 mm bílý, hmoždinka</t>
  </si>
  <si>
    <t>360226</t>
  </si>
  <si>
    <t>K-HETTICH Arcitech podélný reling 300 stříbrný L+P</t>
  </si>
  <si>
    <t>360227</t>
  </si>
  <si>
    <t>K-HETTICH Arcitech podélný reling 350 stříbrný L+P</t>
  </si>
  <si>
    <t>360218</t>
  </si>
  <si>
    <t>K-HETTICH ArciTech podélný reling 350, antracit, hmoždinka</t>
  </si>
  <si>
    <t>360228</t>
  </si>
  <si>
    <t>K-HETTICH Arcitech podélný reling 400 stříbrný L+P</t>
  </si>
  <si>
    <t>360219</t>
  </si>
  <si>
    <t>K-HETTICH ArciTech podélný reling 400, antracit, hmoždinka</t>
  </si>
  <si>
    <t>360229</t>
  </si>
  <si>
    <t>K-HETTICH Arcitech podélný reling 450 stříbrný L+P</t>
  </si>
  <si>
    <t>360230</t>
  </si>
  <si>
    <t>K-HETTICH Arcitech podélný reling 500 stříbrný L+P</t>
  </si>
  <si>
    <t>360231</t>
  </si>
  <si>
    <t>K-HETTICH Arcitech podélný reling 550 stříbrný L+P</t>
  </si>
  <si>
    <t>360224</t>
  </si>
  <si>
    <t>K-HETTICH ArciTech podélný reling 650 mm antracit, hmoždinka</t>
  </si>
  <si>
    <t>360215</t>
  </si>
  <si>
    <t>K-HETTICH ArciTech podélný reling 650 mm bílý, hmoždinka</t>
  </si>
  <si>
    <t>360225</t>
  </si>
  <si>
    <t>K-HETTICH ArciTech reling 270 mm stříbrný L+P</t>
  </si>
  <si>
    <t>360217</t>
  </si>
  <si>
    <t>K-HETTICH ArciTech reling 300 mm antracit L+P</t>
  </si>
  <si>
    <t>360223</t>
  </si>
  <si>
    <t>K-HETTICH ArciTech reling 550 mm antracit L+P</t>
  </si>
  <si>
    <t>360232</t>
  </si>
  <si>
    <t>K-HETTICH ArciTech reling 650 mm stříbrný L+P</t>
  </si>
  <si>
    <t>354508</t>
  </si>
  <si>
    <t>K-HETTICH ArciTech vnitřní zásuvka 186, 300mm/40kg, bílá, SiSy</t>
  </si>
  <si>
    <t>354516</t>
  </si>
  <si>
    <t>K-HETTICH ArciTech vnitřní zásuvka 186, 350mm/40kg, bílá, SiSy</t>
  </si>
  <si>
    <t>354523</t>
  </si>
  <si>
    <t>K-HETTICH ArciTech vnitřní zásuvka 186, 400mm/40kg, bílá, SiSy</t>
  </si>
  <si>
    <t>354815</t>
  </si>
  <si>
    <t>K-HETTICH ArciTech vnitřní zásuvka 186, 450mm/40kg, antracit, SiSy</t>
  </si>
  <si>
    <t>354535</t>
  </si>
  <si>
    <t>K-HETTICH ArciTech vnitřní zásuvka 186, 450mm/40kg, bílá, SiSy</t>
  </si>
  <si>
    <t>354827</t>
  </si>
  <si>
    <t>K-HETTICH ArciTech vnitřní zásuvka 186, 500mm/40kg, antracit, SiSy</t>
  </si>
  <si>
    <t>354547</t>
  </si>
  <si>
    <t>K-HETTICH ArciTech vnitřní zásuvka 186, 500mm/40kg, bílá, SiSy</t>
  </si>
  <si>
    <t>354833</t>
  </si>
  <si>
    <t>K-HETTICH ArciTech vnitřní zásuvka 186, 500mm/60kg, antracit, SiSy</t>
  </si>
  <si>
    <t>354553</t>
  </si>
  <si>
    <t>K-HETTICH ArciTech vnitřní zásuvka 186, 500mm/60kg, bílá, SiSy</t>
  </si>
  <si>
    <t>354565</t>
  </si>
  <si>
    <t>K-HETTICH ArciTech vnitřní zásuvka 186, 550mm/40kg, bílá, SiSy</t>
  </si>
  <si>
    <t>354509</t>
  </si>
  <si>
    <t>K-HETTICH ArciTech vnitřní zásuvka 218, 300mm/40kg, bílá, SiSy</t>
  </si>
  <si>
    <t>354517</t>
  </si>
  <si>
    <t>K-HETTICH ArciTech vnitřní zásuvka 218, 350mm/40kg, bílá, SiSy</t>
  </si>
  <si>
    <t>354524</t>
  </si>
  <si>
    <t>K-HETTICH ArciTech vnitřní zásuvka 218, 400mm/40kg, bílá, SiSy</t>
  </si>
  <si>
    <t>354816</t>
  </si>
  <si>
    <t>K-HETTICH ArciTech vnitřní zásuvka 218, 450mm/40kg, antracit, SiSy</t>
  </si>
  <si>
    <t>354536</t>
  </si>
  <si>
    <t>K-HETTICH ArciTech vnitřní zásuvka 218, 450mm/40kg, bílá, SiSy</t>
  </si>
  <si>
    <t>354828</t>
  </si>
  <si>
    <t>K-HETTICH ArciTech vnitřní zásuvka 218, 500mm/40kg, antracit, SiSy</t>
  </si>
  <si>
    <t>354548</t>
  </si>
  <si>
    <t>K-HETTICH ArciTech vnitřní zásuvka 218, 500mm/40kg, bílá, SiSy</t>
  </si>
  <si>
    <t>354834</t>
  </si>
  <si>
    <t>K-HETTICH ArciTech vnitřní zásuvka 218, 500mm/60kg, antracit, SiSy</t>
  </si>
  <si>
    <t>354554</t>
  </si>
  <si>
    <t>K-HETTICH ArciTech vnitřní zásuvka 218, 500mm/60kg, bílá, SiSy</t>
  </si>
  <si>
    <t>354566</t>
  </si>
  <si>
    <t>K-HETTICH ArciTech vnitřní zásuvka 218, 550mm/40kg, bílá, SiSy</t>
  </si>
  <si>
    <t>354507</t>
  </si>
  <si>
    <t>K-HETTICH ArciTech vnitřní zásuvka 94, 300mm/40kg, bílá, SiSy</t>
  </si>
  <si>
    <t>354515</t>
  </si>
  <si>
    <t>K-HETTICH ArciTech vnitřní zásuvka 94, 350mm/40kg, bílá, SiSy</t>
  </si>
  <si>
    <t>354522</t>
  </si>
  <si>
    <t>K-HETTICH ArciTech vnitřní zásuvka 94, 400mm/40kg, bílá, SiSy</t>
  </si>
  <si>
    <t>354814</t>
  </si>
  <si>
    <t>K-HETTICH ArciTech vnitřní zásuvka 94, 450mm/40kg, antracit, SiSy</t>
  </si>
  <si>
    <t>354534</t>
  </si>
  <si>
    <t>K-HETTICH ArciTech vnitřní zásuvka 94, 450mm/40kg, bílá, SiSy</t>
  </si>
  <si>
    <t>354826</t>
  </si>
  <si>
    <t>K-HETTICH ArciTech vnitřní zásuvka 94, 500mm/40kg, antracit, SiSy</t>
  </si>
  <si>
    <t>354546</t>
  </si>
  <si>
    <t>K-HETTICH ArciTech vnitřní zásuvka 94, 500mm/40kg, bílá, SiSy</t>
  </si>
  <si>
    <t>354832</t>
  </si>
  <si>
    <t>K-HETTICH ArciTech vnitřní zásuvka 94, 500mm/60kg, antracit, SiSy</t>
  </si>
  <si>
    <t>354552</t>
  </si>
  <si>
    <t>K-HETTICH ArciTech vnitřní zásuvka 94, 500mm/60kg, bílá, SiSy</t>
  </si>
  <si>
    <t>354564</t>
  </si>
  <si>
    <t>K-HETTICH ArciTech vnitřní zásuvka 94, 550mm/40kg, bílá, SiSy</t>
  </si>
  <si>
    <t>354346</t>
  </si>
  <si>
    <t>K-HETTICH ArciTech zásuvka 186, 300mm/40kg, bílá, SiSy</t>
  </si>
  <si>
    <t>354358</t>
  </si>
  <si>
    <t>K-HETTICH ArciTech zásuvka 186, 350mm/40kg, bílá, SiSy</t>
  </si>
  <si>
    <t>354369</t>
  </si>
  <si>
    <t>K-HETTICH ArciTech zásuvka 186, 400mm/40kg, bílá, SiSy</t>
  </si>
  <si>
    <t>354669</t>
  </si>
  <si>
    <t>K-HETTICH ArciTech zásuvka 186, 450mm/40kg, antracit, SiSy</t>
  </si>
  <si>
    <t>354389</t>
  </si>
  <si>
    <t>K-HETTICH ArciTech zásuvka 186, 450mm/40kg, bílá, SiSy</t>
  </si>
  <si>
    <t>354689</t>
  </si>
  <si>
    <t>K-HETTICH ArciTech zásuvka 186, 500mm/40kg, antracit, SiSy</t>
  </si>
  <si>
    <t>354409</t>
  </si>
  <si>
    <t>K-HETTICH ArciTech zásuvka 186, 500mm/40kg, bílá, SiSy</t>
  </si>
  <si>
    <t>354439</t>
  </si>
  <si>
    <t>K-HETTICH ArciTech zásuvka 186, 550mm/40kg, bílá, SiSy</t>
  </si>
  <si>
    <t>354347</t>
  </si>
  <si>
    <t>K-HETTICH ArciTech zásuvka 218, 300mm/40kg, bílá, SiSy</t>
  </si>
  <si>
    <t>354359</t>
  </si>
  <si>
    <t>K-HETTICH ArciTech zásuvka 218, 350mm/40kg, bílá, SiSy</t>
  </si>
  <si>
    <t>354370</t>
  </si>
  <si>
    <t>K-HETTICH ArciTech zásuvka 218, 400mm/40kg, bílá, SiSy</t>
  </si>
  <si>
    <t>354670</t>
  </si>
  <si>
    <t>K-HETTICH ArciTech zásuvka 218, 450mm/40kg, antracit, SiSy</t>
  </si>
  <si>
    <t>354390</t>
  </si>
  <si>
    <t>K-HETTICH ArciTech zásuvka 218, 450mm/40kg, bílá, SiSy</t>
  </si>
  <si>
    <t>354690</t>
  </si>
  <si>
    <t>K-HETTICH ArciTech zásuvka 218, 500mm/40kg, antracit, SiSy</t>
  </si>
  <si>
    <t>354410</t>
  </si>
  <si>
    <t>K-HETTICH ArciTech zásuvka 218, 500mm/40kg, bílá, SiSy</t>
  </si>
  <si>
    <t>354440</t>
  </si>
  <si>
    <t>K-HETTICH ArciTech zásuvka 218, 550mm/40kg, bílá, SiSy</t>
  </si>
  <si>
    <t>354348</t>
  </si>
  <si>
    <t>K-HETTICH ArciTech zásuvka 250, 300mm/40kg, bílá, SiSy</t>
  </si>
  <si>
    <t>354360</t>
  </si>
  <si>
    <t>K-HETTICH ArciTech zásuvka 250, 350mm/40kg, bílá, SiSy</t>
  </si>
  <si>
    <t>354371</t>
  </si>
  <si>
    <t>K-HETTICH ArciTech zásuvka 250, 400mm/40kg, bílá, SiSy</t>
  </si>
  <si>
    <t>354671</t>
  </si>
  <si>
    <t>K-HETTICH ArciTech zásuvka 250, 450mm/40kg, antracit, SiSy</t>
  </si>
  <si>
    <t>354391</t>
  </si>
  <si>
    <t>K-HETTICH ArciTech zásuvka 250, 450mm/40kg, bílá, SiSy</t>
  </si>
  <si>
    <t>354691</t>
  </si>
  <si>
    <t>K-HETTICH ArciTech zásuvka 250, 500mm/40kg, antracit, SiSy</t>
  </si>
  <si>
    <t>354411</t>
  </si>
  <si>
    <t>K-HETTICH ArciTech zásuvka 250, 500mm/40kg, bílá, SiSy</t>
  </si>
  <si>
    <t>354441</t>
  </si>
  <si>
    <t>K-HETTICH ArciTech zásuvka 250, 550mm/40kg, bílá, SiSy</t>
  </si>
  <si>
    <t>354672</t>
  </si>
  <si>
    <t>K-HETTICH ArciTech zásuvka 282, 450mm/40kg, antracit, SiSy</t>
  </si>
  <si>
    <t>354692</t>
  </si>
  <si>
    <t>K-HETTICH ArciTech zásuvka 282, 500mm/40kg, antracit, SiSy</t>
  </si>
  <si>
    <t>354345</t>
  </si>
  <si>
    <t>K-HETTICH ArciTech zásuvka 94, 300mm/40kg, bílá, SiSy</t>
  </si>
  <si>
    <t>354357</t>
  </si>
  <si>
    <t>K-HETTICH ArciTech zásuvka 94, 350mm/40kg, bílá, SiSy</t>
  </si>
  <si>
    <t>354368</t>
  </si>
  <si>
    <t>K-HETTICH ArciTech zásuvka 94, 400mm/40kg, bílá, SiSy</t>
  </si>
  <si>
    <t>354668</t>
  </si>
  <si>
    <t>K-HETTICH ArciTech zásuvka 94, 450mm/40kg, antracit, SiSy</t>
  </si>
  <si>
    <t>354388</t>
  </si>
  <si>
    <t>K-HETTICH ArciTech zásuvka 94, 450mm/40kg, bílá, SiSy</t>
  </si>
  <si>
    <t>354688</t>
  </si>
  <si>
    <t>K-HETTICH ArciTech zásuvka 94, 500mm/40kg, antracit, SiSy</t>
  </si>
  <si>
    <t>354408</t>
  </si>
  <si>
    <t>K-HETTICH ArciTech zásuvka 94, 500mm/40kg, bílá, SiSy</t>
  </si>
  <si>
    <t>354438</t>
  </si>
  <si>
    <t>K-HETTICH ArciTech zásuvka 94, 550mm/40kg, bílá, SiSy</t>
  </si>
  <si>
    <t>354617</t>
  </si>
  <si>
    <t>K-HETTICH ArciTech, čelní, antracit, 270/126, 10kg, SiSy</t>
  </si>
  <si>
    <t>354618</t>
  </si>
  <si>
    <t>K-HETTICH ArciTech, čelní, antracit, 270/126, 40kg, SiSy</t>
  </si>
  <si>
    <t>354619</t>
  </si>
  <si>
    <t>K-HETTICH ArciTech, čelní, antracit, 270/126/186, 40kg, SiSy</t>
  </si>
  <si>
    <t>354620</t>
  </si>
  <si>
    <t>K-HETTICH ArciTech, čelní, antracit, 270/126/218, 40kg, SiSy</t>
  </si>
  <si>
    <t>354621</t>
  </si>
  <si>
    <t>K-HETTICH ArciTech, čelní, antracit, 270/126/250, 40kg, SiSy</t>
  </si>
  <si>
    <t>354622</t>
  </si>
  <si>
    <t>K-HETTICH ArciTech, čelní, antracit, 270/126/282, 40kg, SiSy</t>
  </si>
  <si>
    <t>354616</t>
  </si>
  <si>
    <t>K-HETTICH ArciTech, čelní, antracit, 270/94/282, 40kg, SiSy</t>
  </si>
  <si>
    <t>354629</t>
  </si>
  <si>
    <t>K-HETTICH ArciTech, čelní, antracit, 300/126, 10kg, SiSy</t>
  </si>
  <si>
    <t>354630</t>
  </si>
  <si>
    <t>K-HETTICH ArciTech, čelní, antracit, 300/126, 40kg, SiSy</t>
  </si>
  <si>
    <t>354631</t>
  </si>
  <si>
    <t>K-HETTICH ArciTech, čelní, antracit, 300/126/186, 40kg, SiSy</t>
  </si>
  <si>
    <t>354632</t>
  </si>
  <si>
    <t>K-HETTICH ArciTech, čelní, antracit, 300/126/218, 40kg, SiSy</t>
  </si>
  <si>
    <t>354633</t>
  </si>
  <si>
    <t>K-HETTICH ArciTech, čelní, antracit, 300/126/250, 40kg, SiSy</t>
  </si>
  <si>
    <t>354634</t>
  </si>
  <si>
    <t>K-HETTICH ArciTech, čelní, antracit, 300/126/282, 40kg, SiSy</t>
  </si>
  <si>
    <t>354642</t>
  </si>
  <si>
    <t>K-HETTICH ArciTech, čelní, antracit, 350/126, 10kg, SiSy</t>
  </si>
  <si>
    <t>354643</t>
  </si>
  <si>
    <t>K-HETTICH ArciTech, čelní, antracit, 350/126, 40kg, SiSy</t>
  </si>
  <si>
    <t>354644</t>
  </si>
  <si>
    <t>K-HETTICH ArciTech, čelní, antracit, 350/126/186, 40kg, SiSy</t>
  </si>
  <si>
    <t>354645</t>
  </si>
  <si>
    <t>K-HETTICH ArciTech, čelní, antracit, 350/126/218, 40kg, SiSy</t>
  </si>
  <si>
    <t>354646</t>
  </si>
  <si>
    <t>K-HETTICH ArciTech, čelní, antracit, 350/126/250, 40kg, SiSy</t>
  </si>
  <si>
    <t>354647</t>
  </si>
  <si>
    <t>K-HETTICH ArciTech, čelní, antracit, 350/126/282, 40kg, SiSy</t>
  </si>
  <si>
    <t>354653</t>
  </si>
  <si>
    <t>K-HETTICH ArciTech, čelní, antracit, 400/126, 40kg, SiSy</t>
  </si>
  <si>
    <t>354663</t>
  </si>
  <si>
    <t>K-HETTICH ArciTech, čelní, antracit, 400/126, 60kg, SiSy</t>
  </si>
  <si>
    <t>354654</t>
  </si>
  <si>
    <t>K-HETTICH ArciTech, čelní, antracit, 400/126/186, 40kg, SiSy</t>
  </si>
  <si>
    <t>354664</t>
  </si>
  <si>
    <t>K-HETTICH ArciTech, čelní, antracit, 400/126/186, 60kg, SiSy</t>
  </si>
  <si>
    <t>354655</t>
  </si>
  <si>
    <t>K-HETTICH ArciTech, čelní, antracit, 400/126/218, 40kg, SiSy</t>
  </si>
  <si>
    <t>354665</t>
  </si>
  <si>
    <t>K-HETTICH ArciTech, čelní, antracit, 400/126/218, 60kg, SiSy</t>
  </si>
  <si>
    <t>354656</t>
  </si>
  <si>
    <t>K-HETTICH ArciTech, čelní, antracit, 400/126/250, 40kg, SiSy</t>
  </si>
  <si>
    <t>354666</t>
  </si>
  <si>
    <t>K-HETTICH ArciTech, čelní, antracit, 400/126/250, 60kg, SiSy</t>
  </si>
  <si>
    <t>354657</t>
  </si>
  <si>
    <t>K-HETTICH ArciTech, čelní, antracit, 400/126/282, 40kg, SiSy</t>
  </si>
  <si>
    <t>354667</t>
  </si>
  <si>
    <t>K-HETTICH ArciTech, čelní, antracit, 400/126/282, 60kg, SiSy</t>
  </si>
  <si>
    <t>354673</t>
  </si>
  <si>
    <t>K-HETTICH ArciTech, čelní, antracit, 450/126, 40kg, SiSy</t>
  </si>
  <si>
    <t>354683</t>
  </si>
  <si>
    <t>K-HETTICH ArciTech, čelní, antracit, 450/126, 60kg, SiSy</t>
  </si>
  <si>
    <t>354674</t>
  </si>
  <si>
    <t>K-HETTICH ArciTech, čelní, antracit, 450/126/186, 40kg, SiSy</t>
  </si>
  <si>
    <t>354684</t>
  </si>
  <si>
    <t>K-HETTICH ArciTech, čelní, antracit, 450/126/186, 60kg, SiSy</t>
  </si>
  <si>
    <t>354675</t>
  </si>
  <si>
    <t>K-HETTICH ArciTech, čelní, antracit, 450/126/218, 40kg, SiSy</t>
  </si>
  <si>
    <t>354685</t>
  </si>
  <si>
    <t>K-HETTICH ArciTech, čelní, antracit, 450/126/218, 60kg, SiSy</t>
  </si>
  <si>
    <t>354676</t>
  </si>
  <si>
    <t>K-HETTICH ArciTech, čelní, antracit, 450/126/250, 40kg, SiSy</t>
  </si>
  <si>
    <t>354686</t>
  </si>
  <si>
    <t>K-HETTICH ArciTech, čelní, antracit, 450/126/250, 60kg, SiSy</t>
  </si>
  <si>
    <t>354677</t>
  </si>
  <si>
    <t>K-HETTICH ArciTech, čelní, antracit, 450/126/282, 40kg, SiSy</t>
  </si>
  <si>
    <t>354687</t>
  </si>
  <si>
    <t>K-HETTICH ArciTech, čelní, antracit, 450/126/282, 60kg, SiSy</t>
  </si>
  <si>
    <t>354693</t>
  </si>
  <si>
    <t>K-HETTICH Arcitech, čelní, antracit, 500/126, 40kg, SiSy</t>
  </si>
  <si>
    <t>354703</t>
  </si>
  <si>
    <t>K-HETTICH ArciTech, čelní, antracit, 500/126, 60kg, SiSy</t>
  </si>
  <si>
    <t>354713</t>
  </si>
  <si>
    <t>K-HETTICH ArciTech, čelní, antracit, 500/126, 80kg, SiSy</t>
  </si>
  <si>
    <t>354694</t>
  </si>
  <si>
    <t>K-HETTICH Arcitech, čelní, antracit, 500/126/186, 40kg, SiSy</t>
  </si>
  <si>
    <t>354704</t>
  </si>
  <si>
    <t>K-HETTICH ArciTech, čelní, antracit, 500/126/186, 60kg, SiSy</t>
  </si>
  <si>
    <t>354714</t>
  </si>
  <si>
    <t>K-HETTICH ArciTech, čelní, antracit, 500/126/186, 80kg, SiSy</t>
  </si>
  <si>
    <t>354695</t>
  </si>
  <si>
    <t>K-HETTICH Arcitech, čelní, antracit, 500/126/218, 40kg, SiSy</t>
  </si>
  <si>
    <t>354705</t>
  </si>
  <si>
    <t>K-HETTICH ArciTech, čelní, antracit, 500/126/218, 60kg, SiSy</t>
  </si>
  <si>
    <t>354715</t>
  </si>
  <si>
    <t>K-HETTICH ArciTech, čelní, antracit, 500/126/218, 80kg, SiSy</t>
  </si>
  <si>
    <t>354696</t>
  </si>
  <si>
    <t>K-HETTICH Arcitech, čelní, antracit, 500/126/250, 40kg, SiSy</t>
  </si>
  <si>
    <t>354706</t>
  </si>
  <si>
    <t>K-HETTICH ArciTech, čelní, antracit, 500/126/250, 60kg, SiSy</t>
  </si>
  <si>
    <t>354716</t>
  </si>
  <si>
    <t>K-HETTICH ArciTech, čelní, antracit, 500/126/250, 80kg, SiSy</t>
  </si>
  <si>
    <t>354697</t>
  </si>
  <si>
    <t>K-HETTICH Arcitech, čelní, antracit, 500/126/282, 40kg, SiSy</t>
  </si>
  <si>
    <t>354707</t>
  </si>
  <si>
    <t>K-HETTICH ArciTech, čelní, antracit, 500/126/282, 60kg, SiSy</t>
  </si>
  <si>
    <t>354717</t>
  </si>
  <si>
    <t>K-HETTICH ArciTech, čelní, antracit, 500/126/282, 80kg, SiSy</t>
  </si>
  <si>
    <t>354608</t>
  </si>
  <si>
    <t>K-HETTICH ArciTech, čelní, antracit, 500/78, 40kg, SiSy</t>
  </si>
  <si>
    <t>354708</t>
  </si>
  <si>
    <t>K-HETTICH ArciTech, čelní, antracit, 500/94, 80kg, SiSy</t>
  </si>
  <si>
    <t>354709</t>
  </si>
  <si>
    <t>K-HETTICH ArciTech, čelní, antracit, 500/94/186, 80kg, SiSy</t>
  </si>
  <si>
    <t>354710</t>
  </si>
  <si>
    <t>K-HETTICH ArciTech, čelní, antracit, 500/94/218, 80kg, SiSy</t>
  </si>
  <si>
    <t>354711</t>
  </si>
  <si>
    <t>K-HETTICH ArciTech, čelní, antracit, 500/94/250, 80kg, SiSy</t>
  </si>
  <si>
    <t>354712</t>
  </si>
  <si>
    <t>K-HETTICH ArciTech, čelní, antracit, 500/94/282, 80kg, SiSy</t>
  </si>
  <si>
    <t>354723</t>
  </si>
  <si>
    <t>K-HETTICH ArciTech, čelní, antracit, 550/126, 40kg, SiSy</t>
  </si>
  <si>
    <t>354733</t>
  </si>
  <si>
    <t>K-HETTICH ArciTech, čelní, antracit, 550/126, 60kg, SiSy</t>
  </si>
  <si>
    <t>354743</t>
  </si>
  <si>
    <t>K-HETTICH ArciTech, čelní, antracit, 550/126, 80kg, SiSy</t>
  </si>
  <si>
    <t>354724</t>
  </si>
  <si>
    <t>K-HETTICH ArciTech, čelní, antracit, 550/126/186, 40kg, SiSy</t>
  </si>
  <si>
    <t>354734</t>
  </si>
  <si>
    <t>K-HETTICH ArciTech, čelní, antracit, 550/126/186, 60kg, SiSy</t>
  </si>
  <si>
    <t>354744</t>
  </si>
  <si>
    <t>K-HETTICH ArciTech, čelní, antracit, 550/126/186, 80kg, SiSy</t>
  </si>
  <si>
    <t>354725</t>
  </si>
  <si>
    <t>K-HETTICH ArciTech, čelní, antracit, 550/126/218, 40kg, SiSy</t>
  </si>
  <si>
    <t>354735</t>
  </si>
  <si>
    <t>K-HETTICH ArciTech, čelní, antracit, 550/126/218, 60kg, SiSy</t>
  </si>
  <si>
    <t>354745</t>
  </si>
  <si>
    <t>K-HETTICH ArciTech, čelní, antracit, 550/126/218, 80kg, SiSy</t>
  </si>
  <si>
    <t>354726</t>
  </si>
  <si>
    <t>K-HETTICH ArciTech, čelní, antracit, 550/126/250, 40kg, SiSy</t>
  </si>
  <si>
    <t>354736</t>
  </si>
  <si>
    <t>K-HETTICH ArciTech, čelní, antracit, 550/126/250, 60kg, SiSy</t>
  </si>
  <si>
    <t>354746</t>
  </si>
  <si>
    <t>K-HETTICH ArciTech, čelní, antracit, 550/126/250, 80kg, SiSy</t>
  </si>
  <si>
    <t>354727</t>
  </si>
  <si>
    <t>K-HETTICH ArciTech, čelní, antracit, 550/126/282, 40kg, SiSy</t>
  </si>
  <si>
    <t>354737</t>
  </si>
  <si>
    <t>K-HETTICH ArciTech, čelní, antracit, 550/126/282, 60kg, SiSy</t>
  </si>
  <si>
    <t>354747</t>
  </si>
  <si>
    <t>K-HETTICH ArciTech, čelní, antracit, 550/126/282, 80kg, SiSy</t>
  </si>
  <si>
    <t>354738</t>
  </si>
  <si>
    <t>K-HETTICH ArciTech, čelní, antracit, 550/94, 80kg, SiSy</t>
  </si>
  <si>
    <t>354739</t>
  </si>
  <si>
    <t>K-HETTICH ArciTech, čelní, antracit, 550/94/186, 80kg, SiSy</t>
  </si>
  <si>
    <t>354740</t>
  </si>
  <si>
    <t>K-HETTICH ArciTech, čelní, antracit, 550/94/218, 80kg, SiSy</t>
  </si>
  <si>
    <t>354741</t>
  </si>
  <si>
    <t>K-HETTICH ArciTech, čelní, antracit, 550/94/250, 80kg, SiSy</t>
  </si>
  <si>
    <t>354722</t>
  </si>
  <si>
    <t>K-HETTICH ArciTech, čelní, antracit, 550/94/282, 40kg, SiSy</t>
  </si>
  <si>
    <t>354742</t>
  </si>
  <si>
    <t>K-HETTICH ArciTech, čelní, antracit, 550/94/282, 80kg, SiSy</t>
  </si>
  <si>
    <t>354753</t>
  </si>
  <si>
    <t>K-HETTICH ArciTech, čelní, antracit, 650/126, 40kg, SiSy</t>
  </si>
  <si>
    <t>354763</t>
  </si>
  <si>
    <t>K-HETTICH ArciTech, čelní, antracit, 650/126, 60kg, SiSy</t>
  </si>
  <si>
    <t>354773</t>
  </si>
  <si>
    <t>K-HETTICH ArciTech, čelní, antracit, 650/126, 80kg, SiSy</t>
  </si>
  <si>
    <t>354754</t>
  </si>
  <si>
    <t>K-HETTICH ArciTech, čelní, antracit, 650/126/186, 40kg, SiSy</t>
  </si>
  <si>
    <t>354764</t>
  </si>
  <si>
    <t>K-HETTICH ArciTech, čelní, antracit, 650/126/186, 60kg, SiSy</t>
  </si>
  <si>
    <t>354774</t>
  </si>
  <si>
    <t>K-HETTICH ArciTech, čelní, antracit, 650/126/186, 80kg, SiSy</t>
  </si>
  <si>
    <t>354755</t>
  </si>
  <si>
    <t>K-HETTICH ArciTech, čelní, antracit, 650/126/218, 40kg, SiSy</t>
  </si>
  <si>
    <t>354765</t>
  </si>
  <si>
    <t>K-HETTICH ArciTech, čelní, antracit, 650/126/218, 60kg, SiSy</t>
  </si>
  <si>
    <t>354775</t>
  </si>
  <si>
    <t>K-HETTICH ArciTech, čelní, antracit, 650/126/218, 80kg, SiSy</t>
  </si>
  <si>
    <t>354756</t>
  </si>
  <si>
    <t>K-HETTICH ArciTech, čelní, antracit, 650/126/250, 40kg, SiSy</t>
  </si>
  <si>
    <t>354766</t>
  </si>
  <si>
    <t>K-HETTICH ArciTech, čelní, antracit, 650/126/250, 60kg, SiSy</t>
  </si>
  <si>
    <t>354776</t>
  </si>
  <si>
    <t>K-HETTICH ArciTech, čelní, antracit, 650/126/250, 80kg, SiSy</t>
  </si>
  <si>
    <t>354757</t>
  </si>
  <si>
    <t>K-HETTICH ArciTech, čelní, antracit, 650/126/282, 40kg, SiSy</t>
  </si>
  <si>
    <t>354767</t>
  </si>
  <si>
    <t>K-HETTICH ArciTech, čelní, antracit, 650/126/282, 60kg, SiSy</t>
  </si>
  <si>
    <t>354777</t>
  </si>
  <si>
    <t>K-HETTICH ArciTech, čelní, antracit, 650/126/282, 80kg, SiSy</t>
  </si>
  <si>
    <t>354768</t>
  </si>
  <si>
    <t>K-HETTICH ArciTech, čelní, antracit, 650/94, 80kg, SiSy</t>
  </si>
  <si>
    <t>354769</t>
  </si>
  <si>
    <t>K-HETTICH ArciTech, čelní, antracit, 650/94/186, 80kg, SiSy</t>
  </si>
  <si>
    <t>354770</t>
  </si>
  <si>
    <t>K-HETTICH ArciTech, čelní, antracit, 650/94/218, 80kg, SiSy</t>
  </si>
  <si>
    <t>354771</t>
  </si>
  <si>
    <t>K-HETTICH ArciTech, čelní, antracit, 650/94/250, 80kg, SiSy</t>
  </si>
  <si>
    <t>354772</t>
  </si>
  <si>
    <t>K-HETTICH ArciTech, čelní, antracit, 650/94/282, 80kg, SiSy</t>
  </si>
  <si>
    <t>354337</t>
  </si>
  <si>
    <t>K-HETTICH ArciTech, čelní, bílý, 270/126, 10kg, SiSy</t>
  </si>
  <si>
    <t>354339</t>
  </si>
  <si>
    <t>K-HETTICH ArciTech, čelní, bílý, 270/126, 40kg, SiSy</t>
  </si>
  <si>
    <t>354340</t>
  </si>
  <si>
    <t>K-HETTICH ArciTech, čelní, bílý, 270/126/186, 40kg, SiSy</t>
  </si>
  <si>
    <t>354341</t>
  </si>
  <si>
    <t>K-HETTICH ArciTech, čelní, bílý, 270/126/218, 40kg, SiSy</t>
  </si>
  <si>
    <t>354342</t>
  </si>
  <si>
    <t>K-HETTICH ArciTech, čelní, bílý, 270/126/250, 40kg, SiSy</t>
  </si>
  <si>
    <t>354343</t>
  </si>
  <si>
    <t>K-HETTICH ArciTech, čelní, bílý, 270/126/282, 40kg, SiSy</t>
  </si>
  <si>
    <t>354331</t>
  </si>
  <si>
    <t>K-HETTICH ArciTech, čelní, bílý, 270/94, 10kg, SiSy</t>
  </si>
  <si>
    <t>354332</t>
  </si>
  <si>
    <t>K-HETTICH ArciTech, čelní, bílý, 270/94, 40kg, SiSy</t>
  </si>
  <si>
    <t>354333</t>
  </si>
  <si>
    <t>K-HETTICH ArciTech, čelní, bílý, 270/94/186, 40kg, SiSy</t>
  </si>
  <si>
    <t>354335</t>
  </si>
  <si>
    <t>K-HETTICH ArciTech, čelní, bílý, 270/94/250, 40kg, SiSy</t>
  </si>
  <si>
    <t>354336</t>
  </si>
  <si>
    <t>K-HETTICH ArciTech, čelní, bílý, 270/94/282, 40kg, SiSy</t>
  </si>
  <si>
    <t>354350</t>
  </si>
  <si>
    <t>K-HETTICH ArciTech, čelní, bílý, 300/126, 10kg, SiSy</t>
  </si>
  <si>
    <t>354351</t>
  </si>
  <si>
    <t>K-HETTICH ArciTech, čelní, bílý, 300/126, 40kg, SiSy</t>
  </si>
  <si>
    <t>354352</t>
  </si>
  <si>
    <t>K-HETTICH ArciTech, čelní, bílý, 300/126/186, 40kg, SiSy</t>
  </si>
  <si>
    <t>354353</t>
  </si>
  <si>
    <t>K-HETTICH ArciTech, čelní, bílý, 300/126/218, 40kg, SiSy</t>
  </si>
  <si>
    <t>354354</t>
  </si>
  <si>
    <t>K-HETTICH ArciTech, čelní, bílý, 300/126/250, 40kg, SiSy</t>
  </si>
  <si>
    <t>354355</t>
  </si>
  <si>
    <t>K-HETTICH Arcitech, čelní, bílý, 300/126/282, 40kg, SiSy</t>
  </si>
  <si>
    <t>354344</t>
  </si>
  <si>
    <t>K-HETTICH ArciTech, čelní, bílý, 300/94, 10kg, SiSy</t>
  </si>
  <si>
    <t>354362</t>
  </si>
  <si>
    <t>K-HETTICH ArciTech, čelní, bílý, 350/126, 10kg, SiSy</t>
  </si>
  <si>
    <t>354363</t>
  </si>
  <si>
    <t>K-HETTICH ArciTech, čelní, bílý, 350/126, 40kg, SiSy</t>
  </si>
  <si>
    <t>354364</t>
  </si>
  <si>
    <t>K-HETTICH ArciTech, čelní, bílý, 350/126/186, 40kg, SiSy</t>
  </si>
  <si>
    <t>354365</t>
  </si>
  <si>
    <t>K-HETTICH ArciTech, čelní, bílý, 350/126/218, 40kg, SiSy</t>
  </si>
  <si>
    <t>354366</t>
  </si>
  <si>
    <t>K-HETTICH ArciTech, čelní, bílý, 350/126/250, 40kg, SiSy</t>
  </si>
  <si>
    <t>354367</t>
  </si>
  <si>
    <t>K-HETTICH ArciTech, čelní, bílý, 350/126/282, 40kg, SiSy</t>
  </si>
  <si>
    <t>354373</t>
  </si>
  <si>
    <t>K-HETTICH ArciTech, čelní, bílý, 400/126, 40kg, SiSy</t>
  </si>
  <si>
    <t>354383</t>
  </si>
  <si>
    <t>K-HETTICH ArciTech, čelní, bílý, 400/126, 60kg, SiSy</t>
  </si>
  <si>
    <t>354374</t>
  </si>
  <si>
    <t>K-HETTICH ArciTech, čelní, bílý, 400/126/186, 40kg, SiSy</t>
  </si>
  <si>
    <t>354384</t>
  </si>
  <si>
    <t>K-HETTICH ArciTech, čelní, bílý, 400/126/186, 60kg, SiSy</t>
  </si>
  <si>
    <t>354375</t>
  </si>
  <si>
    <t>K-HETTICH ArciTech, čelní, bílý, 400/126/218, 40kg, SiSy</t>
  </si>
  <si>
    <t>354385</t>
  </si>
  <si>
    <t>K-HETTICH ArciTech, čelní, bílý, 400/126/218, 60kg, SiSy</t>
  </si>
  <si>
    <t>354376</t>
  </si>
  <si>
    <t>K-HETTICH ArciTech, čelní, bílý, 400/126/250, 40kg, SiSy</t>
  </si>
  <si>
    <t>354386</t>
  </si>
  <si>
    <t>K-HETTICH ArciTech, čelní, bílý, 400/126/250, 60kg, SiSy</t>
  </si>
  <si>
    <t>354377</t>
  </si>
  <si>
    <t>K-HETTICH ArciTech, čelní, bílý, 400/126/282, 40kg, SiSy</t>
  </si>
  <si>
    <t>354387</t>
  </si>
  <si>
    <t>K-HETTICH ArciTech, čelní, bílý, 400/126/282, 60kg, SiSy</t>
  </si>
  <si>
    <t>354378</t>
  </si>
  <si>
    <t>K-HETTICH ArciTech, čelní, bílý, 400/94, 60kg, SiSy</t>
  </si>
  <si>
    <t>354379</t>
  </si>
  <si>
    <t>K-HETTICH ArciTech, čelní, bílý, 400/94/186, 60kg, SiSy</t>
  </si>
  <si>
    <t>354380</t>
  </si>
  <si>
    <t>K-HETTICH ArciTech, čelní, bílý, 400/94/218, 60kg, SiSy</t>
  </si>
  <si>
    <t>354381</t>
  </si>
  <si>
    <t>K-HETTICH ArciTech, čelní, bílý, 400/94/250, 60kg, SiSy</t>
  </si>
  <si>
    <t>354382</t>
  </si>
  <si>
    <t>K-HETTICH ArciTech, čelní, bílý, 400/94/282, 60kg, SiSy</t>
  </si>
  <si>
    <t>354393</t>
  </si>
  <si>
    <t>K-HETTICH ArciTech, čelní, bílý, 450/126, 40kg, SiSy</t>
  </si>
  <si>
    <t>354403</t>
  </si>
  <si>
    <t>K-HETTICH ArciTech, čelní, bílý, 450/126, 60kg, SiSy</t>
  </si>
  <si>
    <t>354394</t>
  </si>
  <si>
    <t>K-HETTICH ArciTech, čelní, bílý, 450/126/186, 40kg, SiSy</t>
  </si>
  <si>
    <t>354404</t>
  </si>
  <si>
    <t>K-HETTICH ArciTech, čelní, bílý, 450/126/186, 60kg, SiSy</t>
  </si>
  <si>
    <t>354395</t>
  </si>
  <si>
    <t>K-HETTICH ArciTech, čelní, bílý, 450/126/218, 40kg, SiSy</t>
  </si>
  <si>
    <t>354405</t>
  </si>
  <si>
    <t>K-HETTICH ArciTech, čelní, bílý, 450/126/218, 60kg, SiSy</t>
  </si>
  <si>
    <t>354396</t>
  </si>
  <si>
    <t>K-HETTICH ArciTech, čelní, bílý, 450/126/250, 40kg, SiSy</t>
  </si>
  <si>
    <t>354406</t>
  </si>
  <si>
    <t>K-HETTICH ArciTech, čelní, bílý, 450/126/250, 60kg, SiSy</t>
  </si>
  <si>
    <t>354397</t>
  </si>
  <si>
    <t>K-HETTICH ArciTech, čelní, bílý, 450/126/282, 40kg, SiSy</t>
  </si>
  <si>
    <t>354407</t>
  </si>
  <si>
    <t>K-HETTICH ArciTech, čelní, bílý, 450/126/282, 60kg, SiSy</t>
  </si>
  <si>
    <t>354398</t>
  </si>
  <si>
    <t>K-HETTICH ArciTech, čelní, bílý, 450/94, 60kg, SiSy</t>
  </si>
  <si>
    <t>354399</t>
  </si>
  <si>
    <t>K-HETTICH ArciTech, čelní, bílý, 450/94/186, 60kg, SiSy</t>
  </si>
  <si>
    <t>354400</t>
  </si>
  <si>
    <t>K-HETTICH ArciTech, čelní, bílý, 450/94/218, 60kg, SiSy</t>
  </si>
  <si>
    <t>354401</t>
  </si>
  <si>
    <t>K-HETTICH ArciTech, čelní, bílý, 450/94/250, 60kg, SiSy</t>
  </si>
  <si>
    <t>354402</t>
  </si>
  <si>
    <t>K-HETTICH ArciTech, čelní, bílý, 450/94/282, 60kg, SiSy</t>
  </si>
  <si>
    <t>354413</t>
  </si>
  <si>
    <t>K-HETTICH ArciTech, čelní, bílý, 500/126, 40kg, SiSy</t>
  </si>
  <si>
    <t>354423</t>
  </si>
  <si>
    <t>K-HETTICH ArciTech, čelní, bílý, 500/126, 60kg, SiSy</t>
  </si>
  <si>
    <t>354433</t>
  </si>
  <si>
    <t>K-HETTICH ArciTech, čelní, bílý, 500/126, 80kg, SiSy</t>
  </si>
  <si>
    <t>354414</t>
  </si>
  <si>
    <t>K-HETTICH ArciTech, čelní, bílý, 500/126/186, 40kg, SiSy</t>
  </si>
  <si>
    <t>354424</t>
  </si>
  <si>
    <t>K-HETTICH ArciTech, čelní, bílý, 500/126/186, 60kg, SiSy</t>
  </si>
  <si>
    <t>354434</t>
  </si>
  <si>
    <t>K-HETTICH ArciTech, čelní, bílý, 500/126/186, 80kg, SiSy</t>
  </si>
  <si>
    <t>354415</t>
  </si>
  <si>
    <t>K-HETTICH ArciTech, čelní, bílý, 500/126/218, 40kg, SiSy</t>
  </si>
  <si>
    <t>354425</t>
  </si>
  <si>
    <t>K-HETTICH ArciTech, čelní, bílý, 500/126/218, 60kg, SiSy</t>
  </si>
  <si>
    <t>354435</t>
  </si>
  <si>
    <t>K-HETTICH ArciTech, čelní, bílý, 500/126/218, 80kg, SiSy</t>
  </si>
  <si>
    <t>354416</t>
  </si>
  <si>
    <t>K-HETTICH ArciTech, čelní, bílý, 500/126/250, 40kg, SiSy</t>
  </si>
  <si>
    <t>354426</t>
  </si>
  <si>
    <t>K-HETTICH ArciTech, čelní, bílý, 500/126/250, 60kg, SiSy</t>
  </si>
  <si>
    <t>354436</t>
  </si>
  <si>
    <t>K-HETTICH ArciTech, čelní, bílý, 500/126/250, 80kg, SiSy</t>
  </si>
  <si>
    <t>354417</t>
  </si>
  <si>
    <t>K-HETTICH ArciTech, čelní, bílý, 500/126/282, 40kg, SiSy</t>
  </si>
  <si>
    <t>354427</t>
  </si>
  <si>
    <t>K-HETTICH ArciTech, čelní, bílý, 500/126/282, 60kg, SiSy</t>
  </si>
  <si>
    <t>354437</t>
  </si>
  <si>
    <t>K-HETTICH ArciTech, čelní, bílý, 500/126/282, 80kg, SiSy</t>
  </si>
  <si>
    <t>354328</t>
  </si>
  <si>
    <t>K-HETTICH ArciTech, čelní, bílý, 500/78, 40kg, SiSy</t>
  </si>
  <si>
    <t>354418</t>
  </si>
  <si>
    <t>K-HETTICH ArciTech, čelní, bílý, 500/94, 60kg, SiSy</t>
  </si>
  <si>
    <t>354428</t>
  </si>
  <si>
    <t>K-HETTICH ArciTech, čelní, bílý, 500/94, 80kg, SiSy</t>
  </si>
  <si>
    <t>354419</t>
  </si>
  <si>
    <t>K-HETTICH ArciTech, čelní, bílý, 500/94/186, 60kg, SiSy</t>
  </si>
  <si>
    <t>354429</t>
  </si>
  <si>
    <t>K-HETTICH ArciTech, čelní, bílý, 500/94/186, 80kg, SiSy</t>
  </si>
  <si>
    <t>354420</t>
  </si>
  <si>
    <t>K-HETTICH ArciTech, čelní, bílý, 500/94/218, 60kg, SiSy</t>
  </si>
  <si>
    <t>354430</t>
  </si>
  <si>
    <t>K-HETTICH ArciTech, čelní, bílý, 500/94/218, 80kg, SiSy</t>
  </si>
  <si>
    <t>354421</t>
  </si>
  <si>
    <t>K-HETTICH ArciTech, čelní, bílý, 500/94/250, 60kg, SiSy</t>
  </si>
  <si>
    <t>354431</t>
  </si>
  <si>
    <t>K-HETTICH ArciTech, čelní, bílý, 500/94/250, 80kg, SiSy</t>
  </si>
  <si>
    <t>354422</t>
  </si>
  <si>
    <t>K-HETTICH ArciTech, čelní, bílý, 500/94/282, 60kg, SiSy</t>
  </si>
  <si>
    <t>354432</t>
  </si>
  <si>
    <t>K-HETTICH ArciTech, čelní, bílý, 500/94/282, 80kg, SiSy</t>
  </si>
  <si>
    <t>354443</t>
  </si>
  <si>
    <t>K-HETTICH ArciTech, čelní, bílý, 550/126, 40kg, SiSy</t>
  </si>
  <si>
    <t>354453</t>
  </si>
  <si>
    <t>K-HETTICH ArciTech, čelní, bílý, 550/126, 60kg, SiSy</t>
  </si>
  <si>
    <t>354463</t>
  </si>
  <si>
    <t>K-HETTICH ArciTech, čelní, bílý, 550/126, 80kg, SiSy</t>
  </si>
  <si>
    <t>354444</t>
  </si>
  <si>
    <t>K-HETTICH ArciTech, čelní, bílý, 550/126/186, 40kg, SiSy</t>
  </si>
  <si>
    <t>354454</t>
  </si>
  <si>
    <t>K-HETTICH ArciTech, čelní, bílý, 550/126/186, 60kg, SiSy</t>
  </si>
  <si>
    <t>354464</t>
  </si>
  <si>
    <t>K-HETTICH ArciTech, čelní, bílý, 550/126/186, 80kg, SiSy</t>
  </si>
  <si>
    <t>354445</t>
  </si>
  <si>
    <t>K-HETTICH ArciTech, čelní, bílý, 550/126/218, 40kg, SiSy</t>
  </si>
  <si>
    <t>354455</t>
  </si>
  <si>
    <t>K-HETTICH ArciTech, čelní, bílý, 550/126/218, 60kg, SiSy</t>
  </si>
  <si>
    <t>354465</t>
  </si>
  <si>
    <t>K-HETTICH ArciTech, čelní, bílý, 550/126/218, 80kg, SiSy</t>
  </si>
  <si>
    <t>354446</t>
  </si>
  <si>
    <t>K-HETTICH ArciTech, čelní, bílý, 550/126/250, 40kg, SiSy</t>
  </si>
  <si>
    <t>354456</t>
  </si>
  <si>
    <t>K-HETTICH ArciTech, čelní, bílý, 550/126/250, 60kg, SiSy</t>
  </si>
  <si>
    <t>354466</t>
  </si>
  <si>
    <t>K-HETTICH ArciTech, čelní, bílý, 550/126/250, 80kg, SiSy</t>
  </si>
  <si>
    <t>354447</t>
  </si>
  <si>
    <t>K-HETTICH ArciTech, čelní, bílý, 550/126/282, 40kg, SiSy</t>
  </si>
  <si>
    <t>354457</t>
  </si>
  <si>
    <t>K-HETTICH ArciTech, čelní, bílý, 550/126/282, 60kg, SiSy</t>
  </si>
  <si>
    <t>354467</t>
  </si>
  <si>
    <t>K-HETTICH ArciTech, čelní, bílý, 550/126/282, 80kg, SiSy</t>
  </si>
  <si>
    <t>354448</t>
  </si>
  <si>
    <t>K-HETTICH ArciTech, čelní, bílý, 550/94, 60kg, SiSy</t>
  </si>
  <si>
    <t>354458</t>
  </si>
  <si>
    <t>K-HETTICH ArciTech, čelní, bílý, 550/94, 80kg, SiSy</t>
  </si>
  <si>
    <t>354449</t>
  </si>
  <si>
    <t>K-HETTICH ArciTech, čelní, bílý, 550/94/186, 60kg, SiSy</t>
  </si>
  <si>
    <t>354459</t>
  </si>
  <si>
    <t>K-HETTICH ArciTech, čelní, bílý, 550/94/186, 80kg, SiSy</t>
  </si>
  <si>
    <t>354450</t>
  </si>
  <si>
    <t>K-HETTICH ArciTech, čelní, bílý, 550/94/218, 60kg, SiSy</t>
  </si>
  <si>
    <t>354460</t>
  </si>
  <si>
    <t>K-HETTICH ArciTech, čelní, bílý, 550/94/218, 80kg, SiSy</t>
  </si>
  <si>
    <t>354451</t>
  </si>
  <si>
    <t>K-HETTICH ArciTech, čelní, bílý, 550/94/250, 60kg, SiSy</t>
  </si>
  <si>
    <t>354461</t>
  </si>
  <si>
    <t>K-HETTICH ArciTech, čelní, bílý, 550/94/250, 80kg, SiSy</t>
  </si>
  <si>
    <t>354452</t>
  </si>
  <si>
    <t>K-HETTICH ArciTech, čelní, bílý, 550/94/282, 60kg, SiSy</t>
  </si>
  <si>
    <t>354462</t>
  </si>
  <si>
    <t>K-HETTICH ArciTech, čelní, bílý, 550/94/282, 80kg, SiSy</t>
  </si>
  <si>
    <t>354473</t>
  </si>
  <si>
    <t>K-HETTICH ArciTech, čelní, bílý, 650/126, 40kg, SiSy</t>
  </si>
  <si>
    <t>354483</t>
  </si>
  <si>
    <t>K-HETTICH ArciTech, čelní, bílý, 650/126, 60kg, SiSy</t>
  </si>
  <si>
    <t>354493</t>
  </si>
  <si>
    <t>K-HETTICH ArciTech, čelní, bílý, 650/126, 80kg, SiSy</t>
  </si>
  <si>
    <t>354474</t>
  </si>
  <si>
    <t>K-HETTICH ArciTech, čelní, bílý, 650/126/186, 40kg, SiSy</t>
  </si>
  <si>
    <t>354484</t>
  </si>
  <si>
    <t>K-HETTICH ArciTech, čelní, bílý, 650/126/186, 60kg, SiSy</t>
  </si>
  <si>
    <t>354494</t>
  </si>
  <si>
    <t>K-HETTICH ArciTech, čelní, bílý, 650/126/186, 80kg, SiSy</t>
  </si>
  <si>
    <t>354475</t>
  </si>
  <si>
    <t>K-HETTICH ArciTech, čelní, bílý, 650/126/218, 40kg, SiSy</t>
  </si>
  <si>
    <t>354485</t>
  </si>
  <si>
    <t>K-HETTICH ArciTech, čelní, bílý, 650/126/218, 60kg, SiSy</t>
  </si>
  <si>
    <t>354495</t>
  </si>
  <si>
    <t>K-HETTICH ArciTech, čelní, bílý, 650/126/218, 80kg, SiSy</t>
  </si>
  <si>
    <t>354476</t>
  </si>
  <si>
    <t>K-HETTICH ArciTech, čelní, bílý, 650/126/250, 40kg, SiSy</t>
  </si>
  <si>
    <t>354486</t>
  </si>
  <si>
    <t>K-HETTICH ArciTech, čelní, bílý, 650/126/250, 60kg, SiSy</t>
  </si>
  <si>
    <t>354496</t>
  </si>
  <si>
    <t>K-HETTICH ArciTech, čelní, bílý, 650/126/250, 80kg, SiSy</t>
  </si>
  <si>
    <t>354477</t>
  </si>
  <si>
    <t>K-HETTICH ArciTech, čelní, bílý, 650/126/282, 40kg, SiSy</t>
  </si>
  <si>
    <t>354487</t>
  </si>
  <si>
    <t>K-HETTICH ArciTech, čelní, bílý, 650/126/282, 60kg, SiSy</t>
  </si>
  <si>
    <t>354497</t>
  </si>
  <si>
    <t>K-HETTICH ArciTech, čelní, bílý, 650/126/282, 80kg, SiSy</t>
  </si>
  <si>
    <t>354468</t>
  </si>
  <si>
    <t>K-HETTICH ArciTech, čelní, bílý, 650/94, 40kg, SiSy</t>
  </si>
  <si>
    <t>354478</t>
  </si>
  <si>
    <t>K-HETTICH ArciTech, čelní, bílý, 650/94, 60kg, SiSy</t>
  </si>
  <si>
    <t>354488</t>
  </si>
  <si>
    <t>K-HETTICH ArciTech, čelní, bílý, 650/94, 80kg, SiSy</t>
  </si>
  <si>
    <t>354469</t>
  </si>
  <si>
    <t>K-HETTICH ArciTech, čelní, bílý, 650/94/186, 40kg, SiSy</t>
  </si>
  <si>
    <t>354479</t>
  </si>
  <si>
    <t>K-HETTICH ArciTech, čelní, bílý, 650/94/186, 60kg, SiSy</t>
  </si>
  <si>
    <t>354489</t>
  </si>
  <si>
    <t>K-HETTICH ArciTech, čelní, bílý, 650/94/186, 80kg, SiSy</t>
  </si>
  <si>
    <t>354470</t>
  </si>
  <si>
    <t>K-HETTICH ArciTech, čelní, bílý, 650/94/218, 40kg, SiSy</t>
  </si>
  <si>
    <t>354480</t>
  </si>
  <si>
    <t>K-HETTICH ArciTech, čelní, bílý, 650/94/218, 60kg, SiSy</t>
  </si>
  <si>
    <t>354490</t>
  </si>
  <si>
    <t>K-HETTICH ArciTech, čelní, bílý, 650/94/218, 80kg, SiSy</t>
  </si>
  <si>
    <t>354471</t>
  </si>
  <si>
    <t>K-HETTICH ArciTech, čelní, bílý, 650/94/250, 40kg, SiSy</t>
  </si>
  <si>
    <t>354481</t>
  </si>
  <si>
    <t>K-HETTICH ArciTech, čelní, bílý, 650/94/250, 60kg, SiSy</t>
  </si>
  <si>
    <t>354491</t>
  </si>
  <si>
    <t>K-HETTICH ArciTech, čelní, bílý, 650/94/250, 80kg, SiSy</t>
  </si>
  <si>
    <t>354472</t>
  </si>
  <si>
    <t>K-HETTICH ArciTech, čelní, bílý, 650/94/282, 40kg, SiSy</t>
  </si>
  <si>
    <t>354482</t>
  </si>
  <si>
    <t>K-HETTICH ArciTech, čelní, bílý, 650/94/282, 60kg, SiSy</t>
  </si>
  <si>
    <t>354492</t>
  </si>
  <si>
    <t>K-HETTICH ArciTech, čelní, bílý, 650/94/282, 80kg, SiSy</t>
  </si>
  <si>
    <t>354899</t>
  </si>
  <si>
    <t>K-HETTICH ArciTech, čelní, stříbrný, 270/126, 10kg, SiSy</t>
  </si>
  <si>
    <t>354900</t>
  </si>
  <si>
    <t>K-HETTICH ArciTech, čelní, stříbrný, 270/126, 40kg, SiSy</t>
  </si>
  <si>
    <t>354901</t>
  </si>
  <si>
    <t>K-HETTICH ArciTech, čelní, stříbrný, 270/126/186, 40kg, SiSy</t>
  </si>
  <si>
    <t>354902</t>
  </si>
  <si>
    <t>K-HETTICH ArciTech, čelní, stříbrný, 270/126/218, 40kg, SiSy</t>
  </si>
  <si>
    <t>354903</t>
  </si>
  <si>
    <t>K-HETTICH ArciTech, čelní, stříbrný, 270/126/250, 40kg, SiSy</t>
  </si>
  <si>
    <t>354904</t>
  </si>
  <si>
    <t>K-HETTICH ArciTech, čelní, stříbrný, 270/126/282, 40kg, SiSy</t>
  </si>
  <si>
    <t>354893</t>
  </si>
  <si>
    <t>K-HETTICH ArciTech, čelní, stříbrný, 270/94, 10kg, SiSy</t>
  </si>
  <si>
    <t>354894</t>
  </si>
  <si>
    <t>K-HETTICH ArciTech, čelní, stříbrný, 270/94, 40kg, SiSy</t>
  </si>
  <si>
    <t>354895</t>
  </si>
  <si>
    <t>K-HETTICH ArciTech, čelní, stříbrný, 270/94/186, 40kg, SiSy</t>
  </si>
  <si>
    <t>354896</t>
  </si>
  <si>
    <t>K-HETTICH ArciTech, čelní, stříbrný, 270/94/218, 40kg, SiSy</t>
  </si>
  <si>
    <t>354897</t>
  </si>
  <si>
    <t>K-HETTICH ArciTech, čelní, stříbrný, 270/94/250, 40kg, SiSy</t>
  </si>
  <si>
    <t>354898</t>
  </si>
  <si>
    <t>K-HETTICH ArciTech, čelní, stříbrný, 270/94/282, 40kg, SiSy</t>
  </si>
  <si>
    <t>354911</t>
  </si>
  <si>
    <t>K-HETTICH ArciTech, čelní, stříbrný, 300/126, 10kg, SiSy</t>
  </si>
  <si>
    <t>354912</t>
  </si>
  <si>
    <t>K-HETTICH ArciTech, čelní, stříbrný, 300/126, 40kg, SiSy</t>
  </si>
  <si>
    <t>354913</t>
  </si>
  <si>
    <t>K-HETTICH ArciTech, čelní, stříbrný, 300/126/186, 40kg, SiSy</t>
  </si>
  <si>
    <t>354914</t>
  </si>
  <si>
    <t>K-HETTICH ArciTech, čelní, stříbrný, 300/126/218, 40kg, SiSy</t>
  </si>
  <si>
    <t>354915</t>
  </si>
  <si>
    <t>K-HETTICH ArciTech, čelní, stříbrný, 300/126/250, 40kg, SiSy</t>
  </si>
  <si>
    <t>354916</t>
  </si>
  <si>
    <t>K-HETTICH ArciTech, čelní, stříbrný, 300/126/282, 40kg, SiSy</t>
  </si>
  <si>
    <t>354905</t>
  </si>
  <si>
    <t>K-HETTICH ArciTech, čelní, stříbrný, 300/94, 10kg, SiSy</t>
  </si>
  <si>
    <t>354906</t>
  </si>
  <si>
    <t>K-HETTICH Arcitech, čelní, stříbrný, 300/94, 40kg, SiSy</t>
  </si>
  <si>
    <t>354907</t>
  </si>
  <si>
    <t>K-HETTICH Arcitech, čelní, stříbrný, 300/94/186, 40kg, SiSy</t>
  </si>
  <si>
    <t>354908</t>
  </si>
  <si>
    <t>K-HETTICH Arcitech, čelní, stříbrný, 300/94/218, 40kg, SiSy</t>
  </si>
  <si>
    <t>354909</t>
  </si>
  <si>
    <t>K-HETTICH Arcitech, čelní, stříbrný, 300/94/250, 40kg, SiSy</t>
  </si>
  <si>
    <t>354910</t>
  </si>
  <si>
    <t>K-HETTICH Arcitech, čelní, stříbrný, 300/94/282, 40kg, SiSy</t>
  </si>
  <si>
    <t>354923</t>
  </si>
  <si>
    <t>K-HETTICH ArciTech, čelní, stříbrný, 350/126, 10kg, SiSy</t>
  </si>
  <si>
    <t>354924</t>
  </si>
  <si>
    <t>K-HETTICH ArciTech, čelní, stříbrný, 350/126, 40kg, SiSy</t>
  </si>
  <si>
    <t>354925</t>
  </si>
  <si>
    <t>K-HETTICH ArciTech, čelní, stříbrný, 350/126/186, 40kg, SiSy</t>
  </si>
  <si>
    <t>354926</t>
  </si>
  <si>
    <t>K-HETTICH ArciTech, čelní, stříbrný, 350/126/218, 40kg, SiSy</t>
  </si>
  <si>
    <t>354927</t>
  </si>
  <si>
    <t>K-HETTICH ArciTech, čelní, stříbrný, 350/126/250, 40kg, SiSy</t>
  </si>
  <si>
    <t>354928</t>
  </si>
  <si>
    <t>K-HETTICH ArciTech, čelní, stříbrný, 350/126/282, 40kg, SiSy</t>
  </si>
  <si>
    <t>354917</t>
  </si>
  <si>
    <t>K-HETTICH ArciTech, čelní, stříbrný, 350/94, 10kg, SiSy</t>
  </si>
  <si>
    <t>354918</t>
  </si>
  <si>
    <t>K-HETTICH Arcitech, čelní, stříbrný, 350/94, 40kg, SiSy</t>
  </si>
  <si>
    <t>354919</t>
  </si>
  <si>
    <t>K-HETTICH Arcitech, čelní, stříbrný, 350/94/186, 40kg, SiSy</t>
  </si>
  <si>
    <t>354920</t>
  </si>
  <si>
    <t>K-HETTICH Arcitech, čelní, stříbrný, 350/94/218, 40kg, SiSy</t>
  </si>
  <si>
    <t>354921</t>
  </si>
  <si>
    <t>K-HETTICH Arcitech, čelní, stříbrný, 350/94/250, 40kg, SiSy</t>
  </si>
  <si>
    <t>354922</t>
  </si>
  <si>
    <t>K-HETTICH Arcitech, čelní, stříbrný, 350/94/282, 40kg, SiSy</t>
  </si>
  <si>
    <t>354934</t>
  </si>
  <si>
    <t>K-HETTICH ArciTech, čelní, stříbrný, 400/126, 40kg, SiSy</t>
  </si>
  <si>
    <t>354944</t>
  </si>
  <si>
    <t>K-HETTICH ArciTech, čelní, stříbrný, 400/126, 60kg, SiSy</t>
  </si>
  <si>
    <t>354935</t>
  </si>
  <si>
    <t>K-HETTICH ArciTech, čelní, stříbrný, 400/126/186, 40kg, SiSy</t>
  </si>
  <si>
    <t>354945</t>
  </si>
  <si>
    <t>K-HETTICH ArciTech, čelní, stříbrný, 400/126/186, 60kg, SiSy</t>
  </si>
  <si>
    <t>354936</t>
  </si>
  <si>
    <t>K-HETTICH ArciTech, čelní, stříbrný, 400/126/218, 40kg, SiSy</t>
  </si>
  <si>
    <t>354946</t>
  </si>
  <si>
    <t>K-HETTICH ArciTech, čelní, stříbrný, 400/126/218, 60kg, SiSy</t>
  </si>
  <si>
    <t>354937</t>
  </si>
  <si>
    <t>K-HETTICH ArciTech, čelní, stříbrný, 400/126/250, 40kg, SiSy</t>
  </si>
  <si>
    <t>354947</t>
  </si>
  <si>
    <t>K-HETTICH ArciTech, čelní, stříbrný, 400/126/250, 60kg, SiSy</t>
  </si>
  <si>
    <t>354938</t>
  </si>
  <si>
    <t>K-HETTICH ArciTech, čelní, stříbrný, 400/126/282, 40kg, SiSy</t>
  </si>
  <si>
    <t>354948</t>
  </si>
  <si>
    <t>K-HETTICH ArciTech, čelní, stříbrný, 400/126/282, 60kg, SiSy</t>
  </si>
  <si>
    <t>354929</t>
  </si>
  <si>
    <t>K-HETTICH Arcitech, čelní, stříbrný, 400/94, 40kg, SiSy</t>
  </si>
  <si>
    <t>354939</t>
  </si>
  <si>
    <t>K-HETTICH ArciTech, čelní, stříbrný, 400/94, 60kg, SiSy</t>
  </si>
  <si>
    <t>354930</t>
  </si>
  <si>
    <t>K-HETTICH Arcitech, čelní, stříbrný, 400/94/186, 40kg, SiSy</t>
  </si>
  <si>
    <t>354940</t>
  </si>
  <si>
    <t>K-HETTICH ArciTech, čelní, stříbrný, 400/94/186, 60kg, SiSy</t>
  </si>
  <si>
    <t>354931</t>
  </si>
  <si>
    <t>K-HETTICH Arcitech, čelní, stříbrný, 400/94/218, 40kg, SiSy</t>
  </si>
  <si>
    <t>354941</t>
  </si>
  <si>
    <t>K-HETTICH ArciTech, čelní, stříbrný, 400/94/218, 60kg, SiSy</t>
  </si>
  <si>
    <t>354932</t>
  </si>
  <si>
    <t>K-HETTICH Arcitech, čelní, stříbrný, 400/94/250, 40kg, SiSy</t>
  </si>
  <si>
    <t>354942</t>
  </si>
  <si>
    <t>K-HETTICH ArciTech, čelní, stříbrný, 400/94/250, 60kg, SiSy</t>
  </si>
  <si>
    <t>354933</t>
  </si>
  <si>
    <t>K-HETTICH Arcitech, čelní, stříbrný, 400/94/282, 40kg, SiSy</t>
  </si>
  <si>
    <t>354943</t>
  </si>
  <si>
    <t>K-HETTICH ArciTech, čelní, stříbrný, 400/94/282, 60kg, SiSy</t>
  </si>
  <si>
    <t>354954</t>
  </si>
  <si>
    <t>K-HETTICH ArciTech, čelní, stříbrný, 450/126, 40kg, SiSy</t>
  </si>
  <si>
    <t>354964</t>
  </si>
  <si>
    <t>K-HETTICH ArciTech, čelní, stříbrný, 450/126, 60kg, SiSy</t>
  </si>
  <si>
    <t>354955</t>
  </si>
  <si>
    <t>K-HETTICH ArciTech, čelní, stříbrný, 450/126/186, 40kg, SiSy</t>
  </si>
  <si>
    <t>354965</t>
  </si>
  <si>
    <t>K-HETTICH ArciTech, čelní, stříbrný, 450/126/186, 60kg, SiSy</t>
  </si>
  <si>
    <t>354956</t>
  </si>
  <si>
    <t>K-HETTICH ArciTech, čelní, stříbrný, 450/126/218, 40kg, SiSy</t>
  </si>
  <si>
    <t>354966</t>
  </si>
  <si>
    <t>K-HETTICH ArciTech, čelní, stříbrný, 450/126/218, 60kg, SiSy</t>
  </si>
  <si>
    <t>354957</t>
  </si>
  <si>
    <t>K-HETTICH ArciTech, čelní, stříbrný, 450/126/250, 40kg, SiSy</t>
  </si>
  <si>
    <t>354967</t>
  </si>
  <si>
    <t>K-HETTICH ArciTech, čelní, stříbrný, 450/126/250, 60kg, SiSy</t>
  </si>
  <si>
    <t>354958</t>
  </si>
  <si>
    <t>K-HETTICH ArciTech, čelní, stříbrný, 450/126/282, 40kg, SiSy</t>
  </si>
  <si>
    <t>354968</t>
  </si>
  <si>
    <t>K-HETTICH ArciTech, čelní, stříbrný, 450/126/282, 60kg, SiSy</t>
  </si>
  <si>
    <t>354949</t>
  </si>
  <si>
    <t>K-HETTICH Arcitech, čelní, stříbrný, 450/94, 40kg, SiSy</t>
  </si>
  <si>
    <t>354959</t>
  </si>
  <si>
    <t>K-HETTICH ArciTech, čelní, stříbrný, 450/94, 60kg, SiSy</t>
  </si>
  <si>
    <t>354950</t>
  </si>
  <si>
    <t>K-HETTICH Arcitech, čelní, stříbrný, 450/94/186, 40kg, SiSy</t>
  </si>
  <si>
    <t>354960</t>
  </si>
  <si>
    <t>K-HETTICH ArciTech, čelní, stříbrný, 450/94/186, 60kg, SiSy</t>
  </si>
  <si>
    <t>354951</t>
  </si>
  <si>
    <t>K-HETTICH Arcitech, čelní, stříbrný, 450/94/218, 40kg, SiSy</t>
  </si>
  <si>
    <t>354961</t>
  </si>
  <si>
    <t>K-HETTICH ArciTech, čelní, stříbrný, 450/94/218, 60kg, SiSy</t>
  </si>
  <si>
    <t>354952</t>
  </si>
  <si>
    <t>K-HETTICH Arcitech, čelní, stříbrný, 450/94/250, 40kg, SiSy</t>
  </si>
  <si>
    <t>354962</t>
  </si>
  <si>
    <t>K-HETTICH ArciTech, čelní, stříbrný, 450/94/250, 60kg, SiSy</t>
  </si>
  <si>
    <t>354953</t>
  </si>
  <si>
    <t>K-HETTICH Arcitech, čelní, stříbrný, 450/94/282, 40kg, SiSy</t>
  </si>
  <si>
    <t>354963</t>
  </si>
  <si>
    <t>K-HETTICH ArciTech, čelní, stříbrný, 450/94/282, 60kg, SiSy</t>
  </si>
  <si>
    <t>354974</t>
  </si>
  <si>
    <t>K-HETTICH ArciTech, čelní, stříbrný, 500/126, 40kg, SiSy</t>
  </si>
  <si>
    <t>354984</t>
  </si>
  <si>
    <t>K-HETTICH ArciTech, čelní, stříbrný, 500/126, 60kg, SiSy</t>
  </si>
  <si>
    <t>354994</t>
  </si>
  <si>
    <t>K-HETTICH ArciTech, čelní, stříbrný, 500/126, 80kg, SiSy</t>
  </si>
  <si>
    <t>354975</t>
  </si>
  <si>
    <t>K-HETTICH ArciTech, čelní, stříbrný, 500/126/186, 40kg, SiSy</t>
  </si>
  <si>
    <t>354985</t>
  </si>
  <si>
    <t>K-HETTICH ArciTech, čelní, stříbrný, 500/126/186, 60kg, SiSy</t>
  </si>
  <si>
    <t>354995</t>
  </si>
  <si>
    <t>K-HETTICH ArciTech, čelní, stříbrný, 500/126/186, 80kg, SiSy</t>
  </si>
  <si>
    <t>354976</t>
  </si>
  <si>
    <t>K-HETTICH ArciTech, čelní, stříbrný, 500/126/218, 40kg, SiSy</t>
  </si>
  <si>
    <t>354986</t>
  </si>
  <si>
    <t>K-HETTICH ArciTech, čelní, stříbrný, 500/126/218, 60kg, SiSy</t>
  </si>
  <si>
    <t>354996</t>
  </si>
  <si>
    <t>K-HETTICH ArciTech, čelní, stříbrný, 500/126/218, 80kg, SiSy</t>
  </si>
  <si>
    <t>354977</t>
  </si>
  <si>
    <t>K-HETTICH ArciTech, čelní, stříbrný, 500/126/250, 40kg, SiSy</t>
  </si>
  <si>
    <t>354987</t>
  </si>
  <si>
    <t>K-HETTICH ArciTech, čelní, stříbrný, 500/126/250, 60kg, SiSy</t>
  </si>
  <si>
    <t>354997</t>
  </si>
  <si>
    <t>K-HETTICH ArciTech, čelní, stříbrný, 500/126/250, 80kg, SiSy</t>
  </si>
  <si>
    <t>354978</t>
  </si>
  <si>
    <t>K-HETTICH ArciTech, čelní, stříbrný, 500/126/282, 40kg, SiSy</t>
  </si>
  <si>
    <t>354988</t>
  </si>
  <si>
    <t>K-HETTICH ArciTech, čelní, stříbrný, 500/126/282, 60kg, SiSy</t>
  </si>
  <si>
    <t>354998</t>
  </si>
  <si>
    <t>K-HETTICH ArciTech, čelní, stříbrný, 500/126/282, 80kg, SiSy</t>
  </si>
  <si>
    <t>354890</t>
  </si>
  <si>
    <t>K-HETTICH ArciTech, čelní, stříbrný, 500/78, 40kg, SiSy</t>
  </si>
  <si>
    <t>354969</t>
  </si>
  <si>
    <t>K-HETTICH Arcitech, čelní, stříbrný, 500/94, 40kg, SiSy</t>
  </si>
  <si>
    <t>354979</t>
  </si>
  <si>
    <t>K-HETTICH Arcitech, čelní, stříbrný, 500/94, 60kg, SiSy</t>
  </si>
  <si>
    <t>354989</t>
  </si>
  <si>
    <t>K-HETTICH ArciTech, čelní, stříbrný, 500/94, 80kg, SiSy</t>
  </si>
  <si>
    <t>354970</t>
  </si>
  <si>
    <t>K-HETTICH Arcitech, čelní, stříbrný, 500/94/186, 40kg, SiSy</t>
  </si>
  <si>
    <t>354980</t>
  </si>
  <si>
    <t>K-HETTICH Arcitech, čelní, stříbrný, 500/94/186, 60kg, SiSy</t>
  </si>
  <si>
    <t>354990</t>
  </si>
  <si>
    <t>K-HETTICH ArciTech, čelní, stříbrný, 500/94/186, 80kg, SiSy</t>
  </si>
  <si>
    <t>354971</t>
  </si>
  <si>
    <t>K-HETTICH Arcitech, čelní, stříbrný, 500/94/218, 40kg, SiSy</t>
  </si>
  <si>
    <t>354981</t>
  </si>
  <si>
    <t>K-HETTICH Arcitech, čelní, stříbrný, 500/94/218, 60kg, SiSy</t>
  </si>
  <si>
    <t>354991</t>
  </si>
  <si>
    <t>K-HETTICH ArciTech, čelní, stříbrný, 500/94/218, 80kg, SiSy</t>
  </si>
  <si>
    <t>354972</t>
  </si>
  <si>
    <t>K-HETTICH Arcitech, čelní, stříbrný, 500/94/250, 40kg, SiSy</t>
  </si>
  <si>
    <t>354982</t>
  </si>
  <si>
    <t>K-HETTICH Arcitech, čelní, stříbrný, 500/94/250, 60kg, SiSy</t>
  </si>
  <si>
    <t>354992</t>
  </si>
  <si>
    <t>K-HETTICH ArciTech, čelní, stříbrný, 500/94/250, 80kg, SiSy</t>
  </si>
  <si>
    <t>354973</t>
  </si>
  <si>
    <t>K-HETTICH Arcitech, čelní, stříbrný, 500/94/282, 40kg, SiSy</t>
  </si>
  <si>
    <t>354983</t>
  </si>
  <si>
    <t>K-HETTICH Arcitech, čelní, stříbrný, 500/94/282, 60kg, SiSy</t>
  </si>
  <si>
    <t>354993</t>
  </si>
  <si>
    <t>K-HETTICH ArciTech, čelní, stříbrný, 500/94/282, 80kg, SiSy</t>
  </si>
  <si>
    <t>355004</t>
  </si>
  <si>
    <t>K-HETTICH ArciTech, čelní, stříbrný, 550/126, 40kg, SiSy</t>
  </si>
  <si>
    <t>355014</t>
  </si>
  <si>
    <t>K-HETTICH ArciTech, čelní, stříbrný, 550/126, 60kg, SiSy</t>
  </si>
  <si>
    <t>355024</t>
  </si>
  <si>
    <t>K-HETTICH ArciTech, čelní, stříbrný, 550/126, 80kg, SiSy</t>
  </si>
  <si>
    <t>355005</t>
  </si>
  <si>
    <t>K-HETTICH ArciTech, čelní, stříbrný, 550/126/186, 40kg, SiSy</t>
  </si>
  <si>
    <t>355015</t>
  </si>
  <si>
    <t>K-HETTICH ArciTech, čelní, stříbrný, 550/126/186, 60kg, SiSy</t>
  </si>
  <si>
    <t>355025</t>
  </si>
  <si>
    <t>K-HETTICH ArciTech, čelní, stříbrný, 550/126/186, 80kg, SiSy</t>
  </si>
  <si>
    <t>355006</t>
  </si>
  <si>
    <t>K-HETTICH ArciTech, čelní, stříbrný, 550/126/218, 40kg, SiSy</t>
  </si>
  <si>
    <t>355016</t>
  </si>
  <si>
    <t>K-HETTICH ArciTech, čelní, stříbrný, 550/126/218, 60kg, SiSy</t>
  </si>
  <si>
    <t>355026</t>
  </si>
  <si>
    <t>K-HETTICH ArciTech, čelní, stříbrný, 550/126/218, 80kg, SiSy</t>
  </si>
  <si>
    <t>355007</t>
  </si>
  <si>
    <t>K-HETTICH ArciTech, čelní, stříbrný, 550/126/250, 40kg, SiSy</t>
  </si>
  <si>
    <t>355017</t>
  </si>
  <si>
    <t>K-HETTICH ArciTech, čelní, stříbrný, 550/126/250, 60kg, SiSy</t>
  </si>
  <si>
    <t>355027</t>
  </si>
  <si>
    <t>K-HETTICH ArciTech, čelní, stříbrný, 550/126/250, 80kg, SiSy</t>
  </si>
  <si>
    <t>355008</t>
  </si>
  <si>
    <t>K-HETTICH ArciTech, čelní, stříbrný, 550/126/282, 40kg, SiSy</t>
  </si>
  <si>
    <t>355018</t>
  </si>
  <si>
    <t>K-HETTICH ArciTech, čelní, stříbrný, 550/126/282, 60kg, SiSy</t>
  </si>
  <si>
    <t>355028</t>
  </si>
  <si>
    <t>K-HETTICH ArciTech, čelní, stříbrný, 550/126/282, 80kg, SiSy</t>
  </si>
  <si>
    <t>354999</t>
  </si>
  <si>
    <t>K-HETTICH Arcitech, čelní, stříbrný, 550/94, 40kg, SiSy</t>
  </si>
  <si>
    <t>355009</t>
  </si>
  <si>
    <t>K-HETTICH ArciTech, čelní, stříbrný, 550/94, 60kg, SiSy</t>
  </si>
  <si>
    <t>355019</t>
  </si>
  <si>
    <t>K-HETTICH ArciTech, čelní, stříbrný, 550/94, 80kg, SiSy</t>
  </si>
  <si>
    <t>355000</t>
  </si>
  <si>
    <t>K-HETTICH Arcitech, čelní, stříbrný, 550/94/186, 40kg, SiSy</t>
  </si>
  <si>
    <t>355010</t>
  </si>
  <si>
    <t>K-HETTICH ArciTech, čelní, stříbrný, 550/94/186, 60kg, SiSy</t>
  </si>
  <si>
    <t>355020</t>
  </si>
  <si>
    <t>K-HETTICH ArciTech, čelní, stříbrný, 550/94/186, 80kg, SiSy</t>
  </si>
  <si>
    <t>355001</t>
  </si>
  <si>
    <t>K-HETTICH Arcitech, čelní, stříbrný, 550/94/218, 40kg, SiSy</t>
  </si>
  <si>
    <t>355011</t>
  </si>
  <si>
    <t>K-HETTICH ArciTech, čelní, stříbrný, 550/94/218, 60kg, SiSy</t>
  </si>
  <si>
    <t>355021</t>
  </si>
  <si>
    <t>K-HETTICH ArciTech, čelní, stříbrný, 550/94/218, 80kg, SiSy</t>
  </si>
  <si>
    <t>355002</t>
  </si>
  <si>
    <t>K-HETTICH Arcitech, čelní, stříbrný, 550/94/250, 40kg, SiSy</t>
  </si>
  <si>
    <t>355012</t>
  </si>
  <si>
    <t>K-HETTICH ArciTech, čelní, stříbrný, 550/94/250, 60kg, SiSy</t>
  </si>
  <si>
    <t>355022</t>
  </si>
  <si>
    <t>K-HETTICH ArciTech, čelní, stříbrný, 550/94/250, 80kg, SiSy</t>
  </si>
  <si>
    <t>355003</t>
  </si>
  <si>
    <t>K-HETTICH Arcitech, čelní, stříbrný, 550/94/282, 40kg, SiSy</t>
  </si>
  <si>
    <t>355013</t>
  </si>
  <si>
    <t>K-HETTICH ArciTech, čelní, stříbrný, 550/94/282, 60kg, SiSy</t>
  </si>
  <si>
    <t>355023</t>
  </si>
  <si>
    <t>K-HETTICH ArciTech, čelní, stříbrný, 550/94/282, 80kg, SiSy</t>
  </si>
  <si>
    <t>355035</t>
  </si>
  <si>
    <t>K-HETTICH ArciTech, čelní, stříbrný, 650/126, 40kg, SiSy</t>
  </si>
  <si>
    <t>355045</t>
  </si>
  <si>
    <t>K-HETTICH ArciTech, čelní, stříbrný, 650/126, 60kg, SiSy</t>
  </si>
  <si>
    <t>355055</t>
  </si>
  <si>
    <t>K-HETTICH ArciTech, čelní, stříbrný, 650/126, 80kg, SiSy</t>
  </si>
  <si>
    <t>355036</t>
  </si>
  <si>
    <t>K-HETTICH ArciTech, čelní, stříbrný, 650/126/186, 40kg, SiSy</t>
  </si>
  <si>
    <t>355046</t>
  </si>
  <si>
    <t>K-HETTICH ArciTech, čelní, stříbrný, 650/126/186, 60kg, SiSy</t>
  </si>
  <si>
    <t>355056</t>
  </si>
  <si>
    <t>K-HETTICH ArciTech, čelní, stříbrný, 650/126/186, 80kg, SiSy</t>
  </si>
  <si>
    <t>355037</t>
  </si>
  <si>
    <t>K-HETTICH ArciTech, čelní, stříbrný, 650/126/218, 40kg, SiSy</t>
  </si>
  <si>
    <t>355047</t>
  </si>
  <si>
    <t>K-HETTICH ArciTech, čelní, stříbrný, 650/126/218, 60kg, SiSy</t>
  </si>
  <si>
    <t>355057</t>
  </si>
  <si>
    <t>K-HETTICH ArciTech, čelní, stříbrný, 650/126/218, 80kg, SiSy</t>
  </si>
  <si>
    <t>355038</t>
  </si>
  <si>
    <t>K-HETTICH ArciTech, čelní, stříbrný, 650/126/250, 40kg, SiSy</t>
  </si>
  <si>
    <t>355048</t>
  </si>
  <si>
    <t>K-HETTICH ArciTech, čelní, stříbrný, 650/126/250, 60kg, SiSy</t>
  </si>
  <si>
    <t>355058</t>
  </si>
  <si>
    <t>K-HETTICH ArciTech, čelní, stříbrný, 650/126/250, 80kg, SiSy</t>
  </si>
  <si>
    <t>355039</t>
  </si>
  <si>
    <t>K-HETTICH ArciTech, čelní, stříbrný, 650/126/282, 40kg, SiSy</t>
  </si>
  <si>
    <t>355049</t>
  </si>
  <si>
    <t>K-HETTICH ArciTech, čelní, stříbrný, 650/126/282, 60kg, SiSy</t>
  </si>
  <si>
    <t>355059</t>
  </si>
  <si>
    <t>K-HETTICH ArciTech, čelní, stříbrný, 650/126/282, 80kg, SiSy</t>
  </si>
  <si>
    <t>355029</t>
  </si>
  <si>
    <t>K-HETTICH ArciTech, čelní, stříbrný, 650/94, 40kg, SiSy</t>
  </si>
  <si>
    <t>355040</t>
  </si>
  <si>
    <t>K-HETTICH ArciTech, čelní, stříbrný, 650/94, 60kg, SiSy</t>
  </si>
  <si>
    <t>355050</t>
  </si>
  <si>
    <t>K-HETTICH ArciTech, čelní, stříbrný, 650/94, 80kg, SiSy</t>
  </si>
  <si>
    <t>355031</t>
  </si>
  <si>
    <t>K-HETTICH ArciTech, čelní, stříbrný, 650/94/186, 40kg, SiSy</t>
  </si>
  <si>
    <t>355041</t>
  </si>
  <si>
    <t>K-HETTICH ArciTech, čelní, stříbrný, 650/94/186, 60kg, SiSy</t>
  </si>
  <si>
    <t>355051</t>
  </si>
  <si>
    <t>K-HETTICH ArciTech, čelní, stříbrný, 650/94/186, 80kg, SiSy</t>
  </si>
  <si>
    <t>355032</t>
  </si>
  <si>
    <t>K-HETTICH ArciTech, čelní, stříbrný, 650/94/218, 40kg, SiSy</t>
  </si>
  <si>
    <t>355042</t>
  </si>
  <si>
    <t>K-HETTICH ArciTech, čelní, stříbrný, 650/94/218, 60kg, SiSy</t>
  </si>
  <si>
    <t>355052</t>
  </si>
  <si>
    <t>K-HETTICH ArciTech, čelní, stříbrný, 650/94/218, 80kg, SiSy</t>
  </si>
  <si>
    <t>355033</t>
  </si>
  <si>
    <t>K-HETTICH ArciTech, čelní, stříbrný, 650/94/250, 40kg, SiSy</t>
  </si>
  <si>
    <t>355043</t>
  </si>
  <si>
    <t>K-HETTICH ArciTech, čelní, stříbrný, 650/94/250, 60kg, SiSy</t>
  </si>
  <si>
    <t>355053</t>
  </si>
  <si>
    <t>K-HETTICH ArciTech, čelní, stříbrný, 650/94/250, 80kg, SiSy</t>
  </si>
  <si>
    <t>355034</t>
  </si>
  <si>
    <t>K-HETTICH ArciTech, čelní, stříbrný, 650/94/282, 40kg, SiSy</t>
  </si>
  <si>
    <t>355044</t>
  </si>
  <si>
    <t>K-HETTICH ArciTech, čelní, stříbrný, 650/94/282, 60kg, SiSy</t>
  </si>
  <si>
    <t>355054</t>
  </si>
  <si>
    <t>K-HETTICH ArciTech, čelní, stříbrný, 650/94/282, 80kg, SiSy</t>
  </si>
  <si>
    <t>354782</t>
  </si>
  <si>
    <t>K-HETTICH ArciTech, vnitřní, antracit, 270/126, 10kg, SiSy</t>
  </si>
  <si>
    <t>354783</t>
  </si>
  <si>
    <t>K-HETTICH ArciTech, vnitřní, antracit, 270/126, 40kg, SiSy</t>
  </si>
  <si>
    <t>354784</t>
  </si>
  <si>
    <t>K-HETTICH ArciTech, vnitřní, antracit, 270/126/186, 40kg, SiSy</t>
  </si>
  <si>
    <t>354785</t>
  </si>
  <si>
    <t>K-HETTICH ArciTech, vnitřní, antracit, 270/126/218, 40kg, SiSy</t>
  </si>
  <si>
    <t>354778</t>
  </si>
  <si>
    <t>K-HETTICH ArciTech, vnitřní, antracit, 270/94, 10kg, SiSy</t>
  </si>
  <si>
    <t>354779</t>
  </si>
  <si>
    <t>K-HETTICH ArciTech, vnitřní, antracit, 270/94, 40kg, SiSy</t>
  </si>
  <si>
    <t>354780</t>
  </si>
  <si>
    <t>K-HETTICH ArciTech, vnitřní, antracit, 270/94/186, 40kg, SiSy</t>
  </si>
  <si>
    <t>354781</t>
  </si>
  <si>
    <t>K-HETTICH ArciTech, vnitřní, antracit, 270/94/218, 40kg, SiSy</t>
  </si>
  <si>
    <t>354790</t>
  </si>
  <si>
    <t>K-HETTICH ArciTech, vnitřní, antracit, 300/126, 10kg, SiSy</t>
  </si>
  <si>
    <t>354791</t>
  </si>
  <si>
    <t>K-HETTICH ArciTech, vnitřní, antracit, 300/126, 40kg, SiSy</t>
  </si>
  <si>
    <t>354792</t>
  </si>
  <si>
    <t>K-HETTICH ArciTech, vnitřní, antracit, 300/126/186, 40kg, SiSy</t>
  </si>
  <si>
    <t>354793</t>
  </si>
  <si>
    <t>K-HETTICH ArciTech, vnitřní, antracit, 300/126/218, 40kg, SiSy</t>
  </si>
  <si>
    <t>354786</t>
  </si>
  <si>
    <t>K-HETTICH ArciTech, vnitřní, antracit, 300/94, 10kg, SiSy</t>
  </si>
  <si>
    <t>354787</t>
  </si>
  <si>
    <t>K-HETTICH ArciTech, vnitřní, antracit, 300/94, 40kg, SiSy</t>
  </si>
  <si>
    <t>354788</t>
  </si>
  <si>
    <t>K-HETTICH ArciTech, vnitřní, antracit, 300/94/186, 40kg, SiSy</t>
  </si>
  <si>
    <t>354789</t>
  </si>
  <si>
    <t>K-HETTICH ArciTech, vnitřní, antracit, 300/94/218, 40kg, SiSy</t>
  </si>
  <si>
    <t>354798</t>
  </si>
  <si>
    <t>K-HETTICH ArciTech, vnitřní, antracit, 350/126, 10kg, SiSy</t>
  </si>
  <si>
    <t>354799</t>
  </si>
  <si>
    <t>K-HETTICH ArciTech, vnitřní, antracit, 350/126, 40kg, SiSy</t>
  </si>
  <si>
    <t>354800</t>
  </si>
  <si>
    <t>K-HETTICH ArciTech, vnitřní, antracit, 350/126/186, 40kg, SiSy</t>
  </si>
  <si>
    <t>354801</t>
  </si>
  <si>
    <t>K-HETTICH ArciTech, vnitřní, antracit, 350/126/218, 40kg, SiSy</t>
  </si>
  <si>
    <t>354794</t>
  </si>
  <si>
    <t>K-HETTICH ArciTech, vnitřní, antracit, 350/94, 10kg, SiSy</t>
  </si>
  <si>
    <t>354795</t>
  </si>
  <si>
    <t>K-HETTICH ArciTech, vnitřní, antracit, 350/94, 40kg, SiSy</t>
  </si>
  <si>
    <t>354796</t>
  </si>
  <si>
    <t>K-HETTICH ArciTech, vnitřní, antracit, 350/94/186, 40kg, SiSy</t>
  </si>
  <si>
    <t>354797</t>
  </si>
  <si>
    <t>K-HETTICH ArciTech, vnitřní, antracit, 350/94/218, 40kg, SiSy</t>
  </si>
  <si>
    <t>354805</t>
  </si>
  <si>
    <t>K-HETTICH ArciTech, vnitřní, antracit, 400/126, 40kg, SiSy</t>
  </si>
  <si>
    <t>354811</t>
  </si>
  <si>
    <t>K-HETTICH ArciTech, vnitřní, antracit, 400/126, 60kg, SiSy</t>
  </si>
  <si>
    <t>354806</t>
  </si>
  <si>
    <t>K-HETTICH ArciTech, vnitřní, antracit, 400/126/186, 40kg, SiSy</t>
  </si>
  <si>
    <t>354812</t>
  </si>
  <si>
    <t>K-HETTICH ArciTech, vnitřní, antracit, 400/126/186, 60kg, SiSy</t>
  </si>
  <si>
    <t>354807</t>
  </si>
  <si>
    <t>K-HETTICH ArciTech, vnitřní, antracit, 400/126/218, 40kg, SiSy</t>
  </si>
  <si>
    <t>354813</t>
  </si>
  <si>
    <t>K-HETTICH ArciTech, vnitřní, antracit, 400/126/218, 60kg, SiSy</t>
  </si>
  <si>
    <t>354802</t>
  </si>
  <si>
    <t>K-HETTICH ArciTech, vnitřní, antracit, 400/94, 40kg, SiSy</t>
  </si>
  <si>
    <t>354808</t>
  </si>
  <si>
    <t>K-HETTICH ArciTech, vnitřní, antracit, 400/94, 60kg, SiSy</t>
  </si>
  <si>
    <t>354803</t>
  </si>
  <si>
    <t>K-HETTICH ArciTech, vnitřní, antracit, 400/94/186, 40kg, SiSy</t>
  </si>
  <si>
    <t>354809</t>
  </si>
  <si>
    <t>K-HETTICH ArciTech, vnitřní, antracit, 400/94/186, 60kg, SiSy</t>
  </si>
  <si>
    <t>354804</t>
  </si>
  <si>
    <t>K-HETTICH ArciTech, vnitřní, antracit, 400/94/218, 40kg, SiSy</t>
  </si>
  <si>
    <t>354810</t>
  </si>
  <si>
    <t>K-HETTICH ArciTech, vnitřní, antracit, 400/94/218, 60kg, SiSy</t>
  </si>
  <si>
    <t>354817</t>
  </si>
  <si>
    <t>K-HETTICH Arcitech, vnitřní, antracit, 450/126, 40kg, SiSy</t>
  </si>
  <si>
    <t>354823</t>
  </si>
  <si>
    <t>K-HETTICH ArciTech, vnitřní, antracit, 450/126, 60kg, SiSy</t>
  </si>
  <si>
    <t>354818</t>
  </si>
  <si>
    <t>K-HETTICH ArciTech, vnitřní, antracit, 450/126/186, 40kg, SiSy</t>
  </si>
  <si>
    <t>354824</t>
  </si>
  <si>
    <t>K-HETTICH ArciTech, vnitřní, antracit, 450/126/186, 60kg, SiSy</t>
  </si>
  <si>
    <t>354819</t>
  </si>
  <si>
    <t>K-HETTICH ArciTech, vnitřní, antracit, 450/126/218, 40kg, SiSy</t>
  </si>
  <si>
    <t>354825</t>
  </si>
  <si>
    <t>K-HETTICH ArciTech, vnitřní, antracit, 450/126/218, 60kg, SiSy</t>
  </si>
  <si>
    <t>354820</t>
  </si>
  <si>
    <t>K-HETTICH ArciTech, vnitřní, antracit, 450/94, 60kg, SiSy</t>
  </si>
  <si>
    <t>354821</t>
  </si>
  <si>
    <t>K-HETTICH ArciTech, vnitřní, antracit, 450/94/186, 60kg, SiSy</t>
  </si>
  <si>
    <t>354822</t>
  </si>
  <si>
    <t>K-HETTICH ArciTech, vnitřní, antracit, 450/94/218, 60kg, SiSy</t>
  </si>
  <si>
    <t>354829</t>
  </si>
  <si>
    <t>K-HETTICH ArciTech, vnitřní, antracit, 500/126, 40kg, SiSy</t>
  </si>
  <si>
    <t>354835</t>
  </si>
  <si>
    <t>K-HETTICH ArciTech, vnitřní, antracit, 500/126, 60kg, SiSy</t>
  </si>
  <si>
    <t>354841</t>
  </si>
  <si>
    <t>K-HETTICH ArciTech, vnitřní, antracit, 500/126, 80kg, SiSy</t>
  </si>
  <si>
    <t>354830</t>
  </si>
  <si>
    <t>K-HETTICH ArciTech, vnitřní, antracit, 500/126/186, 40kg, SiSy</t>
  </si>
  <si>
    <t>354836</t>
  </si>
  <si>
    <t>K-HETTICH ArciTech, vnitřní, antracit, 500/126/186, 60kg, SiSy</t>
  </si>
  <si>
    <t>354842</t>
  </si>
  <si>
    <t>K-HETTICH ArciTech, vnitřní, antracit, 500/126/186, 80kg, SiSy</t>
  </si>
  <si>
    <t>354831</t>
  </si>
  <si>
    <t>K-HETTICH ArciTech, vnitřní, antracit, 500/126/218, 40kg, SiSy</t>
  </si>
  <si>
    <t>354837</t>
  </si>
  <si>
    <t>K-HETTICH ArciTech, vnitřní, antracit, 500/126/218, 60kg, SiSy</t>
  </si>
  <si>
    <t>354843</t>
  </si>
  <si>
    <t>K-HETTICH ArciTech, vnitřní, antracit, 500/126/218, 80kg, SiSy</t>
  </si>
  <si>
    <t>354838</t>
  </si>
  <si>
    <t>K-HETTICH ArciTech, vnitřní, antracit, 500/94, 80kg, SiSy</t>
  </si>
  <si>
    <t>354839</t>
  </si>
  <si>
    <t>K-HETTICH ArciTech, vnitřní, antracit, 500/94/186, 80kg, SiSy</t>
  </si>
  <si>
    <t>354840</t>
  </si>
  <si>
    <t>K-HETTICH ArciTech, vnitřní, antracit, 500/94/218, 80kg, SiSy</t>
  </si>
  <si>
    <t>354847</t>
  </si>
  <si>
    <t>K-HETTICH ArciTech, vnitřní, antracit, 550/126, 40kg, SiSy</t>
  </si>
  <si>
    <t>354853</t>
  </si>
  <si>
    <t>K-HETTICH ArciTech, vnitřní, antracit, 550/126, 60kg, SiSy</t>
  </si>
  <si>
    <t>354860</t>
  </si>
  <si>
    <t>K-HETTICH ArciTech, vnitřní, antracit, 550/126, 80kg, SiSy</t>
  </si>
  <si>
    <t>354848</t>
  </si>
  <si>
    <t>K-HETTICH ArciTech, vnitřní, antracit, 550/126/186, 40kg, SiSy</t>
  </si>
  <si>
    <t>354854</t>
  </si>
  <si>
    <t>K-HETTICH ArciTech, vnitřní, antracit, 550/126/186, 60kg, SiSy</t>
  </si>
  <si>
    <t>354861</t>
  </si>
  <si>
    <t>K-HETTICH ArciTech, vnitřní, antracit, 550/126/186, 80kg, SiSy</t>
  </si>
  <si>
    <t>354849</t>
  </si>
  <si>
    <t>K-HETTICH ArciTech, vnitřní, antracit, 550/126/218, 40kg, SiSy</t>
  </si>
  <si>
    <t>354855</t>
  </si>
  <si>
    <t>K-HETTICH ArciTech, vnitřní, antracit, 550/126/218, 60kg, SiSy</t>
  </si>
  <si>
    <t>354862</t>
  </si>
  <si>
    <t>K-HETTICH ArciTech, vnitřní, antracit, 550/126/218, 80kg, SiSy</t>
  </si>
  <si>
    <t>354844</t>
  </si>
  <si>
    <t>K-HETTICH ArciTech, vnitřní, antracit, 550/94, 40kg, SiSy</t>
  </si>
  <si>
    <t>354850</t>
  </si>
  <si>
    <t>K-HETTICH ArciTech, vnitřní, antracit, 550/94, 60kg, SiSy</t>
  </si>
  <si>
    <t>354856</t>
  </si>
  <si>
    <t>K-HETTICH ArciTech, vnitřní, antracit, 550/94, 80kg, SiSy</t>
  </si>
  <si>
    <t>354845</t>
  </si>
  <si>
    <t>K-HETTICH ArciTech, vnitřní, antracit, 550/94/186, 40kg, SiSy</t>
  </si>
  <si>
    <t>354851</t>
  </si>
  <si>
    <t>K-HETTICH ArciTech, vnitřní, antracit, 550/94/186, 60kg, SiSy</t>
  </si>
  <si>
    <t>354857</t>
  </si>
  <si>
    <t>K-HETTICH ArciTech, vnitřní, antracit, 550/94/186, 80kg, SiSy</t>
  </si>
  <si>
    <t>354846</t>
  </si>
  <si>
    <t>K-HETTICH ArciTech, vnitřní, antracit, 550/94/218, 40kg, SiSy</t>
  </si>
  <si>
    <t>354852</t>
  </si>
  <si>
    <t>K-HETTICH ArciTech, vnitřní, antracit, 550/94/218, 60kg, SiSy</t>
  </si>
  <si>
    <t>354858</t>
  </si>
  <si>
    <t>K-HETTICH ArciTech, vnitřní, antracit, 550/94/218, 80kg, SiSy</t>
  </si>
  <si>
    <t>354866</t>
  </si>
  <si>
    <t>K-HETTICH ArciTech, vnitřní, antracit, 650/126, 40kg, SiSy</t>
  </si>
  <si>
    <t>354872</t>
  </si>
  <si>
    <t>K-HETTICH ArciTech, vnitřní, antracit, 650/126, 60kg, SiSy</t>
  </si>
  <si>
    <t>354879</t>
  </si>
  <si>
    <t>K-HETTICH ArciTech, vnitřní, antracit, 650/126, 80kg, SiSy</t>
  </si>
  <si>
    <t>354867</t>
  </si>
  <si>
    <t>K-HETTICH ArciTech, vnitřní, antracit, 650/126/186, 40kg, SiSy</t>
  </si>
  <si>
    <t>354873</t>
  </si>
  <si>
    <t>K-HETTICH ArciTech, vnitřní, antracit, 650/126/186, 60kg, SiSy</t>
  </si>
  <si>
    <t>354880</t>
  </si>
  <si>
    <t>K-HETTICH ArciTech, vnitřní, antracit, 650/126/186, 80kg, SiSy</t>
  </si>
  <si>
    <t>354868</t>
  </si>
  <si>
    <t>K-HETTICH ArciTech, vnitřní, antracit, 650/126/218, 40kg, SiSy</t>
  </si>
  <si>
    <t>354875</t>
  </si>
  <si>
    <t>K-HETTICH ArciTech, vnitřní, antracit, 650/126/218, 60kg, SiSy</t>
  </si>
  <si>
    <t>354881</t>
  </si>
  <si>
    <t>K-HETTICH ArciTech, vnitřní, antracit, 650/126/218, 80kg, SiSy</t>
  </si>
  <si>
    <t>354863</t>
  </si>
  <si>
    <t>K-HETTICH ArciTech, vnitřní, antracit, 650/94, 40kg, SiSy</t>
  </si>
  <si>
    <t>354869</t>
  </si>
  <si>
    <t>K-HETTICH ArciTech, vnitřní, antracit, 650/94, 60kg, SiSy</t>
  </si>
  <si>
    <t>354876</t>
  </si>
  <si>
    <t>K-HETTICH ArciTech, vnitřní, antracit, 650/94, 80kg, SiSy</t>
  </si>
  <si>
    <t>354864</t>
  </si>
  <si>
    <t>K-HETTICH ArciTech, vnitřní, antracit, 650/94/186, 40kg, SiSy</t>
  </si>
  <si>
    <t>354870</t>
  </si>
  <si>
    <t>K-HETTICH ArciTech, vnitřní, antracit, 650/94/186, 60kg, SiSy</t>
  </si>
  <si>
    <t>354877</t>
  </si>
  <si>
    <t>K-HETTICH ArciTech, vnitřní, antracit, 650/94/186, 80kg, SiSy</t>
  </si>
  <si>
    <t>354865</t>
  </si>
  <si>
    <t>K-HETTICH ArciTech, vnitřní, antracit, 650/94/218, 40kg, SiSy</t>
  </si>
  <si>
    <t>354871</t>
  </si>
  <si>
    <t>K-HETTICH ArciTech, vnitřní, antracit, 650/94/218, 60kg, SiSy</t>
  </si>
  <si>
    <t>354878</t>
  </si>
  <si>
    <t>K-HETTICH ArciTech, vnitřní, antracit, 650/94/218, 80kg, SiSy</t>
  </si>
  <si>
    <t>354502</t>
  </si>
  <si>
    <t>K-HETTICH ArciTech, vnitřní, bílý, 270/126, 10kg, SiSy</t>
  </si>
  <si>
    <t>354503</t>
  </si>
  <si>
    <t>K-HETTICH ArciTech, vnitřní, bílý, 270/126, 40kg, SiSy</t>
  </si>
  <si>
    <t>354504</t>
  </si>
  <si>
    <t>K-HETTICH ArciTech, vnitřní, bílý, 270/126/186, 40kg, SiSy</t>
  </si>
  <si>
    <t>354505</t>
  </si>
  <si>
    <t>K-HETTICH ArciTech, vnitřní, bílý, 270/126/218, 40kg, SiSy</t>
  </si>
  <si>
    <t>354498</t>
  </si>
  <si>
    <t>K-HETTICH ArciTech, vnitřní, bílý, 270/94, 10kg, SiSy</t>
  </si>
  <si>
    <t>354499</t>
  </si>
  <si>
    <t>K-HETTICH ArciTech, vnitřní, bílý, 270/94, 40kg, SiSy</t>
  </si>
  <si>
    <t>354500</t>
  </si>
  <si>
    <t>K-HETTICH ArciTech, vnitřní, bílý, 270/94/186, 40kg, SiSy</t>
  </si>
  <si>
    <t>354501</t>
  </si>
  <si>
    <t>K-HETTICH ArciTech, vnitřní, bílý, 270/94/218, 40kg, SiSy</t>
  </si>
  <si>
    <t>354510</t>
  </si>
  <si>
    <t>K-HETTICH ArciTech, vnitřní, bílý, 300/126, 10kg, SiSy</t>
  </si>
  <si>
    <t>354511</t>
  </si>
  <si>
    <t>K-HETTICH ArciTech, vnitřní, bílý, 300/126, 40kg, SiSy</t>
  </si>
  <si>
    <t>354512</t>
  </si>
  <si>
    <t>K-HETTICH ArciTech, vnitřní, bílý, 300/126/186, 40kg, SiSy</t>
  </si>
  <si>
    <t>354513</t>
  </si>
  <si>
    <t>K-HETTICH ArciTech, vnitřní, bílý, 300/126/218, 40kg, SiSy</t>
  </si>
  <si>
    <t>354506</t>
  </si>
  <si>
    <t>K-HETTICH ArciTech, vnitřní, bílý, 300/94, 10kg, SiSy</t>
  </si>
  <si>
    <t>354518</t>
  </si>
  <si>
    <t>K-HETTICH ArciTech, vnitřní, bílý, 350/126, 10kg, SiSy</t>
  </si>
  <si>
    <t>354519</t>
  </si>
  <si>
    <t>K-HETTICH ArciTech, vnitřní, bílý, 350/126, 40kg, SiSy</t>
  </si>
  <si>
    <t>354520</t>
  </si>
  <si>
    <t>K-HETTICH ArciTech, vnitřní, bílý, 350/126/186, 40kg, SiSy</t>
  </si>
  <si>
    <t>354521</t>
  </si>
  <si>
    <t>K-HETTICH ArciTech, vnitřní, bílý, 350/126/218, 40kg, SiSy</t>
  </si>
  <si>
    <t>354514</t>
  </si>
  <si>
    <t>K-HETTICH ArciTech, vnitřní, bílý, 350/94, 10kg, SiSy</t>
  </si>
  <si>
    <t>354525</t>
  </si>
  <si>
    <t>K-HETTICH ArciTech, vnitřní, bílý, 400/126, 40kg, SiSy</t>
  </si>
  <si>
    <t>354531</t>
  </si>
  <si>
    <t>K-HETTICH ArciTech, vnitřní, bílý, 400/126, 60kg, SiSy</t>
  </si>
  <si>
    <t>354526</t>
  </si>
  <si>
    <t>K-HETTICH ArciTech, vnitřní, bílý, 400/126/186, 40kg, SiSy</t>
  </si>
  <si>
    <t>354532</t>
  </si>
  <si>
    <t>K-HETTICH ArciTech, vnitřní, bílý, 400/126/186, 60kg, SiSy</t>
  </si>
  <si>
    <t>354527</t>
  </si>
  <si>
    <t>K-HETTICH ArciTech, vnitřní, bílý, 400/126/218, 40kg, SiSy</t>
  </si>
  <si>
    <t>354533</t>
  </si>
  <si>
    <t>K-HETTICH ArciTech, vnitřní, bílý, 400/126/218, 60kg, SiSy</t>
  </si>
  <si>
    <t>354528</t>
  </si>
  <si>
    <t>K-HETTICH ArciTech, vnitřní, bílý, 400/94, 60kg, SiSy</t>
  </si>
  <si>
    <t>354529</t>
  </si>
  <si>
    <t>K-HETTICH ArciTech, vnitřní, bílý, 400/94/186, 60kg, SiSy</t>
  </si>
  <si>
    <t>354530</t>
  </si>
  <si>
    <t>K-HETTICH ArciTech, vnitřní, bílý, 400/94/218, 60kg, SiSy</t>
  </si>
  <si>
    <t>354537</t>
  </si>
  <si>
    <t>K-HETTICH ArciTech, vnitřní, bílý, 450/126, 40kg, SiSy</t>
  </si>
  <si>
    <t>354543</t>
  </si>
  <si>
    <t>K-HETTICH ArciTech, vnitřní, bílý, 450/126, 60kg, SiSy</t>
  </si>
  <si>
    <t>354538</t>
  </si>
  <si>
    <t>K-HETTICH ArciTech, vnitřní, bílý, 450/126/186, 40kg, SiSy</t>
  </si>
  <si>
    <t>354544</t>
  </si>
  <si>
    <t>K-HETTICH ArciTech, vnitřní, bílý, 450/126/186, 60kg, SiSy</t>
  </si>
  <si>
    <t>354539</t>
  </si>
  <si>
    <t>K-HETTICH ArciTech, vnitřní, bílý, 450/126/218, 40kg, SiSy</t>
  </si>
  <si>
    <t>354545</t>
  </si>
  <si>
    <t>K-HETTICH ArciTech, vnitřní, bílý, 450/126/218, 60kg, SiSy</t>
  </si>
  <si>
    <t>354540</t>
  </si>
  <si>
    <t>K-HETTICH ArciTech, vnitřní, bílý, 450/94, 60kg, SiSy</t>
  </si>
  <si>
    <t>354541</t>
  </si>
  <si>
    <t>K-HETTICH ArciTech, vnitřní, bílý, 450/94/186, 60kg, SiSy</t>
  </si>
  <si>
    <t>354542</t>
  </si>
  <si>
    <t>K-HETTICH ArciTech, vnitřní, bílý, 450/94/218, 60kg, SiSy</t>
  </si>
  <si>
    <t>354549</t>
  </si>
  <si>
    <t>K-HETTICH ArciTech, vnitřní, bílý, 500/126, 40kg, SiSy</t>
  </si>
  <si>
    <t>354555</t>
  </si>
  <si>
    <t>K-HETTICH ArciTech, vnitřní, bílý, 500/126, 60kg, SiSy</t>
  </si>
  <si>
    <t>354561</t>
  </si>
  <si>
    <t>K-HETTICH ArciTech, vnitřní, bílý, 500/126, 80kg, SiSy</t>
  </si>
  <si>
    <t>354550</t>
  </si>
  <si>
    <t>K-HETTICH ArciTech, vnitřní, bílý, 500/126/186, 40kg, SiSy</t>
  </si>
  <si>
    <t>354556</t>
  </si>
  <si>
    <t>K-HETTICH ArciTech, vnitřní, bílý, 500/126/186, 60kg, SiSy</t>
  </si>
  <si>
    <t>354562</t>
  </si>
  <si>
    <t>K-HETTICH ArciTech, vnitřní, bílý, 500/126/186, 80kg, SiSy</t>
  </si>
  <si>
    <t>354551</t>
  </si>
  <si>
    <t>K-HETTICH ArciTech, vnitřní, bílý, 500/126/218, 40kg, SiSy</t>
  </si>
  <si>
    <t>354557</t>
  </si>
  <si>
    <t>K-HETTICH ArciTech, vnitřní, bílý, 500/126/218, 60kg, SiSy</t>
  </si>
  <si>
    <t>354563</t>
  </si>
  <si>
    <t>K-HETTICH ArciTech, vnitřní, bílý, 500/126/218, 80kg, SiSy</t>
  </si>
  <si>
    <t>354558</t>
  </si>
  <si>
    <t>K-HETTICH ArciTech, vnitřní, bílý, 500/94, 80kg, SiSy</t>
  </si>
  <si>
    <t>354559</t>
  </si>
  <si>
    <t>K-HETTICH ArciTech, vnitřní, bílý, 500/94/186, 80kg, SiSy</t>
  </si>
  <si>
    <t>354560</t>
  </si>
  <si>
    <t>K-HETTICH ArciTech, vnitřní, bílý, 500/94/218, 80kg, SiSy</t>
  </si>
  <si>
    <t>354567</t>
  </si>
  <si>
    <t>K-HETTICH ArciTech, vnitřní, bílý, 550/126, 40kg, SiSy</t>
  </si>
  <si>
    <t>354573</t>
  </si>
  <si>
    <t>K-HETTICH ArciTech, vnitřní, bílý, 550/126, 60kg, SiSy</t>
  </si>
  <si>
    <t>354579</t>
  </si>
  <si>
    <t>K-HETTICH ArciTech, vnitřní, bílý, 550/126, 80kg, SiSy</t>
  </si>
  <si>
    <t>354568</t>
  </si>
  <si>
    <t>K-HETTICH ArciTech, vnitřní, bílý, 550/126/186, 40kg, SiSy</t>
  </si>
  <si>
    <t>354574</t>
  </si>
  <si>
    <t>K-HETTICH ArciTech, vnitřní, bílý, 550/126/186, 60kg, SiSy</t>
  </si>
  <si>
    <t>354580</t>
  </si>
  <si>
    <t>K-HETTICH ArciTech, vnitřní, bílý, 550/126/186, 80kg, SiSy</t>
  </si>
  <si>
    <t>354569</t>
  </si>
  <si>
    <t>K-HETTICH ArciTech, vnitřní, bílý, 550/126/218, 40kg, SiSy</t>
  </si>
  <si>
    <t>354575</t>
  </si>
  <si>
    <t>K-HETTICH ArciTech, vnitřní, bílý, 550/126/218, 60kg, SiSy</t>
  </si>
  <si>
    <t>354581</t>
  </si>
  <si>
    <t>K-HETTICH ArciTech, vnitřní, bílý, 550/126/218, 80kg, SiSy</t>
  </si>
  <si>
    <t>354570</t>
  </si>
  <si>
    <t>K-HETTICH ArciTech, vnitřní, bílý, 550/94, 60kg, SiSy</t>
  </si>
  <si>
    <t>354576</t>
  </si>
  <si>
    <t>K-HETTICH ArciTech, vnitřní, bílý, 550/94, 80kg, SiSy</t>
  </si>
  <si>
    <t>354571</t>
  </si>
  <si>
    <t>K-HETTICH ArciTech, vnitřní, bílý, 550/94/186, 60kg, SiSy</t>
  </si>
  <si>
    <t>354577</t>
  </si>
  <si>
    <t>K-HETTICH ArciTech, vnitřní, bílý, 550/94/186, 80kg, SiSy</t>
  </si>
  <si>
    <t>354572</t>
  </si>
  <si>
    <t>K-HETTICH ArciTech, vnitřní, bílý, 550/94/218, 60kg, SiSy</t>
  </si>
  <si>
    <t>354578</t>
  </si>
  <si>
    <t>K-HETTICH ArciTech, vnitřní, bílý, 550/94/218, 80kg, SiSy</t>
  </si>
  <si>
    <t>354585</t>
  </si>
  <si>
    <t>K-HETTICH ArciTech, vnitřní, bílý, 650/126, 40kg, SiSy</t>
  </si>
  <si>
    <t>354591</t>
  </si>
  <si>
    <t>K-HETTICH ArciTech, vnitřní, bílý, 650/126, 60kg, SiSy</t>
  </si>
  <si>
    <t>354597</t>
  </si>
  <si>
    <t>K-HETTICH ArciTech, vnitřní, bílý, 650/126, 80kg, SiSy</t>
  </si>
  <si>
    <t>354586</t>
  </si>
  <si>
    <t>K-HETTICH ArciTech, vnitřní, bílý, 650/126/186, 40kg, SiSy</t>
  </si>
  <si>
    <t>354592</t>
  </si>
  <si>
    <t>K-HETTICH ArciTech, vnitřní, bílý, 650/126/186, 60kg, SiSy</t>
  </si>
  <si>
    <t>354598</t>
  </si>
  <si>
    <t>K-HETTICH ArciTech, vnitřní, bílý, 650/126/186, 80kg, SiSy</t>
  </si>
  <si>
    <t>354587</t>
  </si>
  <si>
    <t>K-HETTICH ArciTech, vnitřní, bílý, 650/126/218, 40kg, SiSy</t>
  </si>
  <si>
    <t>354593</t>
  </si>
  <si>
    <t>K-HETTICH ArciTech, vnitřní, bílý, 650/126/218, 60kg, SiSy</t>
  </si>
  <si>
    <t>354599</t>
  </si>
  <si>
    <t>K-HETTICH ArciTech, vnitřní, bílý, 650/126/218, 80kg, SiSy</t>
  </si>
  <si>
    <t>354582</t>
  </si>
  <si>
    <t>K-HETTICH ArciTech, vnitřní, bílý, 650/94, 40kg, SiSy</t>
  </si>
  <si>
    <t>354588</t>
  </si>
  <si>
    <t>K-HETTICH ArciTech, vnitřní, bílý, 650/94, 60kg, SiSy</t>
  </si>
  <si>
    <t>354594</t>
  </si>
  <si>
    <t>K-HETTICH ArciTech, vnitřní, bílý, 650/94, 80kg, SiSy</t>
  </si>
  <si>
    <t>354583</t>
  </si>
  <si>
    <t>K-HETTICH ArciTech, vnitřní, bílý, 650/94/186, 40kg, SiSy</t>
  </si>
  <si>
    <t>354589</t>
  </si>
  <si>
    <t>K-HETTICH ArciTech, vnitřní, bílý, 650/94/186, 60kg, SiSy</t>
  </si>
  <si>
    <t>354595</t>
  </si>
  <si>
    <t>K-HETTICH ArciTech, vnitřní, bílý, 650/94/186, 80kg, SiSy</t>
  </si>
  <si>
    <t>354584</t>
  </si>
  <si>
    <t>K-HETTICH ArciTech, vnitřní, bílý, 650/94/218, 40kg, SiSy</t>
  </si>
  <si>
    <t>354590</t>
  </si>
  <si>
    <t>K-HETTICH ArciTech, vnitřní, bílý, 650/94/218, 60kg, SiSy</t>
  </si>
  <si>
    <t>354596</t>
  </si>
  <si>
    <t>K-HETTICH ArciTech, vnitřní, bílý, 650/94/218, 80kg, SiSy</t>
  </si>
  <si>
    <t>355064</t>
  </si>
  <si>
    <t>K-HETTICH ArciTech, vnitřní, stříbrný, 270/126, 10kg, SiSy</t>
  </si>
  <si>
    <t>355065</t>
  </si>
  <si>
    <t>K-HETTICH ArciTech, vnitřní, stříbrný, 270/126, 40kg, SiSy</t>
  </si>
  <si>
    <t>355066</t>
  </si>
  <si>
    <t>K-HETTICH ArciTech, vnitřní, stříbrný, 270/126/186, 40kg, SiSy</t>
  </si>
  <si>
    <t>355067</t>
  </si>
  <si>
    <t>K-HETTICH ArciTech, vnitřní, stříbrný, 270/126/218, 40kg, SiSy</t>
  </si>
  <si>
    <t>355060</t>
  </si>
  <si>
    <t>K-HETTICH ArciTech, vnitřní, stříbrný, 270/94, 10kg, SiSy</t>
  </si>
  <si>
    <t>355061</t>
  </si>
  <si>
    <t>K-HETTICH ArciTech, vnitřní, stříbrný, 270/94, 40kg, SiSy</t>
  </si>
  <si>
    <t>355062</t>
  </si>
  <si>
    <t>K-HETTICH ArciTech, vnitřní, stříbrný, 270/94/186, 40kg, SiSy</t>
  </si>
  <si>
    <t>355063</t>
  </si>
  <si>
    <t>K-HETTICH ArciTech, vnitřní, stříbrný, 270/94/218, 40kg, SiSy</t>
  </si>
  <si>
    <t>355072</t>
  </si>
  <si>
    <t>K-HETTICH ArciTech, vnitřní, stříbrný, 300/126, 10kg, SiSy</t>
  </si>
  <si>
    <t>355073</t>
  </si>
  <si>
    <t>K-HETTICH ArciTech, vnitřní, stříbrný, 300/126, 40kg, SiSy</t>
  </si>
  <si>
    <t>355074</t>
  </si>
  <si>
    <t>K-HETTICH ArciTech, vnitřní, stříbrný, 300/126/186, 40kg, SiSy</t>
  </si>
  <si>
    <t>355075</t>
  </si>
  <si>
    <t>K-HETTICH ArciTech, vnitřní, stříbrný, 300/126/218, 40kg, SiSy</t>
  </si>
  <si>
    <t>355068</t>
  </si>
  <si>
    <t>K-HETTICH ArciTech, vnitřní, stříbrný, 300/94, 10kg, SiSy</t>
  </si>
  <si>
    <t>355069</t>
  </si>
  <si>
    <t>K-HETTICH Arcitech, vnitřní, stříbrný, 300/94, 40kg, SiSy</t>
  </si>
  <si>
    <t>355070</t>
  </si>
  <si>
    <t>K-HETTICH Arcitech, vnitřní, stříbrný, 300/94/186, 40kg, SiSy</t>
  </si>
  <si>
    <t>355071</t>
  </si>
  <si>
    <t>K-HETTICH Arcitech, vnitřní, stříbrný, 300/94/218, 40kg, SiSy</t>
  </si>
  <si>
    <t>355080</t>
  </si>
  <si>
    <t>K-HETTICH ArciTech, vnitřní, stříbrný, 350/126, 10kg, SiSy</t>
  </si>
  <si>
    <t>355081</t>
  </si>
  <si>
    <t>K-HETTICH ArciTech, vnitřní, stříbrný, 350/126, 40kg, SiSy</t>
  </si>
  <si>
    <t>355082</t>
  </si>
  <si>
    <t>K-HETTICH ArciTech, vnitřní, stříbrný, 350/126/186, 40kg, SiSy</t>
  </si>
  <si>
    <t>355083</t>
  </si>
  <si>
    <t>K-HETTICH ArciTech, vnitřní, stříbrný, 350/126/218, 40kg, SiSy</t>
  </si>
  <si>
    <t>355076</t>
  </si>
  <si>
    <t>K-HETTICH ArciTech, vnitřní, stříbrný, 350/94, 10kg, SiSy</t>
  </si>
  <si>
    <t>355077</t>
  </si>
  <si>
    <t>K-HETTICH Arcitech, vnitřní, stříbrný, 350/94, 40kg, SiSy</t>
  </si>
  <si>
    <t>355078</t>
  </si>
  <si>
    <t>K-HETTICH Arcitech, vnitřní, stříbrný, 350/94/186, 40kg, SiSy</t>
  </si>
  <si>
    <t>355079</t>
  </si>
  <si>
    <t>K-HETTICH Arcitech, vnitřní, stříbrný, 350/94/218, 40kg, SiSy</t>
  </si>
  <si>
    <t>355087</t>
  </si>
  <si>
    <t>K-HETTICH ArciTech, vnitřní, stříbrný, 400/126, 40kg, SiSy</t>
  </si>
  <si>
    <t>355093</t>
  </si>
  <si>
    <t>K-HETTICH ArciTech, vnitřní, stříbrný, 400/126, 60kg, SiSy</t>
  </si>
  <si>
    <t>355088</t>
  </si>
  <si>
    <t>K-HETTICH ArciTech, vnitřní, stříbrný, 400/126/186, 40kg, SiSy</t>
  </si>
  <si>
    <t>355094</t>
  </si>
  <si>
    <t>K-HETTICH ArciTech, vnitřní, stříbrný, 400/126/186, 60kg, SiSy</t>
  </si>
  <si>
    <t>355089</t>
  </si>
  <si>
    <t>K-HETTICH ArciTech, vnitřní, stříbrný, 400/126/218, 40kg, SiSy</t>
  </si>
  <si>
    <t>355095</t>
  </si>
  <si>
    <t>K-HETTICH ArciTech, vnitřní, stříbrný, 400/126/218, 60kg, SiSy</t>
  </si>
  <si>
    <t>355084</t>
  </si>
  <si>
    <t>K-HETTICH Arcitech, vnitřní, stříbrný, 400/94, 40kg, SiSy</t>
  </si>
  <si>
    <t>355090</t>
  </si>
  <si>
    <t>K-HETTICH ArciTech, vnitřní, stříbrný, 400/94, 60kg, SiSy</t>
  </si>
  <si>
    <t>355085</t>
  </si>
  <si>
    <t>K-HETTICH Arcitech, vnitřní, stříbrný, 400/94/186, 40kg, SiSy</t>
  </si>
  <si>
    <t>355091</t>
  </si>
  <si>
    <t>K-HETTICH ArciTech, vnitřní, stříbrný, 400/94/186, 60kg, SiSy</t>
  </si>
  <si>
    <t>355086</t>
  </si>
  <si>
    <t>K-HETTICH Arcitech, vnitřní, stříbrný, 400/94/218, 40kg, SiSy</t>
  </si>
  <si>
    <t>355092</t>
  </si>
  <si>
    <t>K-HETTICH ArciTech, vnitřní, stříbrný, 400/94/218, 60kg, SiSy</t>
  </si>
  <si>
    <t>355099</t>
  </si>
  <si>
    <t>K-HETTICH ArciTech, vnitřní, stříbrný, 450/126, 40kg, SiSy</t>
  </si>
  <si>
    <t>355105</t>
  </si>
  <si>
    <t>K-HETTICH ArciTech, vnitřní, stříbrný, 450/126, 60kg, SiSy</t>
  </si>
  <si>
    <t>355100</t>
  </si>
  <si>
    <t>K-HETTICH ArciTech, vnitřní, stříbrný, 450/126/186, 40kg, SiSy</t>
  </si>
  <si>
    <t>355106</t>
  </si>
  <si>
    <t>K-HETTICH ArciTech, vnitřní, stříbrný, 450/126/186, 60kg, SiSy</t>
  </si>
  <si>
    <t>355101</t>
  </si>
  <si>
    <t>K-HETTICH ArciTech, vnitřní, stříbrný, 450/126/218, 40kg, SiSy</t>
  </si>
  <si>
    <t>355107</t>
  </si>
  <si>
    <t>K-HETTICH ArciTech, vnitřní, stříbrný, 450/126/218, 60kg, SiSy</t>
  </si>
  <si>
    <t>355096</t>
  </si>
  <si>
    <t>K-HETTICH Arcitech, vnitřní, stříbrný, 450/94, 40kg, SiSy</t>
  </si>
  <si>
    <t>355102</t>
  </si>
  <si>
    <t>K-HETTICH ArciTech, vnitřní, stříbrný, 450/94, 60kg, SiSy</t>
  </si>
  <si>
    <t>355097</t>
  </si>
  <si>
    <t>K-HETTICH Arcitech, vnitřní, stříbrný, 450/94/186, 40kg, SiSy</t>
  </si>
  <si>
    <t>355103</t>
  </si>
  <si>
    <t>K-HETTICH ArciTech, vnitřní, stříbrný, 450/94/186, 60kg, SiSy</t>
  </si>
  <si>
    <t>355098</t>
  </si>
  <si>
    <t>K-HETTICH Arcitech, vnitřní, stříbrný, 450/94/218, 40kg, SiSy</t>
  </si>
  <si>
    <t>355104</t>
  </si>
  <si>
    <t>K-HETTICH ArciTech, vnitřní, stříbrný, 450/94/218, 60kg, SiSy</t>
  </si>
  <si>
    <t>355111</t>
  </si>
  <si>
    <t>K-HETTICH ArciTech, vnitřní, stříbrný, 500/126, 40kg, SiSy</t>
  </si>
  <si>
    <t>355117</t>
  </si>
  <si>
    <t>K-HETTICH ArciTech, vnitřní, stříbrný, 500/126, 60kg, SiSy</t>
  </si>
  <si>
    <t>355123</t>
  </si>
  <si>
    <t>K-HETTICH ArciTech, vnitřní, stříbrný, 500/126, 80kg, SiSy</t>
  </si>
  <si>
    <t>355112</t>
  </si>
  <si>
    <t>K-HETTICH ArciTech, vnitřní, stříbrný, 500/126/186, 40kg, SiSy</t>
  </si>
  <si>
    <t>355118</t>
  </si>
  <si>
    <t>K-HETTICH ArciTech, vnitřní, stříbrný, 500/126/186, 60kg, SiSy</t>
  </si>
  <si>
    <t>355124</t>
  </si>
  <si>
    <t>K-HETTICH ArciTech, vnitřní, stříbrný, 500/126/186, 80kg, SiSy</t>
  </si>
  <si>
    <t>355113</t>
  </si>
  <si>
    <t>K-HETTICH ArciTech, vnitřní, stříbrný, 500/126/218, 40kg, SiSy</t>
  </si>
  <si>
    <t>355119</t>
  </si>
  <si>
    <t>K-HETTICH ArciTech, vnitřní, stříbrný, 500/126/218, 60kg, SiSy</t>
  </si>
  <si>
    <t>355125</t>
  </si>
  <si>
    <t>K-HETTICH ArciTech, vnitřní, stříbrný, 500/126/218, 80kg, SiSy</t>
  </si>
  <si>
    <t>355108</t>
  </si>
  <si>
    <t>K-HETTICH Arcitech, vnitřní, stříbrný, 500/94, 40kg, SiSy</t>
  </si>
  <si>
    <t>355114</t>
  </si>
  <si>
    <t>K-HETTICH Arcitech, vnitřní, stříbrný, 500/94, 60kg, SiSy</t>
  </si>
  <si>
    <t>355120</t>
  </si>
  <si>
    <t>K-HETTICH ArciTech, vnitřní, stříbrný, 500/94, 80kg, SiSy</t>
  </si>
  <si>
    <t>355109</t>
  </si>
  <si>
    <t>K-HETTICH Arcitech, vnitřní, stříbrný, 500/94/186, 40kg, SiSy</t>
  </si>
  <si>
    <t>355115</t>
  </si>
  <si>
    <t>K-HETTICH Arcitech, vnitřní, stříbrný, 500/94/186, 60kg, SiSy</t>
  </si>
  <si>
    <t>355121</t>
  </si>
  <si>
    <t>K-HETTICH ArciTech, vnitřní, stříbrný, 500/94/186, 80kg, SiSy</t>
  </si>
  <si>
    <t>355110</t>
  </si>
  <si>
    <t>K-HETTICH Arcitech, vnitřní, stříbrný, 500/94/218, 40kg, SiSy</t>
  </si>
  <si>
    <t>355116</t>
  </si>
  <si>
    <t>K-HETTICH Arcitech, vnitřní, stříbrný, 500/94/218, 60kg, SiSy</t>
  </si>
  <si>
    <t>355122</t>
  </si>
  <si>
    <t>K-HETTICH ArciTech, vnitřní, stříbrný, 500/94/218, 80kg, SiSy</t>
  </si>
  <si>
    <t>355129</t>
  </si>
  <si>
    <t>K-HETTICH ArciTech, vnitřní, stříbrný, 550/126, 40kg, SiSy</t>
  </si>
  <si>
    <t>355135</t>
  </si>
  <si>
    <t>K-HETTICH ArciTech, vnitřní, stříbrný, 550/126, 60kg, SiSy</t>
  </si>
  <si>
    <t>355141</t>
  </si>
  <si>
    <t>K-HETTICH ArciTech, vnitřní, stříbrný, 550/126, 80kg, SiSy</t>
  </si>
  <si>
    <t>355130</t>
  </si>
  <si>
    <t>K-HETTICH ArciTech, vnitřní, stříbrný, 550/126/186, 40kg, SiSy</t>
  </si>
  <si>
    <t>355136</t>
  </si>
  <si>
    <t>K-HETTICH ArciTech, vnitřní, stříbrný, 550/126/186, 60kg, SiSy</t>
  </si>
  <si>
    <t>355142</t>
  </si>
  <si>
    <t>K-HETTICH ArciTech, vnitřní, stříbrný, 550/126/186, 80kg, SiSy</t>
  </si>
  <si>
    <t>355131</t>
  </si>
  <si>
    <t>K-HETTICH ArciTech, vnitřní, stříbrný, 550/126/218, 40kg, SiSy</t>
  </si>
  <si>
    <t>355137</t>
  </si>
  <si>
    <t>K-HETTICH ArciTech, vnitřní, stříbrný, 550/126/218, 60kg, SiSy</t>
  </si>
  <si>
    <t>355143</t>
  </si>
  <si>
    <t>K-HETTICH ArciTech, vnitřní, stříbrný, 550/126/218, 80kg, SiSy</t>
  </si>
  <si>
    <t>355126</t>
  </si>
  <si>
    <t>K-HETTICH Arcitech, vnitřní, stříbrný, 550/94, 40kg, SiSy</t>
  </si>
  <si>
    <t>355132</t>
  </si>
  <si>
    <t>K-HETTICH ArciTech, vnitřní, stříbrný, 550/94, 60kg, SiSy</t>
  </si>
  <si>
    <t>355138</t>
  </si>
  <si>
    <t>K-HETTICH ArciTech, vnitřní, stříbrný, 550/94, 80kg, SiSy</t>
  </si>
  <si>
    <t>355127</t>
  </si>
  <si>
    <t>K-HETTICH Arcitech, vnitřní, stříbrný, 550/94/186, 40kg, SiSy</t>
  </si>
  <si>
    <t>355133</t>
  </si>
  <si>
    <t>K-HETTICH ArciTech, vnitřní, stříbrný, 550/94/186, 60kg, SiSy</t>
  </si>
  <si>
    <t>355139</t>
  </si>
  <si>
    <t>K-HETTICH ArciTech, vnitřní, stříbrný, 550/94/186, 80kg, SiSy</t>
  </si>
  <si>
    <t>355128</t>
  </si>
  <si>
    <t>K-HETTICH Arcitech, vnitřní, stříbrný, 550/94/218, 40kg, SiSy</t>
  </si>
  <si>
    <t>355134</t>
  </si>
  <si>
    <t>K-HETTICH ArciTech, vnitřní, stříbrný, 550/94/218, 60kg, SiSy</t>
  </si>
  <si>
    <t>355140</t>
  </si>
  <si>
    <t>K-HETTICH ArciTech, vnitřní, stříbrný, 550/94/218, 80kg, SiSy</t>
  </si>
  <si>
    <t>355147</t>
  </si>
  <si>
    <t>K-HETTICH ArciTech, vnitřní, stříbrný, 650/126, 40kg, SiSy</t>
  </si>
  <si>
    <t>355153</t>
  </si>
  <si>
    <t>K-HETTICH ArciTech, vnitřní, stříbrný, 650/126, 60kg, SiSy</t>
  </si>
  <si>
    <t>355159</t>
  </si>
  <si>
    <t>K-HETTICH ArciTech, vnitřní, stříbrný, 650/126, 80kg, SiSy</t>
  </si>
  <si>
    <t>355148</t>
  </si>
  <si>
    <t>K-HETTICH ArciTech, vnitřní, stříbrný, 650/126/186, 40kg, SiSy</t>
  </si>
  <si>
    <t>355154</t>
  </si>
  <si>
    <t>K-HETTICH ArciTech, vnitřní, stříbrný, 650/126/186, 60kg, SiSy</t>
  </si>
  <si>
    <t>355160</t>
  </si>
  <si>
    <t>K-HETTICH ArciTech, vnitřní, stříbrný, 650/126/186, 80kg, SiSy</t>
  </si>
  <si>
    <t>355149</t>
  </si>
  <si>
    <t>K-HETTICH ArciTech, vnitřní, stříbrný, 650/126/218, 40kg, SiSy</t>
  </si>
  <si>
    <t>355155</t>
  </si>
  <si>
    <t>K-HETTICH ArciTech, vnitřní, stříbrný, 650/126/218, 60kg, SiSy</t>
  </si>
  <si>
    <t>355161</t>
  </si>
  <si>
    <t>K-HETTICH ArciTech, vnitřní, stříbrný, 650/126/218, 80kg, SiSy</t>
  </si>
  <si>
    <t>355144</t>
  </si>
  <si>
    <t>K-HETTICH ArciTech, vnitřní, stříbrný, 650/94, 40kg, SiSy</t>
  </si>
  <si>
    <t>355150</t>
  </si>
  <si>
    <t>K-HETTICH ArciTech, vnitřní, stříbrný, 650/94, 60kg, SiSy</t>
  </si>
  <si>
    <t>355156</t>
  </si>
  <si>
    <t>K-HETTICH ArciTech, vnitřní, stříbrný, 650/94, 80kg, SiSy</t>
  </si>
  <si>
    <t>355145</t>
  </si>
  <si>
    <t>K-HETTICH ArciTech, vnitřní, stříbrný, 650/94/186, 40kg, SiSy</t>
  </si>
  <si>
    <t>355151</t>
  </si>
  <si>
    <t>K-HETTICH ArciTech, vnitřní, stříbrný, 650/94/186, 60kg, SiSy</t>
  </si>
  <si>
    <t>355157</t>
  </si>
  <si>
    <t>K-HETTICH ArciTech, vnitřní, stříbrný, 650/94/186, 80kg, SiSy</t>
  </si>
  <si>
    <t>355146</t>
  </si>
  <si>
    <t>K-HETTICH ArciTech, vnitřní, stříbrný, 650/94/218, 40kg, SiSy</t>
  </si>
  <si>
    <t>355152</t>
  </si>
  <si>
    <t>K-HETTICH ArciTech, vnitřní, stříbrný, 650/94/218, 60kg, SiSy</t>
  </si>
  <si>
    <t>355158</t>
  </si>
  <si>
    <t>K-HETTICH ArciTech, vnitřní, stříbrný, 650/94/218, 80kg, SiSy</t>
  </si>
  <si>
    <t>454405</t>
  </si>
  <si>
    <t>K-HETTICH Atira 470/70 antracit + příborník OrgaTray 590 600 antracit</t>
  </si>
  <si>
    <t>454406</t>
  </si>
  <si>
    <t>K-HETTICH Atira 470/70 antracit + příborník OrgaTray 590 800 antracit</t>
  </si>
  <si>
    <t>454407</t>
  </si>
  <si>
    <t>K-HETTICH Atira 470/70 antracit + příborník OrgaTray 590 900 antracit</t>
  </si>
  <si>
    <t>454402</t>
  </si>
  <si>
    <t>K-HETTICH Atira 470/70 bílá + příborník OrgaTray 590 600 bílá</t>
  </si>
  <si>
    <t>454403</t>
  </si>
  <si>
    <t>K-HETTICH Atira 470/70 bílá + příborník OrgaTray 590 800 bílá</t>
  </si>
  <si>
    <t>454404</t>
  </si>
  <si>
    <t>K-HETTICH Atira 470/70 bílá + příborník OrgaTray 590 900 bílá</t>
  </si>
  <si>
    <t>454399</t>
  </si>
  <si>
    <t>K-HETTICH Atira 470/70 stříbrná + příborník OrgaTray 590 600 stříbrná</t>
  </si>
  <si>
    <t>454400</t>
  </si>
  <si>
    <t>K-HETTICH Atira 470/70 stříbrná + příborník OrgaTray 590 800 stříbrná</t>
  </si>
  <si>
    <t>454401</t>
  </si>
  <si>
    <t>K-HETTICH Atira 470/70 stříbrná + příborník OrgaTray 590 900 stříbrná</t>
  </si>
  <si>
    <t>514207</t>
  </si>
  <si>
    <t>K-HETTICH Atira 8x70 + 10x144 bílá + 1x Bosch GSR 120-Li</t>
  </si>
  <si>
    <t>514947</t>
  </si>
  <si>
    <t>514134</t>
  </si>
  <si>
    <t>K-HETTICH Atira 8x70 + 10x144 stříbrná + 1x Bosch GSR 120-Li</t>
  </si>
  <si>
    <t>510787</t>
  </si>
  <si>
    <t>K-HETTICH Atira 8x70 + 10x176 antracit + 100x nohy AP001 + 40x příchyty soklů</t>
  </si>
  <si>
    <t>510409</t>
  </si>
  <si>
    <t>K-HETTICH Atira 8x70 + 10x176 antracit + 1x Bosch GSR 120-Li</t>
  </si>
  <si>
    <t>510786</t>
  </si>
  <si>
    <t>K-HETTICH Atira 8x70 + 10x176 bílá + 100x nohy AP001 + 40x příchyty soklů</t>
  </si>
  <si>
    <t>510408</t>
  </si>
  <si>
    <t>K-HETTICH Atira 8x70 + 10x176 bílá + 1x Bosch GSR 120-Li</t>
  </si>
  <si>
    <t>514946</t>
  </si>
  <si>
    <t>510785</t>
  </si>
  <si>
    <t>K-HETTICH Atira 8x70 + 10x176 stříbrná + 100x nohy AP001 + 40x příchyty soklů</t>
  </si>
  <si>
    <t>510407</t>
  </si>
  <si>
    <t>K-HETTICH Atira 8x70 + 10x176 stříbrná + 1x Bosch GSR 120-Li</t>
  </si>
  <si>
    <t>341615</t>
  </si>
  <si>
    <t>K-HETTICH Atira bočnice 70, 420mm, hmoždinka, pár, antracit</t>
  </si>
  <si>
    <t>341600</t>
  </si>
  <si>
    <t>K-HETTICH Atira bočnice 70, 420mm, hmoždinka, pár, bílá</t>
  </si>
  <si>
    <t>360248</t>
  </si>
  <si>
    <t>K-HETTICH Atira horní reling, 260mm, pár, hmoždinka, antracit</t>
  </si>
  <si>
    <t>360241</t>
  </si>
  <si>
    <t>K-HETTICH Atira horní reling, 260mm, pár, hmoždinka, bílá</t>
  </si>
  <si>
    <t>360249</t>
  </si>
  <si>
    <t>K-HETTICH Atira horní reling, 300mm, pár, hmoždinka, antracit</t>
  </si>
  <si>
    <t>360242</t>
  </si>
  <si>
    <t>K-HETTICH Atira horní reling, 300mm, pár, hmoždinka, bílá</t>
  </si>
  <si>
    <t>360256</t>
  </si>
  <si>
    <t>K-HETTICH Atira horní reling, 300mm, pár, hmoždinka, stříbrná</t>
  </si>
  <si>
    <t>360250</t>
  </si>
  <si>
    <t>K-HETTICH Atira horní reling, 350mm, pár, hmoždinka, antracit</t>
  </si>
  <si>
    <t>360243</t>
  </si>
  <si>
    <t>K-HETTICH Atira horní reling, 350mm, pár, hmoždinka, bílá</t>
  </si>
  <si>
    <t>360257</t>
  </si>
  <si>
    <t>K-HETTICH Atira horní reling, 350mm, pár, hmoždinka, stříbrná</t>
  </si>
  <si>
    <t>360251</t>
  </si>
  <si>
    <t>K-HETTICH Atira horní reling, 420mm, pár, hmoždinka, antracit</t>
  </si>
  <si>
    <t>360244</t>
  </si>
  <si>
    <t>K-HETTICH Atira horní reling, 420mm, pár, hmoždinka, bílá</t>
  </si>
  <si>
    <t>360258</t>
  </si>
  <si>
    <t>K-HETTICH Atira horní reling, 420mm, pár, hmoždinka, stříbrná</t>
  </si>
  <si>
    <t>360252</t>
  </si>
  <si>
    <t>K-HETTICH Atira horní reling, 470mm, pár, hmoždinka, antracit</t>
  </si>
  <si>
    <t>360245</t>
  </si>
  <si>
    <t>K-HETTICH Atira horní reling, 470mm, pár, hmoždinka, bílá</t>
  </si>
  <si>
    <t>360259</t>
  </si>
  <si>
    <t>K-HETTICH Atira horní reling, 470mm, pár, hmoždinka, stříbrná</t>
  </si>
  <si>
    <t>360253</t>
  </si>
  <si>
    <t>K-HETTICH Atira horní reling, 520mm, pár, hmoždinka, antracit</t>
  </si>
  <si>
    <t>360246</t>
  </si>
  <si>
    <t>K-HETTICH Atira horní reling, 520mm, pár, hmoždinka, bílá</t>
  </si>
  <si>
    <t>360260</t>
  </si>
  <si>
    <t>K-HETTICH Atira horní reling, 520mm, pár, hmoždinka, stříbrná</t>
  </si>
  <si>
    <t>360254</t>
  </si>
  <si>
    <t>K-HETTICH Atira horní reling, 620mm, pár, hmoždinka, antracit</t>
  </si>
  <si>
    <t>360247</t>
  </si>
  <si>
    <t>K-HETTICH Atira horní reling, 620mm, pár, hmoždinka, bílá</t>
  </si>
  <si>
    <t>360261</t>
  </si>
  <si>
    <t>K-HETTICH Atira horní reling, 620mm, pár, hmoždinka, stříbrná</t>
  </si>
  <si>
    <t>360266</t>
  </si>
  <si>
    <t>K-HETTICH Atira středový reling, 470mm, pár, hmoždinka, antracit</t>
  </si>
  <si>
    <t>360264</t>
  </si>
  <si>
    <t>K-HETTICH Atira středový reling, 470mm, pár, hmoždinka, bílá</t>
  </si>
  <si>
    <t>360268</t>
  </si>
  <si>
    <t>K-HETTICH Atira středový reling, 470mm, pár, hmoždinka, stříbrná</t>
  </si>
  <si>
    <t>360267</t>
  </si>
  <si>
    <t>K-HETTICH Atira středový reling, 520mm, pár, hmoždinka, antracit</t>
  </si>
  <si>
    <t>360265</t>
  </si>
  <si>
    <t>K-HETTICH Atira středový reling, 520mm, pár, hmoždinka, bílá</t>
  </si>
  <si>
    <t>360269</t>
  </si>
  <si>
    <t>K-HETTICH Atira středový reling, 520mm, pár, hmoždinka, stříbrná</t>
  </si>
  <si>
    <t>358063</t>
  </si>
  <si>
    <t>K-HETTICH Atira vnitřní zásuvka 144, 350mm/10kg, relingy, antracit, PTOs</t>
  </si>
  <si>
    <t>357872</t>
  </si>
  <si>
    <t>K-HETTICH Atira vnitřní zásuvka 144, 350mm/10kg, relingy, bílá, PTOs</t>
  </si>
  <si>
    <t>358251</t>
  </si>
  <si>
    <t>K-HETTICH Atira vnitřní zásuvka 144, 350mm/10kg, relingy, stříbrná, PTOs</t>
  </si>
  <si>
    <t>358054</t>
  </si>
  <si>
    <t>K-HETTICH Atira vnitřní zásuvka 144, 350mm/30kg, relingy, antracit, PTO</t>
  </si>
  <si>
    <t>358064</t>
  </si>
  <si>
    <t>K-HETTICH Atira vnitřní zásuvka 144, 350mm/30kg, relingy, antracit, PTOs</t>
  </si>
  <si>
    <t>358045</t>
  </si>
  <si>
    <t>K-HETTICH Atira vnitřní zásuvka 144, 350mm/30kg, relingy, antracit, SiSy</t>
  </si>
  <si>
    <t>357863</t>
  </si>
  <si>
    <t>K-HETTICH Atira vnitřní zásuvka 144, 350mm/30kg, relingy, bílá, PTO</t>
  </si>
  <si>
    <t>357873</t>
  </si>
  <si>
    <t>K-HETTICH Atira vnitřní zásuvka 144, 350mm/30kg, relingy, bílá, PTOs</t>
  </si>
  <si>
    <t>357854</t>
  </si>
  <si>
    <t>K-HETTICH Atira vnitřní zásuvka 144, 350mm/30kg, relingy, bílá, SiSy</t>
  </si>
  <si>
    <t>358242</t>
  </si>
  <si>
    <t>K-HETTICH Atira vnitřní zásuvka 144, 350mm/30kg, relingy, stříbrná, PTO</t>
  </si>
  <si>
    <t>358252</t>
  </si>
  <si>
    <t>K-HETTICH Atira vnitřní zásuvka 144, 350mm/30kg, relingy, stříbrná, PTOs</t>
  </si>
  <si>
    <t>358233</t>
  </si>
  <si>
    <t>K-HETTICH Atira vnitřní zásuvka 144, 350mm/30kg, relingy, stříbrná, SiSy</t>
  </si>
  <si>
    <t>358058</t>
  </si>
  <si>
    <t>K-HETTICH Atira vnitřní zásuvka 144, 350mm/50kg, relingy, antracit, PTO</t>
  </si>
  <si>
    <t>358068</t>
  </si>
  <si>
    <t>K-HETTICH Atira vnitřní zásuvka 144, 350mm/50kg, relingy, antracit, PTOs</t>
  </si>
  <si>
    <t>358049</t>
  </si>
  <si>
    <t>K-HETTICH Atira vnitřní zásuvka 144, 350mm/50kg, relingy, antracit, SiSy</t>
  </si>
  <si>
    <t>357867</t>
  </si>
  <si>
    <t>K-HETTICH Atira vnitřní zásuvka 144, 350mm/50kg, relingy, bílá, PTO</t>
  </si>
  <si>
    <t>357877</t>
  </si>
  <si>
    <t>K-HETTICH Atira vnitřní zásuvka 144, 350mm/50kg, relingy, bílá, PTOs</t>
  </si>
  <si>
    <t>357858</t>
  </si>
  <si>
    <t>K-HETTICH Atira vnitřní zásuvka 144, 350mm/50kg, relingy, bílá, SiSy</t>
  </si>
  <si>
    <t>358246</t>
  </si>
  <si>
    <t>K-HETTICH Atira vnitřní zásuvka 144, 350mm/50kg, relingy, stříbrná, PTO</t>
  </si>
  <si>
    <t>358256</t>
  </si>
  <si>
    <t>K-HETTICH Atira vnitřní zásuvka 144, 350mm/50kg, relingy, stříbrná, PTOs</t>
  </si>
  <si>
    <t>358237</t>
  </si>
  <si>
    <t>K-HETTICH Atira vnitřní zásuvka 144, 350mm/50kg, relingy, stříbrná, SiSy</t>
  </si>
  <si>
    <t>358055</t>
  </si>
  <si>
    <t>K-HETTICH Atira vnitřní zásuvka 144, 420mm/30kg, relingy, antracit, PTO</t>
  </si>
  <si>
    <t>358065</t>
  </si>
  <si>
    <t>K-HETTICH Atira vnitřní zásuvka 144, 420mm/30kg, relingy, antracit, PTOs</t>
  </si>
  <si>
    <t>358046</t>
  </si>
  <si>
    <t>K-HETTICH Atira vnitřní zásuvka 144, 420mm/30kg, relingy, antracit, SiSy</t>
  </si>
  <si>
    <t>357864</t>
  </si>
  <si>
    <t>K-HETTICH Atira vnitřní zásuvka 144, 420mm/30kg, relingy, bílá, PTO</t>
  </si>
  <si>
    <t>357874</t>
  </si>
  <si>
    <t>K-HETTICH Atira vnitřní zásuvka 144, 420mm/30kg, relingy, bílá, PTOs</t>
  </si>
  <si>
    <t>357855</t>
  </si>
  <si>
    <t>K-HETTICH Atira vnitřní zásuvka 144, 420mm/30kg, relingy, bílá, SiSy</t>
  </si>
  <si>
    <t>358243</t>
  </si>
  <si>
    <t>K-HETTICH Atira vnitřní zásuvka 144, 420mm/30kg, relingy, stříbrná, PTO</t>
  </si>
  <si>
    <t>358253</t>
  </si>
  <si>
    <t>K-HETTICH Atira vnitřní zásuvka 144, 420mm/30kg, relingy, stříbrná, PTOs</t>
  </si>
  <si>
    <t>358234</t>
  </si>
  <si>
    <t>K-HETTICH Atira vnitřní zásuvka 144, 420mm/30kg, relingy, stříbrná, SiSy</t>
  </si>
  <si>
    <t>358059</t>
  </si>
  <si>
    <t>K-HETTICH Atira vnitřní zásuvka 144, 420mm/50kg, relingy, antracit, PTO</t>
  </si>
  <si>
    <t>358069</t>
  </si>
  <si>
    <t>K-HETTICH Atira vnitřní zásuvka 144, 420mm/50kg, relingy, antracit, PTOs</t>
  </si>
  <si>
    <t>358050</t>
  </si>
  <si>
    <t>K-HETTICH Atira vnitřní zásuvka 144, 420mm/50kg, relingy, antracit, SiSy</t>
  </si>
  <si>
    <t>357868</t>
  </si>
  <si>
    <t>K-HETTICH Atira vnitřní zásuvka 144, 420mm/50kg, relingy, bílá, PTO</t>
  </si>
  <si>
    <t>357878</t>
  </si>
  <si>
    <t>K-HETTICH Atira vnitřní zásuvka 144, 420mm/50kg, relingy, bílá, PTOs</t>
  </si>
  <si>
    <t>357859</t>
  </si>
  <si>
    <t>K-HETTICH Atira vnitřní zásuvka 144, 420mm/50kg, relingy, bílá, SiSy</t>
  </si>
  <si>
    <t>358247</t>
  </si>
  <si>
    <t>K-HETTICH Atira vnitřní zásuvka 144, 420mm/50kg, relingy, stříbrná, PTO</t>
  </si>
  <si>
    <t>358257</t>
  </si>
  <si>
    <t>K-HETTICH Atira vnitřní zásuvka 144, 420mm/50kg, relingy, stříbrná, PTOs</t>
  </si>
  <si>
    <t>358238</t>
  </si>
  <si>
    <t>K-HETTICH Atira vnitřní zásuvka 144, 420mm/50kg, relingy, stříbrná, SiSy</t>
  </si>
  <si>
    <t>358056</t>
  </si>
  <si>
    <t>K-HETTICH Atira vnitřní zásuvka 144, 470mm/30kg, relingy, antracit, PTO</t>
  </si>
  <si>
    <t>358066</t>
  </si>
  <si>
    <t>K-HETTICH Atira vnitřní zásuvka 144, 470mm/30kg, relingy, antracit, PTOs</t>
  </si>
  <si>
    <t>358047</t>
  </si>
  <si>
    <t>K-HETTICH Atira vnitřní zásuvka 144, 470mm/30kg, relingy, antracit, SiSy</t>
  </si>
  <si>
    <t>357865</t>
  </si>
  <si>
    <t>K-HETTICH Atira vnitřní zásuvka 144, 470mm/30kg, relingy, bílá, PTO</t>
  </si>
  <si>
    <t>357875</t>
  </si>
  <si>
    <t>K-HETTICH Atira vnitřní zásuvka 144, 470mm/30kg, relingy, bílá, PTOs</t>
  </si>
  <si>
    <t>357856</t>
  </si>
  <si>
    <t>K-HETTICH Atira vnitřní zásuvka 144, 470mm/30kg, relingy, bílá, SiSy</t>
  </si>
  <si>
    <t>358244</t>
  </si>
  <si>
    <t>K-HETTICH Atira vnitřní zásuvka 144, 470mm/30kg, relingy, stříbrná, PTO</t>
  </si>
  <si>
    <t>358254</t>
  </si>
  <si>
    <t>K-HETTICH Atira vnitřní zásuvka 144, 470mm/30kg, relingy, stříbrná, PTOs</t>
  </si>
  <si>
    <t>358235</t>
  </si>
  <si>
    <t>K-HETTICH Atira vnitřní zásuvka 144, 470mm/30kg, relingy, stříbrná, SiSy</t>
  </si>
  <si>
    <t>358060</t>
  </si>
  <si>
    <t>K-HETTICH Atira vnitřní zásuvka 144, 470mm/50kg, relingy, antracit, PTO</t>
  </si>
  <si>
    <t>358070</t>
  </si>
  <si>
    <t>K-HETTICH Atira vnitřní zásuvka 144, 470mm/50kg, relingy, antracit, PTOs</t>
  </si>
  <si>
    <t>358051</t>
  </si>
  <si>
    <t>K-HETTICH Atira vnitřní zásuvka 144, 470mm/50kg, relingy, antracit, SiSy</t>
  </si>
  <si>
    <t>357869</t>
  </si>
  <si>
    <t>K-HETTICH Atira vnitřní zásuvka 144, 470mm/50kg, relingy, bílá, PTO</t>
  </si>
  <si>
    <t>357879</t>
  </si>
  <si>
    <t>K-HETTICH Atira vnitřní zásuvka 144, 470mm/50kg, relingy, bílá, PTOs</t>
  </si>
  <si>
    <t>357860</t>
  </si>
  <si>
    <t>K-HETTICH Atira vnitřní zásuvka 144, 470mm/50kg, relingy, bílá, SiSy</t>
  </si>
  <si>
    <t>358248</t>
  </si>
  <si>
    <t>K-HETTICH Atira vnitřní zásuvka 144, 470mm/50kg, relingy, stříbrná, PTO</t>
  </si>
  <si>
    <t>358258</t>
  </si>
  <si>
    <t>K-HETTICH Atira vnitřní zásuvka 144, 470mm/50kg, relingy, stříbrná, PTOs</t>
  </si>
  <si>
    <t>358239</t>
  </si>
  <si>
    <t>K-HETTICH Atira vnitřní zásuvka 144, 470mm/50kg, relingy, stříbrná, SiSy</t>
  </si>
  <si>
    <t>358057</t>
  </si>
  <si>
    <t>K-HETTICH Atira vnitřní zásuvka 144, 520mm/30kg, relingy, antracit, PTO</t>
  </si>
  <si>
    <t>358067</t>
  </si>
  <si>
    <t>K-HETTICH Atira vnitřní zásuvka 144, 520mm/30kg, relingy, antracit, PTOs</t>
  </si>
  <si>
    <t>358048</t>
  </si>
  <si>
    <t>K-HETTICH Atira vnitřní zásuvka 144, 520mm/30kg, relingy, antracit, SiSy</t>
  </si>
  <si>
    <t>357866</t>
  </si>
  <si>
    <t>K-HETTICH Atira vnitřní zásuvka 144, 520mm/30kg, relingy, bílá, PTO</t>
  </si>
  <si>
    <t>357876</t>
  </si>
  <si>
    <t>K-HETTICH Atira vnitřní zásuvka 144, 520mm/30kg, relingy, bílá, PTOs</t>
  </si>
  <si>
    <t>357857</t>
  </si>
  <si>
    <t>K-HETTICH Atira vnitřní zásuvka 144, 520mm/30kg, relingy, bílá, SiSy</t>
  </si>
  <si>
    <t>358245</t>
  </si>
  <si>
    <t>K-HETTICH Atira vnitřní zásuvka 144, 520mm/30kg, relingy, stříbrná, PTO</t>
  </si>
  <si>
    <t>358255</t>
  </si>
  <si>
    <t>K-HETTICH Atira vnitřní zásuvka 144, 520mm/30kg, relingy, stříbrná, PTOs</t>
  </si>
  <si>
    <t>358236</t>
  </si>
  <si>
    <t>K-HETTICH Atira vnitřní zásuvka 144, 520mm/30kg, relingy, stříbrná, SiSy</t>
  </si>
  <si>
    <t>358061</t>
  </si>
  <si>
    <t>K-HETTICH Atira vnitřní zásuvka 144, 520mm/50kg, relingy, antracit, PTO</t>
  </si>
  <si>
    <t>358071</t>
  </si>
  <si>
    <t>K-HETTICH Atira vnitřní zásuvka 144, 520mm/50kg, relingy, antracit, PTOs</t>
  </si>
  <si>
    <t>358052</t>
  </si>
  <si>
    <t>K-HETTICH Atira vnitřní zásuvka 144, 520mm/50kg, relingy, antracit, SiSy</t>
  </si>
  <si>
    <t>357870</t>
  </si>
  <si>
    <t>K-HETTICH Atira vnitřní zásuvka 144, 520mm/50kg, relingy, bílá, PTO</t>
  </si>
  <si>
    <t>357880</t>
  </si>
  <si>
    <t>K-HETTICH Atira vnitřní zásuvka 144, 520mm/50kg, relingy, bílá, PTOs</t>
  </si>
  <si>
    <t>357861</t>
  </si>
  <si>
    <t>K-HETTICH Atira vnitřní zásuvka 144, 520mm/50kg, relingy, bílá, SiSy</t>
  </si>
  <si>
    <t>358249</t>
  </si>
  <si>
    <t>K-HETTICH Atira vnitřní zásuvka 144, 520mm/50kg, relingy, stříbrná, PTO</t>
  </si>
  <si>
    <t>358259</t>
  </si>
  <si>
    <t>K-HETTICH Atira vnitřní zásuvka 144, 520mm/50kg, relingy, stříbrná, PTOs</t>
  </si>
  <si>
    <t>358240</t>
  </si>
  <si>
    <t>K-HETTICH Atira vnitřní zásuvka 144, 520mm/50kg, relingy, stříbrná, SiSy</t>
  </si>
  <si>
    <t>358062</t>
  </si>
  <si>
    <t>K-HETTICH Atira vnitřní zásuvka 144, 620mm/50kg, relingy, antracit, PTO</t>
  </si>
  <si>
    <t>358072</t>
  </si>
  <si>
    <t>K-HETTICH Atira vnitřní zásuvka 144, 620mm/50kg, relingy, antracit, PTOs</t>
  </si>
  <si>
    <t>358053</t>
  </si>
  <si>
    <t>K-HETTICH Atira vnitřní zásuvka 144, 620mm/50kg, relingy, antracit, SiSy</t>
  </si>
  <si>
    <t>357871</t>
  </si>
  <si>
    <t>K-HETTICH Atira vnitřní zásuvka 144, 620mm/50kg, relingy, bílá, PTO</t>
  </si>
  <si>
    <t>357881</t>
  </si>
  <si>
    <t>K-HETTICH Atira vnitřní zásuvka 144, 620mm/50kg, relingy, bílá, PTOs</t>
  </si>
  <si>
    <t>357862</t>
  </si>
  <si>
    <t>K-HETTICH Atira vnitřní zásuvka 144, 620mm/50kg, relingy, bílá, SiSy</t>
  </si>
  <si>
    <t>358250</t>
  </si>
  <si>
    <t>K-HETTICH Atira vnitřní zásuvka 144, 620mm/50kg, relingy, stříbrná, PTO</t>
  </si>
  <si>
    <t>358260</t>
  </si>
  <si>
    <t>K-HETTICH Atira vnitřní zásuvka 144, 620mm/50kg, relingy, stříbrná, PTOs</t>
  </si>
  <si>
    <t>358241</t>
  </si>
  <si>
    <t>K-HETTICH Atira vnitřní zásuvka 144, 620mm/50kg, relingy, stříbrná, SiSy</t>
  </si>
  <si>
    <t>358030</t>
  </si>
  <si>
    <t>K-HETTICH Atira vnitřní zásuvka 70, 260mm/10kg, antracit, PTOs</t>
  </si>
  <si>
    <t>357839</t>
  </si>
  <si>
    <t>K-HETTICH Atira vnitřní zásuvka 70, 260mm/10kg, bílá, PTOs</t>
  </si>
  <si>
    <t>358218</t>
  </si>
  <si>
    <t>K-HETTICH Atira vnitřní zásuvka 70, 260mm/10kg, stříbrná, PTOs</t>
  </si>
  <si>
    <t>358018</t>
  </si>
  <si>
    <t>K-HETTICH Atira vnitřní zásuvka 70, 260mm/30kg, antracit, PTO</t>
  </si>
  <si>
    <t>358033</t>
  </si>
  <si>
    <t>K-HETTICH Atira vnitřní zásuvka 70, 260mm/30kg, antracit, PTOs</t>
  </si>
  <si>
    <t>358006</t>
  </si>
  <si>
    <t>K-HETTICH Atira vnitřní zásuvka 70, 260mm/30kg, antracit, SiSy</t>
  </si>
  <si>
    <t>357827</t>
  </si>
  <si>
    <t>K-HETTICH Atira vnitřní zásuvka 70, 260mm/30kg, bílá, PTO</t>
  </si>
  <si>
    <t>357842</t>
  </si>
  <si>
    <t>K-HETTICH Atira vnitřní zásuvka 70, 260mm/30kg, bílá, PTOs</t>
  </si>
  <si>
    <t>357815</t>
  </si>
  <si>
    <t>K-HETTICH Atira vnitřní zásuvka 70, 260mm/30kg, bílá, SiSy</t>
  </si>
  <si>
    <t>358206</t>
  </si>
  <si>
    <t>K-HETTICH Atira vnitřní zásuvka 70, 260mm/30kg, stříbrná, PTO</t>
  </si>
  <si>
    <t>358221</t>
  </si>
  <si>
    <t>K-HETTICH Atira vnitřní zásuvka 70, 260mm/30kg, stříbrná, PTOs</t>
  </si>
  <si>
    <t>358194</t>
  </si>
  <si>
    <t>K-HETTICH Atira vnitřní zásuvka 70, 260mm/30kg, stříbrná, SiSy</t>
  </si>
  <si>
    <t>358031</t>
  </si>
  <si>
    <t>K-HETTICH Atira vnitřní zásuvka 70, 300mm/10kg, antracit, PTOs</t>
  </si>
  <si>
    <t>357840</t>
  </si>
  <si>
    <t>K-HETTICH Atira vnitřní zásuvka 70, 300mm/10kg, bílá, PTOs</t>
  </si>
  <si>
    <t>358219</t>
  </si>
  <si>
    <t>K-HETTICH Atira vnitřní zásuvka 70, 300mm/10kg, stříbrná, PTOs</t>
  </si>
  <si>
    <t>358019</t>
  </si>
  <si>
    <t>K-HETTICH Atira vnitřní zásuvka 70, 300mm/30kg, antracit, PTO</t>
  </si>
  <si>
    <t>358034</t>
  </si>
  <si>
    <t>K-HETTICH Atira vnitřní zásuvka 70, 300mm/30kg, antracit, PTOs</t>
  </si>
  <si>
    <t>358007</t>
  </si>
  <si>
    <t>K-HETTICH Atira vnitřní zásuvka 70, 300mm/30kg, antracit, SiSy</t>
  </si>
  <si>
    <t>357828</t>
  </si>
  <si>
    <t>K-HETTICH Atira vnitřní zásuvka 70, 300mm/30kg, bílá, PTO</t>
  </si>
  <si>
    <t>357843</t>
  </si>
  <si>
    <t>K-HETTICH Atira vnitřní zásuvka 70, 300mm/30kg, bílá, PTOs</t>
  </si>
  <si>
    <t>357816</t>
  </si>
  <si>
    <t>K-HETTICH Atira vnitřní zásuvka 70, 300mm/30kg, bílá, SiSy</t>
  </si>
  <si>
    <t>358207</t>
  </si>
  <si>
    <t>K-HETTICH Atira vnitřní zásuvka 70, 300mm/30kg, stříbrná, PTO</t>
  </si>
  <si>
    <t>358222</t>
  </si>
  <si>
    <t>K-HETTICH Atira vnitřní zásuvka 70, 300mm/30kg, stříbrná, PTOs</t>
  </si>
  <si>
    <t>358195</t>
  </si>
  <si>
    <t>K-HETTICH Atira vnitřní zásuvka 70, 300mm/30kg, stříbrná, SiSy</t>
  </si>
  <si>
    <t>358024</t>
  </si>
  <si>
    <t>K-HETTICH Atira vnitřní zásuvka 70, 300mm/50kg, antracit, PTO</t>
  </si>
  <si>
    <t>358039</t>
  </si>
  <si>
    <t>K-HETTICH Atira vnitřní zásuvka 70, 300mm/50kg, antracit, PTOs</t>
  </si>
  <si>
    <t>358012</t>
  </si>
  <si>
    <t>K-HETTICH Atira vnitřní zásuvka 70, 300mm/50kg, antracit, SiSy</t>
  </si>
  <si>
    <t>357833</t>
  </si>
  <si>
    <t>K-HETTICH Atira vnitřní zásuvka 70, 300mm/50kg, bílá, PTO</t>
  </si>
  <si>
    <t>357848</t>
  </si>
  <si>
    <t>K-HETTICH Atira vnitřní zásuvka 70, 300mm/50kg, bílá, PTOs</t>
  </si>
  <si>
    <t>357821</t>
  </si>
  <si>
    <t>K-HETTICH Atira vnitřní zásuvka 70, 300mm/50kg, bílá, SiSy</t>
  </si>
  <si>
    <t>358212</t>
  </si>
  <si>
    <t>K-HETTICH Atira vnitřní zásuvka 70, 300mm/50kg, stříbrná, PTO</t>
  </si>
  <si>
    <t>358227</t>
  </si>
  <si>
    <t>K-HETTICH Atira vnitřní zásuvka 70, 300mm/50kg, stříbrná, PTOs</t>
  </si>
  <si>
    <t>358200</t>
  </si>
  <si>
    <t>K-HETTICH Atira vnitřní zásuvka 70, 300mm/50kg, stříbrná, SiSy</t>
  </si>
  <si>
    <t>358032</t>
  </si>
  <si>
    <t>K-HETTICH Atira vnitřní zásuvka 70, 350mm/10kg, antracit, PTOs</t>
  </si>
  <si>
    <t>357841</t>
  </si>
  <si>
    <t>K-HETTICH Atira vnitřní zásuvka 70, 350mm/10kg, bílá, PTOs</t>
  </si>
  <si>
    <t>358220</t>
  </si>
  <si>
    <t>K-HETTICH Atira vnitřní zásuvka 70, 350mm/10kg, stříbrná, PTOs</t>
  </si>
  <si>
    <t>358020</t>
  </si>
  <si>
    <t>K-HETTICH Atira vnitřní zásuvka 70, 350mm/30kg, antracit, PTO</t>
  </si>
  <si>
    <t>358035</t>
  </si>
  <si>
    <t>K-HETTICH Atira vnitřní zásuvka 70, 350mm/30kg, antracit, PTOs</t>
  </si>
  <si>
    <t>358008</t>
  </si>
  <si>
    <t>K-HETTICH Atira vnitřní zásuvka 70, 350mm/30kg, antracit, SiSy</t>
  </si>
  <si>
    <t>357829</t>
  </si>
  <si>
    <t>K-HETTICH Atira vnitřní zásuvka 70, 350mm/30kg, bílá, PTO</t>
  </si>
  <si>
    <t>357844</t>
  </si>
  <si>
    <t>K-HETTICH Atira vnitřní zásuvka 70, 350mm/30kg, bílá, PTOs</t>
  </si>
  <si>
    <t>357817</t>
  </si>
  <si>
    <t>K-HETTICH Atira vnitřní zásuvka 70, 350mm/30kg, bílá, SiSy</t>
  </si>
  <si>
    <t>358208</t>
  </si>
  <si>
    <t>K-HETTICH Atira vnitřní zásuvka 70, 350mm/30kg, stříbrná, PTO</t>
  </si>
  <si>
    <t>358223</t>
  </si>
  <si>
    <t>K-HETTICH Atira vnitřní zásuvka 70, 350mm/30kg, stříbrná, PTOs</t>
  </si>
  <si>
    <t>358196</t>
  </si>
  <si>
    <t>K-HETTICH Atira vnitřní zásuvka 70, 350mm/30kg, stříbrná, SiSy</t>
  </si>
  <si>
    <t>358025</t>
  </si>
  <si>
    <t>K-HETTICH Atira vnitřní zásuvka 70, 350mm/50kg, antracit, PTO</t>
  </si>
  <si>
    <t>358040</t>
  </si>
  <si>
    <t>K-HETTICH Atira vnitřní zásuvka 70, 350mm/50kg, antracit, PTOs</t>
  </si>
  <si>
    <t>358013</t>
  </si>
  <si>
    <t>K-HETTICH Atira vnitřní zásuvka 70, 350mm/50kg, antracit, SiSy</t>
  </si>
  <si>
    <t>357834</t>
  </si>
  <si>
    <t>K-HETTICH Atira vnitřní zásuvka 70, 350mm/50kg, bílá, PTO</t>
  </si>
  <si>
    <t>357849</t>
  </si>
  <si>
    <t>K-HETTICH Atira vnitřní zásuvka 70, 350mm/50kg, bílá, PTOs</t>
  </si>
  <si>
    <t>357822</t>
  </si>
  <si>
    <t>K-HETTICH Atira vnitřní zásuvka 70, 350mm/50kg, bílá, SiSy</t>
  </si>
  <si>
    <t>358213</t>
  </si>
  <si>
    <t>K-HETTICH Atira vnitřní zásuvka 70, 350mm/50kg, stříbrná, PTO</t>
  </si>
  <si>
    <t>358228</t>
  </si>
  <si>
    <t>K-HETTICH Atira vnitřní zásuvka 70, 350mm/50kg, stříbrná, PTOs</t>
  </si>
  <si>
    <t>358201</t>
  </si>
  <si>
    <t>K-HETTICH Atira vnitřní zásuvka 70, 350mm/50kg, stříbrná, SiSy</t>
  </si>
  <si>
    <t>358021</t>
  </si>
  <si>
    <t>K-HETTICH Atira vnitřní zásuvka 70, 420mm/30kg, antracit, PTO</t>
  </si>
  <si>
    <t>358036</t>
  </si>
  <si>
    <t>K-HETTICH Atira vnitřní zásuvka 70, 420mm/30kg, antracit, PTOs</t>
  </si>
  <si>
    <t>358009</t>
  </si>
  <si>
    <t>K-HETTICH Atira vnitřní zásuvka 70, 420mm/30kg, antracit, SiSy</t>
  </si>
  <si>
    <t>357830</t>
  </si>
  <si>
    <t>K-HETTICH Atira vnitřní zásuvka 70, 420mm/30kg, bílá, PTO</t>
  </si>
  <si>
    <t>357845</t>
  </si>
  <si>
    <t>K-HETTICH Atira vnitřní zásuvka 70, 420mm/30kg, bílá, PTOs</t>
  </si>
  <si>
    <t>357818</t>
  </si>
  <si>
    <t>K-HETTICH Atira vnitřní zásuvka 70, 420mm/30kg, bílá, SiSy</t>
  </si>
  <si>
    <t>358209</t>
  </si>
  <si>
    <t>K-HETTICH Atira vnitřní zásuvka 70, 420mm/30kg, stříbrná, PTO</t>
  </si>
  <si>
    <t>358224</t>
  </si>
  <si>
    <t>K-HETTICH Atira vnitřní zásuvka 70, 420mm/30kg, stříbrná, PTOs</t>
  </si>
  <si>
    <t>358197</t>
  </si>
  <si>
    <t>K-HETTICH Atira vnitřní zásuvka 70, 420mm/30kg, stříbrná, SiSy</t>
  </si>
  <si>
    <t>358026</t>
  </si>
  <si>
    <t>K-HETTICH Atira vnitřní zásuvka 70, 420mm/50kg, antracit, PTO</t>
  </si>
  <si>
    <t>358041</t>
  </si>
  <si>
    <t>K-HETTICH Atira vnitřní zásuvka 70, 420mm/50kg, antracit, PTOs</t>
  </si>
  <si>
    <t>358014</t>
  </si>
  <si>
    <t>K-HETTICH Atira vnitřní zásuvka 70, 420mm/50kg, antracit, SiSy</t>
  </si>
  <si>
    <t>357835</t>
  </si>
  <si>
    <t>K-HETTICH Atira vnitřní zásuvka 70, 420mm/50kg, bílá, PTO</t>
  </si>
  <si>
    <t>357850</t>
  </si>
  <si>
    <t>K-HETTICH Atira vnitřní zásuvka 70, 420mm/50kg, bílá, PTOs</t>
  </si>
  <si>
    <t>357823</t>
  </si>
  <si>
    <t>K-HETTICH Atira vnitřní zásuvka 70, 420mm/50kg, bílá, SiSy</t>
  </si>
  <si>
    <t>358214</t>
  </si>
  <si>
    <t>K-HETTICH Atira vnitřní zásuvka 70, 420mm/50kg, stříbrná, PTO</t>
  </si>
  <si>
    <t>358229</t>
  </si>
  <si>
    <t>K-HETTICH Atira vnitřní zásuvka 70, 420mm/50kg, stříbrná, PTOs</t>
  </si>
  <si>
    <t>358202</t>
  </si>
  <si>
    <t>K-HETTICH Atira vnitřní zásuvka 70, 420mm/50kg, stříbrná, SiSy</t>
  </si>
  <si>
    <t>358022</t>
  </si>
  <si>
    <t>K-HETTICH Atira vnitřní zásuvka 70, 470mm/30kg, antracit, PTO</t>
  </si>
  <si>
    <t>358037</t>
  </si>
  <si>
    <t>K-HETTICH Atira vnitřní zásuvka 70, 470mm/30kg, antracit, PTOs</t>
  </si>
  <si>
    <t>358010</t>
  </si>
  <si>
    <t>K-HETTICH Atira vnitřní zásuvka 70, 470mm/30kg, antracit, SiSy</t>
  </si>
  <si>
    <t>357831</t>
  </si>
  <si>
    <t>K-HETTICH Atira vnitřní zásuvka 70, 470mm/30kg, bílá, PTO</t>
  </si>
  <si>
    <t>357846</t>
  </si>
  <si>
    <t>K-HETTICH Atira vnitřní zásuvka 70, 470mm/30kg, bílá, PTOs</t>
  </si>
  <si>
    <t>357819</t>
  </si>
  <si>
    <t>K-HETTICH Atira vnitřní zásuvka 70, 470mm/30kg, bílá, SiSy</t>
  </si>
  <si>
    <t>358210</t>
  </si>
  <si>
    <t>K-HETTICH Atira vnitřní zásuvka 70, 470mm/30kg, stříbrná, PTO</t>
  </si>
  <si>
    <t>358225</t>
  </si>
  <si>
    <t>K-HETTICH Atira vnitřní zásuvka 70, 470mm/30kg, stříbrná, PTOs</t>
  </si>
  <si>
    <t>358198</t>
  </si>
  <si>
    <t>K-HETTICH Atira vnitřní zásuvka 70, 470mm/30kg, stříbrná, SiSy</t>
  </si>
  <si>
    <t>358027</t>
  </si>
  <si>
    <t>K-HETTICH Atira vnitřní zásuvka 70, 470mm/50kg, antracit, PTO</t>
  </si>
  <si>
    <t>358042</t>
  </si>
  <si>
    <t>K-HETTICH Atira vnitřní zásuvka 70, 470mm/50kg, antracit, PTOs</t>
  </si>
  <si>
    <t>358015</t>
  </si>
  <si>
    <t>K-HETTICH Atira vnitřní zásuvka 70, 470mm/50kg, antracit, SiSy</t>
  </si>
  <si>
    <t>357836</t>
  </si>
  <si>
    <t>K-HETTICH Atira vnitřní zásuvka 70, 470mm/50kg, bílá, PTO</t>
  </si>
  <si>
    <t>357851</t>
  </si>
  <si>
    <t>K-HETTICH Atira vnitřní zásuvka 70, 470mm/50kg, bílá, PTOs</t>
  </si>
  <si>
    <t>357824</t>
  </si>
  <si>
    <t>K-HETTICH Atira vnitřní zásuvka 70, 470mm/50kg, bílá, SiSy</t>
  </si>
  <si>
    <t>358215</t>
  </si>
  <si>
    <t>K-HETTICH Atira vnitřní zásuvka 70, 470mm/50kg, stříbrná, PTO</t>
  </si>
  <si>
    <t>358230</t>
  </si>
  <si>
    <t>K-HETTICH Atira vnitřní zásuvka 70, 470mm/50kg, stříbrná, PTOs</t>
  </si>
  <si>
    <t>358203</t>
  </si>
  <si>
    <t>K-HETTICH Atira vnitřní zásuvka 70, 470mm/50kg, stříbrná, SiSy</t>
  </si>
  <si>
    <t>358023</t>
  </si>
  <si>
    <t>K-HETTICH Atira vnitřní zásuvka 70, 520mm/30kg, antracit, PTO</t>
  </si>
  <si>
    <t>358038</t>
  </si>
  <si>
    <t>K-HETTICH Atira vnitřní zásuvka 70, 520mm/30kg, antracit, PTOs</t>
  </si>
  <si>
    <t>358011</t>
  </si>
  <si>
    <t>K-HETTICH Atira vnitřní zásuvka 70, 520mm/30kg, antracit, SiSy</t>
  </si>
  <si>
    <t>357832</t>
  </si>
  <si>
    <t>K-HETTICH Atira vnitřní zásuvka 70, 520mm/30kg, bílá, PTO</t>
  </si>
  <si>
    <t>357847</t>
  </si>
  <si>
    <t>K-HETTICH Atira vnitřní zásuvka 70, 520mm/30kg, bílá, PTOs</t>
  </si>
  <si>
    <t>357820</t>
  </si>
  <si>
    <t>K-HETTICH Atira vnitřní zásuvka 70, 520mm/30kg, bílá, SiSy</t>
  </si>
  <si>
    <t>358211</t>
  </si>
  <si>
    <t>K-HETTICH Atira vnitřní zásuvka 70, 520mm/30kg, stříbrná, PTO</t>
  </si>
  <si>
    <t>358226</t>
  </si>
  <si>
    <t>K-HETTICH Atira vnitřní zásuvka 70, 520mm/30kg, stříbrná, PTOs</t>
  </si>
  <si>
    <t>358199</t>
  </si>
  <si>
    <t>K-HETTICH Atira vnitřní zásuvka 70, 520mm/30kg, stříbrná, SiSy</t>
  </si>
  <si>
    <t>358028</t>
  </si>
  <si>
    <t>K-HETTICH Atira vnitřní zásuvka 70, 520mm/50kg, antracit, PTO</t>
  </si>
  <si>
    <t>358043</t>
  </si>
  <si>
    <t>K-HETTICH Atira vnitřní zásuvka 70, 520mm/50kg, antracit, PTOs</t>
  </si>
  <si>
    <t>358016</t>
  </si>
  <si>
    <t>K-HETTICH Atira vnitřní zásuvka 70, 520mm/50kg, antracit, SiSy</t>
  </si>
  <si>
    <t>357837</t>
  </si>
  <si>
    <t>K-HETTICH Atira vnitřní zásuvka 70, 520mm/50kg, bílá, PTO</t>
  </si>
  <si>
    <t>357852</t>
  </si>
  <si>
    <t>K-HETTICH Atira vnitřní zásuvka 70, 520mm/50kg, bílá, PTOs</t>
  </si>
  <si>
    <t>357825</t>
  </si>
  <si>
    <t>K-HETTICH Atira vnitřní zásuvka 70, 520mm/50kg, bílá, SiSy</t>
  </si>
  <si>
    <t>358216</t>
  </si>
  <si>
    <t>K-HETTICH Atira vnitřní zásuvka 70, 520mm/50kg, stříbrná, PTO</t>
  </si>
  <si>
    <t>358231</t>
  </si>
  <si>
    <t>K-HETTICH Atira vnitřní zásuvka 70, 520mm/50kg, stříbrná, PTOs</t>
  </si>
  <si>
    <t>358204</t>
  </si>
  <si>
    <t>K-HETTICH Atira vnitřní zásuvka 70, 520mm/50kg, stříbrná, SiSy</t>
  </si>
  <si>
    <t>358029</t>
  </si>
  <si>
    <t>K-HETTICH Atira vnitřní zásuvka 70, 620mm/50kg, antracit, PTO</t>
  </si>
  <si>
    <t>358044</t>
  </si>
  <si>
    <t>K-HETTICH Atira vnitřní zásuvka 70, 620mm/50kg, antracit, PTOs</t>
  </si>
  <si>
    <t>358017</t>
  </si>
  <si>
    <t>K-HETTICH Atira vnitřní zásuvka 70, 620mm/50kg, antracit, SiSy</t>
  </si>
  <si>
    <t>357838</t>
  </si>
  <si>
    <t>K-HETTICH Atira vnitřní zásuvka 70, 620mm/50kg, bílá, PTO</t>
  </si>
  <si>
    <t>357853</t>
  </si>
  <si>
    <t>K-HETTICH Atira vnitřní zásuvka 70, 620mm/50kg, bílá, PTOs</t>
  </si>
  <si>
    <t>357826</t>
  </si>
  <si>
    <t>K-HETTICH Atira vnitřní zásuvka 70, 620mm/50kg, bílá, SiSy</t>
  </si>
  <si>
    <t>358217</t>
  </si>
  <si>
    <t>K-HETTICH Atira vnitřní zásuvka 70, 620mm/50kg, stříbrná, PTO</t>
  </si>
  <si>
    <t>358232</t>
  </si>
  <si>
    <t>K-HETTICH Atira vnitřní zásuvka 70, 620mm/50kg, stříbrná, PTOs</t>
  </si>
  <si>
    <t>358205</t>
  </si>
  <si>
    <t>K-HETTICH Atira vnitřní zásuvka 70, 620mm/50kg, stříbrná, SiSy</t>
  </si>
  <si>
    <t>357950</t>
  </si>
  <si>
    <t>K-HETTICH Atira zásuvka 144, 260mm/10kg, relingy, antracit, PTOs</t>
  </si>
  <si>
    <t>357756</t>
  </si>
  <si>
    <t>K-HETTICH Atira zásuvka 144, 260mm/10kg, relingy, bílá, PTOs</t>
  </si>
  <si>
    <t>358139</t>
  </si>
  <si>
    <t>K-HETTICH Atira zásuvka 144, 260mm/10kg, relingy, stříbrná, PTOs</t>
  </si>
  <si>
    <t>357937</t>
  </si>
  <si>
    <t>K-HETTICH Atira zásuvka 144, 260mm/30kg, relingy, antracit, PTO</t>
  </si>
  <si>
    <t>357953</t>
  </si>
  <si>
    <t>K-HETTICH Atira zásuvka 144, 260mm/30kg, relingy, antracit, PTOs</t>
  </si>
  <si>
    <t>357924</t>
  </si>
  <si>
    <t>K-HETTICH Atira zásuvka 144, 260mm/30kg, relingy, antracit, SiSy</t>
  </si>
  <si>
    <t>357744</t>
  </si>
  <si>
    <t>K-HETTICH Atira zásuvka 144, 260mm/30kg, relingy, bílá, PTO</t>
  </si>
  <si>
    <t>357759</t>
  </si>
  <si>
    <t>K-HETTICH Atira zásuvka 144, 260mm/30kg, relingy, bílá, PTOs</t>
  </si>
  <si>
    <t>357732</t>
  </si>
  <si>
    <t>K-HETTICH Atira zásuvka 144, 260mm/30kg, relingy, bílá, SiSy</t>
  </si>
  <si>
    <t>358127</t>
  </si>
  <si>
    <t>K-HETTICH Atira zásuvka 144, 260mm/30kg, relingy, stříbrná, PTO</t>
  </si>
  <si>
    <t>358142</t>
  </si>
  <si>
    <t>K-HETTICH Atira zásuvka 144, 260mm/30kg, relingy, stříbrná, PTOs</t>
  </si>
  <si>
    <t>358115</t>
  </si>
  <si>
    <t>K-HETTICH Atira zásuvka 144, 260mm/30kg, relingy, stříbrná, SiSy</t>
  </si>
  <si>
    <t>357951</t>
  </si>
  <si>
    <t>K-HETTICH Atira zásuvka 144, 300mm/10kg, relingy, antracit, PTOs</t>
  </si>
  <si>
    <t>357757</t>
  </si>
  <si>
    <t>K-HETTICH Atira zásuvka 144, 300mm/10kg, relingy, bílá, PTOs</t>
  </si>
  <si>
    <t>358140</t>
  </si>
  <si>
    <t>K-HETTICH Atira zásuvka 144, 300mm/10kg, relingy, stříbrná, PTOs</t>
  </si>
  <si>
    <t>357938</t>
  </si>
  <si>
    <t>K-HETTICH Atira zásuvka 144, 300mm/30kg, relingy, antracit, PTO</t>
  </si>
  <si>
    <t>357954</t>
  </si>
  <si>
    <t>K-HETTICH Atira zásuvka 144, 300mm/30kg, relingy, antracit, PTOs</t>
  </si>
  <si>
    <t>357925</t>
  </si>
  <si>
    <t>K-HETTICH Atira zásuvka 144, 300mm/30kg, relingy, antracit, SiSy</t>
  </si>
  <si>
    <t>357745</t>
  </si>
  <si>
    <t>K-HETTICH Atira zásuvka 144, 300mm/30kg, relingy, bílá, PTO</t>
  </si>
  <si>
    <t>357760</t>
  </si>
  <si>
    <t>K-HETTICH Atira zásuvka 144, 300mm/30kg, relingy, bílá, PTOs</t>
  </si>
  <si>
    <t>357733</t>
  </si>
  <si>
    <t>K-HETTICH Atira zásuvka 144, 300mm/30kg, relingy, bílá, SiSy</t>
  </si>
  <si>
    <t>358128</t>
  </si>
  <si>
    <t>K-HETTICH Atira zásuvka 144, 300mm/30kg, relingy, stříbrná, PTO</t>
  </si>
  <si>
    <t>358143</t>
  </si>
  <si>
    <t>K-HETTICH Atira zásuvka 144, 300mm/30kg, relingy, stříbrná, PTOs</t>
  </si>
  <si>
    <t>358116</t>
  </si>
  <si>
    <t>K-HETTICH Atira zásuvka 144, 300mm/30kg, relingy, stříbrná, SiSy</t>
  </si>
  <si>
    <t>357943</t>
  </si>
  <si>
    <t>K-HETTICH Atira zásuvka 144, 300mm/50kg, relingy, antracit, PTO</t>
  </si>
  <si>
    <t>357960</t>
  </si>
  <si>
    <t>K-HETTICH Atira zásuvka 144, 300mm/50kg, relingy, antracit, PTOs</t>
  </si>
  <si>
    <t>357930</t>
  </si>
  <si>
    <t>K-HETTICH Atira zásuvka 144, 300mm/50kg, relingy, antracit, SiSy</t>
  </si>
  <si>
    <t>357750</t>
  </si>
  <si>
    <t>K-HETTICH Atira zásuvka 144, 300mm/50kg, relingy, bílá, PTO</t>
  </si>
  <si>
    <t>357765</t>
  </si>
  <si>
    <t>K-HETTICH Atira zásuvka 144, 300mm/50kg, relingy, bílá, PTOs</t>
  </si>
  <si>
    <t>357738</t>
  </si>
  <si>
    <t>K-HETTICH Atira zásuvka 144, 300mm/50kg, relingy, bílá, SiSy</t>
  </si>
  <si>
    <t>358133</t>
  </si>
  <si>
    <t>K-HETTICH Atira zásuvka 144, 300mm/50kg, relingy, stříbrná, PTO</t>
  </si>
  <si>
    <t>358148</t>
  </si>
  <si>
    <t>K-HETTICH Atira zásuvka 144, 300mm/50kg, relingy, stříbrná, PTOs</t>
  </si>
  <si>
    <t>358121</t>
  </si>
  <si>
    <t>K-HETTICH Atira zásuvka 144, 300mm/50kg, relingy, stříbrná, SiSy</t>
  </si>
  <si>
    <t>357952</t>
  </si>
  <si>
    <t>K-HETTICH Atira zásuvka 144, 350mm/10kg, relingy, antracit, PTOs</t>
  </si>
  <si>
    <t>357758</t>
  </si>
  <si>
    <t>K-HETTICH Atira zásuvka 144, 350mm/10kg, relingy, bílá, PTOs</t>
  </si>
  <si>
    <t>358141</t>
  </si>
  <si>
    <t>K-HETTICH Atira zásuvka 144, 350mm/10kg, relingy, stříbrná, PTOs</t>
  </si>
  <si>
    <t>357939</t>
  </si>
  <si>
    <t>K-HETTICH Atira zásuvka 144, 350mm/30kg, relingy, antracit, PTO</t>
  </si>
  <si>
    <t>357955</t>
  </si>
  <si>
    <t>K-HETTICH Atira zásuvka 144, 350mm/30kg, relingy, antracit, PTOs</t>
  </si>
  <si>
    <t>357926</t>
  </si>
  <si>
    <t>K-HETTICH Atira zásuvka 144, 350mm/30kg, relingy, antracit, SiSy</t>
  </si>
  <si>
    <t>357746</t>
  </si>
  <si>
    <t>K-HETTICH Atira zásuvka 144, 350mm/30kg, relingy, bílá, PTO</t>
  </si>
  <si>
    <t>357761</t>
  </si>
  <si>
    <t>K-HETTICH Atira zásuvka 144, 350mm/30kg, relingy, bílá, PTOs</t>
  </si>
  <si>
    <t>357734</t>
  </si>
  <si>
    <t>K-HETTICH Atira zásuvka 144, 350mm/30kg, relingy, bílá, SiSy</t>
  </si>
  <si>
    <t>358129</t>
  </si>
  <si>
    <t>K-HETTICH Atira zásuvka 144, 350mm/30kg, relingy, stříbrná, PTO</t>
  </si>
  <si>
    <t>358144</t>
  </si>
  <si>
    <t>K-HETTICH Atira zásuvka 144, 350mm/30kg, relingy, stříbrná, PTOs</t>
  </si>
  <si>
    <t>358117</t>
  </si>
  <si>
    <t>K-HETTICH Atira zásuvka 144, 350mm/30kg, relingy, stříbrná, SiSy</t>
  </si>
  <si>
    <t>357945</t>
  </si>
  <si>
    <t>K-HETTICH Atira zásuvka 144, 350mm/50kg, relingy, antracit, PTO</t>
  </si>
  <si>
    <t>357961</t>
  </si>
  <si>
    <t>K-HETTICH Atira zásuvka 144, 350mm/50kg, relingy, antracit, PTOs</t>
  </si>
  <si>
    <t>357931</t>
  </si>
  <si>
    <t>K-HETTICH Atira zásuvka 144, 350mm/50kg, relingy, antracit, SiSy</t>
  </si>
  <si>
    <t>357751</t>
  </si>
  <si>
    <t>K-HETTICH Atira zásuvka 144, 350mm/50kg, relingy, bílá, PTO</t>
  </si>
  <si>
    <t>357766</t>
  </si>
  <si>
    <t>K-HETTICH Atira zásuvka 144, 350mm/50kg, relingy, bílá, PTOs</t>
  </si>
  <si>
    <t>357739</t>
  </si>
  <si>
    <t>K-HETTICH Atira zásuvka 144, 350mm/50kg, relingy, bílá, SiSy</t>
  </si>
  <si>
    <t>358134</t>
  </si>
  <si>
    <t>K-HETTICH Atira zásuvka 144, 350mm/50kg, relingy, stříbrná, PTO</t>
  </si>
  <si>
    <t>358149</t>
  </si>
  <si>
    <t>K-HETTICH Atira zásuvka 144, 350mm/50kg, relingy, stříbrná, PTOs</t>
  </si>
  <si>
    <t>358122</t>
  </si>
  <si>
    <t>K-HETTICH Atira zásuvka 144, 350mm/50kg, relingy, stříbrná, SiSy</t>
  </si>
  <si>
    <t>357940</t>
  </si>
  <si>
    <t>K-HETTICH Atira zásuvka 144, 420mm/30kg, relingy, antracit, PTO</t>
  </si>
  <si>
    <t>357956</t>
  </si>
  <si>
    <t>K-HETTICH Atira zásuvka 144, 420mm/30kg, relingy, antracit, PTOs</t>
  </si>
  <si>
    <t>357927</t>
  </si>
  <si>
    <t>K-HETTICH Atira zásuvka 144, 420mm/30kg, relingy, antracit, SiSy</t>
  </si>
  <si>
    <t>357747</t>
  </si>
  <si>
    <t>K-HETTICH Atira zásuvka 144, 420mm/30kg, relingy, bílá, PTO</t>
  </si>
  <si>
    <t>357762</t>
  </si>
  <si>
    <t>K-HETTICH Atira zásuvka 144, 420mm/30kg, relingy, bílá, PTOs</t>
  </si>
  <si>
    <t>357735</t>
  </si>
  <si>
    <t>K-HETTICH Atira zásuvka 144, 420mm/30kg, relingy, bílá, SiSy</t>
  </si>
  <si>
    <t>358130</t>
  </si>
  <si>
    <t>K-HETTICH Atira zásuvka 144, 420mm/30kg, relingy, stříbrná, PTO</t>
  </si>
  <si>
    <t>358145</t>
  </si>
  <si>
    <t>K-HETTICH Atira zásuvka 144, 420mm/30kg, relingy, stříbrná, PTOs</t>
  </si>
  <si>
    <t>358118</t>
  </si>
  <si>
    <t>K-HETTICH Atira zásuvka 144, 420mm/30kg, relingy, stříbrná, SiSy</t>
  </si>
  <si>
    <t>357946</t>
  </si>
  <si>
    <t>K-HETTICH Atira zásuvka 144, 420mm/50kg, relingy, antracit, PTO</t>
  </si>
  <si>
    <t>357962</t>
  </si>
  <si>
    <t>K-HETTICH Atira zásuvka 144, 420mm/50kg, relingy, antracit, PTOs</t>
  </si>
  <si>
    <t>357932</t>
  </si>
  <si>
    <t>K-HETTICH Atira zásuvka 144, 420mm/50kg, relingy, antracit, SiSy</t>
  </si>
  <si>
    <t>357752</t>
  </si>
  <si>
    <t>K-HETTICH Atira zásuvka 144, 420mm/50kg, relingy, bílá, PTO</t>
  </si>
  <si>
    <t>357767</t>
  </si>
  <si>
    <t>K-HETTICH Atira zásuvka 144, 420mm/50kg, relingy, bílá, PTOs</t>
  </si>
  <si>
    <t>357740</t>
  </si>
  <si>
    <t>K-HETTICH Atira zásuvka 144, 420mm/50kg, relingy, bílá, SiSy</t>
  </si>
  <si>
    <t>358135</t>
  </si>
  <si>
    <t>K-HETTICH Atira zásuvka 144, 420mm/50kg, relingy, stříbrná, PTO</t>
  </si>
  <si>
    <t>358150</t>
  </si>
  <si>
    <t>K-HETTICH Atira zásuvka 144, 420mm/50kg, relingy, stříbrná, PTOs</t>
  </si>
  <si>
    <t>358123</t>
  </si>
  <si>
    <t>K-HETTICH Atira zásuvka 144, 420mm/50kg, relingy, stříbrná, SiSy</t>
  </si>
  <si>
    <t>357941</t>
  </si>
  <si>
    <t>K-HETTICH Atira zásuvka 144, 470mm/30kg, relingy, antracit, PTO</t>
  </si>
  <si>
    <t>357957</t>
  </si>
  <si>
    <t>K-HETTICH Atira zásuvka 144, 470mm/30kg, relingy, antracit, PTOs</t>
  </si>
  <si>
    <t>357928</t>
  </si>
  <si>
    <t>K-HETTICH Atira zásuvka 144, 470mm/30kg, relingy, antracit, SiSy</t>
  </si>
  <si>
    <t>357748</t>
  </si>
  <si>
    <t>K-HETTICH Atira zásuvka 144, 470mm/30kg, relingy, bílá, PTO</t>
  </si>
  <si>
    <t>357763</t>
  </si>
  <si>
    <t>K-HETTICH Atira zásuvka 144, 470mm/30kg, relingy, bílá, PTOs</t>
  </si>
  <si>
    <t>357736</t>
  </si>
  <si>
    <t>K-HETTICH Atira zásuvka 144, 470mm/30kg, relingy, bílá, SiSy</t>
  </si>
  <si>
    <t>358131</t>
  </si>
  <si>
    <t>K-HETTICH Atira zásuvka 144, 470mm/30kg, relingy, stříbrná, PTO</t>
  </si>
  <si>
    <t>358146</t>
  </si>
  <si>
    <t>K-HETTICH Atira zásuvka 144, 470mm/30kg, relingy, stříbrná, PTOs</t>
  </si>
  <si>
    <t>358119</t>
  </si>
  <si>
    <t>K-HETTICH Atira zásuvka 144, 470mm/30kg, relingy, stříbrná, SiSy</t>
  </si>
  <si>
    <t>357947</t>
  </si>
  <si>
    <t>K-HETTICH Atira zásuvka 144, 470mm/50kg, relingy, antracit, PTO</t>
  </si>
  <si>
    <t>357963</t>
  </si>
  <si>
    <t>K-HETTICH Atira zásuvka 144, 470mm/50kg, relingy, antracit, PTOs</t>
  </si>
  <si>
    <t>357933</t>
  </si>
  <si>
    <t>K-HETTICH Atira zásuvka 144, 470mm/50kg, relingy, antracit, SiSy</t>
  </si>
  <si>
    <t>357753</t>
  </si>
  <si>
    <t>K-HETTICH Atira zásuvka 144, 470mm/50kg, relingy, bílá, PTO</t>
  </si>
  <si>
    <t>357768</t>
  </si>
  <si>
    <t>K-HETTICH Atira zásuvka 144, 470mm/50kg, relingy, bílá, PTOs</t>
  </si>
  <si>
    <t>357741</t>
  </si>
  <si>
    <t>K-HETTICH Atira zásuvka 144, 470mm/50kg, relingy, bílá, SiSy</t>
  </si>
  <si>
    <t>358136</t>
  </si>
  <si>
    <t>K-HETTICH Atira zásuvka 144, 470mm/50kg, relingy, stříbrná, PTO</t>
  </si>
  <si>
    <t>358151</t>
  </si>
  <si>
    <t>K-HETTICH Atira zásuvka 144, 470mm/50kg, relingy, stříbrná, PTOs</t>
  </si>
  <si>
    <t>358124</t>
  </si>
  <si>
    <t>K-HETTICH Atira zásuvka 144, 470mm/50kg, relingy, stříbrná, SiSy</t>
  </si>
  <si>
    <t>357942</t>
  </si>
  <si>
    <t>K-HETTICH Atira zásuvka 144, 520mm/30kg, relingy, antracit, PTO</t>
  </si>
  <si>
    <t>357958</t>
  </si>
  <si>
    <t>K-HETTICH Atira zásuvka 144, 520mm/30kg, relingy, antracit, PTOs</t>
  </si>
  <si>
    <t>357929</t>
  </si>
  <si>
    <t>K-HETTICH Atira zásuvka 144, 520mm/30kg, relingy, antracit, SiSy</t>
  </si>
  <si>
    <t>357764</t>
  </si>
  <si>
    <t>K-HETTICH Atira zásuvka 144, 520mm/30kg, relingy, bílá, PTOs</t>
  </si>
  <si>
    <t>357737</t>
  </si>
  <si>
    <t>K-HETTICH Atira zásuvka 144, 520mm/30kg, relingy, bílá, SiSy</t>
  </si>
  <si>
    <t>358132</t>
  </si>
  <si>
    <t>K-HETTICH Atira zásuvka 144, 520mm/30kg, relingy, stříbrná, PTO</t>
  </si>
  <si>
    <t>358147</t>
  </si>
  <si>
    <t>K-HETTICH Atira zásuvka 144, 520mm/30kg, relingy, stříbrná, PTOs</t>
  </si>
  <si>
    <t>358120</t>
  </si>
  <si>
    <t>K-HETTICH Atira zásuvka 144, 520mm/30kg, relingy, stříbrná, SiSy</t>
  </si>
  <si>
    <t>357948</t>
  </si>
  <si>
    <t>K-HETTICH Atira zásuvka 144, 520mm/50kg, relingy, antracit, PTO</t>
  </si>
  <si>
    <t>357964</t>
  </si>
  <si>
    <t>K-HETTICH Atira zásuvka 144, 520mm/50kg, relingy, antracit, PTOs</t>
  </si>
  <si>
    <t>357934</t>
  </si>
  <si>
    <t>K-HETTICH Atira zásuvka 144, 520mm/50kg, relingy, antracit, SiSy</t>
  </si>
  <si>
    <t>357754</t>
  </si>
  <si>
    <t>K-HETTICH Atira zásuvka 144, 520mm/50kg, relingy, bílá, PTO</t>
  </si>
  <si>
    <t>357769</t>
  </si>
  <si>
    <t>K-HETTICH Atira zásuvka 144, 520mm/50kg, relingy, bílá, PTOs</t>
  </si>
  <si>
    <t>357742</t>
  </si>
  <si>
    <t>K-HETTICH Atira zásuvka 144, 520mm/50kg, relingy, bílá, SiSy</t>
  </si>
  <si>
    <t>358137</t>
  </si>
  <si>
    <t>K-HETTICH Atira zásuvka 144, 520mm/50kg, relingy, stříbrná, PTO</t>
  </si>
  <si>
    <t>358152</t>
  </si>
  <si>
    <t>K-HETTICH Atira zásuvka 144, 520mm/50kg, relingy, stříbrná, PTOs</t>
  </si>
  <si>
    <t>358125</t>
  </si>
  <si>
    <t>K-HETTICH Atira zásuvka 144, 520mm/50kg, relingy, stříbrná, SiSy</t>
  </si>
  <si>
    <t>357949</t>
  </si>
  <si>
    <t>K-HETTICH Atira zásuvka 144, 620mm/50kg, relingy, antracit, PTO</t>
  </si>
  <si>
    <t>357965</t>
  </si>
  <si>
    <t>K-HETTICH Atira zásuvka 144, 620mm/50kg, relingy, antracit, PTOs</t>
  </si>
  <si>
    <t>357936</t>
  </si>
  <si>
    <t>K-HETTICH Atira zásuvka 144, 620mm/50kg, relingy, antracit, SiSy</t>
  </si>
  <si>
    <t>357755</t>
  </si>
  <si>
    <t>K-HETTICH Atira zásuvka 144, 620mm/50kg, relingy, bílá, PTO</t>
  </si>
  <si>
    <t>357770</t>
  </si>
  <si>
    <t>K-HETTICH Atira zásuvka 144, 620mm/50kg, relingy, bílá, PTOs</t>
  </si>
  <si>
    <t>357743</t>
  </si>
  <si>
    <t>K-HETTICH Atira zásuvka 144, 620mm/50kg, relingy, bílá, SiSy</t>
  </si>
  <si>
    <t>358138</t>
  </si>
  <si>
    <t>K-HETTICH Atira zásuvka 144, 620mm/50kg, relingy, stříbrná, PTO</t>
  </si>
  <si>
    <t>358153</t>
  </si>
  <si>
    <t>K-HETTICH Atira zásuvka 144, 620mm/50kg, relingy, stříbrná, PTOs</t>
  </si>
  <si>
    <t>358126</t>
  </si>
  <si>
    <t>K-HETTICH Atira zásuvka 144, 620mm/50kg, relingy, stříbrná, SiSy</t>
  </si>
  <si>
    <t>357991</t>
  </si>
  <si>
    <t>K-HETTICH Atira zásuvka 176, 260mm/10kg, relingy, antracit, PTOs</t>
  </si>
  <si>
    <t>357796</t>
  </si>
  <si>
    <t>K-HETTICH Atira zásuvka 176, 260mm/10kg, relingy, bílá, PTOs</t>
  </si>
  <si>
    <t>358179</t>
  </si>
  <si>
    <t>K-HETTICH Atira zásuvka 176, 260mm/10kg, relingy, stříbrná, PTOs</t>
  </si>
  <si>
    <t>357979</t>
  </si>
  <si>
    <t>K-HETTICH Atira zásuvka 176, 260mm/30kg, relingy, antracit, PTO</t>
  </si>
  <si>
    <t>357994</t>
  </si>
  <si>
    <t>K-HETTICH Atira zásuvka 176, 260mm/30kg, relingy, antracit, PTOs</t>
  </si>
  <si>
    <t>357966</t>
  </si>
  <si>
    <t>K-HETTICH Atira zásuvka 176, 260mm/30kg, relingy, antracit, SiSy</t>
  </si>
  <si>
    <t>357784</t>
  </si>
  <si>
    <t>K-HETTICH Atira zásuvka 176, 260mm/30kg, relingy, bílá, PTO</t>
  </si>
  <si>
    <t>357799</t>
  </si>
  <si>
    <t>K-HETTICH Atira zásuvka 176, 260mm/30kg, relingy, bílá, PTOs</t>
  </si>
  <si>
    <t>357771</t>
  </si>
  <si>
    <t>K-HETTICH Atira zásuvka 176, 260mm/30kg, relingy, bílá, SiSy</t>
  </si>
  <si>
    <t>358166</t>
  </si>
  <si>
    <t>K-HETTICH Atira zásuvka 176, 260mm/30kg, relingy, stříbrná, PTO</t>
  </si>
  <si>
    <t>358182</t>
  </si>
  <si>
    <t>K-HETTICH Atira zásuvka 176, 260mm/30kg, relingy, stříbrná, PTOs</t>
  </si>
  <si>
    <t>358154</t>
  </si>
  <si>
    <t>K-HETTICH Atira zásuvka 176, 260mm/30kg, relingy, stříbrná, SiSy</t>
  </si>
  <si>
    <t>357992</t>
  </si>
  <si>
    <t>K-HETTICH Atira zásuvka 176, 300mm/10kg, relingy, antracit, PTOs</t>
  </si>
  <si>
    <t>357797</t>
  </si>
  <si>
    <t>K-HETTICH Atira zásuvka 176, 300mm/10kg, relingy, bílá, PTOs</t>
  </si>
  <si>
    <t>358180</t>
  </si>
  <si>
    <t>K-HETTICH Atira zásuvka 176, 300mm/10kg, relingy, stříbrná, PTOs</t>
  </si>
  <si>
    <t>357980</t>
  </si>
  <si>
    <t>K-HETTICH Atira zásuvka 176, 300mm/30kg, relingy, antracit, PTO</t>
  </si>
  <si>
    <t>357995</t>
  </si>
  <si>
    <t>K-HETTICH Atira zásuvka 176, 300mm/30kg, relingy, antracit, PTOs</t>
  </si>
  <si>
    <t>357967</t>
  </si>
  <si>
    <t>K-HETTICH Atira zásuvka 176, 300mm/30kg, relingy, antracit, SiSy</t>
  </si>
  <si>
    <t>357785</t>
  </si>
  <si>
    <t>K-HETTICH Atira zásuvka 176, 300mm/30kg, relingy, bílá, PTO</t>
  </si>
  <si>
    <t>357800</t>
  </si>
  <si>
    <t>K-HETTICH Atira zásuvka 176, 300mm/30kg, relingy, bílá, PTOs</t>
  </si>
  <si>
    <t>357772</t>
  </si>
  <si>
    <t>K-HETTICH Atira zásuvka 176, 300mm/30kg, relingy, bílá, SiSy</t>
  </si>
  <si>
    <t>358167</t>
  </si>
  <si>
    <t>K-HETTICH Atira zásuvka 176, 300mm/30kg, relingy, stříbrná, PTO</t>
  </si>
  <si>
    <t>358183</t>
  </si>
  <si>
    <t>K-HETTICH Atira zásuvka 176, 300mm/30kg, relingy, stříbrná, PTOs</t>
  </si>
  <si>
    <t>358155</t>
  </si>
  <si>
    <t>K-HETTICH Atira zásuvka 176, 300mm/30kg, relingy, stříbrná, SiSy</t>
  </si>
  <si>
    <t>357985</t>
  </si>
  <si>
    <t>K-HETTICH Atira zásuvka 176, 300mm/50kg, relingy, antracit, PTO</t>
  </si>
  <si>
    <t>358000</t>
  </si>
  <si>
    <t>K-HETTICH Atira zásuvka 176, 300mm/50kg, relingy, antracit, PTOs</t>
  </si>
  <si>
    <t>357972</t>
  </si>
  <si>
    <t>K-HETTICH Atira zásuvka 176, 300mm/50kg, relingy, antracit, SiSy</t>
  </si>
  <si>
    <t>357790</t>
  </si>
  <si>
    <t>K-HETTICH Atira zásuvka 176, 300mm/50kg, relingy, bílá, PTO</t>
  </si>
  <si>
    <t>357806</t>
  </si>
  <si>
    <t>K-HETTICH Atira zásuvka 176, 300mm/50kg, relingy, bílá, PTOs</t>
  </si>
  <si>
    <t>357778</t>
  </si>
  <si>
    <t>K-HETTICH Atira zásuvka 176, 300mm/50kg, relingy, bílá, SiSy</t>
  </si>
  <si>
    <t>358172</t>
  </si>
  <si>
    <t>K-HETTICH Atira zásuvka 176, 300mm/50kg, relingy, stříbrná, PTO</t>
  </si>
  <si>
    <t>358188</t>
  </si>
  <si>
    <t>K-HETTICH Atira zásuvka 176, 300mm/50kg, relingy, stříbrná, PTOs</t>
  </si>
  <si>
    <t>358160</t>
  </si>
  <si>
    <t>K-HETTICH Atira zásuvka 176, 300mm/50kg, relingy, stříbrná, SiSy</t>
  </si>
  <si>
    <t>357993</t>
  </si>
  <si>
    <t>K-HETTICH Atira zásuvka 176, 350mm/10kg, relingy, antracit, PTOs</t>
  </si>
  <si>
    <t>357798</t>
  </si>
  <si>
    <t>K-HETTICH Atira zásuvka 176, 350mm/10kg, relingy, bílá, PTOs</t>
  </si>
  <si>
    <t>358181</t>
  </si>
  <si>
    <t>K-HETTICH Atira zásuvka 176, 350mm/10kg, relingy, stříbrná, PTOs</t>
  </si>
  <si>
    <t>357981</t>
  </si>
  <si>
    <t>K-HETTICH Atira zásuvka 176, 350mm/30kg, relingy, antracit, PTO</t>
  </si>
  <si>
    <t>357996</t>
  </si>
  <si>
    <t>K-HETTICH Atira zásuvka 176, 350mm/30kg, relingy, antracit, PTOs</t>
  </si>
  <si>
    <t>357968</t>
  </si>
  <si>
    <t>K-HETTICH Atira zásuvka 176, 350mm/30kg, relingy, antracit, SiSy</t>
  </si>
  <si>
    <t>357786</t>
  </si>
  <si>
    <t>K-HETTICH Atira zásuvka 176, 350mm/30kg, relingy, bílá, PTO</t>
  </si>
  <si>
    <t>357801</t>
  </si>
  <si>
    <t>K-HETTICH Atira zásuvka 176, 350mm/30kg, relingy, bílá, PTOs</t>
  </si>
  <si>
    <t>357773</t>
  </si>
  <si>
    <t>K-HETTICH Atira zásuvka 176, 350mm/30kg, relingy, bílá, SiSy</t>
  </si>
  <si>
    <t>358168</t>
  </si>
  <si>
    <t>K-HETTICH Atira zásuvka 176, 350mm/30kg, relingy, stříbrná, PTO</t>
  </si>
  <si>
    <t>358184</t>
  </si>
  <si>
    <t>K-HETTICH Atira zásuvka 176, 350mm/30kg, relingy, stříbrná, PTOs</t>
  </si>
  <si>
    <t>358156</t>
  </si>
  <si>
    <t>K-HETTICH Atira zásuvka 176, 350mm/30kg, relingy, stříbrná, SiSy</t>
  </si>
  <si>
    <t>357986</t>
  </si>
  <si>
    <t>K-HETTICH Atira zásuvka 176, 350mm/50kg, relingy, antracit, PTO</t>
  </si>
  <si>
    <t>358001</t>
  </si>
  <si>
    <t>K-HETTICH Atira zásuvka 176, 350mm/50kg, relingy, antracit, PTOs</t>
  </si>
  <si>
    <t>357974</t>
  </si>
  <si>
    <t>K-HETTICH Atira zásuvka 176, 350mm/50kg, relingy, antracit, SiSy</t>
  </si>
  <si>
    <t>357791</t>
  </si>
  <si>
    <t>K-HETTICH Atira zásuvka 176, 350mm/50kg, relingy, bílá, PTO</t>
  </si>
  <si>
    <t>357808</t>
  </si>
  <si>
    <t>K-HETTICH Atira zásuvka 176, 350mm/50kg, relingy, bílá, PTOs</t>
  </si>
  <si>
    <t>357779</t>
  </si>
  <si>
    <t>K-HETTICH Atira zásuvka 176, 350mm/50kg, relingy, bílá, SiSy</t>
  </si>
  <si>
    <t>358173</t>
  </si>
  <si>
    <t>K-HETTICH Atira zásuvka 176, 350mm/50kg, relingy, stříbrná, PTO</t>
  </si>
  <si>
    <t>358189</t>
  </si>
  <si>
    <t>K-HETTICH Atira zásuvka 176, 350mm/50kg, relingy, stříbrná, PTOs</t>
  </si>
  <si>
    <t>358161</t>
  </si>
  <si>
    <t>K-HETTICH Atira zásuvka 176, 350mm/50kg, relingy, stříbrná, SiSy</t>
  </si>
  <si>
    <t>357982</t>
  </si>
  <si>
    <t>K-HETTICH Atira zásuvka 176, 420mm/30kg, relingy, antracit, PTO</t>
  </si>
  <si>
    <t>357997</t>
  </si>
  <si>
    <t>K-HETTICH Atira zásuvka 176, 420mm/30kg, relingy, antracit, PTOs</t>
  </si>
  <si>
    <t>357969</t>
  </si>
  <si>
    <t>K-HETTICH Atira zásuvka 176, 420mm/30kg, relingy, antracit, SiSy</t>
  </si>
  <si>
    <t>357787</t>
  </si>
  <si>
    <t>K-HETTICH Atira zásuvka 176, 420mm/30kg, relingy, bílá, PTO</t>
  </si>
  <si>
    <t>357802</t>
  </si>
  <si>
    <t>K-HETTICH Atira zásuvka 176, 420mm/30kg, relingy, bílá, PTOs</t>
  </si>
  <si>
    <t>357774</t>
  </si>
  <si>
    <t>K-HETTICH Atira zásuvka 176, 420mm/30kg, relingy, bílá, SiSy</t>
  </si>
  <si>
    <t>358169</t>
  </si>
  <si>
    <t>K-HETTICH Atira zásuvka 176, 420mm/30kg, relingy, stříbrná, PTO</t>
  </si>
  <si>
    <t>358185</t>
  </si>
  <si>
    <t>K-HETTICH Atira zásuvka 176, 420mm/30kg, relingy, stříbrná, PTOs</t>
  </si>
  <si>
    <t>358157</t>
  </si>
  <si>
    <t>K-HETTICH Atira zásuvka 176, 420mm/30kg, relingy, stříbrná, SiSy</t>
  </si>
  <si>
    <t>357987</t>
  </si>
  <si>
    <t>K-HETTICH Atira zásuvka 176, 420mm/50kg, relingy, antracit, PTO</t>
  </si>
  <si>
    <t>358002</t>
  </si>
  <si>
    <t>K-HETTICH Atira zásuvka 176, 420mm/50kg, relingy, antracit, PTOs</t>
  </si>
  <si>
    <t>357975</t>
  </si>
  <si>
    <t>K-HETTICH Atira zásuvka 176, 420mm/50kg, relingy, antracit, SiSy</t>
  </si>
  <si>
    <t>357792</t>
  </si>
  <si>
    <t>K-HETTICH Atira zásuvka 176, 420mm/50kg, relingy, bílá, PTO</t>
  </si>
  <si>
    <t>357810</t>
  </si>
  <si>
    <t>K-HETTICH Atira zásuvka 176, 420mm/50kg, relingy, bílá, PTOs</t>
  </si>
  <si>
    <t>357780</t>
  </si>
  <si>
    <t>K-HETTICH Atira zásuvka 176, 420mm/50kg, relingy, bílá, SiSy</t>
  </si>
  <si>
    <t>358174</t>
  </si>
  <si>
    <t>K-HETTICH Atira zásuvka 176, 420mm/50kg, relingy, stříbrná, PTO</t>
  </si>
  <si>
    <t>358190</t>
  </si>
  <si>
    <t>K-HETTICH Atira zásuvka 176, 420mm/50kg, relingy, stříbrná, PTOs</t>
  </si>
  <si>
    <t>358162</t>
  </si>
  <si>
    <t>K-HETTICH Atira zásuvka 176, 420mm/50kg, relingy, stříbrná, SiSy</t>
  </si>
  <si>
    <t>357983</t>
  </si>
  <si>
    <t>K-HETTICH Atira zásuvka 176, 470mm/30kg, relingy, antracit, PTO</t>
  </si>
  <si>
    <t>357998</t>
  </si>
  <si>
    <t>K-HETTICH Atira zásuvka 176, 470mm/30kg, relingy, antracit, PTOs</t>
  </si>
  <si>
    <t>357970</t>
  </si>
  <si>
    <t>K-HETTICH Atira zásuvka 176, 470mm/30kg, relingy, antracit, SiSy</t>
  </si>
  <si>
    <t>357788</t>
  </si>
  <si>
    <t>K-HETTICH Atira zásuvka 176, 470mm/30kg, relingy, bílá, PTO</t>
  </si>
  <si>
    <t>357803</t>
  </si>
  <si>
    <t>K-HETTICH Atira zásuvka 176, 470mm/30kg, relingy, bílá, PTOs</t>
  </si>
  <si>
    <t>357775</t>
  </si>
  <si>
    <t>K-HETTICH Atira zásuvka 176, 470mm/30kg, relingy, bílá, SiSy</t>
  </si>
  <si>
    <t>358170</t>
  </si>
  <si>
    <t>K-HETTICH Atira zásuvka 176, 470mm/30kg, relingy, stříbrná, PTO</t>
  </si>
  <si>
    <t>358186</t>
  </si>
  <si>
    <t>K-HETTICH Atira zásuvka 176, 470mm/30kg, relingy, stříbrná, PTOs</t>
  </si>
  <si>
    <t>358158</t>
  </si>
  <si>
    <t>K-HETTICH Atira zásuvka 176, 470mm/30kg, relingy, stříbrná, SiSy</t>
  </si>
  <si>
    <t>357988</t>
  </si>
  <si>
    <t>K-HETTICH Atira zásuvka 176, 470mm/50kg, relingy, antracit, PTO</t>
  </si>
  <si>
    <t>358003</t>
  </si>
  <si>
    <t>K-HETTICH Atira zásuvka 176, 470mm/50kg, relingy, antracit, PTOs</t>
  </si>
  <si>
    <t>357976</t>
  </si>
  <si>
    <t>K-HETTICH Atira zásuvka 176, 470mm/50kg, relingy, antracit, SiSy</t>
  </si>
  <si>
    <t>357793</t>
  </si>
  <si>
    <t>K-HETTICH Atira zásuvka 176, 470mm/50kg, relingy, bílá, PTO</t>
  </si>
  <si>
    <t>357811</t>
  </si>
  <si>
    <t>K-HETTICH Atira zásuvka 176, 470mm/50kg, relingy, bílá, PTOs</t>
  </si>
  <si>
    <t>357781</t>
  </si>
  <si>
    <t>K-HETTICH Atira zásuvka 176, 470mm/50kg, relingy, bílá, SiSy</t>
  </si>
  <si>
    <t>358176</t>
  </si>
  <si>
    <t>K-HETTICH Atira zásuvka 176, 470mm/50kg, relingy, stříbrná, PTO</t>
  </si>
  <si>
    <t>358191</t>
  </si>
  <si>
    <t>K-HETTICH Atira zásuvka 176, 470mm/50kg, relingy, stříbrná, PTOs</t>
  </si>
  <si>
    <t>358163</t>
  </si>
  <si>
    <t>K-HETTICH Atira zásuvka 176, 470mm/50kg, relingy, stříbrná, SiSy</t>
  </si>
  <si>
    <t>357984</t>
  </si>
  <si>
    <t>K-HETTICH Atira zásuvka 176, 520mm/30kg, relingy, antracit, PTO</t>
  </si>
  <si>
    <t>357999</t>
  </si>
  <si>
    <t>K-HETTICH Atira zásuvka 176, 520mm/30kg, relingy, antracit, PTOs</t>
  </si>
  <si>
    <t>357971</t>
  </si>
  <si>
    <t>K-HETTICH Atira zásuvka 176, 520mm/30kg, relingy, antracit, SiSy</t>
  </si>
  <si>
    <t>357777</t>
  </si>
  <si>
    <t>K-HETTICH Atira zásuvka 176, 520mm/30kg, relingy, bílá, SiSy</t>
  </si>
  <si>
    <t>358171</t>
  </si>
  <si>
    <t>K-HETTICH Atira zásuvka 176, 520mm/30kg, relingy, stříbrná, PTO</t>
  </si>
  <si>
    <t>358187</t>
  </si>
  <si>
    <t>K-HETTICH Atira zásuvka 176, 520mm/30kg, relingy, stříbrná, PTOs</t>
  </si>
  <si>
    <t>358159</t>
  </si>
  <si>
    <t>K-HETTICH Atira zásuvka 176, 520mm/30kg, relingy, stříbrná, SiSy</t>
  </si>
  <si>
    <t>357989</t>
  </si>
  <si>
    <t>K-HETTICH Atira zásuvka 176, 520mm/50kg, relingy, antracit, PTO</t>
  </si>
  <si>
    <t>358004</t>
  </si>
  <si>
    <t>K-HETTICH Atira zásuvka 176, 520mm/50kg, relingy, antracit, PTOs</t>
  </si>
  <si>
    <t>357977</t>
  </si>
  <si>
    <t>K-HETTICH Atira zásuvka 176, 520mm/50kg, relingy, antracit, SiSy</t>
  </si>
  <si>
    <t>357794</t>
  </si>
  <si>
    <t>K-HETTICH Atira zásuvka 176, 520mm/50kg, relingy, bílá, PTO</t>
  </si>
  <si>
    <t>357812</t>
  </si>
  <si>
    <t>K-HETTICH Atira zásuvka 176, 520mm/50kg, relingy, bílá, PTOs</t>
  </si>
  <si>
    <t>357782</t>
  </si>
  <si>
    <t>K-HETTICH Atira zásuvka 176, 520mm/50kg, relingy, bílá, SiSy</t>
  </si>
  <si>
    <t>358177</t>
  </si>
  <si>
    <t>K-HETTICH Atira zásuvka 176, 520mm/50kg, relingy, stříbrná, PTO</t>
  </si>
  <si>
    <t>358192</t>
  </si>
  <si>
    <t>K-HETTICH Atira zásuvka 176, 520mm/50kg, relingy, stříbrná, PTOs</t>
  </si>
  <si>
    <t>358164</t>
  </si>
  <si>
    <t>K-HETTICH Atira zásuvka 176, 520mm/50kg, relingy, stříbrná, SiSy</t>
  </si>
  <si>
    <t>357990</t>
  </si>
  <si>
    <t>K-HETTICH Atira zásuvka 176, 620mm/50kg, relingy, antracit, PTO</t>
  </si>
  <si>
    <t>358005</t>
  </si>
  <si>
    <t>K-HETTICH Atira zásuvka 176, 620mm/50kg, relingy, antracit, PTOs</t>
  </si>
  <si>
    <t>357978</t>
  </si>
  <si>
    <t>K-HETTICH Atira zásuvka 176, 620mm/50kg, relingy, antracit, SiSy</t>
  </si>
  <si>
    <t>357795</t>
  </si>
  <si>
    <t>K-HETTICH Atira zásuvka 176, 620mm/50kg, relingy, bílá, PTO</t>
  </si>
  <si>
    <t>357814</t>
  </si>
  <si>
    <t>K-HETTICH Atira zásuvka 176, 620mm/50kg, relingy, bílá, PTOs</t>
  </si>
  <si>
    <t>357783</t>
  </si>
  <si>
    <t>K-HETTICH Atira zásuvka 176, 620mm/50kg, relingy, bílá, SiSy</t>
  </si>
  <si>
    <t>358178</t>
  </si>
  <si>
    <t>K-HETTICH Atira zásuvka 176, 620mm/50kg, relingy, stříbrná, PTO</t>
  </si>
  <si>
    <t>358193</t>
  </si>
  <si>
    <t>K-HETTICH Atira zásuvka 176, 620mm/50kg, relingy, stříbrná, PTOs</t>
  </si>
  <si>
    <t>358165</t>
  </si>
  <si>
    <t>K-HETTICH Atira zásuvka 176, 620mm/50kg, relingy, stříbrná, SiSy</t>
  </si>
  <si>
    <t>357883</t>
  </si>
  <si>
    <t>K-HETTICH Atira zásuvka 54, 470mm/30kg, antracit, PTO</t>
  </si>
  <si>
    <t>357884</t>
  </si>
  <si>
    <t>K-HETTICH Atira zásuvka 54, 470mm/30kg, antracit, PTOs</t>
  </si>
  <si>
    <t>357882</t>
  </si>
  <si>
    <t>K-HETTICH Atira zásuvka 54, 470mm/30kg, antracit, SiSy</t>
  </si>
  <si>
    <t>357690</t>
  </si>
  <si>
    <t>K-HETTICH Atira zásuvka 54, 470mm/30kg, bílá, PTO</t>
  </si>
  <si>
    <t>357691</t>
  </si>
  <si>
    <t>K-HETTICH Atira zásuvka 54, 470mm/30kg, bílá, PTOs</t>
  </si>
  <si>
    <t>357689</t>
  </si>
  <si>
    <t>K-HETTICH Atira zásuvka 54, 470mm/30kg, bílá, SiSy</t>
  </si>
  <si>
    <t>358074</t>
  </si>
  <si>
    <t>K-HETTICH Atira zásuvka 54, 470mm/30kg, stříbrná, PTO</t>
  </si>
  <si>
    <t>358075</t>
  </si>
  <si>
    <t>K-HETTICH Atira zásuvka 54, 470mm/30kg, stříbrná, PTOs</t>
  </si>
  <si>
    <t>358073</t>
  </si>
  <si>
    <t>K-HETTICH Atira zásuvka 54, 470mm/30kg, stříbrná, SiSy</t>
  </si>
  <si>
    <t>357909</t>
  </si>
  <si>
    <t>K-HETTICH Atira zásuvka 70, 260mm/10kg, antracit, PTOs</t>
  </si>
  <si>
    <t>357717</t>
  </si>
  <si>
    <t>K-HETTICH Atira zásuvka 70, 260mm/10kg, bílá, PTOs</t>
  </si>
  <si>
    <t>358100</t>
  </si>
  <si>
    <t>K-HETTICH Atira zásuvka 70, 260mm/10kg, stříbrná, PTOs</t>
  </si>
  <si>
    <t>357897</t>
  </si>
  <si>
    <t>K-HETTICH Atira zásuvka 70, 260mm/30kg, antracit, PTO</t>
  </si>
  <si>
    <t>357912</t>
  </si>
  <si>
    <t>K-HETTICH Atira zásuvka 70, 260mm/30kg, antracit, PTOs</t>
  </si>
  <si>
    <t>357885</t>
  </si>
  <si>
    <t>K-HETTICH Atira zásuvka 70, 260mm/30kg, antracit, SiSy</t>
  </si>
  <si>
    <t>357704</t>
  </si>
  <si>
    <t>K-HETTICH Atira zásuvka 70, 260mm/30kg, bílá, PTO</t>
  </si>
  <si>
    <t>357720</t>
  </si>
  <si>
    <t>K-HETTICH Atira zásuvka 70, 260mm/30kg, bílá, PTOs</t>
  </si>
  <si>
    <t>357692</t>
  </si>
  <si>
    <t>K-HETTICH Atira zásuvka 70, 260mm/30kg, bílá, SiSy</t>
  </si>
  <si>
    <t>358088</t>
  </si>
  <si>
    <t>K-HETTICH Atira zásuvka 70, 260mm/30kg, stříbrná, PTO</t>
  </si>
  <si>
    <t>358103</t>
  </si>
  <si>
    <t>K-HETTICH Atira zásuvka 70, 260mm/30kg, stříbrná, PTOs</t>
  </si>
  <si>
    <t>358076</t>
  </si>
  <si>
    <t>K-HETTICH Atira zásuvka 70, 260mm/30kg, stříbrná, SiSy</t>
  </si>
  <si>
    <t>357910</t>
  </si>
  <si>
    <t>K-HETTICH Atira zásuvka 70, 300mm/10kg, antracit, PTOs</t>
  </si>
  <si>
    <t>357718</t>
  </si>
  <si>
    <t>K-HETTICH Atira zásuvka 70, 300mm/10kg, bílá, PTOs</t>
  </si>
  <si>
    <t>358101</t>
  </si>
  <si>
    <t>K-HETTICH Atira zásuvka 70, 300mm/10kg, stříbrná, PTOs</t>
  </si>
  <si>
    <t>357898</t>
  </si>
  <si>
    <t>K-HETTICH Atira zásuvka 70, 300mm/30kg, antracit, PTO</t>
  </si>
  <si>
    <t>357913</t>
  </si>
  <si>
    <t>K-HETTICH Atira zásuvka 70, 300mm/30kg, antracit, PTOs</t>
  </si>
  <si>
    <t>357886</t>
  </si>
  <si>
    <t>K-HETTICH Atira zásuvka 70, 300mm/30kg, antracit, SiSy</t>
  </si>
  <si>
    <t>357705</t>
  </si>
  <si>
    <t>K-HETTICH Atira zásuvka 70, 300mm/30kg, bílá, PTO</t>
  </si>
  <si>
    <t>357721</t>
  </si>
  <si>
    <t>K-HETTICH Atira zásuvka 70, 300mm/30kg, bílá, PTOs</t>
  </si>
  <si>
    <t>357693</t>
  </si>
  <si>
    <t>K-HETTICH Atira zásuvka 70, 300mm/30kg, bílá, SiSy</t>
  </si>
  <si>
    <t>358089</t>
  </si>
  <si>
    <t>K-HETTICH Atira zásuvka 70, 300mm/30kg, stříbrná, PTO</t>
  </si>
  <si>
    <t>358104</t>
  </si>
  <si>
    <t>K-HETTICH Atira zásuvka 70, 300mm/30kg, stříbrná, PTOs</t>
  </si>
  <si>
    <t>358077</t>
  </si>
  <si>
    <t>K-HETTICH Atira zásuvka 70, 300mm/30kg, stříbrná, SiSy</t>
  </si>
  <si>
    <t>357903</t>
  </si>
  <si>
    <t>K-HETTICH Atira zásuvka 70, 300mm/50kg, antracit, PTO</t>
  </si>
  <si>
    <t>357918</t>
  </si>
  <si>
    <t>K-HETTICH Atira zásuvka 70, 300mm/50kg, antracit, PTOs</t>
  </si>
  <si>
    <t>357891</t>
  </si>
  <si>
    <t>K-HETTICH Atira zásuvka 70, 300mm/50kg, antracit, SiSy</t>
  </si>
  <si>
    <t>357711</t>
  </si>
  <si>
    <t>K-HETTICH Atira zásuvka 70, 300mm/50kg, bílá, PTO</t>
  </si>
  <si>
    <t>357726</t>
  </si>
  <si>
    <t>K-HETTICH Atira zásuvka 70, 300mm/50kg, bílá, PTOs</t>
  </si>
  <si>
    <t>357698</t>
  </si>
  <si>
    <t>K-HETTICH Atira zásuvka 70, 300mm/50kg, bílá, SiSy</t>
  </si>
  <si>
    <t>358094</t>
  </si>
  <si>
    <t>K-HETTICH Atira zásuvka 70, 300mm/50kg, stříbrná, PTO</t>
  </si>
  <si>
    <t>358109</t>
  </si>
  <si>
    <t>K-HETTICH Atira zásuvka 70, 300mm/50kg, stříbrná, PTOs</t>
  </si>
  <si>
    <t>358082</t>
  </si>
  <si>
    <t>K-HETTICH Atira zásuvka 70, 300mm/50kg, stříbrná, SiSy</t>
  </si>
  <si>
    <t>357911</t>
  </si>
  <si>
    <t>K-HETTICH Atira zásuvka 70, 350mm/10kg, antracit, PTOs</t>
  </si>
  <si>
    <t>357719</t>
  </si>
  <si>
    <t>K-HETTICH Atira zásuvka 70, 350mm/10kg, bílá, PTOs</t>
  </si>
  <si>
    <t>358102</t>
  </si>
  <si>
    <t>K-HETTICH Atira zásuvka 70, 350mm/10kg, stříbrná, PTOs</t>
  </si>
  <si>
    <t>357899</t>
  </si>
  <si>
    <t>K-HETTICH Atira zásuvka 70, 350mm/30kg, antracit, PTO</t>
  </si>
  <si>
    <t>357914</t>
  </si>
  <si>
    <t>K-HETTICH Atira zásuvka 70, 350mm/30kg, antracit, PTOs</t>
  </si>
  <si>
    <t>357887</t>
  </si>
  <si>
    <t>K-HETTICH Atira zásuvka 70, 350mm/30kg, antracit, SiSy</t>
  </si>
  <si>
    <t>357706</t>
  </si>
  <si>
    <t>K-HETTICH Atira zásuvka 70, 350mm/30kg, bílá, PTO</t>
  </si>
  <si>
    <t>357722</t>
  </si>
  <si>
    <t>K-HETTICH Atira zásuvka 70, 350mm/30kg, bílá, PTOs</t>
  </si>
  <si>
    <t>357694</t>
  </si>
  <si>
    <t>K-HETTICH Atira zásuvka 70, 350mm/30kg, bílá, SiSy</t>
  </si>
  <si>
    <t>358090</t>
  </si>
  <si>
    <t>K-HETTICH Atira zásuvka 70, 350mm/30kg, stříbrná, PTO</t>
  </si>
  <si>
    <t>358105</t>
  </si>
  <si>
    <t>K-HETTICH Atira zásuvka 70, 350mm/30kg, stříbrná, PTOs</t>
  </si>
  <si>
    <t>358078</t>
  </si>
  <si>
    <t>K-HETTICH Atira zásuvka 70, 350mm/30kg, stříbrná, SiSy</t>
  </si>
  <si>
    <t>357904</t>
  </si>
  <si>
    <t>K-HETTICH Atira zásuvka 70, 350mm/50kg, antracit, PTO</t>
  </si>
  <si>
    <t>357919</t>
  </si>
  <si>
    <t>K-HETTICH Atira zásuvka 70, 350mm/50kg, antracit, PTOs</t>
  </si>
  <si>
    <t>357892</t>
  </si>
  <si>
    <t>K-HETTICH Atira zásuvka 70, 350mm/50kg, antracit, SiSy</t>
  </si>
  <si>
    <t>357712</t>
  </si>
  <si>
    <t>K-HETTICH Atira zásuvka 70, 350mm/50kg, bílá, PTO</t>
  </si>
  <si>
    <t>357727</t>
  </si>
  <si>
    <t>K-HETTICH Atira zásuvka 70, 350mm/50kg, bílá, PTOs</t>
  </si>
  <si>
    <t>357699</t>
  </si>
  <si>
    <t>K-HETTICH Atira zásuvka 70, 350mm/50kg, bílá, SiSy</t>
  </si>
  <si>
    <t>358095</t>
  </si>
  <si>
    <t>K-HETTICH Atira zásuvka 70, 350mm/50kg, stříbrná, PTO</t>
  </si>
  <si>
    <t>358110</t>
  </si>
  <si>
    <t>K-HETTICH Atira zásuvka 70, 350mm/50kg, stříbrná, PTOs</t>
  </si>
  <si>
    <t>358083</t>
  </si>
  <si>
    <t>K-HETTICH Atira zásuvka 70, 350mm/50kg, stříbrná, SiSy</t>
  </si>
  <si>
    <t>357900</t>
  </si>
  <si>
    <t>K-HETTICH Atira zásuvka 70, 420mm/30kg, antracit, PTO</t>
  </si>
  <si>
    <t>357915</t>
  </si>
  <si>
    <t>K-HETTICH Atira zásuvka 70, 420mm/30kg, antracit, PTOs</t>
  </si>
  <si>
    <t>357888</t>
  </si>
  <si>
    <t>K-HETTICH Atira zásuvka 70, 420mm/30kg, antracit, SiSy</t>
  </si>
  <si>
    <t>357707</t>
  </si>
  <si>
    <t>K-HETTICH Atira zásuvka 70, 420mm/30kg, bílá, PTO</t>
  </si>
  <si>
    <t>357723</t>
  </si>
  <si>
    <t>K-HETTICH Atira zásuvka 70, 420mm/30kg, bílá, PTOs</t>
  </si>
  <si>
    <t>357695</t>
  </si>
  <si>
    <t>K-HETTICH Atira zásuvka 70, 420mm/30kg, bílá, SiSy</t>
  </si>
  <si>
    <t>358091</t>
  </si>
  <si>
    <t>K-HETTICH Atira zásuvka 70, 420mm/30kg, stříbrná, PTO</t>
  </si>
  <si>
    <t>358106</t>
  </si>
  <si>
    <t>K-HETTICH Atira zásuvka 70, 420mm/30kg, stříbrná, PTOs</t>
  </si>
  <si>
    <t>288762</t>
  </si>
  <si>
    <t>K-HETTICH Atira zásuvka 70, 420mm/30kg, stříbrná, SiSy</t>
  </si>
  <si>
    <t>358079</t>
  </si>
  <si>
    <t>357905</t>
  </si>
  <si>
    <t>K-HETTICH Atira zásuvka 70, 420mm/50kg, antracit, PTO</t>
  </si>
  <si>
    <t>357920</t>
  </si>
  <si>
    <t>K-HETTICH Atira zásuvka 70, 420mm/50kg, antracit, PTOs</t>
  </si>
  <si>
    <t>357893</t>
  </si>
  <si>
    <t>K-HETTICH Atira zásuvka 70, 420mm/50kg, antracit, SiSy</t>
  </si>
  <si>
    <t>357713</t>
  </si>
  <si>
    <t>K-HETTICH Atira zásuvka 70, 420mm/50kg, bílá, PTO</t>
  </si>
  <si>
    <t>357728</t>
  </si>
  <si>
    <t>K-HETTICH Atira zásuvka 70, 420mm/50kg, bílá, PTOs</t>
  </si>
  <si>
    <t>357700</t>
  </si>
  <si>
    <t>K-HETTICH Atira zásuvka 70, 420mm/50kg, bílá, SiSy</t>
  </si>
  <si>
    <t>358096</t>
  </si>
  <si>
    <t>K-HETTICH Atira zásuvka 70, 420mm/50kg, stříbrná, PTO</t>
  </si>
  <si>
    <t>358111</t>
  </si>
  <si>
    <t>K-HETTICH Atira zásuvka 70, 420mm/50kg, stříbrná, PTOs</t>
  </si>
  <si>
    <t>358084</t>
  </si>
  <si>
    <t>K-HETTICH Atira zásuvka 70, 420mm/50kg, stříbrná, SiSy</t>
  </si>
  <si>
    <t>357901</t>
  </si>
  <si>
    <t>K-HETTICH Atira zásuvka 70, 470mm/30kg, antracit, PTO</t>
  </si>
  <si>
    <t>357916</t>
  </si>
  <si>
    <t>K-HETTICH Atira zásuvka 70, 470mm/30kg, antracit, PTOs</t>
  </si>
  <si>
    <t>357889</t>
  </si>
  <si>
    <t>K-HETTICH Atira zásuvka 70, 470mm/30kg, antracit, SiSy</t>
  </si>
  <si>
    <t>357709</t>
  </si>
  <si>
    <t>K-HETTICH Atira zásuvka 70, 470mm/30kg, bílá, PTO</t>
  </si>
  <si>
    <t>357724</t>
  </si>
  <si>
    <t>K-HETTICH Atira zásuvka 70, 470mm/30kg, bílá, PTOs</t>
  </si>
  <si>
    <t>357696</t>
  </si>
  <si>
    <t>K-HETTICH Atira zásuvka 70, 470mm/30kg, bílá, SiSy</t>
  </si>
  <si>
    <t>358092</t>
  </si>
  <si>
    <t>K-HETTICH Atira zásuvka 70, 470mm/30kg, stříbrná, PTO</t>
  </si>
  <si>
    <t>358107</t>
  </si>
  <si>
    <t>K-HETTICH Atira zásuvka 70, 470mm/30kg, stříbrná, PTOs</t>
  </si>
  <si>
    <t>358080</t>
  </si>
  <si>
    <t>K-HETTICH Atira zásuvka 70, 470mm/30kg, stříbrná, SiSy</t>
  </si>
  <si>
    <t>357906</t>
  </si>
  <si>
    <t>K-HETTICH Atira zásuvka 70, 470mm/50kg, antracit, PTO</t>
  </si>
  <si>
    <t>357921</t>
  </si>
  <si>
    <t>K-HETTICH Atira zásuvka 70, 470mm/50kg, antracit, PTOs</t>
  </si>
  <si>
    <t>357894</t>
  </si>
  <si>
    <t>K-HETTICH Atira zásuvka 70, 470mm/50kg, antracit, SiSy</t>
  </si>
  <si>
    <t>357714</t>
  </si>
  <si>
    <t>K-HETTICH Atira zásuvka 70, 470mm/50kg, bílá, PTO</t>
  </si>
  <si>
    <t>357729</t>
  </si>
  <si>
    <t>K-HETTICH Atira zásuvka 70, 470mm/50kg, bílá, PTOs</t>
  </si>
  <si>
    <t>357701</t>
  </si>
  <si>
    <t>K-HETTICH Atira zásuvka 70, 470mm/50kg, bílá, SiSy</t>
  </si>
  <si>
    <t>358097</t>
  </si>
  <si>
    <t>K-HETTICH Atira zásuvka 70, 470mm/50kg, stříbrná, PTO</t>
  </si>
  <si>
    <t>358112</t>
  </si>
  <si>
    <t>K-HETTICH Atira zásuvka 70, 470mm/50kg, stříbrná, PTOs</t>
  </si>
  <si>
    <t>358085</t>
  </si>
  <si>
    <t>K-HETTICH Atira zásuvka 70, 470mm/50kg, stříbrná, SiSy</t>
  </si>
  <si>
    <t>357902</t>
  </si>
  <si>
    <t>K-HETTICH Atira zásuvka 70, 520mm/30kg, antracit, PTO</t>
  </si>
  <si>
    <t>357917</t>
  </si>
  <si>
    <t>K-HETTICH Atira zásuvka 70, 520mm/30kg, antracit, PTOs</t>
  </si>
  <si>
    <t>357890</t>
  </si>
  <si>
    <t>K-HETTICH Atira zásuvka 70, 520mm/30kg, antracit, SiSy</t>
  </si>
  <si>
    <t>357725</t>
  </si>
  <si>
    <t>K-HETTICH Atira zásuvka 70, 520mm/30kg, bílá, PTOs</t>
  </si>
  <si>
    <t>357697</t>
  </si>
  <si>
    <t>K-HETTICH Atira zásuvka 70, 520mm/30kg, bílá, SiSy</t>
  </si>
  <si>
    <t>358093</t>
  </si>
  <si>
    <t>K-HETTICH Atira zásuvka 70, 520mm/30kg, stříbrná, PTO</t>
  </si>
  <si>
    <t>358108</t>
  </si>
  <si>
    <t>K-HETTICH Atira zásuvka 70, 520mm/30kg, stříbrná, PTOs</t>
  </si>
  <si>
    <t>358081</t>
  </si>
  <si>
    <t>K-HETTICH Atira zásuvka 70, 520mm/30kg, stříbrná, SiSy</t>
  </si>
  <si>
    <t>357907</t>
  </si>
  <si>
    <t>K-HETTICH Atira zásuvka 70, 520mm/50kg, antracit, PTO</t>
  </si>
  <si>
    <t>357922</t>
  </si>
  <si>
    <t>K-HETTICH Atira zásuvka 70, 520mm/50kg, antracit, PTOs</t>
  </si>
  <si>
    <t>357895</t>
  </si>
  <si>
    <t>K-HETTICH Atira zásuvka 70, 520mm/50kg, antracit, SiSy</t>
  </si>
  <si>
    <t>357715</t>
  </si>
  <si>
    <t>K-HETTICH Atira zásuvka 70, 520mm/50kg, bílá, PTO</t>
  </si>
  <si>
    <t>357730</t>
  </si>
  <si>
    <t>K-HETTICH Atira zásuvka 70, 520mm/50kg, bílá, PTOs</t>
  </si>
  <si>
    <t>357702</t>
  </si>
  <si>
    <t>K-HETTICH Atira zásuvka 70, 520mm/50kg, bílá, SiSy</t>
  </si>
  <si>
    <t>358098</t>
  </si>
  <si>
    <t>K-HETTICH Atira zásuvka 70, 520mm/50kg, stříbrná, PTO</t>
  </si>
  <si>
    <t>358113</t>
  </si>
  <si>
    <t>K-HETTICH Atira zásuvka 70, 520mm/50kg, stříbrná, PTOs</t>
  </si>
  <si>
    <t>358086</t>
  </si>
  <si>
    <t>K-HETTICH Atira zásuvka 70, 520mm/50kg, stříbrná, SiSy</t>
  </si>
  <si>
    <t>357908</t>
  </si>
  <si>
    <t>K-HETTICH Atira zásuvka 70, 620mm/50kg, antracit, PTO</t>
  </si>
  <si>
    <t>357923</t>
  </si>
  <si>
    <t>K-HETTICH Atira zásuvka 70, 620mm/50kg, antracit, PTOs</t>
  </si>
  <si>
    <t>357896</t>
  </si>
  <si>
    <t>K-HETTICH Atira zásuvka 70, 620mm/50kg, antracit, SiSy</t>
  </si>
  <si>
    <t>357716</t>
  </si>
  <si>
    <t>K-HETTICH Atira zásuvka 70, 620mm/50kg, bílá, PTO</t>
  </si>
  <si>
    <t>357731</t>
  </si>
  <si>
    <t>K-HETTICH Atira zásuvka 70, 620mm/50kg, bílá, PTOs</t>
  </si>
  <si>
    <t>357703</t>
  </si>
  <si>
    <t>K-HETTICH Atira zásuvka 70, 620mm/50kg, bílá, SiSy</t>
  </si>
  <si>
    <t>358099</t>
  </si>
  <si>
    <t>K-HETTICH Atira zásuvka 70, 620mm/50kg, stříbrná, PTO</t>
  </si>
  <si>
    <t>358114</t>
  </si>
  <si>
    <t>K-HETTICH Atira zásuvka 70, 620mm/50kg, stříbrná, PTOs</t>
  </si>
  <si>
    <t>358087</t>
  </si>
  <si>
    <t>K-HETTICH Atira zásuvka 70, 620mm/50kg, stříbrná, SiSy</t>
  </si>
  <si>
    <t>515685</t>
  </si>
  <si>
    <t>K-HETTICH Av.You 101/450+187/450, 10+10, antracit + BOSCH aku šr. GSR 120-Li</t>
  </si>
  <si>
    <t>515683</t>
  </si>
  <si>
    <t>K-HETTICH Av.You 101/450+187/450, 20+20, antracit + FESTOOL Aku šr. TXS 12</t>
  </si>
  <si>
    <t>515686</t>
  </si>
  <si>
    <t>K-HETTICH Av.You 101/500+187/500, 10+10, stříbrná + BOSCH aku šr. GSR 120-Li</t>
  </si>
  <si>
    <t>515684</t>
  </si>
  <si>
    <t>K-HETTICH Av.You 101/500+187/500, 20+20, stříbrná + FESTOOL Aku šr. TXS 12</t>
  </si>
  <si>
    <t>490732</t>
  </si>
  <si>
    <t>K-Hettich Av.YOU antracit 500mm 1x101 + 2x187 + FREEspace mini D + vesta L</t>
  </si>
  <si>
    <t>490724</t>
  </si>
  <si>
    <t>K-Hettich Av.YOU antracit 500mm 1x101 + 2x187 + FREEspace mini D + vesta M</t>
  </si>
  <si>
    <t>490735</t>
  </si>
  <si>
    <t>K-Hettich Av.YOU antracit 500mm 1x101 + 2x187 + FREEspace mini D + vesta XL</t>
  </si>
  <si>
    <t>490730</t>
  </si>
  <si>
    <t>K-Hettich Av.YOU bílý 500mm 1x101 + 2x187 + FREEspace mini D + vesta L</t>
  </si>
  <si>
    <t>490722</t>
  </si>
  <si>
    <t>K-Hettich Av.YOU bílý 500mm 1x101 + 2x187 + FREEspace mini D + vesta M</t>
  </si>
  <si>
    <t>490733</t>
  </si>
  <si>
    <t>K-Hettich Av.YOU bílý 500mm 1x101 + 2x187 + FREEspace mini D + vesta XL</t>
  </si>
  <si>
    <t>490731</t>
  </si>
  <si>
    <t>K-Hettich Av.YOU stříbrný 500mm 1x101 + 2x187 + FREEspace mini D + vesta L</t>
  </si>
  <si>
    <t>490723</t>
  </si>
  <si>
    <t>K-Hettich Av.YOU stříbrný 500mm 1x101 + 2x187 + FREEspace mini D + vesta M</t>
  </si>
  <si>
    <t>490734</t>
  </si>
  <si>
    <t>K-Hettich Av.YOU stříbrný 500mm 1x101 + 2x187 + FREEspace mini D + vesta XL</t>
  </si>
  <si>
    <t>528917</t>
  </si>
  <si>
    <t>K-HETTICH AvanTech You 101/450 Q30/SiSy/PTOs antracit vrut - Vesta L zdarma</t>
  </si>
  <si>
    <t>528902</t>
  </si>
  <si>
    <t>K-HETTICH AvanTech You 101/450 Q30/SiSy/PTOs antracit vrut - Vesta M zdarma</t>
  </si>
  <si>
    <t>517010</t>
  </si>
  <si>
    <t>K-HETTICH AvanTech You 101/450 Q30/SiSy/PTOs antracit vrut - Vesta S zdarma</t>
  </si>
  <si>
    <t>528929</t>
  </si>
  <si>
    <t>K-HETTICH AvanTech You 101/450 Q30/SiSy/PTOs antracit vrut - Vesta XL zdarma</t>
  </si>
  <si>
    <t>528921</t>
  </si>
  <si>
    <t>K-HETTICH AvanTech You 101/450 Q30/SiSy/PTOs bílá vrut  - Vesta L zdarma</t>
  </si>
  <si>
    <t>528909</t>
  </si>
  <si>
    <t>K-HETTICH AvanTech You 101/450 Q30/SiSy/PTOs bílá vrut  - Vesta M zdarma</t>
  </si>
  <si>
    <t>528933</t>
  </si>
  <si>
    <t>K-HETTICH AvanTech You 101/450 Q30/SiSy/PTOs bílá vrut  - Vesta XL zdarma</t>
  </si>
  <si>
    <t>517014</t>
  </si>
  <si>
    <t>K-HETTICH AvanTech You 101/450 Q30/SiSy/PTOs bílá vrut - Vesta S zdarma</t>
  </si>
  <si>
    <t>528919</t>
  </si>
  <si>
    <t>K-HETTICH AvanTech You 101/450 Q30/SiSy/PTOs stříbrná vrut  - Vesta L zdarma</t>
  </si>
  <si>
    <t>528907</t>
  </si>
  <si>
    <t>K-HETTICH AvanTech You 101/450 Q30/SiSy/PTOs stříbrná vrut  - Vesta M zdarma</t>
  </si>
  <si>
    <t>528931</t>
  </si>
  <si>
    <t>K-HETTICH AvanTech You 101/450 Q30/SiSy/PTOs stříbrná vrut  - Vesta XL zdarma</t>
  </si>
  <si>
    <t>517012</t>
  </si>
  <si>
    <t>K-HETTICH AvanTech You 101/450 Q30/SiSy/PTOs stříbrná vrut - Vesta S zdarma</t>
  </si>
  <si>
    <t>528927</t>
  </si>
  <si>
    <t>K-HETTICH AvanTech You 101/500 Q30/SiSy/PTOs bílá vrut  - Vesta L zdarma</t>
  </si>
  <si>
    <t>528915</t>
  </si>
  <si>
    <t>K-HETTICH AvanTech You 101/500 Q30/SiSy/PTOs bílá vrut  - Vesta M zdarma</t>
  </si>
  <si>
    <t>528939</t>
  </si>
  <si>
    <t>K-HETTICH AvanTech You 101/500 Q30/SiSy/PTOs bílá vrut  - Vesta XL zdarma</t>
  </si>
  <si>
    <t>517020</t>
  </si>
  <si>
    <t>K-HETTICH AvanTech You 101/500 Q30/SiSy/PTOs bílá vrut - Vesta S zdarma</t>
  </si>
  <si>
    <t>528925</t>
  </si>
  <si>
    <t>K-HETTICH AvanTech You 101/500 Q30/SiSy/PTOs stříbrná vrut  - Vesta L zdarma</t>
  </si>
  <si>
    <t>528913</t>
  </si>
  <si>
    <t>K-HETTICH AvanTech You 101/500 Q30/SiSy/PTOs stříbrná vrut  - Vesta M zdarma</t>
  </si>
  <si>
    <t>528937</t>
  </si>
  <si>
    <t>K-HETTICH AvanTech You 101/500 Q30/SiSy/PTOs stříbrná vrut  - Vesta XL zdarma</t>
  </si>
  <si>
    <t>517018</t>
  </si>
  <si>
    <t>K-HETTICH AvanTech You 101/500 Q30/SiSy/PTOs stříbrná vrut - Vesta S zdarma</t>
  </si>
  <si>
    <t>528923</t>
  </si>
  <si>
    <t>K-HETTICH AvanTech You 139/500 Q30/SiSy/PTOs antracit vrut  - Vesta L zdarma</t>
  </si>
  <si>
    <t>528911</t>
  </si>
  <si>
    <t>K-HETTICH AvanTech You 139/500 Q30/SiSy/PTOs antracit vrut  - Vesta M zdarma</t>
  </si>
  <si>
    <t>528935</t>
  </si>
  <si>
    <t>K-HETTICH AvanTech You 139/500 Q30/SiSy/PTOs antracit vrut  - Vesta XL zdarma</t>
  </si>
  <si>
    <t>517016</t>
  </si>
  <si>
    <t>K-HETTICH AvanTech You 139/500 Q30/SiSy/PTOs antracit vrut - Vesta S zdarma</t>
  </si>
  <si>
    <t>528918</t>
  </si>
  <si>
    <t>K-HETTICH AvanTech You 187/450 Q30/SiSy/PTOs antracit vrut  - Vesta L zdarma</t>
  </si>
  <si>
    <t>528906</t>
  </si>
  <si>
    <t>K-HETTICH AvanTech You 187/450 Q30/SiSy/PTOs antracit vrut  - Vesta M zdarma</t>
  </si>
  <si>
    <t>528930</t>
  </si>
  <si>
    <t>K-HETTICH AvanTech You 187/450 Q30/SiSy/PTOs antracit vrut  - Vesta XL zdarma</t>
  </si>
  <si>
    <t>528922</t>
  </si>
  <si>
    <t>K-HETTICH AvanTech You 187/450 Q30/SiSy/PTOs bílá vrut  - Vesta L zdarma</t>
  </si>
  <si>
    <t>528910</t>
  </si>
  <si>
    <t>K-HETTICH AvanTech You 187/450 Q30/SiSy/PTOs bílá vrut  - Vesta M zdarma</t>
  </si>
  <si>
    <t>528934</t>
  </si>
  <si>
    <t>K-HETTICH AvanTech You 187/450 Q30/SiSy/PTOs bílá vrut  - Vesta XL zdarma</t>
  </si>
  <si>
    <t>517015</t>
  </si>
  <si>
    <t>K-HETTICH AvanTech You 187/450 Q30/SiSy/PTOs bílá vrut - Vesta S zdarma</t>
  </si>
  <si>
    <t>528920</t>
  </si>
  <si>
    <t>K-HETTICH AvanTech You 187/450 Q30/SiSy/PTOs stříbrná vrut  - Vesta L zdarma</t>
  </si>
  <si>
    <t>528908</t>
  </si>
  <si>
    <t>K-HETTICH AvanTech You 187/450 Q30/SiSy/PTOs stříbrná vrut  - Vesta M zdarma</t>
  </si>
  <si>
    <t>528932</t>
  </si>
  <si>
    <t>K-HETTICH AvanTech You 187/450 Q30/SiSy/PTOs stříbrná vrut  - Vesta XL zdarma</t>
  </si>
  <si>
    <t>517013</t>
  </si>
  <si>
    <t>K-HETTICH AvanTech You 187/450 Q30/SiSy/PTOs stříbrná vrut - Vesta S zdarma</t>
  </si>
  <si>
    <t>528924</t>
  </si>
  <si>
    <t>K-HETTICH AvanTech You 187/500 Q30/SiSy/PTOs antracit vrut  - Vesta L zdarma</t>
  </si>
  <si>
    <t>528912</t>
  </si>
  <si>
    <t>K-HETTICH AvanTech You 187/500 Q30/SiSy/PTOs antracit vrut  - Vesta M zdarma</t>
  </si>
  <si>
    <t>528936</t>
  </si>
  <si>
    <t>K-HETTICH AvanTech You 187/500 Q30/SiSy/PTOs antracit vrut  - Vesta XL zdarma</t>
  </si>
  <si>
    <t>517017</t>
  </si>
  <si>
    <t>K-HETTICH AvanTech You 187/500 Q30/SiSy/PTOs antracit vrut - Vesta S zdarma</t>
  </si>
  <si>
    <t>528928</t>
  </si>
  <si>
    <t>K-HETTICH AvanTech You 187/500 Q30/SiSy/PTOs bílá vrut  - Vesta L zdarma</t>
  </si>
  <si>
    <t>528916</t>
  </si>
  <si>
    <t>K-HETTICH AvanTech You 187/500 Q30/SiSy/PTOs bílá vrut  - Vesta M zdarma</t>
  </si>
  <si>
    <t>528940</t>
  </si>
  <si>
    <t>K-HETTICH AvanTech You 187/500 Q30/SiSy/PTOs bílá vrut  - Vesta XL zdarma</t>
  </si>
  <si>
    <t>517021</t>
  </si>
  <si>
    <t>K-HETTICH AvanTech You 187/500 Q30/SiSy/PTOs bílá vrut - Vesta S zdarma</t>
  </si>
  <si>
    <t>528926</t>
  </si>
  <si>
    <t>K-HETTICH AvanTech You 187/500 Q30/SiSy/PTOs stříbrná vrut  - Vesta L zdarma</t>
  </si>
  <si>
    <t>528914</t>
  </si>
  <si>
    <t>K-HETTICH AvanTech You 187/500 Q30/SiSy/PTOs stříbrná vrut  - Vesta M zdarma</t>
  </si>
  <si>
    <t>528938</t>
  </si>
  <si>
    <t>K-HETTICH AvanTech You 187/500 Q30/SiSy/PTOs stříbrná vrut  - Vesta XL zdarma</t>
  </si>
  <si>
    <t>517019</t>
  </si>
  <si>
    <t>K-HETTICH AvanTech You 187/500 Q30/SiSy/PTOs stříbrná vrut - Vesta S zdarma</t>
  </si>
  <si>
    <t>378883</t>
  </si>
  <si>
    <t>K-HETTICH balení Accura balíček 4 PL</t>
  </si>
  <si>
    <t>378874</t>
  </si>
  <si>
    <t>K-HETTICH balení Atira balíček 1 PL</t>
  </si>
  <si>
    <t>378875</t>
  </si>
  <si>
    <t>K-HETTICH balení Atira balíček 2 PL</t>
  </si>
  <si>
    <t>341613</t>
  </si>
  <si>
    <t>K-HETTICH InnoTech Atira 70/300 antracit bez výsuvů</t>
  </si>
  <si>
    <t>341598</t>
  </si>
  <si>
    <t>K-HETTICH InnoTech Atira 70/300 bílá bez výsuvů</t>
  </si>
  <si>
    <t>341614</t>
  </si>
  <si>
    <t>K-HETTICH InnoTech Atira 70/350 antracit bez výsuvů</t>
  </si>
  <si>
    <t>341599</t>
  </si>
  <si>
    <t>K-HETTICH InnoTech Atira 70/350 bílá bez výsuvů</t>
  </si>
  <si>
    <t>341616</t>
  </si>
  <si>
    <t>K-HETTICH InnoTech Atira 70/470 antracit bez výsuvů</t>
  </si>
  <si>
    <t>341601</t>
  </si>
  <si>
    <t>K-HETTICH InnoTech Atira 70/470 bílá bez výsuvů</t>
  </si>
  <si>
    <t>341617</t>
  </si>
  <si>
    <t>K-HETTICH InnoTech Atira 70/520 antracit bez výsuvů</t>
  </si>
  <si>
    <t>341602</t>
  </si>
  <si>
    <t>K-HETTICH InnoTech Atira 70/520 bílá bez výsuvů</t>
  </si>
  <si>
    <t>360255</t>
  </si>
  <si>
    <t>K-HETTICH InnoTech Atira podélný reling 260, stříbrný, hmoždinka</t>
  </si>
  <si>
    <t>341618</t>
  </si>
  <si>
    <t>K-HETTICH InnoTech Atira vč. relingu 144/300 antracit bez výsuvů</t>
  </si>
  <si>
    <t>341603</t>
  </si>
  <si>
    <t>K-HETTICH InnoTech Atira vč. relingu 144/300 bílá bez výsuvů</t>
  </si>
  <si>
    <t>341619</t>
  </si>
  <si>
    <t>K-HETTICH InnoTech Atira vč. relingu 144/350 antracit bez výsuvů</t>
  </si>
  <si>
    <t>341604</t>
  </si>
  <si>
    <t>K-HETTICH InnoTech Atira vč. relingu 144/350 bílá bez výsuvů</t>
  </si>
  <si>
    <t>341620</t>
  </si>
  <si>
    <t>K-HETTICH InnoTech Atira vč. relingu 144/420 antracit bez výsuvů</t>
  </si>
  <si>
    <t>341605</t>
  </si>
  <si>
    <t>K-HETTICH InnoTech Atira vč. relingu 144/420 bílá bez výsuvů</t>
  </si>
  <si>
    <t>341621</t>
  </si>
  <si>
    <t>K-HETTICH InnoTech Atira vč. relingu 144/470 antracit bez výsuvů</t>
  </si>
  <si>
    <t>341606</t>
  </si>
  <si>
    <t>K-HETTICH InnoTech Atira vč. relingu 144/470 bílá bez výsuvů</t>
  </si>
  <si>
    <t>341622</t>
  </si>
  <si>
    <t>K-HETTICH InnoTech Atira vč. relingu 144/520 antracit bez výsuvů</t>
  </si>
  <si>
    <t>341607</t>
  </si>
  <si>
    <t>K-HETTICH InnoTech Atira vč. relingu 144/520 bílá bez výsuvů</t>
  </si>
  <si>
    <t>341623</t>
  </si>
  <si>
    <t>K-HETTICH InnoTech Atira vč. relingu 176/300 antracit bez výsuvů</t>
  </si>
  <si>
    <t>341608</t>
  </si>
  <si>
    <t>K-HETTICH InnoTech Atira vč. relingu 176/300 bílá bez výsuvů</t>
  </si>
  <si>
    <t>341624</t>
  </si>
  <si>
    <t>K-HETTICH InnoTech Atira vč. relingu 176/350 antracit bez výsuvů</t>
  </si>
  <si>
    <t>341609</t>
  </si>
  <si>
    <t>K-HETTICH InnoTech Atira vč. relingu 176/350 bílá bez výsuvů</t>
  </si>
  <si>
    <t>341625</t>
  </si>
  <si>
    <t>K-HETTICH InnoTech Atira vč. relingu 176/420 antracit bez výsuvů</t>
  </si>
  <si>
    <t>341610</t>
  </si>
  <si>
    <t>K-HETTICH InnoTech Atira vč. relingu 176/420 bílá bez výsuvů</t>
  </si>
  <si>
    <t>341626</t>
  </si>
  <si>
    <t>K-HETTICH InnoTech Atira vč. relingu 176/470 antracit bez výsuvů</t>
  </si>
  <si>
    <t>341611</t>
  </si>
  <si>
    <t>K-HETTICH InnoTech Atira vč. relingu 176/470 bílá bez výsuvů</t>
  </si>
  <si>
    <t>341627</t>
  </si>
  <si>
    <t>K-HETTICH InnoTech Atira vč. relingu 176/520 antracit bez výsuvů</t>
  </si>
  <si>
    <t>341612</t>
  </si>
  <si>
    <t>K-HETTICH InnoTech Atira vč. relingu 176/520 bílá bez výsuvů</t>
  </si>
  <si>
    <t>357749</t>
  </si>
  <si>
    <t>K-HETTICH InnoTech Atira, čelní, bílý, 520/70 144, 30kg, PTO</t>
  </si>
  <si>
    <t>357710</t>
  </si>
  <si>
    <t>K-HETTICH InnoTech Atira, čelní, bílý, 520/70 30kg, PTO</t>
  </si>
  <si>
    <t>357789</t>
  </si>
  <si>
    <t>K-HETTICH InnoTech Atira, čelní, bílý, 520/70/176 vč. relingu, 30kg, PTO</t>
  </si>
  <si>
    <t>357805</t>
  </si>
  <si>
    <t>K-HETTICH InnoTech Atira, čelní, bílý, 520/70/176 vč. relingu, 30kg, PTOs</t>
  </si>
  <si>
    <t>342102</t>
  </si>
  <si>
    <t>K-HETTICH Komplet Atira 300/144 mm stříbrný</t>
  </si>
  <si>
    <t>342107</t>
  </si>
  <si>
    <t>K-HETTICH Komplet Atira 300/176 mm stříbrný</t>
  </si>
  <si>
    <t>342097</t>
  </si>
  <si>
    <t>K-HETTICH Komplet Atira 300/70 mm stříbrný</t>
  </si>
  <si>
    <t>342103</t>
  </si>
  <si>
    <t>K-HETTICH Komplet Atira 350/144 mm stříbrný</t>
  </si>
  <si>
    <t>342108</t>
  </si>
  <si>
    <t>K-HETTICH Komplet Atira 350/176 mm stříbrný</t>
  </si>
  <si>
    <t>342098</t>
  </si>
  <si>
    <t>K-HETTICH Komplet Atira 350/70 mm stříbrný</t>
  </si>
  <si>
    <t>342104</t>
  </si>
  <si>
    <t>K-HETTICH Komplet Atira 420/144 mm stříbrný</t>
  </si>
  <si>
    <t>342109</t>
  </si>
  <si>
    <t>K-HETTICH Komplet Atira 420/176 mm stříbrný</t>
  </si>
  <si>
    <t>342099</t>
  </si>
  <si>
    <t>K-HETTICH Komplet Atira 420/70 mm stříbrný</t>
  </si>
  <si>
    <t>303792</t>
  </si>
  <si>
    <t>K-HETTICH Komplet Atira 470 + 3 příborníky</t>
  </si>
  <si>
    <t>342105</t>
  </si>
  <si>
    <t>K-HETTICH Komplet Atira 470/144 mm stříbrný</t>
  </si>
  <si>
    <t>342110</t>
  </si>
  <si>
    <t>K-HETTICH Komplet Atira 470/176 mm stříbrný</t>
  </si>
  <si>
    <t>342096</t>
  </si>
  <si>
    <t>K-HETTICH Komplet Atira 470/54 mm stříbrný</t>
  </si>
  <si>
    <t>342100</t>
  </si>
  <si>
    <t>K-HETTICH Komplet Atira 470/70 mm stříbrný</t>
  </si>
  <si>
    <t>342106</t>
  </si>
  <si>
    <t>K-HETTICH Komplet Atira 520/144 mm stříbrný</t>
  </si>
  <si>
    <t>342111</t>
  </si>
  <si>
    <t>K-HETTICH Komplet Atira 520/176 mm stříbrný</t>
  </si>
  <si>
    <t>342101</t>
  </si>
  <si>
    <t>K-HETTICH Komplet Atira 520/70 mm stříbrný</t>
  </si>
  <si>
    <t>545112</t>
  </si>
  <si>
    <t>K-HETTICH komplet AvanTech YOU 101/270, antracit, 30 kg, Q/PTO, vrut</t>
  </si>
  <si>
    <t>533140</t>
  </si>
  <si>
    <t>K-HETTICH komplet AvanTech YOU 101/270, antracit, 30 kg, Q/SiSy, vrut</t>
  </si>
  <si>
    <t>545188</t>
  </si>
  <si>
    <t>K-HETTICH komplet AvanTech YOU 101/270, antracit, 40 kg, A/SiSy, vrut</t>
  </si>
  <si>
    <t>545083</t>
  </si>
  <si>
    <t>K-HETTICH komplet AvanTech YOU 101/270, bílá, 30 kg, Q/PTO, vrut</t>
  </si>
  <si>
    <t>533074</t>
  </si>
  <si>
    <t>K-HETTICH komplet AvanTech YOU 101/270, bílá, 30 kg, Q/SiSy, vrut</t>
  </si>
  <si>
    <t>545142</t>
  </si>
  <si>
    <t>K-HETTICH komplet AvanTech YOU 101/270, bílá, 40 kg, A/SiSy, vrut</t>
  </si>
  <si>
    <t>533107</t>
  </si>
  <si>
    <t>K-HETTICH komplet AvanTech YOU 101/270, stříbrný, 30 kg, Q/SiSy, vrut</t>
  </si>
  <si>
    <t>545113</t>
  </si>
  <si>
    <t>K-HETTICH komplet AvanTech YOU 101/300, antracit, 30 kg, Q/PTO, vrut</t>
  </si>
  <si>
    <t>533141</t>
  </si>
  <si>
    <t>K-HETTICH komplet AvanTech YOU 101/300, antracit, 30 kg, Q/SiSy, vrut</t>
  </si>
  <si>
    <t>545189</t>
  </si>
  <si>
    <t>K-HETTICH komplet AvanTech YOU 101/300, antracit, 40 kg, A/SiSy, vrut</t>
  </si>
  <si>
    <t>545084</t>
  </si>
  <si>
    <t>K-HETTICH komplet AvanTech YOU 101/300, bílá, 30 kg, Q/PTO, vrut</t>
  </si>
  <si>
    <t>533075</t>
  </si>
  <si>
    <t>K-HETTICH komplet AvanTech YOU 101/300, bílá, 30 kg, Q/SiSy, vrut</t>
  </si>
  <si>
    <t>545143</t>
  </si>
  <si>
    <t>K-HETTICH komplet AvanTech YOU 101/300, bílá, 40 kg, A/SiSy, vrut</t>
  </si>
  <si>
    <t>533108</t>
  </si>
  <si>
    <t>K-HETTICH komplet AvanTech YOU 101/300, stříbrný, 30 kg, Q/SiSy, vrut</t>
  </si>
  <si>
    <t>545114</t>
  </si>
  <si>
    <t>K-HETTICH komplet AvanTech YOU 101/350, antracit, 30 kg, Q/PTO, vrut</t>
  </si>
  <si>
    <t>533142</t>
  </si>
  <si>
    <t>K-HETTICH komplet AvanTech YOU 101/350, antracit, 30 kg, Q/SiSy, vrut</t>
  </si>
  <si>
    <t>545190</t>
  </si>
  <si>
    <t>K-HETTICH komplet AvanTech YOU 101/350, antracit, 40 kg, A/SiSy, vrut</t>
  </si>
  <si>
    <t>545085</t>
  </si>
  <si>
    <t>K-HETTICH komplet AvanTech YOU 101/350, bílá, 30 kg, Q/PTO, vrut</t>
  </si>
  <si>
    <t>533076</t>
  </si>
  <si>
    <t>K-HETTICH komplet AvanTech YOU 101/350, bílá, 30 kg, Q/SiSy, vrut</t>
  </si>
  <si>
    <t>545144</t>
  </si>
  <si>
    <t>K-HETTICH komplet AvanTech YOU 101/350, bílá, 40 kg, A/SiSy, vrut</t>
  </si>
  <si>
    <t>533109</t>
  </si>
  <si>
    <t>K-HETTICH komplet AvanTech YOU 101/350, stříbrný, 30 kg, Q/SiSy, vrut</t>
  </si>
  <si>
    <t>545115</t>
  </si>
  <si>
    <t>K-HETTICH komplet AvanTech YOU 101/400, antracit, 30 kg, Q/PTO, vrut</t>
  </si>
  <si>
    <t>533143</t>
  </si>
  <si>
    <t>K-HETTICH komplet AvanTech YOU 101/400, antracit, 30 kg, Q/SiSy, vrut</t>
  </si>
  <si>
    <t>558436</t>
  </si>
  <si>
    <t>K-HETTICH komplet AvanTech YOU 101/400, antracit, 40 kg, A/SiSy, hmoždinka</t>
  </si>
  <si>
    <t>545191</t>
  </si>
  <si>
    <t>K-HETTICH komplet AvanTech YOU 101/400, antracit, 40 kg, A/SiSy, vrut</t>
  </si>
  <si>
    <t>545086</t>
  </si>
  <si>
    <t>K-HETTICH komplet AvanTech YOU 101/400, bílá, 30 kg, Q/PTO, vrut</t>
  </si>
  <si>
    <t>533077</t>
  </si>
  <si>
    <t>K-HETTICH komplet AvanTech YOU 101/400, bílá, 30 kg, Q/SiSy, vrut</t>
  </si>
  <si>
    <t>545145</t>
  </si>
  <si>
    <t>K-HETTICH komplet AvanTech YOU 101/400, bílá, 40 kg, A/SiSy, vrut</t>
  </si>
  <si>
    <t>533110</t>
  </si>
  <si>
    <t>K-HETTICH komplet AvanTech YOU 101/400, stříbrný, 30 kg, Q/SiSy, vrut</t>
  </si>
  <si>
    <t>545116</t>
  </si>
  <si>
    <t>K-HETTICH komplet AvanTech YOU 101/450, antracit, 30 kg, Q/PTO, vrut</t>
  </si>
  <si>
    <t>533062</t>
  </si>
  <si>
    <t>K-HETTICH komplet AvanTech YOU 101/450, antracit, 30 kg, Q/SiSy, vrut</t>
  </si>
  <si>
    <t>558437</t>
  </si>
  <si>
    <t>K-HETTICH komplet AvanTech YOU 101/450, antracit, 40 kg, A/SiSy, hmoždinka</t>
  </si>
  <si>
    <t>545192</t>
  </si>
  <si>
    <t>K-HETTICH komplet AvanTech YOU 101/450, antracit, 40 kg, A/SiSy, vrut</t>
  </si>
  <si>
    <t>545193</t>
  </si>
  <si>
    <t>K-HETTICH komplet AvanTech YOU 101/450, antracit, 70 kg, A/SiSy, vrut</t>
  </si>
  <si>
    <t>545087</t>
  </si>
  <si>
    <t>K-HETTICH komplet AvanTech YOU 101/450, bílá, 30 kg, Q/PTO, vrut</t>
  </si>
  <si>
    <t>533058</t>
  </si>
  <si>
    <t>K-HETTICH komplet AvanTech YOU 101/450, bílá, 30 kg, Q/SiSy, vrut</t>
  </si>
  <si>
    <t>545146</t>
  </si>
  <si>
    <t>K-HETTICH komplet AvanTech YOU 101/450, bílá, 40 kg, A/SiSy, vrut</t>
  </si>
  <si>
    <t>545147</t>
  </si>
  <si>
    <t>K-HETTICH komplet AvanTech YOU 101/450, bílá, 70 kg, A/SiSy, vrut</t>
  </si>
  <si>
    <t>533066</t>
  </si>
  <si>
    <t>K-HETTICH komplet AvanTech YOU 101/450, stříbrný, 30 kg, Q/SiSy, vrut</t>
  </si>
  <si>
    <t>545117</t>
  </si>
  <si>
    <t>K-HETTICH komplet AvanTech YOU 101/500, antracit, 30 kg, Q/PTO, vrut</t>
  </si>
  <si>
    <t>533064</t>
  </si>
  <si>
    <t>K-HETTICH komplet AvanTech YOU 101/500, antracit, 30 kg, Q/SiSy, vrut</t>
  </si>
  <si>
    <t>558438</t>
  </si>
  <si>
    <t>K-HETTICH komplet AvanTech YOU 101/500, antracit, 40 kg, A/SiSy, hmoždinka</t>
  </si>
  <si>
    <t>545194</t>
  </si>
  <si>
    <t>K-HETTICH komplet AvanTech YOU 101/500, antracit, 40 kg, A/SiSy, vrut</t>
  </si>
  <si>
    <t>545195</t>
  </si>
  <si>
    <t>K-HETTICH komplet AvanTech YOU 101/500, antracit, 70 kg, A/SiSy, vrut</t>
  </si>
  <si>
    <t>545088</t>
  </si>
  <si>
    <t>K-HETTICH komplet AvanTech YOU 101/500, bílá, 30 kg, Q/PTO, vrut</t>
  </si>
  <si>
    <t>533060</t>
  </si>
  <si>
    <t>K-HETTICH komplet AvanTech YOU 101/500, bílá, 30 kg, Q/SiSy, vrut</t>
  </si>
  <si>
    <t>545148</t>
  </si>
  <si>
    <t>K-HETTICH komplet AvanTech YOU 101/500, bílá, 40 kg, A/SiSy, vrut</t>
  </si>
  <si>
    <t>545149</t>
  </si>
  <si>
    <t>K-HETTICH komplet AvanTech YOU 101/500, bílá, 70 kg, A/SiSy, vrut</t>
  </si>
  <si>
    <t>533068</t>
  </si>
  <si>
    <t>K-HETTICH komplet AvanTech YOU 101/500, stříbrný, 30 kg, Q/SiSy, vrut</t>
  </si>
  <si>
    <t>545118</t>
  </si>
  <si>
    <t>K-HETTICH komplet AvanTech YOU 101/550, antracit, 30 kg, Q/PTO, vrut</t>
  </si>
  <si>
    <t>533144</t>
  </si>
  <si>
    <t>K-HETTICH komplet AvanTech YOU 101/550, antracit, 30 kg, Q/SiSy, vrut</t>
  </si>
  <si>
    <t>558439</t>
  </si>
  <si>
    <t>K-HETTICH komplet AvanTech YOU 101/550, antracit, 40 kg, A/SiSy, hmoždinka</t>
  </si>
  <si>
    <t>545196</t>
  </si>
  <si>
    <t>K-HETTICH komplet AvanTech YOU 101/550, antracit, 40 kg, A/SiSy, vrut</t>
  </si>
  <si>
    <t>545197</t>
  </si>
  <si>
    <t>K-HETTICH komplet AvanTech YOU 101/550, antracit, 70 kg, A/SiSy, vrut</t>
  </si>
  <si>
    <t>545089</t>
  </si>
  <si>
    <t>K-HETTICH komplet AvanTech YOU 101/550, bílá, 30 kg, Q/PTO, vrut</t>
  </si>
  <si>
    <t>533078</t>
  </si>
  <si>
    <t>K-HETTICH komplet AvanTech YOU 101/550, bílá, 30 kg, Q/SiSy, vrut</t>
  </si>
  <si>
    <t>545150</t>
  </si>
  <si>
    <t>K-HETTICH komplet AvanTech YOU 101/550, bílá, 40 kg, A/SiSy, vrut</t>
  </si>
  <si>
    <t>545151</t>
  </si>
  <si>
    <t>K-HETTICH komplet AvanTech YOU 101/550, bílá, 70 kg, A/SiSy, vrut</t>
  </si>
  <si>
    <t>533111</t>
  </si>
  <si>
    <t>K-HETTICH komplet AvanTech YOU 101/550, stříbrný, 30 kg, Q/SiSy, vrut</t>
  </si>
  <si>
    <t>545119</t>
  </si>
  <si>
    <t>K-HETTICH komplet AvanTech YOU 101/600, antracit, 30 kg, Q/PTO, vrut</t>
  </si>
  <si>
    <t>533145</t>
  </si>
  <si>
    <t>K-HETTICH komplet AvanTech YOU 101/600, antracit, 30 kg, Q/SiSy, vrut</t>
  </si>
  <si>
    <t>558440</t>
  </si>
  <si>
    <t>K-HETTICH komplet AvanTech YOU 101/600, antracit, 40 kg, A/SiSy, hmoždinka</t>
  </si>
  <si>
    <t>545198</t>
  </si>
  <si>
    <t>K-HETTICH komplet AvanTech YOU 101/600, antracit, 40 kg, A/SiSy, vrut</t>
  </si>
  <si>
    <t>545199</t>
  </si>
  <si>
    <t>K-HETTICH komplet AvanTech YOU 101/600, antracit, 70 kg, A/SiSy, vrut</t>
  </si>
  <si>
    <t>545090</t>
  </si>
  <si>
    <t>K-HETTICH komplet AvanTech YOU 101/600, bílá, 30 kg, Q/PTO, vrut</t>
  </si>
  <si>
    <t>533079</t>
  </si>
  <si>
    <t>K-HETTICH komplet AvanTech YOU 101/600, bílá, 30 kg, Q/SiSy, vrut</t>
  </si>
  <si>
    <t>545152</t>
  </si>
  <si>
    <t>K-HETTICH komplet AvanTech YOU 101/600, bílá, 40 kg, A/SiSy, vrut</t>
  </si>
  <si>
    <t>545153</t>
  </si>
  <si>
    <t>K-HETTICH komplet AvanTech YOU 101/600, bílá, 70 kg, A/SiSy, vrut</t>
  </si>
  <si>
    <t>533112</t>
  </si>
  <si>
    <t>K-HETTICH komplet AvanTech YOU 101/600, stříbrný, 30 kg, Q/SiSy, vrut</t>
  </si>
  <si>
    <t>533146</t>
  </si>
  <si>
    <t>K-HETTICH komplet AvanTech YOU 101/650, antracit, 70 kg, A/SiSy, vrut</t>
  </si>
  <si>
    <t>533080</t>
  </si>
  <si>
    <t>K-HETTICH komplet AvanTech YOU 101/650, bílá, 70 kg, A/SiSy, vrut</t>
  </si>
  <si>
    <t>533113</t>
  </si>
  <si>
    <t>K-HETTICH komplet AvanTech YOU 101/650, stříbrný, 70 kg, A/SiSy, vrut</t>
  </si>
  <si>
    <t>545120</t>
  </si>
  <si>
    <t>K-HETTICH komplet AvanTech YOU 139/300, antracit, 30 kg, Q/PTO, vrut</t>
  </si>
  <si>
    <t>533147</t>
  </si>
  <si>
    <t>K-HETTICH komplet AvanTech YOU 139/300, antracit, 30 kg, Q/SiSy, vrut</t>
  </si>
  <si>
    <t>545200</t>
  </si>
  <si>
    <t>K-HETTICH komplet AvanTech YOU 139/300, antracit, 40 kg, A/SiSy, vrut</t>
  </si>
  <si>
    <t>545091</t>
  </si>
  <si>
    <t>K-HETTICH komplet AvanTech YOU 139/300, bílá, 30 kg, Q/PTO, vrut</t>
  </si>
  <si>
    <t>533088</t>
  </si>
  <si>
    <t>K-HETTICH komplet AvanTech YOU 139/300, bílá, 30 kg, Q/SiSy, vrut</t>
  </si>
  <si>
    <t>545154</t>
  </si>
  <si>
    <t>K-HETTICH komplet AvanTech YOU 139/300, bílá, 40 kg, A/SiSy, vrut</t>
  </si>
  <si>
    <t>533114</t>
  </si>
  <si>
    <t>K-HETTICH komplet AvanTech YOU 139/300, stříbrný, 30 kg, Q/SiSy, vrut</t>
  </si>
  <si>
    <t>545121</t>
  </si>
  <si>
    <t>K-HETTICH komplet AvanTech YOU 139/350, antracit, 30 kg, Q/PTO, vrut</t>
  </si>
  <si>
    <t>533148</t>
  </si>
  <si>
    <t>K-HETTICH komplet AvanTech YOU 139/350, antracit, 30 kg, Q/SiSy, vrut</t>
  </si>
  <si>
    <t>545201</t>
  </si>
  <si>
    <t>K-HETTICH komplet AvanTech YOU 139/350, antracit, 40 kg, A/SiSy, vrut</t>
  </si>
  <si>
    <t>545092</t>
  </si>
  <si>
    <t>K-HETTICH komplet AvanTech YOU 139/350, bílá, 30 kg, Q/PTO, vrut</t>
  </si>
  <si>
    <t>533089</t>
  </si>
  <si>
    <t>K-HETTICH komplet AvanTech YOU 139/350, bílá, 30 kg, Q/SiSy, vrut</t>
  </si>
  <si>
    <t>545155</t>
  </si>
  <si>
    <t>K-HETTICH komplet AvanTech YOU 139/350, bílá, 40 kg, A/SiSy, vrut</t>
  </si>
  <si>
    <t>533115</t>
  </si>
  <si>
    <t>K-HETTICH komplet AvanTech YOU 139/350, stříbrný, 30 kg, Q/SiSy, vrut</t>
  </si>
  <si>
    <t>545122</t>
  </si>
  <si>
    <t>K-HETTICH komplet AvanTech YOU 139/400, antracit, 30 kg, Q/PTO, vrut</t>
  </si>
  <si>
    <t>533149</t>
  </si>
  <si>
    <t>K-HETTICH komplet AvanTech YOU 139/400, antracit, 30 kg, Q/SiSy, vrut</t>
  </si>
  <si>
    <t>545202</t>
  </si>
  <si>
    <t>K-HETTICH komplet AvanTech YOU 139/400, antracit, 40 kg, A/SiSy, vrut</t>
  </si>
  <si>
    <t>545093</t>
  </si>
  <si>
    <t>K-HETTICH komplet AvanTech YOU 139/400, bílá, 30 kg, Q/PTO, vrut</t>
  </si>
  <si>
    <t>533090</t>
  </si>
  <si>
    <t>K-HETTICH komplet AvanTech YOU 139/400, bílá, 30 kg, Q/SiSy, vrut</t>
  </si>
  <si>
    <t>545156</t>
  </si>
  <si>
    <t>K-HETTICH komplet AvanTech YOU 139/400, bílá, 40 kg, A/SiSy, vrut</t>
  </si>
  <si>
    <t>533116</t>
  </si>
  <si>
    <t>K-HETTICH komplet AvanTech YOU 139/400, stříbrný, 30 kg, Q/SiSy, vrut</t>
  </si>
  <si>
    <t>545123</t>
  </si>
  <si>
    <t>K-HETTICH komplet AvanTech YOU 139/450, antracit, 30 kg, Q/PTO, vrut</t>
  </si>
  <si>
    <t>533150</t>
  </si>
  <si>
    <t>K-HETTICH komplet AvanTech YOU 139/450, antracit, 30 kg, Q/SiSy, vrut</t>
  </si>
  <si>
    <t>545203</t>
  </si>
  <si>
    <t>K-HETTICH komplet AvanTech YOU 139/450, antracit, 40 kg, A/SiSy, vrut</t>
  </si>
  <si>
    <t>545204</t>
  </si>
  <si>
    <t>K-HETTICH komplet AvanTech YOU 139/450, antracit, 70 kg, A/SiSy, vrut</t>
  </si>
  <si>
    <t>545094</t>
  </si>
  <si>
    <t>K-HETTICH komplet AvanTech YOU 139/450, bílá, 30 kg, Q/PTO, vrut</t>
  </si>
  <si>
    <t>533091</t>
  </si>
  <si>
    <t>K-HETTICH komplet AvanTech YOU 139/450, bílá, 30 kg, Q/SiSy, vrut</t>
  </si>
  <si>
    <t>545157</t>
  </si>
  <si>
    <t>K-HETTICH komplet AvanTech YOU 139/450, bílá, 40 kg, A/SiSy, vrut</t>
  </si>
  <si>
    <t>545158</t>
  </si>
  <si>
    <t>K-HETTICH komplet AvanTech YOU 139/450, bílá, 70 kg, A/SiSy, vrut</t>
  </si>
  <si>
    <t>533117</t>
  </si>
  <si>
    <t>K-HETTICH komplet AvanTech YOU 139/450, stříbrný, 30 kg, Q/SiSy, vrut</t>
  </si>
  <si>
    <t>545124</t>
  </si>
  <si>
    <t>K-HETTICH komplet AvanTech YOU 139/500, antracit, 30 kg, Q/PTO, vrut</t>
  </si>
  <si>
    <t>533151</t>
  </si>
  <si>
    <t>K-HETTICH komplet AvanTech YOU 139/500, antracit, 30 kg, Q/SiSy, vrut</t>
  </si>
  <si>
    <t>545205</t>
  </si>
  <si>
    <t>K-HETTICH komplet AvanTech YOU 139/500, antracit, 40 kg, A/SiSy, vrut</t>
  </si>
  <si>
    <t>545206</t>
  </si>
  <si>
    <t>K-HETTICH komplet AvanTech YOU 139/500, antracit, 70 kg, A/SiSy, vrut</t>
  </si>
  <si>
    <t>545095</t>
  </si>
  <si>
    <t>K-HETTICH komplet AvanTech YOU 139/500, bílá, 30 kg, Q/PTO, vrut</t>
  </si>
  <si>
    <t>533092</t>
  </si>
  <si>
    <t>K-HETTICH komplet AvanTech YOU 139/500, bílá, 30 kg, Q/SiSy, vrut</t>
  </si>
  <si>
    <t>545159</t>
  </si>
  <si>
    <t>K-HETTICH komplet AvanTech YOU 139/500, bílá, 40 kg, A/SiSy, vrut</t>
  </si>
  <si>
    <t>545160</t>
  </si>
  <si>
    <t>K-HETTICH komplet AvanTech YOU 139/500, bílá, 70 kg, A/SiSy, vrut</t>
  </si>
  <si>
    <t>533118</t>
  </si>
  <si>
    <t>K-HETTICH komplet AvanTech YOU 139/500, stříbrný, 30 kg, Q/SiSy, vrut</t>
  </si>
  <si>
    <t>545125</t>
  </si>
  <si>
    <t>K-HETTICH komplet AvanTech YOU 139/550, antracit, 30 kg, Q/PTO, vrut</t>
  </si>
  <si>
    <t>533152</t>
  </si>
  <si>
    <t>K-HETTICH komplet AvanTech YOU 139/550, antracit, 30 kg, Q/SiSy, vrut</t>
  </si>
  <si>
    <t>545207</t>
  </si>
  <si>
    <t>K-HETTICH komplet AvanTech YOU 139/550, antracit, 40 kg, A/SiSy, vrut</t>
  </si>
  <si>
    <t>545208</t>
  </si>
  <si>
    <t>K-HETTICH komplet AvanTech YOU 139/550, antracit, 70 kg, A/SiSy, vrut</t>
  </si>
  <si>
    <t>545096</t>
  </si>
  <si>
    <t>K-HETTICH komplet AvanTech YOU 139/550, bílá, 30 kg, Q/PTO, vrut</t>
  </si>
  <si>
    <t>533093</t>
  </si>
  <si>
    <t>K-HETTICH komplet AvanTech YOU 139/550, bílá, 30 kg, Q/SiSy, vrut</t>
  </si>
  <si>
    <t>545161</t>
  </si>
  <si>
    <t>K-HETTICH komplet AvanTech YOU 139/550, bílá, 40 kg, A/SiSy, vrut</t>
  </si>
  <si>
    <t>545162</t>
  </si>
  <si>
    <t>K-HETTICH komplet AvanTech YOU 139/550, bílá, 70 kg, A/SiSy, vrut</t>
  </si>
  <si>
    <t>533119</t>
  </si>
  <si>
    <t>K-HETTICH komplet AvanTech YOU 139/550, stříbrný, 30 kg, Q/SiSy, vrut</t>
  </si>
  <si>
    <t>545126</t>
  </si>
  <si>
    <t>K-HETTICH komplet AvanTech YOU 139/600, antracit, 30 kg, Q/PTO, vrut</t>
  </si>
  <si>
    <t>533153</t>
  </si>
  <si>
    <t>K-HETTICH komplet AvanTech YOU 139/600, antracit, 30 kg, Q/SiSy, vrut</t>
  </si>
  <si>
    <t>545209</t>
  </si>
  <si>
    <t>K-HETTICH komplet AvanTech YOU 139/600, antracit, 40 kg, A/SiSy, vrut</t>
  </si>
  <si>
    <t>545210</t>
  </si>
  <si>
    <t>K-HETTICH komplet AvanTech YOU 139/600, antracit, 70 kg, A/SiSy, vrut</t>
  </si>
  <si>
    <t>545097</t>
  </si>
  <si>
    <t>K-HETTICH komplet AvanTech YOU 139/600, bílá, 30 kg, Q/PTO, vrut</t>
  </si>
  <si>
    <t>533094</t>
  </si>
  <si>
    <t>K-HETTICH komplet AvanTech YOU 139/600, bílá, 30 kg, Q/SiSy, vrut</t>
  </si>
  <si>
    <t>545163</t>
  </si>
  <si>
    <t>K-HETTICH komplet AvanTech YOU 139/600, bílá, 40 kg, A/SiSy, vrut</t>
  </si>
  <si>
    <t>545164</t>
  </si>
  <si>
    <t>K-HETTICH komplet AvanTech YOU 139/600, bílá, 70 kg, A/SiSy, vrut</t>
  </si>
  <si>
    <t>533120</t>
  </si>
  <si>
    <t>K-HETTICH komplet AvanTech YOU 139/600, stříbrný, 30 kg, Q/SiSy, vrut</t>
  </si>
  <si>
    <t>533154</t>
  </si>
  <si>
    <t>K-HETTICH komplet AvanTech YOU 139/650, antracit, 70 kg, A/SiSy, vrut</t>
  </si>
  <si>
    <t>533095</t>
  </si>
  <si>
    <t>K-HETTICH komplet AvanTech YOU 139/650, bílá, 70 kg, A/SiSy, vrut</t>
  </si>
  <si>
    <t>533121</t>
  </si>
  <si>
    <t>K-HETTICH komplet AvanTech YOU 139/650, stříbrný, 70 kg, A/SiSy, vrut</t>
  </si>
  <si>
    <t>545127</t>
  </si>
  <si>
    <t>K-HETTICH komplet AvanTech YOU 187/270, antracit, 30 kg, Q/PTO, vrut</t>
  </si>
  <si>
    <t>533155</t>
  </si>
  <si>
    <t>K-HETTICH komplet AvanTech YOU 187/270, antracit, 30 kg, Q/SiSy, vrut</t>
  </si>
  <si>
    <t>545211</t>
  </si>
  <si>
    <t>K-HETTICH komplet AvanTech YOU 187/270, antracit, 40 kg, A/SiSy, vrut</t>
  </si>
  <si>
    <t>545098</t>
  </si>
  <si>
    <t>K-HETTICH komplet AvanTech YOU 187/270, bílá, 30 kg, Q/PTO, vrut</t>
  </si>
  <si>
    <t>533081</t>
  </si>
  <si>
    <t>K-HETTICH komplet AvanTech YOU 187/270, bílá, 30 kg, Q/SiSy, vrut</t>
  </si>
  <si>
    <t>545165</t>
  </si>
  <si>
    <t>K-HETTICH komplet AvanTech YOU 187/270, bílá, 40 kg, A/SiSy, vrut</t>
  </si>
  <si>
    <t>533122</t>
  </si>
  <si>
    <t>K-HETTICH komplet AvanTech YOU 187/270, stříbrný, 30 kg, Q/SiSy, vrut</t>
  </si>
  <si>
    <t>545128</t>
  </si>
  <si>
    <t>K-HETTICH komplet AvanTech YOU 187/300, antracit, 30 kg, Q/PTO, vrut</t>
  </si>
  <si>
    <t>533156</t>
  </si>
  <si>
    <t>K-HETTICH komplet AvanTech YOU 187/300, antracit, 30 kg, Q/SiSy, vrut</t>
  </si>
  <si>
    <t>545212</t>
  </si>
  <si>
    <t>K-HETTICH komplet AvanTech YOU 187/300, antracit, 40 kg, A/SiSy, vrut</t>
  </si>
  <si>
    <t>545099</t>
  </si>
  <si>
    <t>K-HETTICH komplet AvanTech YOU 187/300, bílá, 30 kg, Q/PTO, vrut</t>
  </si>
  <si>
    <t>533082</t>
  </si>
  <si>
    <t>K-HETTICH komplet AvanTech YOU 187/300, bílá, 30 kg, Q/SiSy, vrut</t>
  </si>
  <si>
    <t>545166</t>
  </si>
  <si>
    <t>K-HETTICH komplet AvanTech YOU 187/300, bílá, 40 kg, A/SiSy, vrut</t>
  </si>
  <si>
    <t>533123</t>
  </si>
  <si>
    <t>K-HETTICH komplet AvanTech YOU 187/300, stříbrný, 30 kg, Q/SiSy, vrut</t>
  </si>
  <si>
    <t>545129</t>
  </si>
  <si>
    <t>K-HETTICH komplet AvanTech YOU 187/350, antracit, 30 kg, Q/PTO, vrut</t>
  </si>
  <si>
    <t>533157</t>
  </si>
  <si>
    <t>K-HETTICH komplet AvanTech YOU 187/350, antracit, 30 kg, Q/SiSy, vrut</t>
  </si>
  <si>
    <t>545213</t>
  </si>
  <si>
    <t>K-HETTICH komplet AvanTech YOU 187/350, antracit, 40 kg, A/SiSy, vrut</t>
  </si>
  <si>
    <t>545100</t>
  </si>
  <si>
    <t>K-HETTICH komplet AvanTech YOU 187/350, bílá, 30 kg, Q/PTO, vrut</t>
  </si>
  <si>
    <t>533083</t>
  </si>
  <si>
    <t>K-HETTICH komplet AvanTech YOU 187/350, bílá, 30 kg, Q/SiSy, vrut</t>
  </si>
  <si>
    <t>545167</t>
  </si>
  <si>
    <t>K-HETTICH komplet AvanTech YOU 187/350, bílá, 40 kg, A/SiSy, vrut</t>
  </si>
  <si>
    <t>533124</t>
  </si>
  <si>
    <t>K-HETTICH komplet AvanTech YOU 187/350, stříbrný, 30 kg, Q/SiSy, vrut</t>
  </si>
  <si>
    <t>545130</t>
  </si>
  <si>
    <t>K-HETTICH komplet AvanTech YOU 187/400, antracit, 30 kg, Q/PTO, vrut</t>
  </si>
  <si>
    <t>533158</t>
  </si>
  <si>
    <t>K-HETTICH komplet AvanTech YOU 187/400, antracit, 30 kg, Q/SiSy, vrut</t>
  </si>
  <si>
    <t>558441</t>
  </si>
  <si>
    <t>K-HETTICH komplet AvanTech YOU 187/400, antracit, 40 kg, A/SiSy, hmoždinka</t>
  </si>
  <si>
    <t>545214</t>
  </si>
  <si>
    <t>K-HETTICH komplet AvanTech YOU 187/400, antracit, 40 kg, A/SiSy, vrut</t>
  </si>
  <si>
    <t>545101</t>
  </si>
  <si>
    <t>K-HETTICH komplet AvanTech YOU 187/400, bílá, 30 kg, Q/PTO, vrut</t>
  </si>
  <si>
    <t>533084</t>
  </si>
  <si>
    <t>K-HETTICH komplet AvanTech YOU 187/400, bílá, 30 kg, Q/SiSy, vrut</t>
  </si>
  <si>
    <t>545168</t>
  </si>
  <si>
    <t>K-HETTICH komplet AvanTech YOU 187/400, bílá, 40 kg, A/SiSy, vrut</t>
  </si>
  <si>
    <t>533125</t>
  </si>
  <si>
    <t>K-HETTICH komplet AvanTech YOU 187/400, stříbrný, 30 kg, Q/SiSy, vrut</t>
  </si>
  <si>
    <t>545131</t>
  </si>
  <si>
    <t>K-HETTICH komplet AvanTech YOU 187/450, antracit, 30 kg, Q/PTO, vrut</t>
  </si>
  <si>
    <t>533063</t>
  </si>
  <si>
    <t>K-HETTICH komplet AvanTech YOU 187/450, antracit, 30 kg, Q/SiSy, vrut</t>
  </si>
  <si>
    <t>558442</t>
  </si>
  <si>
    <t>K-HETTICH komplet AvanTech YOU 187/450, antracit, 40 kg, A/SiSy, hmoždinka</t>
  </si>
  <si>
    <t>545215</t>
  </si>
  <si>
    <t>K-HETTICH komplet AvanTech YOU 187/450, antracit, 40 kg, A/SiSy, vrut</t>
  </si>
  <si>
    <t>545216</t>
  </si>
  <si>
    <t>K-HETTICH komplet AvanTech YOU 187/450, antracit, 70 kg, A/SiSy, vrut</t>
  </si>
  <si>
    <t>545102</t>
  </si>
  <si>
    <t>K-HETTICH komplet AvanTech YOU 187/450, bílá, 30 kg, Q/PTO, vrut</t>
  </si>
  <si>
    <t>533059</t>
  </si>
  <si>
    <t>K-HETTICH komplet AvanTech YOU 187/450, bílá, 30 kg, Q/SiSy, vrut</t>
  </si>
  <si>
    <t>545169</t>
  </si>
  <si>
    <t>K-HETTICH komplet AvanTech YOU 187/450, bílá, 40 kg, A/SiSy, vrut</t>
  </si>
  <si>
    <t>545170</t>
  </si>
  <si>
    <t>K-HETTICH komplet AvanTech YOU 187/450, bílá, 70 kg, A/SiSy, vrut</t>
  </si>
  <si>
    <t>533067</t>
  </si>
  <si>
    <t>K-HETTICH komplet AvanTech YOU 187/450, stříbrný, 30 kg, Q/SiSy, vrut</t>
  </si>
  <si>
    <t>545132</t>
  </si>
  <si>
    <t>K-HETTICH komplet AvanTech YOU 187/500, antracit, 30 kg, Q/PTO, vrut</t>
  </si>
  <si>
    <t>533065</t>
  </si>
  <si>
    <t>K-HETTICH komplet AvanTech YOU 187/500, antracit, 30 kg, Q/SiSy, vrut</t>
  </si>
  <si>
    <t>558443</t>
  </si>
  <si>
    <t>K-HETTICH komplet AvanTech YOU 187/500, antracit, 40 kg, A/SiSy, hmoždinka</t>
  </si>
  <si>
    <t>545217</t>
  </si>
  <si>
    <t>K-HETTICH komplet AvanTech YOU 187/500, antracit, 40 kg, A/SiSy, vrut</t>
  </si>
  <si>
    <t>545218</t>
  </si>
  <si>
    <t>K-HETTICH komplet AvanTech YOU 187/500, antracit, 70 kg, A/SiSy, vrut</t>
  </si>
  <si>
    <t>545103</t>
  </si>
  <si>
    <t>K-HETTICH komplet AvanTech YOU 187/500, bílá, 30 kg, Q/PTO, vrut</t>
  </si>
  <si>
    <t>533061</t>
  </si>
  <si>
    <t>K-HETTICH komplet AvanTech YOU 187/500, bílá, 30 kg, Q/SiSy, vrut</t>
  </si>
  <si>
    <t>545171</t>
  </si>
  <si>
    <t>K-HETTICH komplet AvanTech YOU 187/500, bílá, 40 kg, A/SiSy, vrut</t>
  </si>
  <si>
    <t>545172</t>
  </si>
  <si>
    <t>K-HETTICH komplet AvanTech YOU 187/500, bílá, 70 kg, A/SiSy, vrut</t>
  </si>
  <si>
    <t>533069</t>
  </si>
  <si>
    <t>K-HETTICH komplet AvanTech YOU 187/500, stříbrný, 30 kg, Q/SiSy, vrut</t>
  </si>
  <si>
    <t>545133</t>
  </si>
  <si>
    <t>K-HETTICH komplet AvanTech YOU 187/550, antracit, 30 kg, Q/PTO, vrut</t>
  </si>
  <si>
    <t>533159</t>
  </si>
  <si>
    <t>K-HETTICH komplet AvanTech YOU 187/550, antracit, 30 kg, Q/SiSy, vrut</t>
  </si>
  <si>
    <t>558444</t>
  </si>
  <si>
    <t>K-HETTICH komplet AvanTech YOU 187/550, antracit, 40 kg, A/SiSy, hmoždinka</t>
  </si>
  <si>
    <t>545219</t>
  </si>
  <si>
    <t>K-HETTICH komplet AvanTech YOU 187/550, antracit, 40 kg, A/SiSy, vrut</t>
  </si>
  <si>
    <t>545220</t>
  </si>
  <si>
    <t>K-HETTICH komplet AvanTech YOU 187/550, antracit, 70 kg, A/SiSy, vrut</t>
  </si>
  <si>
    <t>545104</t>
  </si>
  <si>
    <t>K-HETTICH komplet AvanTech YOU 187/550, bílá, 30 kg, Q/PTO, vrut</t>
  </si>
  <si>
    <t>533085</t>
  </si>
  <si>
    <t>K-HETTICH komplet AvanTech YOU 187/550, bílá, 30 kg, Q/SiSy, vrut</t>
  </si>
  <si>
    <t>545173</t>
  </si>
  <si>
    <t>K-HETTICH komplet AvanTech YOU 187/550, bílá, 40 kg, A/SiSy, vrut</t>
  </si>
  <si>
    <t>545174</t>
  </si>
  <si>
    <t>K-HETTICH komplet AvanTech YOU 187/550, bílá, 70 kg, A/SiSy, vrut</t>
  </si>
  <si>
    <t>533126</t>
  </si>
  <si>
    <t>K-HETTICH komplet AvanTech YOU 187/550, stříbrný, 30 kg, Q/SiSy, vrut</t>
  </si>
  <si>
    <t>545134</t>
  </si>
  <si>
    <t>K-HETTICH komplet AvanTech YOU 187/600, antracit, 30 kg, Q/PTO, vrut</t>
  </si>
  <si>
    <t>533160</t>
  </si>
  <si>
    <t>K-HETTICH komplet AvanTech YOU 187/600, antracit, 30 kg, Q/SiSy, vrut</t>
  </si>
  <si>
    <t>558445</t>
  </si>
  <si>
    <t>K-HETTICH komplet AvanTech YOU 187/600, antracit, 40 kg, A/SiSy, hmoždinka</t>
  </si>
  <si>
    <t>545221</t>
  </si>
  <si>
    <t>K-HETTICH komplet AvanTech YOU 187/600, antracit, 40 kg, A/SiSy, vrut</t>
  </si>
  <si>
    <t>545222</t>
  </si>
  <si>
    <t>K-HETTICH komplet AvanTech YOU 187/600, antracit, 70 kg, A/SiSy, vrut</t>
  </si>
  <si>
    <t>545105</t>
  </si>
  <si>
    <t>K-HETTICH komplet AvanTech YOU 187/600, bílá, 30 kg, Q/PTO, vrut</t>
  </si>
  <si>
    <t>533086</t>
  </si>
  <si>
    <t>K-HETTICH komplet AvanTech YOU 187/600, bílá, 30 kg, Q/SiSy, vrut</t>
  </si>
  <si>
    <t>545175</t>
  </si>
  <si>
    <t>K-HETTICH komplet AvanTech YOU 187/600, bílá, 40 kg, A/SiSy, vrut</t>
  </si>
  <si>
    <t>545176</t>
  </si>
  <si>
    <t>K-HETTICH komplet AvanTech YOU 187/600, bílá, 70 kg, A/SiSy, vrut</t>
  </si>
  <si>
    <t>533127</t>
  </si>
  <si>
    <t>K-HETTICH komplet AvanTech YOU 187/600, stříbrný, 30 kg, Q/SiSy, vrut</t>
  </si>
  <si>
    <t>533161</t>
  </si>
  <si>
    <t>K-HETTICH komplet AvanTech YOU 187/650, antracit, 70 kg, A/SiSy, vrut</t>
  </si>
  <si>
    <t>533087</t>
  </si>
  <si>
    <t>K-HETTICH komplet AvanTech YOU 187/650, bílá, 70 kg, A/SiSy, vrut</t>
  </si>
  <si>
    <t>533128</t>
  </si>
  <si>
    <t>K-HETTICH komplet AvanTech YOU 187/650, stříbrný, 70 kg, A/SiSy, vrut</t>
  </si>
  <si>
    <t>545135</t>
  </si>
  <si>
    <t>K-HETTICH komplet AvanTech YOU 251/350, antracit, 30 kg, Q/PTO, vrut</t>
  </si>
  <si>
    <t>533162</t>
  </si>
  <si>
    <t>K-HETTICH komplet AvanTech YOU 251/350, antracit, 30 kg, Q/SiSy, vrut</t>
  </si>
  <si>
    <t>545223</t>
  </si>
  <si>
    <t>K-HETTICH komplet AvanTech YOU 251/350, antracit, 40 kg, A/SiSy, vrut</t>
  </si>
  <si>
    <t>545106</t>
  </si>
  <si>
    <t>K-HETTICH komplet AvanTech YOU 251/350, bílá, 30 kg, Q/PTO, vrut</t>
  </si>
  <si>
    <t>533096</t>
  </si>
  <si>
    <t>K-HETTICH komplet AvanTech YOU 251/350, bílá, 30 kg, Q/SiSy, vrut</t>
  </si>
  <si>
    <t>545177</t>
  </si>
  <si>
    <t>K-HETTICH komplet AvanTech YOU 251/350, bílá, 40 kg, A/SiSy, vrut</t>
  </si>
  <si>
    <t>533129</t>
  </si>
  <si>
    <t>K-HETTICH komplet AvanTech YOU 251/350, stříbrný, 30 kg, Q/SiSy, vrut</t>
  </si>
  <si>
    <t>545136</t>
  </si>
  <si>
    <t>K-HETTICH komplet AvanTech YOU 251/400, antracit, 30 kg, Q/PTO, vrut</t>
  </si>
  <si>
    <t>533163</t>
  </si>
  <si>
    <t>K-HETTICH komplet AvanTech YOU 251/400, antracit, 30 kg, Q/SiSy, vrut</t>
  </si>
  <si>
    <t>545224</t>
  </si>
  <si>
    <t>K-HETTICH komplet AvanTech YOU 251/400, antracit, 40 kg, A/SiSy, vrut</t>
  </si>
  <si>
    <t>545107</t>
  </si>
  <si>
    <t>K-HETTICH komplet AvanTech YOU 251/400, bílá, 30 kg, Q/PTO, vrut</t>
  </si>
  <si>
    <t>533097</t>
  </si>
  <si>
    <t>K-HETTICH komplet AvanTech YOU 251/400, bílá, 30 kg, Q/SiSy, vrut</t>
  </si>
  <si>
    <t>545178</t>
  </si>
  <si>
    <t>K-HETTICH komplet AvanTech YOU 251/400, bílá, 40 kg, A/SiSy, vrut</t>
  </si>
  <si>
    <t>533130</t>
  </si>
  <si>
    <t>K-HETTICH komplet AvanTech YOU 251/400, stříbrný, 30 kg, Q/SiSy, vrut</t>
  </si>
  <si>
    <t>545137</t>
  </si>
  <si>
    <t>K-HETTICH komplet AvanTech YOU 251/450, antracit, 30 kg, Q/PTO, vrut</t>
  </si>
  <si>
    <t>533164</t>
  </si>
  <si>
    <t>K-HETTICH komplet AvanTech YOU 251/450, antracit, 30 kg, Q/SiSy, vrut</t>
  </si>
  <si>
    <t>558446</t>
  </si>
  <si>
    <t>K-HETTICH komplet AvanTech YOU 251/450, antracit, 40 kg, A/SiSy, hmoždinka</t>
  </si>
  <si>
    <t>545225</t>
  </si>
  <si>
    <t>K-HETTICH komplet AvanTech YOU 251/450, antracit, 40 kg, A/SiSy, vrut</t>
  </si>
  <si>
    <t>545226</t>
  </si>
  <si>
    <t>K-HETTICH komplet AvanTech YOU 251/450, antracit, 70 kg, A/SiSy, vrut</t>
  </si>
  <si>
    <t>545108</t>
  </si>
  <si>
    <t>K-HETTICH komplet AvanTech YOU 251/450, bílá, 30 kg, Q/PTO, vrut</t>
  </si>
  <si>
    <t>533098</t>
  </si>
  <si>
    <t>K-HETTICH komplet AvanTech YOU 251/450, bílá, 30 kg, Q/SiSy, vrut</t>
  </si>
  <si>
    <t>545179</t>
  </si>
  <si>
    <t>K-HETTICH komplet AvanTech YOU 251/450, bílá, 40 kg, A/SiSy, vrut</t>
  </si>
  <si>
    <t>545180</t>
  </si>
  <si>
    <t>K-HETTICH komplet AvanTech YOU 251/450, bílá, 70 kg, A/SiSy, vrut</t>
  </si>
  <si>
    <t>533131</t>
  </si>
  <si>
    <t>K-HETTICH komplet AvanTech YOU 251/450, stříbrný, 30 kg, Q/SiSy, vrut</t>
  </si>
  <si>
    <t>545138</t>
  </si>
  <si>
    <t>K-HETTICH komplet AvanTech YOU 251/500, antracit, 30 kg, Q/PTO, vrut</t>
  </si>
  <si>
    <t>533165</t>
  </si>
  <si>
    <t>K-HETTICH komplet AvanTech YOU 251/500, antracit, 30 kg, Q/SiSy, vrut</t>
  </si>
  <si>
    <t>558447</t>
  </si>
  <si>
    <t>K-HETTICH komplet AvanTech YOU 251/500, antracit, 40 kg, A/SiSy, hmoždinka</t>
  </si>
  <si>
    <t>545227</t>
  </si>
  <si>
    <t>K-HETTICH komplet AvanTech YOU 251/500, antracit, 40 kg, A/SiSy, vrut</t>
  </si>
  <si>
    <t>545228</t>
  </si>
  <si>
    <t>K-HETTICH komplet AvanTech YOU 251/500, antracit, 70 kg, A/SiSy, vrut</t>
  </si>
  <si>
    <t>545109</t>
  </si>
  <si>
    <t>K-HETTICH komplet AvanTech YOU 251/500, bílá, 30 kg, Q/PTO, vrut</t>
  </si>
  <si>
    <t>533099</t>
  </si>
  <si>
    <t>K-HETTICH komplet AvanTech YOU 251/500, bílá, 30 kg, Q/SiSy, vrut</t>
  </si>
  <si>
    <t>545181</t>
  </si>
  <si>
    <t>K-HETTICH komplet AvanTech YOU 251/500, bílá, 40 kg, A/SiSy, vrut</t>
  </si>
  <si>
    <t>545182</t>
  </si>
  <si>
    <t>K-HETTICH komplet AvanTech YOU 251/500, bílá, 70 kg, A/SiSy, vrut</t>
  </si>
  <si>
    <t>533132</t>
  </si>
  <si>
    <t>K-HETTICH komplet AvanTech YOU 251/500, stříbrný, 30 kg, Q/SiSy, vrut</t>
  </si>
  <si>
    <t>545139</t>
  </si>
  <si>
    <t>K-HETTICH komplet AvanTech YOU 251/550, antracit, 30 kg, Q/PTO, vrut</t>
  </si>
  <si>
    <t>533166</t>
  </si>
  <si>
    <t>K-HETTICH komplet AvanTech YOU 251/550, antracit, 30 kg, Q/SiSy, vrut</t>
  </si>
  <si>
    <t>558448</t>
  </si>
  <si>
    <t>K-HETTICH komplet AvanTech YOU 251/550, antracit, 40 kg, A/SiSy, hmoždinka</t>
  </si>
  <si>
    <t>545229</t>
  </si>
  <si>
    <t>K-HETTICH komplet AvanTech YOU 251/550, antracit, 40 kg, A/SiSy, vrut</t>
  </si>
  <si>
    <t>545230</t>
  </si>
  <si>
    <t>K-HETTICH komplet AvanTech YOU 251/550, antracit, 70 kg, A/SiSy, vrut</t>
  </si>
  <si>
    <t>545110</t>
  </si>
  <si>
    <t>K-HETTICH komplet AvanTech YOU 251/550, bílá, 30 kg, Q/PTO, vrut</t>
  </si>
  <si>
    <t>533100</t>
  </si>
  <si>
    <t>K-HETTICH komplet AvanTech YOU 251/550, bílá, 30 kg, Q/SiSy, vrut</t>
  </si>
  <si>
    <t>545183</t>
  </si>
  <si>
    <t>K-HETTICH komplet AvanTech YOU 251/550, bílá, 40 kg, A/SiSy, vrut</t>
  </si>
  <si>
    <t>545184</t>
  </si>
  <si>
    <t>K-HETTICH komplet AvanTech YOU 251/550, bílá, 70 kg, A/SiSy, vrut</t>
  </si>
  <si>
    <t>533133</t>
  </si>
  <si>
    <t>K-HETTICH komplet AvanTech YOU 251/550, stříbrný, 30 kg, Q/SiSy, vrut</t>
  </si>
  <si>
    <t>545140</t>
  </si>
  <si>
    <t>K-HETTICH komplet AvanTech YOU 251/600, antracit, 30 kg, Q/PTO, vrut</t>
  </si>
  <si>
    <t>533167</t>
  </si>
  <si>
    <t>K-HETTICH komplet AvanTech YOU 251/600, antracit, 30 kg, Q/SiSy, vrut</t>
  </si>
  <si>
    <t>545231</t>
  </si>
  <si>
    <t>K-HETTICH komplet AvanTech YOU 251/600, antracit, 40 kg, A/SiSy, vrut</t>
  </si>
  <si>
    <t>545232</t>
  </si>
  <si>
    <t>K-HETTICH komplet AvanTech YOU 251/600, antracit, 70 kg, A/SiSy, vrut</t>
  </si>
  <si>
    <t>545111</t>
  </si>
  <si>
    <t>K-HETTICH komplet AvanTech YOU 251/600, bílá, 30 kg, Q/PTO, vrut</t>
  </si>
  <si>
    <t>533101</t>
  </si>
  <si>
    <t>K-HETTICH komplet AvanTech YOU 251/600, bílá, 30 kg, Q/SiSy, vrut</t>
  </si>
  <si>
    <t>545185</t>
  </si>
  <si>
    <t>K-HETTICH komplet AvanTech YOU 251/600, bílá, 40 kg, A/SiSy, vrut</t>
  </si>
  <si>
    <t>545186</t>
  </si>
  <si>
    <t>K-HETTICH komplet AvanTech YOU 251/600, bílá, 70 kg, A/SiSy, vrut</t>
  </si>
  <si>
    <t>533134</t>
  </si>
  <si>
    <t>K-HETTICH komplet AvanTech YOU 251/600, stříbrný, 30 kg, Q/SiSy, vrut</t>
  </si>
  <si>
    <t>533168</t>
  </si>
  <si>
    <t>K-HETTICH komplet AvanTech YOU 251/650, antracit, 70 kg, A/SiSy, vrut</t>
  </si>
  <si>
    <t>533102</t>
  </si>
  <si>
    <t>K-HETTICH komplet AvanTech YOU 251/650, bílá, 70 kg, A/SiSy, vrut</t>
  </si>
  <si>
    <t>533135</t>
  </si>
  <si>
    <t>K-HETTICH komplet AvanTech YOU 251/650, stříbrný, 70 kg, A/SiSy, vrut</t>
  </si>
  <si>
    <t>533136</t>
  </si>
  <si>
    <t>K-HETTICH komplet AvanTech YOU 77/400, antracit, 30 kg, Q/SiSy, vrut</t>
  </si>
  <si>
    <t>533070</t>
  </si>
  <si>
    <t>K-HETTICH komplet AvanTech YOU 77/400, bílá, 30 kg, Q/SiSy, vrut</t>
  </si>
  <si>
    <t>533103</t>
  </si>
  <si>
    <t>K-HETTICH komplet AvanTech YOU 77/400, stříbrný, 30 kg, Q/SiSy, vrut</t>
  </si>
  <si>
    <t>533137</t>
  </si>
  <si>
    <t>K-HETTICH komplet AvanTech YOU 77/450, antracit, 30 kg, Q/SiSy, vrut</t>
  </si>
  <si>
    <t>533071</t>
  </si>
  <si>
    <t>K-HETTICH komplet AvanTech YOU 77/450, bílá, 30 kg, Q/SiSy, vrut</t>
  </si>
  <si>
    <t>533104</t>
  </si>
  <si>
    <t>K-HETTICH komplet AvanTech YOU 77/450, stříbrný, 30 kg, Q/SiSy, vrut</t>
  </si>
  <si>
    <t>533138</t>
  </si>
  <si>
    <t>K-HETTICH komplet AvanTech YOU 77/500, antracit, 30 kg, Q/SiSy, vrut</t>
  </si>
  <si>
    <t>545187</t>
  </si>
  <si>
    <t>K-HETTICH komplet AvanTech YOU 77/500, antracit, 40 kg, A/SiSy, vrut</t>
  </si>
  <si>
    <t>533072</t>
  </si>
  <si>
    <t>K-HETTICH komplet AvanTech YOU 77/500, bílá, 30 kg, Q/SiSy, vrut</t>
  </si>
  <si>
    <t>545141</t>
  </si>
  <si>
    <t>K-HETTICH komplet AvanTech YOU 77/500, bílá, 40 kg, A/SiSy, vrut</t>
  </si>
  <si>
    <t>533105</t>
  </si>
  <si>
    <t>K-HETTICH komplet AvanTech YOU 77/500, stříbrný, 30 kg, Q/SiSy, vrut</t>
  </si>
  <si>
    <t>475392</t>
  </si>
  <si>
    <t>K-HETTICH komplet AvanTech YOU 77/550, antracit, 30 kg, Q/SiSy</t>
  </si>
  <si>
    <t>533139</t>
  </si>
  <si>
    <t>K-HETTICH komplet AvanTech YOU 77/550, antracit, 30 kg, Q/SiSy, vrut</t>
  </si>
  <si>
    <t>475320</t>
  </si>
  <si>
    <t>K-HETTICH komplet AvanTech YOU 77/550, bílá, 30 kg, Q/SiSy</t>
  </si>
  <si>
    <t>533073</t>
  </si>
  <si>
    <t>K-HETTICH komplet AvanTech YOU 77/550, bílá, 30 kg, Q/SiSy, vrut</t>
  </si>
  <si>
    <t>475356</t>
  </si>
  <si>
    <t>K-HETTICH komplet AvanTech YOU 77/550, stříbrný, 30 kg, Q/SiSy</t>
  </si>
  <si>
    <t>533106</t>
  </si>
  <si>
    <t>K-HETTICH komplet AvanTech YOU 77/550, stříbrný, 30 kg, Q/SiSy, vrut</t>
  </si>
  <si>
    <t>342267</t>
  </si>
  <si>
    <t>K-HETTICH podklady balení 103925</t>
  </si>
  <si>
    <t>342268</t>
  </si>
  <si>
    <t>K-HETTICH podklady balení 103929</t>
  </si>
  <si>
    <t>342269</t>
  </si>
  <si>
    <t>K-HETTICH podklady balení 104777</t>
  </si>
  <si>
    <t>342270</t>
  </si>
  <si>
    <t>K-HETTICH podklady balení 104778</t>
  </si>
  <si>
    <t>342271</t>
  </si>
  <si>
    <t>K-HETTICH podklady balení 104787</t>
  </si>
  <si>
    <t>342272</t>
  </si>
  <si>
    <t>K-HETTICH podklady balení 104788</t>
  </si>
  <si>
    <t>317646</t>
  </si>
  <si>
    <t>K-HETTICH Quadro V25 skrytý částečný výsuv, 300mm/20kg, sada 18mm, spojky, SiSy</t>
  </si>
  <si>
    <t>317647</t>
  </si>
  <si>
    <t>K-HETTICH Quadro V25 skrytý částečný výsuv, 350mm/22kg, sada 18mm, spojky, SiSy</t>
  </si>
  <si>
    <t>317648</t>
  </si>
  <si>
    <t>K-HETTICH Quadro V25 skrytý částečný výsuv, 400mm/25kg, sada 18mm, spojky, SiSy</t>
  </si>
  <si>
    <t>317649</t>
  </si>
  <si>
    <t>K-HETTICH Quadro V25 skrytý částečný výsuv, 450mm/25kg, sada 18mm, spojky, SiSy</t>
  </si>
  <si>
    <t>317650</t>
  </si>
  <si>
    <t>K-HETTICH Quadro V25 skrytý částečný výsuv, 500mm/25kg, sada 18mm, spojky, SiSy</t>
  </si>
  <si>
    <t>544850</t>
  </si>
  <si>
    <t>K-HETTICH Quadro V6 5D skrytý celovýsuv 250mm/30kg, sada pro 16mm, spojky, PTO</t>
  </si>
  <si>
    <t>544835</t>
  </si>
  <si>
    <t>K-HETTICH Quadro V6 5D skrytý celovýsuv 250mm/30kg, sada pro 16mm, spojky, SiSy</t>
  </si>
  <si>
    <t>544851</t>
  </si>
  <si>
    <t>K-HETTICH Quadro V6 5D skrytý celovýsuv 270mm/30kg, sada pro 16mm, spojky, PTO</t>
  </si>
  <si>
    <t>544836</t>
  </si>
  <si>
    <t>K-HETTICH Quadro V6 5D skrytý celovýsuv 270mm/30kg, sada pro 16mm, spojky, SiSy</t>
  </si>
  <si>
    <t>544852</t>
  </si>
  <si>
    <t>K-HETTICH Quadro V6 5D skrytý celovýsuv 300mm/30kg, sada pro 16mm, spojky, PTO</t>
  </si>
  <si>
    <t>544837</t>
  </si>
  <si>
    <t>K-HETTICH Quadro V6 5D skrytý celovýsuv 300mm/30kg, sada pro 16mm, spojky, SiSy</t>
  </si>
  <si>
    <t>544853</t>
  </si>
  <si>
    <t>K-HETTICH Quadro V6 5D skrytý celovýsuv 320mm/30kg, sada pro 16mm, spojky, PTO</t>
  </si>
  <si>
    <t>544838</t>
  </si>
  <si>
    <t>K-HETTICH Quadro V6 5D skrytý celovýsuv 320mm/30kg, sada pro 16mm, spojky, SiSy</t>
  </si>
  <si>
    <t>544854</t>
  </si>
  <si>
    <t>K-HETTICH Quadro V6 5D skrytý celovýsuv 350mm/30kg, sada pro 16mm, spojky, PTO</t>
  </si>
  <si>
    <t>544839</t>
  </si>
  <si>
    <t>K-HETTICH Quadro V6 5D skrytý celovýsuv 350mm/30kg, sada pro 16mm, spojky, SiSy</t>
  </si>
  <si>
    <t>544855</t>
  </si>
  <si>
    <t>K-HETTICH Quadro V6 5D skrytý celovýsuv 380mm/30kg, sada pro 16mm, spojky, PTO</t>
  </si>
  <si>
    <t>544840</t>
  </si>
  <si>
    <t>K-HETTICH Quadro V6 5D skrytý celovýsuv 380mm/30kg, sada pro 16mm, spojky, SiSy</t>
  </si>
  <si>
    <t>544856</t>
  </si>
  <si>
    <t>K-HETTICH Quadro V6 5D skrytý celovýsuv 400mm/30kg, sada pro 16mm, spojky, PTO</t>
  </si>
  <si>
    <t>544841</t>
  </si>
  <si>
    <t>K-HETTICH Quadro V6 5D skrytý celovýsuv 400mm/30kg, sada pro 16mm, spojky, SiSy</t>
  </si>
  <si>
    <t>544857</t>
  </si>
  <si>
    <t>K-HETTICH Quadro V6 5D skrytý celovýsuv 420mm/30kg, sada pro 16mm, spojky, PTO</t>
  </si>
  <si>
    <t>544842</t>
  </si>
  <si>
    <t>K-HETTICH Quadro V6 5D skrytý celovýsuv 420mm/30kg, sada pro 16mm, spojky, SiSy</t>
  </si>
  <si>
    <t>544858</t>
  </si>
  <si>
    <t>K-HETTICH Quadro V6 5D skrytý celovýsuv 450mm/30kg, sada pro 16mm, spojky, PTO</t>
  </si>
  <si>
    <t>544843</t>
  </si>
  <si>
    <t>K-HETTICH Quadro V6 5D skrytý celovýsuv 450mm/30kg, sada pro 16mm, spojky, SiSy</t>
  </si>
  <si>
    <t>544859</t>
  </si>
  <si>
    <t>K-HETTICH Quadro V6 5D skrytý celovýsuv 480mm/30kg, sada pro 16mm, spojky, PTO</t>
  </si>
  <si>
    <t>544844</t>
  </si>
  <si>
    <t>K-HETTICH Quadro V6 5D skrytý celovýsuv 480mm/30kg, sada pro 16mm, spojky, SiSy</t>
  </si>
  <si>
    <t>544860</t>
  </si>
  <si>
    <t>K-HETTICH Quadro V6 5D skrytý celovýsuv 500mm/30kg, sada pro 16mm, spojky, PTO</t>
  </si>
  <si>
    <t>544845</t>
  </si>
  <si>
    <t>K-HETTICH Quadro V6 5D skrytý celovýsuv 500mm/30kg, sada pro 16mm, spojky, SiSy</t>
  </si>
  <si>
    <t>544861</t>
  </si>
  <si>
    <t>K-HETTICH Quadro V6 5D skrytý celovýsuv 520mm/30kg, sada pro 16mm, spojky, PTO</t>
  </si>
  <si>
    <t>544846</t>
  </si>
  <si>
    <t>K-HETTICH Quadro V6 5D skrytý celovýsuv 520mm/30kg, sada pro 16mm, spojky, SiSy</t>
  </si>
  <si>
    <t>544862</t>
  </si>
  <si>
    <t>K-HETTICH Quadro V6 5D skrytý celovýsuv 550mm/30kg, sada pro 16mm, spojky, PTO</t>
  </si>
  <si>
    <t>544847</t>
  </si>
  <si>
    <t>K-HETTICH Quadro V6 5D skrytý celovýsuv 550mm/30kg, sada pro 16mm, spojky, SiSy</t>
  </si>
  <si>
    <t>544863</t>
  </si>
  <si>
    <t>K-HETTICH Quadro V6 5D skrytý celovýsuv 580mm/30kg, sada pro 16mm, spojky, PTO</t>
  </si>
  <si>
    <t>544848</t>
  </si>
  <si>
    <t>K-HETTICH Quadro V6 5D skrytý celovýsuv 580mm/30kg, sada pro 16mm, spojky, SiSy</t>
  </si>
  <si>
    <t>544864</t>
  </si>
  <si>
    <t>K-HETTICH Quadro V6 5D skrytý celovýsuv 600mm/30kg, sada pro 16mm, spojky, PTO</t>
  </si>
  <si>
    <t>544849</t>
  </si>
  <si>
    <t>K-HETTICH Quadro V6 5D skrytý celovýsuv 600mm/30kg, sada pro 16mm, spojky, SiSy</t>
  </si>
  <si>
    <t>343030</t>
  </si>
  <si>
    <t>K-HETTICH Quadro V6 skrytý celovýsuv, 300mm/30kg, sada pro 18mm, spojky, PTO</t>
  </si>
  <si>
    <t>317639</t>
  </si>
  <si>
    <t>K-HETTICH Quadro V6 skrytý celovýsuv, 300mm/30kg, sada pro 18mm, spojky, SiSy</t>
  </si>
  <si>
    <t>343031</t>
  </si>
  <si>
    <t>K-HETTICH Quadro V6 skrytý celovýsuv, 350mm/30kg, sada pro 18mm, spojky, PTO</t>
  </si>
  <si>
    <t>317640</t>
  </si>
  <si>
    <t>K-HETTICH Quadro V6 skrytý celovýsuv, 350mm/30kg, sada pro 18mm, spojky, SiSy</t>
  </si>
  <si>
    <t>343033</t>
  </si>
  <si>
    <t>K-HETTICH Quadro V6 skrytý celovýsuv, 400mm/30kg, sada pro 18mm, spojky, PTO</t>
  </si>
  <si>
    <t>317641</t>
  </si>
  <si>
    <t>K-HETTICH Quadro V6 skrytý celovýsuv, 400mm/30kg, sada pro 18mm, spojky, SiSy</t>
  </si>
  <si>
    <t>317644</t>
  </si>
  <si>
    <t>K-HETTICH Quadro V6 skrytý celovýsuv, 450mm/30kg, sada pro 18mm, spojky, PTO</t>
  </si>
  <si>
    <t>317642</t>
  </si>
  <si>
    <t>K-HETTICH Quadro V6 skrytý celovýsuv, 450mm/30kg, sada pro 18mm, spojky, SiSy</t>
  </si>
  <si>
    <t>317645</t>
  </si>
  <si>
    <t>K-HETTICH Quadro V6 skrytý celovýsuv, 500mm/30kg, sada pro 18mm, spojky, PTO</t>
  </si>
  <si>
    <t>317643</t>
  </si>
  <si>
    <t>K-HETTICH Quadro V6 skrytý celovýsuv, 500mm/30kg, sada pro 18mm, spojky, SiSy</t>
  </si>
  <si>
    <t>367919</t>
  </si>
  <si>
    <t>K-HETTICH Quadro V6 skrytý celovýsuv, 550mm/30kg, sada pro 18mm, spojky, SiSy</t>
  </si>
  <si>
    <t>367920</t>
  </si>
  <si>
    <t>K-HETTICH Quadro V6 skrytý celovýsuv, 600mm/30kg, sada pro 18mm, spojky, SiSy</t>
  </si>
  <si>
    <t>551127</t>
  </si>
  <si>
    <t>K-HETTICH Quadro YOU skrytý celovýsuv 270mm/30kg, sada pro 16mm, spojky, PTO</t>
  </si>
  <si>
    <t>551114</t>
  </si>
  <si>
    <t>K-HETTICH Quadro YOU skrytý celovýsuv 270mm/30kg, sada pro 16mm, spojky, SiSy</t>
  </si>
  <si>
    <t>551128</t>
  </si>
  <si>
    <t>K-HETTICH Quadro YOU skrytý celovýsuv 300mm/30kg, sada pro 16mm, spojky, PTO</t>
  </si>
  <si>
    <t>551115</t>
  </si>
  <si>
    <t>K-HETTICH Quadro YOU skrytý celovýsuv 300mm/30kg, sada pro 16mm, spojky, SiSy</t>
  </si>
  <si>
    <t>551129</t>
  </si>
  <si>
    <t>K-HETTICH Quadro YOU skrytý celovýsuv 350mm/30kg, sada pro 16mm, spojky, PTO</t>
  </si>
  <si>
    <t>551116</t>
  </si>
  <si>
    <t>K-HETTICH Quadro YOU skrytý celovýsuv 350mm/30kg, sada pro 16mm, spojky, SiSy</t>
  </si>
  <si>
    <t>551130</t>
  </si>
  <si>
    <t>K-HETTICH Quadro YOU skrytý celovýsuv 380mm/30kg, sada pro 16mm, spojky, PTO</t>
  </si>
  <si>
    <t>551118</t>
  </si>
  <si>
    <t>K-HETTICH Quadro YOU skrytý celovýsuv 380mm/30kg, sada pro 16mm, spojky, SiSy</t>
  </si>
  <si>
    <t>551131</t>
  </si>
  <si>
    <t>K-HETTICH Quadro YOU skrytý celovýsuv 400mm/30kg, sada pro 16mm, spojky, PTO</t>
  </si>
  <si>
    <t>551119</t>
  </si>
  <si>
    <t>K-HETTICH Quadro YOU skrytý celovýsuv 400mm/30kg, sada pro 16mm, spojky, SiSy</t>
  </si>
  <si>
    <t>551132</t>
  </si>
  <si>
    <t>K-HETTICH Quadro YOU skrytý celovýsuv 420mm/30kg, sada pro 16mm, spojky, PTO</t>
  </si>
  <si>
    <t>551120</t>
  </si>
  <si>
    <t>K-HETTICH Quadro YOU skrytý celovýsuv 420mm/30kg, sada pro 16mm, spojky, SiSy</t>
  </si>
  <si>
    <t>551133</t>
  </si>
  <si>
    <t>K-HETTICH Quadro YOU skrytý celovýsuv 450mm/30kg, sada pro 16mm, spojky, PTO</t>
  </si>
  <si>
    <t>551121</t>
  </si>
  <si>
    <t>K-HETTICH Quadro YOU skrytý celovýsuv 450mm/30kg, sada pro 16mm, spojky, SiSy</t>
  </si>
  <si>
    <t>551134</t>
  </si>
  <si>
    <t>K-HETTICH Quadro YOU skrytý celovýsuv 480mm/30kg, sada pro 16mm, spojky, PTO</t>
  </si>
  <si>
    <t>551122</t>
  </si>
  <si>
    <t>K-HETTICH Quadro YOU skrytý celovýsuv 480mm/30kg, sada pro 16mm, spojky, SiSy</t>
  </si>
  <si>
    <t>551135</t>
  </si>
  <si>
    <t>K-HETTICH Quadro YOU skrytý celovýsuv 500mm/30kg, sada pro 16mm, spojky, PTO</t>
  </si>
  <si>
    <t>551123</t>
  </si>
  <si>
    <t>K-HETTICH Quadro YOU skrytý celovýsuv 500mm/30kg, sada pro 16mm, spojky, SiSy</t>
  </si>
  <si>
    <t>551136</t>
  </si>
  <si>
    <t>K-HETTICH Quadro YOU skrytý celovýsuv 520mm/30kg, sada pro 16mm, spojky, PTO</t>
  </si>
  <si>
    <t>551124</t>
  </si>
  <si>
    <t>K-HETTICH Quadro YOU skrytý celovýsuv 520mm/30kg, sada pro 16mm, spojky, SiSy</t>
  </si>
  <si>
    <t>551137</t>
  </si>
  <si>
    <t>K-HETTICH Quadro YOU skrytý celovýsuv 550mm/30kg, sada pro 16mm, spojky, PTO</t>
  </si>
  <si>
    <t>551125</t>
  </si>
  <si>
    <t>K-HETTICH Quadro YOU skrytý celovýsuv 550mm/30kg, sada pro 16mm, spojky, SiSy</t>
  </si>
  <si>
    <t>551138</t>
  </si>
  <si>
    <t>K-HETTICH Quadro YOU skrytý celovýsuv 600mm/30kg, sada pro 16mm, spojky, PTO</t>
  </si>
  <si>
    <t>551126</t>
  </si>
  <si>
    <t>K-HETTICH Quadro YOU skrytý celovýsuv 600mm/30kg, sada pro 16mm, spojky, SiSy</t>
  </si>
  <si>
    <t>469569</t>
  </si>
  <si>
    <t>K-HETTICH sada AvanTech YOU 101/270, antracit, 30 kg, Q/SiSy</t>
  </si>
  <si>
    <t>469503</t>
  </si>
  <si>
    <t>K-HETTICH sada AvanTech YOU 101/270, bílá, 30 kg, Q/SiSy</t>
  </si>
  <si>
    <t>469536</t>
  </si>
  <si>
    <t>K-HETTICH sada AvanTech YOU 101/270, stříbrný, 30 kg, Q/SiSy</t>
  </si>
  <si>
    <t>469570</t>
  </si>
  <si>
    <t>K-HETTICH sada AvanTech YOU 101/300, antracit, 30 kg, Q/SiSy</t>
  </si>
  <si>
    <t>469504</t>
  </si>
  <si>
    <t>K-HETTICH sada AvanTech YOU 101/300, bílá, 30 kg, Q/SiSy</t>
  </si>
  <si>
    <t>469537</t>
  </si>
  <si>
    <t>K-HETTICH sada AvanTech YOU 101/300, stříbrný, 30 kg, Q/SiSy</t>
  </si>
  <si>
    <t>469571</t>
  </si>
  <si>
    <t>K-HETTICH sada AvanTech YOU 101/350, antracit, 30 kg, Q/SiSy</t>
  </si>
  <si>
    <t>469505</t>
  </si>
  <si>
    <t>K-HETTICH sada AvanTech YOU 101/350, bílá, 30 kg, Q/SiSy</t>
  </si>
  <si>
    <t>469538</t>
  </si>
  <si>
    <t>K-HETTICH sada AvanTech YOU 101/350, stříbrný, 30 kg, Q/SiSy</t>
  </si>
  <si>
    <t>469572</t>
  </si>
  <si>
    <t>K-HETTICH sada AvanTech YOU 101/400, antracit, 30 kg, Q/SiSy</t>
  </si>
  <si>
    <t>469506</t>
  </si>
  <si>
    <t>K-HETTICH sada AvanTech YOU 101/400, bílá, 30 kg, Q/SiSy</t>
  </si>
  <si>
    <t>469539</t>
  </si>
  <si>
    <t>K-HETTICH sada AvanTech YOU 101/400, stříbrný, 30 kg, Q/SiSy</t>
  </si>
  <si>
    <t>413556</t>
  </si>
  <si>
    <t>K-HETTICH sada AvanTech YOU 101/450, antracit, 30 kg, Q/SiSy</t>
  </si>
  <si>
    <t>413552</t>
  </si>
  <si>
    <t>K-HETTICH sada AvanTech YOU 101/450, bílá, 30 kg, Q/SiSy</t>
  </si>
  <si>
    <t>413560</t>
  </si>
  <si>
    <t>K-HETTICH sada AvanTech YOU 101/450, stříbrný, 30 kg, Q/SiSy</t>
  </si>
  <si>
    <t>413558</t>
  </si>
  <si>
    <t>K-HETTICH sada AvanTech YOU 101/500, antracit, 30 kg, Q/SiSy</t>
  </si>
  <si>
    <t>413554</t>
  </si>
  <si>
    <t>K-HETTICH sada AvanTech YOU 101/500, bílá, 30 kg, Q/SiSy</t>
  </si>
  <si>
    <t>413562</t>
  </si>
  <si>
    <t>K-HETTICH sada AvanTech YOU 101/500, stříbrný, 30 kg, Q/SiSy</t>
  </si>
  <si>
    <t>469573</t>
  </si>
  <si>
    <t>K-HETTICH sada AvanTech YOU 101/550, antracit, 30 kg, Q/SiSy</t>
  </si>
  <si>
    <t>469507</t>
  </si>
  <si>
    <t>K-HETTICH sada AvanTech YOU 101/550, bílá, 30 kg, Q/SiSy</t>
  </si>
  <si>
    <t>469540</t>
  </si>
  <si>
    <t>K-HETTICH sada AvanTech YOU 101/550, stříbrný, 30 kg, Q/SiSy</t>
  </si>
  <si>
    <t>469574</t>
  </si>
  <si>
    <t>K-HETTICH sada AvanTech YOU 101/600, antracit, 30 kg, Q/SiSy</t>
  </si>
  <si>
    <t>469508</t>
  </si>
  <si>
    <t>K-HETTICH sada AvanTech YOU 101/600, bílá, 30 kg, Q/SiSy</t>
  </si>
  <si>
    <t>469541</t>
  </si>
  <si>
    <t>K-HETTICH sada AvanTech YOU 101/600, stříbrný, 30 kg, Q/SiSy</t>
  </si>
  <si>
    <t>469575</t>
  </si>
  <si>
    <t>K-HETTICH sada AvanTech YOU 101/650, antracit, 70 kg, A/SiSy</t>
  </si>
  <si>
    <t>469509</t>
  </si>
  <si>
    <t>K-HETTICH sada AvanTech YOU 101/650, bílá, 70 kg, A/SiSy</t>
  </si>
  <si>
    <t>469542</t>
  </si>
  <si>
    <t>K-HETTICH sada AvanTech YOU 101/650, stříbrný, 70 kg, A/SiSy</t>
  </si>
  <si>
    <t>469576</t>
  </si>
  <si>
    <t>K-HETTICH sada AvanTech YOU 139/300, antracit, 30 kg, Q/SiSy</t>
  </si>
  <si>
    <t>469517</t>
  </si>
  <si>
    <t>K-HETTICH sada AvanTech YOU 139/300, bílá, 30 kg, Q/SiSy</t>
  </si>
  <si>
    <t>469543</t>
  </si>
  <si>
    <t>K-HETTICH sada AvanTech YOU 139/300, stříbrný, 30 kg, Q/SiSy</t>
  </si>
  <si>
    <t>469577</t>
  </si>
  <si>
    <t>K-HETTICH sada AvanTech YOU 139/350, antracit, 30 kg, Q/SiSy</t>
  </si>
  <si>
    <t>469518</t>
  </si>
  <si>
    <t>K-HETTICH sada AvanTech YOU 139/350, bílá, 30 kg, Q/SiSy</t>
  </si>
  <si>
    <t>469544</t>
  </si>
  <si>
    <t>K-HETTICH sada AvanTech YOU 139/350, stříbrný, 30 kg, Q/SiSy</t>
  </si>
  <si>
    <t>469578</t>
  </si>
  <si>
    <t>K-HETTICH sada AvanTech YOU 139/400, antracit, 30 kg, Q/SiSy</t>
  </si>
  <si>
    <t>469519</t>
  </si>
  <si>
    <t>K-HETTICH sada AvanTech YOU 139/400, bílá, 30 kg, Q/SiSy</t>
  </si>
  <si>
    <t>469545</t>
  </si>
  <si>
    <t>K-HETTICH sada AvanTech YOU 139/400, stříbrný, 30 kg, Q/SiSy</t>
  </si>
  <si>
    <t>469579</t>
  </si>
  <si>
    <t>K-HETTICH sada AvanTech YOU 139/450, antracit, 30 kg, Q/SiSy</t>
  </si>
  <si>
    <t>469520</t>
  </si>
  <si>
    <t>K-HETTICH sada AvanTech YOU 139/450, bílá, 30 kg, Q/SiSy</t>
  </si>
  <si>
    <t>469546</t>
  </si>
  <si>
    <t>K-HETTICH sada AvanTech YOU 139/450, stříbrný, 30 kg, Q/SiSy</t>
  </si>
  <si>
    <t>469580</t>
  </si>
  <si>
    <t>K-HETTICH sada AvanTech YOU 139/500, antracit, 30 kg, Q/SiSy</t>
  </si>
  <si>
    <t>469521</t>
  </si>
  <si>
    <t>K-HETTICH sada AvanTech YOU 139/500, bílá, 30 kg, Q/SiSy</t>
  </si>
  <si>
    <t>469547</t>
  </si>
  <si>
    <t>K-HETTICH sada AvanTech YOU 139/500, stříbrný, 30 kg, Q/SiSy</t>
  </si>
  <si>
    <t>469581</t>
  </si>
  <si>
    <t>K-HETTICH sada AvanTech YOU 139/550, antracit, 30 kg, Q/SiSy</t>
  </si>
  <si>
    <t>469522</t>
  </si>
  <si>
    <t>K-HETTICH sada AvanTech YOU 139/550, bílá, 30 kg, Q/SiSy</t>
  </si>
  <si>
    <t>469548</t>
  </si>
  <si>
    <t>K-HETTICH sada AvanTech YOU 139/550, stříbrný, 30 kg, Q/SiSy</t>
  </si>
  <si>
    <t>469582</t>
  </si>
  <si>
    <t>K-HETTICH sada AvanTech YOU 139/600, antracit, 30 kg, Q/SiSy</t>
  </si>
  <si>
    <t>469523</t>
  </si>
  <si>
    <t>K-HETTICH sada AvanTech YOU 139/600, bílá, 30 kg, Q/SiSy</t>
  </si>
  <si>
    <t>469549</t>
  </si>
  <si>
    <t>K-HETTICH sada AvanTech YOU 139/600, stříbrný, 30 kg, Q/SiSy</t>
  </si>
  <si>
    <t>469584</t>
  </si>
  <si>
    <t>K-HETTICH sada AvanTech YOU 187/270, antracit, 30 kg, Q/SiSy</t>
  </si>
  <si>
    <t>469510</t>
  </si>
  <si>
    <t>K-HETTICH sada AvanTech YOU 187/270, bílá, 30 kg, Q/SiSy</t>
  </si>
  <si>
    <t>469551</t>
  </si>
  <si>
    <t>K-HETTICH sada AvanTech YOU 187/270, stříbrný, 30 kg, Q/SiSy</t>
  </si>
  <si>
    <t>469585</t>
  </si>
  <si>
    <t>K-HETTICH sada AvanTech YOU 187/300, antracit, 30 kg, Q/SiSy</t>
  </si>
  <si>
    <t>469511</t>
  </si>
  <si>
    <t>K-HETTICH sada AvanTech YOU 187/300, bílá, 30 kg, Q/SiSy</t>
  </si>
  <si>
    <t>469552</t>
  </si>
  <si>
    <t>K-HETTICH sada AvanTech YOU 187/300, stříbrný, 30 kg, Q/SiSy</t>
  </si>
  <si>
    <t>469586</t>
  </si>
  <si>
    <t>K-HETTICH sada AvanTech YOU 187/350, antracit, 30 kg, Q/SiSy</t>
  </si>
  <si>
    <t>469512</t>
  </si>
  <si>
    <t>K-HETTICH sada AvanTech YOU 187/350, bílá, 30 kg, Q/SiSy</t>
  </si>
  <si>
    <t>469553</t>
  </si>
  <si>
    <t>K-HETTICH sada AvanTech YOU 187/350, stříbrný, 30 kg, Q/SiSy</t>
  </si>
  <si>
    <t>469587</t>
  </si>
  <si>
    <t>K-HETTICH sada AvanTech YOU 187/400, antracit, 30 kg, Q/SiSy</t>
  </si>
  <si>
    <t>469513</t>
  </si>
  <si>
    <t>K-HETTICH sada AvanTech YOU 187/400, bílá, 30 kg, Q/SiSy</t>
  </si>
  <si>
    <t>469554</t>
  </si>
  <si>
    <t>K-HETTICH sada AvanTech YOU 187/400, stříbrný, 30 kg, Q/SiSy</t>
  </si>
  <si>
    <t>413557</t>
  </si>
  <si>
    <t>K-HETTICH sada AvanTech YOU 187/450, antracit, 30 kg, Q/SiSy</t>
  </si>
  <si>
    <t>413553</t>
  </si>
  <si>
    <t>K-HETTICH sada AvanTech YOU 187/450, bílá, 30 kg, Q/SiSy</t>
  </si>
  <si>
    <t>413561</t>
  </si>
  <si>
    <t>K-HETTICH sada AvanTech YOU 187/450, stříbrný, 30 kg, Q/SiSy</t>
  </si>
  <si>
    <t>413559</t>
  </si>
  <si>
    <t>K-HETTICH sada AvanTech YOU 187/500, antracit, 30 kg, Q/SiSy</t>
  </si>
  <si>
    <t>413555</t>
  </si>
  <si>
    <t>K-HETTICH sada AvanTech YOU 187/500, bílá, 30 kg, Q/SiSy</t>
  </si>
  <si>
    <t>413563</t>
  </si>
  <si>
    <t>K-HETTICH sada AvanTech YOU 187/500, stříbrný, 30 kg, Q/SiSy</t>
  </si>
  <si>
    <t>469588</t>
  </si>
  <si>
    <t>K-HETTICH sada AvanTech YOU 187/550, antracit, 30 kg, Q/SiSy</t>
  </si>
  <si>
    <t>469514</t>
  </si>
  <si>
    <t>K-HETTICH sada AvanTech YOU 187/550, bílá, 30 kg, Q/SiSy</t>
  </si>
  <si>
    <t>469555</t>
  </si>
  <si>
    <t>K-HETTICH sada AvanTech YOU 187/550, stříbrný, 30 kg, Q/SiSy</t>
  </si>
  <si>
    <t>469589</t>
  </si>
  <si>
    <t>K-HETTICH sada AvanTech YOU 187/600, antracit, 30 kg, Q/SiSy</t>
  </si>
  <si>
    <t>469515</t>
  </si>
  <si>
    <t>K-HETTICH sada AvanTech YOU 187/600, bílá, 30 kg, Q/SiSy</t>
  </si>
  <si>
    <t>469556</t>
  </si>
  <si>
    <t>K-HETTICH sada AvanTech YOU 187/600, stříbrný, 30 kg, Q/SiSy</t>
  </si>
  <si>
    <t>469590</t>
  </si>
  <si>
    <t>K-HETTICH sada AvanTech YOU 187/650, antracit, 70 kg, A/SiSy</t>
  </si>
  <si>
    <t>469516</t>
  </si>
  <si>
    <t>K-HETTICH sada AvanTech YOU 187/650, bílá, 70 kg, A/SiSy</t>
  </si>
  <si>
    <t>469557</t>
  </si>
  <si>
    <t>K-HETTICH sada AvanTech YOU 187/650, stříbrný, 70 kg, A/SiSy</t>
  </si>
  <si>
    <t>469591</t>
  </si>
  <si>
    <t>K-HETTICH sada AvanTech YOU 251/350, antracit, 30 kg, Q/SiSy</t>
  </si>
  <si>
    <t>469525</t>
  </si>
  <si>
    <t>K-HETTICH sada AvanTech YOU 251/350, bílá, 30 kg, Q/SiSy</t>
  </si>
  <si>
    <t>469558</t>
  </si>
  <si>
    <t>K-HETTICH sada AvanTech YOU 251/350, stříbrný, 30 kg, Q/SiSy</t>
  </si>
  <si>
    <t>469592</t>
  </si>
  <si>
    <t>K-HETTICH sada AvanTech YOU 251/400, antracit, 30 kg, Q/SiSy</t>
  </si>
  <si>
    <t>469526</t>
  </si>
  <si>
    <t>K-HETTICH sada AvanTech YOU 251/400, bílá, 30 kg, Q/SiSy</t>
  </si>
  <si>
    <t>469559</t>
  </si>
  <si>
    <t>K-HETTICH sada AvanTech YOU 251/400, stříbrný, 30 kg, Q/SiSy</t>
  </si>
  <si>
    <t>469593</t>
  </si>
  <si>
    <t>K-HETTICH sada AvanTech YOU 251/450, antracit, 30 kg, Q/SiSy</t>
  </si>
  <si>
    <t>469527</t>
  </si>
  <si>
    <t>K-HETTICH sada AvanTech YOU 251/450, bílá, 30 kg, Q/SiSy</t>
  </si>
  <si>
    <t>469560</t>
  </si>
  <si>
    <t>K-HETTICH sada AvanTech YOU 251/450, stříbrný, 30 kg, Q/SiSy</t>
  </si>
  <si>
    <t>469594</t>
  </si>
  <si>
    <t>K-HETTICH sada AvanTech YOU 251/500, antracit, 30 kg, Q/SiSy</t>
  </si>
  <si>
    <t>469528</t>
  </si>
  <si>
    <t>K-HETTICH sada AvanTech YOU 251/500, bílá, 30 kg, Q/SiSy</t>
  </si>
  <si>
    <t>469561</t>
  </si>
  <si>
    <t>K-HETTICH sada AvanTech YOU 251/500, stříbrný, 30 kg, Q/SiSy</t>
  </si>
  <si>
    <t>469595</t>
  </si>
  <si>
    <t>K-HETTICH sada AvanTech YOU 251/550, antracit, 30 kg, Q/SiSy</t>
  </si>
  <si>
    <t>469529</t>
  </si>
  <si>
    <t>K-HETTICH sada AvanTech YOU 251/550, bílá, 30 kg, Q/SiSy</t>
  </si>
  <si>
    <t>469562</t>
  </si>
  <si>
    <t>K-HETTICH sada AvanTech YOU 251/550, stříbrný, 30 kg, Q/SiSy</t>
  </si>
  <si>
    <t>469596</t>
  </si>
  <si>
    <t>K-HETTICH sada AvanTech YOU 251/600, antracit, 30 kg, Q/SiSy</t>
  </si>
  <si>
    <t>469530</t>
  </si>
  <si>
    <t>K-HETTICH sada AvanTech YOU 251/600, bílá, 30 kg, Q/SiSy</t>
  </si>
  <si>
    <t>469563</t>
  </si>
  <si>
    <t>K-HETTICH sada AvanTech YOU 251/600, stříbrný, 30 kg, Q/SiSy</t>
  </si>
  <si>
    <t>469597</t>
  </si>
  <si>
    <t>K-HETTICH sada AvanTech YOU 251/650, antracit, 70 kg, A/SiSy</t>
  </si>
  <si>
    <t>469531</t>
  </si>
  <si>
    <t>K-HETTICH sada AvanTech YOU 251/650, bílá, 70 kg, A/SiSy</t>
  </si>
  <si>
    <t>469564</t>
  </si>
  <si>
    <t>K-HETTICH sada AvanTech YOU 251/650, stříbrný, 70 kg, A/SiSy</t>
  </si>
  <si>
    <t>469565</t>
  </si>
  <si>
    <t>K-HETTICH sada AvanTech YOU 77/400, antracit, 30 kg, Q/SiSy</t>
  </si>
  <si>
    <t>469499</t>
  </si>
  <si>
    <t>K-HETTICH sada AvanTech YOU 77/400, bílá, 30 kg, Q/SiSy</t>
  </si>
  <si>
    <t>469532</t>
  </si>
  <si>
    <t>K-HETTICH sada AvanTech YOU 77/400, stříbrný, 30 kg, Q/SiSy</t>
  </si>
  <si>
    <t>469566</t>
  </si>
  <si>
    <t>K-HETTICH sada AvanTech YOU 77/450, antracit, 30 kg, Q/SiSy</t>
  </si>
  <si>
    <t>469500</t>
  </si>
  <si>
    <t>K-HETTICH sada AvanTech YOU 77/450, bílá, 30 kg, Q/SiSy</t>
  </si>
  <si>
    <t>469533</t>
  </si>
  <si>
    <t>K-HETTICH sada AvanTech YOU 77/450, stříbrný, 30 kg, Q/SiSy</t>
  </si>
  <si>
    <t>469567</t>
  </si>
  <si>
    <t>K-HETTICH sada AvanTech YOU 77/500, antracit, 30 kg, Q/SiSy</t>
  </si>
  <si>
    <t>469501</t>
  </si>
  <si>
    <t>K-HETTICH sada AvanTech YOU 77/500, bílá, 30 kg, Q/SiSy</t>
  </si>
  <si>
    <t>469534</t>
  </si>
  <si>
    <t>K-HETTICH sada AvanTech YOU 77/500, stříbrný, 30 kg, Q/SiSy</t>
  </si>
  <si>
    <t>469568</t>
  </si>
  <si>
    <t>K-HETTICH sada AvanTech YOU 77/550, antracit, 30 kg, Q/SiSy</t>
  </si>
  <si>
    <t>469502</t>
  </si>
  <si>
    <t>K-HETTICH sada AvanTech YOU 77/550, bílá, 30 kg, Q/SiSy</t>
  </si>
  <si>
    <t>469535</t>
  </si>
  <si>
    <t>K-HETTICH sada AvanTech YOU 77/550, stříbrný, 30 kg, Q/SiSy</t>
  </si>
  <si>
    <t>491056</t>
  </si>
  <si>
    <t>K-HETTICH sada Innotech Atira 260/144 antracit, 30 kg, SiSy</t>
  </si>
  <si>
    <t>491050</t>
  </si>
  <si>
    <t>K-HETTICH sada Innotech Atira 260/144 bílá, 30 kg, SiSy</t>
  </si>
  <si>
    <t>491062</t>
  </si>
  <si>
    <t>K-HETTICH sada Innotech Atira 260/144 stříbrná, 30 kg, SiSy</t>
  </si>
  <si>
    <t>491038</t>
  </si>
  <si>
    <t>K-HETTICH sada Innotech Atira 260/70 antracit, 30 kg, SiSy</t>
  </si>
  <si>
    <t>491032</t>
  </si>
  <si>
    <t>K-HETTICH sada Innotech Atira 260/70 bílá, 30 kg, SiSy</t>
  </si>
  <si>
    <t>491044</t>
  </si>
  <si>
    <t>K-HETTICH sada Innotech Atira 260/70 stříbrná, 30 kg, SiSy</t>
  </si>
  <si>
    <t>491057</t>
  </si>
  <si>
    <t>K-HETTICH sada Innotech Atira 300/144 antracit, 30 kg, SiSy</t>
  </si>
  <si>
    <t>491051</t>
  </si>
  <si>
    <t>K-HETTICH sada Innotech Atira 300/144 bílá, 30 kg, SiSy</t>
  </si>
  <si>
    <t>491063</t>
  </si>
  <si>
    <t>K-HETTICH sada Innotech Atira 300/144 stříbrná, 30 kg, SiSy</t>
  </si>
  <si>
    <t>491039</t>
  </si>
  <si>
    <t>K-HETTICH sada Innotech Atira 300/70 antracit, 30 kg, SiSy</t>
  </si>
  <si>
    <t>491033</t>
  </si>
  <si>
    <t>K-HETTICH sada Innotech Atira 300/70 bílá, 30 kg, SiSy</t>
  </si>
  <si>
    <t>491045</t>
  </si>
  <si>
    <t>K-HETTICH sada Innotech Atira 300/70 stříbrná, 30 kg, SiSy</t>
  </si>
  <si>
    <t>491058</t>
  </si>
  <si>
    <t>K-HETTICH sada Innotech Atira 350/144 antracit, 30 kg, SiSy</t>
  </si>
  <si>
    <t>491052</t>
  </si>
  <si>
    <t>K-HETTICH sada Innotech Atira 350/144 bílá, 30 kg, SiSy</t>
  </si>
  <si>
    <t>491064</t>
  </si>
  <si>
    <t>K-HETTICH sada Innotech Atira 350/144 stříbrná, 30 kg, SiSy</t>
  </si>
  <si>
    <t>491040</t>
  </si>
  <si>
    <t>K-HETTICH sada Innotech Atira 350/70 antracit, 30 kg, SiSy</t>
  </si>
  <si>
    <t>491034</t>
  </si>
  <si>
    <t>K-HETTICH sada Innotech Atira 350/70 bílá, 30 kg, SiSy</t>
  </si>
  <si>
    <t>491046</t>
  </si>
  <si>
    <t>K-HETTICH sada Innotech Atira 350/70 stříbrná, 30 kg, SiSy</t>
  </si>
  <si>
    <t>491059</t>
  </si>
  <si>
    <t>K-HETTICH sada Innotech Atira 420/144 antracit, 30 kg, SiSy</t>
  </si>
  <si>
    <t>491053</t>
  </si>
  <si>
    <t>K-HETTICH sada Innotech Atira 420/144 bílá, 30 kg, SiSy</t>
  </si>
  <si>
    <t>491065</t>
  </si>
  <si>
    <t>K-HETTICH sada Innotech Atira 420/144 stříbrná, 30 kg, SiSy</t>
  </si>
  <si>
    <t>491041</t>
  </si>
  <si>
    <t>K-HETTICH sada Innotech Atira 420/70 antracit, 30 kg, SiSy</t>
  </si>
  <si>
    <t>491035</t>
  </si>
  <si>
    <t>K-HETTICH sada Innotech Atira 420/70 bílá, 30 kg, SiSy</t>
  </si>
  <si>
    <t>491047</t>
  </si>
  <si>
    <t>K-HETTICH sada Innotech Atira 420/70 stříbrná, 30 kg, SiSy</t>
  </si>
  <si>
    <t>348784</t>
  </si>
  <si>
    <t>K-HETTICH sada Innotech Atira 470/144 antracit, 30 kg, SiSy</t>
  </si>
  <si>
    <t>348782</t>
  </si>
  <si>
    <t>K-HETTICH sada Innotech Atira 470/144 bílá, 30 kg, SiSy</t>
  </si>
  <si>
    <t>348786</t>
  </si>
  <si>
    <t>K-HETTICH sada Innotech Atira 470/144 stříbrná, 30 kg, SiSy</t>
  </si>
  <si>
    <t>348783</t>
  </si>
  <si>
    <t>K-HETTICH sada Innotech Atira 470/70 antracit, 30 kg, SiSy</t>
  </si>
  <si>
    <t>348781</t>
  </si>
  <si>
    <t>K-HETTICH sada Innotech Atira 470/70 bílá, 30 kg, SiSy</t>
  </si>
  <si>
    <t>348785</t>
  </si>
  <si>
    <t>K-HETTICH sada Innotech Atira 470/70 stříbrná, 30 kg, SiSy</t>
  </si>
  <si>
    <t>491060</t>
  </si>
  <si>
    <t>K-HETTICH sada Innotech Atira 520/144 antracit, 30 kg, SiSy</t>
  </si>
  <si>
    <t>491054</t>
  </si>
  <si>
    <t>K-HETTICH sada Innotech Atira 520/144 bílá, 30 kg, SiSy</t>
  </si>
  <si>
    <t>491066</t>
  </si>
  <si>
    <t>K-HETTICH sada Innotech Atira 520/144 stříbrná, 30 kg, SiSy</t>
  </si>
  <si>
    <t>491042</t>
  </si>
  <si>
    <t>K-HETTICH sada Innotech Atira 520/70 antracit, 30 kg, SiSy</t>
  </si>
  <si>
    <t>491036</t>
  </si>
  <si>
    <t>K-HETTICH sada Innotech Atira 520/70 bílá, 30 kg, SiSy</t>
  </si>
  <si>
    <t>491048</t>
  </si>
  <si>
    <t>K-HETTICH sada Innotech Atira 520/70 stříbrná, 30 kg, SiSy</t>
  </si>
  <si>
    <t>491061</t>
  </si>
  <si>
    <t>K-HETTICH sada Innotech Atira 620/144 antracit, 30 kg, SiSy</t>
  </si>
  <si>
    <t>491055</t>
  </si>
  <si>
    <t>K-HETTICH sada Innotech Atira 620/144 bílá, 30 kg, SiSy</t>
  </si>
  <si>
    <t>491067</t>
  </si>
  <si>
    <t>K-HETTICH sada Innotech Atira 620/144 stříbrná, 30 kg, SiSy</t>
  </si>
  <si>
    <t>491043</t>
  </si>
  <si>
    <t>K-HETTICH sada Innotech Atira 620/70 antracit, 30 kg, SiSy</t>
  </si>
  <si>
    <t>491037</t>
  </si>
  <si>
    <t>K-HETTICH sada Innotech Atira 620/70 bílá, 30 kg, SiSy</t>
  </si>
  <si>
    <t>491049</t>
  </si>
  <si>
    <t>K-HETTICH sada Innotech Atira 620/70 stříbrná, 30 kg, SiSy</t>
  </si>
  <si>
    <t>488209</t>
  </si>
  <si>
    <t>K-HETTICH set Quadro V6 250 PTO + příchyty</t>
  </si>
  <si>
    <t>488208</t>
  </si>
  <si>
    <t>K-HETTICH set Quadro V6 250 SiSy + příchyty</t>
  </si>
  <si>
    <t>504450</t>
  </si>
  <si>
    <t>K-HETTICH TopLine L,2 dveře,přední vlevo,tlumení C,2300mm,10-16mm,20 kg</t>
  </si>
  <si>
    <t>504451</t>
  </si>
  <si>
    <t>K-HETTICH TopLine L,2 dveře,přední vlevo,tlumení C,2300mm,10-16mm,20-50 kg</t>
  </si>
  <si>
    <t>504233</t>
  </si>
  <si>
    <t>K-HETTICH TopLine L,2 dveře,přední vlevo,tlumení C,2300mm,18-30mm,20 kg</t>
  </si>
  <si>
    <t>504449</t>
  </si>
  <si>
    <t>K-HETTICH TopLine L,2 dveře,přední vlevo,tlumení C,2300mm,18-30mm,20-50 kg</t>
  </si>
  <si>
    <t>504454</t>
  </si>
  <si>
    <t>K-HETTICH TopLine L,2 dveře,přední vlevo,tlumení C,3000mm,10-16mm,20 kg</t>
  </si>
  <si>
    <t>504455</t>
  </si>
  <si>
    <t>K-HETTICH TopLine L,2 dveře,přední vlevo,tlumení C,3000mm,10-16mm,20-50 kg</t>
  </si>
  <si>
    <t>504452</t>
  </si>
  <si>
    <t>K-HETTICH TopLine L,2 dveře,přední vlevo,tlumení C,3000mm,18-30mm,20 kg</t>
  </si>
  <si>
    <t>504453</t>
  </si>
  <si>
    <t>K-HETTICH TopLine L,2 dveře,přední vlevo,tlumení C,3000mm,18-30mm,20-50 kg</t>
  </si>
  <si>
    <t>504458</t>
  </si>
  <si>
    <t>K-HETTICH TopLine L,2 dveře,přední vlevo,tlumení C+O,2300mm,10-16mm,20 kg</t>
  </si>
  <si>
    <t>504459</t>
  </si>
  <si>
    <t>K-HETTICH TopLine L,2 dveře,přední vlevo,tlumení C+O,2300mm,10-16mm,20-50 kg</t>
  </si>
  <si>
    <t>504456</t>
  </si>
  <si>
    <t>K-HETTICH TopLine L,2 dveře,přední vlevo,tlumení C+O,2300mm,18-30mm,20 kg</t>
  </si>
  <si>
    <t>504457</t>
  </si>
  <si>
    <t>K-HETTICH TopLine L,2 dveře,přední vlevo,tlumení C+O,2300mm,18-30mm,20-50 kg</t>
  </si>
  <si>
    <t>504462</t>
  </si>
  <si>
    <t>K-HETTICH TopLine L,2 dveře,přední vlevo,tlumení C+O,3000mm,10-16mm,20 kg</t>
  </si>
  <si>
    <t>504463</t>
  </si>
  <si>
    <t>K-HETTICH TopLine L,2 dveře,přední vlevo,tlumení C+O,3000mm,10-16mm,20-50 kg</t>
  </si>
  <si>
    <t>504460</t>
  </si>
  <si>
    <t>K-HETTICH TopLine L,2 dveře,přední vlevo,tlumení C+O,3000mm,18-30mm,20 kg</t>
  </si>
  <si>
    <t>504461</t>
  </si>
  <si>
    <t>K-HETTICH TopLine L,2 dveře,přední vlevo,tlumení C+O,3000mm,18-30mm,20-50 kg</t>
  </si>
  <si>
    <t>504466</t>
  </si>
  <si>
    <t>K-HETTICH TopLine L,2 dveře,přední vpravo,tlumení C,2300mm,10-16mm,20 kg</t>
  </si>
  <si>
    <t>504467</t>
  </si>
  <si>
    <t>K-HETTICH TopLine L,2 dveře,přední vpravo,tlumení C,2300mm,10-16mm,20-50 kg</t>
  </si>
  <si>
    <t>504464</t>
  </si>
  <si>
    <t>K-HETTICH TopLine L,2 dveře,přední vpravo,tlumení C,2300mm,18-30mm,20 kg</t>
  </si>
  <si>
    <t>504465</t>
  </si>
  <si>
    <t>K-HETTICH TopLine L,2 dveře,přední vpravo,tlumení C,2300mm,18-30mm,20-50 kg</t>
  </si>
  <si>
    <t>504470</t>
  </si>
  <si>
    <t>K-HETTICH TopLine L,2 dveře,přední vpravo,tlumení C,3000mm,10-16mm,20 kg</t>
  </si>
  <si>
    <t>504471</t>
  </si>
  <si>
    <t>K-HETTICH TopLine L,2 dveře,přední vpravo,tlumení C,3000mm,10-16mm,20-50 kg</t>
  </si>
  <si>
    <t>504468</t>
  </si>
  <si>
    <t>K-HETTICH TopLine L,2 dveře,přední vpravo,tlumení C,3000mm,18-30mm,20 kg</t>
  </si>
  <si>
    <t>504469</t>
  </si>
  <si>
    <t>K-HETTICH TopLine L,2 dveře,přední vpravo,tlumení C,3000mm,18-30mm,20-50 kg</t>
  </si>
  <si>
    <t>504474</t>
  </si>
  <si>
    <t>K-HETTICH TopLine L,2 dveře,přední vpravo,tlumení C+O,2300mm,10-16mm,20 kg</t>
  </si>
  <si>
    <t>504475</t>
  </si>
  <si>
    <t>K-HETTICH TopLine L,2 dveře,přední vpravo,tlumení C+O,2300mm,10-16mm,20-50 kg</t>
  </si>
  <si>
    <t>504472</t>
  </si>
  <si>
    <t>K-HETTICH TopLine L,2 dveře,přední vpravo,tlumení C+O,2300mm,18-30mm,20 kg</t>
  </si>
  <si>
    <t>504473</t>
  </si>
  <si>
    <t>K-HETTICH TopLine L,2 dveře,přední vpravo,tlumení C+O,2300mm,18-30mm,20-50 kg</t>
  </si>
  <si>
    <t>504478</t>
  </si>
  <si>
    <t>K-HETTICH TopLine L,2 dveře,přední vpravo,tlumení C+O,3000mm,10-16mm,20 kg</t>
  </si>
  <si>
    <t>504479</t>
  </si>
  <si>
    <t>K-HETTICH TopLine L,2 dveře,přední vpravo,tlumení C+O,3000mm,10-16mm,20-50 kg</t>
  </si>
  <si>
    <t>504476</t>
  </si>
  <si>
    <t>K-HETTICH TopLine L,2 dveře,přední vpravo,tlumení C+O,3000mm,18-30mm,20 kg</t>
  </si>
  <si>
    <t>504477</t>
  </si>
  <si>
    <t>K-HETTICH TopLine L,2 dveře,přední vpravo,tlumení C+O,3000mm,18-30mm,20-50 kg</t>
  </si>
  <si>
    <t>504482</t>
  </si>
  <si>
    <t>K-HETTICH TopLine L,3 dveře,tlumení C,2300mm,10-16mm,20 kg</t>
  </si>
  <si>
    <t>504483</t>
  </si>
  <si>
    <t>K-HETTICH TopLine L,3 dveře,tlumení C,2300mm,10-16mm,20-50 kg</t>
  </si>
  <si>
    <t>504480</t>
  </si>
  <si>
    <t>K-HETTICH TopLine L,3 dveře,tlumení C,2300mm,18-30mm,20 kg</t>
  </si>
  <si>
    <t>504481</t>
  </si>
  <si>
    <t>K-HETTICH TopLine L,3 dveře,tlumení C,2300mm,18-30mm,20-50 kg</t>
  </si>
  <si>
    <t>504486</t>
  </si>
  <si>
    <t>K-HETTICH TopLine L,3 dveře,tlumení C,4000mm,10-16mm,20 kg</t>
  </si>
  <si>
    <t>504487</t>
  </si>
  <si>
    <t>K-HETTICH TopLine L,3 dveře,tlumení C,4000mm,10-16mm,20-50 kg</t>
  </si>
  <si>
    <t>504484</t>
  </si>
  <si>
    <t>K-HETTICH TopLine L,3 dveře,tlumení C,4000mm,18-30mm,20 kg</t>
  </si>
  <si>
    <t>504485</t>
  </si>
  <si>
    <t>K-HETTICH TopLine L,3 dveře,tlumení C,4000mm,18-30mm,20-50 kg</t>
  </si>
  <si>
    <t>504490</t>
  </si>
  <si>
    <t>K-HETTICH TopLine L,3 dveře,tlumení C+O,2300mm,10-16mm,20 kg</t>
  </si>
  <si>
    <t>504491</t>
  </si>
  <si>
    <t>K-HETTICH TopLine L,3 dveře,tlumení C+O,2300mm,10-16mm,20-50 kg</t>
  </si>
  <si>
    <t>504488</t>
  </si>
  <si>
    <t>K-HETTICH TopLine L,3 dveře,tlumení C+O,2300mm,18-30mm,20 kg</t>
  </si>
  <si>
    <t>504489</t>
  </si>
  <si>
    <t>K-HETTICH TopLine L,3 dveře,tlumení C+O,2300mm,18-30mm,20-50 kg</t>
  </si>
  <si>
    <t>504494</t>
  </si>
  <si>
    <t>K-HETTICH TopLine L,3 dveře,tlumení C+O,4000mm,10-16mm,20 kg</t>
  </si>
  <si>
    <t>504495</t>
  </si>
  <si>
    <t>K-HETTICH TopLine L,3 dveře,tlumení C+O,4000mm,10-16mm,20-50 kg</t>
  </si>
  <si>
    <t>504492</t>
  </si>
  <si>
    <t>K-HETTICH TopLine L,3 dveře,tlumení C+O,4000mm,18-30mm,20 kg</t>
  </si>
  <si>
    <t>504493</t>
  </si>
  <si>
    <t>K-HETTICH TopLine L,3 dveře,tlumení C+O,4000mm,18-30mm,20-50 kg</t>
  </si>
  <si>
    <t>504498</t>
  </si>
  <si>
    <t>K-HETTICH TopLine L,3 dveře,tlumení C+O,antikolize,2300mm,10-16mm,20 kg</t>
  </si>
  <si>
    <t>504499</t>
  </si>
  <si>
    <t>K-HETTICH TopLine L,3 dveře,tlumení C+O,antikolize,2300mm,10-16mm,20-50 kg</t>
  </si>
  <si>
    <t>504496</t>
  </si>
  <si>
    <t>K-HETTICH TopLine L,3 dveře,tlumení C+O,antikolize,2300mm,18-30mm,20 kg</t>
  </si>
  <si>
    <t>504497</t>
  </si>
  <si>
    <t>K-HETTICH TopLine L,3 dveře,tlumení C+O,antikolize,2300mm,18-30mm,20-50 kg</t>
  </si>
  <si>
    <t>504501</t>
  </si>
  <si>
    <t>K-HETTICH TopLine L,3 dveře,tlumení C+O,antikolize,4000mm,10-16mm,20 kg</t>
  </si>
  <si>
    <t>504502</t>
  </si>
  <si>
    <t>K-HETTICH TopLine L,3 dveře,tlumení C+O,antikolize,4000mm,10-16mm,20-50 kg</t>
  </si>
  <si>
    <t>504500</t>
  </si>
  <si>
    <t>K-HETTICH TopLine L,3 dveře,tlumení C+O,antikolize,4000mm,18-30mm,20 kg</t>
  </si>
  <si>
    <t>504235</t>
  </si>
  <si>
    <t>K-HETTICH TopLine L,3 dveře,tlumení C+O,antikolize,4000mm,18-30mm,20-50 kg</t>
  </si>
  <si>
    <t>457014</t>
  </si>
  <si>
    <t>K-HETTICH TopLine XL horní a spodní vedení s příchyty 5300mm stříbrná elox</t>
  </si>
  <si>
    <t>534494</t>
  </si>
  <si>
    <t>K-HETTICH WingLine L</t>
  </si>
  <si>
    <t>534493</t>
  </si>
  <si>
    <t>534492</t>
  </si>
  <si>
    <t>534479</t>
  </si>
  <si>
    <t>534478</t>
  </si>
  <si>
    <t>534477</t>
  </si>
  <si>
    <t>534694</t>
  </si>
  <si>
    <t>K-HETTICH WingLine L,lehké dveře,bez dolního vedení,1200mm,4 závěsy A,L+P,antrac</t>
  </si>
  <si>
    <t>534776</t>
  </si>
  <si>
    <t>K-HETTICH WingLine L,lehké dveře,bez dolního vedení,1200mm,4 závěsy A,L+P,bílý</t>
  </si>
  <si>
    <t>534456</t>
  </si>
  <si>
    <t>K-HETTICH WingLine L,lehké dveře,bez dolního vedení,1200mm,4 závěsy A,L+P,šedý</t>
  </si>
  <si>
    <t>534693</t>
  </si>
  <si>
    <t>K-HETTICH WingLine L,lehké dveře,bez dolního vedení,1200mm,4 závěsy P,L+P,antrac</t>
  </si>
  <si>
    <t>534775</t>
  </si>
  <si>
    <t>K-HETTICH WingLine L,lehké dveře,bez dolního vedení,1200mm,4 závěsy P,L+P,bílý</t>
  </si>
  <si>
    <t>534455</t>
  </si>
  <si>
    <t>K-HETTICH WingLine L,lehké dveře,bez dolního vedení,1200mm,4 závěsy P,L+P,šedý</t>
  </si>
  <si>
    <t>534692</t>
  </si>
  <si>
    <t>K-HETTICH WingLine L,lehké dveře,bez dolního vedení,1200mm,4 závěsy S,L+P,antrac</t>
  </si>
  <si>
    <t>534774</t>
  </si>
  <si>
    <t>K-HETTICH WingLine L,lehké dveře,bez dolního vedení,1200mm,4 závěsy S,L+P,bílý</t>
  </si>
  <si>
    <t>534453</t>
  </si>
  <si>
    <t>K-HETTICH WingLine L,lehké dveře,bez dolního vedení,1200mm,4 závěsy S,L+P,šedý</t>
  </si>
  <si>
    <t>534700</t>
  </si>
  <si>
    <t>K-HETTICH WingLine L,lehké dveře,bez dolního vedení,1800mm,6 závěsů A,L+P,antrac</t>
  </si>
  <si>
    <t>534782</t>
  </si>
  <si>
    <t>K-HETTICH WingLine L,lehké dveře,bez dolního vedení,1800mm,6 závěsů A,L+P,bílý</t>
  </si>
  <si>
    <t>534462</t>
  </si>
  <si>
    <t>K-HETTICH WingLine L,lehké dveře,bez dolního vedení,1800mm,6 závěsů A,L+P,šedý</t>
  </si>
  <si>
    <t>534699</t>
  </si>
  <si>
    <t>K-HETTICH WingLine L,lehké dveře,bez dolního vedení,1800mm,6 závěsů P,L+P,antrac</t>
  </si>
  <si>
    <t>534781</t>
  </si>
  <si>
    <t>K-HETTICH WingLine L,lehké dveře,bez dolního vedení,1800mm,6 závěsů P,L+P,bílý</t>
  </si>
  <si>
    <t>534461</t>
  </si>
  <si>
    <t>K-HETTICH WingLine L,lehké dveře,bez dolního vedení,1800mm,6 závěsů P,L+P,šedý</t>
  </si>
  <si>
    <t>534698</t>
  </si>
  <si>
    <t>K-HETTICH WingLine L,lehké dveře,bez dolního vedení,1800mm,6 závěsů S,L+P,antrac</t>
  </si>
  <si>
    <t>534780</t>
  </si>
  <si>
    <t>K-HETTICH WingLine L,lehké dveře,bez dolního vedení,1800mm,6 závěsů S,L+P,bílý</t>
  </si>
  <si>
    <t>534460</t>
  </si>
  <si>
    <t>K-HETTICH WingLine L,lehké dveře,bez dolního vedení,1800mm,6 závěsů S,L+P,šedý</t>
  </si>
  <si>
    <t>534688</t>
  </si>
  <si>
    <t>K-HETTICH WingLine L,lehké dveře,bez dolního vedení,2 závěsy A,levý,antracit</t>
  </si>
  <si>
    <t>534770</t>
  </si>
  <si>
    <t>K-HETTICH WingLine L,lehké dveře,bez dolního vedení,2 závěsy A,levý,bílý</t>
  </si>
  <si>
    <t>534441</t>
  </si>
  <si>
    <t>K-HETTICH WingLine L,lehké dveře,bez dolního vedení,2 závěsy A,levý,šedý</t>
  </si>
  <si>
    <t>534682</t>
  </si>
  <si>
    <t>K-HETTICH WingLine L,lehké dveře,bez dolního vedení,2 závěsy A,pravý,antracit</t>
  </si>
  <si>
    <t>534764</t>
  </si>
  <si>
    <t>K-HETTICH WingLine L,lehké dveře,bez dolního vedení,2 závěsy A,pravý,bílý</t>
  </si>
  <si>
    <t>534430</t>
  </si>
  <si>
    <t>K-HETTICH WingLine L,lehké dveře,bez dolního vedení,2 závěsy A,pravý,šedý</t>
  </si>
  <si>
    <t>534687</t>
  </si>
  <si>
    <t>K-HETTICH WingLine L,lehké dveře,bez dolního vedení,2 závěsy P,levý,antracit</t>
  </si>
  <si>
    <t>534769</t>
  </si>
  <si>
    <t>K-HETTICH WingLine L,lehké dveře,bez dolního vedení,2 závěsy P,levý,bílý</t>
  </si>
  <si>
    <t>534439</t>
  </si>
  <si>
    <t>K-HETTICH WingLine L,lehké dveře,bez dolního vedení,2 závěsy P,levý,šedý</t>
  </si>
  <si>
    <t>534681</t>
  </si>
  <si>
    <t>K-HETTICH WingLine L,lehké dveře,bez dolního vedení,2 závěsy P,pravý,antracit</t>
  </si>
  <si>
    <t>534763</t>
  </si>
  <si>
    <t>K-HETTICH WingLine L,lehké dveře,bez dolního vedení,2 závěsy P,pravý,bílý</t>
  </si>
  <si>
    <t>534429</t>
  </si>
  <si>
    <t>K-HETTICH WingLine L,lehké dveře,bez dolního vedení,2 závěsy P,pravý,šedý</t>
  </si>
  <si>
    <t>534686</t>
  </si>
  <si>
    <t>K-HETTICH WingLine L,lehké dveře,bez dolního vedení,2 závěsy S,levý,antracit</t>
  </si>
  <si>
    <t>534768</t>
  </si>
  <si>
    <t>K-HETTICH WingLine L,lehké dveře,bez dolního vedení,2 závěsy S,levý,bílý</t>
  </si>
  <si>
    <t>534437</t>
  </si>
  <si>
    <t>K-HETTICH WingLine L,lehké dveře,bez dolního vedení,2 závěsy S,levý,šedý</t>
  </si>
  <si>
    <t>534680</t>
  </si>
  <si>
    <t>K-HETTICH WingLine L,lehké dveře,bez dolního vedení,2 závěsy S,pravý,antracit</t>
  </si>
  <si>
    <t>534762</t>
  </si>
  <si>
    <t>K-HETTICH WingLine L,lehké dveře,bez dolního vedení,2 závěsy S,pravý,bílý</t>
  </si>
  <si>
    <t>534428</t>
  </si>
  <si>
    <t>K-HETTICH WingLine L,lehké dveře,bez dolního vedení,2 závěsy S,pravý,šedý</t>
  </si>
  <si>
    <t>534697</t>
  </si>
  <si>
    <t>K-HETTICH WingLine L,lehké dveře,bez dolního vedení,2400mm,4 závěsy A,L+P,antrac</t>
  </si>
  <si>
    <t>534779</t>
  </si>
  <si>
    <t>K-HETTICH WingLine L,lehké dveře,bez dolního vedení,2400mm,4 závěsy A,L+P,bílý</t>
  </si>
  <si>
    <t>534459</t>
  </si>
  <si>
    <t>K-HETTICH WingLine L,lehké dveře,bez dolního vedení,2400mm,4 závěsy A,L+P,šedý</t>
  </si>
  <si>
    <t>534696</t>
  </si>
  <si>
    <t>K-HETTICH WingLine L,lehké dveře,bez dolního vedení,2400mm,4 závěsy P,L+P,antrac</t>
  </si>
  <si>
    <t>534778</t>
  </si>
  <si>
    <t>K-HETTICH WingLine L,lehké dveře,bez dolního vedení,2400mm,4 závěsy P,L+P,bílý</t>
  </si>
  <si>
    <t>534458</t>
  </si>
  <si>
    <t>K-HETTICH WingLine L,lehké dveře,bez dolního vedení,2400mm,4 závěsy P,L+P,šedý</t>
  </si>
  <si>
    <t>534695</t>
  </si>
  <si>
    <t>K-HETTICH WingLine L,lehké dveře,bez dolního vedení,2400mm,4 závěsy S,L+P,antrac</t>
  </si>
  <si>
    <t>534777</t>
  </si>
  <si>
    <t>K-HETTICH WingLine L,lehké dveře,bez dolního vedení,2400mm,4 závěsy S,L+P,bílý</t>
  </si>
  <si>
    <t>534457</t>
  </si>
  <si>
    <t>K-HETTICH WingLine L,lehké dveře,bez dolního vedení,2400mm,4 závěsy S,L+P,šedý</t>
  </si>
  <si>
    <t>534691</t>
  </si>
  <si>
    <t>K-HETTICH WingLine L,lehké dveře,bez dolního vedení,3 závěsy A,levý,antracit</t>
  </si>
  <si>
    <t>534773</t>
  </si>
  <si>
    <t>K-HETTICH WingLine L,lehké dveře,bez dolního vedení,3 závěsy A,levý,bílý</t>
  </si>
  <si>
    <t>534447</t>
  </si>
  <si>
    <t>K-HETTICH WingLine L,lehké dveře,bez dolního vedení,3 závěsy A,levý,šedý</t>
  </si>
  <si>
    <t>534685</t>
  </si>
  <si>
    <t>K-HETTICH WingLine L,lehké dveře,bez dolního vedení,3 závěsy A,pravý,antracit</t>
  </si>
  <si>
    <t>534767</t>
  </si>
  <si>
    <t>K-HETTICH WingLine L,lehké dveře,bez dolního vedení,3 závěsy A,pravý,bílý</t>
  </si>
  <si>
    <t>534435</t>
  </si>
  <si>
    <t>K-HETTICH WingLine L,lehké dveře,bez dolního vedení,3 závěsy A,pravý,šedý</t>
  </si>
  <si>
    <t>534690</t>
  </si>
  <si>
    <t>K-HETTICH WingLine L,lehké dveře,bez dolního vedení,3 závěsy P,levý,antracit</t>
  </si>
  <si>
    <t>534772</t>
  </si>
  <si>
    <t>K-HETTICH WingLine L,lehké dveře,bez dolního vedení,3 závěsy P,levý,bílý</t>
  </si>
  <si>
    <t>534445</t>
  </si>
  <si>
    <t>K-HETTICH WingLine L,lehké dveře,bez dolního vedení,3 závěsy P,levý,šedý</t>
  </si>
  <si>
    <t>534684</t>
  </si>
  <si>
    <t>K-HETTICH WingLine L,lehké dveře,bez dolního vedení,3 závěsy P,pravý,antracit</t>
  </si>
  <si>
    <t>534766</t>
  </si>
  <si>
    <t>K-HETTICH WingLine L,lehké dveře,bez dolního vedení,3 závěsy P,pravý,bílý</t>
  </si>
  <si>
    <t>534433</t>
  </si>
  <si>
    <t>K-HETTICH WingLine L,lehké dveře,bez dolního vedení,3 závěsy P,pravý,šedý</t>
  </si>
  <si>
    <t>534689</t>
  </si>
  <si>
    <t>K-HETTICH WingLine L,lehké dveře,bez dolního vedení,3 závěsy S,levý,antracit</t>
  </si>
  <si>
    <t>534771</t>
  </si>
  <si>
    <t>K-HETTICH WingLine L,lehké dveře,bez dolního vedení,3 závěsy S,levý,bílý</t>
  </si>
  <si>
    <t>534443</t>
  </si>
  <si>
    <t>K-HETTICH WingLine L,lehké dveře,bez dolního vedení,3 závěsy S,levý,šedý</t>
  </si>
  <si>
    <t>534683</t>
  </si>
  <si>
    <t>K-HETTICH WingLine L,lehké dveře,bez dolního vedení,3 závěsy S,pravý,antracit</t>
  </si>
  <si>
    <t>534765</t>
  </si>
  <si>
    <t>K-HETTICH WingLine L,lehké dveře,bez dolního vedení,3 závěsy S,pravý,bílý</t>
  </si>
  <si>
    <t>534432</t>
  </si>
  <si>
    <t>K-HETTICH WingLine L,lehké dveře,bez dolního vedení,3 závěsy S,pravý,šedý</t>
  </si>
  <si>
    <t>534721</t>
  </si>
  <si>
    <t>K-HETTICH WingLine L,lehké dveře,s dolním vedením,1200mm,4 závěsy A,L+P,antracit</t>
  </si>
  <si>
    <t>534803</t>
  </si>
  <si>
    <t>K-HETTICH WingLine L,lehké dveře,s dolním vedením,1200mm,4 závěsy A,L+P,bílý</t>
  </si>
  <si>
    <t>534498</t>
  </si>
  <si>
    <t>K-HETTICH WingLine L,lehké dveře,s dolním vedením,1200mm,4 závěsy A,L+P,šedý</t>
  </si>
  <si>
    <t>534720</t>
  </si>
  <si>
    <t>K-HETTICH WingLine L,lehké dveře,s dolním vedením,1200mm,4 závěsy P, L+P,antraci</t>
  </si>
  <si>
    <t>534802</t>
  </si>
  <si>
    <t>K-HETTICH WingLine L,lehké dveře,s dolním vedením,1200mm,4 závěsy P, L+P,bílý</t>
  </si>
  <si>
    <t>534497</t>
  </si>
  <si>
    <t>K-HETTICH WingLine L,lehké dveře,s dolním vedením,1200mm,4 závěsy P, L+P,šedý</t>
  </si>
  <si>
    <t>534719</t>
  </si>
  <si>
    <t>K-HETTICH WingLine L,lehké dveře,s dolním vedením,1200mm,4 závěsy S,L+P,antracit</t>
  </si>
  <si>
    <t>534801</t>
  </si>
  <si>
    <t>K-HETTICH WingLine L,lehké dveře,s dolním vedením,1200mm,4 závěsy S,L+P,bílý</t>
  </si>
  <si>
    <t>534495</t>
  </si>
  <si>
    <t>K-HETTICH WingLine L,lehké dveře,s dolním vedením,1200mm,4 závěsy S,L+P,šedý</t>
  </si>
  <si>
    <t>534730</t>
  </si>
  <si>
    <t>K-HETTICH WingLine L,lehké dveře,s dolním vedením,1400mm,8 závěsů A,L+P,antracit</t>
  </si>
  <si>
    <t>534812</t>
  </si>
  <si>
    <t>K-HETTICH WingLine L,lehké dveře,s dolním vedením,1400mm,8 závěsů A,L+P,bílý</t>
  </si>
  <si>
    <t>534520</t>
  </si>
  <si>
    <t>K-HETTICH WingLine L,lehké dveře,s dolním vedením,1400mm,8 závěsů A,L+P,šedý</t>
  </si>
  <si>
    <t>534729</t>
  </si>
  <si>
    <t>K-HETTICH WingLine L,lehké dveře,s dolním vedením,1400mm,8 závěsů P, L+P,antraci</t>
  </si>
  <si>
    <t>534811</t>
  </si>
  <si>
    <t>K-HETTICH WingLine L,lehké dveře,s dolním vedením,1400mm,8 závěsů P, L+P,bílý</t>
  </si>
  <si>
    <t>534519</t>
  </si>
  <si>
    <t>K-HETTICH WingLine L,lehké dveře,s dolním vedením,1400mm,8 závěsů P, L+P,šedý</t>
  </si>
  <si>
    <t>534728</t>
  </si>
  <si>
    <t>K-HETTICH WingLine L,lehké dveře,s dolním vedením,1400mm,8 závěsů S,L+P,antracit</t>
  </si>
  <si>
    <t>534810</t>
  </si>
  <si>
    <t>K-HETTICH WingLine L,lehké dveře,s dolním vedením,1400mm,8 závěsů S,L+P,bílý</t>
  </si>
  <si>
    <t>534518</t>
  </si>
  <si>
    <t>K-HETTICH WingLine L,lehké dveře,s dolním vedením,1400mm,8 závěsů S,L+P,šedý</t>
  </si>
  <si>
    <t>534727</t>
  </si>
  <si>
    <t>K-HETTICH WingLine L,lehké dveře,s dolním vedením,1800mm,6 závěsů A,L+P,antracit</t>
  </si>
  <si>
    <t>534809</t>
  </si>
  <si>
    <t>K-HETTICH WingLine L,lehké dveře,s dolním vedením,1800mm,6 závěsů A,L+P,bílý</t>
  </si>
  <si>
    <t>534517</t>
  </si>
  <si>
    <t>K-HETTICH WingLine L,lehké dveře,s dolním vedením,1800mm,6 závěsů A,L+P,šedý</t>
  </si>
  <si>
    <t>534726</t>
  </si>
  <si>
    <t>K-HETTICH WingLine L,lehké dveře,s dolním vedením,1800mm,6 závěsů P, L+P,antraci</t>
  </si>
  <si>
    <t>534808</t>
  </si>
  <si>
    <t>K-HETTICH WingLine L,lehké dveře,s dolním vedením,1800mm,6 závěsů P, L+P,bílý</t>
  </si>
  <si>
    <t>534515</t>
  </si>
  <si>
    <t>K-HETTICH WingLine L,lehké dveře,s dolním vedením,1800mm,6 závěsů P, L+P,šedý</t>
  </si>
  <si>
    <t>534725</t>
  </si>
  <si>
    <t>K-HETTICH WingLine L,lehké dveře,s dolním vedením,1800mm,6 závěsů S,L+P,antracit</t>
  </si>
  <si>
    <t>534807</t>
  </si>
  <si>
    <t>K-HETTICH WingLine L,lehké dveře,s dolním vedením,1800mm,6 závěsů S,L+P,bílý</t>
  </si>
  <si>
    <t>534512</t>
  </si>
  <si>
    <t>K-HETTICH WingLine L,lehké dveře,s dolním vedením,1800mm,6 závěsů S,L+P,šedý</t>
  </si>
  <si>
    <t>534712</t>
  </si>
  <si>
    <t>K-HETTICH WingLine L,lehké dveře,s dolním vedením,2 závěsy A,levý,antracit</t>
  </si>
  <si>
    <t>534794</t>
  </si>
  <si>
    <t>K-HETTICH WingLine L,lehké dveře,s dolním vedením,2 závěsy A,levý,bílý</t>
  </si>
  <si>
    <t>534482</t>
  </si>
  <si>
    <t>K-HETTICH WingLine L,lehké dveře,s dolním vedením,2 závěsy A,levý,šedý</t>
  </si>
  <si>
    <t>534703</t>
  </si>
  <si>
    <t>K-HETTICH WingLine L,lehké dveře,s dolním vedením,2 závěsy A,pravý,antracit</t>
  </si>
  <si>
    <t>534785</t>
  </si>
  <si>
    <t>K-HETTICH WingLine L,lehké dveře,s dolním vedením,2 závěsy A,pravý,bílý</t>
  </si>
  <si>
    <t>534467</t>
  </si>
  <si>
    <t>K-HETTICH WingLine L,lehké dveře,s dolním vedením,2 závěsy A,pravý,šedý</t>
  </si>
  <si>
    <t>534711</t>
  </si>
  <si>
    <t>K-HETTICH WingLine L,lehké dveře,s dolním vedením,2 závěsy P,levý,antracit</t>
  </si>
  <si>
    <t>534793</t>
  </si>
  <si>
    <t>K-HETTICH WingLine L,lehké dveře,s dolním vedením,2 závěsy P,levý,bílý</t>
  </si>
  <si>
    <t>534481</t>
  </si>
  <si>
    <t>K-HETTICH WingLine L,lehké dveře,s dolním vedením,2 závěsy P,levý,šedý</t>
  </si>
  <si>
    <t>534702</t>
  </si>
  <si>
    <t>K-HETTICH WingLine L,lehké dveře,s dolním vedením,2 závěsy P,pravý,antracit</t>
  </si>
  <si>
    <t>534784</t>
  </si>
  <si>
    <t>K-HETTICH WingLine L,lehké dveře,s dolním vedením,2 závěsy P,pravý,bílý</t>
  </si>
  <si>
    <t>534466</t>
  </si>
  <si>
    <t>K-HETTICH WingLine L,lehké dveře,s dolním vedením,2 závěsy P,pravý,šedý</t>
  </si>
  <si>
    <t>534710</t>
  </si>
  <si>
    <t>K-HETTICH WingLine L,lehké dveře,s dolním vedením,2 závěsy S,levý,antracit</t>
  </si>
  <si>
    <t>534792</t>
  </si>
  <si>
    <t>K-HETTICH WingLine L,lehké dveře,s dolním vedením,2 závěsy S,levý,bílý</t>
  </si>
  <si>
    <t>534480</t>
  </si>
  <si>
    <t>K-HETTICH WingLine L,lehké dveře,s dolním vedením,2 závěsy S,levý,šedý</t>
  </si>
  <si>
    <t>534701</t>
  </si>
  <si>
    <t>K-HETTICH WingLine L,lehké dveře,s dolním vedením,2 závěsy S,pravý,antracit</t>
  </si>
  <si>
    <t>534783</t>
  </si>
  <si>
    <t>K-HETTICH WingLine L,lehké dveře,s dolním vedením,2 závěsy S,pravý,bílý</t>
  </si>
  <si>
    <t>534465</t>
  </si>
  <si>
    <t>K-HETTICH WingLine L,lehké dveře,s dolním vedením,2 závěsy S,pravý,šedý</t>
  </si>
  <si>
    <t>534724</t>
  </si>
  <si>
    <t>K-HETTICH WingLine L,lehké dveře,s dolním vedením,2400mm,4 závěsy A,L+P,antracit</t>
  </si>
  <si>
    <t>534806</t>
  </si>
  <si>
    <t>K-HETTICH WingLine L,lehké dveře,s dolním vedením,2400mm,4 závěsy A,L+P,bílý</t>
  </si>
  <si>
    <t>534511</t>
  </si>
  <si>
    <t>K-HETTICH WingLine L,lehké dveře,s dolním vedením,2400mm,4 závěsy A,L+P,šedý</t>
  </si>
  <si>
    <t>534723</t>
  </si>
  <si>
    <t>K-HETTICH WingLine L,lehké dveře,s dolním vedením,2400mm,4 závěsy P, L+P,antraci</t>
  </si>
  <si>
    <t>534805</t>
  </si>
  <si>
    <t>K-HETTICH WingLine L,lehké dveře,s dolním vedením,2400mm,4 závěsy P, L+P,bílý</t>
  </si>
  <si>
    <t>534509</t>
  </si>
  <si>
    <t>K-HETTICH WingLine L,lehké dveře,s dolním vedením,2400mm,4 závěsy P, L+P,šedý</t>
  </si>
  <si>
    <t>534722</t>
  </si>
  <si>
    <t>K-HETTICH WingLine L,lehké dveře,s dolním vedením,2400mm,4 závěsy S,L+P,antracit</t>
  </si>
  <si>
    <t>534804</t>
  </si>
  <si>
    <t>K-HETTICH WingLine L,lehké dveře,s dolním vedením,2400mm,4 závěsy S,L+P,bílý</t>
  </si>
  <si>
    <t>534500</t>
  </si>
  <si>
    <t>K-HETTICH WingLine L,lehké dveře,s dolním vedením,2400mm,4 závěsy S,L+P,šedý</t>
  </si>
  <si>
    <t>534715</t>
  </si>
  <si>
    <t>K-HETTICH WingLine L,lehké dveře,s dolním vedením,3 závěsy A,levý,antracit</t>
  </si>
  <si>
    <t>534797</t>
  </si>
  <si>
    <t>K-HETTICH WingLine L,lehké dveře,s dolním vedením,3 závěsy A,levý,bílý</t>
  </si>
  <si>
    <t>534488</t>
  </si>
  <si>
    <t>K-HETTICH WingLine L,lehké dveře,s dolním vedením,3 závěsy A,levý,šedý</t>
  </si>
  <si>
    <t>534706</t>
  </si>
  <si>
    <t>K-HETTICH WingLine L,lehké dveře,s dolním vedením,3 závěsy A,pravý,antracit</t>
  </si>
  <si>
    <t>534788</t>
  </si>
  <si>
    <t>K-HETTICH WingLine L,lehké dveře,s dolním vedením,3 závěsy A,pravý,bílý</t>
  </si>
  <si>
    <t>534470</t>
  </si>
  <si>
    <t>K-HETTICH WingLine L,lehké dveře,s dolním vedením,3 závěsy A,pravý,šedý</t>
  </si>
  <si>
    <t>534796</t>
  </si>
  <si>
    <t>K-HETTICH WingLine L,lehké dveře,s dolním vedením,3 závěsy P,levý,bílý</t>
  </si>
  <si>
    <t>534714</t>
  </si>
  <si>
    <t>K-HETTICH WingLine L,lehké dveře,s dolním vedením,3 závěsy P,pravý,antracit</t>
  </si>
  <si>
    <t>534705</t>
  </si>
  <si>
    <t>534787</t>
  </si>
  <si>
    <t>K-HETTICH WingLine L,lehké dveře,s dolním vedením,3 závěsy P,pravý,bílý</t>
  </si>
  <si>
    <t>534487</t>
  </si>
  <si>
    <t>K-HETTICH WingLine L,lehké dveře,s dolním vedením,3 závěsy P,pravý,šedý</t>
  </si>
  <si>
    <t>534469</t>
  </si>
  <si>
    <t>534713</t>
  </si>
  <si>
    <t>K-HETTICH WingLine L,lehké dveře,s dolním vedením,3 závěsy S,levý,antracit</t>
  </si>
  <si>
    <t>534795</t>
  </si>
  <si>
    <t>K-HETTICH WingLine L,lehké dveře,s dolním vedením,3 závěsy S,levý,bílý</t>
  </si>
  <si>
    <t>534486</t>
  </si>
  <si>
    <t>K-HETTICH WingLine L,lehké dveře,s dolním vedením,3 závěsy S,levý,šedý</t>
  </si>
  <si>
    <t>534704</t>
  </si>
  <si>
    <t>K-HETTICH WingLine L,lehké dveře,s dolním vedením,3 závěsy S,pravý,antracit</t>
  </si>
  <si>
    <t>534786</t>
  </si>
  <si>
    <t>K-HETTICH WingLine L,lehké dveře,s dolním vedením,3 závěsy S,pravý,bílý</t>
  </si>
  <si>
    <t>534468</t>
  </si>
  <si>
    <t>K-HETTICH WingLine L,lehké dveře,s dolním vedením,3 závěsy S,pravý,šedý</t>
  </si>
  <si>
    <t>534718</t>
  </si>
  <si>
    <t>K-HETTICH WingLine L,lehké dveře,s dolním vedením,4 závěsy A,levý,antracit</t>
  </si>
  <si>
    <t>534800</t>
  </si>
  <si>
    <t>K-HETTICH WingLine L,lehké dveře,s dolním vedením,4 závěsy A,levý,bílý</t>
  </si>
  <si>
    <t>534491</t>
  </si>
  <si>
    <t>K-HETTICH WingLine L,lehké dveře,s dolním vedením,4 závěsy A,levý,šedý</t>
  </si>
  <si>
    <t>534709</t>
  </si>
  <si>
    <t>K-HETTICH WingLine L,lehké dveře,s dolním vedením,4 závěsy A,pravý,antracit</t>
  </si>
  <si>
    <t>534791</t>
  </si>
  <si>
    <t>K-HETTICH WingLine L,lehké dveře,s dolním vedením,4 závěsy A,pravý,bílý</t>
  </si>
  <si>
    <t>534475</t>
  </si>
  <si>
    <t>K-HETTICH WingLine L,lehké dveře,s dolním vedením,4 závěsy A,pravý,šedý</t>
  </si>
  <si>
    <t>534717</t>
  </si>
  <si>
    <t>K-HETTICH WingLine L,lehké dveře,s dolním vedením,4 závěsy P,levý,antracit</t>
  </si>
  <si>
    <t>534799</t>
  </si>
  <si>
    <t>K-HETTICH WingLine L,lehké dveře,s dolním vedením,4 závěsy P,levý,bílý</t>
  </si>
  <si>
    <t>534490</t>
  </si>
  <si>
    <t>K-HETTICH WingLine L,lehké dveře,s dolním vedením,4 závěsy P,levý,šedý</t>
  </si>
  <si>
    <t>534708</t>
  </si>
  <si>
    <t>K-HETTICH WingLine L,lehké dveře,s dolním vedením,4 závěsy P,pravý,antracit</t>
  </si>
  <si>
    <t>534790</t>
  </si>
  <si>
    <t>K-HETTICH WingLine L,lehké dveře,s dolním vedením,4 závěsy P,pravý,bílý</t>
  </si>
  <si>
    <t>534474</t>
  </si>
  <si>
    <t>K-HETTICH WingLine L,lehké dveře,s dolním vedením,4 závěsy P,pravý,šedý</t>
  </si>
  <si>
    <t>534716</t>
  </si>
  <si>
    <t>K-HETTICH WingLine L,lehké dveře,s dolním vedením,4 závěsy S,levý,antracit</t>
  </si>
  <si>
    <t>534798</t>
  </si>
  <si>
    <t>K-HETTICH WingLine L,lehké dveře,s dolním vedením,4 závěsy S,levý,bílý</t>
  </si>
  <si>
    <t>534489</t>
  </si>
  <si>
    <t>K-HETTICH WingLine L,lehké dveře,s dolním vedením,4 závěsy S,levý,šedý</t>
  </si>
  <si>
    <t>534707</t>
  </si>
  <si>
    <t>K-HETTICH WingLine L,lehké dveře,s dolním vedením,4 závěsy S,pravý,antracit</t>
  </si>
  <si>
    <t>534789</t>
  </si>
  <si>
    <t>K-HETTICH WingLine L,lehké dveře,s dolním vedením,4 závěsy S,pravý,bílý</t>
  </si>
  <si>
    <t>534472</t>
  </si>
  <si>
    <t>K-HETTICH WingLine L,lehké dveře,s dolním vedením,4 závěsy S,pravý,šedý</t>
  </si>
  <si>
    <t>535360</t>
  </si>
  <si>
    <t>K-HETTICH WingLine L,P2MS, těžké,s dolním vedením,2400mm,10 závěsů A,L+P,antraci</t>
  </si>
  <si>
    <t>535359</t>
  </si>
  <si>
    <t>K-HETTICH WingLine L,P2MS, těžké,s dolním vedením,2400mm,10 závěsů P,L+P,antraci</t>
  </si>
  <si>
    <t>535358</t>
  </si>
  <si>
    <t>K-HETTICH WingLine L,P2MS, těžké,s dolním vedením,2400mm,10 závěsů S,L+P,antraci</t>
  </si>
  <si>
    <t>535363</t>
  </si>
  <si>
    <t>K-HETTICH WingLine L,P2MS, těžké,s dolním vedením,2400mm,12 závěsů A,L+P,antraci</t>
  </si>
  <si>
    <t>535362</t>
  </si>
  <si>
    <t>K-HETTICH WingLine L,P2MS, těžké,s dolním vedením,2400mm,12 závěsů P,L+P,antraci</t>
  </si>
  <si>
    <t>535361</t>
  </si>
  <si>
    <t>K-HETTICH WingLine L,P2MS, těžké,s dolním vedením,2400mm,12 závěsů S,L+P,antraci</t>
  </si>
  <si>
    <t>535354</t>
  </si>
  <si>
    <t>K-HETTICH WingLine L,P2MS, těžké,s dolním vedením,2400mm,6 závěsů A,L+P,antracit</t>
  </si>
  <si>
    <t>535353</t>
  </si>
  <si>
    <t>K-HETTICH WingLine L,P2MS, těžké,s dolním vedením,2400mm,6 závěsů P,L+P,antracit</t>
  </si>
  <si>
    <t>535352</t>
  </si>
  <si>
    <t>K-HETTICH WingLine L,P2MS, těžké,s dolním vedením,2400mm,6 závěsů S,L+P,antracit</t>
  </si>
  <si>
    <t>535357</t>
  </si>
  <si>
    <t>K-HETTICH WingLine L,P2MS, těžké,s dolním vedením,2400mm,8 závěsů A,L+P,antracit</t>
  </si>
  <si>
    <t>535356</t>
  </si>
  <si>
    <t>K-HETTICH WingLine L,P2MS, těžké,s dolním vedením,2400mm,8 závěsů P,L+P,antracit</t>
  </si>
  <si>
    <t>535355</t>
  </si>
  <si>
    <t>K-HETTICH WingLine L,P2MS, těžké,s dolním vedením,2400mm,8 závěsů S,L+P,antracit</t>
  </si>
  <si>
    <t>535342</t>
  </si>
  <si>
    <t>K-HETTICH WingLine L,P2MS, těžké,s dolním vedením,3 závěsy A,levý,antracit</t>
  </si>
  <si>
    <t>535330</t>
  </si>
  <si>
    <t>K-HETTICH WingLine L,P2MS, těžké,s dolním vedením,3 závěsy A,pravý,antracit</t>
  </si>
  <si>
    <t>535341</t>
  </si>
  <si>
    <t>K-HETTICH WingLine L,P2MS, těžké,s dolním vedením,3 závěsy P,levý,antracit</t>
  </si>
  <si>
    <t>535329</t>
  </si>
  <si>
    <t>K-HETTICH WingLine L,P2MS, těžké,s dolním vedením,3 závěsy P,pravý,antracit</t>
  </si>
  <si>
    <t>535340</t>
  </si>
  <si>
    <t>K-HETTICH WingLine L,P2MS, těžké,s dolním vedením,3 závěsy S,levý,antracit</t>
  </si>
  <si>
    <t>535328</t>
  </si>
  <si>
    <t>K-HETTICH WingLine L,P2MS, těžké,s dolním vedením,3 závěsy S,pravý,antracit</t>
  </si>
  <si>
    <t>535345</t>
  </si>
  <si>
    <t>K-HETTICH WingLine L,P2MS, těžké,s dolním vedením,4 závěsy A,levý,antracit</t>
  </si>
  <si>
    <t>535333</t>
  </si>
  <si>
    <t>K-HETTICH WingLine L,P2MS, těžké,s dolním vedením,4 závěsy A,pravý,antracit</t>
  </si>
  <si>
    <t>535344</t>
  </si>
  <si>
    <t>K-HETTICH WingLine L,P2MS, těžké,s dolním vedením,4 závěsy P,levý,antracit</t>
  </si>
  <si>
    <t>535332</t>
  </si>
  <si>
    <t>K-HETTICH WingLine L,P2MS, těžké,s dolním vedením,4 závěsy P,pravý,antracit</t>
  </si>
  <si>
    <t>535343</t>
  </si>
  <si>
    <t>K-HETTICH WingLine L,P2MS, těžké,s dolním vedením,4 závěsy S,levý,antracit</t>
  </si>
  <si>
    <t>535331</t>
  </si>
  <si>
    <t>K-HETTICH WingLine L,P2MS, těžké,s dolním vedením,4 závěsy S,pravý,antracit</t>
  </si>
  <si>
    <t>535348</t>
  </si>
  <si>
    <t>K-HETTICH WingLine L,P2MS, těžké,s dolním vedením,5 závěsů A,levý,antracit</t>
  </si>
  <si>
    <t>535336</t>
  </si>
  <si>
    <t>K-HETTICH WingLine L,P2MS, těžké,s dolním vedením,5 závěsů A,pravý,antracit</t>
  </si>
  <si>
    <t>535347</t>
  </si>
  <si>
    <t>K-HETTICH WingLine L,P2MS, těžké,s dolním vedením,5 závěsů P,levý,antracit</t>
  </si>
  <si>
    <t>535335</t>
  </si>
  <si>
    <t>K-HETTICH WingLine L,P2MS, těžké,s dolním vedením,5 závěsů P,pravý,antracit</t>
  </si>
  <si>
    <t>535346</t>
  </si>
  <si>
    <t>K-HETTICH WingLine L,P2MS, těžké,s dolním vedením,5 závěsů S,levý,antracit</t>
  </si>
  <si>
    <t>535334</t>
  </si>
  <si>
    <t>K-HETTICH WingLine L,P2MS, těžké,s dolním vedením,5 závěsů S,pravý,antracit</t>
  </si>
  <si>
    <t>535351</t>
  </si>
  <si>
    <t>K-HETTICH WingLine L,P2MS, těžké,s dolním vedením,6 závěsů A,levý,antracit</t>
  </si>
  <si>
    <t>535339</t>
  </si>
  <si>
    <t>K-HETTICH WingLine L,P2MS, těžké,s dolním vedením,6 závěsů A,pravý,antracit</t>
  </si>
  <si>
    <t>535350</t>
  </si>
  <si>
    <t>K-HETTICH WingLine L,P2MS, těžké,s dolním vedením,6 závěsů P,levý,antracit</t>
  </si>
  <si>
    <t>535338</t>
  </si>
  <si>
    <t>K-HETTICH WingLine L,P2MS, těžké,s dolním vedením,6 závěsů P,pravý,antracit</t>
  </si>
  <si>
    <t>535349</t>
  </si>
  <si>
    <t>K-HETTICH WingLine L,P2MS, těžké,s dolním vedením,6 závěsů S,levý,antracit</t>
  </si>
  <si>
    <t>535337</t>
  </si>
  <si>
    <t>K-HETTICH WingLine L,P2MS, těžké,s dolním vedením,6 závěsů S,pravý,antracit</t>
  </si>
  <si>
    <t>535291</t>
  </si>
  <si>
    <t>K-HETTICH WingLine L,P2MS,lehké,bez dolního vedení,1200mm,4 závěsy A,L+P,antraci</t>
  </si>
  <si>
    <t>535204</t>
  </si>
  <si>
    <t>K-HETTICH WingLine L,P2MS,lehké,bez dolního vedení,1200mm,4 závěsy A,L+P,bílý</t>
  </si>
  <si>
    <t>535113</t>
  </si>
  <si>
    <t>K-HETTICH WingLine L,P2MS,lehké,bez dolního vedení,1200mm,4 závěsy A,L+P,šedý</t>
  </si>
  <si>
    <t>535290</t>
  </si>
  <si>
    <t>K-HETTICH WingLine L,P2MS,lehké,bez dolního vedení,1200mm,4 závěsy P,L+P,antraci</t>
  </si>
  <si>
    <t>535203</t>
  </si>
  <si>
    <t>K-HETTICH WingLine L,P2MS,lehké,bez dolního vedení,1200mm,4 závěsy P,L+P,bílý</t>
  </si>
  <si>
    <t>535112</t>
  </si>
  <si>
    <t>K-HETTICH WingLine L,P2MS,lehké,bez dolního vedení,1200mm,4 závěsy P,L+P,šedý</t>
  </si>
  <si>
    <t>535289</t>
  </si>
  <si>
    <t>K-HETTICH WingLine L,P2MS,lehké,bez dolního vedení,1200mm,4 závěsy S,L+P,antraci</t>
  </si>
  <si>
    <t>535202</t>
  </si>
  <si>
    <t>K-HETTICH WingLine L,P2MS,lehké,bez dolního vedení,1200mm,4 závěsy S,L+P,bílý</t>
  </si>
  <si>
    <t>535111</t>
  </si>
  <si>
    <t>K-HETTICH WingLine L,P2MS,lehké,bez dolního vedení,1200mm,4 závěsy S,L+P,šedý</t>
  </si>
  <si>
    <t>535297</t>
  </si>
  <si>
    <t>K-HETTICH WingLine L,P2MS,lehké,bez dolního vedení,1800mm,6 závěsů A,L+P,antraci</t>
  </si>
  <si>
    <t>535210</t>
  </si>
  <si>
    <t>K-HETTICH WingLine L,P2MS,lehké,bez dolního vedení,1800mm,6 závěsů A,L+P,bílý</t>
  </si>
  <si>
    <t>535119</t>
  </si>
  <si>
    <t>K-HETTICH WingLine L,P2MS,lehké,bez dolního vedení,1800mm,6 závěsů A,L+P,šedý</t>
  </si>
  <si>
    <t>535296</t>
  </si>
  <si>
    <t>K-HETTICH WingLine L,P2MS,lehké,bez dolního vedení,1800mm,6 závěsů P,L+P,antraci</t>
  </si>
  <si>
    <t>535209</t>
  </si>
  <si>
    <t>K-HETTICH WingLine L,P2MS,lehké,bez dolního vedení,1800mm,6 závěsů P,L+P,bílý</t>
  </si>
  <si>
    <t>535118</t>
  </si>
  <si>
    <t>K-HETTICH WingLine L,P2MS,lehké,bez dolního vedení,1800mm,6 závěsů P,L+P,šedý</t>
  </si>
  <si>
    <t>535295</t>
  </si>
  <si>
    <t>K-HETTICH WingLine L,P2MS,lehké,bez dolního vedení,1800mm,6 závěsů S,L+P,antraci</t>
  </si>
  <si>
    <t>535208</t>
  </si>
  <si>
    <t>K-HETTICH WingLine L,P2MS,lehké,bez dolního vedení,1800mm,6 závěsů S,L+P,bílý</t>
  </si>
  <si>
    <t>535117</t>
  </si>
  <si>
    <t>K-HETTICH WingLine L,P2MS,lehké,bez dolního vedení,1800mm,6 závěsů S,L+P,šedý</t>
  </si>
  <si>
    <t>535285</t>
  </si>
  <si>
    <t>K-HETTICH WingLine L,P2MS,lehké,bez dolního vedení,2 závěsy A,levý,antracit</t>
  </si>
  <si>
    <t>535198</t>
  </si>
  <si>
    <t>K-HETTICH WingLine L,P2MS,lehké,bez dolního vedení,2 závěsy A,levý,bílý</t>
  </si>
  <si>
    <t>535107</t>
  </si>
  <si>
    <t>K-HETTICH WingLine L,P2MS,lehké,bez dolního vedení,2 závěsy A,levý,šedý</t>
  </si>
  <si>
    <t>535279</t>
  </si>
  <si>
    <t>K-HETTICH WingLine L,P2MS,lehké,bez dolního vedení,2 závěsy A,pravý,antracit</t>
  </si>
  <si>
    <t>535192</t>
  </si>
  <si>
    <t>K-HETTICH WingLine L,P2MS,lehké,bez dolního vedení,2 závěsy A,pravý,bílý</t>
  </si>
  <si>
    <t>535101</t>
  </si>
  <si>
    <t>K-HETTICH WingLine L,P2MS,lehké,bez dolního vedení,2 závěsy A,pravý,šedý</t>
  </si>
  <si>
    <t>535284</t>
  </si>
  <si>
    <t>K-HETTICH WingLine L,P2MS,lehké,bez dolního vedení,2 závěsy P,levý,antracit</t>
  </si>
  <si>
    <t>535197</t>
  </si>
  <si>
    <t>K-HETTICH WingLine L,P2MS,lehké,bez dolního vedení,2 závěsy P,levý,bílý</t>
  </si>
  <si>
    <t>535106</t>
  </si>
  <si>
    <t>K-HETTICH WingLine L,P2MS,lehké,bez dolního vedení,2 závěsy P,levý,šedý</t>
  </si>
  <si>
    <t>535278</t>
  </si>
  <si>
    <t>K-HETTICH WingLine L,P2MS,lehké,bez dolního vedení,2 závěsy P,pravý,antracit</t>
  </si>
  <si>
    <t>535191</t>
  </si>
  <si>
    <t>K-HETTICH WingLine L,P2MS,lehké,bez dolního vedení,2 závěsy P,pravý,bílý</t>
  </si>
  <si>
    <t>535100</t>
  </si>
  <si>
    <t>K-HETTICH WingLine L,P2MS,lehké,bez dolního vedení,2 závěsy P,pravý,šedý</t>
  </si>
  <si>
    <t>535283</t>
  </si>
  <si>
    <t>K-HETTICH WingLine L,P2MS,lehké,bez dolního vedení,2 závěsy S,levý,antracit</t>
  </si>
  <si>
    <t>535196</t>
  </si>
  <si>
    <t>K-HETTICH WingLine L,P2MS,lehké,bez dolního vedení,2 závěsy S,levý,bílý</t>
  </si>
  <si>
    <t>535105</t>
  </si>
  <si>
    <t>K-HETTICH WingLine L,P2MS,lehké,bez dolního vedení,2 závěsy S,levý,šedý</t>
  </si>
  <si>
    <t>535277</t>
  </si>
  <si>
    <t>K-HETTICH WingLine L,P2MS,lehké,bez dolního vedení,2 závěsy S,pravý,antracit</t>
  </si>
  <si>
    <t>535190</t>
  </si>
  <si>
    <t>K-HETTICH WingLine L,P2MS,lehké,bez dolního vedení,2 závěsy S,pravý,bílý</t>
  </si>
  <si>
    <t>535099</t>
  </si>
  <si>
    <t>K-HETTICH WingLine L,P2MS,lehké,bez dolního vedení,2 závěsy S,pravý,šedý</t>
  </si>
  <si>
    <t>535294</t>
  </si>
  <si>
    <t>K-HETTICH WingLine L,P2MS,lehké,bez dolního vedení,2400mm,4 závěsy A,L+P,antraci</t>
  </si>
  <si>
    <t>535207</t>
  </si>
  <si>
    <t>K-HETTICH WingLine L,P2MS,lehké,bez dolního vedení,2400mm,4 závěsy A,L+P,bílý</t>
  </si>
  <si>
    <t>535116</t>
  </si>
  <si>
    <t>K-HETTICH WingLine L,P2MS,lehké,bez dolního vedení,2400mm,4 závěsy A,L+P,šedý</t>
  </si>
  <si>
    <t>535293</t>
  </si>
  <si>
    <t>K-HETTICH WingLine L,P2MS,lehké,bez dolního vedení,2400mm,4 závěsy P,L+P,antraci</t>
  </si>
  <si>
    <t>535206</t>
  </si>
  <si>
    <t>K-HETTICH WingLine L,P2MS,lehké,bez dolního vedení,2400mm,4 závěsy P,L+P,bílý</t>
  </si>
  <si>
    <t>535115</t>
  </si>
  <si>
    <t>K-HETTICH WingLine L,P2MS,lehké,bez dolního vedení,2400mm,4 závěsy P,L+P,šedý</t>
  </si>
  <si>
    <t>535292</t>
  </si>
  <si>
    <t>K-HETTICH WingLine L,P2MS,lehké,bez dolního vedení,2400mm,4 závěsy S,L+P,antraci</t>
  </si>
  <si>
    <t>535205</t>
  </si>
  <si>
    <t>K-HETTICH WingLine L,P2MS,lehké,bez dolního vedení,2400mm,4 závěsy S,L+P,bílý</t>
  </si>
  <si>
    <t>535114</t>
  </si>
  <si>
    <t>K-HETTICH WingLine L,P2MS,lehké,bez dolního vedení,2400mm,4 závěsy S,L+P,šedý</t>
  </si>
  <si>
    <t>535288</t>
  </si>
  <si>
    <t>K-HETTICH WingLine L,P2MS,lehké,bez dolního vedení,3 závěsy A,levý,antracit</t>
  </si>
  <si>
    <t>535201</t>
  </si>
  <si>
    <t>K-HETTICH WingLine L,P2MS,lehké,bez dolního vedení,3 závěsy A,levý,bílý</t>
  </si>
  <si>
    <t>535110</t>
  </si>
  <si>
    <t>K-HETTICH WingLine L,P2MS,lehké,bez dolního vedení,3 závěsy A,levý,šedý</t>
  </si>
  <si>
    <t>535282</t>
  </si>
  <si>
    <t>K-HETTICH WingLine L,P2MS,lehké,bez dolního vedení,3 závěsy A,pravý,antracit</t>
  </si>
  <si>
    <t>535195</t>
  </si>
  <si>
    <t>K-HETTICH WingLine L,P2MS,lehké,bez dolního vedení,3 závěsy A,pravý,bílý</t>
  </si>
  <si>
    <t>535104</t>
  </si>
  <si>
    <t>K-HETTICH WingLine L,P2MS,lehké,bez dolního vedení,3 závěsy A,pravý,šedý</t>
  </si>
  <si>
    <t>535287</t>
  </si>
  <si>
    <t>K-HETTICH WingLine L,P2MS,lehké,bez dolního vedení,3 závěsy P,levý,antracit</t>
  </si>
  <si>
    <t>535200</t>
  </si>
  <si>
    <t>K-HETTICH WingLine L,P2MS,lehké,bez dolního vedení,3 závěsy P,levý,bílý</t>
  </si>
  <si>
    <t>535109</t>
  </si>
  <si>
    <t>K-HETTICH WingLine L,P2MS,lehké,bez dolního vedení,3 závěsy P,levý,šedý</t>
  </si>
  <si>
    <t>535281</t>
  </si>
  <si>
    <t>K-HETTICH WingLine L,P2MS,lehké,bez dolního vedení,3 závěsy P,pravý,antracit</t>
  </si>
  <si>
    <t>535194</t>
  </si>
  <si>
    <t>K-HETTICH WingLine L,P2MS,lehké,bez dolního vedení,3 závěsy P,pravý,bílý</t>
  </si>
  <si>
    <t>535103</t>
  </si>
  <si>
    <t>K-HETTICH WingLine L,P2MS,lehké,bez dolního vedení,3 závěsy P,pravý,šedý</t>
  </si>
  <si>
    <t>535286</t>
  </si>
  <si>
    <t>K-HETTICH WingLine L,P2MS,lehké,bez dolního vedení,3 závěsy S,levý,antracit</t>
  </si>
  <si>
    <t>535199</t>
  </si>
  <si>
    <t>K-HETTICH WingLine L,P2MS,lehké,bez dolního vedení,3 závěsy S,levý,bílý</t>
  </si>
  <si>
    <t>535108</t>
  </si>
  <si>
    <t>K-HETTICH WingLine L,P2MS,lehké,bez dolního vedení,3 závěsy S,levý,šedý</t>
  </si>
  <si>
    <t>535280</t>
  </si>
  <si>
    <t>K-HETTICH WingLine L,P2MS,lehké,bez dolního vedení,3 závěsy S,pravý,antracit</t>
  </si>
  <si>
    <t>535193</t>
  </si>
  <si>
    <t>K-HETTICH WingLine L,P2MS,lehké,bez dolního vedení,3 závěsy S,pravý,bílý</t>
  </si>
  <si>
    <t>535102</t>
  </si>
  <si>
    <t>K-HETTICH WingLine L,P2MS,lehké,bez dolního vedení,3 závěsy S,pravý,šedý</t>
  </si>
  <si>
    <t>535318</t>
  </si>
  <si>
    <t>K-HETTICH WingLine L,P2MS,lehké,s dolním vedením,1200mm,4 závěsy A,L+P,antracit</t>
  </si>
  <si>
    <t>535231</t>
  </si>
  <si>
    <t>K-HETTICH WingLine L,P2MS,lehké,s dolním vedením,1200mm,4 závěsy A,L+P,bílý</t>
  </si>
  <si>
    <t>535140</t>
  </si>
  <si>
    <t>K-HETTICH WingLine L,P2MS,lehké,s dolním vedením,1200mm,4 závěsy A,L+P,šedý</t>
  </si>
  <si>
    <t>535317</t>
  </si>
  <si>
    <t>K-HETTICH WingLine L,P2MS,lehké,s dolním vedením,1200mm,4 závěsy P, L+P,antracit</t>
  </si>
  <si>
    <t>535230</t>
  </si>
  <si>
    <t>K-HETTICH WingLine L,P2MS,lehké,s dolním vedením,1200mm,4 závěsy P, L+P,bílý</t>
  </si>
  <si>
    <t>535139</t>
  </si>
  <si>
    <t>K-HETTICH WingLine L,P2MS,lehké,s dolním vedením,1200mm,4 závěsy P, L+P,šedý</t>
  </si>
  <si>
    <t>535316</t>
  </si>
  <si>
    <t>K-HETTICH WingLine L,P2MS,lehké,s dolním vedením,1200mm,4 závěsy S,L+P,antracit</t>
  </si>
  <si>
    <t>535229</t>
  </si>
  <si>
    <t>K-HETTICH WingLine L,P2MS,lehké,s dolním vedením,1200mm,4 závěsy S,L+P,bílý</t>
  </si>
  <si>
    <t>535138</t>
  </si>
  <si>
    <t>K-HETTICH WingLine L,P2MS,lehké,s dolním vedením,1200mm,4 závěsy S,L+P,šedý</t>
  </si>
  <si>
    <t>535327</t>
  </si>
  <si>
    <t>K-HETTICH WingLine L,P2MS,lehké,s dolním vedením,1400mm,8 závěsů A,L+P,antracit</t>
  </si>
  <si>
    <t>535240</t>
  </si>
  <si>
    <t>K-HETTICH WingLine L,P2MS,lehké,s dolním vedením,1400mm,8 závěsů A,L+P,bílý</t>
  </si>
  <si>
    <t>535149</t>
  </si>
  <si>
    <t>K-HETTICH WingLine L,P2MS,lehké,s dolním vedením,1400mm,8 závěsů A,L+P,šedý</t>
  </si>
  <si>
    <t>535326</t>
  </si>
  <si>
    <t>K-HETTICH WingLine L,P2MS,lehké,s dolním vedením,1400mm,8 závěsů P, L+P,antracit</t>
  </si>
  <si>
    <t>535239</t>
  </si>
  <si>
    <t>K-HETTICH WingLine L,P2MS,lehké,s dolním vedením,1400mm,8 závěsů P, L+P,bílý</t>
  </si>
  <si>
    <t>535148</t>
  </si>
  <si>
    <t>K-HETTICH WingLine L,P2MS,lehké,s dolním vedením,1400mm,8 závěsů P, L+P,šedý</t>
  </si>
  <si>
    <t>535325</t>
  </si>
  <si>
    <t>K-HETTICH WingLine L,P2MS,lehké,s dolním vedením,1400mm,8 závěsů S,L+P,antracit</t>
  </si>
  <si>
    <t>535238</t>
  </si>
  <si>
    <t>K-HETTICH WingLine L,P2MS,lehké,s dolním vedením,1400mm,8 závěsů S,L+P,bílý</t>
  </si>
  <si>
    <t>535147</t>
  </si>
  <si>
    <t>K-HETTICH WingLine L,P2MS,lehké,s dolním vedením,1400mm,8 závěsů S,L+P,šedý</t>
  </si>
  <si>
    <t>535324</t>
  </si>
  <si>
    <t>K-HETTICH WingLine L,P2MS,lehké,s dolním vedením,1800mm,6 závěsů A,L+P,antracit</t>
  </si>
  <si>
    <t>535237</t>
  </si>
  <si>
    <t>K-HETTICH WingLine L,P2MS,lehké,s dolním vedením,1800mm,6 závěsů A,L+P,bílý</t>
  </si>
  <si>
    <t>535146</t>
  </si>
  <si>
    <t>K-HETTICH WingLine L,P2MS,lehké,s dolním vedením,1800mm,6 závěsů A,L+P,šedý</t>
  </si>
  <si>
    <t>535323</t>
  </si>
  <si>
    <t>K-HETTICH WingLine L,P2MS,lehké,s dolním vedením,1800mm,6 závěsů P, L+P,antracit</t>
  </si>
  <si>
    <t>535236</t>
  </si>
  <si>
    <t>K-HETTICH WingLine L,P2MS,lehké,s dolním vedením,1800mm,6 závěsů P, L+P,bílý</t>
  </si>
  <si>
    <t>535145</t>
  </si>
  <si>
    <t>K-HETTICH WingLine L,P2MS,lehké,s dolním vedením,1800mm,6 závěsů P, L+P,šedý</t>
  </si>
  <si>
    <t>535322</t>
  </si>
  <si>
    <t>K-HETTICH WingLine L,P2MS,lehké,s dolním vedením,1800mm,6 závěsů S,L+P,antracit</t>
  </si>
  <si>
    <t>535235</t>
  </si>
  <si>
    <t>K-HETTICH WingLine L,P2MS,lehké,s dolním vedením,1800mm,6 závěsů S,L+P,bílý</t>
  </si>
  <si>
    <t>535144</t>
  </si>
  <si>
    <t>K-HETTICH WingLine L,P2MS,lehké,s dolním vedením,1800mm,6 závěsů S,L+P,šedý</t>
  </si>
  <si>
    <t>535309</t>
  </si>
  <si>
    <t>K-HETTICH WingLine L,P2MS,lehké,s dolním vedením,2 závěsy A,levý,antracit</t>
  </si>
  <si>
    <t>535222</t>
  </si>
  <si>
    <t>K-HETTICH WingLine L,P2MS,lehké,s dolním vedením,2 závěsy A,levý,bílý</t>
  </si>
  <si>
    <t>535131</t>
  </si>
  <si>
    <t>K-HETTICH WingLine L,P2MS,lehké,s dolním vedením,2 závěsy A,levý,šedý</t>
  </si>
  <si>
    <t>535300</t>
  </si>
  <si>
    <t>K-HETTICH WingLine L,P2MS,lehké,s dolním vedením,2 závěsy A,pravý,antracit</t>
  </si>
  <si>
    <t>535213</t>
  </si>
  <si>
    <t>K-HETTICH WingLine L,P2MS,lehké,s dolním vedením,2 závěsy A,pravý,bílý</t>
  </si>
  <si>
    <t>535122</t>
  </si>
  <si>
    <t>K-HETTICH WingLine L,P2MS,lehké,s dolním vedením,2 závěsy A,pravý,šedý</t>
  </si>
  <si>
    <t>535308</t>
  </si>
  <si>
    <t>K-HETTICH WingLine L,P2MS,lehké,s dolním vedením,2 závěsy P,levý,antracit</t>
  </si>
  <si>
    <t>535221</t>
  </si>
  <si>
    <t>K-HETTICH WingLine L,P2MS,lehké,s dolním vedením,2 závěsy P,levý,bílý</t>
  </si>
  <si>
    <t>535130</t>
  </si>
  <si>
    <t>K-HETTICH WingLine L,P2MS,lehké,s dolním vedením,2 závěsy P,levý,šedý</t>
  </si>
  <si>
    <t>535299</t>
  </si>
  <si>
    <t>K-HETTICH WingLine L,P2MS,lehké,s dolním vedením,2 závěsy P,pravý,antracit</t>
  </si>
  <si>
    <t>535212</t>
  </si>
  <si>
    <t>K-HETTICH WingLine L,P2MS,lehké,s dolním vedením,2 závěsy P,pravý,bílý</t>
  </si>
  <si>
    <t>535121</t>
  </si>
  <si>
    <t>K-HETTICH WingLine L,P2MS,lehké,s dolním vedením,2 závěsy P,pravý,šedý</t>
  </si>
  <si>
    <t>535307</t>
  </si>
  <si>
    <t>K-HETTICH WingLine L,P2MS,lehké,s dolním vedením,2 závěsy S,levý,antracit</t>
  </si>
  <si>
    <t>535220</t>
  </si>
  <si>
    <t>K-HETTICH WingLine L,P2MS,lehké,s dolním vedením,2 závěsy S,levý,bílý</t>
  </si>
  <si>
    <t>535129</t>
  </si>
  <si>
    <t>K-HETTICH WingLine L,P2MS,lehké,s dolním vedením,2 závěsy S,levý,šedý</t>
  </si>
  <si>
    <t>535298</t>
  </si>
  <si>
    <t>K-HETTICH WingLine L,P2MS,lehké,s dolním vedením,2 závěsy S,pravý,antracit</t>
  </si>
  <si>
    <t>535211</t>
  </si>
  <si>
    <t>K-HETTICH WingLine L,P2MS,lehké,s dolním vedením,2 závěsy S,pravý,bílý</t>
  </si>
  <si>
    <t>535120</t>
  </si>
  <si>
    <t>K-HETTICH WingLine L,P2MS,lehké,s dolním vedením,2 závěsy S,pravý,šedý</t>
  </si>
  <si>
    <t>535321</t>
  </si>
  <si>
    <t>K-HETTICH WingLine L,P2MS,lehké,s dolním vedením,2400mm,4 závěsy A,L+P,antracit</t>
  </si>
  <si>
    <t>535234</t>
  </si>
  <si>
    <t>K-HETTICH WingLine L,P2MS,lehké,s dolním vedením,2400mm,4 závěsy A,L+P,bílý</t>
  </si>
  <si>
    <t>535143</t>
  </si>
  <si>
    <t>K-HETTICH WingLine L,P2MS,lehké,s dolním vedením,2400mm,4 závěsy A,L+P,šedý</t>
  </si>
  <si>
    <t>535320</t>
  </si>
  <si>
    <t>K-HETTICH WingLine L,P2MS,lehké,s dolním vedením,2400mm,4 závěsy P, L+P,antracit</t>
  </si>
  <si>
    <t>535233</t>
  </si>
  <si>
    <t>K-HETTICH WingLine L,P2MS,lehké,s dolním vedením,2400mm,4 závěsy P, L+P,bílý</t>
  </si>
  <si>
    <t>535142</t>
  </si>
  <si>
    <t>K-HETTICH WingLine L,P2MS,lehké,s dolním vedením,2400mm,4 závěsy P, L+P,šedý</t>
  </si>
  <si>
    <t>535319</t>
  </si>
  <si>
    <t>K-HETTICH WingLine L,P2MS,lehké,s dolním vedením,2400mm,4 závěsy S,L+P,antracit</t>
  </si>
  <si>
    <t>535232</t>
  </si>
  <si>
    <t>K-HETTICH WingLine L,P2MS,lehké,s dolním vedením,2400mm,4 závěsy S,L+P,bílý</t>
  </si>
  <si>
    <t>535141</t>
  </si>
  <si>
    <t>K-HETTICH WingLine L,P2MS,lehké,s dolním vedením,2400mm,4 závěsy S,L+P,šedý</t>
  </si>
  <si>
    <t>535312</t>
  </si>
  <si>
    <t>K-HETTICH WingLine L,P2MS,lehké,s dolním vedením,3 závěsy A,levý,antracit</t>
  </si>
  <si>
    <t>535225</t>
  </si>
  <si>
    <t>K-HETTICH WingLine L,P2MS,lehké,s dolním vedením,3 závěsy A,levý,bílý</t>
  </si>
  <si>
    <t>535134</t>
  </si>
  <si>
    <t>K-HETTICH WingLine L,P2MS,lehké,s dolním vedením,3 závěsy A,levý,šedý</t>
  </si>
  <si>
    <t>535303</t>
  </si>
  <si>
    <t>K-HETTICH WingLine L,P2MS,lehké,s dolním vedením,3 závěsy A,pravý,antracit</t>
  </si>
  <si>
    <t>535216</t>
  </si>
  <si>
    <t>K-HETTICH WingLine L,P2MS,lehké,s dolním vedením,3 závěsy A,pravý,bílý</t>
  </si>
  <si>
    <t>535125</t>
  </si>
  <si>
    <t>K-HETTICH WingLine L,P2MS,lehké,s dolním vedením,3 závěsy A,pravý,šedý</t>
  </si>
  <si>
    <t>535311</t>
  </si>
  <si>
    <t>K-HETTICH WingLine L,P2MS,lehké,s dolním vedením,3 závěsy P,levý,antracit</t>
  </si>
  <si>
    <t>535133</t>
  </si>
  <si>
    <t>K-HETTICH WingLine L,P2MS,lehké,s dolním vedením,3 závěsy P,levý,šedý</t>
  </si>
  <si>
    <t>535302</t>
  </si>
  <si>
    <t>K-HETTICH WingLine L,P2MS,lehké,s dolním vedením,3 závěsy P,pravý,antracit</t>
  </si>
  <si>
    <t>535224</t>
  </si>
  <si>
    <t>K-HETTICH WingLine L,P2MS,lehké,s dolním vedením,3 závěsy P,pravý,bílý</t>
  </si>
  <si>
    <t>535215</t>
  </si>
  <si>
    <t>535124</t>
  </si>
  <si>
    <t>K-HETTICH WingLine L,P2MS,lehké,s dolním vedením,3 závěsy P,pravý,šedý</t>
  </si>
  <si>
    <t>535310</t>
  </si>
  <si>
    <t>K-HETTICH WingLine L,P2MS,lehké,s dolním vedením,3 závěsy S,levý,antracit</t>
  </si>
  <si>
    <t>535223</t>
  </si>
  <si>
    <t>K-HETTICH WingLine L,P2MS,lehké,s dolním vedením,3 závěsy S,levý,bílý</t>
  </si>
  <si>
    <t>535132</t>
  </si>
  <si>
    <t>K-HETTICH WingLine L,P2MS,lehké,s dolním vedením,3 závěsy S,levý,šedý</t>
  </si>
  <si>
    <t>535301</t>
  </si>
  <si>
    <t>K-HETTICH WingLine L,P2MS,lehké,s dolním vedením,3 závěsy S,pravý,antracit</t>
  </si>
  <si>
    <t>535214</t>
  </si>
  <si>
    <t>K-HETTICH WingLine L,P2MS,lehké,s dolním vedením,3 závěsy S,pravý,bílý</t>
  </si>
  <si>
    <t>535123</t>
  </si>
  <si>
    <t>K-HETTICH WingLine L,P2MS,lehké,s dolním vedením,3 závěsy S,pravý,šedý</t>
  </si>
  <si>
    <t>535315</t>
  </si>
  <si>
    <t>K-HETTICH WingLine L,P2MS,lehké,s dolním vedením,4 závěsy A,levý,antracit</t>
  </si>
  <si>
    <t>535228</t>
  </si>
  <si>
    <t>K-HETTICH WingLine L,P2MS,lehké,s dolním vedením,4 závěsy A,levý,bílý</t>
  </si>
  <si>
    <t>535137</t>
  </si>
  <si>
    <t>K-HETTICH WingLine L,P2MS,lehké,s dolním vedením,4 závěsy A,levý,šedý</t>
  </si>
  <si>
    <t>535306</t>
  </si>
  <si>
    <t>K-HETTICH WingLine L,P2MS,lehké,s dolním vedením,4 závěsy A,pravý,antracit</t>
  </si>
  <si>
    <t>535219</t>
  </si>
  <si>
    <t>K-HETTICH WingLine L,P2MS,lehké,s dolním vedením,4 závěsy A,pravý,bílý</t>
  </si>
  <si>
    <t>535128</t>
  </si>
  <si>
    <t>K-HETTICH WingLine L,P2MS,lehké,s dolním vedením,4 závěsy A,pravý,šedý</t>
  </si>
  <si>
    <t>535314</t>
  </si>
  <si>
    <t>K-HETTICH WingLine L,P2MS,lehké,s dolním vedením,4 závěsy P,levý,antracit</t>
  </si>
  <si>
    <t>535227</t>
  </si>
  <si>
    <t>K-HETTICH WingLine L,P2MS,lehké,s dolním vedením,4 závěsy P,levý,bílý</t>
  </si>
  <si>
    <t>535136</t>
  </si>
  <si>
    <t>K-HETTICH WingLine L,P2MS,lehké,s dolním vedením,4 závěsy P,levý,šedý</t>
  </si>
  <si>
    <t>535305</t>
  </si>
  <si>
    <t>K-HETTICH WingLine L,P2MS,lehké,s dolním vedením,4 závěsy P,pravý,antracit</t>
  </si>
  <si>
    <t>535218</t>
  </si>
  <si>
    <t>K-HETTICH WingLine L,P2MS,lehké,s dolním vedením,4 závěsy P,pravý,bílý</t>
  </si>
  <si>
    <t>535127</t>
  </si>
  <si>
    <t>K-HETTICH WingLine L,P2MS,lehké,s dolním vedením,4 závěsy P,pravý,šedý</t>
  </si>
  <si>
    <t>535313</t>
  </si>
  <si>
    <t>K-HETTICH WingLine L,P2MS,lehké,s dolním vedením,4 závěsy S,levý,antracit</t>
  </si>
  <si>
    <t>535226</t>
  </si>
  <si>
    <t>K-HETTICH WingLine L,P2MS,lehké,s dolním vedením,4 závěsy S,levý,bílý</t>
  </si>
  <si>
    <t>535135</t>
  </si>
  <si>
    <t>K-HETTICH WingLine L,P2MS,lehké,s dolním vedením,4 závěsy S,levý,šedý</t>
  </si>
  <si>
    <t>535304</t>
  </si>
  <si>
    <t>K-HETTICH WingLine L,P2MS,lehké,s dolním vedením,4 závěsy S,pravý,antracit</t>
  </si>
  <si>
    <t>535217</t>
  </si>
  <si>
    <t>K-HETTICH WingLine L,P2MS,lehké,s dolním vedením,4 závěsy S,pravý,bílý</t>
  </si>
  <si>
    <t>535126</t>
  </si>
  <si>
    <t>K-HETTICH WingLine L,P2MS,lehké,s dolním vedením,4 závěsy S,pravý,šedý</t>
  </si>
  <si>
    <t>535273</t>
  </si>
  <si>
    <t>K-HETTICH WingLine L,P2MS,těžké,s dolním vedením,2400mm,10 závěsů A,L+P,bílý</t>
  </si>
  <si>
    <t>535182</t>
  </si>
  <si>
    <t>K-HETTICH WingLine L,P2MS,těžké,s dolním vedením,2400mm,10 závěsů A,L+P,šedý</t>
  </si>
  <si>
    <t>535272</t>
  </si>
  <si>
    <t>K-HETTICH WingLine L,P2MS,těžké,s dolním vedením,2400mm,10 závěsů P,L+P,bílý</t>
  </si>
  <si>
    <t>535181</t>
  </si>
  <si>
    <t>K-HETTICH WingLine L,P2MS,těžké,s dolním vedením,2400mm,10 závěsů P,L+P,šedý</t>
  </si>
  <si>
    <t>535271</t>
  </si>
  <si>
    <t>K-HETTICH WingLine L,P2MS,těžké,s dolním vedením,2400mm,10 závěsů S,L+P,bílý</t>
  </si>
  <si>
    <t>535180</t>
  </si>
  <si>
    <t>K-HETTICH WingLine L,P2MS,těžké,s dolním vedením,2400mm,10 závěsů S,L+P,šedý</t>
  </si>
  <si>
    <t>535276</t>
  </si>
  <si>
    <t>K-HETTICH WingLine L,P2MS,těžké,s dolním vedením,2400mm,12 závěsů A,L+P,bílý</t>
  </si>
  <si>
    <t>535185</t>
  </si>
  <si>
    <t>K-HETTICH WingLine L,P2MS,těžké,s dolním vedením,2400mm,12 závěsů A,L+P,šedý</t>
  </si>
  <si>
    <t>535275</t>
  </si>
  <si>
    <t>K-HETTICH WingLine L,P2MS,těžké,s dolním vedením,2400mm,12 závěsů P,L+P,bílý</t>
  </si>
  <si>
    <t>535184</t>
  </si>
  <si>
    <t>K-HETTICH WingLine L,P2MS,těžké,s dolním vedením,2400mm,12 závěsů P,L+P,šedý</t>
  </si>
  <si>
    <t>535274</t>
  </si>
  <si>
    <t>K-HETTICH WingLine L,P2MS,těžké,s dolním vedením,2400mm,12 závěsů S,L+P,bílý</t>
  </si>
  <si>
    <t>535183</t>
  </si>
  <si>
    <t>K-HETTICH WingLine L,P2MS,těžké,s dolním vedením,2400mm,12 závěsů S,L+P,šedý</t>
  </si>
  <si>
    <t>535267</t>
  </si>
  <si>
    <t>K-HETTICH WingLine L,P2MS,těžké,s dolním vedením,2400mm,6 závěsů A,L+P,bílý</t>
  </si>
  <si>
    <t>535176</t>
  </si>
  <si>
    <t>K-HETTICH WingLine L,P2MS,těžké,s dolním vedením,2400mm,6 závěsů A,L+P,šedý</t>
  </si>
  <si>
    <t>535266</t>
  </si>
  <si>
    <t>K-HETTICH WingLine L,P2MS,těžké,s dolním vedením,2400mm,6 závěsů P,L+P,bílý</t>
  </si>
  <si>
    <t>535175</t>
  </si>
  <si>
    <t>K-HETTICH WingLine L,P2MS,těžké,s dolním vedením,2400mm,6 závěsů P,L+P,šedý</t>
  </si>
  <si>
    <t>535265</t>
  </si>
  <si>
    <t>K-HETTICH WingLine L,P2MS,těžké,s dolním vedením,2400mm,6 závěsů S,L+P,bílý</t>
  </si>
  <si>
    <t>535174</t>
  </si>
  <si>
    <t>K-HETTICH WingLine L,P2MS,těžké,s dolním vedením,2400mm,6 závěsů S,L+P,šedý</t>
  </si>
  <si>
    <t>535270</t>
  </si>
  <si>
    <t>K-HETTICH WingLine L,P2MS,těžké,s dolním vedením,2400mm,8 závěsů A,L+P,bílý</t>
  </si>
  <si>
    <t>535179</t>
  </si>
  <si>
    <t>K-HETTICH WingLine L,P2MS,těžké,s dolním vedením,2400mm,8 závěsů A,L+P,šedý</t>
  </si>
  <si>
    <t>535269</t>
  </si>
  <si>
    <t>K-HETTICH WingLine L,P2MS,těžké,s dolním vedením,2400mm,8 závěsů P,L+P,bílý</t>
  </si>
  <si>
    <t>535178</t>
  </si>
  <si>
    <t>K-HETTICH WingLine L,P2MS,těžké,s dolním vedením,2400mm,8 závěsů P,L+P,šedý</t>
  </si>
  <si>
    <t>535268</t>
  </si>
  <si>
    <t>K-HETTICH WingLine L,P2MS,těžké,s dolním vedením,2400mm,8 závěsů S,L+P,bílý</t>
  </si>
  <si>
    <t>535177</t>
  </si>
  <si>
    <t>K-HETTICH WingLine L,P2MS,těžké,s dolním vedením,2400mm,8 závěsů S,L+P,šedý</t>
  </si>
  <si>
    <t>535255</t>
  </si>
  <si>
    <t>K-HETTICH WingLine L,P2MS,těžké,s dolním vedením,3 závěsy A,levý,bílý</t>
  </si>
  <si>
    <t>535164</t>
  </si>
  <si>
    <t>K-HETTICH WingLine L,P2MS,těžké,s dolním vedením,3 závěsy A,levý,šedý</t>
  </si>
  <si>
    <t>535243</t>
  </si>
  <si>
    <t>K-HETTICH WingLine L,P2MS,těžké,s dolním vedením,3 závěsy A,pravý,bílý</t>
  </si>
  <si>
    <t>535152</t>
  </si>
  <si>
    <t>K-HETTICH WingLine L,P2MS,těžké,s dolním vedením,3 závěsy A,pravý,šedý</t>
  </si>
  <si>
    <t>535254</t>
  </si>
  <si>
    <t>K-HETTICH WingLine L,P2MS,těžké,s dolním vedením,3 závěsy P,levý,bílý</t>
  </si>
  <si>
    <t>535163</t>
  </si>
  <si>
    <t>K-HETTICH WingLine L,P2MS,těžké,s dolním vedením,3 závěsy P,levý,šedý</t>
  </si>
  <si>
    <t>535242</t>
  </si>
  <si>
    <t>K-HETTICH WingLine L,P2MS,těžké,s dolním vedením,3 závěsy P,pravý,bílý</t>
  </si>
  <si>
    <t>535151</t>
  </si>
  <si>
    <t>K-HETTICH WingLine L,P2MS,těžké,s dolním vedením,3 závěsy P,pravý,šedý</t>
  </si>
  <si>
    <t>535253</t>
  </si>
  <si>
    <t>K-HETTICH WingLine L,P2MS,těžké,s dolním vedením,3 závěsy S,levý,bílý</t>
  </si>
  <si>
    <t>535162</t>
  </si>
  <si>
    <t>K-HETTICH WingLine L,P2MS,těžké,s dolním vedením,3 závěsy S,levý,šedý</t>
  </si>
  <si>
    <t>535241</t>
  </si>
  <si>
    <t>K-HETTICH WingLine L,P2MS,těžké,s dolním vedením,3 závěsy S,pravý,bílý</t>
  </si>
  <si>
    <t>535150</t>
  </si>
  <si>
    <t>K-HETTICH WingLine L,P2MS,těžké,s dolním vedením,3 závěsy S,pravý,šedý</t>
  </si>
  <si>
    <t>535258</t>
  </si>
  <si>
    <t>K-HETTICH WingLine L,P2MS,těžké,s dolním vedením,4 závěsy A,levý,bílý</t>
  </si>
  <si>
    <t>535167</t>
  </si>
  <si>
    <t>K-HETTICH WingLine L,P2MS,těžké,s dolním vedením,4 závěsy A,levý,šedý</t>
  </si>
  <si>
    <t>535246</t>
  </si>
  <si>
    <t>K-HETTICH WingLine L,P2MS,těžké,s dolním vedením,4 závěsy A,pravý,bílý</t>
  </si>
  <si>
    <t>535155</t>
  </si>
  <si>
    <t>K-HETTICH WingLine L,P2MS,těžké,s dolním vedením,4 závěsy A,pravý,šedý</t>
  </si>
  <si>
    <t>535257</t>
  </si>
  <si>
    <t>K-HETTICH WingLine L,P2MS,těžké,s dolním vedením,4 závěsy P,levý,bílý</t>
  </si>
  <si>
    <t>535166</t>
  </si>
  <si>
    <t>K-HETTICH WingLine L,P2MS,těžké,s dolním vedením,4 závěsy P,levý,šedý</t>
  </si>
  <si>
    <t>535245</t>
  </si>
  <si>
    <t>K-HETTICH WingLine L,P2MS,těžké,s dolním vedením,4 závěsy P,pravý,bílý</t>
  </si>
  <si>
    <t>535154</t>
  </si>
  <si>
    <t>K-HETTICH WingLine L,P2MS,těžké,s dolním vedením,4 závěsy P,pravý,šedý</t>
  </si>
  <si>
    <t>535256</t>
  </si>
  <si>
    <t>K-HETTICH WingLine L,P2MS,těžké,s dolním vedením,4 závěsy S,levý,bílý</t>
  </si>
  <si>
    <t>535165</t>
  </si>
  <si>
    <t>K-HETTICH WingLine L,P2MS,těžké,s dolním vedením,4 závěsy S,levý,šedý</t>
  </si>
  <si>
    <t>535244</t>
  </si>
  <si>
    <t>K-HETTICH WingLine L,P2MS,těžké,s dolním vedením,4 závěsy S,pravý,bílý</t>
  </si>
  <si>
    <t>535153</t>
  </si>
  <si>
    <t>K-HETTICH WingLine L,P2MS,těžké,s dolním vedením,4 závěsy S,pravý,šedý</t>
  </si>
  <si>
    <t>535261</t>
  </si>
  <si>
    <t>K-HETTICH WingLine L,P2MS,těžké,s dolním vedením,5 závěsů A,levý,bílý</t>
  </si>
  <si>
    <t>535170</t>
  </si>
  <si>
    <t>K-HETTICH WingLine L,P2MS,těžké,s dolním vedením,5 závěsů A,levý,šedý</t>
  </si>
  <si>
    <t>535249</t>
  </si>
  <si>
    <t>K-HETTICH WingLine L,P2MS,těžké,s dolním vedením,5 závěsů A,pravý,bílý</t>
  </si>
  <si>
    <t>535158</t>
  </si>
  <si>
    <t>K-HETTICH WingLine L,P2MS,těžké,s dolním vedením,5 závěsů A,pravý,šedý</t>
  </si>
  <si>
    <t>535260</t>
  </si>
  <si>
    <t>K-HETTICH WingLine L,P2MS,těžké,s dolním vedením,5 závěsů P,levý,bílý</t>
  </si>
  <si>
    <t>535169</t>
  </si>
  <si>
    <t>K-HETTICH WingLine L,P2MS,těžké,s dolním vedením,5 závěsů P,levý,šedý</t>
  </si>
  <si>
    <t>535248</t>
  </si>
  <si>
    <t>K-HETTICH WingLine L,P2MS,těžké,s dolním vedením,5 závěsů P,pravý,bílý</t>
  </si>
  <si>
    <t>535157</t>
  </si>
  <si>
    <t>K-HETTICH WingLine L,P2MS,těžké,s dolním vedením,5 závěsů P,pravý,šedý</t>
  </si>
  <si>
    <t>535259</t>
  </si>
  <si>
    <t>K-HETTICH WingLine L,P2MS,těžké,s dolním vedením,5 závěsů S,levý,bílý</t>
  </si>
  <si>
    <t>535168</t>
  </si>
  <si>
    <t>K-HETTICH WingLine L,P2MS,těžké,s dolním vedením,5 závěsů S,levý,šedý</t>
  </si>
  <si>
    <t>535247</t>
  </si>
  <si>
    <t>K-HETTICH WingLine L,P2MS,těžké,s dolním vedením,5 závěsů S,pravý,bílý</t>
  </si>
  <si>
    <t>535156</t>
  </si>
  <si>
    <t>K-HETTICH WingLine L,P2MS,těžké,s dolním vedením,5 závěsů S,pravý,šedý</t>
  </si>
  <si>
    <t>535264</t>
  </si>
  <si>
    <t>K-HETTICH WingLine L,P2MS,těžké,s dolním vedením,6 závěsů A,levý,bílý</t>
  </si>
  <si>
    <t>535173</t>
  </si>
  <si>
    <t>K-HETTICH WingLine L,P2MS,těžké,s dolním vedením,6 závěsů A,levý,šedý</t>
  </si>
  <si>
    <t>535252</t>
  </si>
  <si>
    <t>K-HETTICH WingLine L,P2MS,těžké,s dolním vedením,6 závěsů A,pravý,bílý</t>
  </si>
  <si>
    <t>535161</t>
  </si>
  <si>
    <t>K-HETTICH WingLine L,P2MS,těžké,s dolním vedením,6 závěsů A,pravý,šedý</t>
  </si>
  <si>
    <t>535263</t>
  </si>
  <si>
    <t>K-HETTICH WingLine L,P2MS,těžké,s dolním vedením,6 závěsů P,levý,bílý</t>
  </si>
  <si>
    <t>535172</t>
  </si>
  <si>
    <t>K-HETTICH WingLine L,P2MS,těžké,s dolním vedením,6 závěsů P,levý,šedý</t>
  </si>
  <si>
    <t>535251</t>
  </si>
  <si>
    <t>K-HETTICH WingLine L,P2MS,těžké,s dolním vedením,6 závěsů P,pravý,bílý</t>
  </si>
  <si>
    <t>535160</t>
  </si>
  <si>
    <t>K-HETTICH WingLine L,P2MS,těžké,s dolním vedením,6 závěsů P,pravý,šedý</t>
  </si>
  <si>
    <t>535262</t>
  </si>
  <si>
    <t>K-HETTICH WingLine L,P2MS,těžké,s dolním vedením,6 závěsů S,levý,bílý</t>
  </si>
  <si>
    <t>535171</t>
  </si>
  <si>
    <t>K-HETTICH WingLine L,P2MS,těžké,s dolním vedením,6 závěsů S,levý,šedý</t>
  </si>
  <si>
    <t>535250</t>
  </si>
  <si>
    <t>K-HETTICH WingLine L,P2MS,těžké,s dolním vedením,6 závěsů S,pravý,bílý</t>
  </si>
  <si>
    <t>535159</t>
  </si>
  <si>
    <t>K-HETTICH WingLine L,P2MS,těžké,s dolním vedením,6 závěsů S,pravý,šedý</t>
  </si>
  <si>
    <t>534851</t>
  </si>
  <si>
    <t>K-HETTICH WingLine L,těžké dveře,s dolním vedením,2400mm,10 závěsů A,L+P,antraci</t>
  </si>
  <si>
    <t>534845</t>
  </si>
  <si>
    <t>K-HETTICH WingLine L,těžké dveře,s dolním vedením,2400mm,10 závěsů A,L+P,bílý</t>
  </si>
  <si>
    <t>534651</t>
  </si>
  <si>
    <t>K-HETTICH WingLine L,těžké dveře,s dolním vedením,2400mm,10 závěsů A,L+P,šedý</t>
  </si>
  <si>
    <t>534850</t>
  </si>
  <si>
    <t>K-HETTICH WingLine L,těžké dveře,s dolním vedením,2400mm,10 závěsů P,L+P,antraci</t>
  </si>
  <si>
    <t>534844</t>
  </si>
  <si>
    <t>K-HETTICH WingLine L,těžké dveře,s dolním vedením,2400mm,10 závěsů P,L+P,bílý</t>
  </si>
  <si>
    <t>534650</t>
  </si>
  <si>
    <t>K-HETTICH WingLine L,těžké dveře,s dolním vedením,2400mm,10 závěsů P,L+P,šedý</t>
  </si>
  <si>
    <t>534849</t>
  </si>
  <si>
    <t>K-HETTICH WingLine L,těžké dveře,s dolním vedením,2400mm,10 závěsů S,L+P,antraci</t>
  </si>
  <si>
    <t>534843</t>
  </si>
  <si>
    <t>K-HETTICH WingLine L,těžké dveře,s dolním vedením,2400mm,10 závěsů S,L+P,bílý</t>
  </si>
  <si>
    <t>534649</t>
  </si>
  <si>
    <t>K-HETTICH WingLine L,těžké dveře,s dolním vedením,2400mm,10 závěsů S,L+P,šedý</t>
  </si>
  <si>
    <t>534654</t>
  </si>
  <si>
    <t>K-HETTICH WingLine L,těžké dveře,s dolním vedením,2400mm,12 závěsů A,L+P,šedý</t>
  </si>
  <si>
    <t>534854</t>
  </si>
  <si>
    <t>K-HETTICH WingLine L,těžké dveře,s dolním vedením,2400mm,12 závěsů P,L+P,antraci</t>
  </si>
  <si>
    <t>534853</t>
  </si>
  <si>
    <t>534848</t>
  </si>
  <si>
    <t>K-HETTICH WingLine L,těžké dveře,s dolním vedením,2400mm,12 závěsů P,L+P,bílý</t>
  </si>
  <si>
    <t>534847</t>
  </si>
  <si>
    <t>534653</t>
  </si>
  <si>
    <t>K-HETTICH WingLine L,těžké dveře,s dolním vedením,2400mm,12 závěsů P,L+P,šedý</t>
  </si>
  <si>
    <t>534852</t>
  </si>
  <si>
    <t>K-HETTICH WingLine L,těžké dveře,s dolním vedením,2400mm,12 závěsů S,L+P,antraci</t>
  </si>
  <si>
    <t>534846</t>
  </si>
  <si>
    <t>K-HETTICH WingLine L,těžké dveře,s dolním vedením,2400mm,12 závěsů S,L+P,bílý</t>
  </si>
  <si>
    <t>534652</t>
  </si>
  <si>
    <t>K-HETTICH WingLine L,těžké dveře,s dolním vedením,2400mm,12 závěsů S,L+P,šedý</t>
  </si>
  <si>
    <t>534757</t>
  </si>
  <si>
    <t>K-HETTICH WingLine L,těžké dveře,s dolním vedením,2400mm,6 závěsů A,L+P,antracit</t>
  </si>
  <si>
    <t>534839</t>
  </si>
  <si>
    <t>K-HETTICH WingLine L,těžké dveře,s dolním vedením,2400mm,6 závěsů A,L+P,bílý</t>
  </si>
  <si>
    <t>534645</t>
  </si>
  <si>
    <t>K-HETTICH WingLine L,těžké dveře,s dolním vedením,2400mm,6 závěsů A,L+P,šedý</t>
  </si>
  <si>
    <t>534756</t>
  </si>
  <si>
    <t>K-HETTICH WingLine L,těžké dveře,s dolním vedením,2400mm,6 závěsů P,L+P,antracit</t>
  </si>
  <si>
    <t>534838</t>
  </si>
  <si>
    <t>K-HETTICH WingLine L,těžké dveře,s dolním vedením,2400mm,6 závěsů P,L+P,bílý</t>
  </si>
  <si>
    <t>534644</t>
  </si>
  <si>
    <t>K-HETTICH WingLine L,těžké dveře,s dolním vedením,2400mm,6 závěsů P,L+P,šedý</t>
  </si>
  <si>
    <t>534755</t>
  </si>
  <si>
    <t>K-HETTICH WingLine L,těžké dveře,s dolním vedením,2400mm,6 závěsů S,L+P,antracit</t>
  </si>
  <si>
    <t>534837</t>
  </si>
  <si>
    <t>K-HETTICH WingLine L,těžké dveře,s dolním vedením,2400mm,6 závěsů S,L+P,bílý</t>
  </si>
  <si>
    <t>534643</t>
  </si>
  <si>
    <t>K-HETTICH WingLine L,těžké dveře,s dolním vedením,2400mm,6 závěsů S,L+P,šedý</t>
  </si>
  <si>
    <t>534760</t>
  </si>
  <si>
    <t>K-HETTICH WingLine L,těžké dveře,s dolním vedením,2400mm,8 závěsů A,L+P,antracit</t>
  </si>
  <si>
    <t>534842</t>
  </si>
  <si>
    <t>K-HETTICH WingLine L,těžké dveře,s dolním vedením,2400mm,8 závěsů A,L+P,bílý</t>
  </si>
  <si>
    <t>534648</t>
  </si>
  <si>
    <t>K-HETTICH WingLine L,těžké dveře,s dolním vedením,2400mm,8 závěsů A,L+P,šedý</t>
  </si>
  <si>
    <t>534759</t>
  </si>
  <si>
    <t>K-HETTICH WingLine L,těžké dveře,s dolním vedením,2400mm,8 závěsů P,L+P,antracit</t>
  </si>
  <si>
    <t>534841</t>
  </si>
  <si>
    <t>K-HETTICH WingLine L,těžké dveře,s dolním vedením,2400mm,8 závěsů P,L+P,bílý</t>
  </si>
  <si>
    <t>534647</t>
  </si>
  <si>
    <t>K-HETTICH WingLine L,těžké dveře,s dolním vedením,2400mm,8 závěsů P,L+P,šedý</t>
  </si>
  <si>
    <t>534758</t>
  </si>
  <si>
    <t>K-HETTICH WingLine L,těžké dveře,s dolním vedením,2400mm,8 závěsů S,L+P,antracit</t>
  </si>
  <si>
    <t>534840</t>
  </si>
  <si>
    <t>K-HETTICH WingLine L,těžké dveře,s dolním vedením,2400mm,8 závěsů S,L+P,bílý</t>
  </si>
  <si>
    <t>534646</t>
  </si>
  <si>
    <t>K-HETTICH WingLine L,těžké dveře,s dolním vedením,2400mm,8 závěsů S,L+P,šedý</t>
  </si>
  <si>
    <t>534745</t>
  </si>
  <si>
    <t>K-HETTICH WingLine L,těžké dveře,s dolním vedením,3 závěsy A,levý,antracit</t>
  </si>
  <si>
    <t>534827</t>
  </si>
  <si>
    <t>K-HETTICH WingLine L,těžké dveře,s dolním vedením,3 závěsy A,levý,bílý</t>
  </si>
  <si>
    <t>534603</t>
  </si>
  <si>
    <t>K-HETTICH WingLine L,těžké dveře,s dolním vedením,3 závěsy A,levý,šedý</t>
  </si>
  <si>
    <t>534733</t>
  </si>
  <si>
    <t>K-HETTICH WingLine L,těžké dveře,s dolním vedením,3 závěsy A,pravý,antracit</t>
  </si>
  <si>
    <t>534815</t>
  </si>
  <si>
    <t>K-HETTICH WingLine L,těžké dveře,s dolním vedením,3 závěsy A,pravý,bílý</t>
  </si>
  <si>
    <t>534587</t>
  </si>
  <si>
    <t>K-HETTICH WingLine L,těžké dveře,s dolním vedením,3 závěsy A,pravý,šedý</t>
  </si>
  <si>
    <t>534744</t>
  </si>
  <si>
    <t>K-HETTICH WingLine L,těžké dveře,s dolním vedením,3 závěsy P,levý,antracit</t>
  </si>
  <si>
    <t>534826</t>
  </si>
  <si>
    <t>K-HETTICH WingLine L,těžké dveře,s dolním vedením,3 závěsy P,levý,bílý</t>
  </si>
  <si>
    <t>534602</t>
  </si>
  <si>
    <t>K-HETTICH WingLine L,těžké dveře,s dolním vedením,3 závěsy P,levý,šedý</t>
  </si>
  <si>
    <t>534732</t>
  </si>
  <si>
    <t>K-HETTICH WingLine L,těžké dveře,s dolním vedením,3 závěsy P,pravý,antracit</t>
  </si>
  <si>
    <t>534814</t>
  </si>
  <si>
    <t>K-HETTICH WingLine L,těžké dveře,s dolním vedením,3 závěsy P,pravý,bílý</t>
  </si>
  <si>
    <t>534586</t>
  </si>
  <si>
    <t>K-HETTICH WingLine L,těžké dveře,s dolním vedením,3 závěsy P,pravý,šedý</t>
  </si>
  <si>
    <t>534743</t>
  </si>
  <si>
    <t>K-HETTICH WingLine L,těžké dveře,s dolním vedením,3 závěsy S,levý,antracit</t>
  </si>
  <si>
    <t>534825</t>
  </si>
  <si>
    <t>K-HETTICH WingLine L,těžké dveře,s dolním vedením,3 závěsy S,levý,bílý</t>
  </si>
  <si>
    <t>534601</t>
  </si>
  <si>
    <t>K-HETTICH WingLine L,těžké dveře,s dolním vedením,3 závěsy S,levý,šedý</t>
  </si>
  <si>
    <t>534731</t>
  </si>
  <si>
    <t>K-HETTICH WingLine L,těžké dveře,s dolním vedením,3 závěsy S,pravý,antracit</t>
  </si>
  <si>
    <t>534813</t>
  </si>
  <si>
    <t>K-HETTICH WingLine L,těžké dveře,s dolním vedením,3 závěsy S,pravý,bílý</t>
  </si>
  <si>
    <t>534585</t>
  </si>
  <si>
    <t>K-HETTICH WingLine L,těžké dveře,s dolním vedením,3 závěsy S,pravý,šedý</t>
  </si>
  <si>
    <t>534748</t>
  </si>
  <si>
    <t>K-HETTICH WingLine L,těžké dveře,s dolním vedením,4 závěsy A,levý,antracit</t>
  </si>
  <si>
    <t>534830</t>
  </si>
  <si>
    <t>K-HETTICH WingLine L,těžké dveře,s dolním vedením,4 závěsy A,levý,bílý</t>
  </si>
  <si>
    <t>534635</t>
  </si>
  <si>
    <t>K-HETTICH WingLine L,těžké dveře,s dolním vedením,4 závěsy A,levý,šedý</t>
  </si>
  <si>
    <t>534736</t>
  </si>
  <si>
    <t>K-HETTICH WingLine L,těžké dveře,s dolním vedením,4 závěsy A,pravý,antracit</t>
  </si>
  <si>
    <t>534818</t>
  </si>
  <si>
    <t>K-HETTICH WingLine L,těžké dveře,s dolním vedením,4 závěsy A,pravý,bílý</t>
  </si>
  <si>
    <t>534590</t>
  </si>
  <si>
    <t>K-HETTICH WingLine L,těžké dveře,s dolním vedením,4 závěsy A,pravý,šedý</t>
  </si>
  <si>
    <t>534747</t>
  </si>
  <si>
    <t>K-HETTICH WingLine L,těžké dveře,s dolním vedením,4 závěsy P,levý,antracit</t>
  </si>
  <si>
    <t>534829</t>
  </si>
  <si>
    <t>K-HETTICH WingLine L,těžké dveře,s dolním vedením,4 závěsy P,levý,bílý</t>
  </si>
  <si>
    <t>534608</t>
  </si>
  <si>
    <t>K-HETTICH WingLine L,těžké dveře,s dolním vedením,4 závěsy P,levý,šedý</t>
  </si>
  <si>
    <t>534735</t>
  </si>
  <si>
    <t>K-HETTICH WingLine L,těžké dveře,s dolním vedením,4 závěsy P,pravý,antracit</t>
  </si>
  <si>
    <t>534817</t>
  </si>
  <si>
    <t>K-HETTICH WingLine L,těžké dveře,s dolním vedením,4 závěsy P,pravý,bílý</t>
  </si>
  <si>
    <t>534589</t>
  </si>
  <si>
    <t>K-HETTICH WingLine L,těžké dveře,s dolním vedením,4 závěsy P,pravý,šedý</t>
  </si>
  <si>
    <t>534746</t>
  </si>
  <si>
    <t>K-HETTICH WingLine L,těžké dveře,s dolním vedením,4 závěsy S,levý,antracit</t>
  </si>
  <si>
    <t>534828</t>
  </si>
  <si>
    <t>K-HETTICH WingLine L,těžké dveře,s dolním vedením,4 závěsy S,levý,bílý</t>
  </si>
  <si>
    <t>534604</t>
  </si>
  <si>
    <t>K-HETTICH WingLine L,těžké dveře,s dolním vedením,4 závěsy S,levý,šedý</t>
  </si>
  <si>
    <t>534734</t>
  </si>
  <si>
    <t>K-HETTICH WingLine L,těžké dveře,s dolním vedením,4 závěsy S,pravý,antracit</t>
  </si>
  <si>
    <t>534816</t>
  </si>
  <si>
    <t>K-HETTICH WingLine L,těžké dveře,s dolním vedením,4 závěsy S,pravý,bílý</t>
  </si>
  <si>
    <t>534588</t>
  </si>
  <si>
    <t>K-HETTICH WingLine L,těžké dveře,s dolním vedením,4 závěsy S,pravý,šedý</t>
  </si>
  <si>
    <t>534751</t>
  </si>
  <si>
    <t>K-HETTICH WingLine L,těžké dveře,s dolním vedením,5 závěsů A,levý,antracit</t>
  </si>
  <si>
    <t>534833</t>
  </si>
  <si>
    <t>K-HETTICH WingLine L,těžké dveře,s dolním vedením,5 závěsů A,levý,bílý</t>
  </si>
  <si>
    <t>534639</t>
  </si>
  <si>
    <t>K-HETTICH WingLine L,těžké dveře,s dolním vedením,5 závěsů A,levý,šedý</t>
  </si>
  <si>
    <t>534739</t>
  </si>
  <si>
    <t>K-HETTICH WingLine L,těžké dveře,s dolním vedením,5 závěsů A,pravý,antracit</t>
  </si>
  <si>
    <t>534821</t>
  </si>
  <si>
    <t>K-HETTICH WingLine L,těžké dveře,s dolním vedením,5 závěsů A,pravý,bílý</t>
  </si>
  <si>
    <t>534595</t>
  </si>
  <si>
    <t>K-HETTICH WingLine L,těžké dveře,s dolním vedením,5 závěsů A,pravý,šedý</t>
  </si>
  <si>
    <t>534750</t>
  </si>
  <si>
    <t>K-HETTICH WingLine L,těžké dveře,s dolním vedením,5 závěsů P,levý,antracit</t>
  </si>
  <si>
    <t>534832</t>
  </si>
  <si>
    <t>K-HETTICH WingLine L,těžké dveře,s dolním vedením,5 závěsů P,levý,bílý</t>
  </si>
  <si>
    <t>534638</t>
  </si>
  <si>
    <t>K-HETTICH WingLine L,těžké dveře,s dolním vedením,5 závěsů P,levý,šedý</t>
  </si>
  <si>
    <t>534738</t>
  </si>
  <si>
    <t>K-HETTICH WingLine L,těžké dveře,s dolním vedením,5 závěsů P,pravý,antracit</t>
  </si>
  <si>
    <t>534820</t>
  </si>
  <si>
    <t>K-HETTICH WingLine L,těžké dveře,s dolním vedením,5 závěsů P,pravý,bílý</t>
  </si>
  <si>
    <t>534592</t>
  </si>
  <si>
    <t>K-HETTICH WingLine L,těžké dveře,s dolním vedením,5 závěsů P,pravý,šedý</t>
  </si>
  <si>
    <t>534749</t>
  </si>
  <si>
    <t>K-HETTICH WingLine L,těžké dveře,s dolním vedením,5 závěsů S,levý,antracit</t>
  </si>
  <si>
    <t>534831</t>
  </si>
  <si>
    <t>K-HETTICH WingLine L,těžké dveře,s dolním vedením,5 závěsů S,levý,bílý</t>
  </si>
  <si>
    <t>534636</t>
  </si>
  <si>
    <t>K-HETTICH WingLine L,těžké dveře,s dolním vedením,5 závěsů S,levý,šedý</t>
  </si>
  <si>
    <t>534737</t>
  </si>
  <si>
    <t>K-HETTICH WingLine L,těžké dveře,s dolním vedením,5 závěsů S,pravý,antracit</t>
  </si>
  <si>
    <t>534819</t>
  </si>
  <si>
    <t>K-HETTICH WingLine L,těžké dveře,s dolním vedením,5 závěsů S,pravý,bílý</t>
  </si>
  <si>
    <t>534591</t>
  </si>
  <si>
    <t>K-HETTICH WingLine L,těžké dveře,s dolním vedením,5 závěsů S,pravý,šedý</t>
  </si>
  <si>
    <t>534754</t>
  </si>
  <si>
    <t>K-HETTICH WingLine L,těžké dveře,s dolním vedením,6 závěsů A,levý,antracit</t>
  </si>
  <si>
    <t>534836</t>
  </si>
  <si>
    <t>K-HETTICH WingLine L,těžké dveře,s dolním vedením,6 závěsů A,levý,bílý</t>
  </si>
  <si>
    <t>534642</t>
  </si>
  <si>
    <t>K-HETTICH WingLine L,těžké dveře,s dolním vedením,6 závěsů A,levý,šedý</t>
  </si>
  <si>
    <t>534742</t>
  </si>
  <si>
    <t>K-HETTICH WingLine L,těžké dveře,s dolním vedením,6 závěsů A,pravý,antracit</t>
  </si>
  <si>
    <t>534824</t>
  </si>
  <si>
    <t>K-HETTICH WingLine L,těžké dveře,s dolním vedením,6 závěsů A,pravý,bílý</t>
  </si>
  <si>
    <t>534598</t>
  </si>
  <si>
    <t>K-HETTICH WingLine L,těžké dveře,s dolním vedením,6 závěsů A,pravý,šedý</t>
  </si>
  <si>
    <t>534753</t>
  </si>
  <si>
    <t>K-HETTICH WingLine L,těžké dveře,s dolním vedením,6 závěsů P,levý,antracit</t>
  </si>
  <si>
    <t>534835</t>
  </si>
  <si>
    <t>K-HETTICH WingLine L,těžké dveře,s dolním vedením,6 závěsů P,levý,bílý</t>
  </si>
  <si>
    <t>534641</t>
  </si>
  <si>
    <t>K-HETTICH WingLine L,těžké dveře,s dolním vedením,6 závěsů P,levý,šedý</t>
  </si>
  <si>
    <t>534741</t>
  </si>
  <si>
    <t>K-HETTICH WingLine L,těžké dveře,s dolním vedením,6 závěsů P,pravý,antracit</t>
  </si>
  <si>
    <t>534823</t>
  </si>
  <si>
    <t>K-HETTICH WingLine L,těžké dveře,s dolním vedením,6 závěsů P,pravý,bílý</t>
  </si>
  <si>
    <t>534597</t>
  </si>
  <si>
    <t>K-HETTICH WingLine L,těžké dveře,s dolním vedením,6 závěsů P,pravý,šedý</t>
  </si>
  <si>
    <t>534752</t>
  </si>
  <si>
    <t>K-HETTICH WingLine L,těžké dveře,s dolním vedením,6 závěsů S,levý,antracit</t>
  </si>
  <si>
    <t>534834</t>
  </si>
  <si>
    <t>K-HETTICH WingLine L,těžké dveře,s dolním vedením,6 závěsů S,levý,bílý</t>
  </si>
  <si>
    <t>534640</t>
  </si>
  <si>
    <t>K-HETTICH WingLine L,těžké dveře,s dolním vedením,6 závěsů S,levý,šedý</t>
  </si>
  <si>
    <t>534740</t>
  </si>
  <si>
    <t>K-HETTICH WingLine L,těžké dveře,s dolním vedením,6 závěsů S,pravý,antracit</t>
  </si>
  <si>
    <t>534822</t>
  </si>
  <si>
    <t>K-HETTICH WingLine L,těžké dveře,s dolním vedením,6 závěsů S,pravý,bílý</t>
  </si>
  <si>
    <t>534596</t>
  </si>
  <si>
    <t>K-HETTICH WingLine L,těžké dveře,s dolním vedením,6 závěsů S,pravý,šedý</t>
  </si>
  <si>
    <t>536870</t>
  </si>
  <si>
    <t>K-HETTICH WingLine S,lehké dveře,bez dolního vedení,1200mm,4 závěsy P,L+P,antrac</t>
  </si>
  <si>
    <t>536819</t>
  </si>
  <si>
    <t>K-HETTICH WingLine S,lehké dveře,bez dolního vedení,1200mm,4 závěsy P,L+P,bílý</t>
  </si>
  <si>
    <t>536229</t>
  </si>
  <si>
    <t>K-HETTICH WingLine S,lehké dveře,bez dolního vedení,1200mm,4 závěsy P,L+P,šedý</t>
  </si>
  <si>
    <t>536869</t>
  </si>
  <si>
    <t>K-HETTICH WingLine S,lehké dveře,bez dolního vedení,1200mm,4 závěsy S,L+P,antrac</t>
  </si>
  <si>
    <t>536818</t>
  </si>
  <si>
    <t>K-HETTICH WingLine S,lehké dveře,bez dolního vedení,1200mm,4 závěsy S,L+P,bílý</t>
  </si>
  <si>
    <t>536228</t>
  </si>
  <si>
    <t>K-HETTICH WingLine S,lehké dveře,bez dolního vedení,1200mm,4 závěsy S,L+P,šedý</t>
  </si>
  <si>
    <t>536883</t>
  </si>
  <si>
    <t>K-HETTICH WingLine S,lehké dveře,bez dolního vedení,1200mm,6 závěsů P,L+P,antrac</t>
  </si>
  <si>
    <t>536823</t>
  </si>
  <si>
    <t>K-HETTICH WingLine S,lehké dveře,bez dolního vedení,1200mm,6 závěsů P,L+P,bílý</t>
  </si>
  <si>
    <t>536233</t>
  </si>
  <si>
    <t>K-HETTICH WingLine S,lehké dveře,bez dolního vedení,1200mm,6 závěsů P,L+P,šedý</t>
  </si>
  <si>
    <t>536882</t>
  </si>
  <si>
    <t>K-HETTICH WingLine S,lehké dveře,bez dolního vedení,1200mm,6 závěsů S,L+P,antrac</t>
  </si>
  <si>
    <t>536822</t>
  </si>
  <si>
    <t>K-HETTICH WingLine S,lehké dveře,bez dolního vedení,1200mm,6 závěsů S,L+P,bílý</t>
  </si>
  <si>
    <t>536232</t>
  </si>
  <si>
    <t>K-HETTICH WingLine S,lehké dveře,bez dolního vedení,1200mm,6 závěsů S,L+P,šedý</t>
  </si>
  <si>
    <t>536881</t>
  </si>
  <si>
    <t>K-HETTICH WingLine S,lehké dveře,bez dolního vedení,1800mm,4 závěsy P,L+P,antrac</t>
  </si>
  <si>
    <t>536821</t>
  </si>
  <si>
    <t>K-HETTICH WingLine S,lehké dveře,bez dolního vedení,1800mm,4 závěsy P,L+P,bílý</t>
  </si>
  <si>
    <t>536231</t>
  </si>
  <si>
    <t>K-HETTICH WingLine S,lehké dveře,bez dolního vedení,1800mm,4 závěsy P,L+P,šedý</t>
  </si>
  <si>
    <t>536877</t>
  </si>
  <si>
    <t>K-HETTICH WingLine S,lehké dveře,bez dolního vedení,1800mm,4 závěsy S,L+P,antrac</t>
  </si>
  <si>
    <t>536820</t>
  </si>
  <si>
    <t>K-HETTICH WingLine S,lehké dveře,bez dolního vedení,1800mm,4 závěsy S,L+P,bílý</t>
  </si>
  <si>
    <t>536230</t>
  </si>
  <si>
    <t>K-HETTICH WingLine S,lehké dveře,bez dolního vedení,1800mm,4 závěsy S,L+P,šedý</t>
  </si>
  <si>
    <t>536889</t>
  </si>
  <si>
    <t>K-HETTICH WingLine S,lehké dveře,bez dolního vedení,1800mm,6 závěsů P,L+P,antrac</t>
  </si>
  <si>
    <t>536825</t>
  </si>
  <si>
    <t>K-HETTICH WingLine S,lehké dveře,bez dolního vedení,1800mm,6 závěsů P,L+P,bílý</t>
  </si>
  <si>
    <t>536235</t>
  </si>
  <si>
    <t>K-HETTICH WingLine S,lehké dveře,bez dolního vedení,1800mm,6 závěsů P,L+P,šedý</t>
  </si>
  <si>
    <t>536884</t>
  </si>
  <si>
    <t>K-HETTICH WingLine S,lehké dveře,bez dolního vedení,1800mm,6 závěsů S,L+P,antrac</t>
  </si>
  <si>
    <t>536824</t>
  </si>
  <si>
    <t>K-HETTICH WingLine S,lehké dveře,bez dolního vedení,1800mm,6 závěsů S,L+P,bílý</t>
  </si>
  <si>
    <t>536234</t>
  </si>
  <si>
    <t>K-HETTICH WingLine S,lehké dveře,bez dolního vedení,1800mm,6 závěsů S,L+P,šedý</t>
  </si>
  <si>
    <t>536862</t>
  </si>
  <si>
    <t>K-HETTICH WingLine S,lehké dveře,bez dolního vedení,2 závěsy P,levý,antracit</t>
  </si>
  <si>
    <t>536815</t>
  </si>
  <si>
    <t>K-HETTICH WingLine S,lehké dveře,bez dolního vedení,2 závěsy P,levý,bílý</t>
  </si>
  <si>
    <t>536225</t>
  </si>
  <si>
    <t>K-HETTICH WingLine S,lehké dveře,bez dolního vedení,2 závěsy P,levý,šedý</t>
  </si>
  <si>
    <t>536858</t>
  </si>
  <si>
    <t>K-HETTICH WingLine S,lehké dveře,bez dolního vedení,2 závěsy P,pravý,antracit</t>
  </si>
  <si>
    <t>536803</t>
  </si>
  <si>
    <t>K-HETTICH WingLine S,lehké dveře,bez dolního vedení,2 závěsy P,pravý,bílý</t>
  </si>
  <si>
    <t>536221</t>
  </si>
  <si>
    <t>K-HETTICH WingLine S,lehké dveře,bez dolního vedení,2 závěsy P,pravý,šedý</t>
  </si>
  <si>
    <t>536861</t>
  </si>
  <si>
    <t>K-HETTICH WingLine S,lehké dveře,bez dolního vedení,2 závěsy S,levý,antracit</t>
  </si>
  <si>
    <t>536814</t>
  </si>
  <si>
    <t>K-HETTICH WingLine S,lehké dveře,bez dolního vedení,2 závěsy S,levý,bílý</t>
  </si>
  <si>
    <t>536224</t>
  </si>
  <si>
    <t>K-HETTICH WingLine S,lehké dveře,bez dolního vedení,2 závěsy S,levý,šedý</t>
  </si>
  <si>
    <t>536857</t>
  </si>
  <si>
    <t>K-HETTICH WingLine S,lehké dveře,bez dolního vedení,2 závěsy S,pravý,antracit</t>
  </si>
  <si>
    <t>536319</t>
  </si>
  <si>
    <t>K-HETTICH WingLine S,lehké dveře,bez dolního vedení,2 závěsy S,pravý,bílý</t>
  </si>
  <si>
    <t>536220</t>
  </si>
  <si>
    <t>K-HETTICH WingLine S,lehké dveře,bez dolního vedení,2 závěsy S,pravý,šedý</t>
  </si>
  <si>
    <t>536864</t>
  </si>
  <si>
    <t>K-HETTICH WingLine S,lehké dveře,bez dolního vedení,3 závěsy P,levý,antracit</t>
  </si>
  <si>
    <t>536817</t>
  </si>
  <si>
    <t>K-HETTICH WingLine S,lehké dveře,bez dolního vedení,3 závěsy P,levý,bílý</t>
  </si>
  <si>
    <t>536227</t>
  </si>
  <si>
    <t>K-HETTICH WingLine S,lehké dveře,bez dolního vedení,3 závěsy P,levý,šedý</t>
  </si>
  <si>
    <t>536860</t>
  </si>
  <si>
    <t>K-HETTICH WingLine S,lehké dveře,bez dolního vedení,3 závěsy P,pravý,antracit</t>
  </si>
  <si>
    <t>536805</t>
  </si>
  <si>
    <t>K-HETTICH WingLine S,lehké dveře,bez dolního vedení,3 závěsy P,pravý,bílý</t>
  </si>
  <si>
    <t>536223</t>
  </si>
  <si>
    <t>K-HETTICH WingLine S,lehké dveře,bez dolního vedení,3 závěsy P,pravý,šedý</t>
  </si>
  <si>
    <t>536863</t>
  </si>
  <si>
    <t>K-HETTICH WingLine S,lehké dveře,bez dolního vedení,3 závěsy S,levý,antracit</t>
  </si>
  <si>
    <t>536816</t>
  </si>
  <si>
    <t>K-HETTICH WingLine S,lehké dveře,bez dolního vedení,3 závěsy S,levý,bílý</t>
  </si>
  <si>
    <t>536226</t>
  </si>
  <si>
    <t>K-HETTICH WingLine S,lehké dveře,bez dolního vedení,3 závěsy S,levý,šedý</t>
  </si>
  <si>
    <t>536859</t>
  </si>
  <si>
    <t>K-HETTICH WingLine S,lehké dveře,bez dolního vedení,3 závěsy S,pravý,antracit</t>
  </si>
  <si>
    <t>536804</t>
  </si>
  <si>
    <t>K-HETTICH WingLine S,lehké dveře,bez dolního vedení,3 závěsy S,pravý,bílý</t>
  </si>
  <si>
    <t>536222</t>
  </si>
  <si>
    <t>K-HETTICH WingLine S,lehké dveře,bez dolního vedení,3 závěsy S,pravý,šedý</t>
  </si>
  <si>
    <t>536933</t>
  </si>
  <si>
    <t>K-HETTICH WingLine S,P2MS,lehké,bez dolního vedení,1200mm,4 závěsy P,L+P,antraci</t>
  </si>
  <si>
    <t>536899</t>
  </si>
  <si>
    <t>K-HETTICH WingLine S,P2MS,lehké,bez dolního vedení,1200mm,4 závěsy P,L+P,bílý</t>
  </si>
  <si>
    <t>536258</t>
  </si>
  <si>
    <t>K-HETTICH WingLine S,P2MS,lehké,bez dolního vedení,1200mm,4 závěsy P,L+P,šedý</t>
  </si>
  <si>
    <t>536931</t>
  </si>
  <si>
    <t>K-HETTICH WingLine S,P2MS,lehké,bez dolního vedení,1200mm,4 závěsy S,L+P,antraci</t>
  </si>
  <si>
    <t>536898</t>
  </si>
  <si>
    <t>K-HETTICH WingLine S,P2MS,lehké,bez dolního vedení,1200mm,4 závěsy S,L+P,bílý</t>
  </si>
  <si>
    <t>536257</t>
  </si>
  <si>
    <t>K-HETTICH WingLine S,P2MS,lehké,bez dolního vedení,1200mm,4 závěsy S,L+P,šedý</t>
  </si>
  <si>
    <t>536967</t>
  </si>
  <si>
    <t>K-HETTICH WingLine S,P2MS,lehké,bez dolního vedení,1200mm,6 závěsů P,L+P,antraci</t>
  </si>
  <si>
    <t>536903</t>
  </si>
  <si>
    <t>K-HETTICH WingLine S,P2MS,lehké,bez dolního vedení,1200mm,6 závěsů P,L+P,bílý</t>
  </si>
  <si>
    <t>536311</t>
  </si>
  <si>
    <t>K-HETTICH WingLine S,P2MS,lehké,bez dolního vedení,1200mm,6 závěsů P,L+P,šedý</t>
  </si>
  <si>
    <t>536963</t>
  </si>
  <si>
    <t>K-HETTICH WingLine S,P2MS,lehké,bez dolního vedení,1200mm,6 závěsů S,L+P,antraci</t>
  </si>
  <si>
    <t>536902</t>
  </si>
  <si>
    <t>K-HETTICH WingLine S,P2MS,lehké,bez dolního vedení,1200mm,6 závěsů S,L+P,bílý</t>
  </si>
  <si>
    <t>536310</t>
  </si>
  <si>
    <t>K-HETTICH WingLine S,P2MS,lehké,bez dolního vedení,1200mm,6 závěsů S,L+P,šedý</t>
  </si>
  <si>
    <t>536962</t>
  </si>
  <si>
    <t>K-HETTICH WingLine S,P2MS,lehké,bez dolního vedení,1800mm,4 závěsy P,L+P,antraci</t>
  </si>
  <si>
    <t>536901</t>
  </si>
  <si>
    <t>K-HETTICH WingLine S,P2MS,lehké,bez dolního vedení,1800mm,4 závěsy P,L+P,bílý</t>
  </si>
  <si>
    <t>536260</t>
  </si>
  <si>
    <t>K-HETTICH WingLine S,P2MS,lehké,bez dolního vedení,1800mm,4 závěsy P,L+P,šedý</t>
  </si>
  <si>
    <t>536961</t>
  </si>
  <si>
    <t>K-HETTICH WingLine S,P2MS,lehké,bez dolního vedení,1800mm,4 závěsy S,L+P,antraci</t>
  </si>
  <si>
    <t>536900</t>
  </si>
  <si>
    <t>K-HETTICH WingLine S,P2MS,lehké,bez dolního vedení,1800mm,4 závěsy S,L+P,bílý</t>
  </si>
  <si>
    <t>536259</t>
  </si>
  <si>
    <t>K-HETTICH WingLine S,P2MS,lehké,bez dolního vedení,1800mm,4 závěsy S,L+P,šedý</t>
  </si>
  <si>
    <t>536970</t>
  </si>
  <si>
    <t>K-HETTICH WingLine S,P2MS,lehké,bez dolního vedení,1800mm,6 závěsů P,L+P,antraci</t>
  </si>
  <si>
    <t>536905</t>
  </si>
  <si>
    <t>K-HETTICH WingLine S,P2MS,lehké,bez dolního vedení,1800mm,6 závěsů P,L+P,bílý</t>
  </si>
  <si>
    <t>536313</t>
  </si>
  <si>
    <t>K-HETTICH WingLine S,P2MS,lehké,bez dolního vedení,1800mm,6 závěsů P,L+P,šedý</t>
  </si>
  <si>
    <t>536969</t>
  </si>
  <si>
    <t>K-HETTICH WingLine S,P2MS,lehké,bez dolního vedení,1800mm,6 závěsů S,L+P,antraci</t>
  </si>
  <si>
    <t>536904</t>
  </si>
  <si>
    <t>K-HETTICH WingLine S,P2MS,lehké,bez dolního vedení,1800mm,6 závěsů S,L+P,bílý</t>
  </si>
  <si>
    <t>536312</t>
  </si>
  <si>
    <t>K-HETTICH WingLine S,P2MS,lehké,bez dolního vedení,1800mm,6 závěsů S,L+P,šedý</t>
  </si>
  <si>
    <t>536912</t>
  </si>
  <si>
    <t>K-HETTICH WingLine S,P2MS,lehké,bez dolního vedení,2 závěsy P,levý,antracit</t>
  </si>
  <si>
    <t>536895</t>
  </si>
  <si>
    <t>K-HETTICH WingLine S,P2MS,lehké,bez dolního vedení,2 závěsy P,levý,bílý</t>
  </si>
  <si>
    <t>536253</t>
  </si>
  <si>
    <t>K-HETTICH WingLine S,P2MS,lehké,bez dolního vedení,2 závěsy P,levý,šedý</t>
  </si>
  <si>
    <t>536907</t>
  </si>
  <si>
    <t>K-HETTICH WingLine S,P2MS,lehké,bez dolního vedení,2 závěsy P,pravý,antracit</t>
  </si>
  <si>
    <t>536891</t>
  </si>
  <si>
    <t>K-HETTICH WingLine S,P2MS,lehké,bez dolního vedení,2 závěsy P,pravý,bílý</t>
  </si>
  <si>
    <t>536237</t>
  </si>
  <si>
    <t>K-HETTICH WingLine S,P2MS,lehké,bez dolního vedení,2 závěsy P,pravý,šedý</t>
  </si>
  <si>
    <t>536911</t>
  </si>
  <si>
    <t>K-HETTICH WingLine S,P2MS,lehké,bez dolního vedení,2 závěsy S,levý,antracit</t>
  </si>
  <si>
    <t>536894</t>
  </si>
  <si>
    <t>K-HETTICH WingLine S,P2MS,lehké,bez dolního vedení,2 závěsy S,levý,bílý</t>
  </si>
  <si>
    <t>536252</t>
  </si>
  <si>
    <t>K-HETTICH WingLine S,P2MS,lehké,bez dolního vedení,2 závěsy S,levý,šedý</t>
  </si>
  <si>
    <t>536906</t>
  </si>
  <si>
    <t>K-HETTICH WingLine S,P2MS,lehké,bez dolního vedení,2 závěsy S,pravý,antracit</t>
  </si>
  <si>
    <t>536890</t>
  </si>
  <si>
    <t>K-HETTICH WingLine S,P2MS,lehké,bez dolního vedení,2 závěsy S,pravý,bílý</t>
  </si>
  <si>
    <t>536236</t>
  </si>
  <si>
    <t>K-HETTICH WingLine S,P2MS,lehké,bez dolního vedení,2 závěsy S,pravý,šedý</t>
  </si>
  <si>
    <t>536915</t>
  </si>
  <si>
    <t>K-HETTICH WingLine S,P2MS,lehké,bez dolního vedení,3 závěsy P,levý,antracit</t>
  </si>
  <si>
    <t>536897</t>
  </si>
  <si>
    <t>K-HETTICH WingLine S,P2MS,lehké,bez dolního vedení,3 závěsy P,levý,bílý</t>
  </si>
  <si>
    <t>536256</t>
  </si>
  <si>
    <t>K-HETTICH WingLine S,P2MS,lehké,bez dolního vedení,3 závěsy P,levý,šedý</t>
  </si>
  <si>
    <t>536909</t>
  </si>
  <si>
    <t>K-HETTICH WingLine S,P2MS,lehké,bez dolního vedení,3 závěsy P,pravý,antracit</t>
  </si>
  <si>
    <t>536893</t>
  </si>
  <si>
    <t>K-HETTICH WingLine S,P2MS,lehké,bez dolního vedení,3 závěsy P,pravý,bílý</t>
  </si>
  <si>
    <t>536240</t>
  </si>
  <si>
    <t>K-HETTICH WingLine S,P2MS,lehké,bez dolního vedení,3 závěsy P,pravý,šedý</t>
  </si>
  <si>
    <t>536914</t>
  </si>
  <si>
    <t>K-HETTICH WingLine S,P2MS,lehké,bez dolního vedení,3 závěsy S,levý,antracit</t>
  </si>
  <si>
    <t>536896</t>
  </si>
  <si>
    <t>K-HETTICH WingLine S,P2MS,lehké,bez dolního vedení,3 závěsy S,levý,bílý</t>
  </si>
  <si>
    <t>536254</t>
  </si>
  <si>
    <t>K-HETTICH WingLine S,P2MS,lehké,bez dolního vedení,3 závěsy S,levý,šedý</t>
  </si>
  <si>
    <t>536908</t>
  </si>
  <si>
    <t>K-HETTICH WingLine S,P2MS,lehké,bez dolního vedení,3 závěsy S,pravý,antracit</t>
  </si>
  <si>
    <t>536892</t>
  </si>
  <si>
    <t>K-HETTICH WingLine S,P2MS,lehké,bez dolního vedení,3 závěsy S,pravý,bílý</t>
  </si>
  <si>
    <t>536239</t>
  </si>
  <si>
    <t>K-HETTICH WingLine S,P2MS,lehké,bez dolního vedení,3 závěsy S,pravý,šedý</t>
  </si>
  <si>
    <t>288765</t>
  </si>
  <si>
    <t>K-HETTICH-Komplet Atira 300/144 mm stříbrný</t>
  </si>
  <si>
    <t>288770</t>
  </si>
  <si>
    <t>K-HETTICH-Komplet Atira 300/176 mm stříbrný</t>
  </si>
  <si>
    <t>288760</t>
  </si>
  <si>
    <t>K-HETTICH-Komplet Atira 300/70 mm stříbrný</t>
  </si>
  <si>
    <t>288766</t>
  </si>
  <si>
    <t>K-HETTICH-Komplet Atira 350/144 mm stříbrný</t>
  </si>
  <si>
    <t>288771</t>
  </si>
  <si>
    <t>K-HETTICH-Komplet Atira 350/176 mm stříbrný</t>
  </si>
  <si>
    <t>288761</t>
  </si>
  <si>
    <t>K-HETTICH-Komplet Atira 350/70 mm stříbrný</t>
  </si>
  <si>
    <t>288767</t>
  </si>
  <si>
    <t>K-HETTICH-Komplet Atira 420/144 mm stříbrný</t>
  </si>
  <si>
    <t>288772</t>
  </si>
  <si>
    <t>K-HETTICH-Komplet Atira 420/176 mm stříbrný</t>
  </si>
  <si>
    <t>288768</t>
  </si>
  <si>
    <t>K-HETTICH-Komplet Atira 470/144 mm stříbrný</t>
  </si>
  <si>
    <t>288773</t>
  </si>
  <si>
    <t>K-HETTICH-Komplet Atira 470/176 mm stříbrný</t>
  </si>
  <si>
    <t>288759</t>
  </si>
  <si>
    <t>K-HETTICH-Komplet Atira 470/54 mm stříbrný</t>
  </si>
  <si>
    <t>288763</t>
  </si>
  <si>
    <t>K-HETTICH-Komplet Atira 470/70 mm stříbrný</t>
  </si>
  <si>
    <t>291802</t>
  </si>
  <si>
    <t>K-HETTICH-Komplet Atira 470+2 svěrky KliKlamp</t>
  </si>
  <si>
    <t>288769</t>
  </si>
  <si>
    <t>K-HETTICH-Komplet Atira 520/144 mm stříbrný</t>
  </si>
  <si>
    <t>288774</t>
  </si>
  <si>
    <t>K-HETTICH-Komplet Atira 520/176 mm stříbrný</t>
  </si>
  <si>
    <t>288764</t>
  </si>
  <si>
    <t>K-HETTICH-Komplet Atira 520/70 mm stříbrný</t>
  </si>
  <si>
    <t>291803</t>
  </si>
  <si>
    <t>K-HETTICH-Komplet Atira 520+2 svěrky KliKlamp</t>
  </si>
  <si>
    <t>501575</t>
  </si>
  <si>
    <t>VHT 092 Vzorkovna - MiSte Kuchyně Karlovy Vary</t>
  </si>
  <si>
    <t>VHT 094 Vzorkovna - stolařství Navrátil</t>
  </si>
  <si>
    <t>507881</t>
  </si>
  <si>
    <t>321994</t>
  </si>
  <si>
    <t>VHT 1061450/77911  IT příchyt čela s rozpěrnými pouzdry</t>
  </si>
  <si>
    <t>321995</t>
  </si>
  <si>
    <t>VHT 1061965 INNOTECH příchyt rel.na čelo</t>
  </si>
  <si>
    <t>322001</t>
  </si>
  <si>
    <t>VHT 1062501 INNOTECH přích.zad 70 L stří</t>
  </si>
  <si>
    <t>322002</t>
  </si>
  <si>
    <t>VHT 1062502 INNOTECH přích.zad 70 P stří</t>
  </si>
  <si>
    <t>322541</t>
  </si>
  <si>
    <t>VHT 1079849/79013 WING LINE 230 prof.2,4</t>
  </si>
  <si>
    <t>319791</t>
  </si>
  <si>
    <t>VHT 115091 Úchytka LUTETIA L2000 elox.Al</t>
  </si>
  <si>
    <t>322082</t>
  </si>
  <si>
    <t>VHT 115366 Adaptér pro úch.na sklád.dveř</t>
  </si>
  <si>
    <t>320078</t>
  </si>
  <si>
    <t>VHT 27740 Distanční váleček</t>
  </si>
  <si>
    <t>28155</t>
  </si>
  <si>
    <t>318989</t>
  </si>
  <si>
    <t>VHT 28155 QUADRO 40 pro posuvné panely</t>
  </si>
  <si>
    <t>321700</t>
  </si>
  <si>
    <t>VHT 41374 KA 5740/450 14 kg</t>
  </si>
  <si>
    <t>320637</t>
  </si>
  <si>
    <t>VHT 45026 Výklop.kování LIFT UP 18/19</t>
  </si>
  <si>
    <t>320586</t>
  </si>
  <si>
    <t>VHT 45064 SELEKTA PRO 2000 E 180° vlož.</t>
  </si>
  <si>
    <t>318836</t>
  </si>
  <si>
    <t>VHT 47654 KORREKT kluzák k nalisování</t>
  </si>
  <si>
    <t>320115</t>
  </si>
  <si>
    <t>VHT 48890 Držák na kravaty</t>
  </si>
  <si>
    <t>321560</t>
  </si>
  <si>
    <t>VHT 61851 KORREKT nožka 100 mm černá</t>
  </si>
  <si>
    <t>319808</t>
  </si>
  <si>
    <t>VHT 70263 ACCURA lišta se stupnicí 1000m</t>
  </si>
  <si>
    <t>322631</t>
  </si>
  <si>
    <t>VHT 70265 ACCURA vrtací těleso pro výsuv</t>
  </si>
  <si>
    <t>322632</t>
  </si>
  <si>
    <t>VHT 70266 ACCURA doraz pro demont.korpus</t>
  </si>
  <si>
    <t>320214</t>
  </si>
  <si>
    <t>VHT 72134 Závěs speciál.ET 582 pro ledni</t>
  </si>
  <si>
    <t>320121</t>
  </si>
  <si>
    <t>VHT 74430 Držák nožů buk lakovaný</t>
  </si>
  <si>
    <t>320276</t>
  </si>
  <si>
    <t>VHT 75808 Spojka pro výsuv.polici Quadro</t>
  </si>
  <si>
    <t>321440</t>
  </si>
  <si>
    <t>VHT 77734 SELEKTA PRO 2000 miska T22</t>
  </si>
  <si>
    <t>322549</t>
  </si>
  <si>
    <t>VHT 78095 Vrták d3 mm s pouzdrem</t>
  </si>
  <si>
    <t>322535</t>
  </si>
  <si>
    <t>VHT 79015 WING LINE 230 sada pro 2+2 kří</t>
  </si>
  <si>
    <t>322676</t>
  </si>
  <si>
    <t>VHT 9002503 INNOTECH příchyt.rel.na čelo</t>
  </si>
  <si>
    <t>322003</t>
  </si>
  <si>
    <t>VHT 9007355 Innotech Atira přích.zad 144 L stř</t>
  </si>
  <si>
    <t>322004</t>
  </si>
  <si>
    <t>VHT 9007356 INNOTECH přích.zad 144 P stř</t>
  </si>
  <si>
    <t>321998</t>
  </si>
  <si>
    <t>VHT 9027831 INNOTECH přích.zad 176 L stř</t>
  </si>
  <si>
    <t>321999</t>
  </si>
  <si>
    <t>VHT 9027832 INNOTECH přích.zad 176 P stř</t>
  </si>
  <si>
    <t>320369</t>
  </si>
  <si>
    <t>VHT 9071205 SENSYS 8645i 110° TH52 nalož</t>
  </si>
  <si>
    <t>321735</t>
  </si>
  <si>
    <t>VHT 9071576 Podložka 8099 D=1,5 vrut</t>
  </si>
  <si>
    <t>321740</t>
  </si>
  <si>
    <t>VHT 9071657 Podložka 8099 exc.HET.T.D=3</t>
  </si>
  <si>
    <t>496897</t>
  </si>
  <si>
    <t>VHT 9072354 omezovač úhlu otevření Sensys 110°&gt;90°</t>
  </si>
  <si>
    <t>497577</t>
  </si>
  <si>
    <t>VHT 9073606 Sensys 8645i 110° TH52, polonaložený, SiSy</t>
  </si>
  <si>
    <t>322775</t>
  </si>
  <si>
    <t>VHT 9073608 Sensys 8645i 110° naložený TH52 zalisování</t>
  </si>
  <si>
    <t>378086</t>
  </si>
  <si>
    <t>VHT 9073626 Sensys 8645i 110° TB55 FIX</t>
  </si>
  <si>
    <t>407674</t>
  </si>
  <si>
    <t>VHT 9073662 Sensys 8675 naložený 110° TH52 vrut PTO</t>
  </si>
  <si>
    <t>503828</t>
  </si>
  <si>
    <t>VHT 9073671 Sensys 8675 naložený 110° P2O, 45x9.5, vrut</t>
  </si>
  <si>
    <t>9073674</t>
  </si>
  <si>
    <t>496735</t>
  </si>
  <si>
    <t>VHT 9073674 Sensys 8675 naložený 110° PTO TB45x9.5 zalisování D8x11</t>
  </si>
  <si>
    <t>481510</t>
  </si>
  <si>
    <t>VHT 9075006 podložka 8099 D=1,5 vrut</t>
  </si>
  <si>
    <t>497579</t>
  </si>
  <si>
    <t>VHT 9075056 podložka křížová, eurošroub, D=1,5mm</t>
  </si>
  <si>
    <t>9075071</t>
  </si>
  <si>
    <t>469331</t>
  </si>
  <si>
    <t>VHT 9075071 Podložka 8099 s excentrem D=1,5</t>
  </si>
  <si>
    <t>9075081</t>
  </si>
  <si>
    <t>418007</t>
  </si>
  <si>
    <t>VHT 9075081 montážní podložka s eurošrouby, excentr, D=1.5mm</t>
  </si>
  <si>
    <t>504784</t>
  </si>
  <si>
    <t>VHT 9075086 montážní podložka vrut D=1,5 s excentrem</t>
  </si>
  <si>
    <t>321810</t>
  </si>
  <si>
    <t>VHT 9078139 EASYS pohonná jednotka</t>
  </si>
  <si>
    <t>322150</t>
  </si>
  <si>
    <t>VHT 9079523 QUADRO V6/400 BM Silent Syst</t>
  </si>
  <si>
    <t>322265</t>
  </si>
  <si>
    <t>VHT 9079526 KA 5740 Sada příslušenství</t>
  </si>
  <si>
    <t>320162</t>
  </si>
  <si>
    <t>VHT 9079710 EASYS napájecí kabel 1800 mm</t>
  </si>
  <si>
    <t>320155</t>
  </si>
  <si>
    <t>VHT 9082353 EASYS sada montáž.profilů 75</t>
  </si>
  <si>
    <t>320154</t>
  </si>
  <si>
    <t>VHT 9082357 EASYS instalační sada</t>
  </si>
  <si>
    <t>320156</t>
  </si>
  <si>
    <t>VHT 9082358 EASYS montážní úhelník</t>
  </si>
  <si>
    <t>320161</t>
  </si>
  <si>
    <t>VHT 9082360 EASYS rozdělovač</t>
  </si>
  <si>
    <t>320160</t>
  </si>
  <si>
    <t>VHT 9082362 EASYS prodlužovací kabel 150</t>
  </si>
  <si>
    <t>320157</t>
  </si>
  <si>
    <t>VHT 9082363 EASYS síťový napájecí zdroj</t>
  </si>
  <si>
    <t>320158</t>
  </si>
  <si>
    <t>VHT 9082364 EASYS držák napájecího zdroj</t>
  </si>
  <si>
    <t>331852</t>
  </si>
  <si>
    <t>VHT 9082365 EASYS doraz k zapuštění</t>
  </si>
  <si>
    <t>320416</t>
  </si>
  <si>
    <t>VHT 9088021/9085170 SENSYS 8639i W90 TH5</t>
  </si>
  <si>
    <t>320698</t>
  </si>
  <si>
    <t>VHT 9088250/9082774 SENSYS krytka ramínk</t>
  </si>
  <si>
    <t>331875</t>
  </si>
  <si>
    <t>VHT 9088251/9082614 SENSYS krytka misky</t>
  </si>
  <si>
    <t>9091400</t>
  </si>
  <si>
    <t>479322</t>
  </si>
  <si>
    <t>VHT 9091400 Sensys 8631i 95° naložený pro dveře až 32mm vrut</t>
  </si>
  <si>
    <t>372641</t>
  </si>
  <si>
    <t>VHT 9091738 SENSYS 8645i B12,5 TH52, naložený, obsidián, SiSy</t>
  </si>
  <si>
    <t>372639</t>
  </si>
  <si>
    <t>VHT 9091741 SENSYS 8675 B12,5 TH52, naložený, obsidián, P2O</t>
  </si>
  <si>
    <t>500676</t>
  </si>
  <si>
    <t>VHT 9091744 Sensys 8638i B12,5 TA32 SiSy pro alu rámeček obsidián</t>
  </si>
  <si>
    <t>503826</t>
  </si>
  <si>
    <t>VHT 9091748 Sensys 8639i W90 B4 TH52 SiSy obsidián</t>
  </si>
  <si>
    <t>389645</t>
  </si>
  <si>
    <t>VHT 9091767 Sensys 8657i B12,5 TH52, naložený, obsidián, SiSy</t>
  </si>
  <si>
    <t>403651</t>
  </si>
  <si>
    <t>VHT 9091769 Sensys 8687 B12,5 TH52, naložený, obsidián, P2O</t>
  </si>
  <si>
    <t>381664</t>
  </si>
  <si>
    <t>VHT 9091804 Podložka 8099, s excentrem, eurošrouby D1,5 obsidián</t>
  </si>
  <si>
    <t>389698</t>
  </si>
  <si>
    <t>VHT 9091812 Sensys křížová podložka D=1,5 obsidián</t>
  </si>
  <si>
    <t>372643</t>
  </si>
  <si>
    <t>VHT 9091821 Krytka na ramínko s logem obsidián</t>
  </si>
  <si>
    <t>372644</t>
  </si>
  <si>
    <t>VHT 9091822 Krytka na misku obsidián</t>
  </si>
  <si>
    <t>365332</t>
  </si>
  <si>
    <t>VHT 9099540 SENSYS 8657i TH52 165° nalože</t>
  </si>
  <si>
    <t>504184</t>
  </si>
  <si>
    <t>VHT 9099560 Sensys 8657i naložený 165° SiSy, nulový přesah, 45x9.5, vrut</t>
  </si>
  <si>
    <t>321420</t>
  </si>
  <si>
    <t>VHT 9104107 INNOTECH roh.spoj.čela vn.z7</t>
  </si>
  <si>
    <t>500678</t>
  </si>
  <si>
    <t>VHT 9117471 podložka Sensys linární k našroubování, D=1,5 mm obsidián</t>
  </si>
  <si>
    <t>330199</t>
  </si>
  <si>
    <t>VHT 9122914 ARCITECH TOPSIDE 400/92 bílý</t>
  </si>
  <si>
    <t>326315</t>
  </si>
  <si>
    <t>VHT 9131486 Náhr. šroub k Accura vrt. po</t>
  </si>
  <si>
    <t>539656</t>
  </si>
  <si>
    <t>VHT 9133874 podložka Sensys linární s eurovruty, D=1,5 mm</t>
  </si>
  <si>
    <t>330957</t>
  </si>
  <si>
    <t>VHT 9140121 ARCITECH spojky pro čelo  94</t>
  </si>
  <si>
    <t>330959</t>
  </si>
  <si>
    <t>VHT 9140123 ARCITECH spojky pro čelo 186</t>
  </si>
  <si>
    <t>407364</t>
  </si>
  <si>
    <t>VHT 9142067 LegaDrive ECO, ruční ovladač basic</t>
  </si>
  <si>
    <t>320366</t>
  </si>
  <si>
    <t>VHT 9144597/9058303 Spojky QUADRO pár L+</t>
  </si>
  <si>
    <t>330858</t>
  </si>
  <si>
    <t>VHT 9149264 ARCITECH flex.sada 400/94 bí</t>
  </si>
  <si>
    <t>330872</t>
  </si>
  <si>
    <t>VHT 9149281 ARCITECH příchyt.zad 186 sad</t>
  </si>
  <si>
    <t>330851</t>
  </si>
  <si>
    <t>VHT 9149288 ARCITECH sada relingů 400 L+</t>
  </si>
  <si>
    <t>330774</t>
  </si>
  <si>
    <t>VHT 9150487 ARCITECH flex.sada 400/94 an</t>
  </si>
  <si>
    <t>330777</t>
  </si>
  <si>
    <t>VHT 9150488 ARCITECH flex.sada 450/94 an</t>
  </si>
  <si>
    <t>330780</t>
  </si>
  <si>
    <t>VHT 9150489 ARCITECH flex.sada 500/94 an</t>
  </si>
  <si>
    <t>330824</t>
  </si>
  <si>
    <t>VHT 9150501 ARCITECH příchyt.zad  94 sad</t>
  </si>
  <si>
    <t>330812</t>
  </si>
  <si>
    <t>VHT 9150503 ARCITECH příchyt.zad 186 sad</t>
  </si>
  <si>
    <t>330752</t>
  </si>
  <si>
    <t>VHT 9150516 ARCITECH sada relingů 450 L+</t>
  </si>
  <si>
    <t>330755</t>
  </si>
  <si>
    <t>VHT 9150517 ARCITECH sada relingů 500 L+</t>
  </si>
  <si>
    <t>330776</t>
  </si>
  <si>
    <t>VHT 9150616 ARCITECH flex.sada 400/94 st</t>
  </si>
  <si>
    <t>330827</t>
  </si>
  <si>
    <t>VHT 9150641 ARCITECH příchyt.zad  94 sad</t>
  </si>
  <si>
    <t>333455</t>
  </si>
  <si>
    <t>VHT 9153387 BANIO ORGA rám šedý</t>
  </si>
  <si>
    <t>333456</t>
  </si>
  <si>
    <t>VHT 9153388 BANIO ORGA misky sada 3 ks</t>
  </si>
  <si>
    <t>330908</t>
  </si>
  <si>
    <t>VHT 9156338 SLIDE LINE M pro 1 dveře s t</t>
  </si>
  <si>
    <t>330907</t>
  </si>
  <si>
    <t>VHT 9156339 SLIDE LINE M pro 1 dv.bez tl</t>
  </si>
  <si>
    <t>419582</t>
  </si>
  <si>
    <t>VHT 9182250 OrgaStore 820 dělící profil 120/2000 antracit</t>
  </si>
  <si>
    <t>331092</t>
  </si>
  <si>
    <t>VHT 9182250 ORGASTORE 820 PROFIL 2m HLIN</t>
  </si>
  <si>
    <t>9182712</t>
  </si>
  <si>
    <t>332779</t>
  </si>
  <si>
    <t>VHT 9182712 ARCITECH PŘÍČNÝ RELING L2000</t>
  </si>
  <si>
    <t>334212</t>
  </si>
  <si>
    <t>VHT 9192205 ARCITECH čelo vn.zás.2000/94</t>
  </si>
  <si>
    <t>331111</t>
  </si>
  <si>
    <t>VHT 9194412 ATIRA bok 470/70 levý bílý</t>
  </si>
  <si>
    <t>331112</t>
  </si>
  <si>
    <t>VHT 9194413 ATIRA bok 470/70 pravý bílý</t>
  </si>
  <si>
    <t>332920</t>
  </si>
  <si>
    <t>VHT 9194530 ATIRA reling 470 L stříbrný</t>
  </si>
  <si>
    <t>332921</t>
  </si>
  <si>
    <t>VHT 9194531 ATIRA reling 470 P stříbrný</t>
  </si>
  <si>
    <t>331221</t>
  </si>
  <si>
    <t>VHT 9194542 ATIRA reling 420 L bílý</t>
  </si>
  <si>
    <t>331222</t>
  </si>
  <si>
    <t>VHT 9194543 ATIRA reling 420 P bílý</t>
  </si>
  <si>
    <t>331223</t>
  </si>
  <si>
    <t>VHT 9194544 ATIRA reling 470 L bílý</t>
  </si>
  <si>
    <t>331224</t>
  </si>
  <si>
    <t>VHT 9194545 ATIRA reling 470 P bílý</t>
  </si>
  <si>
    <t>331300</t>
  </si>
  <si>
    <t>VHT 9194627 ATIRA příchytka zad 70 L bíl</t>
  </si>
  <si>
    <t>331301</t>
  </si>
  <si>
    <t>VHT 9194628 ATIRA příchytka zad 70 P bíl</t>
  </si>
  <si>
    <t>331304</t>
  </si>
  <si>
    <t>VHT 9194635 ATIRA příchytka zad 144 L bí</t>
  </si>
  <si>
    <t>331305</t>
  </si>
  <si>
    <t>VHT 9194636 ATIRA příchytka zad 144 P bí</t>
  </si>
  <si>
    <t>331306</t>
  </si>
  <si>
    <t>VHT 9194637 ATIRA příchytka zad 144 L an</t>
  </si>
  <si>
    <t>331307</t>
  </si>
  <si>
    <t>VHT 9194638 ATIRA příchytka zad 144 P an</t>
  </si>
  <si>
    <t>331308</t>
  </si>
  <si>
    <t>VHT 9194639 ATIRA příchytka zad 176 L bí</t>
  </si>
  <si>
    <t>331309</t>
  </si>
  <si>
    <t>VHT 9194640 ATIRA příchytka zad 176 P bí</t>
  </si>
  <si>
    <t>331310</t>
  </si>
  <si>
    <t>VHT 9194641 ATIRA příchytka zad 176 L an</t>
  </si>
  <si>
    <t>331311</t>
  </si>
  <si>
    <t>VHT 9194642 ATIRA příchytka zad 176 P an</t>
  </si>
  <si>
    <t>331315</t>
  </si>
  <si>
    <t>VHT 9194647 ATIRA krytka s logem Hettich</t>
  </si>
  <si>
    <t>331323</t>
  </si>
  <si>
    <t>VHT 9194657 ATIRA TOPSIDE adaptéry 144mm</t>
  </si>
  <si>
    <t>331324</t>
  </si>
  <si>
    <t>VHT 9194658 ATIRA TOPSIDE adaptéry 144mm</t>
  </si>
  <si>
    <t>331325</t>
  </si>
  <si>
    <t>VHT 9194659 ATIRA TOPSIDE ADAPTÉRY V144m</t>
  </si>
  <si>
    <t>331326</t>
  </si>
  <si>
    <t>VHT 9194660 ATIRA TOPSIDE adaptéry 176mm</t>
  </si>
  <si>
    <t>331328</t>
  </si>
  <si>
    <t>VHT 9194662 ATIRA TOPSIDE ADAPTÉRY V176m</t>
  </si>
  <si>
    <t>331333</t>
  </si>
  <si>
    <t>VHT 9194667 ATIRA TOPSIDE 144/470 mm skl</t>
  </si>
  <si>
    <t>331340</t>
  </si>
  <si>
    <t>VHT 9194674 ATIRA TOPSIDE 176/470 mm skl</t>
  </si>
  <si>
    <t>331353</t>
  </si>
  <si>
    <t>VHT 9194687 ATIRA TOPSIDE 144/420 mm oce</t>
  </si>
  <si>
    <t>331354</t>
  </si>
  <si>
    <t>VHT 9194688 ATIRA TOPSIDE 144/470 mm oce</t>
  </si>
  <si>
    <t>331361</t>
  </si>
  <si>
    <t>VHT 9194695 ATIRA TOPSIDE 144/470 mm oce</t>
  </si>
  <si>
    <t>331382</t>
  </si>
  <si>
    <t>VHT 9194716 ATIRA TOPSIDE 176/470 mm oce</t>
  </si>
  <si>
    <t>332925</t>
  </si>
  <si>
    <t>VHT 9194764 ATIRA čelo vnitřn.zás.2000/7</t>
  </si>
  <si>
    <t>331413</t>
  </si>
  <si>
    <t>VHT 9194766 ATIRA PROFIL PRO ČELO VNITŘN</t>
  </si>
  <si>
    <t>331603</t>
  </si>
  <si>
    <t>VHT 9194999 ORGATRAY 440 501-600/441-520</t>
  </si>
  <si>
    <t>331605</t>
  </si>
  <si>
    <t>VHT 9195001 ORGATRAY 440 701-800/441-520</t>
  </si>
  <si>
    <t>331636</t>
  </si>
  <si>
    <t>VHT 9195032 ATIRA druhý reling 470 L bíl</t>
  </si>
  <si>
    <t>331637</t>
  </si>
  <si>
    <t>VHT 9195033 ATIRA druhý reling 470 P bíl</t>
  </si>
  <si>
    <t>331749</t>
  </si>
  <si>
    <t>VHT 9196349 ATIRA SPOJKY PRO ČELO VNITŘN</t>
  </si>
  <si>
    <t>333220</t>
  </si>
  <si>
    <t>VHT 9200439 ADAPTÉRY PRO BIG ORGATOWER W</t>
  </si>
  <si>
    <t>333221</t>
  </si>
  <si>
    <t>VHT 9200450 POLOHOVACÍ SADA PRO BIG ORG&amp;</t>
  </si>
  <si>
    <t>333066</t>
  </si>
  <si>
    <t>VHT 9201921 SLIDELINE M SADA PRO 1 DVEŘE</t>
  </si>
  <si>
    <t>333458</t>
  </si>
  <si>
    <t>VHT 9203465 ORGASTRIPE PROFIL 1100MM BÍL</t>
  </si>
  <si>
    <t>333461</t>
  </si>
  <si>
    <t>VHT 9203468 ORGACLIP BÍLÝ</t>
  </si>
  <si>
    <t>333225</t>
  </si>
  <si>
    <t>VHT 9203535 PLNOVÝSUV QUADRO COMPACT 560</t>
  </si>
  <si>
    <t>333227</t>
  </si>
  <si>
    <t>VHT 9203537 TLUMIČ SILENT SYSTEM PRO BIG</t>
  </si>
  <si>
    <t>333041</t>
  </si>
  <si>
    <t>VHT 9206677 LIFT MINI BRZDA SKLOPNÝCH DV</t>
  </si>
  <si>
    <t>334317</t>
  </si>
  <si>
    <t>VHT 9207227 ORGATRAY 470 h500 š&gt;450 aNtr</t>
  </si>
  <si>
    <t>555997</t>
  </si>
  <si>
    <t>VHT 9207227 Příborník OrgaTray 470, 450/500mm, antracit</t>
  </si>
  <si>
    <t>333463</t>
  </si>
  <si>
    <t>VHT 9207259 BANIO ORGA RÁM ANTRACITOVÝ</t>
  </si>
  <si>
    <t>333464</t>
  </si>
  <si>
    <t>VHT 9207260 BANIO ORGA MISKY, SADA 3 KS,</t>
  </si>
  <si>
    <t>9207644</t>
  </si>
  <si>
    <t>333014</t>
  </si>
  <si>
    <t>VHT 9207644 INSERTFLEX 900 470/500</t>
  </si>
  <si>
    <t>501117</t>
  </si>
  <si>
    <t>VHT 9208026 ÚCHYTKA ÚCHYTKA SIRADIA 128 CÍN. FINIŠ ANTIK</t>
  </si>
  <si>
    <t>501116</t>
  </si>
  <si>
    <t>VHT 9208064 KNOPKA SERTAO D45 CÍN. FINIŠ ANTIK</t>
  </si>
  <si>
    <t>333478</t>
  </si>
  <si>
    <t>VHT 9208752 BIN.IT SMART /S600 HL=470-55</t>
  </si>
  <si>
    <t>333069</t>
  </si>
  <si>
    <t>VHT 9209225 SLIDE LINE M profil 2500/18</t>
  </si>
  <si>
    <t>333085</t>
  </si>
  <si>
    <t>VHT 9209279 SLIDE LINE M kr.profil2500/1</t>
  </si>
  <si>
    <t>333086</t>
  </si>
  <si>
    <t>VHT 9209280 SLIDE LINE M kr.profil4000/1</t>
  </si>
  <si>
    <t>333102</t>
  </si>
  <si>
    <t>VHT 9209403 SLIDELINE M KRYCÍ PROFIL 25M</t>
  </si>
  <si>
    <t>334527</t>
  </si>
  <si>
    <t>VHT 9209573 Protiskluzová podložka 500/5</t>
  </si>
  <si>
    <t>334529</t>
  </si>
  <si>
    <t>VHT 9209580 Protiskluzová podložka 500/5</t>
  </si>
  <si>
    <t>555996</t>
  </si>
  <si>
    <t>VHT 9209580 protiskluzová podložka 500/5000mm antracit</t>
  </si>
  <si>
    <t>334745</t>
  </si>
  <si>
    <t>VHT 9210848 EASYS 2000 na vest. lednice</t>
  </si>
  <si>
    <t>481523</t>
  </si>
  <si>
    <t>VHT 9217485 Quadro V6+ 470mm/50kg EB10,5 SiSy L</t>
  </si>
  <si>
    <t>481524</t>
  </si>
  <si>
    <t>VHT 9217486 Quadro V6+ 470mm/50kg EB10,5 SiSy P</t>
  </si>
  <si>
    <t>421273</t>
  </si>
  <si>
    <t>VHT 9219678 AvanFit 100 montážní přípravek</t>
  </si>
  <si>
    <t>481190</t>
  </si>
  <si>
    <t>VHT 9221183 výškově seřiditelné opěrné kolečko bez rejdu pro Big Org@Tower</t>
  </si>
  <si>
    <t>334848</t>
  </si>
  <si>
    <t>VHT 9221295 Push to open s.spojka</t>
  </si>
  <si>
    <t>9225570</t>
  </si>
  <si>
    <t>378713</t>
  </si>
  <si>
    <t>VHT 9225570 LegaMove, hliník eloxovaný</t>
  </si>
  <si>
    <t>9225574</t>
  </si>
  <si>
    <t>500291</t>
  </si>
  <si>
    <t>VHT 9225574 LegaMove řídící jednotka 230V</t>
  </si>
  <si>
    <t>529892</t>
  </si>
  <si>
    <t>VHT 9227245 SlideLine M SlideLine M Sada profilů/2500 mm</t>
  </si>
  <si>
    <t>9229154</t>
  </si>
  <si>
    <t>364035</t>
  </si>
  <si>
    <t>VHT 9229154 SlideLine M montážní pomůcka</t>
  </si>
  <si>
    <t>9230258</t>
  </si>
  <si>
    <t>556006</t>
  </si>
  <si>
    <t>VHT 9230258 ORGASTORE 830 Š.900 ANTRACIT</t>
  </si>
  <si>
    <t>419585</t>
  </si>
  <si>
    <t>VHT 9230268 OrgaStore 830 držák dělícího profilu antracit</t>
  </si>
  <si>
    <t>334846</t>
  </si>
  <si>
    <t>VHT 9236718 Push to open s.tyč 2000 mm</t>
  </si>
  <si>
    <t>481799</t>
  </si>
  <si>
    <t>VHT 9237607/9047450 Quadro V6/420 EB10,5 SiSy L</t>
  </si>
  <si>
    <t>332056</t>
  </si>
  <si>
    <t>VHT 9237608/9047451 QUADRO V6/420 EB10,5 SilSys</t>
  </si>
  <si>
    <t>347066</t>
  </si>
  <si>
    <t>VHT 9238052 WingLine L push to move pro těžké dveře L</t>
  </si>
  <si>
    <t>347085</t>
  </si>
  <si>
    <t>VHT 9238123 WingLine L pull to move silent pro těžké dveře L</t>
  </si>
  <si>
    <t>381660</t>
  </si>
  <si>
    <t>VHT 9239087 P2O pro závěsy (elektrický), tmavě šedý</t>
  </si>
  <si>
    <t>473351</t>
  </si>
  <si>
    <t>VHT 9239087 P2Os pro závěsy (elektrický), tmavě šedý</t>
  </si>
  <si>
    <t>466512</t>
  </si>
  <si>
    <t>VHT 9239311 WingLine L vodící profily 1200 mm eloxovaný hliník</t>
  </si>
  <si>
    <t>353248</t>
  </si>
  <si>
    <t>VHT 9240163 PUSH TO OPEN SILENT PRO INNOTECH / ATIRA 30KG</t>
  </si>
  <si>
    <t>352956</t>
  </si>
  <si>
    <t>VHT 9240890 ACTRO 40kg plnovýsuv 400mm tl18mm silent system sada</t>
  </si>
  <si>
    <t>352962</t>
  </si>
  <si>
    <t>VHT 9240891 ACTRO 40kg plnovýsuv 450mm tl18mm silent system sada</t>
  </si>
  <si>
    <t>352968</t>
  </si>
  <si>
    <t>VHT 9240893 ACTRO 40kg plnovýsuv 500mm tl18mm silent system sada</t>
  </si>
  <si>
    <t>466508</t>
  </si>
  <si>
    <t>VHT 9242227 TopLine L new sada tlumení, 2 křídla ve směru otvírání, 50 kg</t>
  </si>
  <si>
    <t>466509</t>
  </si>
  <si>
    <t>VHT 9242238 TopLine L new sada tlumení, 2 křídla ve směru zavírání, 50 kg</t>
  </si>
  <si>
    <t>467399</t>
  </si>
  <si>
    <t>VHT 9242711 TopLine L new 18-30 mm/50 kg 2 křídla, přední dveře vlevo</t>
  </si>
  <si>
    <t>9243049</t>
  </si>
  <si>
    <t>473333</t>
  </si>
  <si>
    <t>VHT 9243049 Spojovací deska 170x170, šedá</t>
  </si>
  <si>
    <t>494583</t>
  </si>
  <si>
    <t>VHT 9243050 Spojovací deska 170x170, bílá</t>
  </si>
  <si>
    <t>353159</t>
  </si>
  <si>
    <t>VHT 9243701 QUADRO V6 P2OS 470mm eb10,5 plnovýsuv levý</t>
  </si>
  <si>
    <t>353160</t>
  </si>
  <si>
    <t>VHT 9243702 QUADRO V6 P2OS 470mm eb10,5 plnovýsuv pravý</t>
  </si>
  <si>
    <t>9243921</t>
  </si>
  <si>
    <t>407361</t>
  </si>
  <si>
    <t>VHT 9243921 LegaDrive ECO, ruční ovladač touch basic inlay</t>
  </si>
  <si>
    <t>469307</t>
  </si>
  <si>
    <t>VHT 9252651 výztuha dveří</t>
  </si>
  <si>
    <t>419624</t>
  </si>
  <si>
    <t>VHT 9255214 AvanTech You boky 187/500 antracit L</t>
  </si>
  <si>
    <t>419625</t>
  </si>
  <si>
    <t>VHT 9255215 AvanTech You boky 187/500 antracit P</t>
  </si>
  <si>
    <t>418374</t>
  </si>
  <si>
    <t>VHT 9255246 AvanTech You sada bočnic 101/350 stříbrná</t>
  </si>
  <si>
    <t>418375</t>
  </si>
  <si>
    <t>VHT 9255247 AvanTech You sada bočnic 101/400 stříbrná</t>
  </si>
  <si>
    <t>418376</t>
  </si>
  <si>
    <t>VHT 9255248 AvanTech You sada bočnic 101/450 stříbrná</t>
  </si>
  <si>
    <t>9255249</t>
  </si>
  <si>
    <t>419595</t>
  </si>
  <si>
    <t>VHT 9255249 AvanTech You sada bočnic 101/500 stříbrná</t>
  </si>
  <si>
    <t>418377</t>
  </si>
  <si>
    <t>VHT 9255250 AvanTech You sada bočnic 101/550 stříbrná</t>
  </si>
  <si>
    <t>418445</t>
  </si>
  <si>
    <t>VHT 9255255 AvanTech You sada bočnic 139/350 stříbrná</t>
  </si>
  <si>
    <t>418448</t>
  </si>
  <si>
    <t>VHT 9255259 AvanTech You sada bočnic 139/550 stříbrná</t>
  </si>
  <si>
    <t>418502</t>
  </si>
  <si>
    <t>VHT 9255266 AvanTech You sada bočnic 187/450 stříbrná</t>
  </si>
  <si>
    <t>9255267</t>
  </si>
  <si>
    <t>419617</t>
  </si>
  <si>
    <t>VHT 9255267 AvanTech You sada bočnic 187/500 stříbrná</t>
  </si>
  <si>
    <t>418503</t>
  </si>
  <si>
    <t>VHT 9255268 AvanTech You sada bočnic 187/550 stříbrná</t>
  </si>
  <si>
    <t>418504</t>
  </si>
  <si>
    <t>VHT 9255269 AvanTech You sada bočnic 187/600 stříbrná</t>
  </si>
  <si>
    <t>418570</t>
  </si>
  <si>
    <t>VHT 9255273 AvanTech You sada bočnic 251/350 stříbrná</t>
  </si>
  <si>
    <t>418572</t>
  </si>
  <si>
    <t>VHT 9255275 AvanTech You sada bočnic 251/450 stříbrná</t>
  </si>
  <si>
    <t>9255276</t>
  </si>
  <si>
    <t>419628</t>
  </si>
  <si>
    <t>VHT 9255276 AvanTech You sada bočnic 251/500 stříbrná</t>
  </si>
  <si>
    <t>418573</t>
  </si>
  <si>
    <t>VHT 9255277 AvanTech You sada bočnic 251/550 stříbrná</t>
  </si>
  <si>
    <t>418384</t>
  </si>
  <si>
    <t>VHT 9255288 AvanTech You sada bočnic 101/450 bílá</t>
  </si>
  <si>
    <t>9255289</t>
  </si>
  <si>
    <t>419596</t>
  </si>
  <si>
    <t>VHT 9255289 AvanTech You sada bočnic 101/500 bílá</t>
  </si>
  <si>
    <t>9255295</t>
  </si>
  <si>
    <t>418451</t>
  </si>
  <si>
    <t>VHT 9255295 AvanTech You sada bočnic 139/350 bílá</t>
  </si>
  <si>
    <t>9255298</t>
  </si>
  <si>
    <t>419607</t>
  </si>
  <si>
    <t>VHT 9255298 AvanTech You sada bočnic 139/500 bílá</t>
  </si>
  <si>
    <t>9255305</t>
  </si>
  <si>
    <t>418509</t>
  </si>
  <si>
    <t>VHT 9255305 AvanTech You sada bočnic 187/400 bílá</t>
  </si>
  <si>
    <t>9255306</t>
  </si>
  <si>
    <t>418510</t>
  </si>
  <si>
    <t>VHT 9255306 AvanTech You sada bočnic 187/450 bílá</t>
  </si>
  <si>
    <t>9255307</t>
  </si>
  <si>
    <t>419618</t>
  </si>
  <si>
    <t>VHT 9255307 AvanTech You sada bočnic 187/500 bílá</t>
  </si>
  <si>
    <t>9255308</t>
  </si>
  <si>
    <t>418511</t>
  </si>
  <si>
    <t>VHT 9255308 AvanTech You sada bočnic 187/550 bílá</t>
  </si>
  <si>
    <t>9255309</t>
  </si>
  <si>
    <t>418512</t>
  </si>
  <si>
    <t>VHT 9255309 AvanTech You sada bočnic 187/600 bílá</t>
  </si>
  <si>
    <t>9255310</t>
  </si>
  <si>
    <t>418513</t>
  </si>
  <si>
    <t>VHT 9255310 AvanTech You sada bočnic 187/650 bílá</t>
  </si>
  <si>
    <t>9255315</t>
  </si>
  <si>
    <t>418578</t>
  </si>
  <si>
    <t>VHT 9255315 AvanTech You sada bočnic 251/450 bílá</t>
  </si>
  <si>
    <t>9255316</t>
  </si>
  <si>
    <t>419629</t>
  </si>
  <si>
    <t>VHT 9255316 AvanTech You sada bočnic 251/500 bílá</t>
  </si>
  <si>
    <t>9255317</t>
  </si>
  <si>
    <t>418579</t>
  </si>
  <si>
    <t>VHT 9255317 AvanTech You sada bočnic 251/550 bílá</t>
  </si>
  <si>
    <t>9255318</t>
  </si>
  <si>
    <t>418580</t>
  </si>
  <si>
    <t>VHT 9255318 AvanTech You sada bočnic 251/600 bílá</t>
  </si>
  <si>
    <t>9255327</t>
  </si>
  <si>
    <t>418391</t>
  </si>
  <si>
    <t>VHT 9255327 AvanTech You sada bočnic 101/400 antracit</t>
  </si>
  <si>
    <t>418392</t>
  </si>
  <si>
    <t>VHT 9255328 AvanTech You sada bočnic 101/450 antracit</t>
  </si>
  <si>
    <t>9255329</t>
  </si>
  <si>
    <t>419597</t>
  </si>
  <si>
    <t>VHT 9255329 AvanTech You sada bočnic 101/500 antracit</t>
  </si>
  <si>
    <t>418395</t>
  </si>
  <si>
    <t>VHT 9255332 AvanTech You sada bočnic 101/650 antracit</t>
  </si>
  <si>
    <t>9255335</t>
  </si>
  <si>
    <t>418457</t>
  </si>
  <si>
    <t>VHT 9255335 AvanTech You sada bočnic 139/350 antracit</t>
  </si>
  <si>
    <t>9255336</t>
  </si>
  <si>
    <t>418458</t>
  </si>
  <si>
    <t>VHT 9255336 AvanTech You sada bočnic 139/400 antracit</t>
  </si>
  <si>
    <t>9255338</t>
  </si>
  <si>
    <t>419608</t>
  </si>
  <si>
    <t>VHT 9255338 AvanTech You sada bočnic 139/500 antracit</t>
  </si>
  <si>
    <t>9255345</t>
  </si>
  <si>
    <t>418517</t>
  </si>
  <si>
    <t>VHT 9255345 AvanTech You sada bočnic 187/400 antracit</t>
  </si>
  <si>
    <t>418518</t>
  </si>
  <si>
    <t>VHT 9255346 AvanTech You sada bočnic 187/450 antracit</t>
  </si>
  <si>
    <t>9255347</t>
  </si>
  <si>
    <t>419619</t>
  </si>
  <si>
    <t>VHT 9255347 AvanTech You sada bočnic 187/500 antracit</t>
  </si>
  <si>
    <t>9255349</t>
  </si>
  <si>
    <t>418520</t>
  </si>
  <si>
    <t>VHT 9255349 AvanTech You sada bočnic 187/600 antracit</t>
  </si>
  <si>
    <t>418521</t>
  </si>
  <si>
    <t>VHT 9255350 AvanTech You sada bočnic 187/650 antracit</t>
  </si>
  <si>
    <t>9255354</t>
  </si>
  <si>
    <t>418583</t>
  </si>
  <si>
    <t>VHT 9255354 AvanTech You sada bočnic 251/400 antracit</t>
  </si>
  <si>
    <t>9255355</t>
  </si>
  <si>
    <t>418584</t>
  </si>
  <si>
    <t>VHT 9255355 AvanTech You sada bočnic 251/450 antracit</t>
  </si>
  <si>
    <t>9255356</t>
  </si>
  <si>
    <t>419630</t>
  </si>
  <si>
    <t>VHT 9255356 AvanTech You sada bočnic 251/500 antracit</t>
  </si>
  <si>
    <t>9255358</t>
  </si>
  <si>
    <t>418586</t>
  </si>
  <si>
    <t>VHT 9255358 AvanTech You sada bočnic 251/600 antracit</t>
  </si>
  <si>
    <t>418587</t>
  </si>
  <si>
    <t>VHT 9255359 AvanTech You sada bočnic 251/650 antracit</t>
  </si>
  <si>
    <t>418782</t>
  </si>
  <si>
    <t>VHT 9255764 AvanTech You krycí profil 500 mm hliník</t>
  </si>
  <si>
    <t>418791</t>
  </si>
  <si>
    <t>VHT 9255773 AvanTech You krycí profil 500 mm imitace nerezi</t>
  </si>
  <si>
    <t>418800</t>
  </si>
  <si>
    <t>VHT 9255782 AvanTech You krycí profil 500 mm chrom</t>
  </si>
  <si>
    <t>418818</t>
  </si>
  <si>
    <t>VHT 9255800 AvanTech You krycí profil 500 mm ořech</t>
  </si>
  <si>
    <t>419546</t>
  </si>
  <si>
    <t>VHT 9255831 AvanTech You DesignProfil 2000 mm šedý</t>
  </si>
  <si>
    <t>419604</t>
  </si>
  <si>
    <t>VHT 9255835 AvanTech You čelní příchyt 101 vrut</t>
  </si>
  <si>
    <t>419605</t>
  </si>
  <si>
    <t>VHT 9255836 AvanTech You čelní příchyt 101 hmoždinka</t>
  </si>
  <si>
    <t>419626</t>
  </si>
  <si>
    <t>VHT 9255838 AvanTech You čelní příchyt 187/251 vrut</t>
  </si>
  <si>
    <t>419627</t>
  </si>
  <si>
    <t>VHT 9255839 AvanTech You čelní příchyt 187/251 hmoždinka</t>
  </si>
  <si>
    <t>418719</t>
  </si>
  <si>
    <t>VHT 9256860 Quadro You celovýsuv 350 30 kg SiSy L</t>
  </si>
  <si>
    <t>418720</t>
  </si>
  <si>
    <t>VHT 9256861 Quadro You celovýsuv 350 30 kg SiSy P</t>
  </si>
  <si>
    <t>9256887</t>
  </si>
  <si>
    <t>541371</t>
  </si>
  <si>
    <t>VHT 9256887 Quadro You celovýsuv 380mm/30kg EB21 SiSy L+P</t>
  </si>
  <si>
    <t>537294</t>
  </si>
  <si>
    <t>VHT 9256888 Quadro You celovýsuv 400mm/30kg EB21 SiSy L+P</t>
  </si>
  <si>
    <t>9256890</t>
  </si>
  <si>
    <t>494286</t>
  </si>
  <si>
    <t>VHT 9256890 Quadro You celovýsuv 450 30 kg SiSy L+P</t>
  </si>
  <si>
    <t>456603</t>
  </si>
  <si>
    <t>VHT 9256892 Quadro YOU 500 30kg SiSy L+P</t>
  </si>
  <si>
    <t>9256894</t>
  </si>
  <si>
    <t>494284</t>
  </si>
  <si>
    <t>VHT 9256894 Quadro You celovýsuv 550 30 kg SiSy L+P</t>
  </si>
  <si>
    <t>9256937</t>
  </si>
  <si>
    <t>474963</t>
  </si>
  <si>
    <t>VHT 9256937 Quadro You celovýsuv 500mm/30 kg P2O L+P</t>
  </si>
  <si>
    <t>9256992</t>
  </si>
  <si>
    <t>418694</t>
  </si>
  <si>
    <t>VHT 9256992 Actro You celovýsuv 500 40 kg SiSy L</t>
  </si>
  <si>
    <t>419672</t>
  </si>
  <si>
    <t>VHT 9256993/9318180 Actro You celovýsuv 500 40 kg SiSy P</t>
  </si>
  <si>
    <t>418009</t>
  </si>
  <si>
    <t>VHT 9257008 plnovýsuv Actro YOU L (40kg), 500mm, L+P</t>
  </si>
  <si>
    <t>494285</t>
  </si>
  <si>
    <t>VHT 9257038 Actro You celovýsuv 550 70 kg SiSy L+P</t>
  </si>
  <si>
    <t>418631</t>
  </si>
  <si>
    <t>VHT 9257181 AvanTech You sada držáků pro individuální materiál 187/400 bílá</t>
  </si>
  <si>
    <t>419640</t>
  </si>
  <si>
    <t>VHT 9257183 AvanTech You sada držáků pro individuální materiál 187/500 bílá</t>
  </si>
  <si>
    <t>418638</t>
  </si>
  <si>
    <t>VHT 9257189 AvanTech You sada držáků pro individuální materiál 187/450 antra</t>
  </si>
  <si>
    <t>419641</t>
  </si>
  <si>
    <t>VHT 9257190 AvanTech You sada držáků pro individuální materiál 187/500 antra</t>
  </si>
  <si>
    <t>9257192</t>
  </si>
  <si>
    <t>489914</t>
  </si>
  <si>
    <t>VHT 9257192 AvanTech You sada držáků pro individuální materiál 187/600 antracit</t>
  </si>
  <si>
    <t>418825</t>
  </si>
  <si>
    <t>VHT 9257257 AvanTech You čelní příchyt 187 vrut</t>
  </si>
  <si>
    <t>418826</t>
  </si>
  <si>
    <t>VHT 9257258 AvanTech You čelní příchyt 187 hmoždinka</t>
  </si>
  <si>
    <t>503825</t>
  </si>
  <si>
    <t>VHT 9257265 Actro YOU spojka L+P</t>
  </si>
  <si>
    <t>419175</t>
  </si>
  <si>
    <t>VHT 9257269 AvanTech You čelo vnitřní zásuvky 101/2000 stříbrné</t>
  </si>
  <si>
    <t>419178</t>
  </si>
  <si>
    <t>VHT 9257273 AvanTech You čelo vnitřní zásuvky 101/2000 bílé</t>
  </si>
  <si>
    <t>419181</t>
  </si>
  <si>
    <t>VHT 9257277 AvanTech You čelo vnitřní zásuvky 101/2000 antracit</t>
  </si>
  <si>
    <t>419182</t>
  </si>
  <si>
    <t>VHT 9257278 AvanTech You čelo vnitřní zásuvky 139/2000 antracit</t>
  </si>
  <si>
    <t>419183</t>
  </si>
  <si>
    <t>VHT 9257279 AvanTech You čelo vnitřní zásuvky 187/2000 antracit</t>
  </si>
  <si>
    <t>419168</t>
  </si>
  <si>
    <t>VHT 9257307 AvanTech You hliníkový profil pro záda 187/2000 bílý</t>
  </si>
  <si>
    <t>419169</t>
  </si>
  <si>
    <t>VHT 9257308 AvanTech You hliníkový profil pro záda 251/2000 bílý</t>
  </si>
  <si>
    <t>421296</t>
  </si>
  <si>
    <t>VHT 9257321 Practica 275 montážní přípravek pro AvanTech YOU</t>
  </si>
  <si>
    <t>419184</t>
  </si>
  <si>
    <t>VHT 9257611 AvanTech You čelní příchyt vnitřní zásuvky 101 stříbrný</t>
  </si>
  <si>
    <t>419187</t>
  </si>
  <si>
    <t>VHT 9257615 AvanTech You čelní příchyt vnitřní zásuvky 101 bílý</t>
  </si>
  <si>
    <t>419190</t>
  </si>
  <si>
    <t>VHT 9257619 AvanTech You čelní příchyt vnitřní zásuvky 101 antracit</t>
  </si>
  <si>
    <t>419192</t>
  </si>
  <si>
    <t>VHT 9257621 AvanTech You čelní příchyt vnitřní zásuvky 187 antracit</t>
  </si>
  <si>
    <t>419195</t>
  </si>
  <si>
    <t>VHT 9257627 AvanTech You čelní příchyt vnitřní zásuvky 187 antracit</t>
  </si>
  <si>
    <t>419196</t>
  </si>
  <si>
    <t>VHT 9257641 AvanTech You čelní stabilizátor pro vnitřní zásuvky</t>
  </si>
  <si>
    <t>419534</t>
  </si>
  <si>
    <t>VHT 9257652 AvanTech You čelní příchyt vnitřní zásuvky se sklem 187 bílý</t>
  </si>
  <si>
    <t>419535</t>
  </si>
  <si>
    <t>VHT 9257653 AvanTech You čelní příchyt vnitřní zásuvky se sklem 187 antracit</t>
  </si>
  <si>
    <t>419537</t>
  </si>
  <si>
    <t>VHT 9257658 AvanTech You čelní příchyt vnitřní zásuvky se sklem 187 bílý</t>
  </si>
  <si>
    <t>419538</t>
  </si>
  <si>
    <t>VHT 9257659 AvanTech You čelní příchyt vnitřní zásuvky se sklem 187 antracit</t>
  </si>
  <si>
    <t>419531</t>
  </si>
  <si>
    <t>VHT 9257664 AvanTech You čelo vnitřní zásuvky se sklem 187/2000 bílé</t>
  </si>
  <si>
    <t>419532</t>
  </si>
  <si>
    <t>VHT 9257665 AvanTech You čelo vnitřní zásuvky se sklem 187/2000 antracit</t>
  </si>
  <si>
    <t>419648</t>
  </si>
  <si>
    <t>VHT 9257666 AvanTech You držák zad 101 stříbrný L</t>
  </si>
  <si>
    <t>419649</t>
  </si>
  <si>
    <t>VHT 9257667 AvanTech You držák zad 101 stříbrný P</t>
  </si>
  <si>
    <t>419652</t>
  </si>
  <si>
    <t>VHT 9257670 AvanTech You držák zad 187 stříbrný L</t>
  </si>
  <si>
    <t>419653</t>
  </si>
  <si>
    <t>VHT 9257671 AvanTech You držák zad 187 stříbrný P</t>
  </si>
  <si>
    <t>419654</t>
  </si>
  <si>
    <t>VHT 9257672 AvanTech You držák zad 251 stříbrný L</t>
  </si>
  <si>
    <t>419655</t>
  </si>
  <si>
    <t>VHT 9257673 AvanTech You držák zad 251 stříbrný P</t>
  </si>
  <si>
    <t>419660</t>
  </si>
  <si>
    <t>VHT 9257682 AvanTech You držák zad 187 bílý L</t>
  </si>
  <si>
    <t>419661</t>
  </si>
  <si>
    <t>VHT 9257683 AvanTech You držák zad 187 bílý P</t>
  </si>
  <si>
    <t>419662</t>
  </si>
  <si>
    <t>VHT 9257684 AvanTech You držák zad 251 bílý L</t>
  </si>
  <si>
    <t>419663</t>
  </si>
  <si>
    <t>VHT 9257685 AvanTech You držák zad 251 bílý P</t>
  </si>
  <si>
    <t>419664</t>
  </si>
  <si>
    <t>VHT 9257690 AvanTech You držák zad 101 antracit L</t>
  </si>
  <si>
    <t>419665</t>
  </si>
  <si>
    <t>VHT 9257691 AvanTech You držák zad 101 antracit P</t>
  </si>
  <si>
    <t>419668</t>
  </si>
  <si>
    <t>VHT 9257694 AvanTech You držák zad 187 antracit L</t>
  </si>
  <si>
    <t>419669</t>
  </si>
  <si>
    <t>VHT 9257695 AvanTech You držák zad 187 antracit P</t>
  </si>
  <si>
    <t>418824</t>
  </si>
  <si>
    <t>VHT 9257702 AvanTech You stabilizátor zad</t>
  </si>
  <si>
    <t>419547</t>
  </si>
  <si>
    <t>VHT 9257703 AvanTech You krytka s logem VHT stříbrná</t>
  </si>
  <si>
    <t>419548</t>
  </si>
  <si>
    <t>VHT 9257704 AvanTech You krytka s logem VHT bílá</t>
  </si>
  <si>
    <t>494582</t>
  </si>
  <si>
    <t>VHT 9257725 Aretace pro výsuvnou polici, bílá</t>
  </si>
  <si>
    <t>546244</t>
  </si>
  <si>
    <t>VHT 9257733 Actro 5D držáky výsuvné police</t>
  </si>
  <si>
    <t>555995</t>
  </si>
  <si>
    <t>VHT 9257734 AvanTech You unašeč pro vnitřní čelo stříbrná</t>
  </si>
  <si>
    <t>529741</t>
  </si>
  <si>
    <t>VHT 9257735 AvanTech You unašeč pro vnitřní čelo bílá</t>
  </si>
  <si>
    <t>419594</t>
  </si>
  <si>
    <t>VHT 9257736 AvanTech You unašeč pro vnitřní čelo antracit</t>
  </si>
  <si>
    <t>419615</t>
  </si>
  <si>
    <t>VHT 9257884 AvanTech You čelní příchyt 139 vrut</t>
  </si>
  <si>
    <t>419551</t>
  </si>
  <si>
    <t>VHT 9257890 Actro You a 5D mechanismus P2Os 10</t>
  </si>
  <si>
    <t>419552</t>
  </si>
  <si>
    <t>VHT 9257891 Actro You a 5D mechanismus P2Os 8-20</t>
  </si>
  <si>
    <t>419553</t>
  </si>
  <si>
    <t>VHT 9257892 Actro You a 5D mechanismus P2Os 10-40</t>
  </si>
  <si>
    <t>419554</t>
  </si>
  <si>
    <t>VHT 9257893 Actro You a 5D mechanismus P2Os 20-70</t>
  </si>
  <si>
    <t>419555</t>
  </si>
  <si>
    <t>VHT 9257894 Quadro You mechanismus P2Os 10</t>
  </si>
  <si>
    <t>419556</t>
  </si>
  <si>
    <t>VHT 9257895 Quadro You mechanismus P2Os 8-20</t>
  </si>
  <si>
    <t>419557</t>
  </si>
  <si>
    <t>VHT 9257896 Quadro You mechanismus P2Os 10-30</t>
  </si>
  <si>
    <t>9258029</t>
  </si>
  <si>
    <t>503105</t>
  </si>
  <si>
    <t>VHT 9258029 LegaMove modul pro bezdrátové ovládání</t>
  </si>
  <si>
    <t>9262087</t>
  </si>
  <si>
    <t>394437</t>
  </si>
  <si>
    <t>VHT 9262087 LegaDrive ECO zvedací sloup 90x90 mm, stříbrný</t>
  </si>
  <si>
    <t>9262105</t>
  </si>
  <si>
    <t>407352</t>
  </si>
  <si>
    <t>VHT 9262105 Elektronický modul LegaDrive ECO</t>
  </si>
  <si>
    <t>386108</t>
  </si>
  <si>
    <t>VHT 9264191 Mechanický přidržovač pro Push to move, šedý</t>
  </si>
  <si>
    <t>472026</t>
  </si>
  <si>
    <t>VHT 9265958 WingLine L mechanismus Push2M pro těžké dveře šedý pravý</t>
  </si>
  <si>
    <t>470725</t>
  </si>
  <si>
    <t>VHT 9265959 WingLine L mechanismus Push2M pro těžké dveře šedý levý</t>
  </si>
  <si>
    <t>9266095</t>
  </si>
  <si>
    <t>500925</t>
  </si>
  <si>
    <t>VHT 9266095 ÚCHYTKA RIAZA L295 černá matná</t>
  </si>
  <si>
    <t>494633</t>
  </si>
  <si>
    <t>VHT 9266111 WingLine L/S mechanismus Push2M pro lehké dveře šedý pravý</t>
  </si>
  <si>
    <t>9266112</t>
  </si>
  <si>
    <t>510842</t>
  </si>
  <si>
    <t>VHT 9266112 WingLine L/S mechanismus Push2M pro středně těžké dveře šedý P</t>
  </si>
  <si>
    <t>494630</t>
  </si>
  <si>
    <t>VHT 9266113 WingLine L/S mechanismus Push2M pro lehké dveře šedý levý</t>
  </si>
  <si>
    <t>470726</t>
  </si>
  <si>
    <t>VHT 9266220 WingLine L magnetická aretace Standard pro Push to move, šedá</t>
  </si>
  <si>
    <t>419550</t>
  </si>
  <si>
    <t>VHT 9268149 hmoždinka pro tenké materiály</t>
  </si>
  <si>
    <t>418008</t>
  </si>
  <si>
    <t>VHT 9268681 plnovýsuv Actro YOU L (40kg), 600mm, L+P</t>
  </si>
  <si>
    <t>9269755</t>
  </si>
  <si>
    <t>498064</t>
  </si>
  <si>
    <t>VHT 9269755 Quadro V6 400mm/30kg SiSy EB23 L+P</t>
  </si>
  <si>
    <t>9269757</t>
  </si>
  <si>
    <t>497613</t>
  </si>
  <si>
    <t>VHT 9269757 Quadro V6 500mm/30kg EB23 SiSy plnovýsuv</t>
  </si>
  <si>
    <t>473328</t>
  </si>
  <si>
    <t>VHT 9270185 AvanTech You klip pro logo, stříbrná</t>
  </si>
  <si>
    <t>473329</t>
  </si>
  <si>
    <t>VHT 9270186 AvanTech You klip pro logo, bílá</t>
  </si>
  <si>
    <t>473330</t>
  </si>
  <si>
    <t>VHT 9270187 AvanTech You klip pro logo, antracit</t>
  </si>
  <si>
    <t>472612</t>
  </si>
  <si>
    <t>VHT 9275786 TopLine XL new STB 19 (17 mm), 18-30 mm/60 kg 3 křídla</t>
  </si>
  <si>
    <t>472613</t>
  </si>
  <si>
    <t>VHT 9276643 TopLine XL new sada tlumení 3 křídla 30-80 kg oboustranné</t>
  </si>
  <si>
    <t>466506</t>
  </si>
  <si>
    <t>VHT 9277164 TopLine L new sada vodících profilů 2300 mm</t>
  </si>
  <si>
    <t>9277596</t>
  </si>
  <si>
    <t>496110</t>
  </si>
  <si>
    <t>VHT 9277596 WingLine L mechanismus Push2M pro těžké dveře bílý levý</t>
  </si>
  <si>
    <t>9277597</t>
  </si>
  <si>
    <t>496135</t>
  </si>
  <si>
    <t>VHT 9277597 WingLine L mechanismus Push2M pro těžké dveře bílý pravý</t>
  </si>
  <si>
    <t>9277598</t>
  </si>
  <si>
    <t>461050</t>
  </si>
  <si>
    <t>VHT 9277598 WingLine L mechanismus Push2M pro těžké dveře černý levý</t>
  </si>
  <si>
    <t>9277694</t>
  </si>
  <si>
    <t>529889</t>
  </si>
  <si>
    <t>VHT 9277694 WingLine L/S mechanismus Pull2MS pro středně těžké dveře bílý L</t>
  </si>
  <si>
    <t>9277695</t>
  </si>
  <si>
    <t>529890</t>
  </si>
  <si>
    <t>VHT 9277695 WingLine L/S mechanismus Pull2MS pro středně těžké dveře bílý P</t>
  </si>
  <si>
    <t>9277697</t>
  </si>
  <si>
    <t>520567</t>
  </si>
  <si>
    <t>VHT 9277697 WingLine L/S mechanismus Pull2MS pro středně těžké dveře černý P</t>
  </si>
  <si>
    <t>9277700</t>
  </si>
  <si>
    <t>515105</t>
  </si>
  <si>
    <t>VHT 9277700 WingLine L mechanismus Pull2MS pro těžké dveře černý levý</t>
  </si>
  <si>
    <t>9277701</t>
  </si>
  <si>
    <t>515104</t>
  </si>
  <si>
    <t>VHT 9277701 WingLine L mechanismus Pull2MS pro těžké dveře černý pravý</t>
  </si>
  <si>
    <t>9277991</t>
  </si>
  <si>
    <t>466510</t>
  </si>
  <si>
    <t>VHT 9277991 WingLine L do 12 kg, Pull to move silent šedý levý</t>
  </si>
  <si>
    <t>9278004</t>
  </si>
  <si>
    <t>508489</t>
  </si>
  <si>
    <t>VHT 9278004 WingLine L do 12 kg, Pull to move silent šedý pravý</t>
  </si>
  <si>
    <t>419587</t>
  </si>
  <si>
    <t>VHT 9278249 OrgaStore 830 dělící prvek antracit</t>
  </si>
  <si>
    <t>419559</t>
  </si>
  <si>
    <t>VHT 9278292 OrgaTray 270 rozdělovník 270/500 buk/antracit</t>
  </si>
  <si>
    <t>419561</t>
  </si>
  <si>
    <t>VHT 9278294 OrgaTray 270 rozdělovník 150/500 buk/antracit</t>
  </si>
  <si>
    <t>419591</t>
  </si>
  <si>
    <t>VHT 9278301 OrgaTray 270 rámeček 300/43/118 buk/antracit</t>
  </si>
  <si>
    <t>419588</t>
  </si>
  <si>
    <t>VHT 9278309 OrgaStore 270 ukládací box buk/antracit</t>
  </si>
  <si>
    <t>556001</t>
  </si>
  <si>
    <t>VHT 9278309 Ukládací box OrgaStore 270, buk antracit</t>
  </si>
  <si>
    <t>419589</t>
  </si>
  <si>
    <t>VHT 9278310 OrgaStore 270 ukládací box buk/antracit</t>
  </si>
  <si>
    <t>419564</t>
  </si>
  <si>
    <t>VHT 9278312 OrgaTray 270 spojovací element hliník</t>
  </si>
  <si>
    <t>419578</t>
  </si>
  <si>
    <t>VHT 9278319 OrgaTray 630 rozdělovník 271/500 antracit</t>
  </si>
  <si>
    <t>529740</t>
  </si>
  <si>
    <t>VHT 9278452 P2O dvojitý synchronizační adaptér Actro YOU/Quadro YOU/Actro 5D</t>
  </si>
  <si>
    <t>9278485</t>
  </si>
  <si>
    <t>473197</t>
  </si>
  <si>
    <t>VHT 9278485 WingLine L do 25 kg, Pull to move silent šedý levý</t>
  </si>
  <si>
    <t>470720</t>
  </si>
  <si>
    <t>VHT 9278486 WingLine L do 25 kg, Pull to move silent šedý pravý</t>
  </si>
  <si>
    <t>9278489</t>
  </si>
  <si>
    <t>515106</t>
  </si>
  <si>
    <t>VHT 9278489 WingLine L do 25 kg, Pull to move silent černý levý</t>
  </si>
  <si>
    <t>9278490</t>
  </si>
  <si>
    <t>461051</t>
  </si>
  <si>
    <t>VHT 9278490 WingLine L do 25 kg, Pull to move silent černý pravý</t>
  </si>
  <si>
    <t>470721</t>
  </si>
  <si>
    <t>VHT 9278571 WingLine L do 25 kg, Push to move šedý levý</t>
  </si>
  <si>
    <t>472027</t>
  </si>
  <si>
    <t>VHT 9278580 WingLine L do 25 kg, Push to move šedý pravý</t>
  </si>
  <si>
    <t>9278601</t>
  </si>
  <si>
    <t>495630</t>
  </si>
  <si>
    <t>VHT 9278601 WingLine L do 25 kg, Push to move bílý levý</t>
  </si>
  <si>
    <t>9278603</t>
  </si>
  <si>
    <t>495961</t>
  </si>
  <si>
    <t>VHT 9278603 WingLine L do 25 kg, Push to move bílý pravý</t>
  </si>
  <si>
    <t>9278604</t>
  </si>
  <si>
    <t>461048</t>
  </si>
  <si>
    <t>VHT 9278604 WingLine L do 25 kg, Push to move černý levý</t>
  </si>
  <si>
    <t>9278612</t>
  </si>
  <si>
    <t>529886</t>
  </si>
  <si>
    <t>VHT 9278612 WingLine L do 12 kg, Pull to move silent bílý levý bez dolního</t>
  </si>
  <si>
    <t>9278613</t>
  </si>
  <si>
    <t>529888</t>
  </si>
  <si>
    <t>VHT 9278613 WingLine L do 12 kg, Pull to move silent bílý pravý bez dolního</t>
  </si>
  <si>
    <t>9278641</t>
  </si>
  <si>
    <t>494595</t>
  </si>
  <si>
    <t>VHT 9278641 WingLine L do 12 kg, Push to move šedý levý bez dolního</t>
  </si>
  <si>
    <t>469304</t>
  </si>
  <si>
    <t>VHT 9278657 TopLine XL new sada vodících profilů 4000 mm</t>
  </si>
  <si>
    <t>466511</t>
  </si>
  <si>
    <t>VHT 9278694 WingLine L skládací závěsy 2 ks k našroubování</t>
  </si>
  <si>
    <t>461061</t>
  </si>
  <si>
    <t>VHT 9278742 WingLine L skládací závěsy 3 ks k našroubování</t>
  </si>
  <si>
    <t>470722</t>
  </si>
  <si>
    <t>VHT 9278787 WingLine L skládací závěsy 3 ks k zalisování</t>
  </si>
  <si>
    <t>495628</t>
  </si>
  <si>
    <t>VHT 9278788 WingLine L skládací závěsy 2 ks k zalisování</t>
  </si>
  <si>
    <t>460799</t>
  </si>
  <si>
    <t>VHT 9278801 TopLine XL new krycí profil 2000 mm</t>
  </si>
  <si>
    <t>524062</t>
  </si>
  <si>
    <t>VHT 9279123 WingLine L horní vodící profil 1200 mm eloxovaný hliník</t>
  </si>
  <si>
    <t>529891</t>
  </si>
  <si>
    <t>VHT 9279166 WingLine L horní vodící profil 1200 mm bílý</t>
  </si>
  <si>
    <t>495627</t>
  </si>
  <si>
    <t>VHT 9279169 WingLine L vodící profily 2400 mm bílé</t>
  </si>
  <si>
    <t>9279420</t>
  </si>
  <si>
    <t>473332</t>
  </si>
  <si>
    <t>VHT 9279420 Cargo Synchro KB450/NL400/2x18L</t>
  </si>
  <si>
    <t>473331</t>
  </si>
  <si>
    <t>VHT 9279421 Cargo Synchro KB450/NL400/1x55L</t>
  </si>
  <si>
    <t>477445</t>
  </si>
  <si>
    <t>VHT 9279423 Cargo Synchro KB600/NL400/1x28L+2x13L</t>
  </si>
  <si>
    <t>477444</t>
  </si>
  <si>
    <t>VHT 9281999 Actro plnovýsuv s přesahem 400mm/40kg SiSy EB12 L+P CargoSynchro</t>
  </si>
  <si>
    <t>556835</t>
  </si>
  <si>
    <t>VHT 9282900 WingLine L/S magnetická aretace Standard,Push2M,šedá,bez úchytky</t>
  </si>
  <si>
    <t>533942</t>
  </si>
  <si>
    <t>VHT 9282901 WingLine L new magnetická aretace Design pro Push to move, bílá</t>
  </si>
  <si>
    <t>534618</t>
  </si>
  <si>
    <t>VHT 9282902 WingLine S magnetická aretace Design pro Push to move, černá</t>
  </si>
  <si>
    <t>549264</t>
  </si>
  <si>
    <t>VHT 9283178 Avantech YOU skleněná výplň 10mm pro Inlay 187/350mm</t>
  </si>
  <si>
    <t>561343</t>
  </si>
  <si>
    <t>VHT 9283179 Avantech YOU skleněná výplň 10mm pro Inlay 187/400mm</t>
  </si>
  <si>
    <t>494295</t>
  </si>
  <si>
    <t>VHT 9283180 Avantech YOU skleněná výplň 10mm pro Inlay 187/450mm</t>
  </si>
  <si>
    <t>421715</t>
  </si>
  <si>
    <t>VHT 9283181 Avantech YOU skleněná výplň 10mm pro Inlay 187/500mm</t>
  </si>
  <si>
    <t>489915</t>
  </si>
  <si>
    <t>VHT 9283183 Avantech YOU skleněná výplň 10mm pro Inlay 187/600mm</t>
  </si>
  <si>
    <t>505198</t>
  </si>
  <si>
    <t>VHT 9283184 Avantech YOU skleněná výplň 10mm pro Inlay 187/650mm</t>
  </si>
  <si>
    <t>522607</t>
  </si>
  <si>
    <t>VHT 9283217 AvanTech YOU DesignCape 101/1970 imitace dubu</t>
  </si>
  <si>
    <t>494297</t>
  </si>
  <si>
    <t>VHT 9283221 AvanTech YOU DesignCape 187/1970 imitace dubu</t>
  </si>
  <si>
    <t>500685</t>
  </si>
  <si>
    <t>VHT 9283235 AvanTech You čelní sklo vnitřní zásuvky čiré vysoké KB600/KD18</t>
  </si>
  <si>
    <t>497968</t>
  </si>
  <si>
    <t>VHT 9283413 OrgaTray 270 držák alobalu/folie NL500 buk lakovaný antracit</t>
  </si>
  <si>
    <t>539493</t>
  </si>
  <si>
    <t>VHT 9283414 OrgaTray 270 držák na kořenky 150/500 buk antracit</t>
  </si>
  <si>
    <t>477607</t>
  </si>
  <si>
    <t>VHT 9283426 OrgaTray 270 držák nožů NL500 buk lakovaný antracit</t>
  </si>
  <si>
    <t>494772</t>
  </si>
  <si>
    <t>VHT 9302719 ORGATRAY 740 Š.600 / L.500 STŘÍBRNÁ</t>
  </si>
  <si>
    <t>487488</t>
  </si>
  <si>
    <t>VHT 9302771 ORGATRAY 740 Š.450 / L.500 ANTRACIT</t>
  </si>
  <si>
    <t>491284</t>
  </si>
  <si>
    <t>VHT 9305742 osvětlovací krycí profil pro AvanTech YOU antracitový, max 650mm</t>
  </si>
  <si>
    <t>498563</t>
  </si>
  <si>
    <t>VHT 9305743 osvětlovací krycí profil pro AvanTech YOU nerezový, max 450mm</t>
  </si>
  <si>
    <t>491185</t>
  </si>
  <si>
    <t>VHT 9305745 osvětlovací krycí profil pro AvanTech YOU nerezový, max 500mm</t>
  </si>
  <si>
    <t>481319</t>
  </si>
  <si>
    <t>VHT 9305747 prosvětlovací sada pro Inlay bočnice AvanTech YOU 187mm</t>
  </si>
  <si>
    <t>498060</t>
  </si>
  <si>
    <t>VHT 9307108 Atira flexi sada úplná 350/70 stříbrná</t>
  </si>
  <si>
    <t>498061</t>
  </si>
  <si>
    <t>VHT 9307123 Atira flexi sada úplná 350/70 antracit</t>
  </si>
  <si>
    <t>494581</t>
  </si>
  <si>
    <t>VHT 9307127 Atira flexi sada úplná 470/70 antracit</t>
  </si>
  <si>
    <t>498062</t>
  </si>
  <si>
    <t>VHT 9307218 Atira flexi sada úplná 350/144 bílá, reling, čelní příchyt</t>
  </si>
  <si>
    <t>495584</t>
  </si>
  <si>
    <t>VHT 9307219 Atira flexi sada úplná 420/144 bílá</t>
  </si>
  <si>
    <t>9307659</t>
  </si>
  <si>
    <t>484847</t>
  </si>
  <si>
    <t>VHT 9307659 Quadro V6 Silent System, 470 mm, EB 10,5 mm, levá + pravá</t>
  </si>
  <si>
    <t>497576</t>
  </si>
  <si>
    <t>VHT 9307660 Quadro V6 420mm/30kg EB10,5 SiSy L+P</t>
  </si>
  <si>
    <t>498063</t>
  </si>
  <si>
    <t>VHT 9307661/45305 Quadro V6 350mm/30kg EB10,5 SiSy</t>
  </si>
  <si>
    <t>556002</t>
  </si>
  <si>
    <t>VHT 9316556 Křížová příčka OrgaStore 270 Box, buk antracit</t>
  </si>
  <si>
    <t>546246</t>
  </si>
  <si>
    <t>VHT 9318188 Actro YOU celovýsuv 350 40 kg SiSy EB21</t>
  </si>
  <si>
    <t>522605</t>
  </si>
  <si>
    <t>VHT 9318190 Actro YOU celovýsuv 400mm/40kg SiSy L+P</t>
  </si>
  <si>
    <t>469300</t>
  </si>
  <si>
    <t>VHT 9318191 Actro YOU celovýsuv 450 40kg SiSy L+P</t>
  </si>
  <si>
    <t>9318192</t>
  </si>
  <si>
    <t>504786</t>
  </si>
  <si>
    <t>VHT 9318192 Actro YOU celovýsuv 500 40kg SiSy L+P</t>
  </si>
  <si>
    <t>491192</t>
  </si>
  <si>
    <t>VHT 9318194 Actro YOU celovýsuv 550mm/40kg SiSy L+P</t>
  </si>
  <si>
    <t>9318215</t>
  </si>
  <si>
    <t>503827</t>
  </si>
  <si>
    <t>VHT 9318215/9257034 Actro YOU celovýsuv 450mm/70kg SiSy L+P</t>
  </si>
  <si>
    <t>505837</t>
  </si>
  <si>
    <t>VHT 9318216/9257036 Actro YOU celovýsuv 500mm/70kg SiSy L+P</t>
  </si>
  <si>
    <t>522606</t>
  </si>
  <si>
    <t>VHT 9318218 Actro YOU celovýsuv 600mm/70kg SiSy L+P</t>
  </si>
  <si>
    <t>486106</t>
  </si>
  <si>
    <t>VHT 9318219/9257041 Actro YOU celovýsuv 650mm/70kg SiSy L+P</t>
  </si>
  <si>
    <t>546245</t>
  </si>
  <si>
    <t>VHT 9318288 Actro 5D celovýsuv 500 40 kg SiSy L+P</t>
  </si>
  <si>
    <t>541370</t>
  </si>
  <si>
    <t>VHT 9321561 stabilizátor čela pro ArciTech/AvanTech</t>
  </si>
  <si>
    <t>9264627</t>
  </si>
  <si>
    <t>482334</t>
  </si>
  <si>
    <t>VHT 9325328/9264627 Comfort Spin 360° otočná police 8kg</t>
  </si>
  <si>
    <t>503230</t>
  </si>
  <si>
    <t>VHT 9326873 osvětlovací krycí profil pro AvanTech YOU 270mm vzhled nerez</t>
  </si>
  <si>
    <t>503231</t>
  </si>
  <si>
    <t>VHT 9326874 osvětlovací krycí profil pro AvanTech YOU 300mm vzhled nerez</t>
  </si>
  <si>
    <t>503232</t>
  </si>
  <si>
    <t>VHT 9326875 osvětlovací krycí profil pro AvanTech YOU 350mm vzhled nerez</t>
  </si>
  <si>
    <t>503233</t>
  </si>
  <si>
    <t>VHT 9326876 osvětlovací krycí profil pro AvanTech YOU 400mm vzhled nerez</t>
  </si>
  <si>
    <t>503234</t>
  </si>
  <si>
    <t>VHT 9326877 osvětlovací krycí profil pro AvanTech YOU 450mm vzhled nerez</t>
  </si>
  <si>
    <t>503235</t>
  </si>
  <si>
    <t>VHT 9326878 osvětlovací krycí profil pro AvanTech YOU 500mm vzhled nerez</t>
  </si>
  <si>
    <t>503236</t>
  </si>
  <si>
    <t>VHT 9326879 osvětlovací krycí profil pro AvanTech YOU 550mm vzhled nerez</t>
  </si>
  <si>
    <t>503237</t>
  </si>
  <si>
    <t>VHT 9326880 osvětlovací krycí profil pro AvanTech YOU 600mm vzhled nerez</t>
  </si>
  <si>
    <t>503238</t>
  </si>
  <si>
    <t>VHT 9326921 osvětlovací krycí profil pro AvanTech YOU 650mm vzhled nerez</t>
  </si>
  <si>
    <t>503221</t>
  </si>
  <si>
    <t>VHT 9326922 osvětlovací krycí profil pro AvanTech YOU 270mm antracit</t>
  </si>
  <si>
    <t>503222</t>
  </si>
  <si>
    <t>VHT 9326923 osvětlovací krycí profil pro AvanTech YOU 300mm antracit</t>
  </si>
  <si>
    <t>503223</t>
  </si>
  <si>
    <t>VHT 9326924 osvětlovací krycí profil pro AvanTech YOU 350mm antracit</t>
  </si>
  <si>
    <t>503224</t>
  </si>
  <si>
    <t>VHT 9326925 osvětlovací krycí profil pro AvanTech YOU 400mm antracit</t>
  </si>
  <si>
    <t>503225</t>
  </si>
  <si>
    <t>VHT 9326926 osvětlovací krycí profil pro AvanTech YOU 450mm antracit</t>
  </si>
  <si>
    <t>503226</t>
  </si>
  <si>
    <t>VHT 9326927 osvětlovací krycí profil pro AvanTech YOU 500mm antracit</t>
  </si>
  <si>
    <t>503227</t>
  </si>
  <si>
    <t>VHT 9326928 osvětlovací krycí profil pro AvanTech YOU 550mm antracit</t>
  </si>
  <si>
    <t>503228</t>
  </si>
  <si>
    <t>VHT 9326929 osvětlovací krycí profil pro AvanTech YOU 600mm antracit</t>
  </si>
  <si>
    <t>503229</t>
  </si>
  <si>
    <t>VHT 9326930 osvětlovací krycí profil pro AvanTech YOU 650mm antracit</t>
  </si>
  <si>
    <t>539479</t>
  </si>
  <si>
    <t>VHT 9327208 AvanTech You čelo vnitřní zásuvky H101/2000 antracit pro LED</t>
  </si>
  <si>
    <t>539480</t>
  </si>
  <si>
    <t>VHT 9327217 AvanTech You spojky čela vnitř. zás. boky+čelo H101 antracit LED</t>
  </si>
  <si>
    <t>534615</t>
  </si>
  <si>
    <t>VHT 9338706 WingLine S new do 5 kg, vodící díl bez pružiny, antracit, pravá</t>
  </si>
  <si>
    <t>539608</t>
  </si>
  <si>
    <t>VHT 9339348 WingLine L new do 25 kg, sada bez pružiny, šedá, pravá</t>
  </si>
  <si>
    <t>533913</t>
  </si>
  <si>
    <t>VHT 9339349 WingLine L new do 25 kg, sada bez pružiny, bílá, pravá</t>
  </si>
  <si>
    <t>539626</t>
  </si>
  <si>
    <t>VHT 9339357 WingLine L new do 25 kg, sada bez pružiny, šedá, levá</t>
  </si>
  <si>
    <t>533911</t>
  </si>
  <si>
    <t>VHT 9339363 WingLine L new do 25 kg, sada bez pružiny, bílá, levá</t>
  </si>
  <si>
    <t>539629</t>
  </si>
  <si>
    <t>VHT 9339392 WingLine L new do 12 kg,bez pružiny,šedá,pravá,bez vedení</t>
  </si>
  <si>
    <t>539630</t>
  </si>
  <si>
    <t>VHT 9339481 WingLine L new do 12 kg,bez pružiny,šedá,levá,bez vedení</t>
  </si>
  <si>
    <t>539631</t>
  </si>
  <si>
    <t>VHT 9339503 WingLine L new vodící profily 2400 mm elox stříbrný</t>
  </si>
  <si>
    <t>539632</t>
  </si>
  <si>
    <t>VHT 9339507 WingLine L new horní vodící profil 1200 mm elox stříbrný</t>
  </si>
  <si>
    <t>539633</t>
  </si>
  <si>
    <t>VHT 9339510 WingLine L new horní vodící profil 2400 mm elox stříbrný</t>
  </si>
  <si>
    <t>534616</t>
  </si>
  <si>
    <t>VHT 9339513 WingLine S new horní vodící profil 1200 mm antracit</t>
  </si>
  <si>
    <t>534617</t>
  </si>
  <si>
    <t>VHT 9339518 WingLine L/S new sada Push/Pull to move, lehké dveře, antracit</t>
  </si>
  <si>
    <t>556834</t>
  </si>
  <si>
    <t>VHT 9339520 WingLine L new sada Push/Pull to move, těžké dveře, šedá</t>
  </si>
  <si>
    <t>533920</t>
  </si>
  <si>
    <t>VHT 9339521 WingLine L new do 25 kg, Push/Pull to move bílý</t>
  </si>
  <si>
    <t>539634</t>
  </si>
  <si>
    <t>VHT 9339523 WingLine L/S new sada Pull to move Silent, lehké dveře, šedá</t>
  </si>
  <si>
    <t>9347595</t>
  </si>
  <si>
    <t>535791</t>
  </si>
  <si>
    <t>VHT 9347595 adaptér pro úchytku na skládané dveře černá matná</t>
  </si>
  <si>
    <t>549269</t>
  </si>
  <si>
    <t>VHT 9353297 AvanTech YOU sada bočnic inlay, 187/350mm, antracit (ver.2025)</t>
  </si>
  <si>
    <t>561342</t>
  </si>
  <si>
    <t>VHT 9353298 AvanTech YOU sada bočnic inlay, 187/400mm, antracit (ver.2025)</t>
  </si>
  <si>
    <t>539485</t>
  </si>
  <si>
    <t>VHT 9353300 AvanTech YOU sada bočnic inlay H187/500 antracit (ver.2025)</t>
  </si>
  <si>
    <t>537669</t>
  </si>
  <si>
    <t>VHT 9353341 AvanTech YOU sada bočnic H101/550 stříbrná (ver.2025)</t>
  </si>
  <si>
    <t>537686</t>
  </si>
  <si>
    <t>VHT 9353349 AvanTech YOU sada bočnic H139/500 stříbrná (ver.2025)</t>
  </si>
  <si>
    <t>537685</t>
  </si>
  <si>
    <t>VHT 9353350 AvanTech YOU sada bočnic H139/550 stříbrná (ver.2025)</t>
  </si>
  <si>
    <t>544588</t>
  </si>
  <si>
    <t>VHT 9353358 AvanTech YOU sada bočnic H187/500 stříbrná (ver.2025)</t>
  </si>
  <si>
    <t>537687</t>
  </si>
  <si>
    <t>VHT 9353374 AvanTech YOU sada bočnic H251/450 stříbrná (ver.2025)</t>
  </si>
  <si>
    <t>546249</t>
  </si>
  <si>
    <t>VHT 9353385 AvanTech YOU sada bočnic, 101/350mm, bílá (ver.2025)</t>
  </si>
  <si>
    <t>547513</t>
  </si>
  <si>
    <t>VHT 9353386 AvanTech YOU sada bočnic, 101/400mm, bílá (ver.2025)</t>
  </si>
  <si>
    <t>531158</t>
  </si>
  <si>
    <t>VHT 9353388 AvanTech YOU sada bočnic H101/500 bílá (ver.2025)</t>
  </si>
  <si>
    <t>546248</t>
  </si>
  <si>
    <t>VHT 9353397 AvanTech YOU sada bočnic, 139/500mm, bílá (ver.2025)</t>
  </si>
  <si>
    <t>539657</t>
  </si>
  <si>
    <t>VHT 9353405 AvanTech YOU sada bočnic H187/450 bílá (ver.2025)</t>
  </si>
  <si>
    <t>547512</t>
  </si>
  <si>
    <t>VHT 9353406 AvanTech YOU sada bočnic, 187/500mm, bílá (ver.2025)</t>
  </si>
  <si>
    <t>546247</t>
  </si>
  <si>
    <t>VHT 9353413 AvanTech YOU sada bočnic, 251/500mm, bílá (ver.2025)</t>
  </si>
  <si>
    <t>555675</t>
  </si>
  <si>
    <t>VHT 9353414 AvanTech YOU sada bočnic, 251/550mm, bílá (ver.2025)</t>
  </si>
  <si>
    <t>549270</t>
  </si>
  <si>
    <t>VHT 9353423 AvanTech YOU sada bočnic, 101/350mm, antracit (ver.2025)</t>
  </si>
  <si>
    <t>537285</t>
  </si>
  <si>
    <t>VHT 9353424 AvanTech YOU sada bočnic H101/400 antracit (ver.2025)</t>
  </si>
  <si>
    <t>539486</t>
  </si>
  <si>
    <t>VHT 9353426 AvanTech YOU sada bočnic H101/500 antracit (ver.2025)</t>
  </si>
  <si>
    <t>556075</t>
  </si>
  <si>
    <t>VHT 9353427 AvanTech YOU sada bočnic, 101/550mm, antracit (ver.2025)</t>
  </si>
  <si>
    <t>539487</t>
  </si>
  <si>
    <t>VHT 9353434 AvanTech YOU sada bočnic H139/450 antracit (ver.2025)</t>
  </si>
  <si>
    <t>539488</t>
  </si>
  <si>
    <t>VHT 9353435 AvanTech YOU sada bočnic H139/500 antracit (ver.2025)</t>
  </si>
  <si>
    <t>556076</t>
  </si>
  <si>
    <t>VHT 9353436 AvanTech YOU sada bočnic, 139/550mm, antracit (ver.2025)</t>
  </si>
  <si>
    <t>549271</t>
  </si>
  <si>
    <t>VHT 9353441 AvanTech YOU sada bočnic, 187/350mm, antracit (ver.2025)</t>
  </si>
  <si>
    <t>536834</t>
  </si>
  <si>
    <t>VHT 9353443 AvanTech YOU sada bočnic H187/450 antracit (ver.2025)</t>
  </si>
  <si>
    <t>551885</t>
  </si>
  <si>
    <t>VHT 9353448 AvanTech YOU sada bočnic, 251/350mm, antracit (ver.2025)</t>
  </si>
  <si>
    <t>551884</t>
  </si>
  <si>
    <t>VHT 9353449 AvanTech YOU sada bočnic, 251/400mm, antracit (ver.2025)</t>
  </si>
  <si>
    <t>539489</t>
  </si>
  <si>
    <t>VHT 9353450 AvanTech YOU sada bočnic H251/450 antracit (ver.2025)</t>
  </si>
  <si>
    <t>532715</t>
  </si>
  <si>
    <t>VHT 9353451 AvanTech YOU sada bočnic H251/500 antracit (ver.2025)</t>
  </si>
  <si>
    <t>9359507</t>
  </si>
  <si>
    <t>537689</t>
  </si>
  <si>
    <t>VHT 9359507 AvanTech You sada čelních příchytů 251 vrut</t>
  </si>
  <si>
    <t>9359508</t>
  </si>
  <si>
    <t>535780</t>
  </si>
  <si>
    <t>VHT 9359508 AvanTech You sada čelních příchytů 251 hmoždinka</t>
  </si>
  <si>
    <t>vzorový</t>
  </si>
  <si>
    <t>374365</t>
  </si>
  <si>
    <t>VHT vzorový panel Rastex</t>
  </si>
  <si>
    <t>374366</t>
  </si>
  <si>
    <t>VHT vzorový panel TZ 4</t>
  </si>
  <si>
    <t>374364</t>
  </si>
  <si>
    <t>VHT vzorový panel VB 35</t>
  </si>
  <si>
    <t xml:space="preserve"> 396632</t>
  </si>
  <si>
    <t>518487</t>
  </si>
  <si>
    <t>518484</t>
  </si>
  <si>
    <t>518485</t>
  </si>
  <si>
    <t>396628</t>
  </si>
  <si>
    <t>396629</t>
  </si>
  <si>
    <t>518504</t>
  </si>
  <si>
    <t>518506</t>
  </si>
  <si>
    <t>518508</t>
  </si>
  <si>
    <t>518501</t>
  </si>
  <si>
    <t>421716</t>
  </si>
  <si>
    <t>518505</t>
  </si>
  <si>
    <t>518507</t>
  </si>
  <si>
    <t>518510</t>
  </si>
  <si>
    <t>518503</t>
  </si>
  <si>
    <t>518493</t>
  </si>
  <si>
    <t>518496</t>
  </si>
  <si>
    <t>518498</t>
  </si>
  <si>
    <t>518490</t>
  </si>
  <si>
    <t>518495</t>
  </si>
  <si>
    <t>518497</t>
  </si>
  <si>
    <t>518500</t>
  </si>
  <si>
    <t>518492</t>
  </si>
  <si>
    <t>518512</t>
  </si>
  <si>
    <t>518513</t>
  </si>
  <si>
    <t>zvolený jazyk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</si>
</sst>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Kč&quot;_-;\-* #,##0.00\ &quot;Kč&quot;_-;_-* &quot;-&quot;??\ &quot;Kč&quot;_-;_-@_-"/>
    <numFmt numFmtId="164" formatCode="_-* #,##0.00\ &quot;€&quot;_-;\-* #,##0.00\ &quot;€&quot;_-;_-* &quot;-&quot;??\ &quot;€&quot;_-;_-@_-"/>
    <numFmt numFmtId="165" formatCode="_-* #,##0.0000\ [$€-1]_-;\-* #,##0.0000\ [$€-1]_-;_-* &quot;-&quot;??\ [$€-1]_-;_-@_-"/>
    <numFmt numFmtId="166" formatCode="#,##0.0000_ ;\-#,##0.0000\ "/>
    <numFmt numFmtId="167" formatCode="0.0"/>
    <numFmt numFmtId="168" formatCode="#,##0&quot; ks&quot;"/>
    <numFmt numFmtId="169" formatCode="#,##0.00_ ;\-#,##0.00\ "/>
    <numFmt numFmtId="170" formatCode="#,##0&quot; mm&quot;"/>
    <numFmt numFmtId="171" formatCode="#,###,###.00000"/>
    <numFmt numFmtId="172" formatCode="##,###,###,###.00000"/>
  </numFmts>
  <fonts count="87">
    <font>
      <sz val="11"/>
      <color theme="1"/>
      <name val="RotisSanSerTEE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6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16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9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name val="Verdana"/>
      <family val="2"/>
      <charset val="238"/>
    </font>
    <font>
      <b/>
      <sz val="14"/>
      <color indexed="10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9"/>
      <name val="Arial"/>
      <family val="2"/>
      <charset val="238"/>
    </font>
    <font>
      <sz val="10"/>
      <color indexed="30"/>
      <name val="Arial"/>
      <family val="2"/>
      <charset val="238"/>
    </font>
    <font>
      <b/>
      <sz val="16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9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2"/>
      <color indexed="81"/>
      <name val="Arial"/>
      <family val="2"/>
      <charset val="238"/>
    </font>
    <font>
      <b/>
      <sz val="10"/>
      <color indexed="81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1"/>
      <color theme="1"/>
      <name val="RotisSanSerTEE"/>
      <family val="2"/>
      <charset val="238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color rgb="FF0066CC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6"/>
      <color theme="0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6"/>
      <color theme="0" tint="-0.34998626667073579"/>
      <name val="Arial"/>
      <family val="2"/>
      <charset val="238"/>
    </font>
    <font>
      <sz val="9"/>
      <color theme="0" tint="-0.34998626667073579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0070C0"/>
      <name val="Arial"/>
      <family val="2"/>
      <charset val="238"/>
    </font>
    <font>
      <sz val="11"/>
      <color rgb="FF0070C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0"/>
      <color theme="0"/>
      <name val="Berdana"/>
      <charset val="238"/>
    </font>
    <font>
      <b/>
      <sz val="8"/>
      <color theme="1"/>
      <name val="Arial"/>
      <family val="2"/>
      <charset val="238"/>
    </font>
    <font>
      <sz val="9"/>
      <color theme="0" tint="-0.249977111117893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6"/>
      <color theme="6" tint="-0.249977111117893"/>
      <name val="Arial"/>
      <family val="2"/>
      <charset val="238"/>
    </font>
    <font>
      <sz val="11"/>
      <color theme="0" tint="-0.499984740745262"/>
      <name val="Arial"/>
      <family val="2"/>
      <charset val="238"/>
    </font>
    <font>
      <b/>
      <sz val="11"/>
      <color theme="0" tint="-0.499984740745262"/>
      <name val="Arial"/>
      <family val="2"/>
      <charset val="238"/>
    </font>
    <font>
      <b/>
      <sz val="11"/>
      <color theme="0"/>
      <name val="Arial"/>
      <family val="2"/>
      <charset val="238"/>
    </font>
    <font>
      <sz val="12"/>
      <color rgb="FFFFFF00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Verdana"/>
      <family val="2"/>
      <charset val="238"/>
    </font>
    <font>
      <b/>
      <sz val="9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0" tint="-0.14999847407452621"/>
      <name val="Arial"/>
      <family val="2"/>
      <charset val="238"/>
    </font>
    <font>
      <sz val="8"/>
      <color rgb="FFFF00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theme="0" tint="-0.249977111117893"/>
      <name val="Arial"/>
      <family val="2"/>
      <charset val="238"/>
    </font>
    <font>
      <sz val="10"/>
      <color theme="0" tint="-0.249977111117893"/>
      <name val="Arial"/>
      <family val="2"/>
      <charset val="238"/>
    </font>
    <font>
      <b/>
      <sz val="9"/>
      <color theme="0" tint="-0.249977111117893"/>
      <name val="Arial"/>
      <family val="2"/>
      <charset val="238"/>
    </font>
    <font>
      <sz val="11"/>
      <name val="Calibri"/>
      <family val="2"/>
      <charset val="238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9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5B41"/>
        <bgColor indexed="64"/>
      </patternFill>
    </fill>
    <fill>
      <patternFill patternType="solid">
        <fgColor rgb="FF72B9E7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9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2A4A7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4376B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gradientFill degree="90">
        <stop position="0">
          <color rgb="FF72B9E7"/>
        </stop>
        <stop position="1">
          <color rgb="FFDD5B41"/>
        </stop>
      </gradientFill>
    </fill>
    <fill>
      <patternFill patternType="solid">
        <fgColor rgb="FF008000"/>
        <bgColor indexed="64"/>
      </patternFill>
    </fill>
    <fill>
      <patternFill patternType="solid">
        <fgColor rgb="FF92D050"/>
        <bgColor indexed="9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9"/>
      </patternFill>
    </fill>
  </fills>
  <borders count="1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/>
      <right style="medium">
        <color indexed="9"/>
      </right>
      <top/>
      <bottom style="medium">
        <color indexed="22"/>
      </bottom>
      <diagonal/>
    </border>
    <border>
      <left/>
      <right/>
      <top/>
      <bottom style="medium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0" tint="-0.1499679555650502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0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0"/>
      </top>
      <bottom style="medium">
        <color theme="0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0"/>
      </top>
      <bottom style="medium">
        <color theme="1" tint="0.499984740745262"/>
      </bottom>
      <diagonal/>
    </border>
    <border>
      <left style="medium">
        <color indexed="9"/>
      </left>
      <right/>
      <top style="medium">
        <color theme="0"/>
      </top>
      <bottom style="medium">
        <color indexed="9"/>
      </bottom>
      <diagonal/>
    </border>
    <border>
      <left/>
      <right style="medium">
        <color indexed="9"/>
      </right>
      <top style="medium">
        <color theme="0"/>
      </top>
      <bottom style="medium">
        <color indexed="9"/>
      </bottom>
      <diagonal/>
    </border>
    <border>
      <left style="medium">
        <color theme="0"/>
      </left>
      <right/>
      <top/>
      <bottom style="medium">
        <color indexed="22"/>
      </bottom>
      <diagonal/>
    </border>
    <border>
      <left style="medium">
        <color theme="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theme="0"/>
      </right>
      <top style="medium">
        <color rgb="FFC0C0C0"/>
      </top>
      <bottom style="medium">
        <color rgb="FFC0C0C0"/>
      </bottom>
      <diagonal/>
    </border>
    <border>
      <left style="medium">
        <color theme="0"/>
      </left>
      <right/>
      <top style="medium">
        <color theme="0"/>
      </top>
      <bottom style="medium">
        <color rgb="FFC0C0C0"/>
      </bottom>
      <diagonal/>
    </border>
    <border>
      <left/>
      <right style="medium">
        <color theme="0"/>
      </right>
      <top style="medium">
        <color theme="0"/>
      </top>
      <bottom style="medium">
        <color rgb="FFC0C0C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rgb="FFC0C0C0"/>
      </top>
      <bottom style="medium">
        <color theme="0"/>
      </bottom>
      <diagonal/>
    </border>
    <border>
      <left/>
      <right style="medium">
        <color indexed="9"/>
      </right>
      <top style="medium">
        <color rgb="FFC0C0C0"/>
      </top>
      <bottom style="medium">
        <color theme="0"/>
      </bottom>
      <diagonal/>
    </border>
    <border>
      <left/>
      <right/>
      <top style="medium">
        <color theme="1" tint="0.499984740745262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1" tint="0.499984740745262"/>
      </top>
      <bottom style="medium">
        <color theme="0" tint="-0.14996795556505021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499984740745262"/>
      </bottom>
      <diagonal/>
    </border>
    <border>
      <left/>
      <right/>
      <top style="medium">
        <color indexed="64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indexed="64"/>
      </top>
      <bottom style="medium">
        <color theme="0" tint="-0.499984740745262"/>
      </bottom>
      <diagonal/>
    </border>
    <border>
      <left/>
      <right/>
      <top style="dashed">
        <color theme="0" tint="-0.499984740745262"/>
      </top>
      <bottom/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theme="0" tint="-0.14996795556505021"/>
      </bottom>
      <diagonal/>
    </border>
    <border>
      <left/>
      <right/>
      <top style="medium">
        <color theme="1" tint="0.34998626667073579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1" tint="0.34998626667073579"/>
      </top>
      <bottom style="medium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/>
      </left>
      <right/>
      <top style="medium">
        <color indexed="22"/>
      </top>
      <bottom style="medium">
        <color rgb="FFC0C0C0"/>
      </bottom>
      <diagonal/>
    </border>
    <border>
      <left/>
      <right style="medium">
        <color theme="0"/>
      </right>
      <top style="medium">
        <color indexed="22"/>
      </top>
      <bottom style="medium">
        <color rgb="FFC0C0C0"/>
      </bottom>
      <diagonal/>
    </border>
    <border>
      <left/>
      <right/>
      <top style="medium">
        <color theme="0"/>
      </top>
      <bottom style="medium">
        <color indexed="22"/>
      </bottom>
      <diagonal/>
    </border>
    <border>
      <left/>
      <right/>
      <top style="medium">
        <color indexed="22"/>
      </top>
      <bottom style="medium">
        <color rgb="FFC0C0C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indexed="64"/>
      </top>
      <bottom style="medium">
        <color indexed="2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 style="medium">
        <color indexed="22"/>
      </top>
      <bottom style="medium">
        <color indexed="22"/>
      </bottom>
      <diagonal/>
    </border>
    <border>
      <left style="thin">
        <color indexed="64"/>
      </left>
      <right/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 style="medium">
        <color theme="0"/>
      </bottom>
      <diagonal/>
    </border>
    <border>
      <left/>
      <right style="thin">
        <color indexed="64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indexed="22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indexed="22"/>
      </top>
      <bottom style="medium">
        <color indexed="2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/>
      </right>
      <top style="medium">
        <color theme="0"/>
      </top>
      <bottom style="medium">
        <color indexed="22"/>
      </bottom>
      <diagonal/>
    </border>
    <border>
      <left/>
      <right/>
      <top style="medium">
        <color rgb="FFC0C0C0"/>
      </top>
      <bottom/>
      <diagonal/>
    </border>
    <border>
      <left/>
      <right/>
      <top style="medium">
        <color theme="0"/>
      </top>
      <bottom style="medium">
        <color rgb="FFC0C0C0"/>
      </bottom>
      <diagonal/>
    </border>
    <border>
      <left style="thick">
        <color rgb="FF006600"/>
      </left>
      <right/>
      <top style="thick">
        <color rgb="FF006600"/>
      </top>
      <bottom/>
      <diagonal/>
    </border>
    <border>
      <left/>
      <right/>
      <top style="thick">
        <color rgb="FF006600"/>
      </top>
      <bottom/>
      <diagonal/>
    </border>
    <border>
      <left/>
      <right style="thin">
        <color rgb="FF33CC33"/>
      </right>
      <top style="thick">
        <color rgb="FF006600"/>
      </top>
      <bottom/>
      <diagonal/>
    </border>
    <border>
      <left style="thick">
        <color rgb="FF006600"/>
      </left>
      <right/>
      <top/>
      <bottom style="thin">
        <color rgb="FF33CC33"/>
      </bottom>
      <diagonal/>
    </border>
    <border>
      <left/>
      <right/>
      <top/>
      <bottom style="thin">
        <color rgb="FF33CC33"/>
      </bottom>
      <diagonal/>
    </border>
    <border>
      <left/>
      <right style="thin">
        <color rgb="FF33CC33"/>
      </right>
      <top/>
      <bottom style="thin">
        <color rgb="FF33CC3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C0C0C0"/>
      </bottom>
      <diagonal/>
    </border>
    <border>
      <left/>
      <right style="medium">
        <color indexed="9"/>
      </right>
      <top style="medium">
        <color theme="0"/>
      </top>
      <bottom style="medium">
        <color theme="0"/>
      </bottom>
      <diagonal/>
    </border>
    <border>
      <left style="medium">
        <color indexed="9"/>
      </left>
      <right/>
      <top style="medium">
        <color theme="0"/>
      </top>
      <bottom style="medium">
        <color theme="0"/>
      </bottom>
      <diagonal/>
    </border>
    <border>
      <left/>
      <right style="medium">
        <color indexed="9"/>
      </right>
      <top style="medium">
        <color theme="0"/>
      </top>
      <bottom style="medium">
        <color rgb="FFC0C0C0"/>
      </bottom>
      <diagonal/>
    </border>
    <border>
      <left style="medium">
        <color indexed="9"/>
      </left>
      <right/>
      <top style="medium">
        <color theme="0"/>
      </top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 style="dotted">
        <color indexed="64"/>
      </right>
      <top style="dashed">
        <color indexed="64"/>
      </top>
      <bottom/>
      <diagonal/>
    </border>
  </borders>
  <cellStyleXfs count="7">
    <xf numFmtId="0" fontId="0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164" fontId="36" fillId="0" borderId="0" applyFont="0" applyFill="0" applyBorder="0" applyAlignment="0" applyProtection="0"/>
    <xf numFmtId="0" fontId="24" fillId="0" borderId="0"/>
    <xf numFmtId="0" fontId="39" fillId="0" borderId="0"/>
    <xf numFmtId="0" fontId="86" fillId="0" borderId="0"/>
  </cellStyleXfs>
  <cellXfs count="626">
    <xf numFmtId="0" fontId="0" fillId="0" borderId="0" xfId="0"/>
    <xf numFmtId="0" fontId="1" fillId="0" borderId="1" xfId="0" applyFont="1" applyBorder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left"/>
      <protection hidden="1"/>
    </xf>
    <xf numFmtId="0" fontId="40" fillId="0" borderId="0" xfId="0" applyFont="1"/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9" fillId="0" borderId="0" xfId="0" applyFont="1" applyProtection="1">
      <protection hidden="1"/>
    </xf>
    <xf numFmtId="0" fontId="9" fillId="0" borderId="0" xfId="0" applyFont="1" applyAlignment="1" applyProtection="1">
      <alignment horizontal="right" vertical="center"/>
      <protection hidden="1"/>
    </xf>
    <xf numFmtId="14" fontId="9" fillId="0" borderId="2" xfId="0" applyNumberFormat="1" applyFont="1" applyBorder="1" applyAlignment="1" applyProtection="1">
      <alignment horizontal="center" vertical="center"/>
      <protection hidden="1"/>
    </xf>
    <xf numFmtId="0" fontId="14" fillId="0" borderId="3" xfId="0" applyFont="1" applyBorder="1" applyProtection="1">
      <protection hidden="1"/>
    </xf>
    <xf numFmtId="0" fontId="9" fillId="0" borderId="4" xfId="0" applyFont="1" applyBorder="1" applyProtection="1">
      <protection hidden="1"/>
    </xf>
    <xf numFmtId="0" fontId="9" fillId="0" borderId="5" xfId="0" applyFont="1" applyBorder="1" applyProtection="1">
      <protection hidden="1"/>
    </xf>
    <xf numFmtId="0" fontId="9" fillId="0" borderId="6" xfId="0" applyFont="1" applyBorder="1" applyProtection="1">
      <protection hidden="1"/>
    </xf>
    <xf numFmtId="0" fontId="9" fillId="0" borderId="7" xfId="0" applyFont="1" applyBorder="1" applyProtection="1">
      <protection hidden="1"/>
    </xf>
    <xf numFmtId="0" fontId="14" fillId="0" borderId="8" xfId="0" applyFont="1" applyBorder="1" applyProtection="1">
      <protection hidden="1"/>
    </xf>
    <xf numFmtId="44" fontId="14" fillId="0" borderId="3" xfId="3" applyNumberFormat="1" applyFont="1" applyFill="1" applyBorder="1" applyAlignment="1" applyProtection="1">
      <alignment horizontal="center" wrapText="1"/>
      <protection hidden="1"/>
    </xf>
    <xf numFmtId="0" fontId="10" fillId="2" borderId="9" xfId="0" applyFont="1" applyFill="1" applyBorder="1" applyAlignment="1" applyProtection="1">
      <alignment horizontal="left" vertical="center"/>
      <protection hidden="1"/>
    </xf>
    <xf numFmtId="0" fontId="9" fillId="2" borderId="6" xfId="0" applyFont="1" applyFill="1" applyBorder="1" applyAlignment="1" applyProtection="1">
      <alignment horizontal="center" vertical="center"/>
      <protection hidden="1"/>
    </xf>
    <xf numFmtId="0" fontId="15" fillId="2" borderId="10" xfId="0" applyFont="1" applyFill="1" applyBorder="1" applyAlignment="1" applyProtection="1">
      <alignment horizontal="left" vertical="center"/>
      <protection hidden="1"/>
    </xf>
    <xf numFmtId="0" fontId="15" fillId="0" borderId="10" xfId="0" applyFont="1" applyBorder="1" applyProtection="1">
      <protection hidden="1"/>
    </xf>
    <xf numFmtId="0" fontId="15" fillId="2" borderId="10" xfId="0" applyFont="1" applyFill="1" applyBorder="1" applyAlignment="1" applyProtection="1">
      <alignment horizontal="center" vertical="center"/>
      <protection hidden="1"/>
    </xf>
    <xf numFmtId="0" fontId="17" fillId="0" borderId="11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4" fontId="16" fillId="0" borderId="0" xfId="0" applyNumberFormat="1" applyFont="1" applyAlignment="1" applyProtection="1">
      <alignment horizontal="right"/>
      <protection hidden="1"/>
    </xf>
    <xf numFmtId="49" fontId="2" fillId="0" borderId="0" xfId="0" applyNumberFormat="1" applyFont="1" applyProtection="1">
      <protection hidden="1"/>
    </xf>
    <xf numFmtId="0" fontId="13" fillId="0" borderId="12" xfId="0" applyFont="1" applyBorder="1" applyAlignment="1" applyProtection="1">
      <alignment wrapText="1"/>
      <protection hidden="1"/>
    </xf>
    <xf numFmtId="0" fontId="13" fillId="0" borderId="12" xfId="0" applyFont="1" applyBorder="1" applyAlignment="1" applyProtection="1">
      <alignment horizontal="left" textRotation="90" wrapText="1"/>
      <protection hidden="1"/>
    </xf>
    <xf numFmtId="0" fontId="13" fillId="0" borderId="12" xfId="0" applyFont="1" applyBorder="1" applyAlignment="1" applyProtection="1">
      <alignment horizontal="center" wrapText="1"/>
      <protection hidden="1"/>
    </xf>
    <xf numFmtId="0" fontId="13" fillId="0" borderId="12" xfId="0" applyFont="1" applyBorder="1" applyAlignment="1" applyProtection="1">
      <alignment horizontal="right" wrapText="1"/>
      <protection hidden="1"/>
    </xf>
    <xf numFmtId="0" fontId="13" fillId="0" borderId="12" xfId="0" applyFont="1" applyBorder="1" applyAlignment="1" applyProtection="1">
      <alignment horizontal="center" textRotation="90" wrapText="1"/>
      <protection hidden="1"/>
    </xf>
    <xf numFmtId="0" fontId="16" fillId="0" borderId="0" xfId="0" applyFont="1" applyAlignment="1" applyProtection="1">
      <alignment horizontal="center"/>
      <protection hidden="1"/>
    </xf>
    <xf numFmtId="0" fontId="16" fillId="0" borderId="13" xfId="0" applyFont="1" applyBorder="1" applyProtection="1">
      <protection hidden="1"/>
    </xf>
    <xf numFmtId="0" fontId="16" fillId="0" borderId="13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4" fontId="15" fillId="0" borderId="0" xfId="0" applyNumberFormat="1" applyFont="1" applyAlignment="1" applyProtection="1">
      <alignment horizontal="right" vertical="center"/>
      <protection hidden="1"/>
    </xf>
    <xf numFmtId="0" fontId="16" fillId="4" borderId="0" xfId="0" applyFont="1" applyFill="1" applyAlignment="1" applyProtection="1">
      <alignment horizontal="center"/>
      <protection hidden="1"/>
    </xf>
    <xf numFmtId="0" fontId="16" fillId="5" borderId="0" xfId="0" applyFont="1" applyFill="1" applyAlignment="1" applyProtection="1">
      <alignment horizontal="center"/>
      <protection hidden="1"/>
    </xf>
    <xf numFmtId="0" fontId="16" fillId="0" borderId="14" xfId="0" applyFont="1" applyBorder="1" applyProtection="1">
      <protection hidden="1"/>
    </xf>
    <xf numFmtId="0" fontId="17" fillId="0" borderId="14" xfId="0" applyFont="1" applyBorder="1" applyAlignment="1" applyProtection="1">
      <alignment horizontal="center" vertical="center"/>
      <protection hidden="1"/>
    </xf>
    <xf numFmtId="4" fontId="16" fillId="0" borderId="14" xfId="0" applyNumberFormat="1" applyFont="1" applyBorder="1" applyProtection="1">
      <protection hidden="1"/>
    </xf>
    <xf numFmtId="0" fontId="16" fillId="0" borderId="14" xfId="0" applyFont="1" applyBorder="1" applyAlignment="1" applyProtection="1">
      <alignment horizontal="center"/>
      <protection hidden="1"/>
    </xf>
    <xf numFmtId="2" fontId="16" fillId="0" borderId="14" xfId="0" applyNumberFormat="1" applyFont="1" applyBorder="1" applyProtection="1">
      <protection hidden="1"/>
    </xf>
    <xf numFmtId="2" fontId="16" fillId="0" borderId="0" xfId="0" applyNumberFormat="1" applyFont="1" applyProtection="1">
      <protection hidden="1"/>
    </xf>
    <xf numFmtId="49" fontId="16" fillId="0" borderId="0" xfId="0" applyNumberFormat="1" applyFont="1" applyAlignment="1" applyProtection="1">
      <alignment horizontal="center"/>
      <protection hidden="1"/>
    </xf>
    <xf numFmtId="49" fontId="10" fillId="0" borderId="14" xfId="0" applyNumberFormat="1" applyFont="1" applyBorder="1" applyAlignment="1" applyProtection="1">
      <alignment horizontal="center"/>
      <protection hidden="1"/>
    </xf>
    <xf numFmtId="0" fontId="10" fillId="0" borderId="14" xfId="0" applyFont="1" applyBorder="1" applyAlignment="1" applyProtection="1">
      <alignment horizontal="right"/>
      <protection hidden="1"/>
    </xf>
    <xf numFmtId="2" fontId="18" fillId="0" borderId="0" xfId="0" applyNumberFormat="1" applyFont="1" applyProtection="1">
      <protection hidden="1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center" vertical="top"/>
      <protection locked="0" hidden="1"/>
    </xf>
    <xf numFmtId="2" fontId="16" fillId="0" borderId="13" xfId="0" applyNumberFormat="1" applyFont="1" applyBorder="1" applyAlignment="1" applyProtection="1">
      <alignment horizontal="right"/>
      <protection hidden="1"/>
    </xf>
    <xf numFmtId="2" fontId="16" fillId="0" borderId="14" xfId="0" applyNumberFormat="1" applyFont="1" applyBorder="1" applyAlignment="1" applyProtection="1">
      <alignment horizontal="right"/>
      <protection hidden="1"/>
    </xf>
    <xf numFmtId="2" fontId="20" fillId="0" borderId="13" xfId="0" applyNumberFormat="1" applyFont="1" applyBorder="1" applyAlignment="1" applyProtection="1">
      <alignment horizontal="center"/>
      <protection hidden="1"/>
    </xf>
    <xf numFmtId="2" fontId="20" fillId="0" borderId="14" xfId="0" applyNumberFormat="1" applyFont="1" applyBorder="1" applyAlignment="1" applyProtection="1">
      <alignment horizontal="center"/>
      <protection hidden="1"/>
    </xf>
    <xf numFmtId="0" fontId="21" fillId="3" borderId="0" xfId="0" applyFont="1" applyFill="1" applyAlignment="1" applyProtection="1">
      <alignment horizontal="center" textRotation="90"/>
      <protection hidden="1"/>
    </xf>
    <xf numFmtId="49" fontId="22" fillId="0" borderId="14" xfId="0" applyNumberFormat="1" applyFont="1" applyBorder="1" applyAlignment="1" applyProtection="1">
      <alignment horizontal="center"/>
      <protection hidden="1"/>
    </xf>
    <xf numFmtId="49" fontId="23" fillId="0" borderId="14" xfId="0" applyNumberFormat="1" applyFont="1" applyBorder="1" applyAlignment="1" applyProtection="1">
      <alignment horizontal="center"/>
      <protection hidden="1"/>
    </xf>
    <xf numFmtId="0" fontId="40" fillId="0" borderId="14" xfId="0" applyFont="1" applyBorder="1" applyProtection="1">
      <protection hidden="1"/>
    </xf>
    <xf numFmtId="0" fontId="17" fillId="0" borderId="14" xfId="0" applyFont="1" applyBorder="1" applyAlignment="1" applyProtection="1">
      <alignment horizontal="right"/>
      <protection hidden="1"/>
    </xf>
    <xf numFmtId="0" fontId="41" fillId="0" borderId="14" xfId="0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27" fillId="0" borderId="0" xfId="4" applyFont="1" applyAlignment="1" applyProtection="1">
      <alignment horizontal="center"/>
      <protection hidden="1"/>
    </xf>
    <xf numFmtId="0" fontId="15" fillId="0" borderId="0" xfId="4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25" fillId="0" borderId="0" xfId="0" applyFont="1" applyProtection="1">
      <protection hidden="1"/>
    </xf>
    <xf numFmtId="0" fontId="26" fillId="0" borderId="0" xfId="0" applyFont="1" applyAlignment="1" applyProtection="1">
      <alignment horizontal="center"/>
      <protection hidden="1"/>
    </xf>
    <xf numFmtId="0" fontId="42" fillId="0" borderId="0" xfId="0" applyFont="1" applyProtection="1">
      <protection hidden="1"/>
    </xf>
    <xf numFmtId="0" fontId="17" fillId="7" borderId="11" xfId="0" applyFont="1" applyFill="1" applyBorder="1" applyAlignment="1" applyProtection="1">
      <alignment horizontal="center"/>
      <protection hidden="1"/>
    </xf>
    <xf numFmtId="0" fontId="26" fillId="0" borderId="0" xfId="0" applyFont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43" fillId="0" borderId="0" xfId="0" applyFont="1" applyProtection="1">
      <protection hidden="1"/>
    </xf>
    <xf numFmtId="0" fontId="3" fillId="0" borderId="15" xfId="0" applyFont="1" applyBorder="1" applyAlignment="1" applyProtection="1">
      <alignment horizontal="right" vertical="center"/>
      <protection hidden="1"/>
    </xf>
    <xf numFmtId="0" fontId="7" fillId="0" borderId="0" xfId="0" applyFont="1" applyProtection="1">
      <protection hidden="1"/>
    </xf>
    <xf numFmtId="0" fontId="10" fillId="0" borderId="0" xfId="1" applyFont="1" applyBorder="1" applyAlignment="1" applyProtection="1">
      <alignment horizontal="left"/>
      <protection hidden="1"/>
    </xf>
    <xf numFmtId="0" fontId="28" fillId="0" borderId="0" xfId="1" applyFont="1" applyBorder="1" applyAlignment="1" applyProtection="1">
      <protection hidden="1"/>
    </xf>
    <xf numFmtId="0" fontId="44" fillId="0" borderId="0" xfId="0" applyFont="1" applyProtection="1">
      <protection hidden="1"/>
    </xf>
    <xf numFmtId="0" fontId="10" fillId="0" borderId="0" xfId="1" applyFont="1" applyBorder="1" applyAlignment="1" applyProtection="1">
      <alignment horizontal="right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11" fillId="0" borderId="0" xfId="0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0" fontId="45" fillId="0" borderId="0" xfId="0" applyFont="1" applyAlignment="1" applyProtection="1">
      <alignment horizontal="right"/>
      <protection hidden="1"/>
    </xf>
    <xf numFmtId="0" fontId="4" fillId="0" borderId="0" xfId="0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7" fontId="2" fillId="0" borderId="0" xfId="0" applyNumberFormat="1" applyFont="1" applyAlignment="1" applyProtection="1">
      <alignment horizontal="center" vertical="center"/>
      <protection hidden="1"/>
    </xf>
    <xf numFmtId="0" fontId="40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46" fillId="0" borderId="0" xfId="0" applyFont="1" applyProtection="1">
      <protection hidden="1"/>
    </xf>
    <xf numFmtId="0" fontId="40" fillId="8" borderId="0" xfId="0" applyFont="1" applyFill="1" applyProtection="1">
      <protection hidden="1"/>
    </xf>
    <xf numFmtId="0" fontId="47" fillId="8" borderId="0" xfId="0" applyFont="1" applyFill="1" applyAlignment="1" applyProtection="1">
      <alignment vertical="center"/>
      <protection hidden="1"/>
    </xf>
    <xf numFmtId="0" fontId="48" fillId="8" borderId="0" xfId="0" applyFont="1" applyFill="1" applyAlignment="1" applyProtection="1">
      <alignment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19" fillId="8" borderId="0" xfId="0" applyFont="1" applyFill="1" applyAlignment="1" applyProtection="1">
      <alignment vertical="center"/>
      <protection hidden="1"/>
    </xf>
    <xf numFmtId="0" fontId="40" fillId="0" borderId="0" xfId="0" applyFont="1" applyAlignment="1" applyProtection="1">
      <alignment vertical="center"/>
      <protection hidden="1"/>
    </xf>
    <xf numFmtId="166" fontId="15" fillId="0" borderId="10" xfId="5" applyNumberFormat="1" applyFont="1" applyBorder="1" applyProtection="1">
      <protection hidden="1"/>
    </xf>
    <xf numFmtId="0" fontId="40" fillId="0" borderId="15" xfId="0" applyFont="1" applyBorder="1" applyProtection="1">
      <protection hidden="1"/>
    </xf>
    <xf numFmtId="0" fontId="50" fillId="0" borderId="0" xfId="0" applyFont="1" applyProtection="1">
      <protection hidden="1"/>
    </xf>
    <xf numFmtId="0" fontId="50" fillId="0" borderId="0" xfId="0" applyFont="1" applyAlignment="1" applyProtection="1">
      <alignment vertical="center"/>
      <protection hidden="1"/>
    </xf>
    <xf numFmtId="0" fontId="51" fillId="0" borderId="0" xfId="0" applyFont="1" applyAlignment="1" applyProtection="1">
      <alignment vertical="center"/>
      <protection hidden="1"/>
    </xf>
    <xf numFmtId="0" fontId="44" fillId="0" borderId="0" xfId="0" applyFont="1" applyAlignment="1" applyProtection="1">
      <alignment vertical="center"/>
      <protection hidden="1"/>
    </xf>
    <xf numFmtId="0" fontId="52" fillId="0" borderId="16" xfId="0" applyFont="1" applyBorder="1" applyAlignment="1" applyProtection="1">
      <alignment vertical="center"/>
      <protection hidden="1"/>
    </xf>
    <xf numFmtId="0" fontId="44" fillId="0" borderId="17" xfId="0" applyFont="1" applyBorder="1" applyAlignment="1" applyProtection="1">
      <alignment vertical="center"/>
      <protection hidden="1"/>
    </xf>
    <xf numFmtId="0" fontId="44" fillId="0" borderId="18" xfId="0" applyFont="1" applyBorder="1" applyAlignment="1" applyProtection="1">
      <alignment vertical="center"/>
      <protection hidden="1"/>
    </xf>
    <xf numFmtId="0" fontId="44" fillId="0" borderId="15" xfId="0" applyFont="1" applyBorder="1" applyAlignment="1" applyProtection="1">
      <alignment vertical="center"/>
      <protection hidden="1"/>
    </xf>
    <xf numFmtId="0" fontId="44" fillId="0" borderId="19" xfId="0" applyFont="1" applyBorder="1" applyAlignment="1" applyProtection="1">
      <alignment vertical="center"/>
      <protection hidden="1"/>
    </xf>
    <xf numFmtId="0" fontId="44" fillId="0" borderId="20" xfId="0" applyFont="1" applyBorder="1" applyAlignment="1" applyProtection="1">
      <alignment vertical="center"/>
      <protection hidden="1"/>
    </xf>
    <xf numFmtId="0" fontId="44" fillId="0" borderId="21" xfId="0" applyFont="1" applyBorder="1" applyAlignment="1" applyProtection="1">
      <alignment vertical="center"/>
      <protection hidden="1"/>
    </xf>
    <xf numFmtId="0" fontId="44" fillId="0" borderId="22" xfId="0" applyFont="1" applyBorder="1" applyAlignment="1" applyProtection="1">
      <alignment vertical="center"/>
      <protection hidden="1"/>
    </xf>
    <xf numFmtId="0" fontId="44" fillId="0" borderId="23" xfId="0" applyFont="1" applyBorder="1" applyAlignment="1" applyProtection="1">
      <alignment vertical="center"/>
      <protection hidden="1"/>
    </xf>
    <xf numFmtId="0" fontId="44" fillId="0" borderId="24" xfId="0" applyFont="1" applyBorder="1" applyAlignment="1" applyProtection="1">
      <alignment vertical="center"/>
      <protection hidden="1"/>
    </xf>
    <xf numFmtId="0" fontId="44" fillId="0" borderId="25" xfId="0" applyFont="1" applyBorder="1" applyAlignment="1" applyProtection="1">
      <alignment vertical="center"/>
      <protection hidden="1"/>
    </xf>
    <xf numFmtId="0" fontId="44" fillId="0" borderId="26" xfId="0" applyFont="1" applyBorder="1" applyAlignment="1" applyProtection="1">
      <alignment vertical="center"/>
      <protection hidden="1"/>
    </xf>
    <xf numFmtId="0" fontId="44" fillId="0" borderId="1" xfId="0" applyFont="1" applyBorder="1" applyAlignment="1" applyProtection="1">
      <alignment vertical="center"/>
      <protection hidden="1"/>
    </xf>
    <xf numFmtId="0" fontId="44" fillId="0" borderId="27" xfId="0" applyFont="1" applyBorder="1" applyAlignment="1" applyProtection="1">
      <alignment vertical="center"/>
      <protection hidden="1"/>
    </xf>
    <xf numFmtId="0" fontId="44" fillId="0" borderId="18" xfId="0" applyFont="1" applyBorder="1" applyAlignment="1" applyProtection="1">
      <alignment horizontal="left" vertical="center"/>
      <protection hidden="1"/>
    </xf>
    <xf numFmtId="0" fontId="44" fillId="0" borderId="26" xfId="0" applyFont="1" applyBorder="1" applyAlignment="1" applyProtection="1">
      <alignment horizontal="left" vertical="center"/>
      <protection hidden="1"/>
    </xf>
    <xf numFmtId="0" fontId="53" fillId="9" borderId="0" xfId="0" applyFont="1" applyFill="1" applyAlignment="1" applyProtection="1">
      <alignment vertical="center"/>
      <protection hidden="1"/>
    </xf>
    <xf numFmtId="0" fontId="44" fillId="9" borderId="0" xfId="0" applyFont="1" applyFill="1" applyAlignment="1" applyProtection="1">
      <alignment vertical="center"/>
      <protection hidden="1"/>
    </xf>
    <xf numFmtId="0" fontId="7" fillId="9" borderId="0" xfId="0" applyFont="1" applyFill="1" applyAlignment="1" applyProtection="1">
      <alignment horizontal="left" vertical="center"/>
      <protection hidden="1"/>
    </xf>
    <xf numFmtId="0" fontId="7" fillId="9" borderId="0" xfId="0" applyFont="1" applyFill="1" applyAlignment="1" applyProtection="1">
      <alignment horizontal="right" vertical="center"/>
      <protection hidden="1"/>
    </xf>
    <xf numFmtId="1" fontId="16" fillId="9" borderId="13" xfId="0" applyNumberFormat="1" applyFont="1" applyFill="1" applyBorder="1" applyAlignment="1" applyProtection="1">
      <alignment horizontal="center"/>
      <protection locked="0"/>
    </xf>
    <xf numFmtId="1" fontId="16" fillId="9" borderId="14" xfId="0" applyNumberFormat="1" applyFont="1" applyFill="1" applyBorder="1" applyAlignment="1" applyProtection="1">
      <alignment horizontal="center"/>
      <protection locked="0"/>
    </xf>
    <xf numFmtId="1" fontId="16" fillId="9" borderId="28" xfId="0" applyNumberFormat="1" applyFont="1" applyFill="1" applyBorder="1" applyAlignment="1" applyProtection="1">
      <alignment horizontal="center"/>
      <protection locked="0"/>
    </xf>
    <xf numFmtId="1" fontId="16" fillId="9" borderId="4" xfId="0" applyNumberFormat="1" applyFont="1" applyFill="1" applyBorder="1" applyAlignment="1" applyProtection="1">
      <alignment horizontal="center"/>
      <protection locked="0"/>
    </xf>
    <xf numFmtId="49" fontId="18" fillId="9" borderId="4" xfId="0" applyNumberFormat="1" applyFont="1" applyFill="1" applyBorder="1" applyAlignment="1" applyProtection="1">
      <alignment horizontal="center"/>
      <protection locked="0"/>
    </xf>
    <xf numFmtId="0" fontId="16" fillId="0" borderId="14" xfId="0" applyFont="1" applyBorder="1" applyAlignment="1" applyProtection="1">
      <alignment horizontal="left" indent="2"/>
      <protection hidden="1"/>
    </xf>
    <xf numFmtId="0" fontId="40" fillId="8" borderId="70" xfId="1" applyFont="1" applyFill="1" applyBorder="1" applyAlignment="1" applyProtection="1">
      <alignment horizontal="center" vertical="center"/>
      <protection hidden="1"/>
    </xf>
    <xf numFmtId="44" fontId="2" fillId="0" borderId="0" xfId="3" applyNumberFormat="1" applyFont="1" applyProtection="1">
      <protection hidden="1"/>
    </xf>
    <xf numFmtId="44" fontId="2" fillId="0" borderId="0" xfId="3" applyNumberFormat="1" applyFont="1" applyBorder="1" applyProtection="1">
      <protection hidden="1"/>
    </xf>
    <xf numFmtId="0" fontId="40" fillId="9" borderId="0" xfId="0" applyFont="1" applyFill="1" applyProtection="1">
      <protection hidden="1"/>
    </xf>
    <xf numFmtId="165" fontId="15" fillId="0" borderId="4" xfId="5" applyNumberFormat="1" applyFont="1" applyBorder="1" applyProtection="1">
      <protection hidden="1"/>
    </xf>
    <xf numFmtId="165" fontId="15" fillId="0" borderId="6" xfId="5" applyNumberFormat="1" applyFont="1" applyBorder="1" applyProtection="1">
      <protection hidden="1"/>
    </xf>
    <xf numFmtId="165" fontId="15" fillId="0" borderId="29" xfId="5" applyNumberFormat="1" applyFont="1" applyBorder="1" applyProtection="1">
      <protection hidden="1"/>
    </xf>
    <xf numFmtId="165" fontId="15" fillId="0" borderId="30" xfId="5" applyNumberFormat="1" applyFont="1" applyBorder="1" applyProtection="1">
      <protection hidden="1"/>
    </xf>
    <xf numFmtId="165" fontId="15" fillId="0" borderId="5" xfId="5" applyNumberFormat="1" applyFont="1" applyBorder="1" applyProtection="1">
      <protection hidden="1"/>
    </xf>
    <xf numFmtId="165" fontId="15" fillId="0" borderId="7" xfId="5" applyNumberFormat="1" applyFont="1" applyBorder="1" applyProtection="1">
      <protection hidden="1"/>
    </xf>
    <xf numFmtId="0" fontId="40" fillId="10" borderId="0" xfId="0" applyFont="1" applyFill="1" applyProtection="1">
      <protection hidden="1"/>
    </xf>
    <xf numFmtId="165" fontId="15" fillId="0" borderId="31" xfId="5" applyNumberFormat="1" applyFont="1" applyBorder="1" applyProtection="1">
      <protection hidden="1"/>
    </xf>
    <xf numFmtId="0" fontId="40" fillId="11" borderId="0" xfId="0" applyFont="1" applyFill="1" applyProtection="1">
      <protection hidden="1"/>
    </xf>
    <xf numFmtId="0" fontId="40" fillId="7" borderId="0" xfId="0" applyFont="1" applyFill="1" applyProtection="1">
      <protection hidden="1"/>
    </xf>
    <xf numFmtId="165" fontId="15" fillId="0" borderId="32" xfId="5" applyNumberFormat="1" applyFont="1" applyBorder="1" applyProtection="1">
      <protection hidden="1"/>
    </xf>
    <xf numFmtId="165" fontId="15" fillId="0" borderId="33" xfId="5" applyNumberFormat="1" applyFont="1" applyBorder="1" applyProtection="1">
      <protection hidden="1"/>
    </xf>
    <xf numFmtId="0" fontId="50" fillId="0" borderId="0" xfId="0" applyFont="1" applyAlignment="1" applyProtection="1">
      <alignment horizontal="center"/>
      <protection hidden="1"/>
    </xf>
    <xf numFmtId="0" fontId="22" fillId="0" borderId="13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12" fillId="0" borderId="0" xfId="0" applyFont="1" applyAlignment="1" applyProtection="1">
      <alignment horizontal="right"/>
      <protection hidden="1"/>
    </xf>
    <xf numFmtId="0" fontId="0" fillId="8" borderId="0" xfId="0" applyFill="1" applyProtection="1">
      <protection hidden="1"/>
    </xf>
    <xf numFmtId="0" fontId="48" fillId="8" borderId="0" xfId="0" applyFont="1" applyFill="1" applyAlignment="1" applyProtection="1">
      <alignment horizontal="right" vertical="center"/>
      <protection hidden="1"/>
    </xf>
    <xf numFmtId="0" fontId="12" fillId="8" borderId="0" xfId="0" applyFont="1" applyFill="1" applyAlignment="1" applyProtection="1">
      <alignment horizontal="right"/>
      <protection hidden="1"/>
    </xf>
    <xf numFmtId="0" fontId="52" fillId="0" borderId="0" xfId="0" applyFont="1" applyAlignment="1" applyProtection="1">
      <alignment horizontal="center"/>
      <protection hidden="1"/>
    </xf>
    <xf numFmtId="0" fontId="13" fillId="7" borderId="12" xfId="0" applyFont="1" applyFill="1" applyBorder="1" applyAlignment="1" applyProtection="1">
      <alignment vertical="top" wrapText="1"/>
      <protection hidden="1"/>
    </xf>
    <xf numFmtId="14" fontId="16" fillId="0" borderId="0" xfId="0" applyNumberFormat="1" applyFont="1" applyProtection="1">
      <protection hidden="1"/>
    </xf>
    <xf numFmtId="0" fontId="44" fillId="7" borderId="0" xfId="0" applyFont="1" applyFill="1" applyProtection="1">
      <protection hidden="1"/>
    </xf>
    <xf numFmtId="0" fontId="40" fillId="7" borderId="0" xfId="0" applyFont="1" applyFill="1"/>
    <xf numFmtId="165" fontId="15" fillId="0" borderId="34" xfId="5" applyNumberFormat="1" applyFont="1" applyBorder="1" applyProtection="1">
      <protection hidden="1"/>
    </xf>
    <xf numFmtId="0" fontId="10" fillId="0" borderId="0" xfId="0" applyFont="1" applyAlignment="1" applyProtection="1">
      <alignment horizontal="right"/>
      <protection hidden="1"/>
    </xf>
    <xf numFmtId="0" fontId="6" fillId="12" borderId="35" xfId="0" applyFont="1" applyFill="1" applyBorder="1" applyAlignment="1" applyProtection="1">
      <alignment vertical="center"/>
      <protection hidden="1"/>
    </xf>
    <xf numFmtId="168" fontId="56" fillId="0" borderId="0" xfId="0" applyNumberFormat="1" applyFont="1" applyAlignment="1" applyProtection="1">
      <alignment horizontal="center"/>
      <protection hidden="1"/>
    </xf>
    <xf numFmtId="0" fontId="21" fillId="6" borderId="0" xfId="0" applyFont="1" applyFill="1" applyAlignment="1" applyProtection="1">
      <alignment horizontal="center" textRotation="90"/>
      <protection hidden="1"/>
    </xf>
    <xf numFmtId="0" fontId="9" fillId="0" borderId="4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30" xfId="0" applyFont="1" applyBorder="1" applyProtection="1">
      <protection hidden="1"/>
    </xf>
    <xf numFmtId="0" fontId="16" fillId="4" borderId="0" xfId="0" applyFont="1" applyFill="1" applyAlignment="1" applyProtection="1">
      <alignment horizontal="center" textRotation="90"/>
      <protection hidden="1"/>
    </xf>
    <xf numFmtId="0" fontId="2" fillId="9" borderId="0" xfId="0" applyFont="1" applyFill="1" applyProtection="1">
      <protection hidden="1"/>
    </xf>
    <xf numFmtId="0" fontId="7" fillId="9" borderId="0" xfId="0" applyFont="1" applyFill="1" applyAlignment="1" applyProtection="1">
      <alignment horizontal="right"/>
      <protection hidden="1"/>
    </xf>
    <xf numFmtId="0" fontId="45" fillId="9" borderId="0" xfId="0" applyFont="1" applyFill="1" applyAlignment="1" applyProtection="1">
      <alignment horizontal="right"/>
      <protection hidden="1"/>
    </xf>
    <xf numFmtId="0" fontId="4" fillId="9" borderId="0" xfId="0" applyFont="1" applyFill="1" applyProtection="1">
      <protection hidden="1"/>
    </xf>
    <xf numFmtId="0" fontId="11" fillId="9" borderId="0" xfId="0" applyFont="1" applyFill="1" applyProtection="1">
      <protection hidden="1"/>
    </xf>
    <xf numFmtId="0" fontId="11" fillId="9" borderId="0" xfId="0" applyFont="1" applyFill="1" applyAlignment="1" applyProtection="1">
      <alignment horizontal="right"/>
      <protection hidden="1"/>
    </xf>
    <xf numFmtId="0" fontId="19" fillId="9" borderId="0" xfId="0" applyFont="1" applyFill="1" applyAlignment="1" applyProtection="1">
      <alignment vertical="center"/>
      <protection hidden="1"/>
    </xf>
    <xf numFmtId="0" fontId="2" fillId="0" borderId="71" xfId="0" applyFont="1" applyBorder="1" applyProtection="1">
      <protection hidden="1"/>
    </xf>
    <xf numFmtId="0" fontId="10" fillId="0" borderId="72" xfId="1" applyFont="1" applyBorder="1" applyAlignment="1" applyProtection="1">
      <alignment horizontal="left"/>
      <protection hidden="1"/>
    </xf>
    <xf numFmtId="0" fontId="28" fillId="0" borderId="72" xfId="1" applyFont="1" applyBorder="1" applyAlignment="1" applyProtection="1">
      <protection hidden="1"/>
    </xf>
    <xf numFmtId="0" fontId="44" fillId="0" borderId="72" xfId="0" applyFont="1" applyBorder="1" applyProtection="1">
      <protection hidden="1"/>
    </xf>
    <xf numFmtId="0" fontId="44" fillId="0" borderId="73" xfId="0" applyFont="1" applyBorder="1" applyProtection="1">
      <protection hidden="1"/>
    </xf>
    <xf numFmtId="0" fontId="2" fillId="0" borderId="74" xfId="0" applyFont="1" applyBorder="1" applyProtection="1">
      <protection hidden="1"/>
    </xf>
    <xf numFmtId="0" fontId="2" fillId="0" borderId="75" xfId="0" applyFont="1" applyBorder="1" applyProtection="1">
      <protection hidden="1"/>
    </xf>
    <xf numFmtId="0" fontId="16" fillId="0" borderId="74" xfId="0" applyFont="1" applyBorder="1" applyProtection="1">
      <protection hidden="1"/>
    </xf>
    <xf numFmtId="0" fontId="2" fillId="0" borderId="76" xfId="0" applyFont="1" applyBorder="1" applyProtection="1">
      <protection hidden="1"/>
    </xf>
    <xf numFmtId="0" fontId="7" fillId="0" borderId="77" xfId="0" applyFont="1" applyBorder="1" applyProtection="1">
      <protection hidden="1"/>
    </xf>
    <xf numFmtId="0" fontId="2" fillId="0" borderId="77" xfId="0" applyFont="1" applyBorder="1" applyProtection="1">
      <protection hidden="1"/>
    </xf>
    <xf numFmtId="0" fontId="2" fillId="0" borderId="78" xfId="0" applyFont="1" applyBorder="1" applyProtection="1">
      <protection hidden="1"/>
    </xf>
    <xf numFmtId="0" fontId="16" fillId="0" borderId="76" xfId="0" applyFont="1" applyBorder="1" applyProtection="1">
      <protection hidden="1"/>
    </xf>
    <xf numFmtId="0" fontId="16" fillId="0" borderId="77" xfId="0" applyFont="1" applyBorder="1" applyProtection="1">
      <protection hidden="1"/>
    </xf>
    <xf numFmtId="0" fontId="57" fillId="0" borderId="77" xfId="0" applyFont="1" applyBorder="1" applyAlignment="1" applyProtection="1">
      <alignment horizontal="center"/>
      <protection hidden="1"/>
    </xf>
    <xf numFmtId="0" fontId="17" fillId="0" borderId="77" xfId="0" applyFont="1" applyBorder="1" applyAlignment="1" applyProtection="1">
      <alignment horizontal="center"/>
      <protection hidden="1"/>
    </xf>
    <xf numFmtId="0" fontId="15" fillId="0" borderId="77" xfId="0" applyFont="1" applyBorder="1" applyAlignment="1" applyProtection="1">
      <alignment horizontal="center"/>
      <protection hidden="1"/>
    </xf>
    <xf numFmtId="168" fontId="56" fillId="0" borderId="77" xfId="0" applyNumberFormat="1" applyFont="1" applyBorder="1" applyAlignment="1" applyProtection="1">
      <alignment horizontal="center"/>
      <protection hidden="1"/>
    </xf>
    <xf numFmtId="168" fontId="56" fillId="0" borderId="78" xfId="0" applyNumberFormat="1" applyFont="1" applyBorder="1" applyAlignment="1" applyProtection="1">
      <alignment horizontal="center"/>
      <protection hidden="1"/>
    </xf>
    <xf numFmtId="0" fontId="58" fillId="0" borderId="0" xfId="0" applyFont="1" applyProtection="1">
      <protection hidden="1"/>
    </xf>
    <xf numFmtId="0" fontId="10" fillId="0" borderId="75" xfId="1" applyFont="1" applyBorder="1" applyAlignment="1" applyProtection="1">
      <alignment horizontal="right"/>
      <protection hidden="1"/>
    </xf>
    <xf numFmtId="0" fontId="44" fillId="0" borderId="77" xfId="0" applyFont="1" applyBorder="1" applyProtection="1">
      <protection hidden="1"/>
    </xf>
    <xf numFmtId="0" fontId="10" fillId="0" borderId="78" xfId="1" applyFont="1" applyBorder="1" applyAlignment="1" applyProtection="1">
      <alignment horizontal="right"/>
      <protection hidden="1"/>
    </xf>
    <xf numFmtId="0" fontId="59" fillId="0" borderId="0" xfId="0" applyFont="1" applyAlignment="1" applyProtection="1">
      <alignment horizontal="right"/>
      <protection hidden="1"/>
    </xf>
    <xf numFmtId="0" fontId="60" fillId="0" borderId="0" xfId="0" applyFont="1" applyProtection="1">
      <protection hidden="1"/>
    </xf>
    <xf numFmtId="0" fontId="50" fillId="0" borderId="77" xfId="0" applyFont="1" applyBorder="1" applyAlignment="1" applyProtection="1">
      <alignment horizontal="center"/>
      <protection hidden="1"/>
    </xf>
    <xf numFmtId="0" fontId="50" fillId="0" borderId="76" xfId="0" applyFont="1" applyBorder="1" applyAlignment="1" applyProtection="1">
      <alignment horizontal="center"/>
      <protection hidden="1"/>
    </xf>
    <xf numFmtId="0" fontId="16" fillId="0" borderId="78" xfId="0" applyFont="1" applyBorder="1" applyProtection="1">
      <protection hidden="1"/>
    </xf>
    <xf numFmtId="0" fontId="44" fillId="0" borderId="76" xfId="0" applyFont="1" applyBorder="1" applyProtection="1">
      <protection hidden="1"/>
    </xf>
    <xf numFmtId="0" fontId="10" fillId="0" borderId="77" xfId="1" applyFont="1" applyBorder="1" applyAlignment="1" applyProtection="1">
      <alignment horizontal="right"/>
      <protection hidden="1"/>
    </xf>
    <xf numFmtId="0" fontId="16" fillId="0" borderId="36" xfId="0" applyFont="1" applyBorder="1" applyProtection="1">
      <protection hidden="1"/>
    </xf>
    <xf numFmtId="0" fontId="22" fillId="0" borderId="36" xfId="0" applyFont="1" applyBorder="1" applyAlignment="1" applyProtection="1">
      <alignment horizontal="center"/>
      <protection hidden="1"/>
    </xf>
    <xf numFmtId="0" fontId="17" fillId="0" borderId="36" xfId="0" applyFont="1" applyBorder="1" applyAlignment="1" applyProtection="1">
      <alignment horizontal="center" vertical="center"/>
      <protection hidden="1"/>
    </xf>
    <xf numFmtId="2" fontId="16" fillId="0" borderId="36" xfId="0" applyNumberFormat="1" applyFont="1" applyBorder="1" applyAlignment="1" applyProtection="1">
      <alignment horizontal="right"/>
      <protection hidden="1"/>
    </xf>
    <xf numFmtId="2" fontId="20" fillId="0" borderId="36" xfId="0" applyNumberFormat="1" applyFont="1" applyBorder="1" applyAlignment="1" applyProtection="1">
      <alignment horizontal="center"/>
      <protection hidden="1"/>
    </xf>
    <xf numFmtId="4" fontId="16" fillId="0" borderId="36" xfId="0" applyNumberFormat="1" applyFont="1" applyBorder="1" applyProtection="1">
      <protection hidden="1"/>
    </xf>
    <xf numFmtId="1" fontId="16" fillId="9" borderId="36" xfId="0" applyNumberFormat="1" applyFont="1" applyFill="1" applyBorder="1" applyAlignment="1" applyProtection="1">
      <alignment horizontal="center"/>
      <protection locked="0"/>
    </xf>
    <xf numFmtId="0" fontId="16" fillId="0" borderId="36" xfId="0" applyFont="1" applyBorder="1" applyAlignment="1" applyProtection="1">
      <alignment horizontal="center"/>
      <protection hidden="1"/>
    </xf>
    <xf numFmtId="165" fontId="15" fillId="0" borderId="37" xfId="5" applyNumberFormat="1" applyFont="1" applyBorder="1" applyProtection="1"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62" fillId="0" borderId="0" xfId="0" applyFont="1" applyProtection="1">
      <protection hidden="1"/>
    </xf>
    <xf numFmtId="0" fontId="9" fillId="0" borderId="34" xfId="0" applyFont="1" applyBorder="1" applyProtection="1">
      <protection hidden="1"/>
    </xf>
    <xf numFmtId="0" fontId="9" fillId="0" borderId="34" xfId="0" applyFont="1" applyBorder="1" applyAlignment="1" applyProtection="1">
      <alignment horizontal="center" vertical="center"/>
      <protection hidden="1"/>
    </xf>
    <xf numFmtId="0" fontId="9" fillId="0" borderId="32" xfId="0" applyFont="1" applyBorder="1" applyProtection="1">
      <protection hidden="1"/>
    </xf>
    <xf numFmtId="0" fontId="9" fillId="0" borderId="32" xfId="0" applyFont="1" applyBorder="1" applyAlignment="1" applyProtection="1">
      <alignment horizontal="center" vertical="center"/>
      <protection hidden="1"/>
    </xf>
    <xf numFmtId="0" fontId="9" fillId="0" borderId="29" xfId="0" applyFont="1" applyBorder="1" applyProtection="1">
      <protection hidden="1"/>
    </xf>
    <xf numFmtId="0" fontId="9" fillId="0" borderId="29" xfId="0" applyFont="1" applyBorder="1" applyAlignment="1" applyProtection="1">
      <alignment horizontal="center" vertical="center"/>
      <protection hidden="1"/>
    </xf>
    <xf numFmtId="0" fontId="9" fillId="0" borderId="30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9" fillId="0" borderId="37" xfId="0" applyFont="1" applyBorder="1" applyProtection="1">
      <protection hidden="1"/>
    </xf>
    <xf numFmtId="0" fontId="9" fillId="0" borderId="37" xfId="0" applyFont="1" applyBorder="1" applyAlignment="1" applyProtection="1">
      <alignment horizontal="center" vertical="center"/>
      <protection hidden="1"/>
    </xf>
    <xf numFmtId="0" fontId="9" fillId="0" borderId="31" xfId="0" applyFont="1" applyBorder="1" applyProtection="1">
      <protection hidden="1"/>
    </xf>
    <xf numFmtId="0" fontId="9" fillId="0" borderId="31" xfId="0" applyFont="1" applyBorder="1" applyAlignment="1" applyProtection="1">
      <alignment horizontal="center" vertical="center"/>
      <protection hidden="1"/>
    </xf>
    <xf numFmtId="0" fontId="9" fillId="0" borderId="33" xfId="0" applyFont="1" applyBorder="1" applyAlignment="1" applyProtection="1">
      <alignment horizontal="center" vertical="center"/>
      <protection hidden="1"/>
    </xf>
    <xf numFmtId="0" fontId="63" fillId="15" borderId="0" xfId="0" applyFon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hidden="1"/>
    </xf>
    <xf numFmtId="2" fontId="16" fillId="9" borderId="14" xfId="0" applyNumberFormat="1" applyFont="1" applyFill="1" applyBorder="1" applyAlignment="1" applyProtection="1">
      <alignment horizontal="right"/>
      <protection locked="0"/>
    </xf>
    <xf numFmtId="0" fontId="54" fillId="9" borderId="0" xfId="0" applyFont="1" applyFill="1" applyAlignment="1" applyProtection="1">
      <alignment horizontal="center" textRotation="90"/>
      <protection hidden="1"/>
    </xf>
    <xf numFmtId="0" fontId="10" fillId="0" borderId="72" xfId="1" applyFont="1" applyBorder="1" applyAlignment="1" applyProtection="1">
      <alignment vertical="center" wrapText="1"/>
      <protection hidden="1"/>
    </xf>
    <xf numFmtId="0" fontId="10" fillId="0" borderId="0" xfId="1" applyFont="1" applyBorder="1" applyAlignment="1" applyProtection="1">
      <alignment vertical="center" wrapText="1"/>
      <protection hidden="1"/>
    </xf>
    <xf numFmtId="0" fontId="40" fillId="0" borderId="0" xfId="0" applyFont="1" applyAlignment="1" applyProtection="1">
      <alignment horizontal="right"/>
      <protection hidden="1"/>
    </xf>
    <xf numFmtId="0" fontId="16" fillId="0" borderId="0" xfId="0" applyFont="1" applyAlignment="1" applyProtection="1">
      <alignment horizontal="right"/>
      <protection hidden="1"/>
    </xf>
    <xf numFmtId="0" fontId="55" fillId="0" borderId="78" xfId="0" applyFont="1" applyBorder="1" applyAlignment="1" applyProtection="1">
      <alignment horizontal="right"/>
      <protection hidden="1"/>
    </xf>
    <xf numFmtId="0" fontId="64" fillId="0" borderId="0" xfId="0" applyFont="1" applyProtection="1">
      <protection hidden="1"/>
    </xf>
    <xf numFmtId="0" fontId="64" fillId="2" borderId="0" xfId="0" applyFont="1" applyFill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/>
      <protection hidden="1"/>
    </xf>
    <xf numFmtId="0" fontId="0" fillId="19" borderId="10" xfId="0" applyFill="1" applyBorder="1" applyAlignment="1" applyProtection="1">
      <alignment horizontal="left"/>
      <protection hidden="1"/>
    </xf>
    <xf numFmtId="0" fontId="0" fillId="20" borderId="10" xfId="0" applyFill="1" applyBorder="1" applyAlignment="1" applyProtection="1">
      <alignment horizontal="left"/>
      <protection hidden="1"/>
    </xf>
    <xf numFmtId="0" fontId="0" fillId="21" borderId="10" xfId="0" applyFill="1" applyBorder="1" applyProtection="1">
      <protection hidden="1"/>
    </xf>
    <xf numFmtId="0" fontId="0" fillId="22" borderId="10" xfId="0" applyFill="1" applyBorder="1" applyProtection="1">
      <protection hidden="1"/>
    </xf>
    <xf numFmtId="0" fontId="0" fillId="19" borderId="10" xfId="0" applyFill="1" applyBorder="1" applyProtection="1">
      <protection hidden="1"/>
    </xf>
    <xf numFmtId="0" fontId="0" fillId="20" borderId="10" xfId="0" applyFill="1" applyBorder="1" applyProtection="1">
      <protection hidden="1"/>
    </xf>
    <xf numFmtId="0" fontId="16" fillId="19" borderId="10" xfId="0" applyFont="1" applyFill="1" applyBorder="1" applyProtection="1">
      <protection hidden="1"/>
    </xf>
    <xf numFmtId="0" fontId="16" fillId="20" borderId="10" xfId="0" applyFont="1" applyFill="1" applyBorder="1" applyProtection="1">
      <protection hidden="1"/>
    </xf>
    <xf numFmtId="0" fontId="0" fillId="0" borderId="40" xfId="0" applyBorder="1" applyAlignment="1" applyProtection="1">
      <alignment horizontal="right"/>
      <protection hidden="1"/>
    </xf>
    <xf numFmtId="0" fontId="0" fillId="0" borderId="41" xfId="0" applyBorder="1" applyAlignment="1" applyProtection="1">
      <alignment horizontal="right"/>
      <protection hidden="1"/>
    </xf>
    <xf numFmtId="0" fontId="0" fillId="0" borderId="42" xfId="0" applyBorder="1" applyAlignment="1" applyProtection="1">
      <alignment horizontal="right"/>
      <protection hidden="1"/>
    </xf>
    <xf numFmtId="0" fontId="0" fillId="0" borderId="10" xfId="0" applyBorder="1" applyAlignment="1" applyProtection="1">
      <alignment horizontal="left"/>
      <protection hidden="1"/>
    </xf>
    <xf numFmtId="0" fontId="0" fillId="0" borderId="10" xfId="0" applyBorder="1" applyProtection="1">
      <protection hidden="1"/>
    </xf>
    <xf numFmtId="49" fontId="44" fillId="0" borderId="18" xfId="0" applyNumberFormat="1" applyFont="1" applyBorder="1" applyAlignment="1" applyProtection="1">
      <alignment horizontal="left" vertical="center"/>
      <protection hidden="1"/>
    </xf>
    <xf numFmtId="49" fontId="44" fillId="0" borderId="22" xfId="0" applyNumberFormat="1" applyFont="1" applyBorder="1" applyAlignment="1" applyProtection="1">
      <alignment horizontal="left" vertical="center"/>
      <protection hidden="1"/>
    </xf>
    <xf numFmtId="49" fontId="44" fillId="0" borderId="26" xfId="0" applyNumberFormat="1" applyFont="1" applyBorder="1" applyAlignment="1" applyProtection="1">
      <alignment vertical="center"/>
      <protection hidden="1"/>
    </xf>
    <xf numFmtId="166" fontId="15" fillId="23" borderId="10" xfId="5" applyNumberFormat="1" applyFont="1" applyFill="1" applyBorder="1" applyAlignment="1" applyProtection="1">
      <alignment horizontal="center" vertical="center" wrapText="1"/>
      <protection hidden="1"/>
    </xf>
    <xf numFmtId="166" fontId="15" fillId="23" borderId="5" xfId="5" applyNumberFormat="1" applyFont="1" applyFill="1" applyBorder="1" applyProtection="1">
      <protection hidden="1"/>
    </xf>
    <xf numFmtId="0" fontId="10" fillId="0" borderId="5" xfId="0" applyFont="1" applyBorder="1" applyProtection="1">
      <protection hidden="1"/>
    </xf>
    <xf numFmtId="0" fontId="10" fillId="0" borderId="4" xfId="0" applyFont="1" applyBorder="1" applyProtection="1">
      <protection hidden="1"/>
    </xf>
    <xf numFmtId="0" fontId="10" fillId="0" borderId="6" xfId="0" applyFont="1" applyBorder="1" applyProtection="1">
      <protection hidden="1"/>
    </xf>
    <xf numFmtId="166" fontId="3" fillId="0" borderId="6" xfId="5" applyNumberFormat="1" applyFont="1" applyBorder="1" applyProtection="1">
      <protection hidden="1"/>
    </xf>
    <xf numFmtId="0" fontId="10" fillId="0" borderId="34" xfId="0" applyFont="1" applyBorder="1" applyProtection="1">
      <protection hidden="1"/>
    </xf>
    <xf numFmtId="0" fontId="10" fillId="0" borderId="32" xfId="0" applyFont="1" applyBorder="1" applyProtection="1">
      <protection hidden="1"/>
    </xf>
    <xf numFmtId="0" fontId="10" fillId="0" borderId="29" xfId="0" applyFont="1" applyBorder="1" applyProtection="1">
      <protection hidden="1"/>
    </xf>
    <xf numFmtId="0" fontId="10" fillId="0" borderId="30" xfId="0" applyFont="1" applyBorder="1" applyProtection="1">
      <protection hidden="1"/>
    </xf>
    <xf numFmtId="0" fontId="10" fillId="0" borderId="7" xfId="0" applyFont="1" applyBorder="1" applyProtection="1">
      <protection hidden="1"/>
    </xf>
    <xf numFmtId="0" fontId="10" fillId="0" borderId="37" xfId="0" applyFont="1" applyBorder="1" applyProtection="1">
      <protection hidden="1"/>
    </xf>
    <xf numFmtId="0" fontId="10" fillId="0" borderId="31" xfId="0" applyFont="1" applyBorder="1" applyProtection="1">
      <protection hidden="1"/>
    </xf>
    <xf numFmtId="0" fontId="10" fillId="0" borderId="33" xfId="0" applyFont="1" applyBorder="1" applyProtection="1">
      <protection hidden="1"/>
    </xf>
    <xf numFmtId="0" fontId="63" fillId="2" borderId="0" xfId="0" applyFont="1" applyFill="1" applyAlignment="1" applyProtection="1">
      <alignment horizontal="center" vertical="center"/>
      <protection hidden="1"/>
    </xf>
    <xf numFmtId="0" fontId="63" fillId="0" borderId="0" xfId="0" applyFont="1" applyProtection="1">
      <protection hidden="1"/>
    </xf>
    <xf numFmtId="166" fontId="65" fillId="0" borderId="0" xfId="5" applyNumberFormat="1" applyFont="1" applyProtection="1">
      <protection hidden="1"/>
    </xf>
    <xf numFmtId="169" fontId="3" fillId="0" borderId="4" xfId="5" applyNumberFormat="1" applyFont="1" applyBorder="1" applyProtection="1">
      <protection hidden="1"/>
    </xf>
    <xf numFmtId="169" fontId="3" fillId="0" borderId="32" xfId="5" applyNumberFormat="1" applyFont="1" applyBorder="1" applyProtection="1">
      <protection hidden="1"/>
    </xf>
    <xf numFmtId="0" fontId="14" fillId="13" borderId="3" xfId="0" applyFont="1" applyFill="1" applyBorder="1" applyProtection="1">
      <protection hidden="1"/>
    </xf>
    <xf numFmtId="0" fontId="14" fillId="13" borderId="3" xfId="0" applyFont="1" applyFill="1" applyBorder="1" applyAlignment="1" applyProtection="1">
      <alignment horizontal="center" textRotation="90"/>
      <protection hidden="1"/>
    </xf>
    <xf numFmtId="44" fontId="14" fillId="13" borderId="3" xfId="3" applyNumberFormat="1" applyFont="1" applyFill="1" applyBorder="1" applyAlignment="1" applyProtection="1">
      <alignment horizontal="center"/>
      <protection hidden="1"/>
    </xf>
    <xf numFmtId="0" fontId="14" fillId="13" borderId="3" xfId="0" applyFont="1" applyFill="1" applyBorder="1" applyAlignment="1" applyProtection="1">
      <alignment horizontal="center" wrapText="1"/>
      <protection hidden="1"/>
    </xf>
    <xf numFmtId="0" fontId="14" fillId="13" borderId="50" xfId="0" applyFont="1" applyFill="1" applyBorder="1" applyAlignment="1" applyProtection="1">
      <alignment horizontal="center"/>
      <protection hidden="1"/>
    </xf>
    <xf numFmtId="0" fontId="50" fillId="7" borderId="0" xfId="0" applyFont="1" applyFill="1" applyAlignment="1" applyProtection="1">
      <alignment horizontal="center"/>
      <protection hidden="1"/>
    </xf>
    <xf numFmtId="0" fontId="5" fillId="16" borderId="82" xfId="0" applyFont="1" applyFill="1" applyBorder="1" applyAlignment="1" applyProtection="1">
      <alignment horizontal="center" vertical="center"/>
      <protection hidden="1"/>
    </xf>
    <xf numFmtId="0" fontId="5" fillId="16" borderId="83" xfId="0" applyFont="1" applyFill="1" applyBorder="1" applyAlignment="1" applyProtection="1">
      <alignment horizontal="center" vertical="center"/>
      <protection hidden="1"/>
    </xf>
    <xf numFmtId="0" fontId="2" fillId="7" borderId="0" xfId="0" applyFont="1" applyFill="1" applyProtection="1">
      <protection hidden="1"/>
    </xf>
    <xf numFmtId="0" fontId="5" fillId="16" borderId="84" xfId="0" applyFont="1" applyFill="1" applyBorder="1" applyAlignment="1" applyProtection="1">
      <alignment horizontal="center" vertical="center"/>
      <protection hidden="1"/>
    </xf>
    <xf numFmtId="0" fontId="5" fillId="16" borderId="38" xfId="0" applyFont="1" applyFill="1" applyBorder="1" applyAlignment="1" applyProtection="1">
      <alignment horizontal="center" vertical="center"/>
      <protection hidden="1"/>
    </xf>
    <xf numFmtId="0" fontId="66" fillId="24" borderId="0" xfId="0" applyFont="1" applyFill="1" applyAlignment="1" applyProtection="1">
      <alignment horizontal="center" vertical="center"/>
      <protection hidden="1"/>
    </xf>
    <xf numFmtId="0" fontId="4" fillId="0" borderId="85" xfId="0" applyFont="1" applyBorder="1" applyAlignment="1" applyProtection="1">
      <alignment horizontal="right" vertical="center"/>
      <protection hidden="1"/>
    </xf>
    <xf numFmtId="0" fontId="4" fillId="0" borderId="85" xfId="0" applyFont="1" applyBorder="1" applyAlignment="1" applyProtection="1">
      <alignment vertical="center"/>
      <protection hidden="1"/>
    </xf>
    <xf numFmtId="0" fontId="4" fillId="0" borderId="86" xfId="0" applyFont="1" applyBorder="1" applyAlignment="1" applyProtection="1">
      <alignment vertical="center"/>
      <protection hidden="1"/>
    </xf>
    <xf numFmtId="0" fontId="4" fillId="0" borderId="87" xfId="0" applyFont="1" applyBorder="1" applyAlignment="1" applyProtection="1">
      <alignment vertical="center"/>
      <protection hidden="1"/>
    </xf>
    <xf numFmtId="0" fontId="4" fillId="0" borderId="88" xfId="0" applyFont="1" applyBorder="1" applyAlignment="1" applyProtection="1">
      <alignment vertical="center"/>
      <protection hidden="1"/>
    </xf>
    <xf numFmtId="0" fontId="4" fillId="0" borderId="87" xfId="0" applyFont="1" applyBorder="1" applyAlignment="1" applyProtection="1">
      <alignment horizontal="right" vertical="center"/>
      <protection hidden="1"/>
    </xf>
    <xf numFmtId="0" fontId="9" fillId="0" borderId="51" xfId="0" applyFont="1" applyBorder="1" applyProtection="1">
      <protection hidden="1"/>
    </xf>
    <xf numFmtId="0" fontId="9" fillId="0" borderId="51" xfId="0" applyFont="1" applyBorder="1" applyAlignment="1" applyProtection="1">
      <alignment horizontal="center" vertical="center"/>
      <protection hidden="1"/>
    </xf>
    <xf numFmtId="0" fontId="10" fillId="0" borderId="51" xfId="0" applyFont="1" applyBorder="1" applyProtection="1">
      <protection hidden="1"/>
    </xf>
    <xf numFmtId="169" fontId="3" fillId="0" borderId="51" xfId="5" applyNumberFormat="1" applyFont="1" applyBorder="1" applyProtection="1">
      <protection hidden="1"/>
    </xf>
    <xf numFmtId="165" fontId="15" fillId="0" borderId="51" xfId="5" applyNumberFormat="1" applyFont="1" applyBorder="1" applyProtection="1">
      <protection hidden="1"/>
    </xf>
    <xf numFmtId="3" fontId="10" fillId="2" borderId="9" xfId="0" applyNumberFormat="1" applyFont="1" applyFill="1" applyBorder="1" applyAlignment="1" applyProtection="1">
      <alignment horizontal="left" vertical="center"/>
      <protection hidden="1"/>
    </xf>
    <xf numFmtId="3" fontId="10" fillId="2" borderId="58" xfId="0" applyNumberFormat="1" applyFont="1" applyFill="1" applyBorder="1" applyAlignment="1" applyProtection="1">
      <alignment horizontal="left" vertical="center"/>
      <protection hidden="1"/>
    </xf>
    <xf numFmtId="3" fontId="10" fillId="2" borderId="59" xfId="0" applyNumberFormat="1" applyFont="1" applyFill="1" applyBorder="1" applyAlignment="1" applyProtection="1">
      <alignment horizontal="left" vertical="center"/>
      <protection hidden="1"/>
    </xf>
    <xf numFmtId="3" fontId="10" fillId="2" borderId="60" xfId="0" applyNumberFormat="1" applyFont="1" applyFill="1" applyBorder="1" applyAlignment="1" applyProtection="1">
      <alignment horizontal="left" vertical="center"/>
      <protection hidden="1"/>
    </xf>
    <xf numFmtId="3" fontId="10" fillId="2" borderId="61" xfId="0" applyNumberFormat="1" applyFont="1" applyFill="1" applyBorder="1" applyAlignment="1" applyProtection="1">
      <alignment horizontal="left" vertical="center"/>
      <protection hidden="1"/>
    </xf>
    <xf numFmtId="3" fontId="10" fillId="2" borderId="62" xfId="0" applyNumberFormat="1" applyFont="1" applyFill="1" applyBorder="1" applyAlignment="1" applyProtection="1">
      <alignment horizontal="left" vertical="center"/>
      <protection hidden="1"/>
    </xf>
    <xf numFmtId="3" fontId="10" fillId="2" borderId="63" xfId="0" applyNumberFormat="1" applyFont="1" applyFill="1" applyBorder="1" applyAlignment="1" applyProtection="1">
      <alignment horizontal="left" vertical="center"/>
      <protection hidden="1"/>
    </xf>
    <xf numFmtId="0" fontId="9" fillId="0" borderId="33" xfId="0" applyFont="1" applyBorder="1" applyProtection="1">
      <protection hidden="1"/>
    </xf>
    <xf numFmtId="3" fontId="10" fillId="0" borderId="62" xfId="0" applyNumberFormat="1" applyFont="1" applyBorder="1" applyAlignment="1" applyProtection="1">
      <alignment horizontal="left" vertical="center"/>
      <protection hidden="1"/>
    </xf>
    <xf numFmtId="3" fontId="10" fillId="25" borderId="58" xfId="0" applyNumberFormat="1" applyFont="1" applyFill="1" applyBorder="1" applyAlignment="1" applyProtection="1">
      <alignment horizontal="left" vertical="center"/>
      <protection hidden="1"/>
    </xf>
    <xf numFmtId="0" fontId="9" fillId="26" borderId="32" xfId="0" applyFont="1" applyFill="1" applyBorder="1" applyProtection="1">
      <protection hidden="1"/>
    </xf>
    <xf numFmtId="0" fontId="9" fillId="26" borderId="32" xfId="0" applyFont="1" applyFill="1" applyBorder="1" applyAlignment="1" applyProtection="1">
      <alignment horizontal="center" vertical="center"/>
      <protection hidden="1"/>
    </xf>
    <xf numFmtId="0" fontId="10" fillId="26" borderId="32" xfId="0" applyFont="1" applyFill="1" applyBorder="1" applyProtection="1">
      <protection hidden="1"/>
    </xf>
    <xf numFmtId="165" fontId="15" fillId="26" borderId="32" xfId="5" applyNumberFormat="1" applyFont="1" applyFill="1" applyBorder="1" applyProtection="1">
      <protection hidden="1"/>
    </xf>
    <xf numFmtId="3" fontId="10" fillId="25" borderId="61" xfId="0" applyNumberFormat="1" applyFont="1" applyFill="1" applyBorder="1" applyAlignment="1" applyProtection="1">
      <alignment horizontal="left" vertical="center"/>
      <protection hidden="1"/>
    </xf>
    <xf numFmtId="0" fontId="9" fillId="26" borderId="37" xfId="0" applyFont="1" applyFill="1" applyBorder="1" applyProtection="1">
      <protection hidden="1"/>
    </xf>
    <xf numFmtId="0" fontId="9" fillId="26" borderId="37" xfId="0" applyFont="1" applyFill="1" applyBorder="1" applyAlignment="1" applyProtection="1">
      <alignment horizontal="center" vertical="center"/>
      <protection hidden="1"/>
    </xf>
    <xf numFmtId="0" fontId="10" fillId="26" borderId="37" xfId="0" applyFont="1" applyFill="1" applyBorder="1" applyProtection="1">
      <protection hidden="1"/>
    </xf>
    <xf numFmtId="165" fontId="15" fillId="26" borderId="37" xfId="5" applyNumberFormat="1" applyFont="1" applyFill="1" applyBorder="1" applyProtection="1">
      <protection hidden="1"/>
    </xf>
    <xf numFmtId="3" fontId="10" fillId="0" borderId="60" xfId="0" applyNumberFormat="1" applyFont="1" applyBorder="1" applyAlignment="1" applyProtection="1">
      <alignment horizontal="left" vertical="center"/>
      <protection hidden="1"/>
    </xf>
    <xf numFmtId="3" fontId="16" fillId="0" borderId="14" xfId="0" applyNumberFormat="1" applyFont="1" applyBorder="1" applyAlignment="1" applyProtection="1">
      <alignment horizontal="left" indent="2"/>
      <protection hidden="1"/>
    </xf>
    <xf numFmtId="3" fontId="16" fillId="13" borderId="14" xfId="0" applyNumberFormat="1" applyFont="1" applyFill="1" applyBorder="1" applyAlignment="1" applyProtection="1">
      <alignment horizontal="left" indent="2"/>
      <protection hidden="1"/>
    </xf>
    <xf numFmtId="3" fontId="15" fillId="2" borderId="10" xfId="0" applyNumberFormat="1" applyFont="1" applyFill="1" applyBorder="1" applyAlignment="1" applyProtection="1">
      <alignment horizontal="left" vertical="center"/>
      <protection hidden="1"/>
    </xf>
    <xf numFmtId="3" fontId="15" fillId="27" borderId="10" xfId="0" applyNumberFormat="1" applyFont="1" applyFill="1" applyBorder="1" applyAlignment="1" applyProtection="1">
      <alignment horizontal="left" vertical="center"/>
      <protection hidden="1"/>
    </xf>
    <xf numFmtId="0" fontId="15" fillId="7" borderId="10" xfId="0" applyFont="1" applyFill="1" applyBorder="1" applyProtection="1">
      <protection hidden="1"/>
    </xf>
    <xf numFmtId="166" fontId="67" fillId="0" borderId="0" xfId="0" applyNumberFormat="1" applyFont="1" applyProtection="1">
      <protection hidden="1"/>
    </xf>
    <xf numFmtId="0" fontId="22" fillId="0" borderId="14" xfId="0" applyFont="1" applyBorder="1" applyAlignment="1" applyProtection="1">
      <alignment horizontal="center"/>
      <protection hidden="1"/>
    </xf>
    <xf numFmtId="166" fontId="15" fillId="7" borderId="10" xfId="5" applyNumberFormat="1" applyFont="1" applyFill="1" applyBorder="1" applyProtection="1">
      <protection hidden="1"/>
    </xf>
    <xf numFmtId="0" fontId="16" fillId="28" borderId="0" xfId="0" applyFont="1" applyFill="1" applyAlignment="1" applyProtection="1">
      <alignment horizontal="center"/>
      <protection hidden="1"/>
    </xf>
    <xf numFmtId="0" fontId="17" fillId="28" borderId="11" xfId="0" applyFont="1" applyFill="1" applyBorder="1" applyAlignment="1" applyProtection="1">
      <alignment horizontal="center"/>
      <protection hidden="1"/>
    </xf>
    <xf numFmtId="0" fontId="2" fillId="0" borderId="72" xfId="0" applyFont="1" applyBorder="1" applyProtection="1">
      <protection hidden="1"/>
    </xf>
    <xf numFmtId="0" fontId="2" fillId="0" borderId="73" xfId="0" applyFont="1" applyBorder="1" applyProtection="1">
      <protection hidden="1"/>
    </xf>
    <xf numFmtId="0" fontId="50" fillId="0" borderId="10" xfId="0" applyFont="1" applyBorder="1" applyProtection="1">
      <protection hidden="1"/>
    </xf>
    <xf numFmtId="0" fontId="50" fillId="0" borderId="10" xfId="0" applyFont="1" applyBorder="1" applyAlignment="1" applyProtection="1">
      <alignment horizontal="center" vertical="center"/>
      <protection hidden="1"/>
    </xf>
    <xf numFmtId="0" fontId="15" fillId="2" borderId="10" xfId="0" applyFont="1" applyFill="1" applyBorder="1" applyAlignment="1" applyProtection="1">
      <alignment horizontal="center"/>
      <protection hidden="1"/>
    </xf>
    <xf numFmtId="0" fontId="46" fillId="0" borderId="0" xfId="0" applyFont="1" applyAlignment="1" applyProtection="1">
      <alignment horizontal="right"/>
      <protection hidden="1"/>
    </xf>
    <xf numFmtId="0" fontId="16" fillId="18" borderId="0" xfId="0" applyFont="1" applyFill="1" applyAlignment="1" applyProtection="1">
      <alignment horizontal="center"/>
      <protection hidden="1"/>
    </xf>
    <xf numFmtId="0" fontId="4" fillId="16" borderId="89" xfId="0" applyFont="1" applyFill="1" applyBorder="1" applyAlignment="1" applyProtection="1">
      <alignment horizontal="center" vertical="center"/>
      <protection hidden="1"/>
    </xf>
    <xf numFmtId="0" fontId="68" fillId="17" borderId="10" xfId="0" applyFont="1" applyFill="1" applyBorder="1" applyAlignment="1" applyProtection="1">
      <alignment horizontal="left" vertical="center"/>
      <protection hidden="1"/>
    </xf>
    <xf numFmtId="0" fontId="5" fillId="16" borderId="89" xfId="0" applyFont="1" applyFill="1" applyBorder="1" applyAlignment="1" applyProtection="1">
      <alignment horizontal="center" vertical="center"/>
      <protection hidden="1"/>
    </xf>
    <xf numFmtId="0" fontId="16" fillId="10" borderId="0" xfId="0" applyFont="1" applyFill="1" applyAlignment="1" applyProtection="1">
      <alignment horizontal="center"/>
      <protection hidden="1"/>
    </xf>
    <xf numFmtId="0" fontId="65" fillId="26" borderId="0" xfId="0" applyFont="1" applyFill="1" applyAlignment="1">
      <alignment horizontal="center" vertical="center"/>
    </xf>
    <xf numFmtId="0" fontId="69" fillId="0" borderId="0" xfId="0" applyFont="1" applyAlignment="1" applyProtection="1">
      <alignment vertical="center" wrapText="1"/>
      <protection hidden="1"/>
    </xf>
    <xf numFmtId="0" fontId="16" fillId="0" borderId="77" xfId="0" applyFont="1" applyBorder="1" applyAlignment="1" applyProtection="1">
      <alignment horizontal="right"/>
      <protection hidden="1"/>
    </xf>
    <xf numFmtId="0" fontId="49" fillId="0" borderId="0" xfId="0" applyFont="1" applyProtection="1">
      <protection hidden="1"/>
    </xf>
    <xf numFmtId="0" fontId="5" fillId="16" borderId="90" xfId="0" applyFont="1" applyFill="1" applyBorder="1" applyAlignment="1" applyProtection="1">
      <alignment horizontal="center" vertical="center"/>
      <protection hidden="1"/>
    </xf>
    <xf numFmtId="0" fontId="5" fillId="16" borderId="91" xfId="0" applyFont="1" applyFill="1" applyBorder="1" applyAlignment="1" applyProtection="1">
      <alignment horizontal="center" vertical="center"/>
      <protection hidden="1"/>
    </xf>
    <xf numFmtId="0" fontId="55" fillId="0" borderId="71" xfId="0" applyFont="1" applyBorder="1" applyProtection="1">
      <protection hidden="1"/>
    </xf>
    <xf numFmtId="0" fontId="55" fillId="0" borderId="72" xfId="0" applyFont="1" applyBorder="1" applyProtection="1">
      <protection hidden="1"/>
    </xf>
    <xf numFmtId="0" fontId="55" fillId="0" borderId="73" xfId="0" applyFont="1" applyBorder="1" applyProtection="1">
      <protection hidden="1"/>
    </xf>
    <xf numFmtId="0" fontId="55" fillId="0" borderId="74" xfId="0" applyFont="1" applyBorder="1" applyProtection="1">
      <protection hidden="1"/>
    </xf>
    <xf numFmtId="0" fontId="55" fillId="0" borderId="0" xfId="0" applyFont="1" applyProtection="1">
      <protection hidden="1"/>
    </xf>
    <xf numFmtId="0" fontId="55" fillId="0" borderId="75" xfId="0" applyFont="1" applyBorder="1" applyProtection="1">
      <protection hidden="1"/>
    </xf>
    <xf numFmtId="0" fontId="55" fillId="0" borderId="76" xfId="0" applyFont="1" applyBorder="1" applyProtection="1">
      <protection hidden="1"/>
    </xf>
    <xf numFmtId="0" fontId="55" fillId="0" borderId="77" xfId="0" applyFont="1" applyBorder="1" applyProtection="1">
      <protection hidden="1"/>
    </xf>
    <xf numFmtId="0" fontId="55" fillId="0" borderId="78" xfId="0" applyFont="1" applyBorder="1" applyProtection="1">
      <protection hidden="1"/>
    </xf>
    <xf numFmtId="0" fontId="15" fillId="29" borderId="14" xfId="0" applyFont="1" applyFill="1" applyBorder="1" applyAlignment="1" applyProtection="1">
      <alignment horizontal="right"/>
      <protection locked="0"/>
    </xf>
    <xf numFmtId="0" fontId="16" fillId="29" borderId="14" xfId="0" applyFont="1" applyFill="1" applyBorder="1" applyProtection="1">
      <protection hidden="1"/>
    </xf>
    <xf numFmtId="0" fontId="16" fillId="30" borderId="14" xfId="0" applyFont="1" applyFill="1" applyBorder="1" applyProtection="1">
      <protection hidden="1"/>
    </xf>
    <xf numFmtId="3" fontId="10" fillId="2" borderId="64" xfId="0" applyNumberFormat="1" applyFont="1" applyFill="1" applyBorder="1" applyAlignment="1" applyProtection="1">
      <alignment horizontal="left" vertical="center"/>
      <protection hidden="1"/>
    </xf>
    <xf numFmtId="0" fontId="9" fillId="0" borderId="65" xfId="0" applyFont="1" applyBorder="1" applyProtection="1">
      <protection hidden="1"/>
    </xf>
    <xf numFmtId="0" fontId="9" fillId="0" borderId="65" xfId="0" applyFont="1" applyBorder="1" applyAlignment="1" applyProtection="1">
      <alignment horizontal="center" vertical="center"/>
      <protection hidden="1"/>
    </xf>
    <xf numFmtId="0" fontId="10" fillId="0" borderId="65" xfId="0" applyFont="1" applyBorder="1" applyProtection="1">
      <protection hidden="1"/>
    </xf>
    <xf numFmtId="0" fontId="17" fillId="31" borderId="11" xfId="0" applyFont="1" applyFill="1" applyBorder="1" applyAlignment="1" applyProtection="1">
      <alignment horizontal="center"/>
      <protection hidden="1"/>
    </xf>
    <xf numFmtId="0" fontId="70" fillId="2" borderId="10" xfId="0" applyFont="1" applyFill="1" applyBorder="1" applyAlignment="1" applyProtection="1">
      <alignment horizontal="center" vertical="center"/>
      <protection hidden="1"/>
    </xf>
    <xf numFmtId="0" fontId="70" fillId="32" borderId="10" xfId="0" applyFont="1" applyFill="1" applyBorder="1" applyAlignment="1" applyProtection="1">
      <alignment horizontal="center" vertical="center"/>
      <protection hidden="1"/>
    </xf>
    <xf numFmtId="0" fontId="15" fillId="30" borderId="13" xfId="0" applyFont="1" applyFill="1" applyBorder="1" applyAlignment="1" applyProtection="1">
      <alignment horizontal="right"/>
      <protection locked="0"/>
    </xf>
    <xf numFmtId="0" fontId="15" fillId="30" borderId="14" xfId="0" applyFont="1" applyFill="1" applyBorder="1" applyAlignment="1" applyProtection="1">
      <alignment horizontal="right"/>
      <protection locked="0"/>
    </xf>
    <xf numFmtId="0" fontId="13" fillId="0" borderId="0" xfId="0" applyFont="1" applyProtection="1">
      <protection hidden="1"/>
    </xf>
    <xf numFmtId="0" fontId="79" fillId="0" borderId="0" xfId="0" applyFont="1" applyProtection="1">
      <protection hidden="1"/>
    </xf>
    <xf numFmtId="0" fontId="61" fillId="0" borderId="0" xfId="0" applyFont="1" applyAlignment="1" applyProtection="1">
      <alignment horizontal="left" vertical="center"/>
      <protection hidden="1"/>
    </xf>
    <xf numFmtId="0" fontId="15" fillId="2" borderId="69" xfId="0" applyFont="1" applyFill="1" applyBorder="1" applyAlignment="1" applyProtection="1">
      <alignment horizontal="center" vertical="center"/>
      <protection hidden="1"/>
    </xf>
    <xf numFmtId="0" fontId="17" fillId="0" borderId="140" xfId="0" applyFont="1" applyBorder="1" applyAlignment="1" applyProtection="1">
      <alignment horizontal="center"/>
      <protection hidden="1"/>
    </xf>
    <xf numFmtId="0" fontId="15" fillId="2" borderId="141" xfId="0" applyFont="1" applyFill="1" applyBorder="1" applyAlignment="1" applyProtection="1">
      <alignment horizontal="center" vertical="center"/>
      <protection hidden="1"/>
    </xf>
    <xf numFmtId="0" fontId="17" fillId="0" borderId="142" xfId="0" applyFont="1" applyBorder="1" applyAlignment="1" applyProtection="1">
      <alignment horizontal="center"/>
      <protection hidden="1"/>
    </xf>
    <xf numFmtId="3" fontId="61" fillId="41" borderId="10" xfId="0" applyNumberFormat="1" applyFont="1" applyFill="1" applyBorder="1" applyAlignment="1" applyProtection="1">
      <alignment horizontal="center" vertical="center"/>
      <protection hidden="1"/>
    </xf>
    <xf numFmtId="0" fontId="80" fillId="0" borderId="0" xfId="0" applyFont="1" applyProtection="1">
      <protection hidden="1"/>
    </xf>
    <xf numFmtId="3" fontId="15" fillId="42" borderId="10" xfId="0" applyNumberFormat="1" applyFont="1" applyFill="1" applyBorder="1" applyAlignment="1" applyProtection="1">
      <alignment horizontal="left" vertical="center"/>
      <protection hidden="1"/>
    </xf>
    <xf numFmtId="0" fontId="15" fillId="43" borderId="10" xfId="0" applyFont="1" applyFill="1" applyBorder="1" applyProtection="1">
      <protection hidden="1"/>
    </xf>
    <xf numFmtId="0" fontId="81" fillId="0" borderId="0" xfId="0" applyFont="1" applyProtection="1">
      <protection hidden="1"/>
    </xf>
    <xf numFmtId="0" fontId="81" fillId="0" borderId="0" xfId="0" applyFont="1" applyAlignment="1" applyProtection="1">
      <alignment horizontal="center"/>
      <protection hidden="1"/>
    </xf>
    <xf numFmtId="0" fontId="82" fillId="0" borderId="0" xfId="0" applyFont="1" applyAlignment="1" applyProtection="1">
      <alignment horizontal="center"/>
      <protection hidden="1"/>
    </xf>
    <xf numFmtId="0" fontId="82" fillId="0" borderId="0" xfId="0" applyFont="1" applyAlignment="1" applyProtection="1">
      <alignment horizontal="right"/>
      <protection hidden="1"/>
    </xf>
    <xf numFmtId="0" fontId="82" fillId="0" borderId="0" xfId="0" applyFont="1" applyAlignment="1" applyProtection="1">
      <alignment horizontal="left"/>
      <protection hidden="1"/>
    </xf>
    <xf numFmtId="0" fontId="50" fillId="7" borderId="10" xfId="0" applyFont="1" applyFill="1" applyBorder="1" applyAlignment="1" applyProtection="1">
      <alignment horizontal="center" vertical="center"/>
      <protection hidden="1"/>
    </xf>
    <xf numFmtId="0" fontId="15" fillId="27" borderId="10" xfId="0" applyFont="1" applyFill="1" applyBorder="1" applyAlignment="1" applyProtection="1">
      <alignment horizontal="center"/>
      <protection hidden="1"/>
    </xf>
    <xf numFmtId="0" fontId="15" fillId="27" borderId="10" xfId="0" applyFont="1" applyFill="1" applyBorder="1" applyAlignment="1" applyProtection="1">
      <alignment horizontal="center" vertical="center"/>
      <protection hidden="1"/>
    </xf>
    <xf numFmtId="14" fontId="9" fillId="7" borderId="2" xfId="0" applyNumberFormat="1" applyFont="1" applyFill="1" applyBorder="1" applyAlignment="1" applyProtection="1">
      <alignment horizontal="center" vertical="center"/>
      <protection hidden="1"/>
    </xf>
    <xf numFmtId="0" fontId="10" fillId="2" borderId="51" xfId="0" applyFont="1" applyFill="1" applyBorder="1" applyAlignment="1" applyProtection="1">
      <alignment horizontal="center" vertical="center"/>
      <protection locked="0"/>
    </xf>
    <xf numFmtId="0" fontId="10" fillId="2" borderId="31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34" xfId="0" applyFont="1" applyFill="1" applyBorder="1" applyAlignment="1" applyProtection="1">
      <alignment horizontal="center" vertical="center"/>
      <protection locked="0"/>
    </xf>
    <xf numFmtId="0" fontId="10" fillId="2" borderId="32" xfId="0" applyFont="1" applyFill="1" applyBorder="1" applyAlignment="1" applyProtection="1">
      <alignment horizontal="center" vertical="center"/>
      <protection locked="0"/>
    </xf>
    <xf numFmtId="0" fontId="10" fillId="2" borderId="29" xfId="0" applyFont="1" applyFill="1" applyBorder="1" applyAlignment="1" applyProtection="1">
      <alignment horizontal="center" vertical="center"/>
      <protection locked="0"/>
    </xf>
    <xf numFmtId="0" fontId="10" fillId="2" borderId="30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37" xfId="0" applyFont="1" applyFill="1" applyBorder="1" applyAlignment="1" applyProtection="1">
      <alignment horizontal="center" vertical="center"/>
      <protection locked="0"/>
    </xf>
    <xf numFmtId="0" fontId="10" fillId="2" borderId="33" xfId="0" applyFont="1" applyFill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2" borderId="65" xfId="0" applyFont="1" applyFill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25" borderId="37" xfId="0" applyFont="1" applyFill="1" applyBorder="1" applyAlignment="1" applyProtection="1">
      <alignment horizontal="center" vertical="center"/>
      <protection locked="0"/>
    </xf>
    <xf numFmtId="0" fontId="10" fillId="25" borderId="32" xfId="0" applyFont="1" applyFill="1" applyBorder="1" applyAlignment="1" applyProtection="1">
      <alignment horizontal="center" vertical="center"/>
      <protection locked="0"/>
    </xf>
    <xf numFmtId="0" fontId="9" fillId="0" borderId="51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1" fontId="9" fillId="0" borderId="6" xfId="0" applyNumberFormat="1" applyFont="1" applyBorder="1" applyAlignment="1" applyProtection="1">
      <alignment horizontal="center"/>
      <protection locked="0"/>
    </xf>
    <xf numFmtId="49" fontId="9" fillId="0" borderId="44" xfId="0" applyNumberFormat="1" applyFont="1" applyBorder="1" applyAlignment="1" applyProtection="1">
      <alignment horizontal="center"/>
      <protection locked="0"/>
    </xf>
    <xf numFmtId="1" fontId="9" fillId="0" borderId="5" xfId="0" applyNumberFormat="1" applyFont="1" applyBorder="1" applyAlignment="1" applyProtection="1">
      <alignment horizontal="center"/>
      <protection locked="0"/>
    </xf>
    <xf numFmtId="1" fontId="9" fillId="0" borderId="34" xfId="0" applyNumberFormat="1" applyFont="1" applyBorder="1" applyAlignment="1" applyProtection="1">
      <alignment horizontal="center"/>
      <protection locked="0"/>
    </xf>
    <xf numFmtId="1" fontId="9" fillId="0" borderId="32" xfId="0" applyNumberFormat="1" applyFont="1" applyBorder="1" applyAlignment="1" applyProtection="1">
      <alignment horizontal="center"/>
      <protection locked="0"/>
    </xf>
    <xf numFmtId="49" fontId="9" fillId="0" borderId="45" xfId="0" applyNumberFormat="1" applyFont="1" applyBorder="1" applyAlignment="1" applyProtection="1">
      <alignment horizontal="center"/>
      <protection locked="0"/>
    </xf>
    <xf numFmtId="1" fontId="9" fillId="0" borderId="29" xfId="0" applyNumberFormat="1" applyFont="1" applyBorder="1" applyAlignment="1" applyProtection="1">
      <alignment horizontal="center"/>
      <protection locked="0"/>
    </xf>
    <xf numFmtId="1" fontId="9" fillId="0" borderId="30" xfId="0" applyNumberFormat="1" applyFont="1" applyBorder="1" applyAlignment="1" applyProtection="1">
      <alignment horizontal="center"/>
      <protection locked="0"/>
    </xf>
    <xf numFmtId="49" fontId="9" fillId="0" borderId="46" xfId="0" applyNumberFormat="1" applyFont="1" applyBorder="1" applyAlignment="1" applyProtection="1">
      <alignment horizontal="center"/>
      <protection locked="0"/>
    </xf>
    <xf numFmtId="1" fontId="9" fillId="0" borderId="7" xfId="0" applyNumberFormat="1" applyFont="1" applyBorder="1" applyAlignment="1" applyProtection="1">
      <alignment horizontal="center"/>
      <protection locked="0"/>
    </xf>
    <xf numFmtId="49" fontId="9" fillId="0" borderId="48" xfId="0" applyNumberFormat="1" applyFont="1" applyBorder="1" applyAlignment="1" applyProtection="1">
      <alignment horizontal="center"/>
      <protection locked="0"/>
    </xf>
    <xf numFmtId="1" fontId="9" fillId="0" borderId="37" xfId="0" applyNumberFormat="1" applyFont="1" applyBorder="1" applyAlignment="1" applyProtection="1">
      <alignment horizontal="center"/>
      <protection locked="0"/>
    </xf>
    <xf numFmtId="1" fontId="9" fillId="0" borderId="33" xfId="0" applyNumberFormat="1" applyFont="1" applyBorder="1" applyAlignment="1" applyProtection="1">
      <alignment horizontal="center"/>
      <protection locked="0"/>
    </xf>
    <xf numFmtId="49" fontId="9" fillId="0" borderId="49" xfId="0" applyNumberFormat="1" applyFont="1" applyBorder="1" applyAlignment="1" applyProtection="1">
      <alignment horizontal="center"/>
      <protection locked="0"/>
    </xf>
    <xf numFmtId="1" fontId="9" fillId="26" borderId="37" xfId="0" applyNumberFormat="1" applyFont="1" applyFill="1" applyBorder="1" applyAlignment="1" applyProtection="1">
      <alignment horizontal="center"/>
      <protection locked="0"/>
    </xf>
    <xf numFmtId="1" fontId="9" fillId="26" borderId="32" xfId="0" applyNumberFormat="1" applyFont="1" applyFill="1" applyBorder="1" applyAlignment="1" applyProtection="1">
      <alignment horizontal="center"/>
      <protection locked="0"/>
    </xf>
    <xf numFmtId="0" fontId="2" fillId="9" borderId="79" xfId="0" applyFont="1" applyFill="1" applyBorder="1" applyProtection="1">
      <protection locked="0"/>
    </xf>
    <xf numFmtId="0" fontId="2" fillId="9" borderId="80" xfId="0" applyFont="1" applyFill="1" applyBorder="1" applyProtection="1">
      <protection locked="0"/>
    </xf>
    <xf numFmtId="0" fontId="2" fillId="9" borderId="81" xfId="0" applyFont="1" applyFill="1" applyBorder="1" applyProtection="1">
      <protection locked="0"/>
    </xf>
    <xf numFmtId="3" fontId="10" fillId="41" borderId="61" xfId="0" applyNumberFormat="1" applyFont="1" applyFill="1" applyBorder="1" applyAlignment="1" applyProtection="1">
      <alignment horizontal="left" vertical="center"/>
      <protection hidden="1"/>
    </xf>
    <xf numFmtId="3" fontId="10" fillId="41" borderId="58" xfId="0" applyNumberFormat="1" applyFont="1" applyFill="1" applyBorder="1" applyAlignment="1" applyProtection="1">
      <alignment horizontal="left" vertical="center"/>
      <protection hidden="1"/>
    </xf>
    <xf numFmtId="3" fontId="10" fillId="41" borderId="63" xfId="0" applyNumberFormat="1" applyFont="1" applyFill="1" applyBorder="1" applyAlignment="1" applyProtection="1">
      <alignment horizontal="left" vertical="center"/>
      <protection hidden="1"/>
    </xf>
    <xf numFmtId="3" fontId="83" fillId="2" borderId="58" xfId="0" applyNumberFormat="1" applyFont="1" applyFill="1" applyBorder="1" applyAlignment="1" applyProtection="1">
      <alignment horizontal="left" vertical="center"/>
      <protection hidden="1"/>
    </xf>
    <xf numFmtId="0" fontId="84" fillId="0" borderId="32" xfId="0" applyFont="1" applyBorder="1" applyProtection="1">
      <protection hidden="1"/>
    </xf>
    <xf numFmtId="3" fontId="83" fillId="2" borderId="63" xfId="0" applyNumberFormat="1" applyFont="1" applyFill="1" applyBorder="1" applyAlignment="1" applyProtection="1">
      <alignment horizontal="left" vertical="center"/>
      <protection hidden="1"/>
    </xf>
    <xf numFmtId="0" fontId="84" fillId="0" borderId="33" xfId="0" applyFont="1" applyBorder="1" applyProtection="1">
      <protection hidden="1"/>
    </xf>
    <xf numFmtId="3" fontId="83" fillId="2" borderId="61" xfId="0" applyNumberFormat="1" applyFont="1" applyFill="1" applyBorder="1" applyAlignment="1" applyProtection="1">
      <alignment horizontal="left" vertical="center"/>
      <protection hidden="1"/>
    </xf>
    <xf numFmtId="0" fontId="84" fillId="0" borderId="37" xfId="0" applyFont="1" applyBorder="1" applyProtection="1">
      <protection hidden="1"/>
    </xf>
    <xf numFmtId="3" fontId="10" fillId="41" borderId="53" xfId="0" applyNumberFormat="1" applyFont="1" applyFill="1" applyBorder="1" applyAlignment="1" applyProtection="1">
      <alignment horizontal="left" vertical="center"/>
      <protection hidden="1"/>
    </xf>
    <xf numFmtId="3" fontId="10" fillId="41" borderId="54" xfId="0" applyNumberFormat="1" applyFont="1" applyFill="1" applyBorder="1" applyAlignment="1" applyProtection="1">
      <alignment horizontal="left" vertical="center"/>
      <protection hidden="1"/>
    </xf>
    <xf numFmtId="3" fontId="10" fillId="41" borderId="55" xfId="0" applyNumberFormat="1" applyFont="1" applyFill="1" applyBorder="1" applyAlignment="1" applyProtection="1">
      <alignment horizontal="left" vertical="center"/>
      <protection hidden="1"/>
    </xf>
    <xf numFmtId="3" fontId="10" fillId="41" borderId="9" xfId="0" applyNumberFormat="1" applyFont="1" applyFill="1" applyBorder="1" applyAlignment="1" applyProtection="1">
      <alignment horizontal="left" vertical="center"/>
      <protection hidden="1"/>
    </xf>
    <xf numFmtId="3" fontId="10" fillId="41" borderId="56" xfId="0" applyNumberFormat="1" applyFont="1" applyFill="1" applyBorder="1" applyAlignment="1" applyProtection="1">
      <alignment horizontal="left" vertical="center"/>
      <protection hidden="1"/>
    </xf>
    <xf numFmtId="3" fontId="10" fillId="41" borderId="57" xfId="0" applyNumberFormat="1" applyFont="1" applyFill="1" applyBorder="1" applyAlignment="1" applyProtection="1">
      <alignment horizontal="left" vertical="center"/>
      <protection hidden="1"/>
    </xf>
    <xf numFmtId="3" fontId="10" fillId="41" borderId="59" xfId="0" applyNumberFormat="1" applyFont="1" applyFill="1" applyBorder="1" applyAlignment="1" applyProtection="1">
      <alignment horizontal="left" vertical="center"/>
      <protection hidden="1"/>
    </xf>
    <xf numFmtId="3" fontId="10" fillId="41" borderId="60" xfId="0" applyNumberFormat="1" applyFont="1" applyFill="1" applyBorder="1" applyAlignment="1" applyProtection="1">
      <alignment horizontal="left" vertical="center"/>
      <protection hidden="1"/>
    </xf>
    <xf numFmtId="3" fontId="10" fillId="44" borderId="58" xfId="0" applyNumberFormat="1" applyFont="1" applyFill="1" applyBorder="1" applyAlignment="1" applyProtection="1">
      <alignment horizontal="left" vertical="center"/>
      <protection hidden="1"/>
    </xf>
    <xf numFmtId="3" fontId="15" fillId="41" borderId="10" xfId="0" applyNumberFormat="1" applyFont="1" applyFill="1" applyBorder="1" applyAlignment="1" applyProtection="1">
      <alignment horizontal="left" vertical="center"/>
      <protection hidden="1"/>
    </xf>
    <xf numFmtId="0" fontId="15" fillId="13" borderId="10" xfId="0" applyFont="1" applyFill="1" applyBorder="1" applyProtection="1">
      <protection hidden="1"/>
    </xf>
    <xf numFmtId="165" fontId="15" fillId="0" borderId="65" xfId="5" applyNumberFormat="1" applyFont="1" applyBorder="1" applyProtection="1">
      <protection hidden="1"/>
    </xf>
    <xf numFmtId="1" fontId="9" fillId="0" borderId="65" xfId="0" applyNumberFormat="1" applyFont="1" applyBorder="1" applyAlignment="1" applyProtection="1">
      <alignment horizontal="center"/>
      <protection locked="0"/>
    </xf>
    <xf numFmtId="3" fontId="10" fillId="41" borderId="64" xfId="0" applyNumberFormat="1" applyFont="1" applyFill="1" applyBorder="1" applyAlignment="1" applyProtection="1">
      <alignment horizontal="left" vertical="center"/>
      <protection hidden="1"/>
    </xf>
    <xf numFmtId="3" fontId="10" fillId="2" borderId="143" xfId="0" applyNumberFormat="1" applyFont="1" applyFill="1" applyBorder="1" applyAlignment="1" applyProtection="1">
      <alignment horizontal="left" vertical="center"/>
      <protection hidden="1"/>
    </xf>
    <xf numFmtId="0" fontId="9" fillId="0" borderId="144" xfId="0" applyFont="1" applyBorder="1" applyProtection="1">
      <protection hidden="1"/>
    </xf>
    <xf numFmtId="0" fontId="9" fillId="0" borderId="144" xfId="0" applyFont="1" applyBorder="1" applyAlignment="1" applyProtection="1">
      <alignment horizontal="center" vertical="center"/>
      <protection hidden="1"/>
    </xf>
    <xf numFmtId="0" fontId="10" fillId="2" borderId="144" xfId="0" applyFont="1" applyFill="1" applyBorder="1" applyAlignment="1" applyProtection="1">
      <alignment horizontal="center" vertical="center"/>
      <protection locked="0"/>
    </xf>
    <xf numFmtId="0" fontId="10" fillId="0" borderId="144" xfId="0" applyFont="1" applyBorder="1" applyProtection="1">
      <protection hidden="1"/>
    </xf>
    <xf numFmtId="165" fontId="15" fillId="0" borderId="144" xfId="5" applyNumberFormat="1" applyFont="1" applyBorder="1" applyProtection="1">
      <protection hidden="1"/>
    </xf>
    <xf numFmtId="1" fontId="9" fillId="0" borderId="144" xfId="0" applyNumberFormat="1" applyFont="1" applyBorder="1" applyAlignment="1" applyProtection="1">
      <alignment horizontal="center"/>
      <protection locked="0"/>
    </xf>
    <xf numFmtId="3" fontId="68" fillId="27" borderId="10" xfId="0" applyNumberFormat="1" applyFont="1" applyFill="1" applyBorder="1" applyAlignment="1" applyProtection="1">
      <alignment horizontal="left" vertical="center"/>
      <protection hidden="1"/>
    </xf>
    <xf numFmtId="0" fontId="68" fillId="7" borderId="10" xfId="0" applyFont="1" applyFill="1" applyBorder="1" applyProtection="1">
      <protection hidden="1"/>
    </xf>
    <xf numFmtId="0" fontId="68" fillId="2" borderId="10" xfId="0" applyFont="1" applyFill="1" applyBorder="1" applyAlignment="1" applyProtection="1">
      <alignment horizontal="center" vertical="center"/>
      <protection hidden="1"/>
    </xf>
    <xf numFmtId="0" fontId="85" fillId="7" borderId="11" xfId="0" applyFont="1" applyFill="1" applyBorder="1" applyAlignment="1" applyProtection="1">
      <alignment horizontal="center"/>
      <protection hidden="1"/>
    </xf>
    <xf numFmtId="0" fontId="85" fillId="28" borderId="11" xfId="0" applyFont="1" applyFill="1" applyBorder="1" applyAlignment="1" applyProtection="1">
      <alignment horizontal="center"/>
      <protection hidden="1"/>
    </xf>
    <xf numFmtId="166" fontId="68" fillId="0" borderId="10" xfId="5" applyNumberFormat="1" applyFont="1" applyBorder="1" applyProtection="1">
      <protection hidden="1"/>
    </xf>
    <xf numFmtId="0" fontId="16" fillId="26" borderId="0" xfId="0" applyFont="1" applyFill="1" applyAlignment="1" applyProtection="1">
      <alignment horizontal="center"/>
      <protection hidden="1"/>
    </xf>
    <xf numFmtId="2" fontId="0" fillId="0" borderId="0" xfId="0" applyNumberFormat="1"/>
    <xf numFmtId="49" fontId="86" fillId="0" borderId="0" xfId="6" applyNumberFormat="1"/>
    <xf numFmtId="49" fontId="0" fillId="0" borderId="0" xfId="0" applyNumberFormat="1"/>
    <xf numFmtId="171" fontId="86" fillId="0" borderId="0" xfId="6" applyNumberFormat="1"/>
    <xf numFmtId="172" fontId="86" fillId="0" borderId="0" xfId="6" applyNumberFormat="1"/>
    <xf numFmtId="0" fontId="9" fillId="0" borderId="52" xfId="0" applyFont="1" applyBorder="1" applyAlignment="1" applyProtection="1">
      <alignment horizontal="center" vertical="center"/>
      <protection locked="0"/>
    </xf>
    <xf numFmtId="0" fontId="9" fillId="0" borderId="43" xfId="0" applyFont="1" applyBorder="1" applyAlignment="1" applyProtection="1">
      <alignment horizontal="center" vertical="center"/>
      <protection locked="0"/>
    </xf>
    <xf numFmtId="0" fontId="9" fillId="0" borderId="44" xfId="0" applyFont="1" applyBorder="1" applyAlignment="1" applyProtection="1">
      <alignment horizontal="center" vertical="center"/>
      <protection locked="0"/>
    </xf>
    <xf numFmtId="0" fontId="9" fillId="0" borderId="47" xfId="0" applyFont="1" applyBorder="1" applyAlignment="1" applyProtection="1">
      <alignment horizontal="center" vertical="center"/>
      <protection locked="0"/>
    </xf>
    <xf numFmtId="0" fontId="9" fillId="0" borderId="48" xfId="0" applyFont="1" applyBorder="1" applyAlignment="1" applyProtection="1">
      <alignment horizontal="center" vertical="center"/>
      <protection locked="0"/>
    </xf>
    <xf numFmtId="0" fontId="2" fillId="0" borderId="99" xfId="0" applyFont="1" applyBorder="1" applyAlignment="1" applyProtection="1">
      <alignment horizontal="left" vertical="center"/>
      <protection locked="0" hidden="1"/>
    </xf>
    <xf numFmtId="0" fontId="2" fillId="0" borderId="100" xfId="0" applyFont="1" applyBorder="1" applyAlignment="1" applyProtection="1">
      <alignment horizontal="left" vertical="center"/>
      <protection locked="0" hidden="1"/>
    </xf>
    <xf numFmtId="0" fontId="2" fillId="0" borderId="101" xfId="0" applyFont="1" applyBorder="1" applyAlignment="1" applyProtection="1">
      <alignment horizontal="left" vertical="center"/>
      <protection locked="0" hidden="1"/>
    </xf>
    <xf numFmtId="0" fontId="74" fillId="33" borderId="70" xfId="0" applyFont="1" applyFill="1" applyBorder="1" applyAlignment="1" applyProtection="1">
      <alignment horizontal="center" vertical="center"/>
      <protection hidden="1"/>
    </xf>
    <xf numFmtId="0" fontId="74" fillId="33" borderId="92" xfId="0" applyFont="1" applyFill="1" applyBorder="1" applyAlignment="1" applyProtection="1">
      <alignment horizontal="center" vertical="center"/>
      <protection hidden="1"/>
    </xf>
    <xf numFmtId="0" fontId="74" fillId="33" borderId="93" xfId="0" applyFont="1" applyFill="1" applyBorder="1" applyAlignment="1" applyProtection="1">
      <alignment horizontal="center" vertical="center"/>
      <protection hidden="1"/>
    </xf>
    <xf numFmtId="0" fontId="72" fillId="33" borderId="95" xfId="0" applyFont="1" applyFill="1" applyBorder="1" applyAlignment="1" applyProtection="1">
      <alignment horizontal="center" vertical="center"/>
      <protection hidden="1"/>
    </xf>
    <xf numFmtId="0" fontId="72" fillId="33" borderId="96" xfId="0" applyFont="1" applyFill="1" applyBorder="1" applyAlignment="1" applyProtection="1">
      <alignment horizontal="center" vertical="center"/>
      <protection hidden="1"/>
    </xf>
    <xf numFmtId="0" fontId="72" fillId="33" borderId="97" xfId="0" applyFont="1" applyFill="1" applyBorder="1" applyAlignment="1" applyProtection="1">
      <alignment horizontal="center" vertical="center"/>
      <protection hidden="1"/>
    </xf>
    <xf numFmtId="0" fontId="71" fillId="8" borderId="70" xfId="0" applyFont="1" applyFill="1" applyBorder="1" applyAlignment="1" applyProtection="1">
      <alignment horizontal="center" vertical="center"/>
      <protection hidden="1"/>
    </xf>
    <xf numFmtId="0" fontId="71" fillId="8" borderId="92" xfId="0" applyFont="1" applyFill="1" applyBorder="1" applyAlignment="1" applyProtection="1">
      <alignment horizontal="center" vertical="center"/>
      <protection hidden="1"/>
    </xf>
    <xf numFmtId="0" fontId="71" fillId="8" borderId="93" xfId="0" applyFont="1" applyFill="1" applyBorder="1" applyAlignment="1" applyProtection="1">
      <alignment horizontal="center" vertical="center"/>
      <protection hidden="1"/>
    </xf>
    <xf numFmtId="0" fontId="40" fillId="8" borderId="70" xfId="0" applyFont="1" applyFill="1" applyBorder="1" applyAlignment="1" applyProtection="1">
      <alignment horizontal="center" vertical="center"/>
      <protection hidden="1"/>
    </xf>
    <xf numFmtId="0" fontId="40" fillId="8" borderId="92" xfId="0" applyFont="1" applyFill="1" applyBorder="1" applyAlignment="1" applyProtection="1">
      <alignment horizontal="center" vertical="center"/>
      <protection hidden="1"/>
    </xf>
    <xf numFmtId="0" fontId="40" fillId="8" borderId="93" xfId="0" applyFont="1" applyFill="1" applyBorder="1" applyAlignment="1" applyProtection="1">
      <alignment horizontal="center" vertical="center"/>
      <protection hidden="1"/>
    </xf>
    <xf numFmtId="0" fontId="73" fillId="33" borderId="95" xfId="0" applyFont="1" applyFill="1" applyBorder="1" applyAlignment="1" applyProtection="1">
      <alignment horizontal="center" vertical="center"/>
      <protection hidden="1"/>
    </xf>
    <xf numFmtId="0" fontId="73" fillId="33" borderId="96" xfId="0" applyFont="1" applyFill="1" applyBorder="1" applyAlignment="1" applyProtection="1">
      <alignment horizontal="center" vertical="center"/>
      <protection hidden="1"/>
    </xf>
    <xf numFmtId="0" fontId="73" fillId="33" borderId="97" xfId="0" applyFont="1" applyFill="1" applyBorder="1" applyAlignment="1" applyProtection="1">
      <alignment horizontal="center" vertical="center"/>
      <protection hidden="1"/>
    </xf>
    <xf numFmtId="0" fontId="2" fillId="0" borderId="14" xfId="0" applyFont="1" applyBorder="1" applyAlignment="1" applyProtection="1">
      <alignment horizontal="left"/>
      <protection hidden="1"/>
    </xf>
    <xf numFmtId="167" fontId="2" fillId="0" borderId="102" xfId="0" applyNumberFormat="1" applyFont="1" applyBorder="1" applyAlignment="1" applyProtection="1">
      <alignment horizontal="center" vertical="center"/>
      <protection hidden="1"/>
    </xf>
    <xf numFmtId="167" fontId="2" fillId="0" borderId="103" xfId="0" applyNumberFormat="1" applyFont="1" applyBorder="1" applyAlignment="1" applyProtection="1">
      <alignment horizontal="center" vertical="center"/>
      <protection hidden="1"/>
    </xf>
    <xf numFmtId="167" fontId="2" fillId="0" borderId="104" xfId="0" applyNumberFormat="1" applyFont="1" applyBorder="1" applyAlignment="1" applyProtection="1">
      <alignment horizontal="center" vertical="center"/>
      <protection hidden="1"/>
    </xf>
    <xf numFmtId="0" fontId="2" fillId="0" borderId="36" xfId="0" applyFont="1" applyBorder="1" applyAlignment="1" applyProtection="1">
      <alignment horizontal="left"/>
      <protection hidden="1"/>
    </xf>
    <xf numFmtId="170" fontId="2" fillId="0" borderId="99" xfId="0" applyNumberFormat="1" applyFont="1" applyBorder="1" applyAlignment="1" applyProtection="1">
      <alignment horizontal="left" vertical="center"/>
      <protection locked="0" hidden="1"/>
    </xf>
    <xf numFmtId="170" fontId="2" fillId="0" borderId="100" xfId="0" applyNumberFormat="1" applyFont="1" applyBorder="1" applyAlignment="1" applyProtection="1">
      <alignment horizontal="left" vertical="center"/>
      <protection locked="0" hidden="1"/>
    </xf>
    <xf numFmtId="170" fontId="2" fillId="0" borderId="101" xfId="0" applyNumberFormat="1" applyFont="1" applyBorder="1" applyAlignment="1" applyProtection="1">
      <alignment horizontal="left" vertical="center"/>
      <protection locked="0" hidden="1"/>
    </xf>
    <xf numFmtId="0" fontId="9" fillId="9" borderId="94" xfId="0" applyFont="1" applyFill="1" applyBorder="1" applyAlignment="1" applyProtection="1">
      <alignment horizontal="left" vertical="center"/>
      <protection locked="0" hidden="1"/>
    </xf>
    <xf numFmtId="167" fontId="9" fillId="9" borderId="94" xfId="0" applyNumberFormat="1" applyFont="1" applyFill="1" applyBorder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left"/>
      <protection hidden="1"/>
    </xf>
    <xf numFmtId="167" fontId="9" fillId="0" borderId="98" xfId="0" applyNumberFormat="1" applyFont="1" applyBorder="1" applyAlignment="1" applyProtection="1">
      <alignment horizontal="center" vertical="center"/>
      <protection locked="0" hidden="1"/>
    </xf>
    <xf numFmtId="0" fontId="8" fillId="0" borderId="0" xfId="0" applyFont="1" applyAlignment="1" applyProtection="1">
      <alignment horizontal="left"/>
      <protection hidden="1"/>
    </xf>
    <xf numFmtId="0" fontId="3" fillId="8" borderId="70" xfId="0" applyFont="1" applyFill="1" applyBorder="1" applyAlignment="1" applyProtection="1">
      <alignment horizontal="center" vertical="center"/>
      <protection hidden="1"/>
    </xf>
    <xf numFmtId="0" fontId="3" fillId="8" borderId="92" xfId="0" applyFont="1" applyFill="1" applyBorder="1" applyAlignment="1" applyProtection="1">
      <alignment horizontal="center" vertical="center"/>
      <protection hidden="1"/>
    </xf>
    <xf numFmtId="0" fontId="3" fillId="8" borderId="93" xfId="0" applyFont="1" applyFill="1" applyBorder="1" applyAlignment="1" applyProtection="1">
      <alignment horizontal="center" vertical="center"/>
      <protection hidden="1"/>
    </xf>
    <xf numFmtId="49" fontId="9" fillId="9" borderId="94" xfId="0" applyNumberFormat="1" applyFont="1" applyFill="1" applyBorder="1" applyAlignment="1" applyProtection="1">
      <alignment horizontal="left" vertical="center"/>
      <protection locked="0" hidden="1"/>
    </xf>
    <xf numFmtId="0" fontId="2" fillId="0" borderId="0" xfId="0" applyFont="1" applyAlignment="1" applyProtection="1">
      <alignment horizontal="center"/>
      <protection hidden="1"/>
    </xf>
    <xf numFmtId="168" fontId="56" fillId="0" borderId="0" xfId="0" applyNumberFormat="1" applyFont="1" applyAlignment="1" applyProtection="1">
      <alignment horizontal="center"/>
      <protection hidden="1"/>
    </xf>
    <xf numFmtId="168" fontId="56" fillId="0" borderId="75" xfId="0" applyNumberFormat="1" applyFont="1" applyBorder="1" applyAlignment="1" applyProtection="1">
      <alignment horizontal="center"/>
      <protection hidden="1"/>
    </xf>
    <xf numFmtId="0" fontId="54" fillId="0" borderId="15" xfId="0" applyFont="1" applyBorder="1" applyAlignment="1" applyProtection="1">
      <alignment horizontal="center"/>
      <protection hidden="1"/>
    </xf>
    <xf numFmtId="0" fontId="13" fillId="0" borderId="1" xfId="0" applyFont="1" applyBorder="1" applyAlignment="1" applyProtection="1">
      <alignment horizontal="center"/>
      <protection hidden="1"/>
    </xf>
    <xf numFmtId="0" fontId="13" fillId="0" borderId="27" xfId="0" applyFont="1" applyBorder="1" applyAlignment="1" applyProtection="1">
      <alignment horizontal="center"/>
      <protection hidden="1"/>
    </xf>
    <xf numFmtId="0" fontId="13" fillId="0" borderId="26" xfId="0" applyFont="1" applyBorder="1" applyAlignment="1" applyProtection="1">
      <alignment horizontal="center"/>
      <protection hidden="1"/>
    </xf>
    <xf numFmtId="0" fontId="54" fillId="0" borderId="19" xfId="0" applyFont="1" applyBorder="1" applyAlignment="1" applyProtection="1">
      <alignment horizontal="center"/>
      <protection hidden="1"/>
    </xf>
    <xf numFmtId="0" fontId="76" fillId="0" borderId="0" xfId="0" applyFont="1" applyAlignment="1" applyProtection="1">
      <alignment horizontal="center" vertical="center" wrapText="1"/>
      <protection hidden="1"/>
    </xf>
    <xf numFmtId="0" fontId="75" fillId="8" borderId="70" xfId="0" applyFont="1" applyFill="1" applyBorder="1" applyAlignment="1" applyProtection="1">
      <alignment horizontal="center" vertical="center"/>
      <protection hidden="1"/>
    </xf>
    <xf numFmtId="0" fontId="75" fillId="8" borderId="92" xfId="0" applyFont="1" applyFill="1" applyBorder="1" applyAlignment="1" applyProtection="1">
      <alignment horizontal="center" vertical="center"/>
      <protection hidden="1"/>
    </xf>
    <xf numFmtId="0" fontId="75" fillId="8" borderId="93" xfId="0" applyFont="1" applyFill="1" applyBorder="1" applyAlignment="1" applyProtection="1">
      <alignment horizontal="center" vertical="center"/>
      <protection hidden="1"/>
    </xf>
    <xf numFmtId="0" fontId="5" fillId="30" borderId="87" xfId="0" applyFont="1" applyFill="1" applyBorder="1" applyAlignment="1" applyProtection="1">
      <alignment horizontal="center" vertical="center"/>
      <protection locked="0"/>
    </xf>
    <xf numFmtId="0" fontId="5" fillId="30" borderId="88" xfId="0" applyFont="1" applyFill="1" applyBorder="1" applyAlignment="1" applyProtection="1">
      <alignment horizontal="center" vertical="center"/>
      <protection locked="0"/>
    </xf>
    <xf numFmtId="0" fontId="4" fillId="0" borderId="85" xfId="0" applyFont="1" applyBorder="1" applyAlignment="1" applyProtection="1">
      <alignment horizontal="center" vertical="center"/>
      <protection hidden="1"/>
    </xf>
    <xf numFmtId="0" fontId="4" fillId="0" borderId="86" xfId="0" applyFont="1" applyBorder="1" applyAlignment="1" applyProtection="1">
      <alignment horizontal="center" vertical="center"/>
      <protection hidden="1"/>
    </xf>
    <xf numFmtId="0" fontId="6" fillId="36" borderId="89" xfId="0" applyFont="1" applyFill="1" applyBorder="1" applyAlignment="1" applyProtection="1">
      <alignment horizontal="center" vertical="center"/>
      <protection locked="0"/>
    </xf>
    <xf numFmtId="0" fontId="6" fillId="37" borderId="35" xfId="0" applyFont="1" applyFill="1" applyBorder="1" applyAlignment="1" applyProtection="1">
      <alignment horizontal="left" vertical="center"/>
      <protection hidden="1"/>
    </xf>
    <xf numFmtId="0" fontId="6" fillId="37" borderId="35" xfId="0" applyFont="1" applyFill="1" applyBorder="1" applyAlignment="1" applyProtection="1">
      <alignment horizontal="center" vertical="center"/>
      <protection hidden="1"/>
    </xf>
    <xf numFmtId="0" fontId="4" fillId="0" borderId="108" xfId="0" applyFont="1" applyBorder="1" applyAlignment="1" applyProtection="1">
      <alignment horizontal="center"/>
      <protection hidden="1"/>
    </xf>
    <xf numFmtId="0" fontId="4" fillId="0" borderId="106" xfId="0" applyFont="1" applyBorder="1" applyAlignment="1" applyProtection="1">
      <alignment horizontal="center"/>
      <protection hidden="1"/>
    </xf>
    <xf numFmtId="0" fontId="4" fillId="0" borderId="105" xfId="0" applyFont="1" applyBorder="1" applyAlignment="1" applyProtection="1">
      <alignment horizontal="center" vertical="center"/>
      <protection hidden="1"/>
    </xf>
    <xf numFmtId="0" fontId="4" fillId="0" borderId="106" xfId="0" applyFont="1" applyBorder="1" applyAlignment="1" applyProtection="1">
      <alignment horizontal="center" vertical="center"/>
      <protection hidden="1"/>
    </xf>
    <xf numFmtId="0" fontId="6" fillId="34" borderId="107" xfId="0" applyFont="1" applyFill="1" applyBorder="1" applyAlignment="1" applyProtection="1">
      <alignment horizontal="center" vertical="center"/>
      <protection locked="0"/>
    </xf>
    <xf numFmtId="0" fontId="6" fillId="35" borderId="35" xfId="0" applyFont="1" applyFill="1" applyBorder="1" applyAlignment="1" applyProtection="1">
      <alignment horizontal="left" vertical="center"/>
      <protection hidden="1"/>
    </xf>
    <xf numFmtId="0" fontId="6" fillId="35" borderId="35" xfId="0" applyFont="1" applyFill="1" applyBorder="1" applyAlignment="1" applyProtection="1">
      <alignment horizontal="center" vertical="center"/>
      <protection hidden="1"/>
    </xf>
    <xf numFmtId="0" fontId="6" fillId="10" borderId="39" xfId="0" applyFont="1" applyFill="1" applyBorder="1" applyAlignment="1" applyProtection="1">
      <alignment horizontal="left" vertical="center"/>
      <protection hidden="1"/>
    </xf>
    <xf numFmtId="0" fontId="6" fillId="10" borderId="39" xfId="0" applyFont="1" applyFill="1" applyBorder="1" applyAlignment="1" applyProtection="1">
      <alignment horizontal="center" vertical="center"/>
      <protection hidden="1"/>
    </xf>
    <xf numFmtId="0" fontId="4" fillId="0" borderId="66" xfId="0" applyFont="1" applyBorder="1" applyAlignment="1" applyProtection="1">
      <alignment horizontal="center"/>
      <protection hidden="1"/>
    </xf>
    <xf numFmtId="0" fontId="4" fillId="0" borderId="110" xfId="0" applyFont="1" applyBorder="1" applyAlignment="1" applyProtection="1">
      <alignment horizontal="center"/>
      <protection hidden="1"/>
    </xf>
    <xf numFmtId="0" fontId="6" fillId="10" borderId="89" xfId="0" applyFont="1" applyFill="1" applyBorder="1" applyAlignment="1" applyProtection="1">
      <alignment horizontal="center" vertical="center"/>
      <protection locked="0"/>
    </xf>
    <xf numFmtId="0" fontId="4" fillId="14" borderId="111" xfId="0" applyFont="1" applyFill="1" applyBorder="1" applyAlignment="1" applyProtection="1">
      <alignment horizontal="center" vertical="center"/>
      <protection hidden="1"/>
    </xf>
    <xf numFmtId="0" fontId="4" fillId="14" borderId="89" xfId="0" applyFont="1" applyFill="1" applyBorder="1" applyAlignment="1" applyProtection="1">
      <alignment horizontal="center" vertical="center"/>
      <protection hidden="1"/>
    </xf>
    <xf numFmtId="0" fontId="11" fillId="14" borderId="111" xfId="0" applyFont="1" applyFill="1" applyBorder="1" applyAlignment="1" applyProtection="1">
      <alignment horizontal="center" vertical="center"/>
      <protection hidden="1"/>
    </xf>
    <xf numFmtId="0" fontId="11" fillId="14" borderId="89" xfId="0" applyFont="1" applyFill="1" applyBorder="1" applyAlignment="1" applyProtection="1">
      <alignment horizontal="center" vertical="center"/>
      <protection hidden="1"/>
    </xf>
    <xf numFmtId="0" fontId="6" fillId="38" borderId="107" xfId="0" applyFont="1" applyFill="1" applyBorder="1" applyAlignment="1" applyProtection="1">
      <alignment horizontal="center" vertical="center"/>
      <protection locked="0"/>
    </xf>
    <xf numFmtId="0" fontId="63" fillId="30" borderId="112" xfId="0" applyFont="1" applyFill="1" applyBorder="1" applyAlignment="1" applyProtection="1">
      <alignment horizontal="center" vertical="center"/>
      <protection hidden="1"/>
    </xf>
    <xf numFmtId="0" fontId="63" fillId="30" borderId="113" xfId="0" applyFont="1" applyFill="1" applyBorder="1" applyAlignment="1" applyProtection="1">
      <alignment horizontal="center" vertical="center"/>
      <protection hidden="1"/>
    </xf>
    <xf numFmtId="0" fontId="6" fillId="34" borderId="89" xfId="0" applyFont="1" applyFill="1" applyBorder="1" applyAlignment="1" applyProtection="1">
      <alignment horizontal="center" vertical="center"/>
      <protection locked="0"/>
    </xf>
    <xf numFmtId="0" fontId="4" fillId="14" borderId="109" xfId="0" applyFont="1" applyFill="1" applyBorder="1" applyAlignment="1" applyProtection="1">
      <alignment horizontal="center" vertical="center"/>
      <protection hidden="1"/>
    </xf>
    <xf numFmtId="0" fontId="6" fillId="38" borderId="35" xfId="0" applyFont="1" applyFill="1" applyBorder="1" applyAlignment="1" applyProtection="1">
      <alignment horizontal="left" vertical="center"/>
      <protection hidden="1"/>
    </xf>
    <xf numFmtId="0" fontId="6" fillId="38" borderId="35" xfId="0" applyFont="1" applyFill="1" applyBorder="1" applyAlignment="1" applyProtection="1">
      <alignment horizontal="center" vertical="center"/>
      <protection hidden="1"/>
    </xf>
    <xf numFmtId="0" fontId="4" fillId="0" borderId="114" xfId="0" applyFont="1" applyBorder="1" applyAlignment="1" applyProtection="1">
      <alignment horizontal="center"/>
      <protection hidden="1"/>
    </xf>
    <xf numFmtId="0" fontId="10" fillId="30" borderId="112" xfId="0" applyFont="1" applyFill="1" applyBorder="1" applyAlignment="1" applyProtection="1">
      <alignment horizontal="center" vertical="center"/>
      <protection hidden="1"/>
    </xf>
    <xf numFmtId="0" fontId="10" fillId="30" borderId="113" xfId="0" applyFont="1" applyFill="1" applyBorder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left"/>
      <protection hidden="1"/>
    </xf>
    <xf numFmtId="0" fontId="2" fillId="0" borderId="67" xfId="0" applyFont="1" applyBorder="1" applyAlignment="1" applyProtection="1">
      <alignment horizontal="left"/>
      <protection hidden="1"/>
    </xf>
    <xf numFmtId="4" fontId="10" fillId="0" borderId="115" xfId="0" applyNumberFormat="1" applyFont="1" applyBorder="1" applyAlignment="1" applyProtection="1">
      <alignment horizontal="right" vertical="center"/>
      <protection hidden="1"/>
    </xf>
    <xf numFmtId="4" fontId="10" fillId="0" borderId="116" xfId="0" applyNumberFormat="1" applyFont="1" applyBorder="1" applyAlignment="1" applyProtection="1">
      <alignment horizontal="right" vertical="center"/>
      <protection hidden="1"/>
    </xf>
    <xf numFmtId="0" fontId="10" fillId="0" borderId="116" xfId="0" applyFont="1" applyBorder="1" applyAlignment="1" applyProtection="1">
      <alignment horizontal="center" vertical="center"/>
      <protection hidden="1"/>
    </xf>
    <xf numFmtId="0" fontId="10" fillId="0" borderId="117" xfId="0" applyFont="1" applyBorder="1" applyAlignment="1" applyProtection="1">
      <alignment horizontal="center" vertical="center"/>
      <protection hidden="1"/>
    </xf>
    <xf numFmtId="4" fontId="63" fillId="29" borderId="118" xfId="0" applyNumberFormat="1" applyFont="1" applyFill="1" applyBorder="1" applyAlignment="1" applyProtection="1">
      <alignment horizontal="right"/>
      <protection hidden="1"/>
    </xf>
    <xf numFmtId="0" fontId="63" fillId="29" borderId="118" xfId="0" applyFont="1" applyFill="1" applyBorder="1" applyAlignment="1" applyProtection="1">
      <alignment horizontal="center"/>
      <protection hidden="1"/>
    </xf>
    <xf numFmtId="0" fontId="63" fillId="29" borderId="119" xfId="0" applyFont="1" applyFill="1" applyBorder="1" applyAlignment="1" applyProtection="1">
      <alignment horizontal="center"/>
      <protection hidden="1"/>
    </xf>
    <xf numFmtId="0" fontId="2" fillId="0" borderId="12" xfId="0" applyFont="1" applyBorder="1" applyAlignment="1" applyProtection="1">
      <alignment horizontal="left"/>
      <protection hidden="1"/>
    </xf>
    <xf numFmtId="0" fontId="2" fillId="0" borderId="68" xfId="0" applyFont="1" applyBorder="1" applyAlignment="1" applyProtection="1">
      <alignment horizontal="left"/>
      <protection hidden="1"/>
    </xf>
    <xf numFmtId="0" fontId="44" fillId="0" borderId="67" xfId="0" applyFont="1" applyBorder="1" applyAlignment="1" applyProtection="1">
      <alignment horizontal="left"/>
      <protection hidden="1"/>
    </xf>
    <xf numFmtId="0" fontId="44" fillId="0" borderId="12" xfId="0" applyFont="1" applyBorder="1" applyAlignment="1" applyProtection="1">
      <alignment horizontal="left"/>
      <protection hidden="1"/>
    </xf>
    <xf numFmtId="0" fontId="44" fillId="0" borderId="68" xfId="0" applyFont="1" applyBorder="1" applyAlignment="1" applyProtection="1">
      <alignment horizontal="left"/>
      <protection hidden="1"/>
    </xf>
    <xf numFmtId="0" fontId="44" fillId="0" borderId="69" xfId="0" applyFont="1" applyBorder="1" applyAlignment="1" applyProtection="1">
      <alignment horizontal="left"/>
      <protection hidden="1"/>
    </xf>
    <xf numFmtId="0" fontId="44" fillId="0" borderId="10" xfId="0" applyFont="1" applyBorder="1" applyAlignment="1" applyProtection="1">
      <alignment horizontal="left"/>
      <protection hidden="1"/>
    </xf>
    <xf numFmtId="0" fontId="5" fillId="30" borderId="105" xfId="0" applyFont="1" applyFill="1" applyBorder="1" applyAlignment="1" applyProtection="1">
      <alignment horizontal="center" vertical="center"/>
      <protection locked="0"/>
    </xf>
    <xf numFmtId="0" fontId="5" fillId="30" borderId="106" xfId="0" applyFont="1" applyFill="1" applyBorder="1" applyAlignment="1" applyProtection="1">
      <alignment horizontal="center" vertical="center"/>
      <protection locked="0"/>
    </xf>
    <xf numFmtId="0" fontId="5" fillId="30" borderId="111" xfId="0" applyFont="1" applyFill="1" applyBorder="1" applyAlignment="1" applyProtection="1">
      <alignment horizontal="center" vertical="center"/>
      <protection locked="0"/>
    </xf>
    <xf numFmtId="0" fontId="5" fillId="30" borderId="121" xfId="0" applyFont="1" applyFill="1" applyBorder="1" applyAlignment="1" applyProtection="1">
      <alignment horizontal="center" vertical="center"/>
      <protection locked="0"/>
    </xf>
    <xf numFmtId="0" fontId="5" fillId="16" borderId="87" xfId="0" applyFont="1" applyFill="1" applyBorder="1" applyAlignment="1" applyProtection="1">
      <alignment horizontal="center" vertical="center"/>
      <protection hidden="1"/>
    </xf>
    <xf numFmtId="0" fontId="5" fillId="16" borderId="88" xfId="0" applyFont="1" applyFill="1" applyBorder="1" applyAlignment="1" applyProtection="1">
      <alignment horizontal="center" vertical="center"/>
      <protection hidden="1"/>
    </xf>
    <xf numFmtId="0" fontId="5" fillId="16" borderId="122" xfId="0" applyFont="1" applyFill="1" applyBorder="1" applyAlignment="1" applyProtection="1">
      <alignment horizontal="center" vertical="center"/>
      <protection hidden="1"/>
    </xf>
    <xf numFmtId="0" fontId="5" fillId="16" borderId="114" xfId="0" applyFont="1" applyFill="1" applyBorder="1" applyAlignment="1" applyProtection="1">
      <alignment horizontal="center" vertical="center"/>
      <protection hidden="1"/>
    </xf>
    <xf numFmtId="0" fontId="5" fillId="16" borderId="120" xfId="0" applyFont="1" applyFill="1" applyBorder="1" applyAlignment="1" applyProtection="1">
      <alignment horizontal="center" vertical="center"/>
      <protection hidden="1"/>
    </xf>
    <xf numFmtId="0" fontId="5" fillId="16" borderId="126" xfId="0" applyFont="1" applyFill="1" applyBorder="1" applyAlignment="1" applyProtection="1">
      <alignment horizontal="center" vertical="center"/>
      <protection hidden="1"/>
    </xf>
    <xf numFmtId="0" fontId="65" fillId="0" borderId="0" xfId="0" applyFont="1" applyAlignment="1" applyProtection="1">
      <alignment horizontal="center"/>
      <protection hidden="1"/>
    </xf>
    <xf numFmtId="2" fontId="65" fillId="16" borderId="0" xfId="0" applyNumberFormat="1" applyFont="1" applyFill="1" applyAlignment="1" applyProtection="1">
      <alignment horizontal="center"/>
      <protection hidden="1"/>
    </xf>
    <xf numFmtId="0" fontId="40" fillId="0" borderId="0" xfId="0" applyFont="1" applyAlignment="1" applyProtection="1">
      <alignment horizontal="center"/>
      <protection hidden="1"/>
    </xf>
    <xf numFmtId="0" fontId="5" fillId="13" borderId="87" xfId="0" applyFont="1" applyFill="1" applyBorder="1" applyAlignment="1" applyProtection="1">
      <alignment horizontal="center" vertical="center"/>
      <protection locked="0"/>
    </xf>
    <xf numFmtId="0" fontId="5" fillId="13" borderId="88" xfId="0" applyFont="1" applyFill="1" applyBorder="1" applyAlignment="1" applyProtection="1">
      <alignment horizontal="center" vertical="center"/>
      <protection locked="0"/>
    </xf>
    <xf numFmtId="0" fontId="65" fillId="0" borderId="127" xfId="0" applyFont="1" applyBorder="1" applyAlignment="1" applyProtection="1">
      <alignment horizontal="center"/>
      <protection hidden="1"/>
    </xf>
    <xf numFmtId="0" fontId="10" fillId="13" borderId="112" xfId="0" applyFont="1" applyFill="1" applyBorder="1" applyAlignment="1" applyProtection="1">
      <alignment horizontal="center" vertical="center"/>
      <protection hidden="1"/>
    </xf>
    <xf numFmtId="0" fontId="10" fillId="13" borderId="113" xfId="0" applyFont="1" applyFill="1" applyBorder="1" applyAlignment="1" applyProtection="1">
      <alignment horizontal="center" vertical="center"/>
      <protection hidden="1"/>
    </xf>
    <xf numFmtId="0" fontId="5" fillId="13" borderId="128" xfId="0" applyFont="1" applyFill="1" applyBorder="1" applyAlignment="1" applyProtection="1">
      <alignment horizontal="center" vertical="center"/>
      <protection locked="0"/>
    </xf>
    <xf numFmtId="0" fontId="4" fillId="14" borderId="121" xfId="0" applyFont="1" applyFill="1" applyBorder="1" applyAlignment="1" applyProtection="1">
      <alignment horizontal="center" vertical="center"/>
      <protection hidden="1"/>
    </xf>
    <xf numFmtId="0" fontId="63" fillId="40" borderId="129" xfId="1" applyFont="1" applyFill="1" applyBorder="1" applyAlignment="1" applyProtection="1">
      <alignment horizontal="center" vertical="center" wrapText="1"/>
      <protection hidden="1"/>
    </xf>
    <xf numFmtId="0" fontId="63" fillId="40" borderId="130" xfId="1" applyFont="1" applyFill="1" applyBorder="1" applyAlignment="1" applyProtection="1">
      <alignment horizontal="center" vertical="center" wrapText="1"/>
      <protection hidden="1"/>
    </xf>
    <xf numFmtId="0" fontId="63" fillId="40" borderId="131" xfId="1" applyFont="1" applyFill="1" applyBorder="1" applyAlignment="1" applyProtection="1">
      <alignment horizontal="center" vertical="center" wrapText="1"/>
      <protection hidden="1"/>
    </xf>
    <xf numFmtId="0" fontId="63" fillId="40" borderId="132" xfId="1" applyFont="1" applyFill="1" applyBorder="1" applyAlignment="1" applyProtection="1">
      <alignment horizontal="center" vertical="center" wrapText="1"/>
      <protection hidden="1"/>
    </xf>
    <xf numFmtId="0" fontId="63" fillId="40" borderId="133" xfId="1" applyFont="1" applyFill="1" applyBorder="1" applyAlignment="1" applyProtection="1">
      <alignment horizontal="center" vertical="center" wrapText="1"/>
      <protection hidden="1"/>
    </xf>
    <xf numFmtId="0" fontId="63" fillId="40" borderId="134" xfId="1" applyFont="1" applyFill="1" applyBorder="1" applyAlignment="1" applyProtection="1">
      <alignment horizontal="center" vertical="center" wrapText="1"/>
      <protection hidden="1"/>
    </xf>
    <xf numFmtId="0" fontId="65" fillId="16" borderId="127" xfId="0" applyFont="1" applyFill="1" applyBorder="1" applyAlignment="1" applyProtection="1">
      <alignment horizontal="center"/>
      <protection hidden="1"/>
    </xf>
    <xf numFmtId="0" fontId="65" fillId="16" borderId="0" xfId="0" applyFont="1" applyFill="1" applyAlignment="1" applyProtection="1">
      <alignment horizontal="center"/>
      <protection hidden="1"/>
    </xf>
    <xf numFmtId="0" fontId="69" fillId="0" borderId="0" xfId="0" applyFont="1" applyAlignment="1" applyProtection="1">
      <alignment horizontal="center" vertical="center" wrapText="1"/>
      <protection hidden="1"/>
    </xf>
    <xf numFmtId="0" fontId="4" fillId="16" borderId="89" xfId="0" applyFont="1" applyFill="1" applyBorder="1" applyAlignment="1" applyProtection="1">
      <alignment horizontal="center" vertical="center"/>
      <protection hidden="1"/>
    </xf>
    <xf numFmtId="0" fontId="10" fillId="13" borderId="111" xfId="0" applyFont="1" applyFill="1" applyBorder="1" applyAlignment="1" applyProtection="1">
      <alignment horizontal="center" vertical="center"/>
      <protection hidden="1"/>
    </xf>
    <xf numFmtId="0" fontId="10" fillId="13" borderId="89" xfId="0" applyFont="1" applyFill="1" applyBorder="1" applyAlignment="1" applyProtection="1">
      <alignment horizontal="center" vertical="center"/>
      <protection hidden="1"/>
    </xf>
    <xf numFmtId="0" fontId="5" fillId="13" borderId="135" xfId="0" applyFont="1" applyFill="1" applyBorder="1" applyAlignment="1" applyProtection="1">
      <alignment horizontal="center" vertical="center"/>
      <protection locked="0"/>
    </xf>
    <xf numFmtId="0" fontId="65" fillId="14" borderId="111" xfId="0" applyFont="1" applyFill="1" applyBorder="1" applyAlignment="1" applyProtection="1">
      <alignment horizontal="center" vertical="center"/>
      <protection hidden="1"/>
    </xf>
    <xf numFmtId="0" fontId="65" fillId="14" borderId="89" xfId="0" applyFont="1" applyFill="1" applyBorder="1" applyAlignment="1" applyProtection="1">
      <alignment horizontal="center" vertical="center"/>
      <protection hidden="1"/>
    </xf>
    <xf numFmtId="0" fontId="65" fillId="14" borderId="121" xfId="0" applyFont="1" applyFill="1" applyBorder="1" applyAlignment="1" applyProtection="1">
      <alignment horizontal="center" vertical="center"/>
      <protection hidden="1"/>
    </xf>
    <xf numFmtId="0" fontId="65" fillId="14" borderId="123" xfId="0" applyFont="1" applyFill="1" applyBorder="1" applyAlignment="1" applyProtection="1">
      <alignment horizontal="center" vertical="center"/>
      <protection hidden="1"/>
    </xf>
    <xf numFmtId="0" fontId="5" fillId="30" borderId="128" xfId="0" applyFont="1" applyFill="1" applyBorder="1" applyAlignment="1" applyProtection="1">
      <alignment horizontal="center" vertical="center"/>
      <protection locked="0"/>
    </xf>
    <xf numFmtId="0" fontId="5" fillId="30" borderId="136" xfId="0" applyFont="1" applyFill="1" applyBorder="1" applyAlignment="1" applyProtection="1">
      <alignment horizontal="center" vertical="center"/>
      <protection locked="0"/>
    </xf>
    <xf numFmtId="0" fontId="5" fillId="30" borderId="137" xfId="0" applyFont="1" applyFill="1" applyBorder="1" applyAlignment="1" applyProtection="1">
      <alignment horizontal="center" vertical="center"/>
      <protection locked="0"/>
    </xf>
    <xf numFmtId="0" fontId="5" fillId="30" borderId="108" xfId="0" applyFont="1" applyFill="1" applyBorder="1" applyAlignment="1" applyProtection="1">
      <alignment horizontal="center" vertical="center"/>
      <protection locked="0"/>
    </xf>
    <xf numFmtId="0" fontId="5" fillId="16" borderId="111" xfId="0" applyFont="1" applyFill="1" applyBorder="1" applyAlignment="1" applyProtection="1">
      <alignment horizontal="center" vertical="center"/>
      <protection hidden="1"/>
    </xf>
    <xf numFmtId="0" fontId="5" fillId="16" borderId="136" xfId="0" applyFont="1" applyFill="1" applyBorder="1" applyAlignment="1" applyProtection="1">
      <alignment horizontal="center" vertical="center"/>
      <protection hidden="1"/>
    </xf>
    <xf numFmtId="0" fontId="5" fillId="16" borderId="105" xfId="0" applyFont="1" applyFill="1" applyBorder="1" applyAlignment="1" applyProtection="1">
      <alignment horizontal="center" vertical="center"/>
      <protection hidden="1"/>
    </xf>
    <xf numFmtId="0" fontId="5" fillId="16" borderId="108" xfId="0" applyFont="1" applyFill="1" applyBorder="1" applyAlignment="1" applyProtection="1">
      <alignment horizontal="center" vertical="center"/>
      <protection hidden="1"/>
    </xf>
    <xf numFmtId="0" fontId="15" fillId="2" borderId="10" xfId="0" applyFont="1" applyFill="1" applyBorder="1" applyAlignment="1" applyProtection="1">
      <alignment horizontal="center" vertical="center"/>
      <protection hidden="1"/>
    </xf>
    <xf numFmtId="3" fontId="61" fillId="41" borderId="10" xfId="0" applyNumberFormat="1" applyFont="1" applyFill="1" applyBorder="1" applyAlignment="1" applyProtection="1">
      <alignment horizontal="center" vertical="center"/>
      <protection hidden="1"/>
    </xf>
    <xf numFmtId="0" fontId="5" fillId="16" borderId="138" xfId="0" applyFont="1" applyFill="1" applyBorder="1" applyAlignment="1" applyProtection="1">
      <alignment horizontal="center" vertical="center"/>
      <protection hidden="1"/>
    </xf>
    <xf numFmtId="0" fontId="5" fillId="16" borderId="139" xfId="0" applyFont="1" applyFill="1" applyBorder="1" applyAlignment="1" applyProtection="1">
      <alignment horizontal="center" vertical="center"/>
      <protection hidden="1"/>
    </xf>
    <xf numFmtId="0" fontId="73" fillId="39" borderId="124" xfId="0" applyFont="1" applyFill="1" applyBorder="1" applyAlignment="1" applyProtection="1">
      <alignment horizontal="center" vertical="center"/>
      <protection locked="0"/>
    </xf>
    <xf numFmtId="0" fontId="73" fillId="39" borderId="125" xfId="0" applyFont="1" applyFill="1" applyBorder="1" applyAlignment="1" applyProtection="1">
      <alignment horizontal="center" vertical="center"/>
      <protection locked="0"/>
    </xf>
    <xf numFmtId="0" fontId="65" fillId="35" borderId="0" xfId="0" applyFont="1" applyFill="1" applyAlignment="1">
      <alignment horizontal="center" vertical="center"/>
    </xf>
    <xf numFmtId="0" fontId="17" fillId="30" borderId="0" xfId="0" applyFont="1" applyFill="1" applyAlignment="1" applyProtection="1">
      <alignment horizontal="center" textRotation="90"/>
      <protection hidden="1"/>
    </xf>
    <xf numFmtId="4" fontId="10" fillId="0" borderId="14" xfId="0" applyNumberFormat="1" applyFont="1" applyBorder="1" applyAlignment="1" applyProtection="1">
      <alignment horizontal="right"/>
      <protection hidden="1"/>
    </xf>
    <xf numFmtId="0" fontId="31" fillId="29" borderId="0" xfId="0" applyFont="1" applyFill="1" applyAlignment="1" applyProtection="1">
      <alignment horizontal="center" textRotation="90"/>
      <protection hidden="1"/>
    </xf>
    <xf numFmtId="0" fontId="16" fillId="0" borderId="14" xfId="0" applyFont="1" applyBorder="1" applyAlignment="1" applyProtection="1">
      <alignment horizontal="center" vertical="top"/>
      <protection locked="0" hidden="1"/>
    </xf>
    <xf numFmtId="49" fontId="10" fillId="9" borderId="0" xfId="0" applyNumberFormat="1" applyFont="1" applyFill="1" applyAlignment="1" applyProtection="1">
      <alignment horizontal="left" vertical="center"/>
      <protection locked="0" hidden="1"/>
    </xf>
    <xf numFmtId="0" fontId="65" fillId="26" borderId="0" xfId="0" applyFont="1" applyFill="1" applyAlignment="1">
      <alignment horizontal="center" vertical="center"/>
    </xf>
    <xf numFmtId="0" fontId="21" fillId="6" borderId="0" xfId="0" applyFont="1" applyFill="1" applyAlignment="1" applyProtection="1">
      <alignment horizontal="center" textRotation="90"/>
      <protection hidden="1"/>
    </xf>
  </cellXfs>
  <cellStyles count="7">
    <cellStyle name="Hypertextový odkaz" xfId="1" builtinId="8"/>
    <cellStyle name="Hypertextový odkaz 2" xfId="2" xr:uid="{00000000-0005-0000-0000-000001000000}"/>
    <cellStyle name="Měna" xfId="3" builtinId="4"/>
    <cellStyle name="Normální" xfId="0" builtinId="0"/>
    <cellStyle name="Normální 2" xfId="6" xr:uid="{664BA6AB-3729-4CD3-A4CE-2805627687E3}"/>
    <cellStyle name="normální 2 2" xfId="4" xr:uid="{00000000-0005-0000-0000-000004000000}"/>
    <cellStyle name="Normální 5" xfId="5" xr:uid="{00000000-0005-0000-0000-000005000000}"/>
  </cellStyles>
  <dxfs count="100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theme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theme="1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theme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color theme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color auto="1"/>
      </font>
      <fill>
        <patternFill>
          <bgColor rgb="FF72B9E7"/>
        </patternFill>
      </fill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ont>
        <b val="0"/>
        <i val="0"/>
      </font>
    </dxf>
    <dxf>
      <fill>
        <patternFill>
          <bgColor rgb="FFDE5B41"/>
        </patternFill>
      </fill>
    </dxf>
    <dxf>
      <font>
        <b val="0"/>
        <i val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  <border>
        <left/>
        <right/>
        <top/>
        <bottom/>
      </border>
    </dxf>
    <dxf>
      <font>
        <color theme="0"/>
      </font>
    </dxf>
    <dxf>
      <font>
        <color theme="0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7F7F7F"/>
      <color rgb="FFC6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06/relationships/vbaProject" Target="vbaProject.bin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AVT187In!A1"/><Relationship Id="rId13" Type="http://schemas.openxmlformats.org/officeDocument/2006/relationships/hyperlink" Target="#'AVT-celny-101+187'!A1"/><Relationship Id="rId18" Type="http://schemas.openxmlformats.org/officeDocument/2006/relationships/hyperlink" Target="#'AVT187In(vn-A)'!A1"/><Relationship Id="rId3" Type="http://schemas.openxmlformats.org/officeDocument/2006/relationships/hyperlink" Target="#'AVT-celny-139+187'!A1"/><Relationship Id="rId21" Type="http://schemas.openxmlformats.org/officeDocument/2006/relationships/hyperlink" Target="#'potr-o101+187-IL'!A1"/><Relationship Id="rId7" Type="http://schemas.openxmlformats.org/officeDocument/2006/relationships/hyperlink" Target="#AVT187!A1"/><Relationship Id="rId12" Type="http://schemas.openxmlformats.org/officeDocument/2006/relationships/hyperlink" Target="#AVT77!A1"/><Relationship Id="rId17" Type="http://schemas.openxmlformats.org/officeDocument/2006/relationships/hyperlink" Target="#'AVT187(vn-S)'!A1"/><Relationship Id="rId2" Type="http://schemas.openxmlformats.org/officeDocument/2006/relationships/hyperlink" Target="#'AVT-celny-2x187'!A1"/><Relationship Id="rId16" Type="http://schemas.openxmlformats.org/officeDocument/2006/relationships/hyperlink" Target="#'AVT187(vn-A)'!A1"/><Relationship Id="rId20" Type="http://schemas.openxmlformats.org/officeDocument/2006/relationships/hyperlink" Target="#'potr-v101+187-IL'!A1"/><Relationship Id="rId1" Type="http://schemas.openxmlformats.org/officeDocument/2006/relationships/hyperlink" Target="#'potr-v101+187'!A1"/><Relationship Id="rId6" Type="http://schemas.openxmlformats.org/officeDocument/2006/relationships/hyperlink" Target="#AVT139!A1"/><Relationship Id="rId11" Type="http://schemas.openxmlformats.org/officeDocument/2006/relationships/image" Target="../media/image11.png"/><Relationship Id="rId5" Type="http://schemas.openxmlformats.org/officeDocument/2006/relationships/hyperlink" Target="#AVT101!A1"/><Relationship Id="rId15" Type="http://schemas.openxmlformats.org/officeDocument/2006/relationships/image" Target="../media/image6.png"/><Relationship Id="rId23" Type="http://schemas.openxmlformats.org/officeDocument/2006/relationships/hyperlink" Target="#'potr-o187-IL'!A1"/><Relationship Id="rId10" Type="http://schemas.openxmlformats.org/officeDocument/2006/relationships/hyperlink" Target="#'AVT139(vn-A)'!A1"/><Relationship Id="rId19" Type="http://schemas.openxmlformats.org/officeDocument/2006/relationships/hyperlink" Target="#'AVT-celny-2x187In'!A1"/><Relationship Id="rId4" Type="http://schemas.openxmlformats.org/officeDocument/2006/relationships/hyperlink" Target="#'AVT187In(vn-S)'!A1"/><Relationship Id="rId9" Type="http://schemas.openxmlformats.org/officeDocument/2006/relationships/hyperlink" Target="#'AVT101(vn-A)'!A1"/><Relationship Id="rId14" Type="http://schemas.openxmlformats.org/officeDocument/2006/relationships/hyperlink" Target="#AVT251!A1"/><Relationship Id="rId22" Type="http://schemas.openxmlformats.org/officeDocument/2006/relationships/hyperlink" Target="#'potr-o101+187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OT440!A1"/><Relationship Id="rId2" Type="http://schemas.openxmlformats.org/officeDocument/2006/relationships/image" Target="../media/image11.png"/><Relationship Id="rId1" Type="http://schemas.openxmlformats.org/officeDocument/2006/relationships/image" Target="../media/image6.png"/><Relationship Id="rId4" Type="http://schemas.openxmlformats.org/officeDocument/2006/relationships/image" Target="../media/image12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4" Type="http://schemas.openxmlformats.org/officeDocument/2006/relationships/image" Target="../media/image1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4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4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4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5" Type="http://schemas.openxmlformats.org/officeDocument/2006/relationships/image" Target="../media/image14.png"/><Relationship Id="rId4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5" Type="http://schemas.openxmlformats.org/officeDocument/2006/relationships/image" Target="../media/image14.png"/><Relationship Id="rId4" Type="http://schemas.openxmlformats.org/officeDocument/2006/relationships/image" Target="../media/image18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9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9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5" Type="http://schemas.openxmlformats.org/officeDocument/2006/relationships/image" Target="../media/image22.png"/><Relationship Id="rId4" Type="http://schemas.openxmlformats.org/officeDocument/2006/relationships/image" Target="../media/image2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4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3.png"/><Relationship Id="rId4" Type="http://schemas.openxmlformats.org/officeDocument/2006/relationships/image" Target="../media/image2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13.png"/><Relationship Id="rId5" Type="http://schemas.openxmlformats.org/officeDocument/2006/relationships/image" Target="../media/image18.png"/><Relationship Id="rId4" Type="http://schemas.openxmlformats.org/officeDocument/2006/relationships/image" Target="../media/image17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'MENU-2'!A5"/><Relationship Id="rId2" Type="http://schemas.openxmlformats.org/officeDocument/2006/relationships/hyperlink" Target="#MENU!A5"/><Relationship Id="rId1" Type="http://schemas.openxmlformats.org/officeDocument/2006/relationships/hyperlink" Target="#FORM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25</xdr:row>
      <xdr:rowOff>182880</xdr:rowOff>
    </xdr:from>
    <xdr:to>
      <xdr:col>5</xdr:col>
      <xdr:colOff>91440</xdr:colOff>
      <xdr:row>30</xdr:row>
      <xdr:rowOff>144780</xdr:rowOff>
    </xdr:to>
    <xdr:pic>
      <xdr:nvPicPr>
        <xdr:cNvPr id="434189" name="Picture 24">
          <a:extLst>
            <a:ext uri="{FF2B5EF4-FFF2-40B4-BE49-F238E27FC236}">
              <a16:creationId xmlns:a16="http://schemas.microsoft.com/office/drawing/2014/main" id="{00000000-0008-0000-0000-00000DA0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4922520"/>
          <a:ext cx="107442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20955</xdr:colOff>
      <xdr:row>5</xdr:row>
      <xdr:rowOff>163830</xdr:rowOff>
    </xdr:from>
    <xdr:to>
      <xdr:col>26</xdr:col>
      <xdr:colOff>185955</xdr:colOff>
      <xdr:row>6</xdr:row>
      <xdr:rowOff>162855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spect="1"/>
        </xdr:cNvSpPr>
      </xdr:nvSpPr>
      <xdr:spPr>
        <a:xfrm>
          <a:off x="6257925" y="1247775"/>
          <a:ext cx="180000" cy="180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?</a:t>
          </a:r>
        </a:p>
      </xdr:txBody>
    </xdr:sp>
    <xdr:clientData/>
  </xdr:twoCellAnchor>
  <xdr:twoCellAnchor>
    <xdr:from>
      <xdr:col>24</xdr:col>
      <xdr:colOff>196215</xdr:colOff>
      <xdr:row>23</xdr:row>
      <xdr:rowOff>0</xdr:rowOff>
    </xdr:from>
    <xdr:to>
      <xdr:col>25</xdr:col>
      <xdr:colOff>145710</xdr:colOff>
      <xdr:row>23</xdr:row>
      <xdr:rowOff>180000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spect="1"/>
        </xdr:cNvSpPr>
      </xdr:nvSpPr>
      <xdr:spPr>
        <a:xfrm>
          <a:off x="5972175" y="4333875"/>
          <a:ext cx="180000" cy="180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216566</xdr:colOff>
      <xdr:row>9</xdr:row>
      <xdr:rowOff>24064</xdr:rowOff>
    </xdr:from>
    <xdr:to>
      <xdr:col>30</xdr:col>
      <xdr:colOff>195813</xdr:colOff>
      <xdr:row>12</xdr:row>
      <xdr:rowOff>134230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98" y="1844843"/>
          <a:ext cx="628952" cy="663619"/>
        </a:xfrm>
        <a:prstGeom prst="rect">
          <a:avLst/>
        </a:prstGeom>
      </xdr:spPr>
    </xdr:pic>
    <xdr:clientData/>
  </xdr:twoCellAnchor>
  <xdr:twoCellAnchor editAs="oneCell">
    <xdr:from>
      <xdr:col>24</xdr:col>
      <xdr:colOff>8020</xdr:colOff>
      <xdr:row>9</xdr:row>
      <xdr:rowOff>40107</xdr:rowOff>
    </xdr:from>
    <xdr:to>
      <xdr:col>26</xdr:col>
      <xdr:colOff>200526</xdr:colOff>
      <xdr:row>12</xdr:row>
      <xdr:rowOff>149244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7746" y="1860886"/>
          <a:ext cx="625643" cy="662590"/>
        </a:xfrm>
        <a:prstGeom prst="rect">
          <a:avLst/>
        </a:prstGeom>
      </xdr:spPr>
    </xdr:pic>
    <xdr:clientData/>
  </xdr:twoCellAnchor>
  <xdr:twoCellAnchor editAs="oneCell">
    <xdr:from>
      <xdr:col>19</xdr:col>
      <xdr:colOff>208546</xdr:colOff>
      <xdr:row>9</xdr:row>
      <xdr:rowOff>40106</xdr:rowOff>
    </xdr:from>
    <xdr:to>
      <xdr:col>22</xdr:col>
      <xdr:colOff>195222</xdr:colOff>
      <xdr:row>12</xdr:row>
      <xdr:rowOff>152748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55430" y="1860885"/>
          <a:ext cx="636381" cy="666095"/>
        </a:xfrm>
        <a:prstGeom prst="rect">
          <a:avLst/>
        </a:prstGeom>
      </xdr:spPr>
    </xdr:pic>
    <xdr:clientData/>
  </xdr:twoCellAnchor>
  <xdr:twoCellAnchor editAs="oneCell">
    <xdr:from>
      <xdr:col>19</xdr:col>
      <xdr:colOff>38100</xdr:colOff>
      <xdr:row>19</xdr:row>
      <xdr:rowOff>91440</xdr:rowOff>
    </xdr:from>
    <xdr:to>
      <xdr:col>26</xdr:col>
      <xdr:colOff>137160</xdr:colOff>
      <xdr:row>21</xdr:row>
      <xdr:rowOff>114300</xdr:rowOff>
    </xdr:to>
    <xdr:pic>
      <xdr:nvPicPr>
        <xdr:cNvPr id="432360" name="Obrázek 2">
          <a:extLst>
            <a:ext uri="{FF2B5EF4-FFF2-40B4-BE49-F238E27FC236}">
              <a16:creationId xmlns:a16="http://schemas.microsoft.com/office/drawing/2014/main" id="{00000000-0008-0000-0100-0000E89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3733800"/>
          <a:ext cx="159258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15240</xdr:colOff>
      <xdr:row>28</xdr:row>
      <xdr:rowOff>15240</xdr:rowOff>
    </xdr:from>
    <xdr:to>
      <xdr:col>44</xdr:col>
      <xdr:colOff>15240</xdr:colOff>
      <xdr:row>36</xdr:row>
      <xdr:rowOff>114300</xdr:rowOff>
    </xdr:to>
    <xdr:pic>
      <xdr:nvPicPr>
        <xdr:cNvPr id="432361" name="Picture 24">
          <a:extLst>
            <a:ext uri="{FF2B5EF4-FFF2-40B4-BE49-F238E27FC236}">
              <a16:creationId xmlns:a16="http://schemas.microsoft.com/office/drawing/2014/main" id="{00000000-0008-0000-0100-0000E998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5303520"/>
          <a:ext cx="1920240" cy="158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243840</xdr:colOff>
      <xdr:row>4</xdr:row>
      <xdr:rowOff>175260</xdr:rowOff>
    </xdr:from>
    <xdr:to>
      <xdr:col>17</xdr:col>
      <xdr:colOff>114300</xdr:colOff>
      <xdr:row>23</xdr:row>
      <xdr:rowOff>53340</xdr:rowOff>
    </xdr:to>
    <xdr:grpSp>
      <xdr:nvGrpSpPr>
        <xdr:cNvPr id="432362" name="Skupina 4">
          <a:extLst>
            <a:ext uri="{FF2B5EF4-FFF2-40B4-BE49-F238E27FC236}">
              <a16:creationId xmlns:a16="http://schemas.microsoft.com/office/drawing/2014/main" id="{00000000-0008-0000-0100-0000EA980600}"/>
            </a:ext>
          </a:extLst>
        </xdr:cNvPr>
        <xdr:cNvGrpSpPr>
          <a:grpSpLocks/>
        </xdr:cNvGrpSpPr>
      </xdr:nvGrpSpPr>
      <xdr:grpSpPr bwMode="auto">
        <a:xfrm>
          <a:off x="243840" y="1077628"/>
          <a:ext cx="4001302" cy="3307080"/>
          <a:chOff x="240633" y="1074822"/>
          <a:chExt cx="3587874" cy="3384883"/>
        </a:xfrm>
      </xdr:grpSpPr>
      <xdr:pic>
        <xdr:nvPicPr>
          <xdr:cNvPr id="432396" name="Obrázek 3">
            <a:extLst>
              <a:ext uri="{FF2B5EF4-FFF2-40B4-BE49-F238E27FC236}">
                <a16:creationId xmlns:a16="http://schemas.microsoft.com/office/drawing/2014/main" id="{00000000-0008-0000-0100-00000C9906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0633" y="1074822"/>
            <a:ext cx="3587874" cy="33848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" name="TextovéPole 2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 txBox="1"/>
        </xdr:nvSpPr>
        <xdr:spPr bwMode="auto">
          <a:xfrm>
            <a:off x="650455" y="3451933"/>
            <a:ext cx="3139390" cy="9846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b"/>
          <a:lstStyle/>
          <a:p>
            <a:pPr algn="r"/>
            <a:r>
              <a:rPr lang="cs-CZ" sz="2700" b="1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AvanTech YOU</a:t>
            </a:r>
          </a:p>
          <a:p>
            <a:pPr algn="r"/>
            <a:r>
              <a:rPr lang="cs-CZ" sz="2000" b="1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konfigurátor</a:t>
            </a:r>
          </a:p>
        </xdr:txBody>
      </xdr:sp>
    </xdr:grpSp>
    <xdr:clientData/>
  </xdr:twoCellAnchor>
  <xdr:twoCellAnchor>
    <xdr:from>
      <xdr:col>47</xdr:col>
      <xdr:colOff>180975</xdr:colOff>
      <xdr:row>38</xdr:row>
      <xdr:rowOff>85725</xdr:rowOff>
    </xdr:from>
    <xdr:to>
      <xdr:col>47</xdr:col>
      <xdr:colOff>360975</xdr:colOff>
      <xdr:row>39</xdr:row>
      <xdr:rowOff>84750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spect="1"/>
        </xdr:cNvSpPr>
      </xdr:nvSpPr>
      <xdr:spPr>
        <a:xfrm>
          <a:off x="12344400" y="4057650"/>
          <a:ext cx="180000" cy="180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  <xdr:twoCellAnchor>
    <xdr:from>
      <xdr:col>46</xdr:col>
      <xdr:colOff>552450</xdr:colOff>
      <xdr:row>38</xdr:row>
      <xdr:rowOff>76200</xdr:rowOff>
    </xdr:from>
    <xdr:to>
      <xdr:col>47</xdr:col>
      <xdr:colOff>46650</xdr:colOff>
      <xdr:row>39</xdr:row>
      <xdr:rowOff>75225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spect="1"/>
        </xdr:cNvSpPr>
      </xdr:nvSpPr>
      <xdr:spPr>
        <a:xfrm>
          <a:off x="12030075" y="4048125"/>
          <a:ext cx="180000" cy="180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?</a:t>
          </a:r>
        </a:p>
      </xdr:txBody>
    </xdr:sp>
    <xdr:clientData/>
  </xdr:twoCellAnchor>
  <xdr:twoCellAnchor>
    <xdr:from>
      <xdr:col>47</xdr:col>
      <xdr:colOff>485775</xdr:colOff>
      <xdr:row>38</xdr:row>
      <xdr:rowOff>85725</xdr:rowOff>
    </xdr:from>
    <xdr:to>
      <xdr:col>47</xdr:col>
      <xdr:colOff>665775</xdr:colOff>
      <xdr:row>39</xdr:row>
      <xdr:rowOff>84750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spect="1"/>
        </xdr:cNvSpPr>
      </xdr:nvSpPr>
      <xdr:spPr>
        <a:xfrm>
          <a:off x="12649200" y="4057650"/>
          <a:ext cx="180000" cy="180000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!</a:t>
          </a:r>
        </a:p>
      </xdr:txBody>
    </xdr:sp>
    <xdr:clientData/>
  </xdr:twoCellAnchor>
  <xdr:twoCellAnchor editAs="oneCell">
    <xdr:from>
      <xdr:col>37</xdr:col>
      <xdr:colOff>99060</xdr:colOff>
      <xdr:row>9</xdr:row>
      <xdr:rowOff>129540</xdr:rowOff>
    </xdr:from>
    <xdr:to>
      <xdr:col>40</xdr:col>
      <xdr:colOff>99060</xdr:colOff>
      <xdr:row>12</xdr:row>
      <xdr:rowOff>68580</xdr:rowOff>
    </xdr:to>
    <xdr:pic>
      <xdr:nvPicPr>
        <xdr:cNvPr id="432369" name="Obrázek 2">
          <a:extLst>
            <a:ext uri="{FF2B5EF4-FFF2-40B4-BE49-F238E27FC236}">
              <a16:creationId xmlns:a16="http://schemas.microsoft.com/office/drawing/2014/main" id="{00000000-0008-0000-0100-0000F19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1480" y="1943100"/>
          <a:ext cx="64008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175260</xdr:colOff>
      <xdr:row>9</xdr:row>
      <xdr:rowOff>121920</xdr:rowOff>
    </xdr:from>
    <xdr:to>
      <xdr:col>44</xdr:col>
      <xdr:colOff>83820</xdr:colOff>
      <xdr:row>12</xdr:row>
      <xdr:rowOff>30480</xdr:rowOff>
    </xdr:to>
    <xdr:pic>
      <xdr:nvPicPr>
        <xdr:cNvPr id="432370" name="Obrázek 3">
          <a:extLst>
            <a:ext uri="{FF2B5EF4-FFF2-40B4-BE49-F238E27FC236}">
              <a16:creationId xmlns:a16="http://schemas.microsoft.com/office/drawing/2014/main" id="{00000000-0008-0000-0100-0000F298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7760" y="1935480"/>
          <a:ext cx="762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32086</xdr:colOff>
      <xdr:row>19</xdr:row>
      <xdr:rowOff>16043</xdr:rowOff>
    </xdr:from>
    <xdr:to>
      <xdr:col>34</xdr:col>
      <xdr:colOff>93046</xdr:colOff>
      <xdr:row>21</xdr:row>
      <xdr:rowOff>54143</xdr:rowOff>
    </xdr:to>
    <xdr:grpSp>
      <xdr:nvGrpSpPr>
        <xdr:cNvPr id="15" name="Skupina 1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pSpPr>
          <a:grpSpLocks/>
        </xdr:cNvGrpSpPr>
      </xdr:nvGrpSpPr>
      <xdr:grpSpPr bwMode="auto">
        <a:xfrm>
          <a:off x="6809875" y="3625517"/>
          <a:ext cx="1504750" cy="399047"/>
          <a:chOff x="2859159" y="1072555"/>
          <a:chExt cx="1356425" cy="405507"/>
        </a:xfrm>
      </xdr:grpSpPr>
      <xdr:grpSp>
        <xdr:nvGrpSpPr>
          <xdr:cNvPr id="16" name="Skupina 18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GrpSpPr>
            <a:grpSpLocks/>
          </xdr:cNvGrpSpPr>
        </xdr:nvGrpSpPr>
        <xdr:grpSpPr bwMode="auto">
          <a:xfrm rot="-399063">
            <a:off x="2859159" y="1072555"/>
            <a:ext cx="1028620" cy="221933"/>
            <a:chOff x="2058668" y="2358698"/>
            <a:chExt cx="1028620" cy="222848"/>
          </a:xfrm>
        </xdr:grpSpPr>
        <xdr:pic>
          <xdr:nvPicPr>
            <xdr:cNvPr id="38" name="Obrázek 40">
              <a:extLs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67464" y="2375321"/>
              <a:ext cx="1019824" cy="20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9" name="Obdélník 38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SpPr/>
          </xdr:nvSpPr>
          <xdr:spPr>
            <a:xfrm>
              <a:off x="2786672" y="2309993"/>
              <a:ext cx="77070" cy="23048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  <xdr:sp macro="" textlink="">
          <xdr:nvSpPr>
            <xdr:cNvPr id="40" name="Obdélník 39">
              <a:extLst>
                <a:ext uri="{FF2B5EF4-FFF2-40B4-BE49-F238E27FC236}">
                  <a16:creationId xmlns:a16="http://schemas.microsoft.com/office/drawing/2014/main" id="{00000000-0008-0000-0100-000028000000}"/>
                </a:ext>
              </a:extLst>
            </xdr:cNvPr>
            <xdr:cNvSpPr/>
          </xdr:nvSpPr>
          <xdr:spPr>
            <a:xfrm rot="391964">
              <a:off x="1985950" y="2345559"/>
              <a:ext cx="23121" cy="107556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</xdr:grpSp>
      <xdr:grpSp>
        <xdr:nvGrpSpPr>
          <xdr:cNvPr id="17" name="Skupina 19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GrpSpPr>
            <a:grpSpLocks/>
          </xdr:cNvGrpSpPr>
        </xdr:nvGrpSpPr>
        <xdr:grpSpPr bwMode="auto">
          <a:xfrm rot="-399063">
            <a:off x="2925295" y="1106603"/>
            <a:ext cx="1028620" cy="222391"/>
            <a:chOff x="2058668" y="2358698"/>
            <a:chExt cx="1028620" cy="222848"/>
          </a:xfrm>
        </xdr:grpSpPr>
        <xdr:pic>
          <xdr:nvPicPr>
            <xdr:cNvPr id="35" name="Obrázek 37">
              <a:extLst>
                <a:ext uri="{FF2B5EF4-FFF2-40B4-BE49-F238E27FC236}">
                  <a16:creationId xmlns:a16="http://schemas.microsoft.com/office/drawing/2014/main" id="{00000000-0008-0000-0100-000023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67464" y="2375321"/>
              <a:ext cx="1019824" cy="20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6" name="Obdélník 35">
              <a:extLst>
                <a:ext uri="{FF2B5EF4-FFF2-40B4-BE49-F238E27FC236}">
                  <a16:creationId xmlns:a16="http://schemas.microsoft.com/office/drawing/2014/main" id="{00000000-0008-0000-0100-000024000000}"/>
                </a:ext>
              </a:extLst>
            </xdr:cNvPr>
            <xdr:cNvSpPr/>
          </xdr:nvSpPr>
          <xdr:spPr>
            <a:xfrm>
              <a:off x="2833044" y="2273403"/>
              <a:ext cx="77070" cy="2300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  <xdr:sp macro="" textlink="">
          <xdr:nvSpPr>
            <xdr:cNvPr id="37" name="Obdélník 36">
              <a:extLst>
                <a:ext uri="{FF2B5EF4-FFF2-40B4-BE49-F238E27FC236}">
                  <a16:creationId xmlns:a16="http://schemas.microsoft.com/office/drawing/2014/main" id="{00000000-0008-0000-0100-000025000000}"/>
                </a:ext>
              </a:extLst>
            </xdr:cNvPr>
            <xdr:cNvSpPr/>
          </xdr:nvSpPr>
          <xdr:spPr>
            <a:xfrm rot="391964">
              <a:off x="2062050" y="2312395"/>
              <a:ext cx="23121" cy="122669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</xdr:grpSp>
      <xdr:grpSp>
        <xdr:nvGrpSpPr>
          <xdr:cNvPr id="18" name="Skupina 21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GrpSpPr>
            <a:grpSpLocks/>
          </xdr:cNvGrpSpPr>
        </xdr:nvGrpSpPr>
        <xdr:grpSpPr bwMode="auto">
          <a:xfrm rot="-399063">
            <a:off x="2991432" y="1143984"/>
            <a:ext cx="1028620" cy="222391"/>
            <a:chOff x="2058668" y="2358698"/>
            <a:chExt cx="1028620" cy="222848"/>
          </a:xfrm>
        </xdr:grpSpPr>
        <xdr:pic>
          <xdr:nvPicPr>
            <xdr:cNvPr id="32" name="Obrázek 34">
              <a:extLst>
                <a:ext uri="{FF2B5EF4-FFF2-40B4-BE49-F238E27FC236}">
                  <a16:creationId xmlns:a16="http://schemas.microsoft.com/office/drawing/2014/main" id="{00000000-0008-0000-0100-00002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67464" y="2375321"/>
              <a:ext cx="1019824" cy="20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3" name="Obdélník 32">
              <a:extLst>
                <a:ext uri="{FF2B5EF4-FFF2-40B4-BE49-F238E27FC236}">
                  <a16:creationId xmlns:a16="http://schemas.microsoft.com/office/drawing/2014/main" id="{00000000-0008-0000-0100-000021000000}"/>
                </a:ext>
              </a:extLst>
            </xdr:cNvPr>
            <xdr:cNvSpPr/>
          </xdr:nvSpPr>
          <xdr:spPr>
            <a:xfrm>
              <a:off x="2843775" y="2275977"/>
              <a:ext cx="84777" cy="2300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  <xdr:sp macro="" textlink="">
          <xdr:nvSpPr>
            <xdr:cNvPr id="34" name="Obdélník 33">
              <a:extLst>
                <a:ext uri="{FF2B5EF4-FFF2-40B4-BE49-F238E27FC236}">
                  <a16:creationId xmlns:a16="http://schemas.microsoft.com/office/drawing/2014/main" id="{00000000-0008-0000-0100-000022000000}"/>
                </a:ext>
              </a:extLst>
            </xdr:cNvPr>
            <xdr:cNvSpPr/>
          </xdr:nvSpPr>
          <xdr:spPr>
            <a:xfrm rot="391964">
              <a:off x="2003464" y="2321841"/>
              <a:ext cx="23121" cy="99668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</xdr:grpSp>
      <xdr:grpSp>
        <xdr:nvGrpSpPr>
          <xdr:cNvPr id="19" name="Skupina 22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GrpSpPr>
            <a:grpSpLocks/>
          </xdr:cNvGrpSpPr>
        </xdr:nvGrpSpPr>
        <xdr:grpSpPr bwMode="auto">
          <a:xfrm rot="-399063">
            <a:off x="3048941" y="1184242"/>
            <a:ext cx="1028620" cy="222391"/>
            <a:chOff x="2058668" y="2358698"/>
            <a:chExt cx="1028620" cy="222848"/>
          </a:xfrm>
        </xdr:grpSpPr>
        <xdr:pic>
          <xdr:nvPicPr>
            <xdr:cNvPr id="29" name="Obrázek 31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67464" y="2375321"/>
              <a:ext cx="1019824" cy="20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0" name="Obdélník 29">
              <a:extLst>
                <a:ext uri="{FF2B5EF4-FFF2-40B4-BE49-F238E27FC236}">
                  <a16:creationId xmlns:a16="http://schemas.microsoft.com/office/drawing/2014/main" id="{00000000-0008-0000-0100-00001E000000}"/>
                </a:ext>
              </a:extLst>
            </xdr:cNvPr>
            <xdr:cNvSpPr/>
          </xdr:nvSpPr>
          <xdr:spPr>
            <a:xfrm>
              <a:off x="2853644" y="2359561"/>
              <a:ext cx="77070" cy="2300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  <xdr:sp macro="" textlink="">
          <xdr:nvSpPr>
            <xdr:cNvPr id="31" name="Obdélník 30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SpPr/>
          </xdr:nvSpPr>
          <xdr:spPr>
            <a:xfrm rot="391964">
              <a:off x="2060577" y="2395941"/>
              <a:ext cx="23121" cy="107335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</xdr:grpSp>
      <xdr:grpSp>
        <xdr:nvGrpSpPr>
          <xdr:cNvPr id="20" name="Skupina 23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GrpSpPr>
            <a:grpSpLocks/>
          </xdr:cNvGrpSpPr>
        </xdr:nvGrpSpPr>
        <xdr:grpSpPr bwMode="auto">
          <a:xfrm rot="-399063">
            <a:off x="3117952" y="1218748"/>
            <a:ext cx="1028620" cy="222391"/>
            <a:chOff x="2058668" y="2358698"/>
            <a:chExt cx="1028620" cy="222848"/>
          </a:xfrm>
        </xdr:grpSpPr>
        <xdr:pic>
          <xdr:nvPicPr>
            <xdr:cNvPr id="26" name="Obrázek 28">
              <a:extLst>
                <a:ext uri="{FF2B5EF4-FFF2-40B4-BE49-F238E27FC236}">
                  <a16:creationId xmlns:a16="http://schemas.microsoft.com/office/drawing/2014/main" id="{00000000-0008-0000-0100-00001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67464" y="2375321"/>
              <a:ext cx="1019824" cy="20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27" name="Obdélník 26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SpPr/>
          </xdr:nvSpPr>
          <xdr:spPr>
            <a:xfrm>
              <a:off x="2854449" y="2355718"/>
              <a:ext cx="77070" cy="23000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  <xdr:sp macro="" textlink="">
          <xdr:nvSpPr>
            <xdr:cNvPr id="28" name="Obdélník 27">
              <a:extLst>
                <a:ext uri="{FF2B5EF4-FFF2-40B4-BE49-F238E27FC236}">
                  <a16:creationId xmlns:a16="http://schemas.microsoft.com/office/drawing/2014/main" id="{00000000-0008-0000-0100-00001C000000}"/>
                </a:ext>
              </a:extLst>
            </xdr:cNvPr>
            <xdr:cNvSpPr/>
          </xdr:nvSpPr>
          <xdr:spPr>
            <a:xfrm rot="391964">
              <a:off x="2047343" y="2313282"/>
              <a:ext cx="23121" cy="107335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</xdr:grpSp>
      <xdr:grpSp>
        <xdr:nvGrpSpPr>
          <xdr:cNvPr id="22" name="Skupina 24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GrpSpPr>
            <a:grpSpLocks/>
          </xdr:cNvGrpSpPr>
        </xdr:nvGrpSpPr>
        <xdr:grpSpPr bwMode="auto">
          <a:xfrm rot="-399063">
            <a:off x="3186964" y="1256129"/>
            <a:ext cx="1028620" cy="221933"/>
            <a:chOff x="2058668" y="2358698"/>
            <a:chExt cx="1028620" cy="222848"/>
          </a:xfrm>
        </xdr:grpSpPr>
        <xdr:pic>
          <xdr:nvPicPr>
            <xdr:cNvPr id="23" name="Obrázek 25">
              <a:extLs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067464" y="2375321"/>
              <a:ext cx="1019824" cy="20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24" name="Obdélník 23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/>
          </xdr:nvSpPr>
          <xdr:spPr>
            <a:xfrm>
              <a:off x="2854669" y="2356623"/>
              <a:ext cx="77070" cy="23048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  <xdr:sp macro="" textlink="">
          <xdr:nvSpPr>
            <xdr:cNvPr id="25" name="Obdélník 24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/>
          </xdr:nvSpPr>
          <xdr:spPr>
            <a:xfrm rot="391964">
              <a:off x="2055244" y="2314545"/>
              <a:ext cx="15414" cy="107556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sk-SK"/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184485</xdr:colOff>
      <xdr:row>86</xdr:row>
      <xdr:rowOff>57216</xdr:rowOff>
    </xdr:from>
    <xdr:to>
      <xdr:col>5</xdr:col>
      <xdr:colOff>162629</xdr:colOff>
      <xdr:row>91</xdr:row>
      <xdr:rowOff>111893</xdr:rowOff>
    </xdr:to>
    <xdr:grpSp>
      <xdr:nvGrpSpPr>
        <xdr:cNvPr id="236" name="Skupina 2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GrpSpPr>
          <a:grpSpLocks noChangeAspect="1"/>
        </xdr:cNvGrpSpPr>
      </xdr:nvGrpSpPr>
      <xdr:grpSpPr bwMode="auto">
        <a:xfrm>
          <a:off x="946485" y="16089295"/>
          <a:ext cx="459407" cy="957045"/>
          <a:chOff x="5609723" y="21620536"/>
          <a:chExt cx="632660" cy="1329699"/>
        </a:xfrm>
      </xdr:grpSpPr>
      <xdr:sp macro="" textlink="">
        <xdr:nvSpPr>
          <xdr:cNvPr id="237" name="Obdélník 23">
            <a:extLst>
              <a:ext uri="{FF2B5EF4-FFF2-40B4-BE49-F238E27FC236}">
                <a16:creationId xmlns:a16="http://schemas.microsoft.com/office/drawing/2014/main" id="{00000000-0008-0000-0200-0000ED000000}"/>
              </a:ext>
            </a:extLst>
          </xdr:cNvPr>
          <xdr:cNvSpPr>
            <a:spLocks noChangeArrowheads="1"/>
          </xdr:cNvSpPr>
        </xdr:nvSpPr>
        <xdr:spPr bwMode="auto">
          <a:xfrm>
            <a:off x="5661178" y="22069168"/>
            <a:ext cx="535085" cy="105988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 lIns="0" tIns="0" rIns="0" bIns="0"/>
          <a:lstStyle/>
          <a:p>
            <a:pPr algn="ctr"/>
            <a:endParaRPr lang="sk-SK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endParaRPr>
          </a:p>
        </xdr:txBody>
      </xdr:sp>
      <xdr:sp macro="" textlink="">
        <xdr:nvSpPr>
          <xdr:cNvPr id="238" name="Obdélník 23">
            <a:extLst>
              <a:ext uri="{FF2B5EF4-FFF2-40B4-BE49-F238E27FC236}">
                <a16:creationId xmlns:a16="http://schemas.microsoft.com/office/drawing/2014/main" id="{00000000-0008-0000-0200-0000EE000000}"/>
              </a:ext>
            </a:extLst>
          </xdr:cNvPr>
          <xdr:cNvSpPr>
            <a:spLocks noChangeArrowheads="1"/>
          </xdr:cNvSpPr>
        </xdr:nvSpPr>
        <xdr:spPr bwMode="auto">
          <a:xfrm>
            <a:off x="5663183" y="22764267"/>
            <a:ext cx="535085" cy="166853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 lIns="0" tIns="0" rIns="0" bIns="0" anchor="ctr"/>
          <a:lstStyle/>
          <a:p>
            <a:pPr algn="ctr"/>
            <a:endParaRPr lang="sk-SK" sz="1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endParaRPr>
          </a:p>
        </xdr:txBody>
      </xdr:sp>
      <xdr:sp macro="" textlink="">
        <xdr:nvSpPr>
          <xdr:cNvPr id="239" name="Obdélník 24">
            <a:extLst>
              <a:ext uri="{FF2B5EF4-FFF2-40B4-BE49-F238E27FC236}">
                <a16:creationId xmlns:a16="http://schemas.microsoft.com/office/drawing/2014/main" id="{00000000-0008-0000-0200-0000EF000000}"/>
              </a:ext>
            </a:extLst>
          </xdr:cNvPr>
          <xdr:cNvSpPr>
            <a:spLocks noChangeArrowheads="1"/>
          </xdr:cNvSpPr>
        </xdr:nvSpPr>
        <xdr:spPr bwMode="auto">
          <a:xfrm>
            <a:off x="5609723" y="21620536"/>
            <a:ext cx="60570" cy="132969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240" name="Skupina 238">
            <a:extLst>
              <a:ext uri="{FF2B5EF4-FFF2-40B4-BE49-F238E27FC236}">
                <a16:creationId xmlns:a16="http://schemas.microsoft.com/office/drawing/2014/main" id="{00000000-0008-0000-0200-0000F0000000}"/>
              </a:ext>
            </a:extLst>
          </xdr:cNvPr>
          <xdr:cNvGrpSpPr>
            <a:grpSpLocks/>
          </xdr:cNvGrpSpPr>
        </xdr:nvGrpSpPr>
        <xdr:grpSpPr bwMode="auto">
          <a:xfrm>
            <a:off x="5702735" y="21697458"/>
            <a:ext cx="539648" cy="119658"/>
            <a:chOff x="5702735" y="21697458"/>
            <a:chExt cx="539648" cy="119658"/>
          </a:xfrm>
        </xdr:grpSpPr>
        <xdr:sp macro="" textlink="">
          <xdr:nvSpPr>
            <xdr:cNvPr id="244" name="Obdélník 243">
              <a:extLst>
                <a:ext uri="{FF2B5EF4-FFF2-40B4-BE49-F238E27FC236}">
                  <a16:creationId xmlns:a16="http://schemas.microsoft.com/office/drawing/2014/main" id="{00000000-0008-0000-0200-0000F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245" name="Obdélník 30">
              <a:extLst>
                <a:ext uri="{FF2B5EF4-FFF2-40B4-BE49-F238E27FC236}">
                  <a16:creationId xmlns:a16="http://schemas.microsoft.com/office/drawing/2014/main" id="{00000000-0008-0000-0200-0000F5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241" name="Skupina 239">
            <a:extLst>
              <a:ext uri="{FF2B5EF4-FFF2-40B4-BE49-F238E27FC236}">
                <a16:creationId xmlns:a16="http://schemas.microsoft.com/office/drawing/2014/main" id="{00000000-0008-0000-0200-0000F1000000}"/>
              </a:ext>
            </a:extLst>
          </xdr:cNvPr>
          <xdr:cNvGrpSpPr>
            <a:grpSpLocks/>
          </xdr:cNvGrpSpPr>
        </xdr:nvGrpSpPr>
        <xdr:grpSpPr bwMode="auto">
          <a:xfrm>
            <a:off x="5696171" y="22372523"/>
            <a:ext cx="544206" cy="183600"/>
            <a:chOff x="5696171" y="22372523"/>
            <a:chExt cx="544206" cy="183600"/>
          </a:xfrm>
        </xdr:grpSpPr>
        <xdr:sp macro="" textlink="">
          <xdr:nvSpPr>
            <xdr:cNvPr id="242" name="Obdélník 23">
              <a:extLst>
                <a:ext uri="{FF2B5EF4-FFF2-40B4-BE49-F238E27FC236}">
                  <a16:creationId xmlns:a16="http://schemas.microsoft.com/office/drawing/2014/main" id="{00000000-0008-0000-0200-0000F2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5292" y="22385002"/>
              <a:ext cx="535085" cy="166089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243" name="Obdélník 30">
              <a:extLst>
                <a:ext uri="{FF2B5EF4-FFF2-40B4-BE49-F238E27FC236}">
                  <a16:creationId xmlns:a16="http://schemas.microsoft.com/office/drawing/2014/main" id="{00000000-0008-0000-0200-0000F3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14997" y="22453697"/>
              <a:ext cx="183600" cy="21251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47</xdr:col>
      <xdr:colOff>91440</xdr:colOff>
      <xdr:row>77</xdr:row>
      <xdr:rowOff>22860</xdr:rowOff>
    </xdr:from>
    <xdr:to>
      <xdr:col>50</xdr:col>
      <xdr:colOff>45720</xdr:colOff>
      <xdr:row>80</xdr:row>
      <xdr:rowOff>129540</xdr:rowOff>
    </xdr:to>
    <xdr:sp macro="" textlink="">
      <xdr:nvSpPr>
        <xdr:cNvPr id="436076" name="Obdélník 23">
          <a:extLst>
            <a:ext uri="{FF2B5EF4-FFF2-40B4-BE49-F238E27FC236}">
              <a16:creationId xmlns:a16="http://schemas.microsoft.com/office/drawing/2014/main" id="{00000000-0008-0000-0200-00006CA70600}"/>
            </a:ext>
          </a:extLst>
        </xdr:cNvPr>
        <xdr:cNvSpPr>
          <a:spLocks noChangeArrowheads="1"/>
        </xdr:cNvSpPr>
      </xdr:nvSpPr>
      <xdr:spPr bwMode="auto">
        <a:xfrm>
          <a:off x="10157460" y="14485620"/>
          <a:ext cx="594360" cy="6553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91440</xdr:colOff>
      <xdr:row>77</xdr:row>
      <xdr:rowOff>22860</xdr:rowOff>
    </xdr:from>
    <xdr:to>
      <xdr:col>36</xdr:col>
      <xdr:colOff>45720</xdr:colOff>
      <xdr:row>80</xdr:row>
      <xdr:rowOff>129540</xdr:rowOff>
    </xdr:to>
    <xdr:grpSp>
      <xdr:nvGrpSpPr>
        <xdr:cNvPr id="436077" name="Skupina 2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6DA70600}"/>
            </a:ext>
          </a:extLst>
        </xdr:cNvPr>
        <xdr:cNvGrpSpPr>
          <a:grpSpLocks/>
        </xdr:cNvGrpSpPr>
      </xdr:nvGrpSpPr>
      <xdr:grpSpPr bwMode="auto">
        <a:xfrm>
          <a:off x="8072387" y="14320386"/>
          <a:ext cx="676175" cy="648101"/>
          <a:chOff x="2202497" y="21642192"/>
          <a:chExt cx="655003" cy="660030"/>
        </a:xfrm>
      </xdr:grpSpPr>
      <xdr:sp macro="" textlink="">
        <xdr:nvSpPr>
          <xdr:cNvPr id="439349" name="Obdélník 23">
            <a:extLst>
              <a:ext uri="{FF2B5EF4-FFF2-40B4-BE49-F238E27FC236}">
                <a16:creationId xmlns:a16="http://schemas.microsoft.com/office/drawing/2014/main" id="{00000000-0008-0000-0200-000035B40600}"/>
              </a:ext>
            </a:extLst>
          </xdr:cNvPr>
          <xdr:cNvSpPr>
            <a:spLocks noChangeArrowheads="1"/>
          </xdr:cNvSpPr>
        </xdr:nvSpPr>
        <xdr:spPr bwMode="auto">
          <a:xfrm>
            <a:off x="2202497" y="21642192"/>
            <a:ext cx="655003" cy="66003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39350" name="Obdélník 23">
            <a:extLst>
              <a:ext uri="{FF2B5EF4-FFF2-40B4-BE49-F238E27FC236}">
                <a16:creationId xmlns:a16="http://schemas.microsoft.com/office/drawing/2014/main" id="{00000000-0008-0000-0200-000036B40600}"/>
              </a:ext>
            </a:extLst>
          </xdr:cNvPr>
          <xdr:cNvSpPr>
            <a:spLocks noChangeArrowheads="1"/>
          </xdr:cNvSpPr>
        </xdr:nvSpPr>
        <xdr:spPr bwMode="auto">
          <a:xfrm>
            <a:off x="2278697" y="21720517"/>
            <a:ext cx="536765" cy="179843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51" name="Obdélník 23">
            <a:extLst>
              <a:ext uri="{FF2B5EF4-FFF2-40B4-BE49-F238E27FC236}">
                <a16:creationId xmlns:a16="http://schemas.microsoft.com/office/drawing/2014/main" id="{00000000-0008-0000-0200-000037B40600}"/>
              </a:ext>
            </a:extLst>
          </xdr:cNvPr>
          <xdr:cNvSpPr>
            <a:spLocks noChangeArrowheads="1"/>
          </xdr:cNvSpPr>
        </xdr:nvSpPr>
        <xdr:spPr bwMode="auto">
          <a:xfrm>
            <a:off x="2280702" y="22062365"/>
            <a:ext cx="536755" cy="17764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52" name="Obdélník 24">
            <a:extLst>
              <a:ext uri="{FF2B5EF4-FFF2-40B4-BE49-F238E27FC236}">
                <a16:creationId xmlns:a16="http://schemas.microsoft.com/office/drawing/2014/main" id="{00000000-0008-0000-0200-000038B40600}"/>
              </a:ext>
            </a:extLst>
          </xdr:cNvPr>
          <xdr:cNvSpPr>
            <a:spLocks noChangeArrowheads="1"/>
          </xdr:cNvSpPr>
        </xdr:nvSpPr>
        <xdr:spPr bwMode="auto">
          <a:xfrm>
            <a:off x="2227236" y="21664532"/>
            <a:ext cx="60577" cy="60911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18</xdr:col>
      <xdr:colOff>91440</xdr:colOff>
      <xdr:row>77</xdr:row>
      <xdr:rowOff>22860</xdr:rowOff>
    </xdr:from>
    <xdr:to>
      <xdr:col>21</xdr:col>
      <xdr:colOff>45720</xdr:colOff>
      <xdr:row>80</xdr:row>
      <xdr:rowOff>129540</xdr:rowOff>
    </xdr:to>
    <xdr:grpSp>
      <xdr:nvGrpSpPr>
        <xdr:cNvPr id="436078" name="Skupina 2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6EA70600}"/>
            </a:ext>
          </a:extLst>
        </xdr:cNvPr>
        <xdr:cNvGrpSpPr>
          <a:grpSpLocks/>
        </xdr:cNvGrpSpPr>
      </xdr:nvGrpSpPr>
      <xdr:grpSpPr bwMode="auto">
        <a:xfrm>
          <a:off x="4462914" y="14320386"/>
          <a:ext cx="676174" cy="648101"/>
          <a:chOff x="2202497" y="21642192"/>
          <a:chExt cx="655003" cy="660030"/>
        </a:xfrm>
      </xdr:grpSpPr>
      <xdr:sp macro="" textlink="">
        <xdr:nvSpPr>
          <xdr:cNvPr id="439345" name="Obdélník 23">
            <a:extLst>
              <a:ext uri="{FF2B5EF4-FFF2-40B4-BE49-F238E27FC236}">
                <a16:creationId xmlns:a16="http://schemas.microsoft.com/office/drawing/2014/main" id="{00000000-0008-0000-0200-000031B40600}"/>
              </a:ext>
            </a:extLst>
          </xdr:cNvPr>
          <xdr:cNvSpPr>
            <a:spLocks noChangeArrowheads="1"/>
          </xdr:cNvSpPr>
        </xdr:nvSpPr>
        <xdr:spPr bwMode="auto">
          <a:xfrm>
            <a:off x="2202497" y="21642192"/>
            <a:ext cx="655003" cy="66003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39346" name="Obdélník 23">
            <a:extLst>
              <a:ext uri="{FF2B5EF4-FFF2-40B4-BE49-F238E27FC236}">
                <a16:creationId xmlns:a16="http://schemas.microsoft.com/office/drawing/2014/main" id="{00000000-0008-0000-0200-000032B40600}"/>
              </a:ext>
            </a:extLst>
          </xdr:cNvPr>
          <xdr:cNvSpPr>
            <a:spLocks noChangeArrowheads="1"/>
          </xdr:cNvSpPr>
        </xdr:nvSpPr>
        <xdr:spPr bwMode="auto">
          <a:xfrm>
            <a:off x="2278697" y="21754325"/>
            <a:ext cx="536765" cy="14603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47" name="Obdélník 23">
            <a:extLst>
              <a:ext uri="{FF2B5EF4-FFF2-40B4-BE49-F238E27FC236}">
                <a16:creationId xmlns:a16="http://schemas.microsoft.com/office/drawing/2014/main" id="{00000000-0008-0000-0200-000033B40600}"/>
              </a:ext>
            </a:extLst>
          </xdr:cNvPr>
          <xdr:cNvSpPr>
            <a:spLocks noChangeArrowheads="1"/>
          </xdr:cNvSpPr>
        </xdr:nvSpPr>
        <xdr:spPr bwMode="auto">
          <a:xfrm>
            <a:off x="2280702" y="22062365"/>
            <a:ext cx="536755" cy="17764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48" name="Obdélník 24">
            <a:extLst>
              <a:ext uri="{FF2B5EF4-FFF2-40B4-BE49-F238E27FC236}">
                <a16:creationId xmlns:a16="http://schemas.microsoft.com/office/drawing/2014/main" id="{00000000-0008-0000-0200-000034B40600}"/>
              </a:ext>
            </a:extLst>
          </xdr:cNvPr>
          <xdr:cNvSpPr>
            <a:spLocks noChangeArrowheads="1"/>
          </xdr:cNvSpPr>
        </xdr:nvSpPr>
        <xdr:spPr bwMode="auto">
          <a:xfrm>
            <a:off x="2227236" y="21664532"/>
            <a:ext cx="60577" cy="60911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39</xdr:col>
      <xdr:colOff>22860</xdr:colOff>
      <xdr:row>51</xdr:row>
      <xdr:rowOff>137160</xdr:rowOff>
    </xdr:from>
    <xdr:to>
      <xdr:col>43</xdr:col>
      <xdr:colOff>30480</xdr:colOff>
      <xdr:row>56</xdr:row>
      <xdr:rowOff>53340</xdr:rowOff>
    </xdr:to>
    <xdr:grpSp>
      <xdr:nvGrpSpPr>
        <xdr:cNvPr id="436079" name="Skupina 9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6FA70600}"/>
            </a:ext>
          </a:extLst>
        </xdr:cNvPr>
        <xdr:cNvGrpSpPr>
          <a:grpSpLocks/>
        </xdr:cNvGrpSpPr>
      </xdr:nvGrpSpPr>
      <xdr:grpSpPr bwMode="auto">
        <a:xfrm>
          <a:off x="9447597" y="9521792"/>
          <a:ext cx="970146" cy="818548"/>
          <a:chOff x="9129718" y="4391025"/>
          <a:chExt cx="950195" cy="805761"/>
        </a:xfrm>
      </xdr:grpSpPr>
      <xdr:sp macro="" textlink="">
        <xdr:nvSpPr>
          <xdr:cNvPr id="439341" name="Obdélník 98">
            <a:extLst>
              <a:ext uri="{FF2B5EF4-FFF2-40B4-BE49-F238E27FC236}">
                <a16:creationId xmlns:a16="http://schemas.microsoft.com/office/drawing/2014/main" id="{00000000-0008-0000-0200-00002DB40600}"/>
              </a:ext>
            </a:extLst>
          </xdr:cNvPr>
          <xdr:cNvSpPr>
            <a:spLocks noChangeArrowheads="1"/>
          </xdr:cNvSpPr>
        </xdr:nvSpPr>
        <xdr:spPr bwMode="auto">
          <a:xfrm>
            <a:off x="9170986" y="4484886"/>
            <a:ext cx="771525" cy="45448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42" name="Obdélník 99">
            <a:extLst>
              <a:ext uri="{FF2B5EF4-FFF2-40B4-BE49-F238E27FC236}">
                <a16:creationId xmlns:a16="http://schemas.microsoft.com/office/drawing/2014/main" id="{00000000-0008-0000-0200-00002EB40600}"/>
              </a:ext>
            </a:extLst>
          </xdr:cNvPr>
          <xdr:cNvSpPr>
            <a:spLocks noChangeArrowheads="1"/>
          </xdr:cNvSpPr>
        </xdr:nvSpPr>
        <xdr:spPr bwMode="auto">
          <a:xfrm>
            <a:off x="9170194" y="4954788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43" name="Obdélník 100">
            <a:extLst>
              <a:ext uri="{FF2B5EF4-FFF2-40B4-BE49-F238E27FC236}">
                <a16:creationId xmlns:a16="http://schemas.microsoft.com/office/drawing/2014/main" id="{00000000-0008-0000-0200-00002FB40600}"/>
              </a:ext>
            </a:extLst>
          </xdr:cNvPr>
          <xdr:cNvSpPr>
            <a:spLocks noChangeArrowheads="1"/>
          </xdr:cNvSpPr>
        </xdr:nvSpPr>
        <xdr:spPr bwMode="auto">
          <a:xfrm>
            <a:off x="9129718" y="4433584"/>
            <a:ext cx="54876" cy="72015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44" name="Volný tvar 101">
            <a:extLst>
              <a:ext uri="{FF2B5EF4-FFF2-40B4-BE49-F238E27FC236}">
                <a16:creationId xmlns:a16="http://schemas.microsoft.com/office/drawing/2014/main" id="{00000000-0008-0000-0200-000030B406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10</xdr:col>
      <xdr:colOff>76200</xdr:colOff>
      <xdr:row>7</xdr:row>
      <xdr:rowOff>91440</xdr:rowOff>
    </xdr:from>
    <xdr:to>
      <xdr:col>14</xdr:col>
      <xdr:colOff>91440</xdr:colOff>
      <xdr:row>12</xdr:row>
      <xdr:rowOff>7620</xdr:rowOff>
    </xdr:to>
    <xdr:grpSp>
      <xdr:nvGrpSpPr>
        <xdr:cNvPr id="436080" name="Skupina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70A70600}"/>
            </a:ext>
          </a:extLst>
        </xdr:cNvPr>
        <xdr:cNvGrpSpPr>
          <a:grpSpLocks/>
        </xdr:cNvGrpSpPr>
      </xdr:nvGrpSpPr>
      <xdr:grpSpPr bwMode="auto">
        <a:xfrm>
          <a:off x="2522621" y="1535229"/>
          <a:ext cx="977766" cy="818549"/>
          <a:chOff x="1771649" y="3300087"/>
          <a:chExt cx="976394" cy="817667"/>
        </a:xfrm>
      </xdr:grpSpPr>
      <xdr:sp macro="" textlink="">
        <xdr:nvSpPr>
          <xdr:cNvPr id="439338" name="Obdélník 19">
            <a:extLst>
              <a:ext uri="{FF2B5EF4-FFF2-40B4-BE49-F238E27FC236}">
                <a16:creationId xmlns:a16="http://schemas.microsoft.com/office/drawing/2014/main" id="{00000000-0008-0000-0200-00002AB4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9" name="Obdélník 18">
            <a:extLst>
              <a:ext uri="{FF2B5EF4-FFF2-40B4-BE49-F238E27FC236}">
                <a16:creationId xmlns:a16="http://schemas.microsoft.com/office/drawing/2014/main" id="{00000000-0008-0000-0200-00002BB4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562350"/>
            <a:ext cx="85726" cy="51435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40" name="Volný tvar 20">
            <a:extLst>
              <a:ext uri="{FF2B5EF4-FFF2-40B4-BE49-F238E27FC236}">
                <a16:creationId xmlns:a16="http://schemas.microsoft.com/office/drawing/2014/main" id="{00000000-0008-0000-0200-00002CB40600}"/>
              </a:ext>
            </a:extLst>
          </xdr:cNvPr>
          <xdr:cNvSpPr>
            <a:spLocks/>
          </xdr:cNvSpPr>
        </xdr:nvSpPr>
        <xdr:spPr bwMode="auto">
          <a:xfrm>
            <a:off x="2457450" y="3300087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24</xdr:col>
      <xdr:colOff>7620</xdr:colOff>
      <xdr:row>7</xdr:row>
      <xdr:rowOff>106680</xdr:rowOff>
    </xdr:from>
    <xdr:to>
      <xdr:col>28</xdr:col>
      <xdr:colOff>30480</xdr:colOff>
      <xdr:row>12</xdr:row>
      <xdr:rowOff>22860</xdr:rowOff>
    </xdr:to>
    <xdr:grpSp>
      <xdr:nvGrpSpPr>
        <xdr:cNvPr id="436081" name="Skupina 3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71A70600}"/>
            </a:ext>
          </a:extLst>
        </xdr:cNvPr>
        <xdr:cNvGrpSpPr>
          <a:grpSpLocks/>
        </xdr:cNvGrpSpPr>
      </xdr:nvGrpSpPr>
      <xdr:grpSpPr bwMode="auto">
        <a:xfrm>
          <a:off x="5822883" y="1550469"/>
          <a:ext cx="985386" cy="818549"/>
          <a:chOff x="5762624" y="1547487"/>
          <a:chExt cx="976394" cy="817667"/>
        </a:xfrm>
      </xdr:grpSpPr>
      <xdr:sp macro="" textlink="">
        <xdr:nvSpPr>
          <xdr:cNvPr id="439335" name="Obdélník 23">
            <a:extLst>
              <a:ext uri="{FF2B5EF4-FFF2-40B4-BE49-F238E27FC236}">
                <a16:creationId xmlns:a16="http://schemas.microsoft.com/office/drawing/2014/main" id="{00000000-0008-0000-0200-000027B40600}"/>
              </a:ext>
            </a:extLst>
          </xdr:cNvPr>
          <xdr:cNvSpPr>
            <a:spLocks noChangeArrowheads="1"/>
          </xdr:cNvSpPr>
        </xdr:nvSpPr>
        <xdr:spPr bwMode="auto">
          <a:xfrm>
            <a:off x="5829299" y="1842331"/>
            <a:ext cx="771525" cy="4055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6" name="Obdélník 24">
            <a:extLst>
              <a:ext uri="{FF2B5EF4-FFF2-40B4-BE49-F238E27FC236}">
                <a16:creationId xmlns:a16="http://schemas.microsoft.com/office/drawing/2014/main" id="{00000000-0008-0000-0200-000028B40600}"/>
              </a:ext>
            </a:extLst>
          </xdr:cNvPr>
          <xdr:cNvSpPr>
            <a:spLocks noChangeArrowheads="1"/>
          </xdr:cNvSpPr>
        </xdr:nvSpPr>
        <xdr:spPr bwMode="auto">
          <a:xfrm>
            <a:off x="5762624" y="1666875"/>
            <a:ext cx="85726" cy="65880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7" name="Volný tvar 25">
            <a:extLst>
              <a:ext uri="{FF2B5EF4-FFF2-40B4-BE49-F238E27FC236}">
                <a16:creationId xmlns:a16="http://schemas.microsoft.com/office/drawing/2014/main" id="{00000000-0008-0000-0200-000029B40600}"/>
              </a:ext>
            </a:extLst>
          </xdr:cNvPr>
          <xdr:cNvSpPr>
            <a:spLocks/>
          </xdr:cNvSpPr>
        </xdr:nvSpPr>
        <xdr:spPr bwMode="auto">
          <a:xfrm>
            <a:off x="6448425" y="1547487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38</xdr:col>
      <xdr:colOff>15240</xdr:colOff>
      <xdr:row>7</xdr:row>
      <xdr:rowOff>106680</xdr:rowOff>
    </xdr:from>
    <xdr:to>
      <xdr:col>42</xdr:col>
      <xdr:colOff>45720</xdr:colOff>
      <xdr:row>12</xdr:row>
      <xdr:rowOff>22860</xdr:rowOff>
    </xdr:to>
    <xdr:grpSp>
      <xdr:nvGrpSpPr>
        <xdr:cNvPr id="436082" name="Skupina 3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200-000072A70600}"/>
            </a:ext>
          </a:extLst>
        </xdr:cNvPr>
        <xdr:cNvGrpSpPr>
          <a:grpSpLocks/>
        </xdr:cNvGrpSpPr>
      </xdr:nvGrpSpPr>
      <xdr:grpSpPr bwMode="auto">
        <a:xfrm>
          <a:off x="9199345" y="1550469"/>
          <a:ext cx="993007" cy="818549"/>
          <a:chOff x="5762624" y="1547487"/>
          <a:chExt cx="976394" cy="817667"/>
        </a:xfrm>
      </xdr:grpSpPr>
      <xdr:sp macro="" textlink="">
        <xdr:nvSpPr>
          <xdr:cNvPr id="439332" name="Obdélník 34">
            <a:extLst>
              <a:ext uri="{FF2B5EF4-FFF2-40B4-BE49-F238E27FC236}">
                <a16:creationId xmlns:a16="http://schemas.microsoft.com/office/drawing/2014/main" id="{00000000-0008-0000-0200-000024B40600}"/>
              </a:ext>
            </a:extLst>
          </xdr:cNvPr>
          <xdr:cNvSpPr>
            <a:spLocks noChangeArrowheads="1"/>
          </xdr:cNvSpPr>
        </xdr:nvSpPr>
        <xdr:spPr bwMode="auto">
          <a:xfrm>
            <a:off x="5829299" y="1662453"/>
            <a:ext cx="771525" cy="585448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3" name="Obdélník 35">
            <a:extLst>
              <a:ext uri="{FF2B5EF4-FFF2-40B4-BE49-F238E27FC236}">
                <a16:creationId xmlns:a16="http://schemas.microsoft.com/office/drawing/2014/main" id="{00000000-0008-0000-0200-000025B40600}"/>
              </a:ext>
            </a:extLst>
          </xdr:cNvPr>
          <xdr:cNvSpPr>
            <a:spLocks noChangeArrowheads="1"/>
          </xdr:cNvSpPr>
        </xdr:nvSpPr>
        <xdr:spPr bwMode="auto">
          <a:xfrm>
            <a:off x="5762624" y="1590675"/>
            <a:ext cx="85726" cy="73080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4" name="Volný tvar 36">
            <a:extLst>
              <a:ext uri="{FF2B5EF4-FFF2-40B4-BE49-F238E27FC236}">
                <a16:creationId xmlns:a16="http://schemas.microsoft.com/office/drawing/2014/main" id="{00000000-0008-0000-0200-000026B40600}"/>
              </a:ext>
            </a:extLst>
          </xdr:cNvPr>
          <xdr:cNvSpPr>
            <a:spLocks/>
          </xdr:cNvSpPr>
        </xdr:nvSpPr>
        <xdr:spPr bwMode="auto">
          <a:xfrm>
            <a:off x="6448425" y="1547487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77390 w 290593"/>
              <a:gd name="T5" fmla="*/ 99635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38</xdr:col>
      <xdr:colOff>30480</xdr:colOff>
      <xdr:row>15</xdr:row>
      <xdr:rowOff>175260</xdr:rowOff>
    </xdr:from>
    <xdr:to>
      <xdr:col>42</xdr:col>
      <xdr:colOff>60960</xdr:colOff>
      <xdr:row>20</xdr:row>
      <xdr:rowOff>91440</xdr:rowOff>
    </xdr:to>
    <xdr:grpSp>
      <xdr:nvGrpSpPr>
        <xdr:cNvPr id="436083" name="Skupina 9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200-000073A70600}"/>
            </a:ext>
          </a:extLst>
        </xdr:cNvPr>
        <xdr:cNvGrpSpPr>
          <a:grpSpLocks/>
        </xdr:cNvGrpSpPr>
      </xdr:nvGrpSpPr>
      <xdr:grpSpPr bwMode="auto">
        <a:xfrm>
          <a:off x="9214585" y="3062839"/>
          <a:ext cx="993007" cy="818548"/>
          <a:chOff x="9103519" y="4391025"/>
          <a:chExt cx="976394" cy="805761"/>
        </a:xfrm>
      </xdr:grpSpPr>
      <xdr:sp macro="" textlink="">
        <xdr:nvSpPr>
          <xdr:cNvPr id="439328" name="Obdélník 98">
            <a:extLst>
              <a:ext uri="{FF2B5EF4-FFF2-40B4-BE49-F238E27FC236}">
                <a16:creationId xmlns:a16="http://schemas.microsoft.com/office/drawing/2014/main" id="{00000000-0008-0000-0200-000020B40600}"/>
              </a:ext>
            </a:extLst>
          </xdr:cNvPr>
          <xdr:cNvSpPr>
            <a:spLocks noChangeArrowheads="1"/>
          </xdr:cNvSpPr>
        </xdr:nvSpPr>
        <xdr:spPr bwMode="auto">
          <a:xfrm>
            <a:off x="9179719" y="4484886"/>
            <a:ext cx="771525" cy="45448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9" name="Obdélník 99">
            <a:extLst>
              <a:ext uri="{FF2B5EF4-FFF2-40B4-BE49-F238E27FC236}">
                <a16:creationId xmlns:a16="http://schemas.microsoft.com/office/drawing/2014/main" id="{00000000-0008-0000-0200-000021B40600}"/>
              </a:ext>
            </a:extLst>
          </xdr:cNvPr>
          <xdr:cNvSpPr>
            <a:spLocks noChangeArrowheads="1"/>
          </xdr:cNvSpPr>
        </xdr:nvSpPr>
        <xdr:spPr bwMode="auto">
          <a:xfrm>
            <a:off x="9170194" y="4954788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0" name="Obdélník 100">
            <a:extLst>
              <a:ext uri="{FF2B5EF4-FFF2-40B4-BE49-F238E27FC236}">
                <a16:creationId xmlns:a16="http://schemas.microsoft.com/office/drawing/2014/main" id="{00000000-0008-0000-0200-000022B40600}"/>
              </a:ext>
            </a:extLst>
          </xdr:cNvPr>
          <xdr:cNvSpPr>
            <a:spLocks noChangeArrowheads="1"/>
          </xdr:cNvSpPr>
        </xdr:nvSpPr>
        <xdr:spPr bwMode="auto">
          <a:xfrm>
            <a:off x="9103519" y="4433584"/>
            <a:ext cx="85726" cy="72015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31" name="Volný tvar 101">
            <a:extLst>
              <a:ext uri="{FF2B5EF4-FFF2-40B4-BE49-F238E27FC236}">
                <a16:creationId xmlns:a16="http://schemas.microsoft.com/office/drawing/2014/main" id="{00000000-0008-0000-0200-000023B406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10</xdr:col>
      <xdr:colOff>106680</xdr:colOff>
      <xdr:row>25</xdr:row>
      <xdr:rowOff>53340</xdr:rowOff>
    </xdr:from>
    <xdr:to>
      <xdr:col>14</xdr:col>
      <xdr:colOff>106680</xdr:colOff>
      <xdr:row>29</xdr:row>
      <xdr:rowOff>152400</xdr:rowOff>
    </xdr:to>
    <xdr:grpSp>
      <xdr:nvGrpSpPr>
        <xdr:cNvPr id="436084" name="Skupina 10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200-000074A70600}"/>
            </a:ext>
          </a:extLst>
        </xdr:cNvPr>
        <xdr:cNvGrpSpPr>
          <a:grpSpLocks/>
        </xdr:cNvGrpSpPr>
      </xdr:nvGrpSpPr>
      <xdr:grpSpPr bwMode="auto">
        <a:xfrm>
          <a:off x="2553101" y="4745656"/>
          <a:ext cx="962526" cy="820955"/>
          <a:chOff x="1800224" y="3300087"/>
          <a:chExt cx="947819" cy="817667"/>
        </a:xfrm>
      </xdr:grpSpPr>
      <xdr:sp macro="" textlink="">
        <xdr:nvSpPr>
          <xdr:cNvPr id="439325" name="Obdélník 103">
            <a:extLst>
              <a:ext uri="{FF2B5EF4-FFF2-40B4-BE49-F238E27FC236}">
                <a16:creationId xmlns:a16="http://schemas.microsoft.com/office/drawing/2014/main" id="{00000000-0008-0000-0200-00001DB4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6" name="Obdélník 104">
            <a:extLst>
              <a:ext uri="{FF2B5EF4-FFF2-40B4-BE49-F238E27FC236}">
                <a16:creationId xmlns:a16="http://schemas.microsoft.com/office/drawing/2014/main" id="{00000000-0008-0000-0200-00001EB406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7" name="Volný tvar 105">
            <a:extLst>
              <a:ext uri="{FF2B5EF4-FFF2-40B4-BE49-F238E27FC236}">
                <a16:creationId xmlns:a16="http://schemas.microsoft.com/office/drawing/2014/main" id="{00000000-0008-0000-0200-00001FB40600}"/>
              </a:ext>
            </a:extLst>
          </xdr:cNvPr>
          <xdr:cNvSpPr>
            <a:spLocks/>
          </xdr:cNvSpPr>
        </xdr:nvSpPr>
        <xdr:spPr bwMode="auto">
          <a:xfrm>
            <a:off x="2457450" y="3300087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25</xdr:col>
      <xdr:colOff>114300</xdr:colOff>
      <xdr:row>25</xdr:row>
      <xdr:rowOff>53340</xdr:rowOff>
    </xdr:from>
    <xdr:to>
      <xdr:col>29</xdr:col>
      <xdr:colOff>121920</xdr:colOff>
      <xdr:row>29</xdr:row>
      <xdr:rowOff>152400</xdr:rowOff>
    </xdr:to>
    <xdr:grpSp>
      <xdr:nvGrpSpPr>
        <xdr:cNvPr id="436085" name="Skupina 10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200-000075A70600}"/>
            </a:ext>
          </a:extLst>
        </xdr:cNvPr>
        <xdr:cNvGrpSpPr>
          <a:grpSpLocks/>
        </xdr:cNvGrpSpPr>
      </xdr:nvGrpSpPr>
      <xdr:grpSpPr bwMode="auto">
        <a:xfrm>
          <a:off x="6170195" y="4745656"/>
          <a:ext cx="970146" cy="820955"/>
          <a:chOff x="5781674" y="1547487"/>
          <a:chExt cx="957344" cy="817667"/>
        </a:xfrm>
      </xdr:grpSpPr>
      <xdr:sp macro="" textlink="">
        <xdr:nvSpPr>
          <xdr:cNvPr id="439322" name="Obdélník 108">
            <a:extLst>
              <a:ext uri="{FF2B5EF4-FFF2-40B4-BE49-F238E27FC236}">
                <a16:creationId xmlns:a16="http://schemas.microsoft.com/office/drawing/2014/main" id="{00000000-0008-0000-0200-00001AB40600}"/>
              </a:ext>
            </a:extLst>
          </xdr:cNvPr>
          <xdr:cNvSpPr>
            <a:spLocks noChangeArrowheads="1"/>
          </xdr:cNvSpPr>
        </xdr:nvSpPr>
        <xdr:spPr bwMode="auto">
          <a:xfrm>
            <a:off x="5829299" y="1834512"/>
            <a:ext cx="771526" cy="413389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3" name="Obdélník 109">
            <a:extLst>
              <a:ext uri="{FF2B5EF4-FFF2-40B4-BE49-F238E27FC236}">
                <a16:creationId xmlns:a16="http://schemas.microsoft.com/office/drawing/2014/main" id="{00000000-0008-0000-0200-00001BB40600}"/>
              </a:ext>
            </a:extLst>
          </xdr:cNvPr>
          <xdr:cNvSpPr>
            <a:spLocks noChangeArrowheads="1"/>
          </xdr:cNvSpPr>
        </xdr:nvSpPr>
        <xdr:spPr bwMode="auto">
          <a:xfrm>
            <a:off x="5781674" y="1666875"/>
            <a:ext cx="54000" cy="622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4" name="Volný tvar 110">
            <a:extLst>
              <a:ext uri="{FF2B5EF4-FFF2-40B4-BE49-F238E27FC236}">
                <a16:creationId xmlns:a16="http://schemas.microsoft.com/office/drawing/2014/main" id="{00000000-0008-0000-0200-00001CB40600}"/>
              </a:ext>
            </a:extLst>
          </xdr:cNvPr>
          <xdr:cNvSpPr>
            <a:spLocks/>
          </xdr:cNvSpPr>
        </xdr:nvSpPr>
        <xdr:spPr bwMode="auto">
          <a:xfrm>
            <a:off x="6448425" y="1547487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59</xdr:col>
      <xdr:colOff>137160</xdr:colOff>
      <xdr:row>1</xdr:row>
      <xdr:rowOff>7620</xdr:rowOff>
    </xdr:from>
    <xdr:to>
      <xdr:col>60</xdr:col>
      <xdr:colOff>480060</xdr:colOff>
      <xdr:row>4</xdr:row>
      <xdr:rowOff>68580</xdr:rowOff>
    </xdr:to>
    <xdr:pic>
      <xdr:nvPicPr>
        <xdr:cNvPr id="436086" name="Picture 24">
          <a:extLst>
            <a:ext uri="{FF2B5EF4-FFF2-40B4-BE49-F238E27FC236}">
              <a16:creationId xmlns:a16="http://schemas.microsoft.com/office/drawing/2014/main" id="{00000000-0008-0000-0200-000076A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7640"/>
          <a:ext cx="96012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68580</xdr:colOff>
      <xdr:row>64</xdr:row>
      <xdr:rowOff>38100</xdr:rowOff>
    </xdr:from>
    <xdr:to>
      <xdr:col>14</xdr:col>
      <xdr:colOff>83820</xdr:colOff>
      <xdr:row>67</xdr:row>
      <xdr:rowOff>15240</xdr:rowOff>
    </xdr:to>
    <xdr:grpSp>
      <xdr:nvGrpSpPr>
        <xdr:cNvPr id="436087" name="Skupina 2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200-000077A70600}"/>
            </a:ext>
          </a:extLst>
        </xdr:cNvPr>
        <xdr:cNvGrpSpPr>
          <a:grpSpLocks/>
        </xdr:cNvGrpSpPr>
      </xdr:nvGrpSpPr>
      <xdr:grpSpPr bwMode="auto">
        <a:xfrm>
          <a:off x="2515001" y="11879179"/>
          <a:ext cx="977766" cy="518561"/>
          <a:chOff x="1771649" y="3604335"/>
          <a:chExt cx="976394" cy="513419"/>
        </a:xfrm>
      </xdr:grpSpPr>
      <xdr:sp macro="" textlink="">
        <xdr:nvSpPr>
          <xdr:cNvPr id="439319" name="Obdélník 19">
            <a:extLst>
              <a:ext uri="{FF2B5EF4-FFF2-40B4-BE49-F238E27FC236}">
                <a16:creationId xmlns:a16="http://schemas.microsoft.com/office/drawing/2014/main" id="{00000000-0008-0000-0200-000017B4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784983"/>
            <a:ext cx="771525" cy="215518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0" name="Obdélník 18">
            <a:extLst>
              <a:ext uri="{FF2B5EF4-FFF2-40B4-BE49-F238E27FC236}">
                <a16:creationId xmlns:a16="http://schemas.microsoft.com/office/drawing/2014/main" id="{00000000-0008-0000-0200-000018B4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715173"/>
            <a:ext cx="85726" cy="35883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21" name="Volný tvar 20">
            <a:extLst>
              <a:ext uri="{FF2B5EF4-FFF2-40B4-BE49-F238E27FC236}">
                <a16:creationId xmlns:a16="http://schemas.microsoft.com/office/drawing/2014/main" id="{00000000-0008-0000-0200-000019B40600}"/>
              </a:ext>
            </a:extLst>
          </xdr:cNvPr>
          <xdr:cNvSpPr>
            <a:spLocks/>
          </xdr:cNvSpPr>
        </xdr:nvSpPr>
        <xdr:spPr bwMode="auto">
          <a:xfrm>
            <a:off x="2457450" y="3604335"/>
            <a:ext cx="290593" cy="513419"/>
          </a:xfrm>
          <a:custGeom>
            <a:avLst/>
            <a:gdLst>
              <a:gd name="T0" fmla="*/ 76200 w 290593"/>
              <a:gd name="T1" fmla="*/ 1 h 817667"/>
              <a:gd name="T2" fmla="*/ 76200 w 290593"/>
              <a:gd name="T3" fmla="*/ 1 h 817667"/>
              <a:gd name="T4" fmla="*/ 95250 w 290593"/>
              <a:gd name="T5" fmla="*/ 1 h 817667"/>
              <a:gd name="T6" fmla="*/ 38100 w 290593"/>
              <a:gd name="T7" fmla="*/ 1 h 817667"/>
              <a:gd name="T8" fmla="*/ 85725 w 290593"/>
              <a:gd name="T9" fmla="*/ 1 h 817667"/>
              <a:gd name="T10" fmla="*/ 57150 w 290593"/>
              <a:gd name="T11" fmla="*/ 1 h 817667"/>
              <a:gd name="T12" fmla="*/ 28575 w 290593"/>
              <a:gd name="T13" fmla="*/ 1 h 817667"/>
              <a:gd name="T14" fmla="*/ 28575 w 290593"/>
              <a:gd name="T15" fmla="*/ 1 h 817667"/>
              <a:gd name="T16" fmla="*/ 47625 w 290593"/>
              <a:gd name="T17" fmla="*/ 1 h 817667"/>
              <a:gd name="T18" fmla="*/ 38100 w 290593"/>
              <a:gd name="T19" fmla="*/ 1 h 817667"/>
              <a:gd name="T20" fmla="*/ 9525 w 290593"/>
              <a:gd name="T21" fmla="*/ 1 h 817667"/>
              <a:gd name="T22" fmla="*/ 0 w 290593"/>
              <a:gd name="T23" fmla="*/ 1 h 817667"/>
              <a:gd name="T24" fmla="*/ 19050 w 290593"/>
              <a:gd name="T25" fmla="*/ 1 h 817667"/>
              <a:gd name="T26" fmla="*/ 57150 w 290593"/>
              <a:gd name="T27" fmla="*/ 1 h 817667"/>
              <a:gd name="T28" fmla="*/ 57150 w 290593"/>
              <a:gd name="T29" fmla="*/ 1 h 817667"/>
              <a:gd name="T30" fmla="*/ 266700 w 290593"/>
              <a:gd name="T31" fmla="*/ 1 h 817667"/>
              <a:gd name="T32" fmla="*/ 266700 w 290593"/>
              <a:gd name="T33" fmla="*/ 1 h 817667"/>
              <a:gd name="T34" fmla="*/ 285750 w 290593"/>
              <a:gd name="T35" fmla="*/ 1 h 817667"/>
              <a:gd name="T36" fmla="*/ 76200 w 290593"/>
              <a:gd name="T37" fmla="*/ 1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4</xdr:col>
      <xdr:colOff>91440</xdr:colOff>
      <xdr:row>77</xdr:row>
      <xdr:rowOff>22860</xdr:rowOff>
    </xdr:from>
    <xdr:to>
      <xdr:col>7</xdr:col>
      <xdr:colOff>45720</xdr:colOff>
      <xdr:row>80</xdr:row>
      <xdr:rowOff>129540</xdr:rowOff>
    </xdr:to>
    <xdr:grpSp>
      <xdr:nvGrpSpPr>
        <xdr:cNvPr id="436088" name="Skupina 21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200-000078A70600}"/>
            </a:ext>
          </a:extLst>
        </xdr:cNvPr>
        <xdr:cNvGrpSpPr>
          <a:grpSpLocks/>
        </xdr:cNvGrpSpPr>
      </xdr:nvGrpSpPr>
      <xdr:grpSpPr bwMode="auto">
        <a:xfrm>
          <a:off x="1094072" y="14320386"/>
          <a:ext cx="676174" cy="648101"/>
          <a:chOff x="2202497" y="21642192"/>
          <a:chExt cx="655003" cy="660030"/>
        </a:xfrm>
      </xdr:grpSpPr>
      <xdr:sp macro="" textlink="">
        <xdr:nvSpPr>
          <xdr:cNvPr id="439315" name="Obdélník 23">
            <a:extLst>
              <a:ext uri="{FF2B5EF4-FFF2-40B4-BE49-F238E27FC236}">
                <a16:creationId xmlns:a16="http://schemas.microsoft.com/office/drawing/2014/main" id="{00000000-0008-0000-0200-000013B40600}"/>
              </a:ext>
            </a:extLst>
          </xdr:cNvPr>
          <xdr:cNvSpPr>
            <a:spLocks noChangeArrowheads="1"/>
          </xdr:cNvSpPr>
        </xdr:nvSpPr>
        <xdr:spPr bwMode="auto">
          <a:xfrm>
            <a:off x="2202497" y="21642192"/>
            <a:ext cx="655003" cy="66003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39316" name="Obdélník 23">
            <a:extLst>
              <a:ext uri="{FF2B5EF4-FFF2-40B4-BE49-F238E27FC236}">
                <a16:creationId xmlns:a16="http://schemas.microsoft.com/office/drawing/2014/main" id="{00000000-0008-0000-0200-000014B40600}"/>
              </a:ext>
            </a:extLst>
          </xdr:cNvPr>
          <xdr:cNvSpPr>
            <a:spLocks noChangeArrowheads="1"/>
          </xdr:cNvSpPr>
        </xdr:nvSpPr>
        <xdr:spPr bwMode="auto">
          <a:xfrm>
            <a:off x="2278697" y="21794325"/>
            <a:ext cx="536765" cy="10603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17" name="Obdélník 23">
            <a:extLst>
              <a:ext uri="{FF2B5EF4-FFF2-40B4-BE49-F238E27FC236}">
                <a16:creationId xmlns:a16="http://schemas.microsoft.com/office/drawing/2014/main" id="{00000000-0008-0000-0200-000015B40600}"/>
              </a:ext>
            </a:extLst>
          </xdr:cNvPr>
          <xdr:cNvSpPr>
            <a:spLocks noChangeArrowheads="1"/>
          </xdr:cNvSpPr>
        </xdr:nvSpPr>
        <xdr:spPr bwMode="auto">
          <a:xfrm>
            <a:off x="2280702" y="22062365"/>
            <a:ext cx="536755" cy="17764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18" name="Obdélník 24">
            <a:extLst>
              <a:ext uri="{FF2B5EF4-FFF2-40B4-BE49-F238E27FC236}">
                <a16:creationId xmlns:a16="http://schemas.microsoft.com/office/drawing/2014/main" id="{00000000-0008-0000-0200-000016B40600}"/>
              </a:ext>
            </a:extLst>
          </xdr:cNvPr>
          <xdr:cNvSpPr>
            <a:spLocks noChangeArrowheads="1"/>
          </xdr:cNvSpPr>
        </xdr:nvSpPr>
        <xdr:spPr bwMode="auto">
          <a:xfrm>
            <a:off x="2227236" y="21664532"/>
            <a:ext cx="60577" cy="60911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91440</xdr:colOff>
      <xdr:row>73</xdr:row>
      <xdr:rowOff>106680</xdr:rowOff>
    </xdr:from>
    <xdr:to>
      <xdr:col>14</xdr:col>
      <xdr:colOff>114300</xdr:colOff>
      <xdr:row>78</xdr:row>
      <xdr:rowOff>22860</xdr:rowOff>
    </xdr:to>
    <xdr:grpSp>
      <xdr:nvGrpSpPr>
        <xdr:cNvPr id="436089" name="Skupina 7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200-000079A70600}"/>
            </a:ext>
          </a:extLst>
        </xdr:cNvPr>
        <xdr:cNvGrpSpPr>
          <a:grpSpLocks/>
        </xdr:cNvGrpSpPr>
      </xdr:nvGrpSpPr>
      <xdr:grpSpPr bwMode="auto">
        <a:xfrm>
          <a:off x="2537861" y="13682312"/>
          <a:ext cx="985386" cy="818548"/>
          <a:chOff x="5762625" y="4438650"/>
          <a:chExt cx="976394" cy="817667"/>
        </a:xfrm>
      </xdr:grpSpPr>
      <xdr:sp macro="" textlink="">
        <xdr:nvSpPr>
          <xdr:cNvPr id="439312" name="Obdélník 79">
            <a:extLst>
              <a:ext uri="{FF2B5EF4-FFF2-40B4-BE49-F238E27FC236}">
                <a16:creationId xmlns:a16="http://schemas.microsoft.com/office/drawing/2014/main" id="{00000000-0008-0000-0200-000010B4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833265"/>
            <a:ext cx="771525" cy="30512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13" name="Obdélník 80">
            <a:extLst>
              <a:ext uri="{FF2B5EF4-FFF2-40B4-BE49-F238E27FC236}">
                <a16:creationId xmlns:a16="http://schemas.microsoft.com/office/drawing/2014/main" id="{00000000-0008-0000-0200-000011B40600}"/>
              </a:ext>
            </a:extLst>
          </xdr:cNvPr>
          <xdr:cNvSpPr>
            <a:spLocks noChangeArrowheads="1"/>
          </xdr:cNvSpPr>
        </xdr:nvSpPr>
        <xdr:spPr bwMode="auto">
          <a:xfrm>
            <a:off x="5762625" y="4558681"/>
            <a:ext cx="85726" cy="656351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14" name="Volný tvar 81">
            <a:extLst>
              <a:ext uri="{FF2B5EF4-FFF2-40B4-BE49-F238E27FC236}">
                <a16:creationId xmlns:a16="http://schemas.microsoft.com/office/drawing/2014/main" id="{00000000-0008-0000-0200-000012B4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52</xdr:col>
      <xdr:colOff>15240</xdr:colOff>
      <xdr:row>7</xdr:row>
      <xdr:rowOff>76200</xdr:rowOff>
    </xdr:from>
    <xdr:to>
      <xdr:col>56</xdr:col>
      <xdr:colOff>45720</xdr:colOff>
      <xdr:row>12</xdr:row>
      <xdr:rowOff>121920</xdr:rowOff>
    </xdr:to>
    <xdr:grpSp>
      <xdr:nvGrpSpPr>
        <xdr:cNvPr id="436091" name="Skupina 3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200-00007BA70600}"/>
            </a:ext>
          </a:extLst>
        </xdr:cNvPr>
        <xdr:cNvGrpSpPr>
          <a:grpSpLocks/>
        </xdr:cNvGrpSpPr>
      </xdr:nvGrpSpPr>
      <xdr:grpSpPr bwMode="auto">
        <a:xfrm>
          <a:off x="12568187" y="1519989"/>
          <a:ext cx="993007" cy="948089"/>
          <a:chOff x="5762624" y="1520288"/>
          <a:chExt cx="976394" cy="940714"/>
        </a:xfrm>
      </xdr:grpSpPr>
      <xdr:sp macro="" textlink="">
        <xdr:nvSpPr>
          <xdr:cNvPr id="439299" name="Obdélník 34">
            <a:extLst>
              <a:ext uri="{FF2B5EF4-FFF2-40B4-BE49-F238E27FC236}">
                <a16:creationId xmlns:a16="http://schemas.microsoft.com/office/drawing/2014/main" id="{00000000-0008-0000-0200-000003B40600}"/>
              </a:ext>
            </a:extLst>
          </xdr:cNvPr>
          <xdr:cNvSpPr>
            <a:spLocks noChangeArrowheads="1"/>
          </xdr:cNvSpPr>
        </xdr:nvSpPr>
        <xdr:spPr bwMode="auto">
          <a:xfrm>
            <a:off x="5829299" y="1623348"/>
            <a:ext cx="771525" cy="766441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00" name="Obdélník 35">
            <a:extLst>
              <a:ext uri="{FF2B5EF4-FFF2-40B4-BE49-F238E27FC236}">
                <a16:creationId xmlns:a16="http://schemas.microsoft.com/office/drawing/2014/main" id="{00000000-0008-0000-0200-000004B40600}"/>
              </a:ext>
            </a:extLst>
          </xdr:cNvPr>
          <xdr:cNvSpPr>
            <a:spLocks noChangeArrowheads="1"/>
          </xdr:cNvSpPr>
        </xdr:nvSpPr>
        <xdr:spPr bwMode="auto">
          <a:xfrm>
            <a:off x="5762624" y="1520288"/>
            <a:ext cx="85726" cy="940714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301" name="Volný tvar 36">
            <a:extLst>
              <a:ext uri="{FF2B5EF4-FFF2-40B4-BE49-F238E27FC236}">
                <a16:creationId xmlns:a16="http://schemas.microsoft.com/office/drawing/2014/main" id="{00000000-0008-0000-0200-000005B40600}"/>
              </a:ext>
            </a:extLst>
          </xdr:cNvPr>
          <xdr:cNvSpPr>
            <a:spLocks/>
          </xdr:cNvSpPr>
        </xdr:nvSpPr>
        <xdr:spPr bwMode="auto">
          <a:xfrm>
            <a:off x="6448425" y="1547487"/>
            <a:ext cx="290593" cy="873581"/>
          </a:xfrm>
          <a:custGeom>
            <a:avLst/>
            <a:gdLst>
              <a:gd name="T0" fmla="*/ 76200 w 290593"/>
              <a:gd name="T1" fmla="*/ 48065 h 817667"/>
              <a:gd name="T2" fmla="*/ 76200 w 290593"/>
              <a:gd name="T3" fmla="*/ 48065 h 817667"/>
              <a:gd name="T4" fmla="*/ 77390 w 290593"/>
              <a:gd name="T5" fmla="*/ 327710 h 817667"/>
              <a:gd name="T6" fmla="*/ 38100 w 290593"/>
              <a:gd name="T7" fmla="*/ 549330 h 817667"/>
              <a:gd name="T8" fmla="*/ 85725 w 290593"/>
              <a:gd name="T9" fmla="*/ 705970 h 817667"/>
              <a:gd name="T10" fmla="*/ 57150 w 290593"/>
              <a:gd name="T11" fmla="*/ 1238564 h 817667"/>
              <a:gd name="T12" fmla="*/ 28575 w 290593"/>
              <a:gd name="T13" fmla="*/ 1269896 h 817667"/>
              <a:gd name="T14" fmla="*/ 28575 w 290593"/>
              <a:gd name="T15" fmla="*/ 1614511 h 817667"/>
              <a:gd name="T16" fmla="*/ 47625 w 290593"/>
              <a:gd name="T17" fmla="*/ 1708496 h 817667"/>
              <a:gd name="T18" fmla="*/ 38100 w 290593"/>
              <a:gd name="T19" fmla="*/ 1896472 h 817667"/>
              <a:gd name="T20" fmla="*/ 9525 w 290593"/>
              <a:gd name="T21" fmla="*/ 1927801 h 817667"/>
              <a:gd name="T22" fmla="*/ 0 w 290593"/>
              <a:gd name="T23" fmla="*/ 2021785 h 817667"/>
              <a:gd name="T24" fmla="*/ 19050 w 290593"/>
              <a:gd name="T25" fmla="*/ 2209759 h 817667"/>
              <a:gd name="T26" fmla="*/ 57150 w 290593"/>
              <a:gd name="T27" fmla="*/ 2397737 h 817667"/>
              <a:gd name="T28" fmla="*/ 57150 w 290593"/>
              <a:gd name="T29" fmla="*/ 2679698 h 817667"/>
              <a:gd name="T30" fmla="*/ 266700 w 290593"/>
              <a:gd name="T31" fmla="*/ 2554377 h 817667"/>
              <a:gd name="T32" fmla="*/ 266700 w 290593"/>
              <a:gd name="T33" fmla="*/ 1677168 h 817667"/>
              <a:gd name="T34" fmla="*/ 285750 w 290593"/>
              <a:gd name="T35" fmla="*/ 142048 h 817667"/>
              <a:gd name="T36" fmla="*/ 76200 w 290593"/>
              <a:gd name="T37" fmla="*/ 48065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50</xdr:col>
      <xdr:colOff>0</xdr:colOff>
      <xdr:row>101</xdr:row>
      <xdr:rowOff>91440</xdr:rowOff>
    </xdr:from>
    <xdr:to>
      <xdr:col>58</xdr:col>
      <xdr:colOff>213360</xdr:colOff>
      <xdr:row>110</xdr:row>
      <xdr:rowOff>38100</xdr:rowOff>
    </xdr:to>
    <xdr:pic>
      <xdr:nvPicPr>
        <xdr:cNvPr id="436092" name="Picture 24">
          <a:extLst>
            <a:ext uri="{FF2B5EF4-FFF2-40B4-BE49-F238E27FC236}">
              <a16:creationId xmlns:a16="http://schemas.microsoft.com/office/drawing/2014/main" id="{00000000-0008-0000-0200-00007CA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9050000"/>
          <a:ext cx="1920240" cy="1592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106680</xdr:colOff>
      <xdr:row>25</xdr:row>
      <xdr:rowOff>129540</xdr:rowOff>
    </xdr:from>
    <xdr:to>
      <xdr:col>43</xdr:col>
      <xdr:colOff>114300</xdr:colOff>
      <xdr:row>29</xdr:row>
      <xdr:rowOff>152400</xdr:rowOff>
    </xdr:to>
    <xdr:grpSp>
      <xdr:nvGrpSpPr>
        <xdr:cNvPr id="436093" name="Skupina 10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200-00007DA70600}"/>
            </a:ext>
          </a:extLst>
        </xdr:cNvPr>
        <xdr:cNvGrpSpPr>
          <a:grpSpLocks/>
        </xdr:cNvGrpSpPr>
      </xdr:nvGrpSpPr>
      <xdr:grpSpPr bwMode="auto">
        <a:xfrm>
          <a:off x="9531417" y="4821856"/>
          <a:ext cx="970146" cy="744755"/>
          <a:chOff x="5781674" y="1627771"/>
          <a:chExt cx="957344" cy="737383"/>
        </a:xfrm>
      </xdr:grpSpPr>
      <xdr:sp macro="" textlink="">
        <xdr:nvSpPr>
          <xdr:cNvPr id="439296" name="Obdélník 108">
            <a:extLst>
              <a:ext uri="{FF2B5EF4-FFF2-40B4-BE49-F238E27FC236}">
                <a16:creationId xmlns:a16="http://schemas.microsoft.com/office/drawing/2014/main" id="{00000000-0008-0000-0200-000000B40600}"/>
              </a:ext>
            </a:extLst>
          </xdr:cNvPr>
          <xdr:cNvSpPr>
            <a:spLocks noChangeArrowheads="1"/>
          </xdr:cNvSpPr>
        </xdr:nvSpPr>
        <xdr:spPr bwMode="auto">
          <a:xfrm>
            <a:off x="5829299" y="1680441"/>
            <a:ext cx="771526" cy="5674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297" name="Obdélník 109">
            <a:extLst>
              <a:ext uri="{FF2B5EF4-FFF2-40B4-BE49-F238E27FC236}">
                <a16:creationId xmlns:a16="http://schemas.microsoft.com/office/drawing/2014/main" id="{00000000-0008-0000-0200-000001B40600}"/>
              </a:ext>
            </a:extLst>
          </xdr:cNvPr>
          <xdr:cNvSpPr>
            <a:spLocks noChangeArrowheads="1"/>
          </xdr:cNvSpPr>
        </xdr:nvSpPr>
        <xdr:spPr bwMode="auto">
          <a:xfrm>
            <a:off x="5781674" y="1627771"/>
            <a:ext cx="54000" cy="65639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9298" name="Volný tvar 110">
            <a:extLst>
              <a:ext uri="{FF2B5EF4-FFF2-40B4-BE49-F238E27FC236}">
                <a16:creationId xmlns:a16="http://schemas.microsoft.com/office/drawing/2014/main" id="{00000000-0008-0000-0200-000002B40600}"/>
              </a:ext>
            </a:extLst>
          </xdr:cNvPr>
          <xdr:cNvSpPr>
            <a:spLocks/>
          </xdr:cNvSpPr>
        </xdr:nvSpPr>
        <xdr:spPr bwMode="auto">
          <a:xfrm>
            <a:off x="6448424" y="1633515"/>
            <a:ext cx="290594" cy="731639"/>
          </a:xfrm>
          <a:custGeom>
            <a:avLst/>
            <a:gdLst>
              <a:gd name="T0" fmla="*/ 76200 w 290593"/>
              <a:gd name="T1" fmla="*/ 1416 h 817667"/>
              <a:gd name="T2" fmla="*/ 76200 w 290593"/>
              <a:gd name="T3" fmla="*/ 1416 h 817667"/>
              <a:gd name="T4" fmla="*/ 95250 w 290593"/>
              <a:gd name="T5" fmla="*/ 14331 h 817667"/>
              <a:gd name="T6" fmla="*/ 38100 w 290593"/>
              <a:gd name="T7" fmla="*/ 16175 h 817667"/>
              <a:gd name="T8" fmla="*/ 85725 w 290593"/>
              <a:gd name="T9" fmla="*/ 20789 h 817667"/>
              <a:gd name="T10" fmla="*/ 57150 w 290593"/>
              <a:gd name="T11" fmla="*/ 36473 h 817667"/>
              <a:gd name="T12" fmla="*/ 28575 w 290593"/>
              <a:gd name="T13" fmla="*/ 37395 h 817667"/>
              <a:gd name="T14" fmla="*/ 28575 w 290593"/>
              <a:gd name="T15" fmla="*/ 47543 h 817667"/>
              <a:gd name="T16" fmla="*/ 47625 w 290593"/>
              <a:gd name="T17" fmla="*/ 50311 h 817667"/>
              <a:gd name="T18" fmla="*/ 38100 w 290593"/>
              <a:gd name="T19" fmla="*/ 55846 h 817667"/>
              <a:gd name="T20" fmla="*/ 9525 w 290593"/>
              <a:gd name="T21" fmla="*/ 56768 h 817667"/>
              <a:gd name="T22" fmla="*/ 0 w 290593"/>
              <a:gd name="T23" fmla="*/ 59536 h 817667"/>
              <a:gd name="T24" fmla="*/ 19050 w 290593"/>
              <a:gd name="T25" fmla="*/ 65072 h 817667"/>
              <a:gd name="T26" fmla="*/ 57150 w 290593"/>
              <a:gd name="T27" fmla="*/ 70608 h 817667"/>
              <a:gd name="T28" fmla="*/ 57150 w 290593"/>
              <a:gd name="T29" fmla="*/ 78910 h 817667"/>
              <a:gd name="T30" fmla="*/ 266721 w 290593"/>
              <a:gd name="T31" fmla="*/ 75219 h 817667"/>
              <a:gd name="T32" fmla="*/ 266721 w 290593"/>
              <a:gd name="T33" fmla="*/ 49388 h 817667"/>
              <a:gd name="T34" fmla="*/ 285771 w 290593"/>
              <a:gd name="T35" fmla="*/ 4183 h 817667"/>
              <a:gd name="T36" fmla="*/ 76200 w 290593"/>
              <a:gd name="T37" fmla="*/ 14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39</xdr:col>
      <xdr:colOff>22860</xdr:colOff>
      <xdr:row>44</xdr:row>
      <xdr:rowOff>0</xdr:rowOff>
    </xdr:from>
    <xdr:to>
      <xdr:col>43</xdr:col>
      <xdr:colOff>30480</xdr:colOff>
      <xdr:row>48</xdr:row>
      <xdr:rowOff>22860</xdr:rowOff>
    </xdr:to>
    <xdr:grpSp>
      <xdr:nvGrpSpPr>
        <xdr:cNvPr id="436094" name="Skupina 10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200-00007EA70600}"/>
            </a:ext>
          </a:extLst>
        </xdr:cNvPr>
        <xdr:cNvGrpSpPr>
          <a:grpSpLocks/>
        </xdr:cNvGrpSpPr>
      </xdr:nvGrpSpPr>
      <xdr:grpSpPr bwMode="auto">
        <a:xfrm>
          <a:off x="9447597" y="8121316"/>
          <a:ext cx="970146" cy="744755"/>
          <a:chOff x="5781674" y="1627771"/>
          <a:chExt cx="957344" cy="737383"/>
        </a:xfrm>
      </xdr:grpSpPr>
      <xdr:sp macro="" textlink="">
        <xdr:nvSpPr>
          <xdr:cNvPr id="436221" name="Obdélník 108">
            <a:extLst>
              <a:ext uri="{FF2B5EF4-FFF2-40B4-BE49-F238E27FC236}">
                <a16:creationId xmlns:a16="http://schemas.microsoft.com/office/drawing/2014/main" id="{00000000-0008-0000-0200-0000FDA70600}"/>
              </a:ext>
            </a:extLst>
          </xdr:cNvPr>
          <xdr:cNvSpPr>
            <a:spLocks noChangeArrowheads="1"/>
          </xdr:cNvSpPr>
        </xdr:nvSpPr>
        <xdr:spPr bwMode="auto">
          <a:xfrm>
            <a:off x="5829299" y="1680441"/>
            <a:ext cx="771526" cy="5674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22" name="Obdélník 109">
            <a:extLst>
              <a:ext uri="{FF2B5EF4-FFF2-40B4-BE49-F238E27FC236}">
                <a16:creationId xmlns:a16="http://schemas.microsoft.com/office/drawing/2014/main" id="{00000000-0008-0000-0200-0000FEA70600}"/>
              </a:ext>
            </a:extLst>
          </xdr:cNvPr>
          <xdr:cNvSpPr>
            <a:spLocks noChangeArrowheads="1"/>
          </xdr:cNvSpPr>
        </xdr:nvSpPr>
        <xdr:spPr bwMode="auto">
          <a:xfrm>
            <a:off x="5781674" y="1627771"/>
            <a:ext cx="54000" cy="656395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23" name="Volný tvar 110">
            <a:extLst>
              <a:ext uri="{FF2B5EF4-FFF2-40B4-BE49-F238E27FC236}">
                <a16:creationId xmlns:a16="http://schemas.microsoft.com/office/drawing/2014/main" id="{00000000-0008-0000-0200-0000FFA70600}"/>
              </a:ext>
            </a:extLst>
          </xdr:cNvPr>
          <xdr:cNvSpPr>
            <a:spLocks/>
          </xdr:cNvSpPr>
        </xdr:nvSpPr>
        <xdr:spPr bwMode="auto">
          <a:xfrm>
            <a:off x="6448424" y="1633515"/>
            <a:ext cx="290594" cy="731639"/>
          </a:xfrm>
          <a:custGeom>
            <a:avLst/>
            <a:gdLst>
              <a:gd name="T0" fmla="*/ 76200 w 290593"/>
              <a:gd name="T1" fmla="*/ 1416 h 817667"/>
              <a:gd name="T2" fmla="*/ 76200 w 290593"/>
              <a:gd name="T3" fmla="*/ 1416 h 817667"/>
              <a:gd name="T4" fmla="*/ 95250 w 290593"/>
              <a:gd name="T5" fmla="*/ 14331 h 817667"/>
              <a:gd name="T6" fmla="*/ 38100 w 290593"/>
              <a:gd name="T7" fmla="*/ 16175 h 817667"/>
              <a:gd name="T8" fmla="*/ 85725 w 290593"/>
              <a:gd name="T9" fmla="*/ 20789 h 817667"/>
              <a:gd name="T10" fmla="*/ 57150 w 290593"/>
              <a:gd name="T11" fmla="*/ 36473 h 817667"/>
              <a:gd name="T12" fmla="*/ 28575 w 290593"/>
              <a:gd name="T13" fmla="*/ 37395 h 817667"/>
              <a:gd name="T14" fmla="*/ 28575 w 290593"/>
              <a:gd name="T15" fmla="*/ 47543 h 817667"/>
              <a:gd name="T16" fmla="*/ 47625 w 290593"/>
              <a:gd name="T17" fmla="*/ 50311 h 817667"/>
              <a:gd name="T18" fmla="*/ 38100 w 290593"/>
              <a:gd name="T19" fmla="*/ 55846 h 817667"/>
              <a:gd name="T20" fmla="*/ 9525 w 290593"/>
              <a:gd name="T21" fmla="*/ 56768 h 817667"/>
              <a:gd name="T22" fmla="*/ 0 w 290593"/>
              <a:gd name="T23" fmla="*/ 59536 h 817667"/>
              <a:gd name="T24" fmla="*/ 19050 w 290593"/>
              <a:gd name="T25" fmla="*/ 65072 h 817667"/>
              <a:gd name="T26" fmla="*/ 57150 w 290593"/>
              <a:gd name="T27" fmla="*/ 70608 h 817667"/>
              <a:gd name="T28" fmla="*/ 57150 w 290593"/>
              <a:gd name="T29" fmla="*/ 78910 h 817667"/>
              <a:gd name="T30" fmla="*/ 266721 w 290593"/>
              <a:gd name="T31" fmla="*/ 75219 h 817667"/>
              <a:gd name="T32" fmla="*/ 266721 w 290593"/>
              <a:gd name="T33" fmla="*/ 49388 h 817667"/>
              <a:gd name="T34" fmla="*/ 285771 w 290593"/>
              <a:gd name="T35" fmla="*/ 4183 h 817667"/>
              <a:gd name="T36" fmla="*/ 76200 w 290593"/>
              <a:gd name="T37" fmla="*/ 14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39</xdr:col>
      <xdr:colOff>106680</xdr:colOff>
      <xdr:row>34</xdr:row>
      <xdr:rowOff>7620</xdr:rowOff>
    </xdr:from>
    <xdr:to>
      <xdr:col>43</xdr:col>
      <xdr:colOff>114300</xdr:colOff>
      <xdr:row>38</xdr:row>
      <xdr:rowOff>114300</xdr:rowOff>
    </xdr:to>
    <xdr:grpSp>
      <xdr:nvGrpSpPr>
        <xdr:cNvPr id="436095" name="Skupina 96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200-00007FA70600}"/>
            </a:ext>
          </a:extLst>
        </xdr:cNvPr>
        <xdr:cNvGrpSpPr>
          <a:grpSpLocks/>
        </xdr:cNvGrpSpPr>
      </xdr:nvGrpSpPr>
      <xdr:grpSpPr bwMode="auto">
        <a:xfrm>
          <a:off x="9531417" y="6324199"/>
          <a:ext cx="970146" cy="828575"/>
          <a:chOff x="9129718" y="4391025"/>
          <a:chExt cx="950195" cy="805761"/>
        </a:xfrm>
      </xdr:grpSpPr>
      <xdr:sp macro="" textlink="">
        <xdr:nvSpPr>
          <xdr:cNvPr id="436217" name="Obdélník 98">
            <a:extLst>
              <a:ext uri="{FF2B5EF4-FFF2-40B4-BE49-F238E27FC236}">
                <a16:creationId xmlns:a16="http://schemas.microsoft.com/office/drawing/2014/main" id="{00000000-0008-0000-0200-0000F9A70600}"/>
              </a:ext>
            </a:extLst>
          </xdr:cNvPr>
          <xdr:cNvSpPr>
            <a:spLocks noChangeArrowheads="1"/>
          </xdr:cNvSpPr>
        </xdr:nvSpPr>
        <xdr:spPr bwMode="auto">
          <a:xfrm>
            <a:off x="9170986" y="4484886"/>
            <a:ext cx="771525" cy="45448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8" name="Obdélník 99">
            <a:extLst>
              <a:ext uri="{FF2B5EF4-FFF2-40B4-BE49-F238E27FC236}">
                <a16:creationId xmlns:a16="http://schemas.microsoft.com/office/drawing/2014/main" id="{00000000-0008-0000-0200-0000FAA70600}"/>
              </a:ext>
            </a:extLst>
          </xdr:cNvPr>
          <xdr:cNvSpPr>
            <a:spLocks noChangeArrowheads="1"/>
          </xdr:cNvSpPr>
        </xdr:nvSpPr>
        <xdr:spPr bwMode="auto">
          <a:xfrm>
            <a:off x="9170194" y="4954788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9" name="Obdélník 100">
            <a:extLst>
              <a:ext uri="{FF2B5EF4-FFF2-40B4-BE49-F238E27FC236}">
                <a16:creationId xmlns:a16="http://schemas.microsoft.com/office/drawing/2014/main" id="{00000000-0008-0000-0200-0000FBA70600}"/>
              </a:ext>
            </a:extLst>
          </xdr:cNvPr>
          <xdr:cNvSpPr>
            <a:spLocks noChangeArrowheads="1"/>
          </xdr:cNvSpPr>
        </xdr:nvSpPr>
        <xdr:spPr bwMode="auto">
          <a:xfrm>
            <a:off x="9129718" y="4433584"/>
            <a:ext cx="50886" cy="720159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20" name="Volný tvar 101">
            <a:extLst>
              <a:ext uri="{FF2B5EF4-FFF2-40B4-BE49-F238E27FC236}">
                <a16:creationId xmlns:a16="http://schemas.microsoft.com/office/drawing/2014/main" id="{00000000-0008-0000-0200-0000FCA706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39</xdr:col>
      <xdr:colOff>68580</xdr:colOff>
      <xdr:row>73</xdr:row>
      <xdr:rowOff>106680</xdr:rowOff>
    </xdr:from>
    <xdr:to>
      <xdr:col>43</xdr:col>
      <xdr:colOff>91440</xdr:colOff>
      <xdr:row>78</xdr:row>
      <xdr:rowOff>22860</xdr:rowOff>
    </xdr:to>
    <xdr:grpSp>
      <xdr:nvGrpSpPr>
        <xdr:cNvPr id="436096" name="Skupina 7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80A70600}"/>
            </a:ext>
          </a:extLst>
        </xdr:cNvPr>
        <xdr:cNvGrpSpPr>
          <a:grpSpLocks/>
        </xdr:cNvGrpSpPr>
      </xdr:nvGrpSpPr>
      <xdr:grpSpPr bwMode="auto">
        <a:xfrm>
          <a:off x="9493317" y="13682312"/>
          <a:ext cx="985386" cy="818548"/>
          <a:chOff x="5762625" y="4438650"/>
          <a:chExt cx="976394" cy="817667"/>
        </a:xfrm>
      </xdr:grpSpPr>
      <xdr:sp macro="" textlink="">
        <xdr:nvSpPr>
          <xdr:cNvPr id="436214" name="Obdélník 79">
            <a:extLst>
              <a:ext uri="{FF2B5EF4-FFF2-40B4-BE49-F238E27FC236}">
                <a16:creationId xmlns:a16="http://schemas.microsoft.com/office/drawing/2014/main" id="{00000000-0008-0000-0200-0000F6A7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608363"/>
            <a:ext cx="771525" cy="530028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5" name="Obdélník 80">
            <a:extLst>
              <a:ext uri="{FF2B5EF4-FFF2-40B4-BE49-F238E27FC236}">
                <a16:creationId xmlns:a16="http://schemas.microsoft.com/office/drawing/2014/main" id="{00000000-0008-0000-0200-0000F7A70600}"/>
              </a:ext>
            </a:extLst>
          </xdr:cNvPr>
          <xdr:cNvSpPr>
            <a:spLocks noChangeArrowheads="1"/>
          </xdr:cNvSpPr>
        </xdr:nvSpPr>
        <xdr:spPr bwMode="auto">
          <a:xfrm>
            <a:off x="5762625" y="4558681"/>
            <a:ext cx="85726" cy="656351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6" name="Volný tvar 81">
            <a:extLst>
              <a:ext uri="{FF2B5EF4-FFF2-40B4-BE49-F238E27FC236}">
                <a16:creationId xmlns:a16="http://schemas.microsoft.com/office/drawing/2014/main" id="{00000000-0008-0000-0200-0000F8A7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53</xdr:col>
      <xdr:colOff>68580</xdr:colOff>
      <xdr:row>74</xdr:row>
      <xdr:rowOff>68580</xdr:rowOff>
    </xdr:from>
    <xdr:to>
      <xdr:col>57</xdr:col>
      <xdr:colOff>91440</xdr:colOff>
      <xdr:row>78</xdr:row>
      <xdr:rowOff>167640</xdr:rowOff>
    </xdr:to>
    <xdr:grpSp>
      <xdr:nvGrpSpPr>
        <xdr:cNvPr id="436097" name="Skupina 76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200-000081A70600}"/>
            </a:ext>
          </a:extLst>
        </xdr:cNvPr>
        <xdr:cNvGrpSpPr>
          <a:grpSpLocks/>
        </xdr:cNvGrpSpPr>
      </xdr:nvGrpSpPr>
      <xdr:grpSpPr bwMode="auto">
        <a:xfrm>
          <a:off x="12862159" y="13824685"/>
          <a:ext cx="985386" cy="820955"/>
          <a:chOff x="5762625" y="4438650"/>
          <a:chExt cx="976394" cy="817667"/>
        </a:xfrm>
      </xdr:grpSpPr>
      <xdr:sp macro="" textlink="">
        <xdr:nvSpPr>
          <xdr:cNvPr id="436210" name="Obdélník 78">
            <a:extLst>
              <a:ext uri="{FF2B5EF4-FFF2-40B4-BE49-F238E27FC236}">
                <a16:creationId xmlns:a16="http://schemas.microsoft.com/office/drawing/2014/main" id="{00000000-0008-0000-0200-0000F2A70600}"/>
              </a:ext>
            </a:extLst>
          </xdr:cNvPr>
          <xdr:cNvSpPr>
            <a:spLocks noChangeArrowheads="1"/>
          </xdr:cNvSpPr>
        </xdr:nvSpPr>
        <xdr:spPr bwMode="auto">
          <a:xfrm>
            <a:off x="5838825" y="4638264"/>
            <a:ext cx="771525" cy="376780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1" name="Obdélník 79">
            <a:extLst>
              <a:ext uri="{FF2B5EF4-FFF2-40B4-BE49-F238E27FC236}">
                <a16:creationId xmlns:a16="http://schemas.microsoft.com/office/drawing/2014/main" id="{00000000-0008-0000-0200-0000F3A7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5030686"/>
            <a:ext cx="771525" cy="10770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2" name="Obdélník 80">
            <a:extLst>
              <a:ext uri="{FF2B5EF4-FFF2-40B4-BE49-F238E27FC236}">
                <a16:creationId xmlns:a16="http://schemas.microsoft.com/office/drawing/2014/main" id="{00000000-0008-0000-0200-0000F4A70600}"/>
              </a:ext>
            </a:extLst>
          </xdr:cNvPr>
          <xdr:cNvSpPr>
            <a:spLocks noChangeArrowheads="1"/>
          </xdr:cNvSpPr>
        </xdr:nvSpPr>
        <xdr:spPr bwMode="auto">
          <a:xfrm>
            <a:off x="5762625" y="4558681"/>
            <a:ext cx="85726" cy="656351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13" name="Volný tvar 81">
            <a:extLst>
              <a:ext uri="{FF2B5EF4-FFF2-40B4-BE49-F238E27FC236}">
                <a16:creationId xmlns:a16="http://schemas.microsoft.com/office/drawing/2014/main" id="{00000000-0008-0000-0200-0000F5A7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25</xdr:col>
      <xdr:colOff>91440</xdr:colOff>
      <xdr:row>73</xdr:row>
      <xdr:rowOff>106680</xdr:rowOff>
    </xdr:from>
    <xdr:to>
      <xdr:col>29</xdr:col>
      <xdr:colOff>114300</xdr:colOff>
      <xdr:row>78</xdr:row>
      <xdr:rowOff>22860</xdr:rowOff>
    </xdr:to>
    <xdr:grpSp>
      <xdr:nvGrpSpPr>
        <xdr:cNvPr id="436098" name="Skupina 7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82A70600}"/>
            </a:ext>
          </a:extLst>
        </xdr:cNvPr>
        <xdr:cNvGrpSpPr>
          <a:grpSpLocks/>
        </xdr:cNvGrpSpPr>
      </xdr:nvGrpSpPr>
      <xdr:grpSpPr bwMode="auto">
        <a:xfrm>
          <a:off x="6147335" y="13682312"/>
          <a:ext cx="985386" cy="818548"/>
          <a:chOff x="5762625" y="4438650"/>
          <a:chExt cx="976394" cy="817667"/>
        </a:xfrm>
      </xdr:grpSpPr>
      <xdr:sp macro="" textlink="">
        <xdr:nvSpPr>
          <xdr:cNvPr id="436207" name="Obdélník 79">
            <a:extLst>
              <a:ext uri="{FF2B5EF4-FFF2-40B4-BE49-F238E27FC236}">
                <a16:creationId xmlns:a16="http://schemas.microsoft.com/office/drawing/2014/main" id="{00000000-0008-0000-0200-0000EFA7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741317"/>
            <a:ext cx="771525" cy="397074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08" name="Obdélník 80">
            <a:extLst>
              <a:ext uri="{FF2B5EF4-FFF2-40B4-BE49-F238E27FC236}">
                <a16:creationId xmlns:a16="http://schemas.microsoft.com/office/drawing/2014/main" id="{00000000-0008-0000-0200-0000F0A70600}"/>
              </a:ext>
            </a:extLst>
          </xdr:cNvPr>
          <xdr:cNvSpPr>
            <a:spLocks noChangeArrowheads="1"/>
          </xdr:cNvSpPr>
        </xdr:nvSpPr>
        <xdr:spPr bwMode="auto">
          <a:xfrm>
            <a:off x="5762625" y="4558681"/>
            <a:ext cx="85726" cy="656351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09" name="Volný tvar 81">
            <a:extLst>
              <a:ext uri="{FF2B5EF4-FFF2-40B4-BE49-F238E27FC236}">
                <a16:creationId xmlns:a16="http://schemas.microsoft.com/office/drawing/2014/main" id="{00000000-0008-0000-0200-0000F1A7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47</xdr:col>
      <xdr:colOff>114300</xdr:colOff>
      <xdr:row>77</xdr:row>
      <xdr:rowOff>45720</xdr:rowOff>
    </xdr:from>
    <xdr:to>
      <xdr:col>50</xdr:col>
      <xdr:colOff>15240</xdr:colOff>
      <xdr:row>80</xdr:row>
      <xdr:rowOff>99060</xdr:rowOff>
    </xdr:to>
    <xdr:grpSp>
      <xdr:nvGrpSpPr>
        <xdr:cNvPr id="436099" name="Skupina 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200-000083A70600}"/>
            </a:ext>
          </a:extLst>
        </xdr:cNvPr>
        <xdr:cNvGrpSpPr>
          <a:grpSpLocks/>
        </xdr:cNvGrpSpPr>
      </xdr:nvGrpSpPr>
      <xdr:grpSpPr bwMode="auto">
        <a:xfrm>
          <a:off x="11464089" y="14343246"/>
          <a:ext cx="622835" cy="594761"/>
          <a:chOff x="10116367" y="14456058"/>
          <a:chExt cx="533476" cy="602709"/>
        </a:xfrm>
      </xdr:grpSpPr>
      <xdr:sp macro="" textlink="">
        <xdr:nvSpPr>
          <xdr:cNvPr id="436202" name="Obdélník 23">
            <a:extLst>
              <a:ext uri="{FF2B5EF4-FFF2-40B4-BE49-F238E27FC236}">
                <a16:creationId xmlns:a16="http://schemas.microsoft.com/office/drawing/2014/main" id="{00000000-0008-0000-0200-0000EAA70600}"/>
              </a:ext>
            </a:extLst>
          </xdr:cNvPr>
          <xdr:cNvSpPr>
            <a:spLocks noChangeArrowheads="1"/>
          </xdr:cNvSpPr>
        </xdr:nvSpPr>
        <xdr:spPr bwMode="auto">
          <a:xfrm>
            <a:off x="10162713" y="14643686"/>
            <a:ext cx="483414" cy="45719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03" name="Obdélník 23">
            <a:extLst>
              <a:ext uri="{FF2B5EF4-FFF2-40B4-BE49-F238E27FC236}">
                <a16:creationId xmlns:a16="http://schemas.microsoft.com/office/drawing/2014/main" id="{00000000-0008-0000-0200-0000EBA70600}"/>
              </a:ext>
            </a:extLst>
          </xdr:cNvPr>
          <xdr:cNvSpPr>
            <a:spLocks noChangeArrowheads="1"/>
          </xdr:cNvSpPr>
        </xdr:nvSpPr>
        <xdr:spPr bwMode="auto">
          <a:xfrm>
            <a:off x="10164519" y="14979759"/>
            <a:ext cx="483405" cy="45719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04" name="Obdélník 23">
            <a:extLst>
              <a:ext uri="{FF2B5EF4-FFF2-40B4-BE49-F238E27FC236}">
                <a16:creationId xmlns:a16="http://schemas.microsoft.com/office/drawing/2014/main" id="{00000000-0008-0000-0200-0000ECA70600}"/>
              </a:ext>
            </a:extLst>
          </xdr:cNvPr>
          <xdr:cNvSpPr>
            <a:spLocks noChangeArrowheads="1"/>
          </xdr:cNvSpPr>
        </xdr:nvSpPr>
        <xdr:spPr bwMode="auto">
          <a:xfrm>
            <a:off x="10162713" y="14503524"/>
            <a:ext cx="483414" cy="1189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05" name="Obdélník 23">
            <a:extLst>
              <a:ext uri="{FF2B5EF4-FFF2-40B4-BE49-F238E27FC236}">
                <a16:creationId xmlns:a16="http://schemas.microsoft.com/office/drawing/2014/main" id="{00000000-0008-0000-0200-0000EDA70600}"/>
              </a:ext>
            </a:extLst>
          </xdr:cNvPr>
          <xdr:cNvSpPr>
            <a:spLocks noChangeArrowheads="1"/>
          </xdr:cNvSpPr>
        </xdr:nvSpPr>
        <xdr:spPr bwMode="auto">
          <a:xfrm>
            <a:off x="10166429" y="14838023"/>
            <a:ext cx="483414" cy="1189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206" name="Obdélník 24">
            <a:extLst>
              <a:ext uri="{FF2B5EF4-FFF2-40B4-BE49-F238E27FC236}">
                <a16:creationId xmlns:a16="http://schemas.microsoft.com/office/drawing/2014/main" id="{00000000-0008-0000-0200-0000EEA70600}"/>
              </a:ext>
            </a:extLst>
          </xdr:cNvPr>
          <xdr:cNvSpPr>
            <a:spLocks noChangeArrowheads="1"/>
          </xdr:cNvSpPr>
        </xdr:nvSpPr>
        <xdr:spPr bwMode="auto">
          <a:xfrm>
            <a:off x="10116367" y="14456058"/>
            <a:ext cx="54556" cy="60270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9</xdr:col>
      <xdr:colOff>7620</xdr:colOff>
      <xdr:row>84</xdr:row>
      <xdr:rowOff>106680</xdr:rowOff>
    </xdr:from>
    <xdr:to>
      <xdr:col>14</xdr:col>
      <xdr:colOff>99060</xdr:colOff>
      <xdr:row>89</xdr:row>
      <xdr:rowOff>99060</xdr:rowOff>
    </xdr:to>
    <xdr:grpSp>
      <xdr:nvGrpSpPr>
        <xdr:cNvPr id="2" name="Skupin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2213409" y="15777812"/>
          <a:ext cx="1294598" cy="894748"/>
          <a:chOff x="1988820" y="16076596"/>
          <a:chExt cx="1174282" cy="914801"/>
        </a:xfrm>
      </xdr:grpSpPr>
      <xdr:grpSp>
        <xdr:nvGrpSpPr>
          <xdr:cNvPr id="436075" name="Skupina 32">
            <a:extLst>
              <a:ext uri="{FF2B5EF4-FFF2-40B4-BE49-F238E27FC236}">
                <a16:creationId xmlns:a16="http://schemas.microsoft.com/office/drawing/2014/main" id="{00000000-0008-0000-0200-00006BA70600}"/>
              </a:ext>
            </a:extLst>
          </xdr:cNvPr>
          <xdr:cNvGrpSpPr>
            <a:grpSpLocks/>
          </xdr:cNvGrpSpPr>
        </xdr:nvGrpSpPr>
        <xdr:grpSpPr bwMode="auto">
          <a:xfrm>
            <a:off x="1988820" y="16152796"/>
            <a:ext cx="896754" cy="838601"/>
            <a:chOff x="5762624" y="1547487"/>
            <a:chExt cx="976394" cy="817667"/>
          </a:xfrm>
        </xdr:grpSpPr>
        <xdr:sp macro="" textlink="">
          <xdr:nvSpPr>
            <xdr:cNvPr id="439353" name="Obdélník 34">
              <a:extLst>
                <a:ext uri="{FF2B5EF4-FFF2-40B4-BE49-F238E27FC236}">
                  <a16:creationId xmlns:a16="http://schemas.microsoft.com/office/drawing/2014/main" id="{00000000-0008-0000-0200-000039B4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29299" y="1662453"/>
              <a:ext cx="771525" cy="58544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9354" name="Obdélník 35">
              <a:extLst>
                <a:ext uri="{FF2B5EF4-FFF2-40B4-BE49-F238E27FC236}">
                  <a16:creationId xmlns:a16="http://schemas.microsoft.com/office/drawing/2014/main" id="{00000000-0008-0000-0200-00003AB4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62624" y="1590675"/>
              <a:ext cx="85726" cy="730800"/>
            </a:xfrm>
            <a:prstGeom prst="rect">
              <a:avLst/>
            </a:prstGeom>
            <a:solidFill>
              <a:srgbClr val="FFFFE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9355" name="Volný tvar 36">
              <a:extLst>
                <a:ext uri="{FF2B5EF4-FFF2-40B4-BE49-F238E27FC236}">
                  <a16:creationId xmlns:a16="http://schemas.microsoft.com/office/drawing/2014/main" id="{00000000-0008-0000-0200-00003BB40600}"/>
                </a:ext>
              </a:extLst>
            </xdr:cNvPr>
            <xdr:cNvSpPr>
              <a:spLocks/>
            </xdr:cNvSpPr>
          </xdr:nvSpPr>
          <xdr:spPr bwMode="auto">
            <a:xfrm>
              <a:off x="6448425" y="1547487"/>
              <a:ext cx="290593" cy="817667"/>
            </a:xfrm>
            <a:custGeom>
              <a:avLst/>
              <a:gdLst>
                <a:gd name="T0" fmla="*/ 76200 w 290593"/>
                <a:gd name="T1" fmla="*/ 14613 h 817667"/>
                <a:gd name="T2" fmla="*/ 76200 w 290593"/>
                <a:gd name="T3" fmla="*/ 14613 h 817667"/>
                <a:gd name="T4" fmla="*/ 77390 w 290593"/>
                <a:gd name="T5" fmla="*/ 99635 h 817667"/>
                <a:gd name="T6" fmla="*/ 38100 w 290593"/>
                <a:gd name="T7" fmla="*/ 167013 h 817667"/>
                <a:gd name="T8" fmla="*/ 85725 w 290593"/>
                <a:gd name="T9" fmla="*/ 214638 h 817667"/>
                <a:gd name="T10" fmla="*/ 57150 w 290593"/>
                <a:gd name="T11" fmla="*/ 376563 h 817667"/>
                <a:gd name="T12" fmla="*/ 28575 w 290593"/>
                <a:gd name="T13" fmla="*/ 386088 h 817667"/>
                <a:gd name="T14" fmla="*/ 28575 w 290593"/>
                <a:gd name="T15" fmla="*/ 490863 h 817667"/>
                <a:gd name="T16" fmla="*/ 47625 w 290593"/>
                <a:gd name="T17" fmla="*/ 519438 h 817667"/>
                <a:gd name="T18" fmla="*/ 38100 w 290593"/>
                <a:gd name="T19" fmla="*/ 576588 h 817667"/>
                <a:gd name="T20" fmla="*/ 9525 w 290593"/>
                <a:gd name="T21" fmla="*/ 586113 h 817667"/>
                <a:gd name="T22" fmla="*/ 0 w 290593"/>
                <a:gd name="T23" fmla="*/ 614688 h 817667"/>
                <a:gd name="T24" fmla="*/ 19050 w 290593"/>
                <a:gd name="T25" fmla="*/ 671838 h 817667"/>
                <a:gd name="T26" fmla="*/ 57150 w 290593"/>
                <a:gd name="T27" fmla="*/ 728988 h 817667"/>
                <a:gd name="T28" fmla="*/ 57150 w 290593"/>
                <a:gd name="T29" fmla="*/ 814713 h 817667"/>
                <a:gd name="T30" fmla="*/ 266700 w 290593"/>
                <a:gd name="T31" fmla="*/ 776613 h 817667"/>
                <a:gd name="T32" fmla="*/ 266700 w 290593"/>
                <a:gd name="T33" fmla="*/ 509913 h 817667"/>
                <a:gd name="T34" fmla="*/ 285750 w 290593"/>
                <a:gd name="T35" fmla="*/ 43188 h 817667"/>
                <a:gd name="T36" fmla="*/ 76200 w 290593"/>
                <a:gd name="T37" fmla="*/ 14613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09205" y="63275"/>
                    <a:pt x="77390" y="99635"/>
                  </a:cubicBezTo>
                  <a:cubicBezTo>
                    <a:pt x="64167" y="114747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  <xdr:grpSp>
        <xdr:nvGrpSpPr>
          <xdr:cNvPr id="436100" name="Skupina 21">
            <a:extLst>
              <a:ext uri="{FF2B5EF4-FFF2-40B4-BE49-F238E27FC236}">
                <a16:creationId xmlns:a16="http://schemas.microsoft.com/office/drawing/2014/main" id="{00000000-0008-0000-0200-000084A70600}"/>
              </a:ext>
            </a:extLst>
          </xdr:cNvPr>
          <xdr:cNvGrpSpPr>
            <a:grpSpLocks/>
          </xdr:cNvGrpSpPr>
        </xdr:nvGrpSpPr>
        <xdr:grpSpPr bwMode="auto">
          <a:xfrm>
            <a:off x="2281588" y="16076596"/>
            <a:ext cx="881514" cy="692217"/>
            <a:chOff x="1771649" y="3440863"/>
            <a:chExt cx="976394" cy="676891"/>
          </a:xfrm>
        </xdr:grpSpPr>
        <xdr:sp macro="" textlink="">
          <xdr:nvSpPr>
            <xdr:cNvPr id="436199" name="Obdélník 19">
              <a:extLst>
                <a:ext uri="{FF2B5EF4-FFF2-40B4-BE49-F238E27FC236}">
                  <a16:creationId xmlns:a16="http://schemas.microsoft.com/office/drawing/2014/main" id="{00000000-0008-0000-0200-0000E7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38324" y="3695700"/>
              <a:ext cx="771525" cy="304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200" name="Obdélník 18">
              <a:extLst>
                <a:ext uri="{FF2B5EF4-FFF2-40B4-BE49-F238E27FC236}">
                  <a16:creationId xmlns:a16="http://schemas.microsoft.com/office/drawing/2014/main" id="{00000000-0008-0000-0200-0000E8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71649" y="3562350"/>
              <a:ext cx="85726" cy="514350"/>
            </a:xfrm>
            <a:prstGeom prst="rect">
              <a:avLst/>
            </a:prstGeom>
            <a:solidFill>
              <a:srgbClr val="FFFFE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201" name="Volný tvar 20">
              <a:extLst>
                <a:ext uri="{FF2B5EF4-FFF2-40B4-BE49-F238E27FC236}">
                  <a16:creationId xmlns:a16="http://schemas.microsoft.com/office/drawing/2014/main" id="{00000000-0008-0000-0200-0000E9A70600}"/>
                </a:ext>
              </a:extLst>
            </xdr:cNvPr>
            <xdr:cNvSpPr>
              <a:spLocks/>
            </xdr:cNvSpPr>
          </xdr:nvSpPr>
          <xdr:spPr bwMode="auto">
            <a:xfrm>
              <a:off x="2457450" y="3440863"/>
              <a:ext cx="290593" cy="676891"/>
            </a:xfrm>
            <a:custGeom>
              <a:avLst/>
              <a:gdLst>
                <a:gd name="T0" fmla="*/ 76200 w 290593"/>
                <a:gd name="T1" fmla="*/ 1037 h 817667"/>
                <a:gd name="T2" fmla="*/ 76200 w 290593"/>
                <a:gd name="T3" fmla="*/ 1037 h 817667"/>
                <a:gd name="T4" fmla="*/ 95250 w 290593"/>
                <a:gd name="T5" fmla="*/ 10504 h 817667"/>
                <a:gd name="T6" fmla="*/ 38100 w 290593"/>
                <a:gd name="T7" fmla="*/ 11856 h 817667"/>
                <a:gd name="T8" fmla="*/ 85725 w 290593"/>
                <a:gd name="T9" fmla="*/ 15236 h 817667"/>
                <a:gd name="T10" fmla="*/ 57150 w 290593"/>
                <a:gd name="T11" fmla="*/ 26732 h 817667"/>
                <a:gd name="T12" fmla="*/ 28575 w 290593"/>
                <a:gd name="T13" fmla="*/ 27407 h 817667"/>
                <a:gd name="T14" fmla="*/ 28575 w 290593"/>
                <a:gd name="T15" fmla="*/ 34846 h 817667"/>
                <a:gd name="T16" fmla="*/ 47625 w 290593"/>
                <a:gd name="T17" fmla="*/ 36874 h 817667"/>
                <a:gd name="T18" fmla="*/ 38100 w 290593"/>
                <a:gd name="T19" fmla="*/ 40931 h 817667"/>
                <a:gd name="T20" fmla="*/ 9525 w 290593"/>
                <a:gd name="T21" fmla="*/ 41608 h 817667"/>
                <a:gd name="T22" fmla="*/ 0 w 290593"/>
                <a:gd name="T23" fmla="*/ 43636 h 817667"/>
                <a:gd name="T24" fmla="*/ 19050 w 290593"/>
                <a:gd name="T25" fmla="*/ 47692 h 817667"/>
                <a:gd name="T26" fmla="*/ 57150 w 290593"/>
                <a:gd name="T27" fmla="*/ 51750 h 817667"/>
                <a:gd name="T28" fmla="*/ 57150 w 290593"/>
                <a:gd name="T29" fmla="*/ 57836 h 817667"/>
                <a:gd name="T30" fmla="*/ 266700 w 290593"/>
                <a:gd name="T31" fmla="*/ 55131 h 817667"/>
                <a:gd name="T32" fmla="*/ 266700 w 290593"/>
                <a:gd name="T33" fmla="*/ 36198 h 817667"/>
                <a:gd name="T34" fmla="*/ 285750 w 290593"/>
                <a:gd name="T35" fmla="*/ 3066 h 817667"/>
                <a:gd name="T36" fmla="*/ 76200 w 290593"/>
                <a:gd name="T37" fmla="*/ 1037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27065" y="111603"/>
                    <a:pt x="95250" y="147963"/>
                  </a:cubicBezTo>
                  <a:cubicBezTo>
                    <a:pt x="82027" y="163075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</xdr:grpSp>
    <xdr:clientData/>
  </xdr:twoCellAnchor>
  <xdr:twoCellAnchor>
    <xdr:from>
      <xdr:col>22</xdr:col>
      <xdr:colOff>144780</xdr:colOff>
      <xdr:row>84</xdr:row>
      <xdr:rowOff>91440</xdr:rowOff>
    </xdr:from>
    <xdr:to>
      <xdr:col>28</xdr:col>
      <xdr:colOff>15240</xdr:colOff>
      <xdr:row>90</xdr:row>
      <xdr:rowOff>45720</xdr:rowOff>
    </xdr:to>
    <xdr:grpSp>
      <xdr:nvGrpSpPr>
        <xdr:cNvPr id="4" name="Skupina 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5478780" y="15762572"/>
          <a:ext cx="1314249" cy="1037122"/>
          <a:chOff x="4941369" y="16061356"/>
          <a:chExt cx="1169871" cy="1061185"/>
        </a:xfrm>
      </xdr:grpSpPr>
      <xdr:grpSp>
        <xdr:nvGrpSpPr>
          <xdr:cNvPr id="436101" name="Skupina 96">
            <a:extLst>
              <a:ext uri="{FF2B5EF4-FFF2-40B4-BE49-F238E27FC236}">
                <a16:creationId xmlns:a16="http://schemas.microsoft.com/office/drawing/2014/main" id="{00000000-0008-0000-0200-000085A70600}"/>
              </a:ext>
            </a:extLst>
          </xdr:cNvPr>
          <xdr:cNvGrpSpPr>
            <a:grpSpLocks/>
          </xdr:cNvGrpSpPr>
        </xdr:nvGrpSpPr>
        <xdr:grpSpPr bwMode="auto">
          <a:xfrm>
            <a:off x="4941369" y="16283940"/>
            <a:ext cx="896754" cy="838601"/>
            <a:chOff x="9103519" y="4391025"/>
            <a:chExt cx="976394" cy="805761"/>
          </a:xfrm>
        </xdr:grpSpPr>
        <xdr:sp macro="" textlink="">
          <xdr:nvSpPr>
            <xdr:cNvPr id="436195" name="Obdélník 98">
              <a:extLst>
                <a:ext uri="{FF2B5EF4-FFF2-40B4-BE49-F238E27FC236}">
                  <a16:creationId xmlns:a16="http://schemas.microsoft.com/office/drawing/2014/main" id="{00000000-0008-0000-0200-0000E3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79719" y="4484886"/>
              <a:ext cx="771525" cy="454489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96" name="Obdélník 99">
              <a:extLst>
                <a:ext uri="{FF2B5EF4-FFF2-40B4-BE49-F238E27FC236}">
                  <a16:creationId xmlns:a16="http://schemas.microsoft.com/office/drawing/2014/main" id="{00000000-0008-0000-0200-0000E4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70194" y="4954788"/>
              <a:ext cx="771525" cy="12645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97" name="Obdélník 100">
              <a:extLst>
                <a:ext uri="{FF2B5EF4-FFF2-40B4-BE49-F238E27FC236}">
                  <a16:creationId xmlns:a16="http://schemas.microsoft.com/office/drawing/2014/main" id="{00000000-0008-0000-0200-0000E5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03519" y="4433584"/>
              <a:ext cx="85726" cy="720159"/>
            </a:xfrm>
            <a:prstGeom prst="rect">
              <a:avLst/>
            </a:prstGeom>
            <a:solidFill>
              <a:srgbClr val="FFFFE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98" name="Volný tvar 101">
              <a:extLst>
                <a:ext uri="{FF2B5EF4-FFF2-40B4-BE49-F238E27FC236}">
                  <a16:creationId xmlns:a16="http://schemas.microsoft.com/office/drawing/2014/main" id="{00000000-0008-0000-0200-0000E6A70600}"/>
                </a:ext>
              </a:extLst>
            </xdr:cNvPr>
            <xdr:cNvSpPr>
              <a:spLocks/>
            </xdr:cNvSpPr>
          </xdr:nvSpPr>
          <xdr:spPr bwMode="auto">
            <a:xfrm>
              <a:off x="9789320" y="4391025"/>
              <a:ext cx="290593" cy="805761"/>
            </a:xfrm>
            <a:custGeom>
              <a:avLst/>
              <a:gdLst>
                <a:gd name="T0" fmla="*/ 76200 w 290593"/>
                <a:gd name="T1" fmla="*/ 5010 h 817667"/>
                <a:gd name="T2" fmla="*/ 76200 w 290593"/>
                <a:gd name="T3" fmla="*/ 5010 h 817667"/>
                <a:gd name="T4" fmla="*/ 77390 w 290593"/>
                <a:gd name="T5" fmla="*/ 34148 h 817667"/>
                <a:gd name="T6" fmla="*/ 38100 w 290593"/>
                <a:gd name="T7" fmla="*/ 57244 h 817667"/>
                <a:gd name="T8" fmla="*/ 85725 w 290593"/>
                <a:gd name="T9" fmla="*/ 73568 h 817667"/>
                <a:gd name="T10" fmla="*/ 57150 w 290593"/>
                <a:gd name="T11" fmla="*/ 129068 h 817667"/>
                <a:gd name="T12" fmla="*/ 28575 w 290593"/>
                <a:gd name="T13" fmla="*/ 132332 h 817667"/>
                <a:gd name="T14" fmla="*/ 28575 w 290593"/>
                <a:gd name="T15" fmla="*/ 168242 h 817667"/>
                <a:gd name="T16" fmla="*/ 47625 w 290593"/>
                <a:gd name="T17" fmla="*/ 178034 h 817667"/>
                <a:gd name="T18" fmla="*/ 38100 w 290593"/>
                <a:gd name="T19" fmla="*/ 197624 h 817667"/>
                <a:gd name="T20" fmla="*/ 9525 w 290593"/>
                <a:gd name="T21" fmla="*/ 200890 h 817667"/>
                <a:gd name="T22" fmla="*/ 0 w 290593"/>
                <a:gd name="T23" fmla="*/ 210682 h 817667"/>
                <a:gd name="T24" fmla="*/ 19050 w 290593"/>
                <a:gd name="T25" fmla="*/ 230271 h 817667"/>
                <a:gd name="T26" fmla="*/ 57150 w 290593"/>
                <a:gd name="T27" fmla="*/ 249858 h 817667"/>
                <a:gd name="T28" fmla="*/ 57150 w 290593"/>
                <a:gd name="T29" fmla="*/ 279239 h 817667"/>
                <a:gd name="T30" fmla="*/ 266700 w 290593"/>
                <a:gd name="T31" fmla="*/ 266183 h 817667"/>
                <a:gd name="T32" fmla="*/ 266700 w 290593"/>
                <a:gd name="T33" fmla="*/ 174772 h 817667"/>
                <a:gd name="T34" fmla="*/ 285750 w 290593"/>
                <a:gd name="T35" fmla="*/ 14801 h 817667"/>
                <a:gd name="T36" fmla="*/ 76200 w 290593"/>
                <a:gd name="T37" fmla="*/ 5010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09205" y="63275"/>
                    <a:pt x="77390" y="99635"/>
                  </a:cubicBezTo>
                  <a:cubicBezTo>
                    <a:pt x="64167" y="114747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  <xdr:grpSp>
        <xdr:nvGrpSpPr>
          <xdr:cNvPr id="436102" name="Skupina 21">
            <a:extLst>
              <a:ext uri="{FF2B5EF4-FFF2-40B4-BE49-F238E27FC236}">
                <a16:creationId xmlns:a16="http://schemas.microsoft.com/office/drawing/2014/main" id="{00000000-0008-0000-0200-000086A70600}"/>
              </a:ext>
            </a:extLst>
          </xdr:cNvPr>
          <xdr:cNvGrpSpPr>
            <a:grpSpLocks/>
          </xdr:cNvGrpSpPr>
        </xdr:nvGrpSpPr>
        <xdr:grpSpPr bwMode="auto">
          <a:xfrm>
            <a:off x="5229726" y="16061356"/>
            <a:ext cx="881514" cy="838601"/>
            <a:chOff x="1771649" y="3300087"/>
            <a:chExt cx="976394" cy="817667"/>
          </a:xfrm>
        </xdr:grpSpPr>
        <xdr:sp macro="" textlink="">
          <xdr:nvSpPr>
            <xdr:cNvPr id="436192" name="Obdélník 19">
              <a:extLst>
                <a:ext uri="{FF2B5EF4-FFF2-40B4-BE49-F238E27FC236}">
                  <a16:creationId xmlns:a16="http://schemas.microsoft.com/office/drawing/2014/main" id="{00000000-0008-0000-0200-0000E0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38324" y="3695700"/>
              <a:ext cx="771525" cy="304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93" name="Obdélník 18">
              <a:extLst>
                <a:ext uri="{FF2B5EF4-FFF2-40B4-BE49-F238E27FC236}">
                  <a16:creationId xmlns:a16="http://schemas.microsoft.com/office/drawing/2014/main" id="{00000000-0008-0000-0200-0000E1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71649" y="3562350"/>
              <a:ext cx="85726" cy="480409"/>
            </a:xfrm>
            <a:prstGeom prst="rect">
              <a:avLst/>
            </a:prstGeom>
            <a:solidFill>
              <a:srgbClr val="FFFFE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94" name="Volný tvar 20">
              <a:extLst>
                <a:ext uri="{FF2B5EF4-FFF2-40B4-BE49-F238E27FC236}">
                  <a16:creationId xmlns:a16="http://schemas.microsoft.com/office/drawing/2014/main" id="{00000000-0008-0000-0200-0000E2A70600}"/>
                </a:ext>
              </a:extLst>
            </xdr:cNvPr>
            <xdr:cNvSpPr>
              <a:spLocks/>
            </xdr:cNvSpPr>
          </xdr:nvSpPr>
          <xdr:spPr bwMode="auto">
            <a:xfrm>
              <a:off x="2457450" y="3300087"/>
              <a:ext cx="290593" cy="817667"/>
            </a:xfrm>
            <a:custGeom>
              <a:avLst/>
              <a:gdLst>
                <a:gd name="T0" fmla="*/ 76200 w 290593"/>
                <a:gd name="T1" fmla="*/ 14613 h 817667"/>
                <a:gd name="T2" fmla="*/ 76200 w 290593"/>
                <a:gd name="T3" fmla="*/ 14613 h 817667"/>
                <a:gd name="T4" fmla="*/ 95250 w 290593"/>
                <a:gd name="T5" fmla="*/ 147963 h 817667"/>
                <a:gd name="T6" fmla="*/ 38100 w 290593"/>
                <a:gd name="T7" fmla="*/ 167013 h 817667"/>
                <a:gd name="T8" fmla="*/ 85725 w 290593"/>
                <a:gd name="T9" fmla="*/ 214638 h 817667"/>
                <a:gd name="T10" fmla="*/ 57150 w 290593"/>
                <a:gd name="T11" fmla="*/ 376563 h 817667"/>
                <a:gd name="T12" fmla="*/ 28575 w 290593"/>
                <a:gd name="T13" fmla="*/ 386088 h 817667"/>
                <a:gd name="T14" fmla="*/ 28575 w 290593"/>
                <a:gd name="T15" fmla="*/ 490863 h 817667"/>
                <a:gd name="T16" fmla="*/ 47625 w 290593"/>
                <a:gd name="T17" fmla="*/ 519438 h 817667"/>
                <a:gd name="T18" fmla="*/ 38100 w 290593"/>
                <a:gd name="T19" fmla="*/ 576588 h 817667"/>
                <a:gd name="T20" fmla="*/ 9525 w 290593"/>
                <a:gd name="T21" fmla="*/ 586113 h 817667"/>
                <a:gd name="T22" fmla="*/ 0 w 290593"/>
                <a:gd name="T23" fmla="*/ 614688 h 817667"/>
                <a:gd name="T24" fmla="*/ 19050 w 290593"/>
                <a:gd name="T25" fmla="*/ 671838 h 817667"/>
                <a:gd name="T26" fmla="*/ 57150 w 290593"/>
                <a:gd name="T27" fmla="*/ 728988 h 817667"/>
                <a:gd name="T28" fmla="*/ 57150 w 290593"/>
                <a:gd name="T29" fmla="*/ 814713 h 817667"/>
                <a:gd name="T30" fmla="*/ 266700 w 290593"/>
                <a:gd name="T31" fmla="*/ 776613 h 817667"/>
                <a:gd name="T32" fmla="*/ 266700 w 290593"/>
                <a:gd name="T33" fmla="*/ 509913 h 817667"/>
                <a:gd name="T34" fmla="*/ 285750 w 290593"/>
                <a:gd name="T35" fmla="*/ 43188 h 817667"/>
                <a:gd name="T36" fmla="*/ 76200 w 290593"/>
                <a:gd name="T37" fmla="*/ 14613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27065" y="111603"/>
                    <a:pt x="95250" y="147963"/>
                  </a:cubicBezTo>
                  <a:cubicBezTo>
                    <a:pt x="82027" y="163075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</xdr:grpSp>
    <xdr:clientData/>
  </xdr:twoCellAnchor>
  <xdr:twoCellAnchor>
    <xdr:from>
      <xdr:col>17</xdr:col>
      <xdr:colOff>182880</xdr:colOff>
      <xdr:row>86</xdr:row>
      <xdr:rowOff>45720</xdr:rowOff>
    </xdr:from>
    <xdr:to>
      <xdr:col>19</xdr:col>
      <xdr:colOff>198120</xdr:colOff>
      <xdr:row>91</xdr:row>
      <xdr:rowOff>129540</xdr:rowOff>
    </xdr:to>
    <xdr:grpSp>
      <xdr:nvGrpSpPr>
        <xdr:cNvPr id="436103" name="Skupina 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200-000087A70600}"/>
            </a:ext>
          </a:extLst>
        </xdr:cNvPr>
        <xdr:cNvGrpSpPr>
          <a:grpSpLocks/>
        </xdr:cNvGrpSpPr>
      </xdr:nvGrpSpPr>
      <xdr:grpSpPr bwMode="auto">
        <a:xfrm>
          <a:off x="4313722" y="16077799"/>
          <a:ext cx="496503" cy="986188"/>
          <a:chOff x="3821835" y="16187420"/>
          <a:chExt cx="436899" cy="993987"/>
        </a:xfrm>
      </xdr:grpSpPr>
      <xdr:sp macro="" textlink="">
        <xdr:nvSpPr>
          <xdr:cNvPr id="436179" name="Obdélník 23">
            <a:extLst>
              <a:ext uri="{FF2B5EF4-FFF2-40B4-BE49-F238E27FC236}">
                <a16:creationId xmlns:a16="http://schemas.microsoft.com/office/drawing/2014/main" id="{00000000-0008-0000-0200-0000D3A70600}"/>
              </a:ext>
            </a:extLst>
          </xdr:cNvPr>
          <xdr:cNvSpPr>
            <a:spLocks noChangeArrowheads="1"/>
          </xdr:cNvSpPr>
        </xdr:nvSpPr>
        <xdr:spPr bwMode="auto">
          <a:xfrm>
            <a:off x="3829494" y="16187420"/>
            <a:ext cx="429240" cy="993987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grpSp>
        <xdr:nvGrpSpPr>
          <xdr:cNvPr id="436180" name="Skupina 2">
            <a:extLst>
              <a:ext uri="{FF2B5EF4-FFF2-40B4-BE49-F238E27FC236}">
                <a16:creationId xmlns:a16="http://schemas.microsoft.com/office/drawing/2014/main" id="{00000000-0008-0000-0200-0000D4A70600}"/>
              </a:ext>
            </a:extLst>
          </xdr:cNvPr>
          <xdr:cNvGrpSpPr>
            <a:grpSpLocks/>
          </xdr:cNvGrpSpPr>
        </xdr:nvGrpSpPr>
        <xdr:grpSpPr bwMode="auto">
          <a:xfrm>
            <a:off x="3849694" y="16984133"/>
            <a:ext cx="352800" cy="155686"/>
            <a:chOff x="3849694" y="16984133"/>
            <a:chExt cx="352800" cy="155686"/>
          </a:xfrm>
        </xdr:grpSpPr>
        <xdr:sp macro="" textlink="">
          <xdr:nvSpPr>
            <xdr:cNvPr id="436190" name="Obdélník 23">
              <a:extLst>
                <a:ext uri="{FF2B5EF4-FFF2-40B4-BE49-F238E27FC236}">
                  <a16:creationId xmlns:a16="http://schemas.microsoft.com/office/drawing/2014/main" id="{00000000-0008-0000-0200-0000DE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49694" y="17103819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91" name="Obdélník 23">
              <a:extLst>
                <a:ext uri="{FF2B5EF4-FFF2-40B4-BE49-F238E27FC236}">
                  <a16:creationId xmlns:a16="http://schemas.microsoft.com/office/drawing/2014/main" id="{00000000-0008-0000-0200-0000DF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49694" y="16984133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436181" name="Obdélník 23">
            <a:extLst>
              <a:ext uri="{FF2B5EF4-FFF2-40B4-BE49-F238E27FC236}">
                <a16:creationId xmlns:a16="http://schemas.microsoft.com/office/drawing/2014/main" id="{00000000-0008-0000-0200-0000D5A70600}"/>
              </a:ext>
            </a:extLst>
          </xdr:cNvPr>
          <xdr:cNvSpPr>
            <a:spLocks noChangeArrowheads="1"/>
          </xdr:cNvSpPr>
        </xdr:nvSpPr>
        <xdr:spPr bwMode="auto">
          <a:xfrm>
            <a:off x="3854880" y="16513032"/>
            <a:ext cx="343644" cy="7786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36182" name="Skupina 238">
            <a:extLst>
              <a:ext uri="{FF2B5EF4-FFF2-40B4-BE49-F238E27FC236}">
                <a16:creationId xmlns:a16="http://schemas.microsoft.com/office/drawing/2014/main" id="{00000000-0008-0000-0200-0000D6A70600}"/>
              </a:ext>
            </a:extLst>
          </xdr:cNvPr>
          <xdr:cNvGrpSpPr>
            <a:grpSpLocks/>
          </xdr:cNvGrpSpPr>
        </xdr:nvGrpSpPr>
        <xdr:grpSpPr bwMode="auto">
          <a:xfrm>
            <a:off x="3887471" y="16251502"/>
            <a:ext cx="349486" cy="88570"/>
            <a:chOff x="5711920" y="21697458"/>
            <a:chExt cx="544182" cy="120565"/>
          </a:xfrm>
        </xdr:grpSpPr>
        <xdr:sp macro="" textlink="">
          <xdr:nvSpPr>
            <xdr:cNvPr id="436188" name="Obdélník 23">
              <a:extLst>
                <a:ext uri="{FF2B5EF4-FFF2-40B4-BE49-F238E27FC236}">
                  <a16:creationId xmlns:a16="http://schemas.microsoft.com/office/drawing/2014/main" id="{00000000-0008-0000-0200-0000DC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21017" y="21712035"/>
              <a:ext cx="535085" cy="10598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89" name="Obdélník 30">
              <a:extLst>
                <a:ext uri="{FF2B5EF4-FFF2-40B4-BE49-F238E27FC236}">
                  <a16:creationId xmlns:a16="http://schemas.microsoft.com/office/drawing/2014/main" id="{00000000-0008-0000-0200-0000DD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75491" y="21733887"/>
              <a:ext cx="119658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83" name="Skupina 1">
            <a:extLst>
              <a:ext uri="{FF2B5EF4-FFF2-40B4-BE49-F238E27FC236}">
                <a16:creationId xmlns:a16="http://schemas.microsoft.com/office/drawing/2014/main" id="{00000000-0008-0000-0200-0000D7A70600}"/>
              </a:ext>
            </a:extLst>
          </xdr:cNvPr>
          <xdr:cNvGrpSpPr>
            <a:grpSpLocks/>
          </xdr:cNvGrpSpPr>
        </xdr:nvGrpSpPr>
        <xdr:grpSpPr bwMode="auto">
          <a:xfrm>
            <a:off x="3888762" y="16713561"/>
            <a:ext cx="356068" cy="172800"/>
            <a:chOff x="3888762" y="16713561"/>
            <a:chExt cx="356068" cy="172800"/>
          </a:xfrm>
        </xdr:grpSpPr>
        <xdr:sp macro="" textlink="">
          <xdr:nvSpPr>
            <xdr:cNvPr id="436185" name="Obdélník 23">
              <a:extLst>
                <a:ext uri="{FF2B5EF4-FFF2-40B4-BE49-F238E27FC236}">
                  <a16:creationId xmlns:a16="http://schemas.microsoft.com/office/drawing/2014/main" id="{00000000-0008-0000-0200-0000D9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86" name="Obdélník 23">
              <a:extLst>
                <a:ext uri="{FF2B5EF4-FFF2-40B4-BE49-F238E27FC236}">
                  <a16:creationId xmlns:a16="http://schemas.microsoft.com/office/drawing/2014/main" id="{00000000-0008-0000-0200-0000DA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87" name="Obdélník 30">
              <a:extLst>
                <a:ext uri="{FF2B5EF4-FFF2-40B4-BE49-F238E27FC236}">
                  <a16:creationId xmlns:a16="http://schemas.microsoft.com/office/drawing/2014/main" id="{00000000-0008-0000-0200-0000DB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436184" name="Obdélník 24">
            <a:extLst>
              <a:ext uri="{FF2B5EF4-FFF2-40B4-BE49-F238E27FC236}">
                <a16:creationId xmlns:a16="http://schemas.microsoft.com/office/drawing/2014/main" id="{00000000-0008-0000-0200-0000D8A70600}"/>
              </a:ext>
            </a:extLst>
          </xdr:cNvPr>
          <xdr:cNvSpPr>
            <a:spLocks noChangeArrowheads="1"/>
          </xdr:cNvSpPr>
        </xdr:nvSpPr>
        <xdr:spPr bwMode="auto">
          <a:xfrm>
            <a:off x="3821835" y="16194993"/>
            <a:ext cx="38900" cy="97683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22</xdr:col>
      <xdr:colOff>144780</xdr:colOff>
      <xdr:row>93</xdr:row>
      <xdr:rowOff>91440</xdr:rowOff>
    </xdr:from>
    <xdr:to>
      <xdr:col>28</xdr:col>
      <xdr:colOff>15240</xdr:colOff>
      <xdr:row>99</xdr:row>
      <xdr:rowOff>45720</xdr:rowOff>
    </xdr:to>
    <xdr:grpSp>
      <xdr:nvGrpSpPr>
        <xdr:cNvPr id="6" name="Skupina 5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5478780" y="17386835"/>
          <a:ext cx="1314249" cy="1037122"/>
          <a:chOff x="4941369" y="17721714"/>
          <a:chExt cx="1169871" cy="1061185"/>
        </a:xfrm>
      </xdr:grpSpPr>
      <xdr:grpSp>
        <xdr:nvGrpSpPr>
          <xdr:cNvPr id="436104" name="Skupina 96">
            <a:extLst>
              <a:ext uri="{FF2B5EF4-FFF2-40B4-BE49-F238E27FC236}">
                <a16:creationId xmlns:a16="http://schemas.microsoft.com/office/drawing/2014/main" id="{00000000-0008-0000-0200-000088A70600}"/>
              </a:ext>
            </a:extLst>
          </xdr:cNvPr>
          <xdr:cNvGrpSpPr>
            <a:grpSpLocks/>
          </xdr:cNvGrpSpPr>
        </xdr:nvGrpSpPr>
        <xdr:grpSpPr bwMode="auto">
          <a:xfrm>
            <a:off x="4941369" y="17944298"/>
            <a:ext cx="896754" cy="838601"/>
            <a:chOff x="9103519" y="4391025"/>
            <a:chExt cx="976394" cy="805761"/>
          </a:xfrm>
        </xdr:grpSpPr>
        <xdr:sp macro="" textlink="">
          <xdr:nvSpPr>
            <xdr:cNvPr id="436175" name="Obdélník 98">
              <a:extLst>
                <a:ext uri="{FF2B5EF4-FFF2-40B4-BE49-F238E27FC236}">
                  <a16:creationId xmlns:a16="http://schemas.microsoft.com/office/drawing/2014/main" id="{00000000-0008-0000-0200-0000CF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50142" y="4484886"/>
              <a:ext cx="801101" cy="454489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6" name="Obdélník 99">
              <a:extLst>
                <a:ext uri="{FF2B5EF4-FFF2-40B4-BE49-F238E27FC236}">
                  <a16:creationId xmlns:a16="http://schemas.microsoft.com/office/drawing/2014/main" id="{00000000-0008-0000-0200-0000D0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46635" y="4954788"/>
              <a:ext cx="771525" cy="12645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7" name="Obdélník 100">
              <a:extLst>
                <a:ext uri="{FF2B5EF4-FFF2-40B4-BE49-F238E27FC236}">
                  <a16:creationId xmlns:a16="http://schemas.microsoft.com/office/drawing/2014/main" id="{00000000-0008-0000-0200-0000D1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103519" y="4433584"/>
              <a:ext cx="52095" cy="720159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8" name="Volný tvar 101">
              <a:extLst>
                <a:ext uri="{FF2B5EF4-FFF2-40B4-BE49-F238E27FC236}">
                  <a16:creationId xmlns:a16="http://schemas.microsoft.com/office/drawing/2014/main" id="{00000000-0008-0000-0200-0000D2A70600}"/>
                </a:ext>
              </a:extLst>
            </xdr:cNvPr>
            <xdr:cNvSpPr>
              <a:spLocks/>
            </xdr:cNvSpPr>
          </xdr:nvSpPr>
          <xdr:spPr bwMode="auto">
            <a:xfrm>
              <a:off x="9789320" y="4391025"/>
              <a:ext cx="290593" cy="805761"/>
            </a:xfrm>
            <a:custGeom>
              <a:avLst/>
              <a:gdLst>
                <a:gd name="T0" fmla="*/ 76200 w 290593"/>
                <a:gd name="T1" fmla="*/ 5010 h 817667"/>
                <a:gd name="T2" fmla="*/ 76200 w 290593"/>
                <a:gd name="T3" fmla="*/ 5010 h 817667"/>
                <a:gd name="T4" fmla="*/ 77390 w 290593"/>
                <a:gd name="T5" fmla="*/ 34148 h 817667"/>
                <a:gd name="T6" fmla="*/ 38100 w 290593"/>
                <a:gd name="T7" fmla="*/ 57244 h 817667"/>
                <a:gd name="T8" fmla="*/ 85725 w 290593"/>
                <a:gd name="T9" fmla="*/ 73568 h 817667"/>
                <a:gd name="T10" fmla="*/ 57150 w 290593"/>
                <a:gd name="T11" fmla="*/ 129068 h 817667"/>
                <a:gd name="T12" fmla="*/ 28575 w 290593"/>
                <a:gd name="T13" fmla="*/ 132332 h 817667"/>
                <a:gd name="T14" fmla="*/ 28575 w 290593"/>
                <a:gd name="T15" fmla="*/ 168242 h 817667"/>
                <a:gd name="T16" fmla="*/ 47625 w 290593"/>
                <a:gd name="T17" fmla="*/ 178034 h 817667"/>
                <a:gd name="T18" fmla="*/ 38100 w 290593"/>
                <a:gd name="T19" fmla="*/ 197624 h 817667"/>
                <a:gd name="T20" fmla="*/ 9525 w 290593"/>
                <a:gd name="T21" fmla="*/ 200890 h 817667"/>
                <a:gd name="T22" fmla="*/ 0 w 290593"/>
                <a:gd name="T23" fmla="*/ 210682 h 817667"/>
                <a:gd name="T24" fmla="*/ 19050 w 290593"/>
                <a:gd name="T25" fmla="*/ 230271 h 817667"/>
                <a:gd name="T26" fmla="*/ 57150 w 290593"/>
                <a:gd name="T27" fmla="*/ 249858 h 817667"/>
                <a:gd name="T28" fmla="*/ 57150 w 290593"/>
                <a:gd name="T29" fmla="*/ 279239 h 817667"/>
                <a:gd name="T30" fmla="*/ 266700 w 290593"/>
                <a:gd name="T31" fmla="*/ 266183 h 817667"/>
                <a:gd name="T32" fmla="*/ 266700 w 290593"/>
                <a:gd name="T33" fmla="*/ 174772 h 817667"/>
                <a:gd name="T34" fmla="*/ 285750 w 290593"/>
                <a:gd name="T35" fmla="*/ 14801 h 817667"/>
                <a:gd name="T36" fmla="*/ 76200 w 290593"/>
                <a:gd name="T37" fmla="*/ 5010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09205" y="63275"/>
                    <a:pt x="77390" y="99635"/>
                  </a:cubicBezTo>
                  <a:cubicBezTo>
                    <a:pt x="64167" y="114747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  <xdr:grpSp>
        <xdr:nvGrpSpPr>
          <xdr:cNvPr id="436105" name="Skupina 21">
            <a:extLst>
              <a:ext uri="{FF2B5EF4-FFF2-40B4-BE49-F238E27FC236}">
                <a16:creationId xmlns:a16="http://schemas.microsoft.com/office/drawing/2014/main" id="{00000000-0008-0000-0200-000089A70600}"/>
              </a:ext>
            </a:extLst>
          </xdr:cNvPr>
          <xdr:cNvGrpSpPr>
            <a:grpSpLocks/>
          </xdr:cNvGrpSpPr>
        </xdr:nvGrpSpPr>
        <xdr:grpSpPr bwMode="auto">
          <a:xfrm>
            <a:off x="5229726" y="17721714"/>
            <a:ext cx="881514" cy="838601"/>
            <a:chOff x="1771649" y="3300087"/>
            <a:chExt cx="976394" cy="817667"/>
          </a:xfrm>
        </xdr:grpSpPr>
        <xdr:sp macro="" textlink="">
          <xdr:nvSpPr>
            <xdr:cNvPr id="436172" name="Obdélník 19">
              <a:extLst>
                <a:ext uri="{FF2B5EF4-FFF2-40B4-BE49-F238E27FC236}">
                  <a16:creationId xmlns:a16="http://schemas.microsoft.com/office/drawing/2014/main" id="{00000000-0008-0000-0200-0000CC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19603" y="3695700"/>
              <a:ext cx="790246" cy="304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3" name="Obdélník 18">
              <a:extLst>
                <a:ext uri="{FF2B5EF4-FFF2-40B4-BE49-F238E27FC236}">
                  <a16:creationId xmlns:a16="http://schemas.microsoft.com/office/drawing/2014/main" id="{00000000-0008-0000-0200-0000CD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71649" y="3562350"/>
              <a:ext cx="53016" cy="480409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4" name="Volný tvar 20">
              <a:extLst>
                <a:ext uri="{FF2B5EF4-FFF2-40B4-BE49-F238E27FC236}">
                  <a16:creationId xmlns:a16="http://schemas.microsoft.com/office/drawing/2014/main" id="{00000000-0008-0000-0200-0000CEA70600}"/>
                </a:ext>
              </a:extLst>
            </xdr:cNvPr>
            <xdr:cNvSpPr>
              <a:spLocks/>
            </xdr:cNvSpPr>
          </xdr:nvSpPr>
          <xdr:spPr bwMode="auto">
            <a:xfrm>
              <a:off x="2457450" y="3300087"/>
              <a:ext cx="290593" cy="817667"/>
            </a:xfrm>
            <a:custGeom>
              <a:avLst/>
              <a:gdLst>
                <a:gd name="T0" fmla="*/ 76200 w 290593"/>
                <a:gd name="T1" fmla="*/ 14613 h 817667"/>
                <a:gd name="T2" fmla="*/ 76200 w 290593"/>
                <a:gd name="T3" fmla="*/ 14613 h 817667"/>
                <a:gd name="T4" fmla="*/ 95250 w 290593"/>
                <a:gd name="T5" fmla="*/ 147963 h 817667"/>
                <a:gd name="T6" fmla="*/ 38100 w 290593"/>
                <a:gd name="T7" fmla="*/ 167013 h 817667"/>
                <a:gd name="T8" fmla="*/ 85725 w 290593"/>
                <a:gd name="T9" fmla="*/ 214638 h 817667"/>
                <a:gd name="T10" fmla="*/ 57150 w 290593"/>
                <a:gd name="T11" fmla="*/ 376563 h 817667"/>
                <a:gd name="T12" fmla="*/ 28575 w 290593"/>
                <a:gd name="T13" fmla="*/ 386088 h 817667"/>
                <a:gd name="T14" fmla="*/ 28575 w 290593"/>
                <a:gd name="T15" fmla="*/ 490863 h 817667"/>
                <a:gd name="T16" fmla="*/ 47625 w 290593"/>
                <a:gd name="T17" fmla="*/ 519438 h 817667"/>
                <a:gd name="T18" fmla="*/ 38100 w 290593"/>
                <a:gd name="T19" fmla="*/ 576588 h 817667"/>
                <a:gd name="T20" fmla="*/ 9525 w 290593"/>
                <a:gd name="T21" fmla="*/ 586113 h 817667"/>
                <a:gd name="T22" fmla="*/ 0 w 290593"/>
                <a:gd name="T23" fmla="*/ 614688 h 817667"/>
                <a:gd name="T24" fmla="*/ 19050 w 290593"/>
                <a:gd name="T25" fmla="*/ 671838 h 817667"/>
                <a:gd name="T26" fmla="*/ 57150 w 290593"/>
                <a:gd name="T27" fmla="*/ 728988 h 817667"/>
                <a:gd name="T28" fmla="*/ 57150 w 290593"/>
                <a:gd name="T29" fmla="*/ 814713 h 817667"/>
                <a:gd name="T30" fmla="*/ 266700 w 290593"/>
                <a:gd name="T31" fmla="*/ 776613 h 817667"/>
                <a:gd name="T32" fmla="*/ 266700 w 290593"/>
                <a:gd name="T33" fmla="*/ 509913 h 817667"/>
                <a:gd name="T34" fmla="*/ 285750 w 290593"/>
                <a:gd name="T35" fmla="*/ 43188 h 817667"/>
                <a:gd name="T36" fmla="*/ 76200 w 290593"/>
                <a:gd name="T37" fmla="*/ 14613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27065" y="111603"/>
                    <a:pt x="95250" y="147963"/>
                  </a:cubicBezTo>
                  <a:cubicBezTo>
                    <a:pt x="82027" y="163075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</xdr:grpSp>
    <xdr:clientData/>
  </xdr:twoCellAnchor>
  <xdr:twoCellAnchor>
    <xdr:from>
      <xdr:col>9</xdr:col>
      <xdr:colOff>7620</xdr:colOff>
      <xdr:row>93</xdr:row>
      <xdr:rowOff>91440</xdr:rowOff>
    </xdr:from>
    <xdr:to>
      <xdr:col>14</xdr:col>
      <xdr:colOff>99060</xdr:colOff>
      <xdr:row>98</xdr:row>
      <xdr:rowOff>83820</xdr:rowOff>
    </xdr:to>
    <xdr:grpSp>
      <xdr:nvGrpSpPr>
        <xdr:cNvPr id="5" name="Skupina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2213409" y="17386835"/>
          <a:ext cx="1294598" cy="894748"/>
          <a:chOff x="1988820" y="17721714"/>
          <a:chExt cx="1174282" cy="914801"/>
        </a:xfrm>
      </xdr:grpSpPr>
      <xdr:grpSp>
        <xdr:nvGrpSpPr>
          <xdr:cNvPr id="436106" name="Skupina 32">
            <a:extLst>
              <a:ext uri="{FF2B5EF4-FFF2-40B4-BE49-F238E27FC236}">
                <a16:creationId xmlns:a16="http://schemas.microsoft.com/office/drawing/2014/main" id="{00000000-0008-0000-0200-00008AA70600}"/>
              </a:ext>
            </a:extLst>
          </xdr:cNvPr>
          <xdr:cNvGrpSpPr>
            <a:grpSpLocks/>
          </xdr:cNvGrpSpPr>
        </xdr:nvGrpSpPr>
        <xdr:grpSpPr bwMode="auto">
          <a:xfrm>
            <a:off x="1988820" y="17797914"/>
            <a:ext cx="896754" cy="838601"/>
            <a:chOff x="5762624" y="1547487"/>
            <a:chExt cx="976394" cy="817667"/>
          </a:xfrm>
        </xdr:grpSpPr>
        <xdr:sp macro="" textlink="">
          <xdr:nvSpPr>
            <xdr:cNvPr id="436169" name="Obdélník 34">
              <a:extLst>
                <a:ext uri="{FF2B5EF4-FFF2-40B4-BE49-F238E27FC236}">
                  <a16:creationId xmlns:a16="http://schemas.microsoft.com/office/drawing/2014/main" id="{00000000-0008-0000-0200-0000C9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05531" y="1662453"/>
              <a:ext cx="795293" cy="58544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0" name="Obdélník 35">
              <a:extLst>
                <a:ext uri="{FF2B5EF4-FFF2-40B4-BE49-F238E27FC236}">
                  <a16:creationId xmlns:a16="http://schemas.microsoft.com/office/drawing/2014/main" id="{00000000-0008-0000-0200-0000CA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62624" y="1590675"/>
              <a:ext cx="52095" cy="730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71" name="Volný tvar 36">
              <a:extLst>
                <a:ext uri="{FF2B5EF4-FFF2-40B4-BE49-F238E27FC236}">
                  <a16:creationId xmlns:a16="http://schemas.microsoft.com/office/drawing/2014/main" id="{00000000-0008-0000-0200-0000CBA70600}"/>
                </a:ext>
              </a:extLst>
            </xdr:cNvPr>
            <xdr:cNvSpPr>
              <a:spLocks/>
            </xdr:cNvSpPr>
          </xdr:nvSpPr>
          <xdr:spPr bwMode="auto">
            <a:xfrm>
              <a:off x="6448425" y="1547487"/>
              <a:ext cx="290593" cy="817667"/>
            </a:xfrm>
            <a:custGeom>
              <a:avLst/>
              <a:gdLst>
                <a:gd name="T0" fmla="*/ 76200 w 290593"/>
                <a:gd name="T1" fmla="*/ 14613 h 817667"/>
                <a:gd name="T2" fmla="*/ 76200 w 290593"/>
                <a:gd name="T3" fmla="*/ 14613 h 817667"/>
                <a:gd name="T4" fmla="*/ 77390 w 290593"/>
                <a:gd name="T5" fmla="*/ 99635 h 817667"/>
                <a:gd name="T6" fmla="*/ 38100 w 290593"/>
                <a:gd name="T7" fmla="*/ 167013 h 817667"/>
                <a:gd name="T8" fmla="*/ 85725 w 290593"/>
                <a:gd name="T9" fmla="*/ 214638 h 817667"/>
                <a:gd name="T10" fmla="*/ 57150 w 290593"/>
                <a:gd name="T11" fmla="*/ 376563 h 817667"/>
                <a:gd name="T12" fmla="*/ 28575 w 290593"/>
                <a:gd name="T13" fmla="*/ 386088 h 817667"/>
                <a:gd name="T14" fmla="*/ 28575 w 290593"/>
                <a:gd name="T15" fmla="*/ 490863 h 817667"/>
                <a:gd name="T16" fmla="*/ 47625 w 290593"/>
                <a:gd name="T17" fmla="*/ 519438 h 817667"/>
                <a:gd name="T18" fmla="*/ 38100 w 290593"/>
                <a:gd name="T19" fmla="*/ 576588 h 817667"/>
                <a:gd name="T20" fmla="*/ 9525 w 290593"/>
                <a:gd name="T21" fmla="*/ 586113 h 817667"/>
                <a:gd name="T22" fmla="*/ 0 w 290593"/>
                <a:gd name="T23" fmla="*/ 614688 h 817667"/>
                <a:gd name="T24" fmla="*/ 19050 w 290593"/>
                <a:gd name="T25" fmla="*/ 671838 h 817667"/>
                <a:gd name="T26" fmla="*/ 57150 w 290593"/>
                <a:gd name="T27" fmla="*/ 728988 h 817667"/>
                <a:gd name="T28" fmla="*/ 57150 w 290593"/>
                <a:gd name="T29" fmla="*/ 814713 h 817667"/>
                <a:gd name="T30" fmla="*/ 266700 w 290593"/>
                <a:gd name="T31" fmla="*/ 776613 h 817667"/>
                <a:gd name="T32" fmla="*/ 266700 w 290593"/>
                <a:gd name="T33" fmla="*/ 509913 h 817667"/>
                <a:gd name="T34" fmla="*/ 285750 w 290593"/>
                <a:gd name="T35" fmla="*/ 43188 h 817667"/>
                <a:gd name="T36" fmla="*/ 76200 w 290593"/>
                <a:gd name="T37" fmla="*/ 14613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09205" y="63275"/>
                    <a:pt x="77390" y="99635"/>
                  </a:cubicBezTo>
                  <a:cubicBezTo>
                    <a:pt x="64167" y="114747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  <xdr:grpSp>
        <xdr:nvGrpSpPr>
          <xdr:cNvPr id="436107" name="Skupina 21">
            <a:extLst>
              <a:ext uri="{FF2B5EF4-FFF2-40B4-BE49-F238E27FC236}">
                <a16:creationId xmlns:a16="http://schemas.microsoft.com/office/drawing/2014/main" id="{00000000-0008-0000-0200-00008BA70600}"/>
              </a:ext>
            </a:extLst>
          </xdr:cNvPr>
          <xdr:cNvGrpSpPr>
            <a:grpSpLocks/>
          </xdr:cNvGrpSpPr>
        </xdr:nvGrpSpPr>
        <xdr:grpSpPr bwMode="auto">
          <a:xfrm>
            <a:off x="2281588" y="17721714"/>
            <a:ext cx="881514" cy="692217"/>
            <a:chOff x="1771649" y="3440863"/>
            <a:chExt cx="976394" cy="676891"/>
          </a:xfrm>
        </xdr:grpSpPr>
        <xdr:sp macro="" textlink="">
          <xdr:nvSpPr>
            <xdr:cNvPr id="436166" name="Obdélník 19">
              <a:extLst>
                <a:ext uri="{FF2B5EF4-FFF2-40B4-BE49-F238E27FC236}">
                  <a16:creationId xmlns:a16="http://schemas.microsoft.com/office/drawing/2014/main" id="{00000000-0008-0000-0200-0000C6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15062" y="3695700"/>
              <a:ext cx="794788" cy="304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67" name="Obdélník 18">
              <a:extLst>
                <a:ext uri="{FF2B5EF4-FFF2-40B4-BE49-F238E27FC236}">
                  <a16:creationId xmlns:a16="http://schemas.microsoft.com/office/drawing/2014/main" id="{00000000-0008-0000-0200-0000C7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71649" y="3562350"/>
              <a:ext cx="53016" cy="51435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68" name="Volný tvar 20">
              <a:extLst>
                <a:ext uri="{FF2B5EF4-FFF2-40B4-BE49-F238E27FC236}">
                  <a16:creationId xmlns:a16="http://schemas.microsoft.com/office/drawing/2014/main" id="{00000000-0008-0000-0200-0000C8A70600}"/>
                </a:ext>
              </a:extLst>
            </xdr:cNvPr>
            <xdr:cNvSpPr>
              <a:spLocks/>
            </xdr:cNvSpPr>
          </xdr:nvSpPr>
          <xdr:spPr bwMode="auto">
            <a:xfrm>
              <a:off x="2457450" y="3440863"/>
              <a:ext cx="290593" cy="676891"/>
            </a:xfrm>
            <a:custGeom>
              <a:avLst/>
              <a:gdLst>
                <a:gd name="T0" fmla="*/ 76200 w 290593"/>
                <a:gd name="T1" fmla="*/ 1037 h 817667"/>
                <a:gd name="T2" fmla="*/ 76200 w 290593"/>
                <a:gd name="T3" fmla="*/ 1037 h 817667"/>
                <a:gd name="T4" fmla="*/ 95250 w 290593"/>
                <a:gd name="T5" fmla="*/ 10504 h 817667"/>
                <a:gd name="T6" fmla="*/ 38100 w 290593"/>
                <a:gd name="T7" fmla="*/ 11856 h 817667"/>
                <a:gd name="T8" fmla="*/ 85725 w 290593"/>
                <a:gd name="T9" fmla="*/ 15236 h 817667"/>
                <a:gd name="T10" fmla="*/ 57150 w 290593"/>
                <a:gd name="T11" fmla="*/ 26732 h 817667"/>
                <a:gd name="T12" fmla="*/ 28575 w 290593"/>
                <a:gd name="T13" fmla="*/ 27407 h 817667"/>
                <a:gd name="T14" fmla="*/ 28575 w 290593"/>
                <a:gd name="T15" fmla="*/ 34846 h 817667"/>
                <a:gd name="T16" fmla="*/ 47625 w 290593"/>
                <a:gd name="T17" fmla="*/ 36874 h 817667"/>
                <a:gd name="T18" fmla="*/ 38100 w 290593"/>
                <a:gd name="T19" fmla="*/ 40931 h 817667"/>
                <a:gd name="T20" fmla="*/ 9525 w 290593"/>
                <a:gd name="T21" fmla="*/ 41608 h 817667"/>
                <a:gd name="T22" fmla="*/ 0 w 290593"/>
                <a:gd name="T23" fmla="*/ 43636 h 817667"/>
                <a:gd name="T24" fmla="*/ 19050 w 290593"/>
                <a:gd name="T25" fmla="*/ 47692 h 817667"/>
                <a:gd name="T26" fmla="*/ 57150 w 290593"/>
                <a:gd name="T27" fmla="*/ 51750 h 817667"/>
                <a:gd name="T28" fmla="*/ 57150 w 290593"/>
                <a:gd name="T29" fmla="*/ 57836 h 817667"/>
                <a:gd name="T30" fmla="*/ 266700 w 290593"/>
                <a:gd name="T31" fmla="*/ 55131 h 817667"/>
                <a:gd name="T32" fmla="*/ 266700 w 290593"/>
                <a:gd name="T33" fmla="*/ 36198 h 817667"/>
                <a:gd name="T34" fmla="*/ 285750 w 290593"/>
                <a:gd name="T35" fmla="*/ 3066 h 817667"/>
                <a:gd name="T36" fmla="*/ 76200 w 290593"/>
                <a:gd name="T37" fmla="*/ 1037 h 817667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w 290593"/>
                <a:gd name="T58" fmla="*/ 0 h 817667"/>
                <a:gd name="T59" fmla="*/ 290593 w 290593"/>
                <a:gd name="T60" fmla="*/ 817667 h 817667"/>
              </a:gdLst>
              <a:ahLst/>
              <a:cxnLst>
                <a:cxn ang="T38">
                  <a:pos x="T0" y="T1"/>
                </a:cxn>
                <a:cxn ang="T39">
                  <a:pos x="T2" y="T3"/>
                </a:cxn>
                <a:cxn ang="T40">
                  <a:pos x="T4" y="T5"/>
                </a:cxn>
                <a:cxn ang="T41">
                  <a:pos x="T6" y="T7"/>
                </a:cxn>
                <a:cxn ang="T42">
                  <a:pos x="T8" y="T9"/>
                </a:cxn>
                <a:cxn ang="T43">
                  <a:pos x="T10" y="T11"/>
                </a:cxn>
                <a:cxn ang="T44">
                  <a:pos x="T12" y="T13"/>
                </a:cxn>
                <a:cxn ang="T45">
                  <a:pos x="T14" y="T15"/>
                </a:cxn>
                <a:cxn ang="T46">
                  <a:pos x="T16" y="T17"/>
                </a:cxn>
                <a:cxn ang="T47">
                  <a:pos x="T18" y="T19"/>
                </a:cxn>
                <a:cxn ang="T48">
                  <a:pos x="T20" y="T21"/>
                </a:cxn>
                <a:cxn ang="T49">
                  <a:pos x="T22" y="T23"/>
                </a:cxn>
                <a:cxn ang="T50">
                  <a:pos x="T24" y="T25"/>
                </a:cxn>
                <a:cxn ang="T51">
                  <a:pos x="T26" y="T27"/>
                </a:cxn>
                <a:cxn ang="T52">
                  <a:pos x="T28" y="T29"/>
                </a:cxn>
                <a:cxn ang="T53">
                  <a:pos x="T30" y="T31"/>
                </a:cxn>
                <a:cxn ang="T54">
                  <a:pos x="T32" y="T33"/>
                </a:cxn>
                <a:cxn ang="T55">
                  <a:pos x="T34" y="T35"/>
                </a:cxn>
                <a:cxn ang="T56">
                  <a:pos x="T36" y="T37"/>
                </a:cxn>
              </a:cxnLst>
              <a:rect l="T57" t="T58" r="T59" b="T60"/>
              <a:pathLst>
                <a:path w="290593" h="817667">
                  <a:moveTo>
                    <a:pt x="76200" y="14613"/>
                  </a:moveTo>
                  <a:lnTo>
                    <a:pt x="76200" y="14613"/>
                  </a:lnTo>
                  <a:cubicBezTo>
                    <a:pt x="86511" y="42109"/>
                    <a:pt x="127065" y="111603"/>
                    <a:pt x="95250" y="147963"/>
                  </a:cubicBezTo>
                  <a:cubicBezTo>
                    <a:pt x="82027" y="163075"/>
                    <a:pt x="38100" y="167013"/>
                    <a:pt x="38100" y="167013"/>
                  </a:cubicBezTo>
                  <a:cubicBezTo>
                    <a:pt x="52096" y="176344"/>
                    <a:pt x="84429" y="192607"/>
                    <a:pt x="85725" y="214638"/>
                  </a:cubicBezTo>
                  <a:cubicBezTo>
                    <a:pt x="86693" y="231091"/>
                    <a:pt x="98014" y="343872"/>
                    <a:pt x="57150" y="376563"/>
                  </a:cubicBezTo>
                  <a:cubicBezTo>
                    <a:pt x="49310" y="382835"/>
                    <a:pt x="38100" y="382913"/>
                    <a:pt x="28575" y="386088"/>
                  </a:cubicBezTo>
                  <a:cubicBezTo>
                    <a:pt x="13701" y="430709"/>
                    <a:pt x="10804" y="425702"/>
                    <a:pt x="28575" y="490863"/>
                  </a:cubicBezTo>
                  <a:cubicBezTo>
                    <a:pt x="31587" y="501907"/>
                    <a:pt x="41275" y="509913"/>
                    <a:pt x="47625" y="519438"/>
                  </a:cubicBezTo>
                  <a:cubicBezTo>
                    <a:pt x="44450" y="538488"/>
                    <a:pt x="47682" y="559820"/>
                    <a:pt x="38100" y="576588"/>
                  </a:cubicBezTo>
                  <a:cubicBezTo>
                    <a:pt x="33119" y="585305"/>
                    <a:pt x="16625" y="579013"/>
                    <a:pt x="9525" y="586113"/>
                  </a:cubicBezTo>
                  <a:cubicBezTo>
                    <a:pt x="2425" y="593213"/>
                    <a:pt x="3175" y="605163"/>
                    <a:pt x="0" y="614688"/>
                  </a:cubicBezTo>
                  <a:cubicBezTo>
                    <a:pt x="6350" y="633738"/>
                    <a:pt x="7911" y="655130"/>
                    <a:pt x="19050" y="671838"/>
                  </a:cubicBezTo>
                  <a:lnTo>
                    <a:pt x="57150" y="728988"/>
                  </a:lnTo>
                  <a:cubicBezTo>
                    <a:pt x="51516" y="745889"/>
                    <a:pt x="26742" y="805357"/>
                    <a:pt x="57150" y="814713"/>
                  </a:cubicBezTo>
                  <a:cubicBezTo>
                    <a:pt x="66751" y="817667"/>
                    <a:pt x="248114" y="780330"/>
                    <a:pt x="266700" y="776613"/>
                  </a:cubicBezTo>
                  <a:cubicBezTo>
                    <a:pt x="290593" y="633254"/>
                    <a:pt x="266700" y="801168"/>
                    <a:pt x="266700" y="509913"/>
                  </a:cubicBezTo>
                  <a:cubicBezTo>
                    <a:pt x="266700" y="283161"/>
                    <a:pt x="272633" y="226829"/>
                    <a:pt x="285750" y="43188"/>
                  </a:cubicBezTo>
                  <a:cubicBezTo>
                    <a:pt x="199373" y="0"/>
                    <a:pt x="111125" y="19376"/>
                    <a:pt x="76200" y="14613"/>
                  </a:cubicBezTo>
                  <a:close/>
                </a:path>
              </a:pathLst>
            </a:cu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</xdr:grpSp>
    <xdr:clientData/>
  </xdr:twoCellAnchor>
  <xdr:twoCellAnchor>
    <xdr:from>
      <xdr:col>3</xdr:col>
      <xdr:colOff>182880</xdr:colOff>
      <xdr:row>95</xdr:row>
      <xdr:rowOff>30480</xdr:rowOff>
    </xdr:from>
    <xdr:to>
      <xdr:col>5</xdr:col>
      <xdr:colOff>175260</xdr:colOff>
      <xdr:row>100</xdr:row>
      <xdr:rowOff>114300</xdr:rowOff>
    </xdr:to>
    <xdr:grpSp>
      <xdr:nvGrpSpPr>
        <xdr:cNvPr id="436108" name="Skupina 6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200-00008CA70600}"/>
            </a:ext>
          </a:extLst>
        </xdr:cNvPr>
        <xdr:cNvGrpSpPr>
          <a:grpSpLocks/>
        </xdr:cNvGrpSpPr>
      </xdr:nvGrpSpPr>
      <xdr:grpSpPr bwMode="auto">
        <a:xfrm>
          <a:off x="944880" y="17686822"/>
          <a:ext cx="473643" cy="986189"/>
          <a:chOff x="854290" y="17809673"/>
          <a:chExt cx="415122" cy="993987"/>
        </a:xfrm>
      </xdr:grpSpPr>
      <xdr:sp macro="" textlink="">
        <xdr:nvSpPr>
          <xdr:cNvPr id="436152" name="Obdélník 23">
            <a:extLst>
              <a:ext uri="{FF2B5EF4-FFF2-40B4-BE49-F238E27FC236}">
                <a16:creationId xmlns:a16="http://schemas.microsoft.com/office/drawing/2014/main" id="{00000000-0008-0000-0200-0000B8A70600}"/>
              </a:ext>
            </a:extLst>
          </xdr:cNvPr>
          <xdr:cNvSpPr>
            <a:spLocks noChangeArrowheads="1"/>
          </xdr:cNvSpPr>
        </xdr:nvSpPr>
        <xdr:spPr bwMode="auto">
          <a:xfrm>
            <a:off x="861949" y="17809673"/>
            <a:ext cx="406982" cy="993987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36153" name="Obdélník 24">
            <a:extLst>
              <a:ext uri="{FF2B5EF4-FFF2-40B4-BE49-F238E27FC236}">
                <a16:creationId xmlns:a16="http://schemas.microsoft.com/office/drawing/2014/main" id="{00000000-0008-0000-0200-0000B9A70600}"/>
              </a:ext>
            </a:extLst>
          </xdr:cNvPr>
          <xdr:cNvSpPr>
            <a:spLocks noChangeArrowheads="1"/>
          </xdr:cNvSpPr>
        </xdr:nvSpPr>
        <xdr:spPr bwMode="auto">
          <a:xfrm>
            <a:off x="854290" y="17817246"/>
            <a:ext cx="38900" cy="97683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36154" name="Skupina 238">
            <a:extLst>
              <a:ext uri="{FF2B5EF4-FFF2-40B4-BE49-F238E27FC236}">
                <a16:creationId xmlns:a16="http://schemas.microsoft.com/office/drawing/2014/main" id="{00000000-0008-0000-0200-0000BAA70600}"/>
              </a:ext>
            </a:extLst>
          </xdr:cNvPr>
          <xdr:cNvGrpSpPr>
            <a:grpSpLocks/>
          </xdr:cNvGrpSpPr>
        </xdr:nvGrpSpPr>
        <xdr:grpSpPr bwMode="auto">
          <a:xfrm>
            <a:off x="919926" y="17873755"/>
            <a:ext cx="349486" cy="88570"/>
            <a:chOff x="5711920" y="21697458"/>
            <a:chExt cx="544182" cy="120565"/>
          </a:xfrm>
        </xdr:grpSpPr>
        <xdr:sp macro="" textlink="">
          <xdr:nvSpPr>
            <xdr:cNvPr id="436164" name="Obdélník 23">
              <a:extLst>
                <a:ext uri="{FF2B5EF4-FFF2-40B4-BE49-F238E27FC236}">
                  <a16:creationId xmlns:a16="http://schemas.microsoft.com/office/drawing/2014/main" id="{00000000-0008-0000-0200-0000C4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21017" y="21712035"/>
              <a:ext cx="535085" cy="10598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65" name="Obdélník 30">
              <a:extLst>
                <a:ext uri="{FF2B5EF4-FFF2-40B4-BE49-F238E27FC236}">
                  <a16:creationId xmlns:a16="http://schemas.microsoft.com/office/drawing/2014/main" id="{00000000-0008-0000-0200-0000C5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75491" y="21733887"/>
              <a:ext cx="119658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55" name="Skupina 239">
            <a:extLst>
              <a:ext uri="{FF2B5EF4-FFF2-40B4-BE49-F238E27FC236}">
                <a16:creationId xmlns:a16="http://schemas.microsoft.com/office/drawing/2014/main" id="{00000000-0008-0000-0200-0000BBA70600}"/>
              </a:ext>
            </a:extLst>
          </xdr:cNvPr>
          <xdr:cNvGrpSpPr>
            <a:grpSpLocks/>
          </xdr:cNvGrpSpPr>
        </xdr:nvGrpSpPr>
        <xdr:grpSpPr bwMode="auto">
          <a:xfrm>
            <a:off x="921219" y="18335710"/>
            <a:ext cx="346909" cy="172799"/>
            <a:chOff x="5713935" y="22326425"/>
            <a:chExt cx="540171" cy="235221"/>
          </a:xfrm>
        </xdr:grpSpPr>
        <xdr:sp macro="" textlink="">
          <xdr:nvSpPr>
            <xdr:cNvPr id="436162" name="Obdélník 23">
              <a:extLst>
                <a:ext uri="{FF2B5EF4-FFF2-40B4-BE49-F238E27FC236}">
                  <a16:creationId xmlns:a16="http://schemas.microsoft.com/office/drawing/2014/main" id="{00000000-0008-0000-0200-0000C2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9020" y="22343224"/>
              <a:ext cx="535086" cy="20786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63" name="Obdélník 30">
              <a:extLst>
                <a:ext uri="{FF2B5EF4-FFF2-40B4-BE49-F238E27FC236}">
                  <a16:creationId xmlns:a16="http://schemas.microsoft.com/office/drawing/2014/main" id="{00000000-0008-0000-0200-0000C3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19724" y="22420636"/>
              <a:ext cx="235221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56" name="Skupina 238">
            <a:extLst>
              <a:ext uri="{FF2B5EF4-FFF2-40B4-BE49-F238E27FC236}">
                <a16:creationId xmlns:a16="http://schemas.microsoft.com/office/drawing/2014/main" id="{00000000-0008-0000-0200-0000BCA70600}"/>
              </a:ext>
            </a:extLst>
          </xdr:cNvPr>
          <xdr:cNvGrpSpPr>
            <a:grpSpLocks/>
          </xdr:cNvGrpSpPr>
        </xdr:nvGrpSpPr>
        <xdr:grpSpPr bwMode="auto">
          <a:xfrm>
            <a:off x="919926" y="18123519"/>
            <a:ext cx="349486" cy="88570"/>
            <a:chOff x="5711920" y="21697458"/>
            <a:chExt cx="544182" cy="120565"/>
          </a:xfrm>
        </xdr:grpSpPr>
        <xdr:sp macro="" textlink="">
          <xdr:nvSpPr>
            <xdr:cNvPr id="436160" name="Obdélník 23">
              <a:extLst>
                <a:ext uri="{FF2B5EF4-FFF2-40B4-BE49-F238E27FC236}">
                  <a16:creationId xmlns:a16="http://schemas.microsoft.com/office/drawing/2014/main" id="{00000000-0008-0000-0200-0000C0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21017" y="21712035"/>
              <a:ext cx="535085" cy="10598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61" name="Obdélník 30">
              <a:extLst>
                <a:ext uri="{FF2B5EF4-FFF2-40B4-BE49-F238E27FC236}">
                  <a16:creationId xmlns:a16="http://schemas.microsoft.com/office/drawing/2014/main" id="{00000000-0008-0000-0200-0000C1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75491" y="21733887"/>
              <a:ext cx="119658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57" name="Skupina 239">
            <a:extLst>
              <a:ext uri="{FF2B5EF4-FFF2-40B4-BE49-F238E27FC236}">
                <a16:creationId xmlns:a16="http://schemas.microsoft.com/office/drawing/2014/main" id="{00000000-0008-0000-0200-0000BDA70600}"/>
              </a:ext>
            </a:extLst>
          </xdr:cNvPr>
          <xdr:cNvGrpSpPr>
            <a:grpSpLocks/>
          </xdr:cNvGrpSpPr>
        </xdr:nvGrpSpPr>
        <xdr:grpSpPr bwMode="auto">
          <a:xfrm>
            <a:off x="921219" y="18598174"/>
            <a:ext cx="346909" cy="172799"/>
            <a:chOff x="5713935" y="22326425"/>
            <a:chExt cx="540171" cy="235221"/>
          </a:xfrm>
        </xdr:grpSpPr>
        <xdr:sp macro="" textlink="">
          <xdr:nvSpPr>
            <xdr:cNvPr id="436158" name="Obdélník 23">
              <a:extLst>
                <a:ext uri="{FF2B5EF4-FFF2-40B4-BE49-F238E27FC236}">
                  <a16:creationId xmlns:a16="http://schemas.microsoft.com/office/drawing/2014/main" id="{00000000-0008-0000-0200-0000BE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19020" y="22343224"/>
              <a:ext cx="535086" cy="20786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59" name="Obdélník 30">
              <a:extLst>
                <a:ext uri="{FF2B5EF4-FFF2-40B4-BE49-F238E27FC236}">
                  <a16:creationId xmlns:a16="http://schemas.microsoft.com/office/drawing/2014/main" id="{00000000-0008-0000-0200-0000BF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19724" y="22420636"/>
              <a:ext cx="235221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17</xdr:col>
      <xdr:colOff>182880</xdr:colOff>
      <xdr:row>95</xdr:row>
      <xdr:rowOff>45720</xdr:rowOff>
    </xdr:from>
    <xdr:to>
      <xdr:col>19</xdr:col>
      <xdr:colOff>198120</xdr:colOff>
      <xdr:row>100</xdr:row>
      <xdr:rowOff>129540</xdr:rowOff>
    </xdr:to>
    <xdr:grpSp>
      <xdr:nvGrpSpPr>
        <xdr:cNvPr id="436109" name="Skupina 7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200-00008DA70600}"/>
            </a:ext>
          </a:extLst>
        </xdr:cNvPr>
        <xdr:cNvGrpSpPr>
          <a:grpSpLocks/>
        </xdr:cNvGrpSpPr>
      </xdr:nvGrpSpPr>
      <xdr:grpSpPr bwMode="auto">
        <a:xfrm>
          <a:off x="4313722" y="17702062"/>
          <a:ext cx="496503" cy="986189"/>
          <a:chOff x="3817602" y="17825720"/>
          <a:chExt cx="436899" cy="993987"/>
        </a:xfrm>
      </xdr:grpSpPr>
      <xdr:sp macro="" textlink="">
        <xdr:nvSpPr>
          <xdr:cNvPr id="436136" name="Obdélník 23">
            <a:extLst>
              <a:ext uri="{FF2B5EF4-FFF2-40B4-BE49-F238E27FC236}">
                <a16:creationId xmlns:a16="http://schemas.microsoft.com/office/drawing/2014/main" id="{00000000-0008-0000-0200-0000A8A70600}"/>
              </a:ext>
            </a:extLst>
          </xdr:cNvPr>
          <xdr:cNvSpPr>
            <a:spLocks noChangeArrowheads="1"/>
          </xdr:cNvSpPr>
        </xdr:nvSpPr>
        <xdr:spPr bwMode="auto">
          <a:xfrm>
            <a:off x="3825261" y="17825720"/>
            <a:ext cx="429240" cy="993987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grpSp>
        <xdr:nvGrpSpPr>
          <xdr:cNvPr id="436137" name="Skupina 238">
            <a:extLst>
              <a:ext uri="{FF2B5EF4-FFF2-40B4-BE49-F238E27FC236}">
                <a16:creationId xmlns:a16="http://schemas.microsoft.com/office/drawing/2014/main" id="{00000000-0008-0000-0200-0000A9A70600}"/>
              </a:ext>
            </a:extLst>
          </xdr:cNvPr>
          <xdr:cNvGrpSpPr>
            <a:grpSpLocks/>
          </xdr:cNvGrpSpPr>
        </xdr:nvGrpSpPr>
        <xdr:grpSpPr bwMode="auto">
          <a:xfrm>
            <a:off x="3883238" y="17889802"/>
            <a:ext cx="349486" cy="88570"/>
            <a:chOff x="5711920" y="21697458"/>
            <a:chExt cx="544182" cy="120565"/>
          </a:xfrm>
        </xdr:grpSpPr>
        <xdr:sp macro="" textlink="">
          <xdr:nvSpPr>
            <xdr:cNvPr id="436150" name="Obdélník 23">
              <a:extLst>
                <a:ext uri="{FF2B5EF4-FFF2-40B4-BE49-F238E27FC236}">
                  <a16:creationId xmlns:a16="http://schemas.microsoft.com/office/drawing/2014/main" id="{00000000-0008-0000-0200-0000B6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21017" y="21712035"/>
              <a:ext cx="535085" cy="10598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51" name="Obdélník 30">
              <a:extLst>
                <a:ext uri="{FF2B5EF4-FFF2-40B4-BE49-F238E27FC236}">
                  <a16:creationId xmlns:a16="http://schemas.microsoft.com/office/drawing/2014/main" id="{00000000-0008-0000-0200-0000B7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75491" y="21733887"/>
              <a:ext cx="119658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38" name="Skupina 299">
            <a:extLst>
              <a:ext uri="{FF2B5EF4-FFF2-40B4-BE49-F238E27FC236}">
                <a16:creationId xmlns:a16="http://schemas.microsoft.com/office/drawing/2014/main" id="{00000000-0008-0000-0200-0000AAA70600}"/>
              </a:ext>
            </a:extLst>
          </xdr:cNvPr>
          <xdr:cNvGrpSpPr>
            <a:grpSpLocks/>
          </xdr:cNvGrpSpPr>
        </xdr:nvGrpSpPr>
        <xdr:grpSpPr bwMode="auto">
          <a:xfrm>
            <a:off x="3884529" y="18351861"/>
            <a:ext cx="356068" cy="172800"/>
            <a:chOff x="3888762" y="16713561"/>
            <a:chExt cx="356068" cy="172800"/>
          </a:xfrm>
        </xdr:grpSpPr>
        <xdr:sp macro="" textlink="">
          <xdr:nvSpPr>
            <xdr:cNvPr id="436147" name="Obdélník 23">
              <a:extLst>
                <a:ext uri="{FF2B5EF4-FFF2-40B4-BE49-F238E27FC236}">
                  <a16:creationId xmlns:a16="http://schemas.microsoft.com/office/drawing/2014/main" id="{00000000-0008-0000-0200-0000B3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48" name="Obdélník 23">
              <a:extLst>
                <a:ext uri="{FF2B5EF4-FFF2-40B4-BE49-F238E27FC236}">
                  <a16:creationId xmlns:a16="http://schemas.microsoft.com/office/drawing/2014/main" id="{00000000-0008-0000-0200-0000B4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49" name="Obdélník 30">
              <a:extLst>
                <a:ext uri="{FF2B5EF4-FFF2-40B4-BE49-F238E27FC236}">
                  <a16:creationId xmlns:a16="http://schemas.microsoft.com/office/drawing/2014/main" id="{00000000-0008-0000-0200-0000B5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436139" name="Obdélník 24">
            <a:extLst>
              <a:ext uri="{FF2B5EF4-FFF2-40B4-BE49-F238E27FC236}">
                <a16:creationId xmlns:a16="http://schemas.microsoft.com/office/drawing/2014/main" id="{00000000-0008-0000-0200-0000ABA70600}"/>
              </a:ext>
            </a:extLst>
          </xdr:cNvPr>
          <xdr:cNvSpPr>
            <a:spLocks noChangeArrowheads="1"/>
          </xdr:cNvSpPr>
        </xdr:nvSpPr>
        <xdr:spPr bwMode="auto">
          <a:xfrm>
            <a:off x="3817602" y="17833293"/>
            <a:ext cx="38900" cy="97683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36140" name="Skupina 238">
            <a:extLst>
              <a:ext uri="{FF2B5EF4-FFF2-40B4-BE49-F238E27FC236}">
                <a16:creationId xmlns:a16="http://schemas.microsoft.com/office/drawing/2014/main" id="{00000000-0008-0000-0200-0000ACA70600}"/>
              </a:ext>
            </a:extLst>
          </xdr:cNvPr>
          <xdr:cNvGrpSpPr>
            <a:grpSpLocks/>
          </xdr:cNvGrpSpPr>
        </xdr:nvGrpSpPr>
        <xdr:grpSpPr bwMode="auto">
          <a:xfrm>
            <a:off x="3883238" y="18139563"/>
            <a:ext cx="349486" cy="88570"/>
            <a:chOff x="5711920" y="21697458"/>
            <a:chExt cx="544182" cy="120565"/>
          </a:xfrm>
        </xdr:grpSpPr>
        <xdr:sp macro="" textlink="">
          <xdr:nvSpPr>
            <xdr:cNvPr id="436145" name="Obdélník 23">
              <a:extLst>
                <a:ext uri="{FF2B5EF4-FFF2-40B4-BE49-F238E27FC236}">
                  <a16:creationId xmlns:a16="http://schemas.microsoft.com/office/drawing/2014/main" id="{00000000-0008-0000-0200-0000B1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21017" y="21712035"/>
              <a:ext cx="535085" cy="105988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46" name="Obdélník 30">
              <a:extLst>
                <a:ext uri="{FF2B5EF4-FFF2-40B4-BE49-F238E27FC236}">
                  <a16:creationId xmlns:a16="http://schemas.microsoft.com/office/drawing/2014/main" id="{00000000-0008-0000-0200-0000B2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75491" y="21733887"/>
              <a:ext cx="119658" cy="46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41" name="Skupina 342">
            <a:extLst>
              <a:ext uri="{FF2B5EF4-FFF2-40B4-BE49-F238E27FC236}">
                <a16:creationId xmlns:a16="http://schemas.microsoft.com/office/drawing/2014/main" id="{00000000-0008-0000-0200-0000ADA70600}"/>
              </a:ext>
            </a:extLst>
          </xdr:cNvPr>
          <xdr:cNvGrpSpPr>
            <a:grpSpLocks/>
          </xdr:cNvGrpSpPr>
        </xdr:nvGrpSpPr>
        <xdr:grpSpPr bwMode="auto">
          <a:xfrm>
            <a:off x="3884528" y="18614324"/>
            <a:ext cx="356068" cy="172800"/>
            <a:chOff x="3888762" y="16713561"/>
            <a:chExt cx="356068" cy="172800"/>
          </a:xfrm>
        </xdr:grpSpPr>
        <xdr:sp macro="" textlink="">
          <xdr:nvSpPr>
            <xdr:cNvPr id="436142" name="Obdélník 23">
              <a:extLst>
                <a:ext uri="{FF2B5EF4-FFF2-40B4-BE49-F238E27FC236}">
                  <a16:creationId xmlns:a16="http://schemas.microsoft.com/office/drawing/2014/main" id="{00000000-0008-0000-0200-0000AE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43" name="Obdélník 23">
              <a:extLst>
                <a:ext uri="{FF2B5EF4-FFF2-40B4-BE49-F238E27FC236}">
                  <a16:creationId xmlns:a16="http://schemas.microsoft.com/office/drawing/2014/main" id="{00000000-0008-0000-0200-0000AF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44" name="Obdélník 30">
              <a:extLst>
                <a:ext uri="{FF2B5EF4-FFF2-40B4-BE49-F238E27FC236}">
                  <a16:creationId xmlns:a16="http://schemas.microsoft.com/office/drawing/2014/main" id="{00000000-0008-0000-0200-0000B0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51</xdr:col>
      <xdr:colOff>137160</xdr:colOff>
      <xdr:row>94</xdr:row>
      <xdr:rowOff>137160</xdr:rowOff>
    </xdr:from>
    <xdr:to>
      <xdr:col>55</xdr:col>
      <xdr:colOff>167640</xdr:colOff>
      <xdr:row>99</xdr:row>
      <xdr:rowOff>53340</xdr:rowOff>
    </xdr:to>
    <xdr:grpSp>
      <xdr:nvGrpSpPr>
        <xdr:cNvPr id="436110" name="Skupina 96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200-00008EA70600}"/>
            </a:ext>
          </a:extLst>
        </xdr:cNvPr>
        <xdr:cNvGrpSpPr>
          <a:grpSpLocks/>
        </xdr:cNvGrpSpPr>
      </xdr:nvGrpSpPr>
      <xdr:grpSpPr bwMode="auto">
        <a:xfrm>
          <a:off x="12449476" y="17613028"/>
          <a:ext cx="993006" cy="818549"/>
          <a:chOff x="9103519" y="4391025"/>
          <a:chExt cx="976394" cy="805761"/>
        </a:xfrm>
      </xdr:grpSpPr>
      <xdr:sp macro="" textlink="">
        <xdr:nvSpPr>
          <xdr:cNvPr id="436132" name="Obdélník 98">
            <a:extLst>
              <a:ext uri="{FF2B5EF4-FFF2-40B4-BE49-F238E27FC236}">
                <a16:creationId xmlns:a16="http://schemas.microsoft.com/office/drawing/2014/main" id="{00000000-0008-0000-0200-0000A4A70600}"/>
              </a:ext>
            </a:extLst>
          </xdr:cNvPr>
          <xdr:cNvSpPr>
            <a:spLocks noChangeArrowheads="1"/>
          </xdr:cNvSpPr>
        </xdr:nvSpPr>
        <xdr:spPr bwMode="auto">
          <a:xfrm>
            <a:off x="9150142" y="4484886"/>
            <a:ext cx="801101" cy="45448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133" name="Obdélník 99">
            <a:extLst>
              <a:ext uri="{FF2B5EF4-FFF2-40B4-BE49-F238E27FC236}">
                <a16:creationId xmlns:a16="http://schemas.microsoft.com/office/drawing/2014/main" id="{00000000-0008-0000-0200-0000A5A70600}"/>
              </a:ext>
            </a:extLst>
          </xdr:cNvPr>
          <xdr:cNvSpPr>
            <a:spLocks noChangeArrowheads="1"/>
          </xdr:cNvSpPr>
        </xdr:nvSpPr>
        <xdr:spPr bwMode="auto">
          <a:xfrm>
            <a:off x="9146635" y="4954788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134" name="Obdélník 100">
            <a:extLst>
              <a:ext uri="{FF2B5EF4-FFF2-40B4-BE49-F238E27FC236}">
                <a16:creationId xmlns:a16="http://schemas.microsoft.com/office/drawing/2014/main" id="{00000000-0008-0000-0200-0000A6A70600}"/>
              </a:ext>
            </a:extLst>
          </xdr:cNvPr>
          <xdr:cNvSpPr>
            <a:spLocks noChangeArrowheads="1"/>
          </xdr:cNvSpPr>
        </xdr:nvSpPr>
        <xdr:spPr bwMode="auto">
          <a:xfrm>
            <a:off x="9103519" y="4433584"/>
            <a:ext cx="52095" cy="72015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6135" name="Volný tvar 101">
            <a:extLst>
              <a:ext uri="{FF2B5EF4-FFF2-40B4-BE49-F238E27FC236}">
                <a16:creationId xmlns:a16="http://schemas.microsoft.com/office/drawing/2014/main" id="{00000000-0008-0000-0200-0000A7A706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46</xdr:col>
      <xdr:colOff>183088</xdr:colOff>
      <xdr:row>95</xdr:row>
      <xdr:rowOff>53340</xdr:rowOff>
    </xdr:from>
    <xdr:to>
      <xdr:col>48</xdr:col>
      <xdr:colOff>190500</xdr:colOff>
      <xdr:row>100</xdr:row>
      <xdr:rowOff>137160</xdr:rowOff>
    </xdr:to>
    <xdr:sp macro="" textlink="">
      <xdr:nvSpPr>
        <xdr:cNvPr id="436114" name="Obdélník 2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200-000092A70600}"/>
            </a:ext>
          </a:extLst>
        </xdr:cNvPr>
        <xdr:cNvSpPr>
          <a:spLocks noChangeArrowheads="1"/>
        </xdr:cNvSpPr>
      </xdr:nvSpPr>
      <xdr:spPr bwMode="auto">
        <a:xfrm>
          <a:off x="10177320" y="18052582"/>
          <a:ext cx="440548" cy="10062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152400</xdr:colOff>
      <xdr:row>15</xdr:row>
      <xdr:rowOff>152400</xdr:rowOff>
    </xdr:from>
    <xdr:to>
      <xdr:col>20</xdr:col>
      <xdr:colOff>48126</xdr:colOff>
      <xdr:row>20</xdr:row>
      <xdr:rowOff>128337</xdr:rowOff>
    </xdr:to>
    <xdr:sp macro="" textlink="">
      <xdr:nvSpPr>
        <xdr:cNvPr id="3" name="Bublinový popisek ve tvaru obláčku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 bwMode="auto">
        <a:xfrm>
          <a:off x="1483895" y="3080084"/>
          <a:ext cx="2927684" cy="898358"/>
        </a:xfrm>
        <a:prstGeom prst="cloudCallout">
          <a:avLst>
            <a:gd name="adj1" fmla="val -42208"/>
            <a:gd name="adj2" fmla="val 77735"/>
          </a:avLst>
        </a:prstGeom>
        <a:solidFill>
          <a:schemeClr val="bg1">
            <a:lumMod val="9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sk-SK" sz="10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Výběr</a:t>
          </a:r>
          <a:r>
            <a:rPr lang="sk-SK" sz="1000" b="1" baseline="0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 udělejte kliknutím na požadovaný obrázek</a:t>
          </a:r>
          <a:endParaRPr lang="sk-SK" sz="1000" b="1">
            <a:solidFill>
              <a:srgbClr val="FF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104775</xdr:colOff>
          <xdr:row>16</xdr:row>
          <xdr:rowOff>95250</xdr:rowOff>
        </xdr:from>
        <xdr:to>
          <xdr:col>54</xdr:col>
          <xdr:colOff>104775</xdr:colOff>
          <xdr:row>18</xdr:row>
          <xdr:rowOff>142875</xdr:rowOff>
        </xdr:to>
        <xdr:sp macro="" textlink="">
          <xdr:nvSpPr>
            <xdr:cNvPr id="425562" name="Button 147034" hidden="1">
              <a:extLst>
                <a:ext uri="{63B3BB69-23CF-44E3-9099-C40C66FF867C}">
                  <a14:compatExt spid="_x0000_s425562"/>
                </a:ext>
                <a:ext uri="{FF2B5EF4-FFF2-40B4-BE49-F238E27FC236}">
                  <a16:creationId xmlns:a16="http://schemas.microsoft.com/office/drawing/2014/main" id="{00000000-0008-0000-0200-00005A7E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53640926-AAD7-44D8-BBD7-CCE9431645EC}">
                <a14:shadowObscured val="1"/>
              </a:ext>
            </a:extLst>
          </xdr:spPr>
          <xdr:txBody>
            <a:bodyPr vertOverflow="clip" wrap="square" lIns="45720" tIns="27432" rIns="45720" bIns="27432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FF0000"/>
                  </a:solidFill>
                  <a:latin typeface="Verdana"/>
                  <a:ea typeface="Verdana"/>
                </a:rPr>
                <a:t>RESET</a:t>
              </a:r>
            </a:p>
          </xdr:txBody>
        </xdr:sp>
        <xdr:clientData fPrintsWithSheet="0"/>
      </xdr:twoCellAnchor>
    </mc:Choice>
    <mc:Fallback/>
  </mc:AlternateContent>
  <xdr:twoCellAnchor>
    <xdr:from>
      <xdr:col>16</xdr:col>
      <xdr:colOff>7851</xdr:colOff>
      <xdr:row>111</xdr:row>
      <xdr:rowOff>0</xdr:rowOff>
    </xdr:from>
    <xdr:to>
      <xdr:col>17</xdr:col>
      <xdr:colOff>208457</xdr:colOff>
      <xdr:row>116</xdr:row>
      <xdr:rowOff>123925</xdr:rowOff>
    </xdr:to>
    <xdr:sp macro="" textlink="">
      <xdr:nvSpPr>
        <xdr:cNvPr id="257" name="Obdélník 23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>
          <a:spLocks noChangeArrowheads="1"/>
        </xdr:cNvSpPr>
      </xdr:nvSpPr>
      <xdr:spPr bwMode="auto">
        <a:xfrm>
          <a:off x="3505030" y="20950989"/>
          <a:ext cx="417174" cy="10062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175260</xdr:colOff>
      <xdr:row>95</xdr:row>
      <xdr:rowOff>60913</xdr:rowOff>
    </xdr:from>
    <xdr:to>
      <xdr:col>48</xdr:col>
      <xdr:colOff>176294</xdr:colOff>
      <xdr:row>100</xdr:row>
      <xdr:rowOff>127583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11284418" y="17717255"/>
          <a:ext cx="482297" cy="969039"/>
          <a:chOff x="10169492" y="18060155"/>
          <a:chExt cx="434170" cy="989091"/>
        </a:xfrm>
      </xdr:grpSpPr>
      <xdr:sp macro="" textlink="">
        <xdr:nvSpPr>
          <xdr:cNvPr id="436116" name="Obdélník 24">
            <a:extLst>
              <a:ext uri="{FF2B5EF4-FFF2-40B4-BE49-F238E27FC236}">
                <a16:creationId xmlns:a16="http://schemas.microsoft.com/office/drawing/2014/main" id="{00000000-0008-0000-0200-000094A70600}"/>
              </a:ext>
            </a:extLst>
          </xdr:cNvPr>
          <xdr:cNvSpPr>
            <a:spLocks noChangeArrowheads="1"/>
          </xdr:cNvSpPr>
        </xdr:nvSpPr>
        <xdr:spPr bwMode="auto">
          <a:xfrm>
            <a:off x="10169492" y="18060155"/>
            <a:ext cx="39760" cy="989091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36117" name="Skupina 399">
            <a:extLst>
              <a:ext uri="{FF2B5EF4-FFF2-40B4-BE49-F238E27FC236}">
                <a16:creationId xmlns:a16="http://schemas.microsoft.com/office/drawing/2014/main" id="{00000000-0008-0000-0200-000095A70600}"/>
              </a:ext>
            </a:extLst>
          </xdr:cNvPr>
          <xdr:cNvGrpSpPr>
            <a:grpSpLocks/>
          </xdr:cNvGrpSpPr>
        </xdr:nvGrpSpPr>
        <xdr:grpSpPr bwMode="auto">
          <a:xfrm>
            <a:off x="10237897" y="18850990"/>
            <a:ext cx="365759" cy="175250"/>
            <a:chOff x="3888762" y="16713561"/>
            <a:chExt cx="356068" cy="172800"/>
          </a:xfrm>
        </xdr:grpSpPr>
        <xdr:sp macro="" textlink="">
          <xdr:nvSpPr>
            <xdr:cNvPr id="436126" name="Obdélník 23">
              <a:extLst>
                <a:ext uri="{FF2B5EF4-FFF2-40B4-BE49-F238E27FC236}">
                  <a16:creationId xmlns:a16="http://schemas.microsoft.com/office/drawing/2014/main" id="{00000000-0008-0000-0200-00009E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27" name="Obdélník 23">
              <a:extLst>
                <a:ext uri="{FF2B5EF4-FFF2-40B4-BE49-F238E27FC236}">
                  <a16:creationId xmlns:a16="http://schemas.microsoft.com/office/drawing/2014/main" id="{00000000-0008-0000-0200-00009F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28" name="Obdélník 30">
              <a:extLst>
                <a:ext uri="{FF2B5EF4-FFF2-40B4-BE49-F238E27FC236}">
                  <a16:creationId xmlns:a16="http://schemas.microsoft.com/office/drawing/2014/main" id="{00000000-0008-0000-0200-0000A0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18" name="Skupina 400">
            <a:extLst>
              <a:ext uri="{FF2B5EF4-FFF2-40B4-BE49-F238E27FC236}">
                <a16:creationId xmlns:a16="http://schemas.microsoft.com/office/drawing/2014/main" id="{00000000-0008-0000-0200-000096A70600}"/>
              </a:ext>
            </a:extLst>
          </xdr:cNvPr>
          <xdr:cNvGrpSpPr>
            <a:grpSpLocks/>
          </xdr:cNvGrpSpPr>
        </xdr:nvGrpSpPr>
        <xdr:grpSpPr bwMode="auto">
          <a:xfrm>
            <a:off x="10237903" y="18335639"/>
            <a:ext cx="365759" cy="175251"/>
            <a:chOff x="3888762" y="16713561"/>
            <a:chExt cx="356068" cy="172800"/>
          </a:xfrm>
        </xdr:grpSpPr>
        <xdr:sp macro="" textlink="">
          <xdr:nvSpPr>
            <xdr:cNvPr id="436123" name="Obdélník 23">
              <a:extLst>
                <a:ext uri="{FF2B5EF4-FFF2-40B4-BE49-F238E27FC236}">
                  <a16:creationId xmlns:a16="http://schemas.microsoft.com/office/drawing/2014/main" id="{00000000-0008-0000-0200-00009B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24" name="Obdélník 23">
              <a:extLst>
                <a:ext uri="{FF2B5EF4-FFF2-40B4-BE49-F238E27FC236}">
                  <a16:creationId xmlns:a16="http://schemas.microsoft.com/office/drawing/2014/main" id="{00000000-0008-0000-0200-00009C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25" name="Obdélník 30">
              <a:extLst>
                <a:ext uri="{FF2B5EF4-FFF2-40B4-BE49-F238E27FC236}">
                  <a16:creationId xmlns:a16="http://schemas.microsoft.com/office/drawing/2014/main" id="{00000000-0008-0000-0200-00009D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6119" name="Skupina 401">
            <a:extLst>
              <a:ext uri="{FF2B5EF4-FFF2-40B4-BE49-F238E27FC236}">
                <a16:creationId xmlns:a16="http://schemas.microsoft.com/office/drawing/2014/main" id="{00000000-0008-0000-0200-000097A70600}"/>
              </a:ext>
            </a:extLst>
          </xdr:cNvPr>
          <xdr:cNvGrpSpPr>
            <a:grpSpLocks/>
          </xdr:cNvGrpSpPr>
        </xdr:nvGrpSpPr>
        <xdr:grpSpPr bwMode="auto">
          <a:xfrm>
            <a:off x="10237898" y="18079188"/>
            <a:ext cx="365759" cy="175251"/>
            <a:chOff x="3888762" y="16713561"/>
            <a:chExt cx="356068" cy="172800"/>
          </a:xfrm>
        </xdr:grpSpPr>
        <xdr:sp macro="" textlink="">
          <xdr:nvSpPr>
            <xdr:cNvPr id="436120" name="Obdélník 23">
              <a:extLst>
                <a:ext uri="{FF2B5EF4-FFF2-40B4-BE49-F238E27FC236}">
                  <a16:creationId xmlns:a16="http://schemas.microsoft.com/office/drawing/2014/main" id="{00000000-0008-0000-0200-000098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21" name="Obdélník 23">
              <a:extLst>
                <a:ext uri="{FF2B5EF4-FFF2-40B4-BE49-F238E27FC236}">
                  <a16:creationId xmlns:a16="http://schemas.microsoft.com/office/drawing/2014/main" id="{00000000-0008-0000-0200-000099A706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6122" name="Obdélník 30">
              <a:extLst>
                <a:ext uri="{FF2B5EF4-FFF2-40B4-BE49-F238E27FC236}">
                  <a16:creationId xmlns:a16="http://schemas.microsoft.com/office/drawing/2014/main" id="{00000000-0008-0000-0200-00009AA706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215" name="Skupina 399">
            <a:extLst>
              <a:ext uri="{FF2B5EF4-FFF2-40B4-BE49-F238E27FC236}">
                <a16:creationId xmlns:a16="http://schemas.microsoft.com/office/drawing/2014/main" id="{00000000-0008-0000-0200-0000D7000000}"/>
              </a:ext>
            </a:extLst>
          </xdr:cNvPr>
          <xdr:cNvGrpSpPr>
            <a:grpSpLocks/>
          </xdr:cNvGrpSpPr>
        </xdr:nvGrpSpPr>
        <xdr:grpSpPr bwMode="auto">
          <a:xfrm>
            <a:off x="10237897" y="18594316"/>
            <a:ext cx="365759" cy="175250"/>
            <a:chOff x="3888762" y="16713561"/>
            <a:chExt cx="356068" cy="172800"/>
          </a:xfrm>
        </xdr:grpSpPr>
        <xdr:sp macro="" textlink="">
          <xdr:nvSpPr>
            <xdr:cNvPr id="216" name="Obdélník 23">
              <a:extLst>
                <a:ext uri="{FF2B5EF4-FFF2-40B4-BE49-F238E27FC236}">
                  <a16:creationId xmlns:a16="http://schemas.microsoft.com/office/drawing/2014/main" id="{00000000-0008-0000-0200-0000D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841353"/>
              <a:ext cx="352800" cy="36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17" name="Obdélník 23">
              <a:extLst>
                <a:ext uri="{FF2B5EF4-FFF2-40B4-BE49-F238E27FC236}">
                  <a16:creationId xmlns:a16="http://schemas.microsoft.com/office/drawing/2014/main" id="{00000000-0008-0000-0200-0000D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92030" y="16721667"/>
              <a:ext cx="352800" cy="10488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18" name="Obdélník 30">
              <a:extLst>
                <a:ext uri="{FF2B5EF4-FFF2-40B4-BE49-F238E27FC236}">
                  <a16:creationId xmlns:a16="http://schemas.microsoft.com/office/drawing/2014/main" id="{00000000-0008-0000-0200-0000DA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3817390" y="16784933"/>
              <a:ext cx="172800" cy="30056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0</xdr:col>
      <xdr:colOff>160421</xdr:colOff>
      <xdr:row>92</xdr:row>
      <xdr:rowOff>80211</xdr:rowOff>
    </xdr:from>
    <xdr:to>
      <xdr:col>58</xdr:col>
      <xdr:colOff>112294</xdr:colOff>
      <xdr:row>101</xdr:row>
      <xdr:rowOff>112295</xdr:rowOff>
    </xdr:to>
    <xdr:sp macro="" textlink="">
      <xdr:nvSpPr>
        <xdr:cNvPr id="8" name="Obdélník 7">
          <a:extLst>
            <a:ext uri="{FF2B5EF4-FFF2-40B4-BE49-F238E27FC236}">
              <a16:creationId xmlns:a16="http://schemas.microsoft.com/office/drawing/2014/main" id="{498C3F39-0DAD-3D44-7881-6903AD0D588E}"/>
            </a:ext>
          </a:extLst>
        </xdr:cNvPr>
        <xdr:cNvSpPr/>
      </xdr:nvSpPr>
      <xdr:spPr bwMode="auto">
        <a:xfrm>
          <a:off x="160421" y="17526000"/>
          <a:ext cx="12544926" cy="1692442"/>
        </a:xfrm>
        <a:prstGeom prst="rect">
          <a:avLst/>
        </a:prstGeom>
        <a:solidFill>
          <a:schemeClr val="bg1">
            <a:alpha val="9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sk-SK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42</xdr:row>
      <xdr:rowOff>91440</xdr:rowOff>
    </xdr:from>
    <xdr:to>
      <xdr:col>44</xdr:col>
      <xdr:colOff>213360</xdr:colOff>
      <xdr:row>51</xdr:row>
      <xdr:rowOff>38100</xdr:rowOff>
    </xdr:to>
    <xdr:pic>
      <xdr:nvPicPr>
        <xdr:cNvPr id="127962" name="Picture 24">
          <a:extLst>
            <a:ext uri="{FF2B5EF4-FFF2-40B4-BE49-F238E27FC236}">
              <a16:creationId xmlns:a16="http://schemas.microsoft.com/office/drawing/2014/main" id="{00000000-0008-0000-0300-0000DAF3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9060" y="8046720"/>
          <a:ext cx="1920240" cy="1592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144780</xdr:colOff>
      <xdr:row>1</xdr:row>
      <xdr:rowOff>91440</xdr:rowOff>
    </xdr:from>
    <xdr:to>
      <xdr:col>57</xdr:col>
      <xdr:colOff>342900</xdr:colOff>
      <xdr:row>4</xdr:row>
      <xdr:rowOff>152400</xdr:rowOff>
    </xdr:to>
    <xdr:pic>
      <xdr:nvPicPr>
        <xdr:cNvPr id="127963" name="Picture 24">
          <a:extLst>
            <a:ext uri="{FF2B5EF4-FFF2-40B4-BE49-F238E27FC236}">
              <a16:creationId xmlns:a16="http://schemas.microsoft.com/office/drawing/2014/main" id="{00000000-0008-0000-0300-0000DBF3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51460"/>
          <a:ext cx="96012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91440</xdr:colOff>
      <xdr:row>7</xdr:row>
      <xdr:rowOff>83820</xdr:rowOff>
    </xdr:from>
    <xdr:to>
      <xdr:col>14</xdr:col>
      <xdr:colOff>144780</xdr:colOff>
      <xdr:row>12</xdr:row>
      <xdr:rowOff>30480</xdr:rowOff>
    </xdr:to>
    <xdr:pic>
      <xdr:nvPicPr>
        <xdr:cNvPr id="127964" name="Pictur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DCF3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780" y="1531620"/>
          <a:ext cx="1120140" cy="861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367224" name="Picture 24">
          <a:extLst>
            <a:ext uri="{FF2B5EF4-FFF2-40B4-BE49-F238E27FC236}">
              <a16:creationId xmlns:a16="http://schemas.microsoft.com/office/drawing/2014/main" id="{00000000-0008-0000-0400-0000789A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7</xdr:row>
      <xdr:rowOff>91440</xdr:rowOff>
    </xdr:from>
    <xdr:to>
      <xdr:col>23</xdr:col>
      <xdr:colOff>76200</xdr:colOff>
      <xdr:row>14</xdr:row>
      <xdr:rowOff>15240</xdr:rowOff>
    </xdr:to>
    <xdr:grpSp>
      <xdr:nvGrpSpPr>
        <xdr:cNvPr id="367225" name="Skupina 21">
          <a:extLst>
            <a:ext uri="{FF2B5EF4-FFF2-40B4-BE49-F238E27FC236}">
              <a16:creationId xmlns:a16="http://schemas.microsoft.com/office/drawing/2014/main" id="{00000000-0008-0000-0400-0000799A0500}"/>
            </a:ext>
          </a:extLst>
        </xdr:cNvPr>
        <xdr:cNvGrpSpPr>
          <a:grpSpLocks noChangeAspect="1"/>
        </xdr:cNvGrpSpPr>
      </xdr:nvGrpSpPr>
      <xdr:grpSpPr bwMode="auto">
        <a:xfrm>
          <a:off x="3749842" y="1535229"/>
          <a:ext cx="2241884" cy="1187116"/>
          <a:chOff x="1771649" y="3604335"/>
          <a:chExt cx="976394" cy="513419"/>
        </a:xfrm>
      </xdr:grpSpPr>
      <xdr:sp macro="" textlink="">
        <xdr:nvSpPr>
          <xdr:cNvPr id="367227" name="Obdélník 19">
            <a:extLst>
              <a:ext uri="{FF2B5EF4-FFF2-40B4-BE49-F238E27FC236}">
                <a16:creationId xmlns:a16="http://schemas.microsoft.com/office/drawing/2014/main" id="{00000000-0008-0000-0400-00007B9A05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784983"/>
            <a:ext cx="771525" cy="215518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67228" name="Obdélník 18">
            <a:extLst>
              <a:ext uri="{FF2B5EF4-FFF2-40B4-BE49-F238E27FC236}">
                <a16:creationId xmlns:a16="http://schemas.microsoft.com/office/drawing/2014/main" id="{00000000-0008-0000-0400-00007C9A05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715173"/>
            <a:ext cx="85726" cy="35883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67229" name="Volný tvar 20">
            <a:extLst>
              <a:ext uri="{FF2B5EF4-FFF2-40B4-BE49-F238E27FC236}">
                <a16:creationId xmlns:a16="http://schemas.microsoft.com/office/drawing/2014/main" id="{00000000-0008-0000-0400-00007D9A0500}"/>
              </a:ext>
            </a:extLst>
          </xdr:cNvPr>
          <xdr:cNvSpPr>
            <a:spLocks/>
          </xdr:cNvSpPr>
        </xdr:nvSpPr>
        <xdr:spPr bwMode="auto">
          <a:xfrm>
            <a:off x="2457450" y="3604335"/>
            <a:ext cx="290593" cy="513419"/>
          </a:xfrm>
          <a:custGeom>
            <a:avLst/>
            <a:gdLst>
              <a:gd name="T0" fmla="*/ 76200 w 290593"/>
              <a:gd name="T1" fmla="*/ 1 h 817667"/>
              <a:gd name="T2" fmla="*/ 76200 w 290593"/>
              <a:gd name="T3" fmla="*/ 1 h 817667"/>
              <a:gd name="T4" fmla="*/ 95250 w 290593"/>
              <a:gd name="T5" fmla="*/ 1 h 817667"/>
              <a:gd name="T6" fmla="*/ 38100 w 290593"/>
              <a:gd name="T7" fmla="*/ 1 h 817667"/>
              <a:gd name="T8" fmla="*/ 85725 w 290593"/>
              <a:gd name="T9" fmla="*/ 1 h 817667"/>
              <a:gd name="T10" fmla="*/ 57150 w 290593"/>
              <a:gd name="T11" fmla="*/ 1 h 817667"/>
              <a:gd name="T12" fmla="*/ 28575 w 290593"/>
              <a:gd name="T13" fmla="*/ 1 h 817667"/>
              <a:gd name="T14" fmla="*/ 28575 w 290593"/>
              <a:gd name="T15" fmla="*/ 1 h 817667"/>
              <a:gd name="T16" fmla="*/ 47625 w 290593"/>
              <a:gd name="T17" fmla="*/ 1 h 817667"/>
              <a:gd name="T18" fmla="*/ 38100 w 290593"/>
              <a:gd name="T19" fmla="*/ 1 h 817667"/>
              <a:gd name="T20" fmla="*/ 9525 w 290593"/>
              <a:gd name="T21" fmla="*/ 1 h 817667"/>
              <a:gd name="T22" fmla="*/ 0 w 290593"/>
              <a:gd name="T23" fmla="*/ 1 h 817667"/>
              <a:gd name="T24" fmla="*/ 19050 w 290593"/>
              <a:gd name="T25" fmla="*/ 1 h 817667"/>
              <a:gd name="T26" fmla="*/ 57150 w 290593"/>
              <a:gd name="T27" fmla="*/ 1 h 817667"/>
              <a:gd name="T28" fmla="*/ 57150 w 290593"/>
              <a:gd name="T29" fmla="*/ 1 h 817667"/>
              <a:gd name="T30" fmla="*/ 266700 w 290593"/>
              <a:gd name="T31" fmla="*/ 1 h 817667"/>
              <a:gd name="T32" fmla="*/ 266700 w 290593"/>
              <a:gd name="T33" fmla="*/ 1 h 817667"/>
              <a:gd name="T34" fmla="*/ 285750 w 290593"/>
              <a:gd name="T35" fmla="*/ 1 h 817667"/>
              <a:gd name="T36" fmla="*/ 76200 w 290593"/>
              <a:gd name="T37" fmla="*/ 1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367226" name="Obrázek 9">
          <a:extLst>
            <a:ext uri="{FF2B5EF4-FFF2-40B4-BE49-F238E27FC236}">
              <a16:creationId xmlns:a16="http://schemas.microsoft.com/office/drawing/2014/main" id="{00000000-0008-0000-0400-00007A9A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20997" name="Picture 24">
          <a:extLst>
            <a:ext uri="{FF2B5EF4-FFF2-40B4-BE49-F238E27FC236}">
              <a16:creationId xmlns:a16="http://schemas.microsoft.com/office/drawing/2014/main" id="{00000000-0008-0000-0500-0000856C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205740</xdr:colOff>
      <xdr:row>4</xdr:row>
      <xdr:rowOff>76200</xdr:rowOff>
    </xdr:from>
    <xdr:to>
      <xdr:col>23</xdr:col>
      <xdr:colOff>137160</xdr:colOff>
      <xdr:row>14</xdr:row>
      <xdr:rowOff>7620</xdr:rowOff>
    </xdr:to>
    <xdr:grpSp>
      <xdr:nvGrpSpPr>
        <xdr:cNvPr id="420998" name="Skupina 21">
          <a:extLst>
            <a:ext uri="{FF2B5EF4-FFF2-40B4-BE49-F238E27FC236}">
              <a16:creationId xmlns:a16="http://schemas.microsoft.com/office/drawing/2014/main" id="{00000000-0008-0000-0500-0000866C0600}"/>
            </a:ext>
          </a:extLst>
        </xdr:cNvPr>
        <xdr:cNvGrpSpPr>
          <a:grpSpLocks noChangeAspect="1"/>
        </xdr:cNvGrpSpPr>
      </xdr:nvGrpSpPr>
      <xdr:grpSpPr bwMode="auto">
        <a:xfrm>
          <a:off x="3714951" y="978568"/>
          <a:ext cx="2337735" cy="1736157"/>
          <a:chOff x="1771649" y="3377086"/>
          <a:chExt cx="976394" cy="740669"/>
        </a:xfrm>
      </xdr:grpSpPr>
      <xdr:sp macro="" textlink="">
        <xdr:nvSpPr>
          <xdr:cNvPr id="421000" name="Obdélník 19">
            <a:extLst>
              <a:ext uri="{FF2B5EF4-FFF2-40B4-BE49-F238E27FC236}">
                <a16:creationId xmlns:a16="http://schemas.microsoft.com/office/drawing/2014/main" id="{00000000-0008-0000-0500-0000886C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1001" name="Obdélník 18">
            <a:extLst>
              <a:ext uri="{FF2B5EF4-FFF2-40B4-BE49-F238E27FC236}">
                <a16:creationId xmlns:a16="http://schemas.microsoft.com/office/drawing/2014/main" id="{00000000-0008-0000-0500-0000896C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562350"/>
            <a:ext cx="85726" cy="51435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1002" name="Volný tvar 20">
            <a:extLst>
              <a:ext uri="{FF2B5EF4-FFF2-40B4-BE49-F238E27FC236}">
                <a16:creationId xmlns:a16="http://schemas.microsoft.com/office/drawing/2014/main" id="{00000000-0008-0000-0500-00008A6C06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20999" name="Obrázek 7">
          <a:extLst>
            <a:ext uri="{FF2B5EF4-FFF2-40B4-BE49-F238E27FC236}">
              <a16:creationId xmlns:a16="http://schemas.microsoft.com/office/drawing/2014/main" id="{00000000-0008-0000-0500-0000876C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4</xdr:row>
      <xdr:rowOff>91440</xdr:rowOff>
    </xdr:from>
    <xdr:to>
      <xdr:col>23</xdr:col>
      <xdr:colOff>137160</xdr:colOff>
      <xdr:row>14</xdr:row>
      <xdr:rowOff>22860</xdr:rowOff>
    </xdr:to>
    <xdr:grpSp>
      <xdr:nvGrpSpPr>
        <xdr:cNvPr id="426088" name="Skupina 21">
          <a:extLst>
            <a:ext uri="{FF2B5EF4-FFF2-40B4-BE49-F238E27FC236}">
              <a16:creationId xmlns:a16="http://schemas.microsoft.com/office/drawing/2014/main" id="{00000000-0008-0000-0600-000068800600}"/>
            </a:ext>
          </a:extLst>
        </xdr:cNvPr>
        <xdr:cNvGrpSpPr>
          <a:grpSpLocks noChangeAspect="1"/>
        </xdr:cNvGrpSpPr>
      </xdr:nvGrpSpPr>
      <xdr:grpSpPr bwMode="auto">
        <a:xfrm>
          <a:off x="3714951" y="993808"/>
          <a:ext cx="2337735" cy="1736157"/>
          <a:chOff x="1771649" y="3377086"/>
          <a:chExt cx="976394" cy="740669"/>
        </a:xfrm>
      </xdr:grpSpPr>
      <xdr:sp macro="" textlink="">
        <xdr:nvSpPr>
          <xdr:cNvPr id="426091" name="Obdélník 19">
            <a:extLst>
              <a:ext uri="{FF2B5EF4-FFF2-40B4-BE49-F238E27FC236}">
                <a16:creationId xmlns:a16="http://schemas.microsoft.com/office/drawing/2014/main" id="{00000000-0008-0000-0600-00006B80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07867"/>
            <a:ext cx="771525" cy="39263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6092" name="Obdélník 18">
            <a:extLst>
              <a:ext uri="{FF2B5EF4-FFF2-40B4-BE49-F238E27FC236}">
                <a16:creationId xmlns:a16="http://schemas.microsoft.com/office/drawing/2014/main" id="{00000000-0008-0000-0600-00006C80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6093" name="Volný tvar 20">
            <a:extLst>
              <a:ext uri="{FF2B5EF4-FFF2-40B4-BE49-F238E27FC236}">
                <a16:creationId xmlns:a16="http://schemas.microsoft.com/office/drawing/2014/main" id="{00000000-0008-0000-0600-00006D8006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26089" name="Picture 24">
          <a:extLst>
            <a:ext uri="{FF2B5EF4-FFF2-40B4-BE49-F238E27FC236}">
              <a16:creationId xmlns:a16="http://schemas.microsoft.com/office/drawing/2014/main" id="{00000000-0008-0000-0600-00006980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26090" name="Obrázek 7">
          <a:extLst>
            <a:ext uri="{FF2B5EF4-FFF2-40B4-BE49-F238E27FC236}">
              <a16:creationId xmlns:a16="http://schemas.microsoft.com/office/drawing/2014/main" id="{00000000-0008-0000-0600-00006A80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27096" name="Picture 24">
          <a:extLst>
            <a:ext uri="{FF2B5EF4-FFF2-40B4-BE49-F238E27FC236}">
              <a16:creationId xmlns:a16="http://schemas.microsoft.com/office/drawing/2014/main" id="{00000000-0008-0000-0700-00005884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205740</xdr:colOff>
      <xdr:row>4</xdr:row>
      <xdr:rowOff>76200</xdr:rowOff>
    </xdr:from>
    <xdr:to>
      <xdr:col>23</xdr:col>
      <xdr:colOff>137160</xdr:colOff>
      <xdr:row>14</xdr:row>
      <xdr:rowOff>7620</xdr:rowOff>
    </xdr:to>
    <xdr:grpSp>
      <xdr:nvGrpSpPr>
        <xdr:cNvPr id="427097" name="Skupina 21">
          <a:extLst>
            <a:ext uri="{FF2B5EF4-FFF2-40B4-BE49-F238E27FC236}">
              <a16:creationId xmlns:a16="http://schemas.microsoft.com/office/drawing/2014/main" id="{00000000-0008-0000-0700-000059840600}"/>
            </a:ext>
          </a:extLst>
        </xdr:cNvPr>
        <xdr:cNvGrpSpPr>
          <a:grpSpLocks noChangeAspect="1"/>
        </xdr:cNvGrpSpPr>
      </xdr:nvGrpSpPr>
      <xdr:grpSpPr bwMode="auto">
        <a:xfrm>
          <a:off x="3714951" y="978568"/>
          <a:ext cx="2337735" cy="1736157"/>
          <a:chOff x="1771649" y="3377086"/>
          <a:chExt cx="976394" cy="740669"/>
        </a:xfrm>
      </xdr:grpSpPr>
      <xdr:sp macro="" textlink="">
        <xdr:nvSpPr>
          <xdr:cNvPr id="427099" name="Obdélník 19">
            <a:extLst>
              <a:ext uri="{FF2B5EF4-FFF2-40B4-BE49-F238E27FC236}">
                <a16:creationId xmlns:a16="http://schemas.microsoft.com/office/drawing/2014/main" id="{00000000-0008-0000-0700-00005B84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7100" name="Obdélník 18">
            <a:extLst>
              <a:ext uri="{FF2B5EF4-FFF2-40B4-BE49-F238E27FC236}">
                <a16:creationId xmlns:a16="http://schemas.microsoft.com/office/drawing/2014/main" id="{00000000-0008-0000-0700-00005C84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27101" name="Volný tvar 20">
            <a:extLst>
              <a:ext uri="{FF2B5EF4-FFF2-40B4-BE49-F238E27FC236}">
                <a16:creationId xmlns:a16="http://schemas.microsoft.com/office/drawing/2014/main" id="{00000000-0008-0000-0700-00005D8406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27098" name="Obrázek 7">
          <a:extLst>
            <a:ext uri="{FF2B5EF4-FFF2-40B4-BE49-F238E27FC236}">
              <a16:creationId xmlns:a16="http://schemas.microsoft.com/office/drawing/2014/main" id="{00000000-0008-0000-0700-00005A84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4</xdr:row>
      <xdr:rowOff>53340</xdr:rowOff>
    </xdr:from>
    <xdr:to>
      <xdr:col>23</xdr:col>
      <xdr:colOff>137160</xdr:colOff>
      <xdr:row>14</xdr:row>
      <xdr:rowOff>144780</xdr:rowOff>
    </xdr:to>
    <xdr:grpSp>
      <xdr:nvGrpSpPr>
        <xdr:cNvPr id="433186" name="Skupina 21">
          <a:extLst>
            <a:ext uri="{FF2B5EF4-FFF2-40B4-BE49-F238E27FC236}">
              <a16:creationId xmlns:a16="http://schemas.microsoft.com/office/drawing/2014/main" id="{00000000-0008-0000-0800-0000229C0600}"/>
            </a:ext>
          </a:extLst>
        </xdr:cNvPr>
        <xdr:cNvGrpSpPr>
          <a:grpSpLocks noChangeAspect="1"/>
        </xdr:cNvGrpSpPr>
      </xdr:nvGrpSpPr>
      <xdr:grpSpPr bwMode="auto">
        <a:xfrm>
          <a:off x="3714951" y="955708"/>
          <a:ext cx="2337735" cy="1896177"/>
          <a:chOff x="1771649" y="3363707"/>
          <a:chExt cx="976394" cy="806059"/>
        </a:xfrm>
      </xdr:grpSpPr>
      <xdr:sp macro="" textlink="">
        <xdr:nvSpPr>
          <xdr:cNvPr id="433189" name="Obdélník 19">
            <a:extLst>
              <a:ext uri="{FF2B5EF4-FFF2-40B4-BE49-F238E27FC236}">
                <a16:creationId xmlns:a16="http://schemas.microsoft.com/office/drawing/2014/main" id="{00000000-0008-0000-0800-0000259C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387119"/>
            <a:ext cx="771525" cy="745855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3190" name="Obdélník 18">
            <a:extLst>
              <a:ext uri="{FF2B5EF4-FFF2-40B4-BE49-F238E27FC236}">
                <a16:creationId xmlns:a16="http://schemas.microsoft.com/office/drawing/2014/main" id="{00000000-0008-0000-0800-0000269C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68347"/>
            <a:ext cx="85726" cy="795603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3191" name="Volný tvar 20">
            <a:extLst>
              <a:ext uri="{FF2B5EF4-FFF2-40B4-BE49-F238E27FC236}">
                <a16:creationId xmlns:a16="http://schemas.microsoft.com/office/drawing/2014/main" id="{00000000-0008-0000-0800-0000279C0600}"/>
              </a:ext>
            </a:extLst>
          </xdr:cNvPr>
          <xdr:cNvSpPr>
            <a:spLocks/>
          </xdr:cNvSpPr>
        </xdr:nvSpPr>
        <xdr:spPr bwMode="auto">
          <a:xfrm>
            <a:off x="2457450" y="3363707"/>
            <a:ext cx="290593" cy="806059"/>
          </a:xfrm>
          <a:custGeom>
            <a:avLst/>
            <a:gdLst>
              <a:gd name="T0" fmla="*/ 76200 w 290593"/>
              <a:gd name="T1" fmla="*/ 75 h 817667"/>
              <a:gd name="T2" fmla="*/ 76200 w 290593"/>
              <a:gd name="T3" fmla="*/ 75 h 817667"/>
              <a:gd name="T4" fmla="*/ 95250 w 290593"/>
              <a:gd name="T5" fmla="*/ 737 h 817667"/>
              <a:gd name="T6" fmla="*/ 38100 w 290593"/>
              <a:gd name="T7" fmla="*/ 832 h 817667"/>
              <a:gd name="T8" fmla="*/ 85725 w 290593"/>
              <a:gd name="T9" fmla="*/ 1069 h 817667"/>
              <a:gd name="T10" fmla="*/ 65211 w 290593"/>
              <a:gd name="T11" fmla="*/ 1454 h 817667"/>
              <a:gd name="T12" fmla="*/ 28575 w 290593"/>
              <a:gd name="T13" fmla="*/ 1925 h 817667"/>
              <a:gd name="T14" fmla="*/ 28575 w 290593"/>
              <a:gd name="T15" fmla="*/ 2447 h 817667"/>
              <a:gd name="T16" fmla="*/ 47625 w 290593"/>
              <a:gd name="T17" fmla="*/ 2591 h 817667"/>
              <a:gd name="T18" fmla="*/ 38100 w 290593"/>
              <a:gd name="T19" fmla="*/ 2875 h 817667"/>
              <a:gd name="T20" fmla="*/ 9525 w 290593"/>
              <a:gd name="T21" fmla="*/ 2921 h 817667"/>
              <a:gd name="T22" fmla="*/ 0 w 290593"/>
              <a:gd name="T23" fmla="*/ 3066 h 817667"/>
              <a:gd name="T24" fmla="*/ 19050 w 290593"/>
              <a:gd name="T25" fmla="*/ 3349 h 817667"/>
              <a:gd name="T26" fmla="*/ 57150 w 290593"/>
              <a:gd name="T27" fmla="*/ 3634 h 817667"/>
              <a:gd name="T28" fmla="*/ 57150 w 290593"/>
              <a:gd name="T29" fmla="*/ 4062 h 817667"/>
              <a:gd name="T30" fmla="*/ 266700 w 290593"/>
              <a:gd name="T31" fmla="*/ 3871 h 817667"/>
              <a:gd name="T32" fmla="*/ 266700 w 290593"/>
              <a:gd name="T33" fmla="*/ 2542 h 817667"/>
              <a:gd name="T34" fmla="*/ 285750 w 290593"/>
              <a:gd name="T35" fmla="*/ 216 h 817667"/>
              <a:gd name="T36" fmla="*/ 76200 w 290593"/>
              <a:gd name="T37" fmla="*/ 75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33187" name="Picture 24">
          <a:extLst>
            <a:ext uri="{FF2B5EF4-FFF2-40B4-BE49-F238E27FC236}">
              <a16:creationId xmlns:a16="http://schemas.microsoft.com/office/drawing/2014/main" id="{00000000-0008-0000-0800-0000239C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33188" name="Obrázek 7">
          <a:extLst>
            <a:ext uri="{FF2B5EF4-FFF2-40B4-BE49-F238E27FC236}">
              <a16:creationId xmlns:a16="http://schemas.microsoft.com/office/drawing/2014/main" id="{00000000-0008-0000-0800-0000249C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11920" name="Picture 24">
          <a:extLst>
            <a:ext uri="{FF2B5EF4-FFF2-40B4-BE49-F238E27FC236}">
              <a16:creationId xmlns:a16="http://schemas.microsoft.com/office/drawing/2014/main" id="{00000000-0008-0000-0900-0000104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205740</xdr:colOff>
      <xdr:row>4</xdr:row>
      <xdr:rowOff>91440</xdr:rowOff>
    </xdr:from>
    <xdr:to>
      <xdr:col>23</xdr:col>
      <xdr:colOff>137160</xdr:colOff>
      <xdr:row>14</xdr:row>
      <xdr:rowOff>22860</xdr:rowOff>
    </xdr:to>
    <xdr:grpSp>
      <xdr:nvGrpSpPr>
        <xdr:cNvPr id="411921" name="Skupina 1">
          <a:extLst>
            <a:ext uri="{FF2B5EF4-FFF2-40B4-BE49-F238E27FC236}">
              <a16:creationId xmlns:a16="http://schemas.microsoft.com/office/drawing/2014/main" id="{00000000-0008-0000-0900-000011490600}"/>
            </a:ext>
          </a:extLst>
        </xdr:cNvPr>
        <xdr:cNvGrpSpPr>
          <a:grpSpLocks/>
        </xdr:cNvGrpSpPr>
      </xdr:nvGrpSpPr>
      <xdr:grpSpPr bwMode="auto">
        <a:xfrm>
          <a:off x="3714951" y="993808"/>
          <a:ext cx="2337735" cy="1736157"/>
          <a:chOff x="3368842" y="986589"/>
          <a:chExt cx="2097104" cy="1776257"/>
        </a:xfrm>
      </xdr:grpSpPr>
      <xdr:sp macro="" textlink="">
        <xdr:nvSpPr>
          <xdr:cNvPr id="411923" name="Obdélník 19">
            <a:extLst>
              <a:ext uri="{FF2B5EF4-FFF2-40B4-BE49-F238E27FC236}">
                <a16:creationId xmlns:a16="http://schemas.microsoft.com/office/drawing/2014/main" id="{00000000-0008-0000-0900-00001349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1924" name="Obdélník 19">
            <a:extLst>
              <a:ext uri="{FF2B5EF4-FFF2-40B4-BE49-F238E27FC236}">
                <a16:creationId xmlns:a16="http://schemas.microsoft.com/office/drawing/2014/main" id="{00000000-0008-0000-0900-00001449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1925" name="Obdélník 18">
            <a:extLst>
              <a:ext uri="{FF2B5EF4-FFF2-40B4-BE49-F238E27FC236}">
                <a16:creationId xmlns:a16="http://schemas.microsoft.com/office/drawing/2014/main" id="{00000000-0008-0000-0900-000015490600}"/>
              </a:ext>
            </a:extLst>
          </xdr:cNvPr>
          <xdr:cNvSpPr>
            <a:spLocks noChangeArrowheads="1"/>
          </xdr:cNvSpPr>
        </xdr:nvSpPr>
        <xdr:spPr bwMode="auto">
          <a:xfrm>
            <a:off x="3368842" y="989697"/>
            <a:ext cx="184123" cy="166679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1926" name="Volný tvar 20">
            <a:extLst>
              <a:ext uri="{FF2B5EF4-FFF2-40B4-BE49-F238E27FC236}">
                <a16:creationId xmlns:a16="http://schemas.microsoft.com/office/drawing/2014/main" id="{00000000-0008-0000-0900-00001649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11922" name="Obrázek 8">
          <a:extLst>
            <a:ext uri="{FF2B5EF4-FFF2-40B4-BE49-F238E27FC236}">
              <a16:creationId xmlns:a16="http://schemas.microsoft.com/office/drawing/2014/main" id="{00000000-0008-0000-0900-0000124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160020</xdr:rowOff>
    </xdr:from>
    <xdr:to>
      <xdr:col>23</xdr:col>
      <xdr:colOff>76200</xdr:colOff>
      <xdr:row>14</xdr:row>
      <xdr:rowOff>7620</xdr:rowOff>
    </xdr:to>
    <xdr:grpSp>
      <xdr:nvGrpSpPr>
        <xdr:cNvPr id="396067" name="Skupina 102">
          <a:extLst>
            <a:ext uri="{FF2B5EF4-FFF2-40B4-BE49-F238E27FC236}">
              <a16:creationId xmlns:a16="http://schemas.microsoft.com/office/drawing/2014/main" id="{00000000-0008-0000-0A00-0000230B0600}"/>
            </a:ext>
          </a:extLst>
        </xdr:cNvPr>
        <xdr:cNvGrpSpPr>
          <a:grpSpLocks noChangeAspect="1"/>
        </xdr:cNvGrpSpPr>
      </xdr:nvGrpSpPr>
      <xdr:grpSpPr bwMode="auto">
        <a:xfrm>
          <a:off x="3749842" y="1062388"/>
          <a:ext cx="2241884" cy="1652337"/>
          <a:chOff x="1800224" y="3409923"/>
          <a:chExt cx="947819" cy="707831"/>
        </a:xfrm>
      </xdr:grpSpPr>
      <xdr:sp macro="" textlink="">
        <xdr:nvSpPr>
          <xdr:cNvPr id="396076" name="Obdélník 103">
            <a:extLst>
              <a:ext uri="{FF2B5EF4-FFF2-40B4-BE49-F238E27FC236}">
                <a16:creationId xmlns:a16="http://schemas.microsoft.com/office/drawing/2014/main" id="{00000000-0008-0000-0A00-00002C0B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6077" name="Obdélník 104">
            <a:extLst>
              <a:ext uri="{FF2B5EF4-FFF2-40B4-BE49-F238E27FC236}">
                <a16:creationId xmlns:a16="http://schemas.microsoft.com/office/drawing/2014/main" id="{00000000-0008-0000-0A00-00002D0B06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6078" name="Volný tvar 105">
            <a:extLst>
              <a:ext uri="{FF2B5EF4-FFF2-40B4-BE49-F238E27FC236}">
                <a16:creationId xmlns:a16="http://schemas.microsoft.com/office/drawing/2014/main" id="{00000000-0008-0000-0A00-00002E0B0600}"/>
              </a:ext>
            </a:extLst>
          </xdr:cNvPr>
          <xdr:cNvSpPr>
            <a:spLocks/>
          </xdr:cNvSpPr>
        </xdr:nvSpPr>
        <xdr:spPr bwMode="auto">
          <a:xfrm>
            <a:off x="2457450" y="3409923"/>
            <a:ext cx="290593" cy="707831"/>
          </a:xfrm>
          <a:custGeom>
            <a:avLst/>
            <a:gdLst>
              <a:gd name="T0" fmla="*/ 177463 w 290593"/>
              <a:gd name="T1" fmla="*/ 34953 h 707831"/>
              <a:gd name="T2" fmla="*/ 95250 w 290593"/>
              <a:gd name="T3" fmla="*/ 38127 h 707831"/>
              <a:gd name="T4" fmla="*/ 38100 w 290593"/>
              <a:gd name="T5" fmla="*/ 57177 h 707831"/>
              <a:gd name="T6" fmla="*/ 85725 w 290593"/>
              <a:gd name="T7" fmla="*/ 104802 h 707831"/>
              <a:gd name="T8" fmla="*/ 57150 w 290593"/>
              <a:gd name="T9" fmla="*/ 266727 h 707831"/>
              <a:gd name="T10" fmla="*/ 28575 w 290593"/>
              <a:gd name="T11" fmla="*/ 276252 h 707831"/>
              <a:gd name="T12" fmla="*/ 28575 w 290593"/>
              <a:gd name="T13" fmla="*/ 381027 h 707831"/>
              <a:gd name="T14" fmla="*/ 47625 w 290593"/>
              <a:gd name="T15" fmla="*/ 409602 h 707831"/>
              <a:gd name="T16" fmla="*/ 38100 w 290593"/>
              <a:gd name="T17" fmla="*/ 466752 h 707831"/>
              <a:gd name="T18" fmla="*/ 9525 w 290593"/>
              <a:gd name="T19" fmla="*/ 476277 h 707831"/>
              <a:gd name="T20" fmla="*/ 0 w 290593"/>
              <a:gd name="T21" fmla="*/ 504852 h 707831"/>
              <a:gd name="T22" fmla="*/ 19050 w 290593"/>
              <a:gd name="T23" fmla="*/ 562002 h 707831"/>
              <a:gd name="T24" fmla="*/ 57150 w 290593"/>
              <a:gd name="T25" fmla="*/ 619152 h 707831"/>
              <a:gd name="T26" fmla="*/ 57150 w 290593"/>
              <a:gd name="T27" fmla="*/ 704877 h 707831"/>
              <a:gd name="T28" fmla="*/ 266700 w 290593"/>
              <a:gd name="T29" fmla="*/ 666777 h 707831"/>
              <a:gd name="T30" fmla="*/ 266700 w 290593"/>
              <a:gd name="T31" fmla="*/ 400077 h 707831"/>
              <a:gd name="T32" fmla="*/ 277649 w 290593"/>
              <a:gd name="T33" fmla="*/ 43188 h 707831"/>
              <a:gd name="T34" fmla="*/ 177463 w 290593"/>
              <a:gd name="T35" fmla="*/ 34953 h 707831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290593"/>
              <a:gd name="T55" fmla="*/ 0 h 707831"/>
              <a:gd name="T56" fmla="*/ 290593 w 290593"/>
              <a:gd name="T57" fmla="*/ 707831 h 707831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290593" h="707831">
                <a:moveTo>
                  <a:pt x="177463" y="34953"/>
                </a:moveTo>
                <a:lnTo>
                  <a:pt x="95250" y="38127"/>
                </a:lnTo>
                <a:cubicBezTo>
                  <a:pt x="82027" y="53239"/>
                  <a:pt x="38100" y="57177"/>
                  <a:pt x="38100" y="57177"/>
                </a:cubicBezTo>
                <a:cubicBezTo>
                  <a:pt x="52096" y="66508"/>
                  <a:pt x="84429" y="82771"/>
                  <a:pt x="85725" y="104802"/>
                </a:cubicBezTo>
                <a:cubicBezTo>
                  <a:pt x="86693" y="121255"/>
                  <a:pt x="98014" y="234036"/>
                  <a:pt x="57150" y="266727"/>
                </a:cubicBezTo>
                <a:cubicBezTo>
                  <a:pt x="49310" y="272999"/>
                  <a:pt x="38100" y="273077"/>
                  <a:pt x="28575" y="276252"/>
                </a:cubicBezTo>
                <a:cubicBezTo>
                  <a:pt x="13701" y="320873"/>
                  <a:pt x="10804" y="315866"/>
                  <a:pt x="28575" y="381027"/>
                </a:cubicBezTo>
                <a:cubicBezTo>
                  <a:pt x="31587" y="392071"/>
                  <a:pt x="41275" y="400077"/>
                  <a:pt x="47625" y="409602"/>
                </a:cubicBezTo>
                <a:cubicBezTo>
                  <a:pt x="44450" y="428652"/>
                  <a:pt x="47682" y="449984"/>
                  <a:pt x="38100" y="466752"/>
                </a:cubicBezTo>
                <a:cubicBezTo>
                  <a:pt x="33119" y="475469"/>
                  <a:pt x="16625" y="469177"/>
                  <a:pt x="9525" y="476277"/>
                </a:cubicBezTo>
                <a:cubicBezTo>
                  <a:pt x="2425" y="483377"/>
                  <a:pt x="3175" y="495327"/>
                  <a:pt x="0" y="504852"/>
                </a:cubicBezTo>
                <a:cubicBezTo>
                  <a:pt x="6350" y="523902"/>
                  <a:pt x="7911" y="545294"/>
                  <a:pt x="19050" y="562002"/>
                </a:cubicBezTo>
                <a:lnTo>
                  <a:pt x="57150" y="619152"/>
                </a:lnTo>
                <a:cubicBezTo>
                  <a:pt x="51516" y="636053"/>
                  <a:pt x="26742" y="695521"/>
                  <a:pt x="57150" y="704877"/>
                </a:cubicBezTo>
                <a:cubicBezTo>
                  <a:pt x="66751" y="707831"/>
                  <a:pt x="248114" y="670494"/>
                  <a:pt x="266700" y="666777"/>
                </a:cubicBezTo>
                <a:cubicBezTo>
                  <a:pt x="290593" y="523418"/>
                  <a:pt x="266700" y="691332"/>
                  <a:pt x="266700" y="400077"/>
                </a:cubicBezTo>
                <a:cubicBezTo>
                  <a:pt x="266700" y="173325"/>
                  <a:pt x="264532" y="226829"/>
                  <a:pt x="277649" y="43188"/>
                </a:cubicBezTo>
                <a:cubicBezTo>
                  <a:pt x="191272" y="0"/>
                  <a:pt x="212388" y="39716"/>
                  <a:pt x="177463" y="3495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396068" name="Picture 24">
          <a:extLst>
            <a:ext uri="{FF2B5EF4-FFF2-40B4-BE49-F238E27FC236}">
              <a16:creationId xmlns:a16="http://schemas.microsoft.com/office/drawing/2014/main" id="{00000000-0008-0000-0A00-0000240B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396069" name="Picture 11">
          <a:extLst>
            <a:ext uri="{FF2B5EF4-FFF2-40B4-BE49-F238E27FC236}">
              <a16:creationId xmlns:a16="http://schemas.microsoft.com/office/drawing/2014/main" id="{00000000-0008-0000-0A00-0000250B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205740</xdr:colOff>
      <xdr:row>69</xdr:row>
      <xdr:rowOff>160020</xdr:rowOff>
    </xdr:from>
    <xdr:to>
      <xdr:col>23</xdr:col>
      <xdr:colOff>68580</xdr:colOff>
      <xdr:row>79</xdr:row>
      <xdr:rowOff>7620</xdr:rowOff>
    </xdr:to>
    <xdr:grpSp>
      <xdr:nvGrpSpPr>
        <xdr:cNvPr id="396070" name="Skupina 102">
          <a:extLst>
            <a:ext uri="{FF2B5EF4-FFF2-40B4-BE49-F238E27FC236}">
              <a16:creationId xmlns:a16="http://schemas.microsoft.com/office/drawing/2014/main" id="{00000000-0008-0000-0A00-0000260B0600}"/>
            </a:ext>
          </a:extLst>
        </xdr:cNvPr>
        <xdr:cNvGrpSpPr>
          <a:grpSpLocks noChangeAspect="1"/>
        </xdr:cNvGrpSpPr>
      </xdr:nvGrpSpPr>
      <xdr:grpSpPr bwMode="auto">
        <a:xfrm>
          <a:off x="3714951" y="12973652"/>
          <a:ext cx="2269155" cy="1652336"/>
          <a:chOff x="1800224" y="3409923"/>
          <a:chExt cx="947819" cy="707831"/>
        </a:xfrm>
      </xdr:grpSpPr>
      <xdr:sp macro="" textlink="">
        <xdr:nvSpPr>
          <xdr:cNvPr id="396073" name="Obdélník 103">
            <a:extLst>
              <a:ext uri="{FF2B5EF4-FFF2-40B4-BE49-F238E27FC236}">
                <a16:creationId xmlns:a16="http://schemas.microsoft.com/office/drawing/2014/main" id="{00000000-0008-0000-0A00-0000290B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6074" name="Obdélník 104">
            <a:extLst>
              <a:ext uri="{FF2B5EF4-FFF2-40B4-BE49-F238E27FC236}">
                <a16:creationId xmlns:a16="http://schemas.microsoft.com/office/drawing/2014/main" id="{00000000-0008-0000-0A00-00002A0B06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6075" name="Volný tvar 105">
            <a:extLst>
              <a:ext uri="{FF2B5EF4-FFF2-40B4-BE49-F238E27FC236}">
                <a16:creationId xmlns:a16="http://schemas.microsoft.com/office/drawing/2014/main" id="{00000000-0008-0000-0A00-00002B0B0600}"/>
              </a:ext>
            </a:extLst>
          </xdr:cNvPr>
          <xdr:cNvSpPr>
            <a:spLocks/>
          </xdr:cNvSpPr>
        </xdr:nvSpPr>
        <xdr:spPr bwMode="auto">
          <a:xfrm>
            <a:off x="2457450" y="3409923"/>
            <a:ext cx="290593" cy="707831"/>
          </a:xfrm>
          <a:custGeom>
            <a:avLst/>
            <a:gdLst>
              <a:gd name="T0" fmla="*/ 177463 w 290593"/>
              <a:gd name="T1" fmla="*/ 34953 h 707831"/>
              <a:gd name="T2" fmla="*/ 95250 w 290593"/>
              <a:gd name="T3" fmla="*/ 38127 h 707831"/>
              <a:gd name="T4" fmla="*/ 38100 w 290593"/>
              <a:gd name="T5" fmla="*/ 57177 h 707831"/>
              <a:gd name="T6" fmla="*/ 85725 w 290593"/>
              <a:gd name="T7" fmla="*/ 104802 h 707831"/>
              <a:gd name="T8" fmla="*/ 57150 w 290593"/>
              <a:gd name="T9" fmla="*/ 266727 h 707831"/>
              <a:gd name="T10" fmla="*/ 28575 w 290593"/>
              <a:gd name="T11" fmla="*/ 276252 h 707831"/>
              <a:gd name="T12" fmla="*/ 28575 w 290593"/>
              <a:gd name="T13" fmla="*/ 381027 h 707831"/>
              <a:gd name="T14" fmla="*/ 47625 w 290593"/>
              <a:gd name="T15" fmla="*/ 409602 h 707831"/>
              <a:gd name="T16" fmla="*/ 38100 w 290593"/>
              <a:gd name="T17" fmla="*/ 466752 h 707831"/>
              <a:gd name="T18" fmla="*/ 9525 w 290593"/>
              <a:gd name="T19" fmla="*/ 476277 h 707831"/>
              <a:gd name="T20" fmla="*/ 0 w 290593"/>
              <a:gd name="T21" fmla="*/ 504852 h 707831"/>
              <a:gd name="T22" fmla="*/ 19050 w 290593"/>
              <a:gd name="T23" fmla="*/ 562002 h 707831"/>
              <a:gd name="T24" fmla="*/ 57150 w 290593"/>
              <a:gd name="T25" fmla="*/ 619152 h 707831"/>
              <a:gd name="T26" fmla="*/ 57150 w 290593"/>
              <a:gd name="T27" fmla="*/ 704877 h 707831"/>
              <a:gd name="T28" fmla="*/ 266700 w 290593"/>
              <a:gd name="T29" fmla="*/ 666777 h 707831"/>
              <a:gd name="T30" fmla="*/ 266700 w 290593"/>
              <a:gd name="T31" fmla="*/ 400077 h 707831"/>
              <a:gd name="T32" fmla="*/ 277649 w 290593"/>
              <a:gd name="T33" fmla="*/ 43188 h 707831"/>
              <a:gd name="T34" fmla="*/ 177463 w 290593"/>
              <a:gd name="T35" fmla="*/ 34953 h 707831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290593"/>
              <a:gd name="T55" fmla="*/ 0 h 707831"/>
              <a:gd name="T56" fmla="*/ 290593 w 290593"/>
              <a:gd name="T57" fmla="*/ 707831 h 707831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290593" h="707831">
                <a:moveTo>
                  <a:pt x="177463" y="34953"/>
                </a:moveTo>
                <a:lnTo>
                  <a:pt x="95250" y="38127"/>
                </a:lnTo>
                <a:cubicBezTo>
                  <a:pt x="82027" y="53239"/>
                  <a:pt x="38100" y="57177"/>
                  <a:pt x="38100" y="57177"/>
                </a:cubicBezTo>
                <a:cubicBezTo>
                  <a:pt x="52096" y="66508"/>
                  <a:pt x="84429" y="82771"/>
                  <a:pt x="85725" y="104802"/>
                </a:cubicBezTo>
                <a:cubicBezTo>
                  <a:pt x="86693" y="121255"/>
                  <a:pt x="98014" y="234036"/>
                  <a:pt x="57150" y="266727"/>
                </a:cubicBezTo>
                <a:cubicBezTo>
                  <a:pt x="49310" y="272999"/>
                  <a:pt x="38100" y="273077"/>
                  <a:pt x="28575" y="276252"/>
                </a:cubicBezTo>
                <a:cubicBezTo>
                  <a:pt x="13701" y="320873"/>
                  <a:pt x="10804" y="315866"/>
                  <a:pt x="28575" y="381027"/>
                </a:cubicBezTo>
                <a:cubicBezTo>
                  <a:pt x="31587" y="392071"/>
                  <a:pt x="41275" y="400077"/>
                  <a:pt x="47625" y="409602"/>
                </a:cubicBezTo>
                <a:cubicBezTo>
                  <a:pt x="44450" y="428652"/>
                  <a:pt x="47682" y="449984"/>
                  <a:pt x="38100" y="466752"/>
                </a:cubicBezTo>
                <a:cubicBezTo>
                  <a:pt x="33119" y="475469"/>
                  <a:pt x="16625" y="469177"/>
                  <a:pt x="9525" y="476277"/>
                </a:cubicBezTo>
                <a:cubicBezTo>
                  <a:pt x="2425" y="483377"/>
                  <a:pt x="3175" y="495327"/>
                  <a:pt x="0" y="504852"/>
                </a:cubicBezTo>
                <a:cubicBezTo>
                  <a:pt x="6350" y="523902"/>
                  <a:pt x="7911" y="545294"/>
                  <a:pt x="19050" y="562002"/>
                </a:cubicBezTo>
                <a:lnTo>
                  <a:pt x="57150" y="619152"/>
                </a:lnTo>
                <a:cubicBezTo>
                  <a:pt x="51516" y="636053"/>
                  <a:pt x="26742" y="695521"/>
                  <a:pt x="57150" y="704877"/>
                </a:cubicBezTo>
                <a:cubicBezTo>
                  <a:pt x="66751" y="707831"/>
                  <a:pt x="248114" y="670494"/>
                  <a:pt x="266700" y="666777"/>
                </a:cubicBezTo>
                <a:cubicBezTo>
                  <a:pt x="290593" y="523418"/>
                  <a:pt x="266700" y="691332"/>
                  <a:pt x="266700" y="400077"/>
                </a:cubicBezTo>
                <a:cubicBezTo>
                  <a:pt x="266700" y="173325"/>
                  <a:pt x="264532" y="226829"/>
                  <a:pt x="277649" y="43188"/>
                </a:cubicBezTo>
                <a:cubicBezTo>
                  <a:pt x="191272" y="0"/>
                  <a:pt x="212388" y="39716"/>
                  <a:pt x="177463" y="3495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</xdr:col>
      <xdr:colOff>403860</xdr:colOff>
      <xdr:row>85</xdr:row>
      <xdr:rowOff>45720</xdr:rowOff>
    </xdr:from>
    <xdr:to>
      <xdr:col>23</xdr:col>
      <xdr:colOff>129540</xdr:colOff>
      <xdr:row>93</xdr:row>
      <xdr:rowOff>160020</xdr:rowOff>
    </xdr:to>
    <xdr:pic>
      <xdr:nvPicPr>
        <xdr:cNvPr id="396071" name="Obrázek 17">
          <a:extLst>
            <a:ext uri="{FF2B5EF4-FFF2-40B4-BE49-F238E27FC236}">
              <a16:creationId xmlns:a16="http://schemas.microsoft.com/office/drawing/2014/main" id="{00000000-0008-0000-0A00-0000270B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592580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396072" name="Obrázek 13">
          <a:extLst>
            <a:ext uri="{FF2B5EF4-FFF2-40B4-BE49-F238E27FC236}">
              <a16:creationId xmlns:a16="http://schemas.microsoft.com/office/drawing/2014/main" id="{00000000-0008-0000-0A00-0000280B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70</xdr:row>
      <xdr:rowOff>22860</xdr:rowOff>
    </xdr:from>
    <xdr:to>
      <xdr:col>23</xdr:col>
      <xdr:colOff>38100</xdr:colOff>
      <xdr:row>79</xdr:row>
      <xdr:rowOff>7620</xdr:rowOff>
    </xdr:to>
    <xdr:grpSp>
      <xdr:nvGrpSpPr>
        <xdr:cNvPr id="397057" name="Skupina 75">
          <a:extLst>
            <a:ext uri="{FF2B5EF4-FFF2-40B4-BE49-F238E27FC236}">
              <a16:creationId xmlns:a16="http://schemas.microsoft.com/office/drawing/2014/main" id="{00000000-0008-0000-0B00-0000010F0600}"/>
            </a:ext>
          </a:extLst>
        </xdr:cNvPr>
        <xdr:cNvGrpSpPr>
          <a:grpSpLocks noChangeAspect="1"/>
        </xdr:cNvGrpSpPr>
      </xdr:nvGrpSpPr>
      <xdr:grpSpPr bwMode="auto">
        <a:xfrm>
          <a:off x="3714951" y="13016965"/>
          <a:ext cx="2238675" cy="1609023"/>
          <a:chOff x="5794902" y="4533891"/>
          <a:chExt cx="944117" cy="722425"/>
        </a:xfrm>
      </xdr:grpSpPr>
      <xdr:sp macro="" textlink="">
        <xdr:nvSpPr>
          <xdr:cNvPr id="397066" name="Obdélník 56">
            <a:extLst>
              <a:ext uri="{FF2B5EF4-FFF2-40B4-BE49-F238E27FC236}">
                <a16:creationId xmlns:a16="http://schemas.microsoft.com/office/drawing/2014/main" id="{00000000-0008-0000-0B00-00000A0F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717321"/>
            <a:ext cx="771525" cy="4210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7067" name="Obdélník 57">
            <a:extLst>
              <a:ext uri="{FF2B5EF4-FFF2-40B4-BE49-F238E27FC236}">
                <a16:creationId xmlns:a16="http://schemas.microsoft.com/office/drawing/2014/main" id="{00000000-0008-0000-0B00-00000B0F0600}"/>
              </a:ext>
            </a:extLst>
          </xdr:cNvPr>
          <xdr:cNvSpPr>
            <a:spLocks noChangeArrowheads="1"/>
          </xdr:cNvSpPr>
        </xdr:nvSpPr>
        <xdr:spPr bwMode="auto">
          <a:xfrm>
            <a:off x="5794902" y="4558681"/>
            <a:ext cx="53372" cy="656351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7068" name="Volný tvar 58">
            <a:extLst>
              <a:ext uri="{FF2B5EF4-FFF2-40B4-BE49-F238E27FC236}">
                <a16:creationId xmlns:a16="http://schemas.microsoft.com/office/drawing/2014/main" id="{00000000-0008-0000-0B00-00000C0F0600}"/>
              </a:ext>
            </a:extLst>
          </xdr:cNvPr>
          <xdr:cNvSpPr>
            <a:spLocks/>
          </xdr:cNvSpPr>
        </xdr:nvSpPr>
        <xdr:spPr bwMode="auto">
          <a:xfrm>
            <a:off x="6448426" y="4533891"/>
            <a:ext cx="290593" cy="722425"/>
          </a:xfrm>
          <a:custGeom>
            <a:avLst/>
            <a:gdLst>
              <a:gd name="T0" fmla="*/ 76200 w 290593"/>
              <a:gd name="T1" fmla="*/ 1228 h 817667"/>
              <a:gd name="T2" fmla="*/ 76200 w 290593"/>
              <a:gd name="T3" fmla="*/ 1228 h 817667"/>
              <a:gd name="T4" fmla="*/ 95250 w 290593"/>
              <a:gd name="T5" fmla="*/ 12431 h 817667"/>
              <a:gd name="T6" fmla="*/ 38100 w 290593"/>
              <a:gd name="T7" fmla="*/ 14030 h 817667"/>
              <a:gd name="T8" fmla="*/ 85725 w 290593"/>
              <a:gd name="T9" fmla="*/ 18031 h 817667"/>
              <a:gd name="T10" fmla="*/ 57150 w 290593"/>
              <a:gd name="T11" fmla="*/ 31635 h 817667"/>
              <a:gd name="T12" fmla="*/ 28575 w 290593"/>
              <a:gd name="T13" fmla="*/ 32435 h 817667"/>
              <a:gd name="T14" fmla="*/ 28575 w 290593"/>
              <a:gd name="T15" fmla="*/ 41237 h 817667"/>
              <a:gd name="T16" fmla="*/ 47625 w 290593"/>
              <a:gd name="T17" fmla="*/ 43638 h 817667"/>
              <a:gd name="T18" fmla="*/ 38100 w 290593"/>
              <a:gd name="T19" fmla="*/ 48438 h 817667"/>
              <a:gd name="T20" fmla="*/ 9525 w 290593"/>
              <a:gd name="T21" fmla="*/ 49239 h 817667"/>
              <a:gd name="T22" fmla="*/ 0 w 290593"/>
              <a:gd name="T23" fmla="*/ 51639 h 817667"/>
              <a:gd name="T24" fmla="*/ 19050 w 290593"/>
              <a:gd name="T25" fmla="*/ 56440 h 817667"/>
              <a:gd name="T26" fmla="*/ 57150 w 290593"/>
              <a:gd name="T27" fmla="*/ 61241 h 817667"/>
              <a:gd name="T28" fmla="*/ 57150 w 290593"/>
              <a:gd name="T29" fmla="*/ 68444 h 817667"/>
              <a:gd name="T30" fmla="*/ 266700 w 290593"/>
              <a:gd name="T31" fmla="*/ 65243 h 817667"/>
              <a:gd name="T32" fmla="*/ 266700 w 290593"/>
              <a:gd name="T33" fmla="*/ 42837 h 817667"/>
              <a:gd name="T34" fmla="*/ 285750 w 290593"/>
              <a:gd name="T35" fmla="*/ 3628 h 817667"/>
              <a:gd name="T36" fmla="*/ 76200 w 290593"/>
              <a:gd name="T37" fmla="*/ 1228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397058" name="Picture 24">
          <a:extLst>
            <a:ext uri="{FF2B5EF4-FFF2-40B4-BE49-F238E27FC236}">
              <a16:creationId xmlns:a16="http://schemas.microsoft.com/office/drawing/2014/main" id="{00000000-0008-0000-0B00-0000020F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205740</xdr:colOff>
      <xdr:row>3</xdr:row>
      <xdr:rowOff>281940</xdr:rowOff>
    </xdr:from>
    <xdr:to>
      <xdr:col>23</xdr:col>
      <xdr:colOff>38100</xdr:colOff>
      <xdr:row>14</xdr:row>
      <xdr:rowOff>7620</xdr:rowOff>
    </xdr:to>
    <xdr:grpSp>
      <xdr:nvGrpSpPr>
        <xdr:cNvPr id="397059" name="Skupina 75">
          <a:extLst>
            <a:ext uri="{FF2B5EF4-FFF2-40B4-BE49-F238E27FC236}">
              <a16:creationId xmlns:a16="http://schemas.microsoft.com/office/drawing/2014/main" id="{00000000-0008-0000-0B00-0000030F0600}"/>
            </a:ext>
          </a:extLst>
        </xdr:cNvPr>
        <xdr:cNvGrpSpPr>
          <a:grpSpLocks noChangeAspect="1"/>
        </xdr:cNvGrpSpPr>
      </xdr:nvGrpSpPr>
      <xdr:grpSpPr bwMode="auto">
        <a:xfrm>
          <a:off x="3714951" y="893545"/>
          <a:ext cx="2238675" cy="1821180"/>
          <a:chOff x="5794902" y="4438650"/>
          <a:chExt cx="944117" cy="817667"/>
        </a:xfrm>
      </xdr:grpSpPr>
      <xdr:sp macro="" textlink="">
        <xdr:nvSpPr>
          <xdr:cNvPr id="397063" name="Obdélník 56">
            <a:extLst>
              <a:ext uri="{FF2B5EF4-FFF2-40B4-BE49-F238E27FC236}">
                <a16:creationId xmlns:a16="http://schemas.microsoft.com/office/drawing/2014/main" id="{00000000-0008-0000-0B00-0000070F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717321"/>
            <a:ext cx="771525" cy="4210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7064" name="Obdélník 57">
            <a:extLst>
              <a:ext uri="{FF2B5EF4-FFF2-40B4-BE49-F238E27FC236}">
                <a16:creationId xmlns:a16="http://schemas.microsoft.com/office/drawing/2014/main" id="{00000000-0008-0000-0B00-0000080F0600}"/>
              </a:ext>
            </a:extLst>
          </xdr:cNvPr>
          <xdr:cNvSpPr>
            <a:spLocks noChangeArrowheads="1"/>
          </xdr:cNvSpPr>
        </xdr:nvSpPr>
        <xdr:spPr bwMode="auto">
          <a:xfrm>
            <a:off x="5794902" y="4558681"/>
            <a:ext cx="53372" cy="656351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7065" name="Volný tvar 58">
            <a:extLst>
              <a:ext uri="{FF2B5EF4-FFF2-40B4-BE49-F238E27FC236}">
                <a16:creationId xmlns:a16="http://schemas.microsoft.com/office/drawing/2014/main" id="{00000000-0008-0000-0B00-0000090F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397060" name="Picture 11">
          <a:extLst>
            <a:ext uri="{FF2B5EF4-FFF2-40B4-BE49-F238E27FC236}">
              <a16:creationId xmlns:a16="http://schemas.microsoft.com/office/drawing/2014/main" id="{00000000-0008-0000-0B00-0000040F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403860</xdr:colOff>
      <xdr:row>85</xdr:row>
      <xdr:rowOff>45720</xdr:rowOff>
    </xdr:from>
    <xdr:to>
      <xdr:col>23</xdr:col>
      <xdr:colOff>129540</xdr:colOff>
      <xdr:row>93</xdr:row>
      <xdr:rowOff>160020</xdr:rowOff>
    </xdr:to>
    <xdr:pic>
      <xdr:nvPicPr>
        <xdr:cNvPr id="397061" name="Obrázek 17">
          <a:extLst>
            <a:ext uri="{FF2B5EF4-FFF2-40B4-BE49-F238E27FC236}">
              <a16:creationId xmlns:a16="http://schemas.microsoft.com/office/drawing/2014/main" id="{00000000-0008-0000-0B00-0000050F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592580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397062" name="Obrázek 13">
          <a:extLst>
            <a:ext uri="{FF2B5EF4-FFF2-40B4-BE49-F238E27FC236}">
              <a16:creationId xmlns:a16="http://schemas.microsoft.com/office/drawing/2014/main" id="{00000000-0008-0000-0B00-0000060F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03102" name="Picture 24">
          <a:extLst>
            <a:ext uri="{FF2B5EF4-FFF2-40B4-BE49-F238E27FC236}">
              <a16:creationId xmlns:a16="http://schemas.microsoft.com/office/drawing/2014/main" id="{00000000-0008-0000-0C00-00009E2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205740</xdr:colOff>
      <xdr:row>69</xdr:row>
      <xdr:rowOff>0</xdr:rowOff>
    </xdr:from>
    <xdr:to>
      <xdr:col>23</xdr:col>
      <xdr:colOff>38100</xdr:colOff>
      <xdr:row>79</xdr:row>
      <xdr:rowOff>7620</xdr:rowOff>
    </xdr:to>
    <xdr:grpSp>
      <xdr:nvGrpSpPr>
        <xdr:cNvPr id="403103" name="Skupina 75">
          <a:extLst>
            <a:ext uri="{FF2B5EF4-FFF2-40B4-BE49-F238E27FC236}">
              <a16:creationId xmlns:a16="http://schemas.microsoft.com/office/drawing/2014/main" id="{00000000-0008-0000-0C00-00009F260600}"/>
            </a:ext>
          </a:extLst>
        </xdr:cNvPr>
        <xdr:cNvGrpSpPr>
          <a:grpSpLocks noChangeAspect="1"/>
        </xdr:cNvGrpSpPr>
      </xdr:nvGrpSpPr>
      <xdr:grpSpPr bwMode="auto">
        <a:xfrm>
          <a:off x="3714951" y="12813632"/>
          <a:ext cx="2238675" cy="1812356"/>
          <a:chOff x="5794902" y="4438650"/>
          <a:chExt cx="944117" cy="817667"/>
        </a:xfrm>
      </xdr:grpSpPr>
      <xdr:sp macro="" textlink="">
        <xdr:nvSpPr>
          <xdr:cNvPr id="403111" name="Obdélník 56">
            <a:extLst>
              <a:ext uri="{FF2B5EF4-FFF2-40B4-BE49-F238E27FC236}">
                <a16:creationId xmlns:a16="http://schemas.microsoft.com/office/drawing/2014/main" id="{00000000-0008-0000-0C00-0000A726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576221"/>
            <a:ext cx="771525" cy="5621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3112" name="Obdélník 57">
            <a:extLst>
              <a:ext uri="{FF2B5EF4-FFF2-40B4-BE49-F238E27FC236}">
                <a16:creationId xmlns:a16="http://schemas.microsoft.com/office/drawing/2014/main" id="{00000000-0008-0000-0C00-0000A8260600}"/>
              </a:ext>
            </a:extLst>
          </xdr:cNvPr>
          <xdr:cNvSpPr>
            <a:spLocks noChangeArrowheads="1"/>
          </xdr:cNvSpPr>
        </xdr:nvSpPr>
        <xdr:spPr bwMode="auto">
          <a:xfrm>
            <a:off x="5794902" y="4495195"/>
            <a:ext cx="52776" cy="720353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3113" name="Volný tvar 58">
            <a:extLst>
              <a:ext uri="{FF2B5EF4-FFF2-40B4-BE49-F238E27FC236}">
                <a16:creationId xmlns:a16="http://schemas.microsoft.com/office/drawing/2014/main" id="{00000000-0008-0000-0C00-0000A926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403104" name="Picture 11">
          <a:extLst>
            <a:ext uri="{FF2B5EF4-FFF2-40B4-BE49-F238E27FC236}">
              <a16:creationId xmlns:a16="http://schemas.microsoft.com/office/drawing/2014/main" id="{00000000-0008-0000-0C00-0000A026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403860</xdr:colOff>
      <xdr:row>85</xdr:row>
      <xdr:rowOff>45720</xdr:rowOff>
    </xdr:from>
    <xdr:to>
      <xdr:col>23</xdr:col>
      <xdr:colOff>129540</xdr:colOff>
      <xdr:row>93</xdr:row>
      <xdr:rowOff>160020</xdr:rowOff>
    </xdr:to>
    <xdr:pic>
      <xdr:nvPicPr>
        <xdr:cNvPr id="403105" name="Obrázek 17">
          <a:extLst>
            <a:ext uri="{FF2B5EF4-FFF2-40B4-BE49-F238E27FC236}">
              <a16:creationId xmlns:a16="http://schemas.microsoft.com/office/drawing/2014/main" id="{00000000-0008-0000-0C00-0000A12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592580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205740</xdr:colOff>
      <xdr:row>4</xdr:row>
      <xdr:rowOff>0</xdr:rowOff>
    </xdr:from>
    <xdr:to>
      <xdr:col>23</xdr:col>
      <xdr:colOff>38100</xdr:colOff>
      <xdr:row>14</xdr:row>
      <xdr:rowOff>7620</xdr:rowOff>
    </xdr:to>
    <xdr:grpSp>
      <xdr:nvGrpSpPr>
        <xdr:cNvPr id="403106" name="Skupina 75">
          <a:extLst>
            <a:ext uri="{FF2B5EF4-FFF2-40B4-BE49-F238E27FC236}">
              <a16:creationId xmlns:a16="http://schemas.microsoft.com/office/drawing/2014/main" id="{00000000-0008-0000-0C00-0000A2260600}"/>
            </a:ext>
          </a:extLst>
        </xdr:cNvPr>
        <xdr:cNvGrpSpPr>
          <a:grpSpLocks noChangeAspect="1"/>
        </xdr:cNvGrpSpPr>
      </xdr:nvGrpSpPr>
      <xdr:grpSpPr bwMode="auto">
        <a:xfrm>
          <a:off x="3714951" y="902368"/>
          <a:ext cx="2238675" cy="1812357"/>
          <a:chOff x="5794902" y="4438650"/>
          <a:chExt cx="944117" cy="817667"/>
        </a:xfrm>
      </xdr:grpSpPr>
      <xdr:sp macro="" textlink="">
        <xdr:nvSpPr>
          <xdr:cNvPr id="403108" name="Obdélník 56">
            <a:extLst>
              <a:ext uri="{FF2B5EF4-FFF2-40B4-BE49-F238E27FC236}">
                <a16:creationId xmlns:a16="http://schemas.microsoft.com/office/drawing/2014/main" id="{00000000-0008-0000-0C00-0000A426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576221"/>
            <a:ext cx="771525" cy="5621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3109" name="Obdélník 57">
            <a:extLst>
              <a:ext uri="{FF2B5EF4-FFF2-40B4-BE49-F238E27FC236}">
                <a16:creationId xmlns:a16="http://schemas.microsoft.com/office/drawing/2014/main" id="{00000000-0008-0000-0C00-0000A5260600}"/>
              </a:ext>
            </a:extLst>
          </xdr:cNvPr>
          <xdr:cNvSpPr>
            <a:spLocks noChangeArrowheads="1"/>
          </xdr:cNvSpPr>
        </xdr:nvSpPr>
        <xdr:spPr bwMode="auto">
          <a:xfrm>
            <a:off x="5794902" y="4495195"/>
            <a:ext cx="52776" cy="720353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3110" name="Volný tvar 58">
            <a:extLst>
              <a:ext uri="{FF2B5EF4-FFF2-40B4-BE49-F238E27FC236}">
                <a16:creationId xmlns:a16="http://schemas.microsoft.com/office/drawing/2014/main" id="{00000000-0008-0000-0C00-0000A626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03107" name="Obrázek 13">
          <a:extLst>
            <a:ext uri="{FF2B5EF4-FFF2-40B4-BE49-F238E27FC236}">
              <a16:creationId xmlns:a16="http://schemas.microsoft.com/office/drawing/2014/main" id="{00000000-0008-0000-0C00-0000A32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69</xdr:row>
      <xdr:rowOff>99060</xdr:rowOff>
    </xdr:from>
    <xdr:to>
      <xdr:col>23</xdr:col>
      <xdr:colOff>60960</xdr:colOff>
      <xdr:row>79</xdr:row>
      <xdr:rowOff>30480</xdr:rowOff>
    </xdr:to>
    <xdr:grpSp>
      <xdr:nvGrpSpPr>
        <xdr:cNvPr id="413255" name="Skupina 33">
          <a:extLst>
            <a:ext uri="{FF2B5EF4-FFF2-40B4-BE49-F238E27FC236}">
              <a16:creationId xmlns:a16="http://schemas.microsoft.com/office/drawing/2014/main" id="{00000000-0008-0000-0D00-0000474E0600}"/>
            </a:ext>
          </a:extLst>
        </xdr:cNvPr>
        <xdr:cNvGrpSpPr>
          <a:grpSpLocks/>
        </xdr:cNvGrpSpPr>
      </xdr:nvGrpSpPr>
      <xdr:grpSpPr bwMode="auto">
        <a:xfrm>
          <a:off x="3714951" y="12912692"/>
          <a:ext cx="2261535" cy="1736156"/>
          <a:chOff x="3449052" y="986589"/>
          <a:chExt cx="2016894" cy="1776257"/>
        </a:xfrm>
      </xdr:grpSpPr>
      <xdr:sp macro="" textlink="">
        <xdr:nvSpPr>
          <xdr:cNvPr id="413266" name="Obdélník 19">
            <a:extLst>
              <a:ext uri="{FF2B5EF4-FFF2-40B4-BE49-F238E27FC236}">
                <a16:creationId xmlns:a16="http://schemas.microsoft.com/office/drawing/2014/main" id="{00000000-0008-0000-0D00-0000524E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3267" name="Obdélník 19">
            <a:extLst>
              <a:ext uri="{FF2B5EF4-FFF2-40B4-BE49-F238E27FC236}">
                <a16:creationId xmlns:a16="http://schemas.microsoft.com/office/drawing/2014/main" id="{00000000-0008-0000-0D00-0000534E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3268" name="Obdélník 18">
            <a:extLst>
              <a:ext uri="{FF2B5EF4-FFF2-40B4-BE49-F238E27FC236}">
                <a16:creationId xmlns:a16="http://schemas.microsoft.com/office/drawing/2014/main" id="{00000000-0008-0000-0D00-0000544E0600}"/>
              </a:ext>
            </a:extLst>
          </xdr:cNvPr>
          <xdr:cNvSpPr>
            <a:spLocks noChangeArrowheads="1"/>
          </xdr:cNvSpPr>
        </xdr:nvSpPr>
        <xdr:spPr bwMode="auto">
          <a:xfrm>
            <a:off x="3449052" y="989697"/>
            <a:ext cx="111600" cy="166679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3269" name="Volný tvar 20">
            <a:extLst>
              <a:ext uri="{FF2B5EF4-FFF2-40B4-BE49-F238E27FC236}">
                <a16:creationId xmlns:a16="http://schemas.microsoft.com/office/drawing/2014/main" id="{00000000-0008-0000-0D00-0000554E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14</xdr:col>
      <xdr:colOff>0</xdr:colOff>
      <xdr:row>4</xdr:row>
      <xdr:rowOff>129540</xdr:rowOff>
    </xdr:from>
    <xdr:to>
      <xdr:col>23</xdr:col>
      <xdr:colOff>68580</xdr:colOff>
      <xdr:row>14</xdr:row>
      <xdr:rowOff>60960</xdr:rowOff>
    </xdr:to>
    <xdr:grpSp>
      <xdr:nvGrpSpPr>
        <xdr:cNvPr id="413256" name="Skupina 11">
          <a:extLst>
            <a:ext uri="{FF2B5EF4-FFF2-40B4-BE49-F238E27FC236}">
              <a16:creationId xmlns:a16="http://schemas.microsoft.com/office/drawing/2014/main" id="{00000000-0008-0000-0D00-0000484E0600}"/>
            </a:ext>
          </a:extLst>
        </xdr:cNvPr>
        <xdr:cNvGrpSpPr>
          <a:grpSpLocks/>
        </xdr:cNvGrpSpPr>
      </xdr:nvGrpSpPr>
      <xdr:grpSpPr bwMode="auto">
        <a:xfrm>
          <a:off x="3749842" y="1031908"/>
          <a:ext cx="2234264" cy="1736157"/>
          <a:chOff x="3449052" y="986589"/>
          <a:chExt cx="2016894" cy="1776257"/>
        </a:xfrm>
      </xdr:grpSpPr>
      <xdr:sp macro="" textlink="">
        <xdr:nvSpPr>
          <xdr:cNvPr id="413262" name="Obdélník 19">
            <a:extLst>
              <a:ext uri="{FF2B5EF4-FFF2-40B4-BE49-F238E27FC236}">
                <a16:creationId xmlns:a16="http://schemas.microsoft.com/office/drawing/2014/main" id="{00000000-0008-0000-0D00-00004E4E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3263" name="Obdélník 19">
            <a:extLst>
              <a:ext uri="{FF2B5EF4-FFF2-40B4-BE49-F238E27FC236}">
                <a16:creationId xmlns:a16="http://schemas.microsoft.com/office/drawing/2014/main" id="{00000000-0008-0000-0D00-00004F4E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3264" name="Obdélník 18">
            <a:extLst>
              <a:ext uri="{FF2B5EF4-FFF2-40B4-BE49-F238E27FC236}">
                <a16:creationId xmlns:a16="http://schemas.microsoft.com/office/drawing/2014/main" id="{00000000-0008-0000-0D00-0000504E0600}"/>
              </a:ext>
            </a:extLst>
          </xdr:cNvPr>
          <xdr:cNvSpPr>
            <a:spLocks noChangeArrowheads="1"/>
          </xdr:cNvSpPr>
        </xdr:nvSpPr>
        <xdr:spPr bwMode="auto">
          <a:xfrm>
            <a:off x="3449052" y="989697"/>
            <a:ext cx="111600" cy="1666799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3265" name="Volný tvar 20">
            <a:extLst>
              <a:ext uri="{FF2B5EF4-FFF2-40B4-BE49-F238E27FC236}">
                <a16:creationId xmlns:a16="http://schemas.microsoft.com/office/drawing/2014/main" id="{00000000-0008-0000-0D00-0000514E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13257" name="Picture 24">
          <a:extLst>
            <a:ext uri="{FF2B5EF4-FFF2-40B4-BE49-F238E27FC236}">
              <a16:creationId xmlns:a16="http://schemas.microsoft.com/office/drawing/2014/main" id="{00000000-0008-0000-0D00-0000494E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413258" name="Picture 11">
          <a:extLst>
            <a:ext uri="{FF2B5EF4-FFF2-40B4-BE49-F238E27FC236}">
              <a16:creationId xmlns:a16="http://schemas.microsoft.com/office/drawing/2014/main" id="{00000000-0008-0000-0D00-00004A4E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413259" name="Picture 11">
          <a:extLst>
            <a:ext uri="{FF2B5EF4-FFF2-40B4-BE49-F238E27FC236}">
              <a16:creationId xmlns:a16="http://schemas.microsoft.com/office/drawing/2014/main" id="{00000000-0008-0000-0D00-00004B4E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403860</xdr:colOff>
      <xdr:row>85</xdr:row>
      <xdr:rowOff>45720</xdr:rowOff>
    </xdr:from>
    <xdr:to>
      <xdr:col>23</xdr:col>
      <xdr:colOff>129540</xdr:colOff>
      <xdr:row>93</xdr:row>
      <xdr:rowOff>160020</xdr:rowOff>
    </xdr:to>
    <xdr:pic>
      <xdr:nvPicPr>
        <xdr:cNvPr id="413260" name="Obrázek 17">
          <a:extLst>
            <a:ext uri="{FF2B5EF4-FFF2-40B4-BE49-F238E27FC236}">
              <a16:creationId xmlns:a16="http://schemas.microsoft.com/office/drawing/2014/main" id="{00000000-0008-0000-0D00-00004C4E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592580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13261" name="Obrázek 16">
          <a:extLst>
            <a:ext uri="{FF2B5EF4-FFF2-40B4-BE49-F238E27FC236}">
              <a16:creationId xmlns:a16="http://schemas.microsoft.com/office/drawing/2014/main" id="{00000000-0008-0000-0D00-00004D4E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69</xdr:row>
      <xdr:rowOff>0</xdr:rowOff>
    </xdr:from>
    <xdr:to>
      <xdr:col>23</xdr:col>
      <xdr:colOff>38100</xdr:colOff>
      <xdr:row>79</xdr:row>
      <xdr:rowOff>7620</xdr:rowOff>
    </xdr:to>
    <xdr:grpSp>
      <xdr:nvGrpSpPr>
        <xdr:cNvPr id="407155" name="Skupina 75">
          <a:extLst>
            <a:ext uri="{FF2B5EF4-FFF2-40B4-BE49-F238E27FC236}">
              <a16:creationId xmlns:a16="http://schemas.microsoft.com/office/drawing/2014/main" id="{00000000-0008-0000-0E00-000073360600}"/>
            </a:ext>
          </a:extLst>
        </xdr:cNvPr>
        <xdr:cNvGrpSpPr>
          <a:grpSpLocks noChangeAspect="1"/>
        </xdr:cNvGrpSpPr>
      </xdr:nvGrpSpPr>
      <xdr:grpSpPr bwMode="auto">
        <a:xfrm>
          <a:off x="3714951" y="12813632"/>
          <a:ext cx="2238675" cy="1812356"/>
          <a:chOff x="5794902" y="4438650"/>
          <a:chExt cx="944117" cy="817667"/>
        </a:xfrm>
      </xdr:grpSpPr>
      <xdr:sp macro="" textlink="">
        <xdr:nvSpPr>
          <xdr:cNvPr id="407165" name="Obdélník 56">
            <a:extLst>
              <a:ext uri="{FF2B5EF4-FFF2-40B4-BE49-F238E27FC236}">
                <a16:creationId xmlns:a16="http://schemas.microsoft.com/office/drawing/2014/main" id="{00000000-0008-0000-0E00-00007D36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576221"/>
            <a:ext cx="771525" cy="5621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7166" name="Obdélník 57">
            <a:extLst>
              <a:ext uri="{FF2B5EF4-FFF2-40B4-BE49-F238E27FC236}">
                <a16:creationId xmlns:a16="http://schemas.microsoft.com/office/drawing/2014/main" id="{00000000-0008-0000-0E00-00007E360600}"/>
              </a:ext>
            </a:extLst>
          </xdr:cNvPr>
          <xdr:cNvSpPr>
            <a:spLocks noChangeArrowheads="1"/>
          </xdr:cNvSpPr>
        </xdr:nvSpPr>
        <xdr:spPr bwMode="auto">
          <a:xfrm>
            <a:off x="5794902" y="4495195"/>
            <a:ext cx="52776" cy="720353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7167" name="Volný tvar 58">
            <a:extLst>
              <a:ext uri="{FF2B5EF4-FFF2-40B4-BE49-F238E27FC236}">
                <a16:creationId xmlns:a16="http://schemas.microsoft.com/office/drawing/2014/main" id="{00000000-0008-0000-0E00-00007F36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07156" name="Picture 24">
          <a:extLst>
            <a:ext uri="{FF2B5EF4-FFF2-40B4-BE49-F238E27FC236}">
              <a16:creationId xmlns:a16="http://schemas.microsoft.com/office/drawing/2014/main" id="{00000000-0008-0000-0E00-0000743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407157" name="Picture 11">
          <a:extLst>
            <a:ext uri="{FF2B5EF4-FFF2-40B4-BE49-F238E27FC236}">
              <a16:creationId xmlns:a16="http://schemas.microsoft.com/office/drawing/2014/main" id="{00000000-0008-0000-0E00-00007536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205740</xdr:colOff>
      <xdr:row>4</xdr:row>
      <xdr:rowOff>0</xdr:rowOff>
    </xdr:from>
    <xdr:to>
      <xdr:col>23</xdr:col>
      <xdr:colOff>38100</xdr:colOff>
      <xdr:row>14</xdr:row>
      <xdr:rowOff>7620</xdr:rowOff>
    </xdr:to>
    <xdr:grpSp>
      <xdr:nvGrpSpPr>
        <xdr:cNvPr id="407158" name="Skupina 75">
          <a:extLst>
            <a:ext uri="{FF2B5EF4-FFF2-40B4-BE49-F238E27FC236}">
              <a16:creationId xmlns:a16="http://schemas.microsoft.com/office/drawing/2014/main" id="{00000000-0008-0000-0E00-000076360600}"/>
            </a:ext>
          </a:extLst>
        </xdr:cNvPr>
        <xdr:cNvGrpSpPr>
          <a:grpSpLocks noChangeAspect="1"/>
        </xdr:cNvGrpSpPr>
      </xdr:nvGrpSpPr>
      <xdr:grpSpPr bwMode="auto">
        <a:xfrm>
          <a:off x="3714951" y="902368"/>
          <a:ext cx="2238675" cy="1812357"/>
          <a:chOff x="5794902" y="4438650"/>
          <a:chExt cx="944117" cy="817667"/>
        </a:xfrm>
      </xdr:grpSpPr>
      <xdr:sp macro="" textlink="">
        <xdr:nvSpPr>
          <xdr:cNvPr id="407162" name="Obdélník 56">
            <a:extLst>
              <a:ext uri="{FF2B5EF4-FFF2-40B4-BE49-F238E27FC236}">
                <a16:creationId xmlns:a16="http://schemas.microsoft.com/office/drawing/2014/main" id="{00000000-0008-0000-0E00-00007A360600}"/>
              </a:ext>
            </a:extLst>
          </xdr:cNvPr>
          <xdr:cNvSpPr>
            <a:spLocks noChangeArrowheads="1"/>
          </xdr:cNvSpPr>
        </xdr:nvSpPr>
        <xdr:spPr bwMode="auto">
          <a:xfrm>
            <a:off x="5829300" y="4576221"/>
            <a:ext cx="771525" cy="56217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7163" name="Obdélník 57">
            <a:extLst>
              <a:ext uri="{FF2B5EF4-FFF2-40B4-BE49-F238E27FC236}">
                <a16:creationId xmlns:a16="http://schemas.microsoft.com/office/drawing/2014/main" id="{00000000-0008-0000-0E00-00007B360600}"/>
              </a:ext>
            </a:extLst>
          </xdr:cNvPr>
          <xdr:cNvSpPr>
            <a:spLocks noChangeArrowheads="1"/>
          </xdr:cNvSpPr>
        </xdr:nvSpPr>
        <xdr:spPr bwMode="auto">
          <a:xfrm>
            <a:off x="5794902" y="4495195"/>
            <a:ext cx="52776" cy="720353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07164" name="Volný tvar 58">
            <a:extLst>
              <a:ext uri="{FF2B5EF4-FFF2-40B4-BE49-F238E27FC236}">
                <a16:creationId xmlns:a16="http://schemas.microsoft.com/office/drawing/2014/main" id="{00000000-0008-0000-0E00-00007C360600}"/>
              </a:ext>
            </a:extLst>
          </xdr:cNvPr>
          <xdr:cNvSpPr>
            <a:spLocks/>
          </xdr:cNvSpPr>
        </xdr:nvSpPr>
        <xdr:spPr bwMode="auto">
          <a:xfrm>
            <a:off x="6448426" y="4438650"/>
            <a:ext cx="290593" cy="817667"/>
          </a:xfrm>
          <a:custGeom>
            <a:avLst/>
            <a:gdLst>
              <a:gd name="T0" fmla="*/ 76200 w 290593"/>
              <a:gd name="T1" fmla="*/ 14613 h 817667"/>
              <a:gd name="T2" fmla="*/ 76200 w 290593"/>
              <a:gd name="T3" fmla="*/ 14613 h 817667"/>
              <a:gd name="T4" fmla="*/ 95250 w 290593"/>
              <a:gd name="T5" fmla="*/ 147963 h 817667"/>
              <a:gd name="T6" fmla="*/ 38100 w 290593"/>
              <a:gd name="T7" fmla="*/ 167013 h 817667"/>
              <a:gd name="T8" fmla="*/ 85725 w 290593"/>
              <a:gd name="T9" fmla="*/ 214638 h 817667"/>
              <a:gd name="T10" fmla="*/ 57150 w 290593"/>
              <a:gd name="T11" fmla="*/ 376563 h 817667"/>
              <a:gd name="T12" fmla="*/ 28575 w 290593"/>
              <a:gd name="T13" fmla="*/ 386088 h 817667"/>
              <a:gd name="T14" fmla="*/ 28575 w 290593"/>
              <a:gd name="T15" fmla="*/ 490863 h 817667"/>
              <a:gd name="T16" fmla="*/ 47625 w 290593"/>
              <a:gd name="T17" fmla="*/ 519438 h 817667"/>
              <a:gd name="T18" fmla="*/ 38100 w 290593"/>
              <a:gd name="T19" fmla="*/ 576588 h 817667"/>
              <a:gd name="T20" fmla="*/ 9525 w 290593"/>
              <a:gd name="T21" fmla="*/ 586113 h 817667"/>
              <a:gd name="T22" fmla="*/ 0 w 290593"/>
              <a:gd name="T23" fmla="*/ 614688 h 817667"/>
              <a:gd name="T24" fmla="*/ 19050 w 290593"/>
              <a:gd name="T25" fmla="*/ 671838 h 817667"/>
              <a:gd name="T26" fmla="*/ 57150 w 290593"/>
              <a:gd name="T27" fmla="*/ 728988 h 817667"/>
              <a:gd name="T28" fmla="*/ 57150 w 290593"/>
              <a:gd name="T29" fmla="*/ 814713 h 817667"/>
              <a:gd name="T30" fmla="*/ 266700 w 290593"/>
              <a:gd name="T31" fmla="*/ 776613 h 817667"/>
              <a:gd name="T32" fmla="*/ 266700 w 290593"/>
              <a:gd name="T33" fmla="*/ 509913 h 817667"/>
              <a:gd name="T34" fmla="*/ 285750 w 290593"/>
              <a:gd name="T35" fmla="*/ 43188 h 817667"/>
              <a:gd name="T36" fmla="*/ 76200 w 290593"/>
              <a:gd name="T37" fmla="*/ 1461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29</xdr:col>
      <xdr:colOff>198120</xdr:colOff>
      <xdr:row>84</xdr:row>
      <xdr:rowOff>160020</xdr:rowOff>
    </xdr:from>
    <xdr:to>
      <xdr:col>42</xdr:col>
      <xdr:colOff>182880</xdr:colOff>
      <xdr:row>95</xdr:row>
      <xdr:rowOff>137160</xdr:rowOff>
    </xdr:to>
    <xdr:pic>
      <xdr:nvPicPr>
        <xdr:cNvPr id="407159" name="Obrázek 21">
          <a:extLst>
            <a:ext uri="{FF2B5EF4-FFF2-40B4-BE49-F238E27FC236}">
              <a16:creationId xmlns:a16="http://schemas.microsoft.com/office/drawing/2014/main" id="{00000000-0008-0000-0E00-0000773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080" y="15857220"/>
          <a:ext cx="2758440" cy="1988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30480</xdr:colOff>
      <xdr:row>84</xdr:row>
      <xdr:rowOff>22860</xdr:rowOff>
    </xdr:from>
    <xdr:to>
      <xdr:col>19</xdr:col>
      <xdr:colOff>198120</xdr:colOff>
      <xdr:row>94</xdr:row>
      <xdr:rowOff>137160</xdr:rowOff>
    </xdr:to>
    <xdr:pic>
      <xdr:nvPicPr>
        <xdr:cNvPr id="407160" name="Obrázek 22">
          <a:extLst>
            <a:ext uri="{FF2B5EF4-FFF2-40B4-BE49-F238E27FC236}">
              <a16:creationId xmlns:a16="http://schemas.microsoft.com/office/drawing/2014/main" id="{00000000-0008-0000-0E00-0000783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520" y="15720060"/>
          <a:ext cx="272796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407161" name="Obrázek 14">
          <a:extLst>
            <a:ext uri="{FF2B5EF4-FFF2-40B4-BE49-F238E27FC236}">
              <a16:creationId xmlns:a16="http://schemas.microsoft.com/office/drawing/2014/main" id="{00000000-0008-0000-0E00-00007936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69</xdr:row>
      <xdr:rowOff>99060</xdr:rowOff>
    </xdr:from>
    <xdr:to>
      <xdr:col>23</xdr:col>
      <xdr:colOff>60960</xdr:colOff>
      <xdr:row>79</xdr:row>
      <xdr:rowOff>30480</xdr:rowOff>
    </xdr:to>
    <xdr:grpSp>
      <xdr:nvGrpSpPr>
        <xdr:cNvPr id="399322" name="Skupina 33">
          <a:extLst>
            <a:ext uri="{FF2B5EF4-FFF2-40B4-BE49-F238E27FC236}">
              <a16:creationId xmlns:a16="http://schemas.microsoft.com/office/drawing/2014/main" id="{00000000-0008-0000-0F00-0000DA170600}"/>
            </a:ext>
          </a:extLst>
        </xdr:cNvPr>
        <xdr:cNvGrpSpPr>
          <a:grpSpLocks/>
        </xdr:cNvGrpSpPr>
      </xdr:nvGrpSpPr>
      <xdr:grpSpPr bwMode="auto">
        <a:xfrm>
          <a:off x="3714951" y="12912692"/>
          <a:ext cx="2261535" cy="1736156"/>
          <a:chOff x="3449052" y="986589"/>
          <a:chExt cx="2016894" cy="1776257"/>
        </a:xfrm>
      </xdr:grpSpPr>
      <xdr:sp macro="" textlink="">
        <xdr:nvSpPr>
          <xdr:cNvPr id="399334" name="Obdélník 19">
            <a:extLst>
              <a:ext uri="{FF2B5EF4-FFF2-40B4-BE49-F238E27FC236}">
                <a16:creationId xmlns:a16="http://schemas.microsoft.com/office/drawing/2014/main" id="{00000000-0008-0000-0F00-0000E617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9335" name="Obdélník 19">
            <a:extLst>
              <a:ext uri="{FF2B5EF4-FFF2-40B4-BE49-F238E27FC236}">
                <a16:creationId xmlns:a16="http://schemas.microsoft.com/office/drawing/2014/main" id="{00000000-0008-0000-0F00-0000E717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9336" name="Obdélník 18">
            <a:extLst>
              <a:ext uri="{FF2B5EF4-FFF2-40B4-BE49-F238E27FC236}">
                <a16:creationId xmlns:a16="http://schemas.microsoft.com/office/drawing/2014/main" id="{00000000-0008-0000-0F00-0000E8170600}"/>
              </a:ext>
            </a:extLst>
          </xdr:cNvPr>
          <xdr:cNvSpPr>
            <a:spLocks noChangeArrowheads="1"/>
          </xdr:cNvSpPr>
        </xdr:nvSpPr>
        <xdr:spPr bwMode="auto">
          <a:xfrm>
            <a:off x="3449052" y="989697"/>
            <a:ext cx="111600" cy="166679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9337" name="Volný tvar 20">
            <a:extLst>
              <a:ext uri="{FF2B5EF4-FFF2-40B4-BE49-F238E27FC236}">
                <a16:creationId xmlns:a16="http://schemas.microsoft.com/office/drawing/2014/main" id="{00000000-0008-0000-0F00-0000E917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14</xdr:col>
      <xdr:colOff>0</xdr:colOff>
      <xdr:row>4</xdr:row>
      <xdr:rowOff>129540</xdr:rowOff>
    </xdr:from>
    <xdr:to>
      <xdr:col>23</xdr:col>
      <xdr:colOff>68580</xdr:colOff>
      <xdr:row>14</xdr:row>
      <xdr:rowOff>60960</xdr:rowOff>
    </xdr:to>
    <xdr:grpSp>
      <xdr:nvGrpSpPr>
        <xdr:cNvPr id="399323" name="Skupina 11">
          <a:extLst>
            <a:ext uri="{FF2B5EF4-FFF2-40B4-BE49-F238E27FC236}">
              <a16:creationId xmlns:a16="http://schemas.microsoft.com/office/drawing/2014/main" id="{00000000-0008-0000-0F00-0000DB170600}"/>
            </a:ext>
          </a:extLst>
        </xdr:cNvPr>
        <xdr:cNvGrpSpPr>
          <a:grpSpLocks/>
        </xdr:cNvGrpSpPr>
      </xdr:nvGrpSpPr>
      <xdr:grpSpPr bwMode="auto">
        <a:xfrm>
          <a:off x="3749842" y="1031908"/>
          <a:ext cx="2234264" cy="1736157"/>
          <a:chOff x="3449052" y="986589"/>
          <a:chExt cx="2016894" cy="1776257"/>
        </a:xfrm>
      </xdr:grpSpPr>
      <xdr:sp macro="" textlink="">
        <xdr:nvSpPr>
          <xdr:cNvPr id="399330" name="Obdélník 19">
            <a:extLst>
              <a:ext uri="{FF2B5EF4-FFF2-40B4-BE49-F238E27FC236}">
                <a16:creationId xmlns:a16="http://schemas.microsoft.com/office/drawing/2014/main" id="{00000000-0008-0000-0F00-0000E217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9331" name="Obdélník 19">
            <a:extLst>
              <a:ext uri="{FF2B5EF4-FFF2-40B4-BE49-F238E27FC236}">
                <a16:creationId xmlns:a16="http://schemas.microsoft.com/office/drawing/2014/main" id="{00000000-0008-0000-0F00-0000E317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9332" name="Obdélník 18">
            <a:extLst>
              <a:ext uri="{FF2B5EF4-FFF2-40B4-BE49-F238E27FC236}">
                <a16:creationId xmlns:a16="http://schemas.microsoft.com/office/drawing/2014/main" id="{00000000-0008-0000-0F00-0000E4170600}"/>
              </a:ext>
            </a:extLst>
          </xdr:cNvPr>
          <xdr:cNvSpPr>
            <a:spLocks noChangeArrowheads="1"/>
          </xdr:cNvSpPr>
        </xdr:nvSpPr>
        <xdr:spPr bwMode="auto">
          <a:xfrm>
            <a:off x="3449052" y="989697"/>
            <a:ext cx="111600" cy="166679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99333" name="Volný tvar 20">
            <a:extLst>
              <a:ext uri="{FF2B5EF4-FFF2-40B4-BE49-F238E27FC236}">
                <a16:creationId xmlns:a16="http://schemas.microsoft.com/office/drawing/2014/main" id="{00000000-0008-0000-0F00-0000E517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399324" name="Picture 24">
          <a:extLst>
            <a:ext uri="{FF2B5EF4-FFF2-40B4-BE49-F238E27FC236}">
              <a16:creationId xmlns:a16="http://schemas.microsoft.com/office/drawing/2014/main" id="{00000000-0008-0000-0F00-0000DC17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399325" name="Picture 11">
          <a:extLst>
            <a:ext uri="{FF2B5EF4-FFF2-40B4-BE49-F238E27FC236}">
              <a16:creationId xmlns:a16="http://schemas.microsoft.com/office/drawing/2014/main" id="{00000000-0008-0000-0F00-0000DD17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22860</xdr:colOff>
      <xdr:row>69</xdr:row>
      <xdr:rowOff>83820</xdr:rowOff>
    </xdr:from>
    <xdr:to>
      <xdr:col>34</xdr:col>
      <xdr:colOff>0</xdr:colOff>
      <xdr:row>78</xdr:row>
      <xdr:rowOff>60960</xdr:rowOff>
    </xdr:to>
    <xdr:pic>
      <xdr:nvPicPr>
        <xdr:cNvPr id="399326" name="Picture 11">
          <a:extLst>
            <a:ext uri="{FF2B5EF4-FFF2-40B4-BE49-F238E27FC236}">
              <a16:creationId xmlns:a16="http://schemas.microsoft.com/office/drawing/2014/main" id="{00000000-0008-0000-0F00-0000DE170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037820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198120</xdr:colOff>
      <xdr:row>84</xdr:row>
      <xdr:rowOff>160020</xdr:rowOff>
    </xdr:from>
    <xdr:to>
      <xdr:col>42</xdr:col>
      <xdr:colOff>182880</xdr:colOff>
      <xdr:row>95</xdr:row>
      <xdr:rowOff>137160</xdr:rowOff>
    </xdr:to>
    <xdr:pic>
      <xdr:nvPicPr>
        <xdr:cNvPr id="399327" name="Obrázek 31">
          <a:extLst>
            <a:ext uri="{FF2B5EF4-FFF2-40B4-BE49-F238E27FC236}">
              <a16:creationId xmlns:a16="http://schemas.microsoft.com/office/drawing/2014/main" id="{00000000-0008-0000-0F00-0000DF1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080" y="15857220"/>
          <a:ext cx="2758440" cy="1988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30480</xdr:colOff>
      <xdr:row>84</xdr:row>
      <xdr:rowOff>22860</xdr:rowOff>
    </xdr:from>
    <xdr:to>
      <xdr:col>19</xdr:col>
      <xdr:colOff>198120</xdr:colOff>
      <xdr:row>94</xdr:row>
      <xdr:rowOff>137160</xdr:rowOff>
    </xdr:to>
    <xdr:pic>
      <xdr:nvPicPr>
        <xdr:cNvPr id="399328" name="Obrázek 32">
          <a:extLst>
            <a:ext uri="{FF2B5EF4-FFF2-40B4-BE49-F238E27FC236}">
              <a16:creationId xmlns:a16="http://schemas.microsoft.com/office/drawing/2014/main" id="{00000000-0008-0000-0F00-0000E01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520" y="15720060"/>
          <a:ext cx="272796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5</xdr:row>
      <xdr:rowOff>0</xdr:rowOff>
    </xdr:from>
    <xdr:to>
      <xdr:col>35</xdr:col>
      <xdr:colOff>30480</xdr:colOff>
      <xdr:row>13</xdr:row>
      <xdr:rowOff>160020</xdr:rowOff>
    </xdr:to>
    <xdr:pic>
      <xdr:nvPicPr>
        <xdr:cNvPr id="399329" name="Obrázek 17">
          <a:extLst>
            <a:ext uri="{FF2B5EF4-FFF2-40B4-BE49-F238E27FC236}">
              <a16:creationId xmlns:a16="http://schemas.microsoft.com/office/drawing/2014/main" id="{00000000-0008-0000-0F00-0000E117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1082040"/>
          <a:ext cx="23774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4</xdr:row>
      <xdr:rowOff>83820</xdr:rowOff>
    </xdr:from>
    <xdr:to>
      <xdr:col>31</xdr:col>
      <xdr:colOff>106680</xdr:colOff>
      <xdr:row>14</xdr:row>
      <xdr:rowOff>175260</xdr:rowOff>
    </xdr:to>
    <xdr:pic>
      <xdr:nvPicPr>
        <xdr:cNvPr id="377855" name="Obrázek 15">
          <a:extLst>
            <a:ext uri="{FF2B5EF4-FFF2-40B4-BE49-F238E27FC236}">
              <a16:creationId xmlns:a16="http://schemas.microsoft.com/office/drawing/2014/main" id="{00000000-0008-0000-1000-0000FFC3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982980"/>
          <a:ext cx="1600200" cy="192024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40320" name="Picture 24">
          <a:extLst>
            <a:ext uri="{FF2B5EF4-FFF2-40B4-BE49-F238E27FC236}">
              <a16:creationId xmlns:a16="http://schemas.microsoft.com/office/drawing/2014/main" id="{00000000-0008-0000-1000-000000B8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213360</xdr:colOff>
      <xdr:row>4</xdr:row>
      <xdr:rowOff>76200</xdr:rowOff>
    </xdr:from>
    <xdr:to>
      <xdr:col>23</xdr:col>
      <xdr:colOff>144780</xdr:colOff>
      <xdr:row>14</xdr:row>
      <xdr:rowOff>7620</xdr:rowOff>
    </xdr:to>
    <xdr:grpSp>
      <xdr:nvGrpSpPr>
        <xdr:cNvPr id="440321" name="Skupina 21">
          <a:extLst>
            <a:ext uri="{FF2B5EF4-FFF2-40B4-BE49-F238E27FC236}">
              <a16:creationId xmlns:a16="http://schemas.microsoft.com/office/drawing/2014/main" id="{00000000-0008-0000-1000-000001B80600}"/>
            </a:ext>
          </a:extLst>
        </xdr:cNvPr>
        <xdr:cNvGrpSpPr>
          <a:grpSpLocks noChangeAspect="1"/>
        </xdr:cNvGrpSpPr>
      </xdr:nvGrpSpPr>
      <xdr:grpSpPr bwMode="auto">
        <a:xfrm>
          <a:off x="3722571" y="978568"/>
          <a:ext cx="2337735" cy="1736157"/>
          <a:chOff x="1771649" y="3377086"/>
          <a:chExt cx="976394" cy="740669"/>
        </a:xfrm>
      </xdr:grpSpPr>
      <xdr:sp macro="" textlink="">
        <xdr:nvSpPr>
          <xdr:cNvPr id="440327" name="Obdélník 19">
            <a:extLst>
              <a:ext uri="{FF2B5EF4-FFF2-40B4-BE49-F238E27FC236}">
                <a16:creationId xmlns:a16="http://schemas.microsoft.com/office/drawing/2014/main" id="{00000000-0008-0000-1000-000007B8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0328" name="Obdélník 18">
            <a:extLst>
              <a:ext uri="{FF2B5EF4-FFF2-40B4-BE49-F238E27FC236}">
                <a16:creationId xmlns:a16="http://schemas.microsoft.com/office/drawing/2014/main" id="{00000000-0008-0000-1000-000008B8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562350"/>
            <a:ext cx="85726" cy="51435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0329" name="Volný tvar 20">
            <a:extLst>
              <a:ext uri="{FF2B5EF4-FFF2-40B4-BE49-F238E27FC236}">
                <a16:creationId xmlns:a16="http://schemas.microsoft.com/office/drawing/2014/main" id="{00000000-0008-0000-1000-000009B806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33</xdr:col>
      <xdr:colOff>205740</xdr:colOff>
      <xdr:row>4</xdr:row>
      <xdr:rowOff>83820</xdr:rowOff>
    </xdr:from>
    <xdr:to>
      <xdr:col>43</xdr:col>
      <xdr:colOff>137160</xdr:colOff>
      <xdr:row>14</xdr:row>
      <xdr:rowOff>15240</xdr:rowOff>
    </xdr:to>
    <xdr:grpSp>
      <xdr:nvGrpSpPr>
        <xdr:cNvPr id="440322" name="Skupina 21">
          <a:extLst>
            <a:ext uri="{FF2B5EF4-FFF2-40B4-BE49-F238E27FC236}">
              <a16:creationId xmlns:a16="http://schemas.microsoft.com/office/drawing/2014/main" id="{00000000-0008-0000-1000-000002B80600}"/>
            </a:ext>
          </a:extLst>
        </xdr:cNvPr>
        <xdr:cNvGrpSpPr>
          <a:grpSpLocks noChangeAspect="1"/>
        </xdr:cNvGrpSpPr>
      </xdr:nvGrpSpPr>
      <xdr:grpSpPr bwMode="auto">
        <a:xfrm>
          <a:off x="8527582" y="986188"/>
          <a:ext cx="2337736" cy="1736157"/>
          <a:chOff x="1771649" y="3377086"/>
          <a:chExt cx="976394" cy="740669"/>
        </a:xfrm>
      </xdr:grpSpPr>
      <xdr:sp macro="" textlink="">
        <xdr:nvSpPr>
          <xdr:cNvPr id="440324" name="Obdélník 19">
            <a:extLst>
              <a:ext uri="{FF2B5EF4-FFF2-40B4-BE49-F238E27FC236}">
                <a16:creationId xmlns:a16="http://schemas.microsoft.com/office/drawing/2014/main" id="{00000000-0008-0000-1000-000004B806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0325" name="Obdélník 18">
            <a:extLst>
              <a:ext uri="{FF2B5EF4-FFF2-40B4-BE49-F238E27FC236}">
                <a16:creationId xmlns:a16="http://schemas.microsoft.com/office/drawing/2014/main" id="{00000000-0008-0000-1000-000005B806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40326" name="Volný tvar 20">
            <a:extLst>
              <a:ext uri="{FF2B5EF4-FFF2-40B4-BE49-F238E27FC236}">
                <a16:creationId xmlns:a16="http://schemas.microsoft.com/office/drawing/2014/main" id="{00000000-0008-0000-1000-000006B806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12</xdr:col>
      <xdr:colOff>144378</xdr:colOff>
      <xdr:row>27</xdr:row>
      <xdr:rowOff>8020</xdr:rowOff>
    </xdr:from>
    <xdr:to>
      <xdr:col>13</xdr:col>
      <xdr:colOff>92157</xdr:colOff>
      <xdr:row>28</xdr:row>
      <xdr:rowOff>3535</xdr:rowOff>
    </xdr:to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>
          <a:spLocks noChangeAspect="1"/>
        </xdr:cNvSpPr>
      </xdr:nvSpPr>
      <xdr:spPr>
        <a:xfrm>
          <a:off x="3088104" y="5702967"/>
          <a:ext cx="164348" cy="180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83820</xdr:rowOff>
    </xdr:from>
    <xdr:to>
      <xdr:col>23</xdr:col>
      <xdr:colOff>144780</xdr:colOff>
      <xdr:row>14</xdr:row>
      <xdr:rowOff>15240</xdr:rowOff>
    </xdr:to>
    <xdr:grpSp>
      <xdr:nvGrpSpPr>
        <xdr:cNvPr id="380885" name="Skupina 21">
          <a:extLst>
            <a:ext uri="{FF2B5EF4-FFF2-40B4-BE49-F238E27FC236}">
              <a16:creationId xmlns:a16="http://schemas.microsoft.com/office/drawing/2014/main" id="{00000000-0008-0000-1100-0000D5CF0500}"/>
            </a:ext>
          </a:extLst>
        </xdr:cNvPr>
        <xdr:cNvGrpSpPr>
          <a:grpSpLocks noChangeAspect="1"/>
        </xdr:cNvGrpSpPr>
      </xdr:nvGrpSpPr>
      <xdr:grpSpPr bwMode="auto">
        <a:xfrm>
          <a:off x="3749842" y="986188"/>
          <a:ext cx="2310464" cy="1736157"/>
          <a:chOff x="1771649" y="3377086"/>
          <a:chExt cx="976394" cy="740669"/>
        </a:xfrm>
      </xdr:grpSpPr>
      <xdr:sp macro="" textlink="">
        <xdr:nvSpPr>
          <xdr:cNvPr id="380893" name="Obdélník 13">
            <a:extLst>
              <a:ext uri="{FF2B5EF4-FFF2-40B4-BE49-F238E27FC236}">
                <a16:creationId xmlns:a16="http://schemas.microsoft.com/office/drawing/2014/main" id="{00000000-0008-0000-1100-0000DDCF05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02849"/>
            <a:ext cx="771525" cy="397651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0894" name="Obdélník 18">
            <a:extLst>
              <a:ext uri="{FF2B5EF4-FFF2-40B4-BE49-F238E27FC236}">
                <a16:creationId xmlns:a16="http://schemas.microsoft.com/office/drawing/2014/main" id="{00000000-0008-0000-1100-0000DECF05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485786"/>
            <a:ext cx="85614" cy="590914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0895" name="Volný tvar 20">
            <a:extLst>
              <a:ext uri="{FF2B5EF4-FFF2-40B4-BE49-F238E27FC236}">
                <a16:creationId xmlns:a16="http://schemas.microsoft.com/office/drawing/2014/main" id="{00000000-0008-0000-1100-0000DFCF05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4</xdr:row>
      <xdr:rowOff>83820</xdr:rowOff>
    </xdr:from>
    <xdr:to>
      <xdr:col>31</xdr:col>
      <xdr:colOff>106680</xdr:colOff>
      <xdr:row>14</xdr:row>
      <xdr:rowOff>175260</xdr:rowOff>
    </xdr:to>
    <xdr:pic>
      <xdr:nvPicPr>
        <xdr:cNvPr id="380886" name="Obrázek 1">
          <a:extLst>
            <a:ext uri="{FF2B5EF4-FFF2-40B4-BE49-F238E27FC236}">
              <a16:creationId xmlns:a16="http://schemas.microsoft.com/office/drawing/2014/main" id="{00000000-0008-0000-1100-0000D6CF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982980"/>
          <a:ext cx="1600200" cy="192024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380887" name="Picture 24">
          <a:extLst>
            <a:ext uri="{FF2B5EF4-FFF2-40B4-BE49-F238E27FC236}">
              <a16:creationId xmlns:a16="http://schemas.microsoft.com/office/drawing/2014/main" id="{00000000-0008-0000-1100-0000D7CF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205740</xdr:colOff>
      <xdr:row>4</xdr:row>
      <xdr:rowOff>83820</xdr:rowOff>
    </xdr:from>
    <xdr:to>
      <xdr:col>43</xdr:col>
      <xdr:colOff>137160</xdr:colOff>
      <xdr:row>14</xdr:row>
      <xdr:rowOff>15240</xdr:rowOff>
    </xdr:to>
    <xdr:grpSp>
      <xdr:nvGrpSpPr>
        <xdr:cNvPr id="380888" name="Skupina 21">
          <a:extLst>
            <a:ext uri="{FF2B5EF4-FFF2-40B4-BE49-F238E27FC236}">
              <a16:creationId xmlns:a16="http://schemas.microsoft.com/office/drawing/2014/main" id="{00000000-0008-0000-1100-0000D8CF0500}"/>
            </a:ext>
          </a:extLst>
        </xdr:cNvPr>
        <xdr:cNvGrpSpPr>
          <a:grpSpLocks noChangeAspect="1"/>
        </xdr:cNvGrpSpPr>
      </xdr:nvGrpSpPr>
      <xdr:grpSpPr bwMode="auto">
        <a:xfrm>
          <a:off x="8527582" y="986188"/>
          <a:ext cx="2337736" cy="1736157"/>
          <a:chOff x="1771649" y="3377086"/>
          <a:chExt cx="976394" cy="740669"/>
        </a:xfrm>
      </xdr:grpSpPr>
      <xdr:sp macro="" textlink="">
        <xdr:nvSpPr>
          <xdr:cNvPr id="380890" name="Obdélník 19">
            <a:extLst>
              <a:ext uri="{FF2B5EF4-FFF2-40B4-BE49-F238E27FC236}">
                <a16:creationId xmlns:a16="http://schemas.microsoft.com/office/drawing/2014/main" id="{00000000-0008-0000-1100-0000DACF05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0891" name="Obdélník 18">
            <a:extLst>
              <a:ext uri="{FF2B5EF4-FFF2-40B4-BE49-F238E27FC236}">
                <a16:creationId xmlns:a16="http://schemas.microsoft.com/office/drawing/2014/main" id="{00000000-0008-0000-1100-0000DBCF05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0892" name="Volný tvar 20">
            <a:extLst>
              <a:ext uri="{FF2B5EF4-FFF2-40B4-BE49-F238E27FC236}">
                <a16:creationId xmlns:a16="http://schemas.microsoft.com/office/drawing/2014/main" id="{00000000-0008-0000-1100-0000DCCF05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12</xdr:col>
      <xdr:colOff>144378</xdr:colOff>
      <xdr:row>27</xdr:row>
      <xdr:rowOff>8020</xdr:rowOff>
    </xdr:from>
    <xdr:to>
      <xdr:col>13</xdr:col>
      <xdr:colOff>92157</xdr:colOff>
      <xdr:row>28</xdr:row>
      <xdr:rowOff>3535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>
          <a:spLocks noChangeAspect="1"/>
        </xdr:cNvSpPr>
      </xdr:nvSpPr>
      <xdr:spPr>
        <a:xfrm>
          <a:off x="3055218" y="5113420"/>
          <a:ext cx="161139" cy="17839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91440</xdr:rowOff>
    </xdr:from>
    <xdr:to>
      <xdr:col>23</xdr:col>
      <xdr:colOff>144780</xdr:colOff>
      <xdr:row>14</xdr:row>
      <xdr:rowOff>22860</xdr:rowOff>
    </xdr:to>
    <xdr:grpSp>
      <xdr:nvGrpSpPr>
        <xdr:cNvPr id="381898" name="Skupina 21">
          <a:extLst>
            <a:ext uri="{FF2B5EF4-FFF2-40B4-BE49-F238E27FC236}">
              <a16:creationId xmlns:a16="http://schemas.microsoft.com/office/drawing/2014/main" id="{00000000-0008-0000-1200-0000CAD30500}"/>
            </a:ext>
          </a:extLst>
        </xdr:cNvPr>
        <xdr:cNvGrpSpPr>
          <a:grpSpLocks noChangeAspect="1"/>
        </xdr:cNvGrpSpPr>
      </xdr:nvGrpSpPr>
      <xdr:grpSpPr bwMode="auto">
        <a:xfrm>
          <a:off x="3749842" y="993808"/>
          <a:ext cx="2310464" cy="1736157"/>
          <a:chOff x="1771649" y="3377086"/>
          <a:chExt cx="976394" cy="740669"/>
        </a:xfrm>
      </xdr:grpSpPr>
      <xdr:sp macro="" textlink="">
        <xdr:nvSpPr>
          <xdr:cNvPr id="381906" name="Obdélník 19">
            <a:extLst>
              <a:ext uri="{FF2B5EF4-FFF2-40B4-BE49-F238E27FC236}">
                <a16:creationId xmlns:a16="http://schemas.microsoft.com/office/drawing/2014/main" id="{00000000-0008-0000-1200-0000D2D305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1907" name="Obdélník 18">
            <a:extLst>
              <a:ext uri="{FF2B5EF4-FFF2-40B4-BE49-F238E27FC236}">
                <a16:creationId xmlns:a16="http://schemas.microsoft.com/office/drawing/2014/main" id="{00000000-0008-0000-1200-0000D3D305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1908" name="Volný tvar 20">
            <a:extLst>
              <a:ext uri="{FF2B5EF4-FFF2-40B4-BE49-F238E27FC236}">
                <a16:creationId xmlns:a16="http://schemas.microsoft.com/office/drawing/2014/main" id="{00000000-0008-0000-1200-0000D4D305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4</xdr:row>
      <xdr:rowOff>83820</xdr:rowOff>
    </xdr:from>
    <xdr:to>
      <xdr:col>31</xdr:col>
      <xdr:colOff>106680</xdr:colOff>
      <xdr:row>14</xdr:row>
      <xdr:rowOff>175260</xdr:rowOff>
    </xdr:to>
    <xdr:pic>
      <xdr:nvPicPr>
        <xdr:cNvPr id="381899" name="Obrázek 1">
          <a:extLst>
            <a:ext uri="{FF2B5EF4-FFF2-40B4-BE49-F238E27FC236}">
              <a16:creationId xmlns:a16="http://schemas.microsoft.com/office/drawing/2014/main" id="{00000000-0008-0000-1200-0000CBD3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982980"/>
          <a:ext cx="1600200" cy="192024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381900" name="Picture 24">
          <a:extLst>
            <a:ext uri="{FF2B5EF4-FFF2-40B4-BE49-F238E27FC236}">
              <a16:creationId xmlns:a16="http://schemas.microsoft.com/office/drawing/2014/main" id="{00000000-0008-0000-1200-0000CCD3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205740</xdr:colOff>
      <xdr:row>4</xdr:row>
      <xdr:rowOff>83820</xdr:rowOff>
    </xdr:from>
    <xdr:to>
      <xdr:col>43</xdr:col>
      <xdr:colOff>137160</xdr:colOff>
      <xdr:row>14</xdr:row>
      <xdr:rowOff>15240</xdr:rowOff>
    </xdr:to>
    <xdr:grpSp>
      <xdr:nvGrpSpPr>
        <xdr:cNvPr id="381901" name="Skupina 21">
          <a:extLst>
            <a:ext uri="{FF2B5EF4-FFF2-40B4-BE49-F238E27FC236}">
              <a16:creationId xmlns:a16="http://schemas.microsoft.com/office/drawing/2014/main" id="{00000000-0008-0000-1200-0000CDD30500}"/>
            </a:ext>
          </a:extLst>
        </xdr:cNvPr>
        <xdr:cNvGrpSpPr>
          <a:grpSpLocks noChangeAspect="1"/>
        </xdr:cNvGrpSpPr>
      </xdr:nvGrpSpPr>
      <xdr:grpSpPr bwMode="auto">
        <a:xfrm>
          <a:off x="8527582" y="986188"/>
          <a:ext cx="2337736" cy="1736157"/>
          <a:chOff x="1771649" y="3377086"/>
          <a:chExt cx="976394" cy="740669"/>
        </a:xfrm>
      </xdr:grpSpPr>
      <xdr:sp macro="" textlink="">
        <xdr:nvSpPr>
          <xdr:cNvPr id="381903" name="Obdélník 19">
            <a:extLst>
              <a:ext uri="{FF2B5EF4-FFF2-40B4-BE49-F238E27FC236}">
                <a16:creationId xmlns:a16="http://schemas.microsoft.com/office/drawing/2014/main" id="{00000000-0008-0000-1200-0000CFD305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1904" name="Obdélník 18">
            <a:extLst>
              <a:ext uri="{FF2B5EF4-FFF2-40B4-BE49-F238E27FC236}">
                <a16:creationId xmlns:a16="http://schemas.microsoft.com/office/drawing/2014/main" id="{00000000-0008-0000-1200-0000D0D305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81905" name="Volný tvar 20">
            <a:extLst>
              <a:ext uri="{FF2B5EF4-FFF2-40B4-BE49-F238E27FC236}">
                <a16:creationId xmlns:a16="http://schemas.microsoft.com/office/drawing/2014/main" id="{00000000-0008-0000-1200-0000D1D305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290593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12</xdr:col>
      <xdr:colOff>144378</xdr:colOff>
      <xdr:row>27</xdr:row>
      <xdr:rowOff>8020</xdr:rowOff>
    </xdr:from>
    <xdr:to>
      <xdr:col>13</xdr:col>
      <xdr:colOff>92157</xdr:colOff>
      <xdr:row>28</xdr:row>
      <xdr:rowOff>3535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>
          <a:spLocks noChangeAspect="1"/>
        </xdr:cNvSpPr>
      </xdr:nvSpPr>
      <xdr:spPr>
        <a:xfrm>
          <a:off x="3055218" y="5113420"/>
          <a:ext cx="161139" cy="17839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91440</xdr:rowOff>
    </xdr:from>
    <xdr:to>
      <xdr:col>23</xdr:col>
      <xdr:colOff>144780</xdr:colOff>
      <xdr:row>14</xdr:row>
      <xdr:rowOff>22860</xdr:rowOff>
    </xdr:to>
    <xdr:grpSp>
      <xdr:nvGrpSpPr>
        <xdr:cNvPr id="430202" name="Skupina 1">
          <a:extLst>
            <a:ext uri="{FF2B5EF4-FFF2-40B4-BE49-F238E27FC236}">
              <a16:creationId xmlns:a16="http://schemas.microsoft.com/office/drawing/2014/main" id="{00000000-0008-0000-1300-00007A900600}"/>
            </a:ext>
          </a:extLst>
        </xdr:cNvPr>
        <xdr:cNvGrpSpPr>
          <a:grpSpLocks/>
        </xdr:cNvGrpSpPr>
      </xdr:nvGrpSpPr>
      <xdr:grpSpPr bwMode="auto">
        <a:xfrm>
          <a:off x="3749842" y="993808"/>
          <a:ext cx="2310464" cy="1736157"/>
          <a:chOff x="3368842" y="986589"/>
          <a:chExt cx="2097104" cy="1776257"/>
        </a:xfrm>
      </xdr:grpSpPr>
      <xdr:sp macro="" textlink="">
        <xdr:nvSpPr>
          <xdr:cNvPr id="430211" name="Obdélník 19">
            <a:extLst>
              <a:ext uri="{FF2B5EF4-FFF2-40B4-BE49-F238E27FC236}">
                <a16:creationId xmlns:a16="http://schemas.microsoft.com/office/drawing/2014/main" id="{00000000-0008-0000-1300-00008390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212" name="Obdélník 19">
            <a:extLst>
              <a:ext uri="{FF2B5EF4-FFF2-40B4-BE49-F238E27FC236}">
                <a16:creationId xmlns:a16="http://schemas.microsoft.com/office/drawing/2014/main" id="{00000000-0008-0000-1300-00008490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213" name="Obdélník 18">
            <a:extLst>
              <a:ext uri="{FF2B5EF4-FFF2-40B4-BE49-F238E27FC236}">
                <a16:creationId xmlns:a16="http://schemas.microsoft.com/office/drawing/2014/main" id="{00000000-0008-0000-1300-000085900600}"/>
              </a:ext>
            </a:extLst>
          </xdr:cNvPr>
          <xdr:cNvSpPr>
            <a:spLocks noChangeArrowheads="1"/>
          </xdr:cNvSpPr>
        </xdr:nvSpPr>
        <xdr:spPr bwMode="auto">
          <a:xfrm>
            <a:off x="3368842" y="989697"/>
            <a:ext cx="184123" cy="166679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214" name="Volný tvar 20">
            <a:extLst>
              <a:ext uri="{FF2B5EF4-FFF2-40B4-BE49-F238E27FC236}">
                <a16:creationId xmlns:a16="http://schemas.microsoft.com/office/drawing/2014/main" id="{00000000-0008-0000-1300-00008690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33</xdr:col>
      <xdr:colOff>205740</xdr:colOff>
      <xdr:row>4</xdr:row>
      <xdr:rowOff>83820</xdr:rowOff>
    </xdr:from>
    <xdr:to>
      <xdr:col>43</xdr:col>
      <xdr:colOff>137160</xdr:colOff>
      <xdr:row>14</xdr:row>
      <xdr:rowOff>15240</xdr:rowOff>
    </xdr:to>
    <xdr:grpSp>
      <xdr:nvGrpSpPr>
        <xdr:cNvPr id="430203" name="Skupina 1">
          <a:extLst>
            <a:ext uri="{FF2B5EF4-FFF2-40B4-BE49-F238E27FC236}">
              <a16:creationId xmlns:a16="http://schemas.microsoft.com/office/drawing/2014/main" id="{00000000-0008-0000-1300-00007B900600}"/>
            </a:ext>
          </a:extLst>
        </xdr:cNvPr>
        <xdr:cNvGrpSpPr>
          <a:grpSpLocks/>
        </xdr:cNvGrpSpPr>
      </xdr:nvGrpSpPr>
      <xdr:grpSpPr bwMode="auto">
        <a:xfrm>
          <a:off x="8527582" y="986188"/>
          <a:ext cx="2337736" cy="1736157"/>
          <a:chOff x="3368842" y="986589"/>
          <a:chExt cx="2097104" cy="1776257"/>
        </a:xfrm>
      </xdr:grpSpPr>
      <xdr:sp macro="" textlink="">
        <xdr:nvSpPr>
          <xdr:cNvPr id="430207" name="Obdélník 19">
            <a:extLst>
              <a:ext uri="{FF2B5EF4-FFF2-40B4-BE49-F238E27FC236}">
                <a16:creationId xmlns:a16="http://schemas.microsoft.com/office/drawing/2014/main" id="{00000000-0008-0000-1300-00007F9006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208" name="Obdélník 19">
            <a:extLst>
              <a:ext uri="{FF2B5EF4-FFF2-40B4-BE49-F238E27FC236}">
                <a16:creationId xmlns:a16="http://schemas.microsoft.com/office/drawing/2014/main" id="{00000000-0008-0000-1300-0000809006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209" name="Obdélník 18">
            <a:extLst>
              <a:ext uri="{FF2B5EF4-FFF2-40B4-BE49-F238E27FC236}">
                <a16:creationId xmlns:a16="http://schemas.microsoft.com/office/drawing/2014/main" id="{00000000-0008-0000-1300-000081900600}"/>
              </a:ext>
            </a:extLst>
          </xdr:cNvPr>
          <xdr:cNvSpPr>
            <a:spLocks noChangeArrowheads="1"/>
          </xdr:cNvSpPr>
        </xdr:nvSpPr>
        <xdr:spPr bwMode="auto">
          <a:xfrm>
            <a:off x="3368842" y="989697"/>
            <a:ext cx="184123" cy="166679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30210" name="Volný tvar 20">
            <a:extLst>
              <a:ext uri="{FF2B5EF4-FFF2-40B4-BE49-F238E27FC236}">
                <a16:creationId xmlns:a16="http://schemas.microsoft.com/office/drawing/2014/main" id="{00000000-0008-0000-1300-0000829006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24</xdr:col>
      <xdr:colOff>0</xdr:colOff>
      <xdr:row>4</xdr:row>
      <xdr:rowOff>83820</xdr:rowOff>
    </xdr:from>
    <xdr:to>
      <xdr:col>31</xdr:col>
      <xdr:colOff>106680</xdr:colOff>
      <xdr:row>14</xdr:row>
      <xdr:rowOff>175260</xdr:rowOff>
    </xdr:to>
    <xdr:pic>
      <xdr:nvPicPr>
        <xdr:cNvPr id="430204" name="Obrázek 5">
          <a:extLst>
            <a:ext uri="{FF2B5EF4-FFF2-40B4-BE49-F238E27FC236}">
              <a16:creationId xmlns:a16="http://schemas.microsoft.com/office/drawing/2014/main" id="{00000000-0008-0000-1300-00007C90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160" y="982980"/>
          <a:ext cx="1600200" cy="192024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430205" name="Picture 24">
          <a:extLst>
            <a:ext uri="{FF2B5EF4-FFF2-40B4-BE49-F238E27FC236}">
              <a16:creationId xmlns:a16="http://schemas.microsoft.com/office/drawing/2014/main" id="{00000000-0008-0000-1300-00007D90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144378</xdr:colOff>
      <xdr:row>27</xdr:row>
      <xdr:rowOff>8020</xdr:rowOff>
    </xdr:from>
    <xdr:to>
      <xdr:col>13</xdr:col>
      <xdr:colOff>92157</xdr:colOff>
      <xdr:row>28</xdr:row>
      <xdr:rowOff>3535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 txBox="1">
          <a:spLocks noChangeAspect="1"/>
        </xdr:cNvSpPr>
      </xdr:nvSpPr>
      <xdr:spPr>
        <a:xfrm>
          <a:off x="3055218" y="5113420"/>
          <a:ext cx="161139" cy="17839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6" name="Picture 24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70</xdr:row>
      <xdr:rowOff>67777</xdr:rowOff>
    </xdr:from>
    <xdr:to>
      <xdr:col>34</xdr:col>
      <xdr:colOff>0</xdr:colOff>
      <xdr:row>79</xdr:row>
      <xdr:rowOff>44917</xdr:rowOff>
    </xdr:to>
    <xdr:pic>
      <xdr:nvPicPr>
        <xdr:cNvPr id="7" name="Picture 1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5407" y="13302514"/>
          <a:ext cx="2142825" cy="1637498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205740</xdr:colOff>
      <xdr:row>70</xdr:row>
      <xdr:rowOff>143977</xdr:rowOff>
    </xdr:from>
    <xdr:to>
      <xdr:col>23</xdr:col>
      <xdr:colOff>68580</xdr:colOff>
      <xdr:row>79</xdr:row>
      <xdr:rowOff>176061</xdr:rowOff>
    </xdr:to>
    <xdr:grpSp>
      <xdr:nvGrpSpPr>
        <xdr:cNvPr id="8" name="Skupina 102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pSpPr>
          <a:grpSpLocks noChangeAspect="1"/>
        </xdr:cNvGrpSpPr>
      </xdr:nvGrpSpPr>
      <xdr:grpSpPr bwMode="auto">
        <a:xfrm>
          <a:off x="3714951" y="13138082"/>
          <a:ext cx="2269155" cy="1656347"/>
          <a:chOff x="1800224" y="3409923"/>
          <a:chExt cx="947819" cy="707831"/>
        </a:xfrm>
      </xdr:grpSpPr>
      <xdr:sp macro="" textlink="">
        <xdr:nvSpPr>
          <xdr:cNvPr id="9" name="Obdélník 103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" name="Obdélník 104">
            <a:extLst>
              <a:ext uri="{FF2B5EF4-FFF2-40B4-BE49-F238E27FC236}">
                <a16:creationId xmlns:a16="http://schemas.microsoft.com/office/drawing/2014/main" id="{00000000-0008-0000-14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" name="Volný tvar 105">
            <a:extLst>
              <a:ext uri="{FF2B5EF4-FFF2-40B4-BE49-F238E27FC236}">
                <a16:creationId xmlns:a16="http://schemas.microsoft.com/office/drawing/2014/main" id="{00000000-0008-0000-1400-00000B000000}"/>
              </a:ext>
            </a:extLst>
          </xdr:cNvPr>
          <xdr:cNvSpPr>
            <a:spLocks/>
          </xdr:cNvSpPr>
        </xdr:nvSpPr>
        <xdr:spPr bwMode="auto">
          <a:xfrm>
            <a:off x="2457450" y="3409923"/>
            <a:ext cx="290593" cy="707831"/>
          </a:xfrm>
          <a:custGeom>
            <a:avLst/>
            <a:gdLst>
              <a:gd name="T0" fmla="*/ 177463 w 290593"/>
              <a:gd name="T1" fmla="*/ 34953 h 707831"/>
              <a:gd name="T2" fmla="*/ 95250 w 290593"/>
              <a:gd name="T3" fmla="*/ 38127 h 707831"/>
              <a:gd name="T4" fmla="*/ 38100 w 290593"/>
              <a:gd name="T5" fmla="*/ 57177 h 707831"/>
              <a:gd name="T6" fmla="*/ 85725 w 290593"/>
              <a:gd name="T7" fmla="*/ 104802 h 707831"/>
              <a:gd name="T8" fmla="*/ 57150 w 290593"/>
              <a:gd name="T9" fmla="*/ 266727 h 707831"/>
              <a:gd name="T10" fmla="*/ 28575 w 290593"/>
              <a:gd name="T11" fmla="*/ 276252 h 707831"/>
              <a:gd name="T12" fmla="*/ 28575 w 290593"/>
              <a:gd name="T13" fmla="*/ 381027 h 707831"/>
              <a:gd name="T14" fmla="*/ 47625 w 290593"/>
              <a:gd name="T15" fmla="*/ 409602 h 707831"/>
              <a:gd name="T16" fmla="*/ 38100 w 290593"/>
              <a:gd name="T17" fmla="*/ 466752 h 707831"/>
              <a:gd name="T18" fmla="*/ 9525 w 290593"/>
              <a:gd name="T19" fmla="*/ 476277 h 707831"/>
              <a:gd name="T20" fmla="*/ 0 w 290593"/>
              <a:gd name="T21" fmla="*/ 504852 h 707831"/>
              <a:gd name="T22" fmla="*/ 19050 w 290593"/>
              <a:gd name="T23" fmla="*/ 562002 h 707831"/>
              <a:gd name="T24" fmla="*/ 57150 w 290593"/>
              <a:gd name="T25" fmla="*/ 619152 h 707831"/>
              <a:gd name="T26" fmla="*/ 57150 w 290593"/>
              <a:gd name="T27" fmla="*/ 704877 h 707831"/>
              <a:gd name="T28" fmla="*/ 266700 w 290593"/>
              <a:gd name="T29" fmla="*/ 666777 h 707831"/>
              <a:gd name="T30" fmla="*/ 266700 w 290593"/>
              <a:gd name="T31" fmla="*/ 400077 h 707831"/>
              <a:gd name="T32" fmla="*/ 277649 w 290593"/>
              <a:gd name="T33" fmla="*/ 43188 h 707831"/>
              <a:gd name="T34" fmla="*/ 177463 w 290593"/>
              <a:gd name="T35" fmla="*/ 34953 h 707831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290593"/>
              <a:gd name="T55" fmla="*/ 0 h 707831"/>
              <a:gd name="T56" fmla="*/ 290593 w 290593"/>
              <a:gd name="T57" fmla="*/ 707831 h 707831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290593" h="707831">
                <a:moveTo>
                  <a:pt x="177463" y="34953"/>
                </a:moveTo>
                <a:lnTo>
                  <a:pt x="95250" y="38127"/>
                </a:lnTo>
                <a:cubicBezTo>
                  <a:pt x="82027" y="53239"/>
                  <a:pt x="38100" y="57177"/>
                  <a:pt x="38100" y="57177"/>
                </a:cubicBezTo>
                <a:cubicBezTo>
                  <a:pt x="52096" y="66508"/>
                  <a:pt x="84429" y="82771"/>
                  <a:pt x="85725" y="104802"/>
                </a:cubicBezTo>
                <a:cubicBezTo>
                  <a:pt x="86693" y="121255"/>
                  <a:pt x="98014" y="234036"/>
                  <a:pt x="57150" y="266727"/>
                </a:cubicBezTo>
                <a:cubicBezTo>
                  <a:pt x="49310" y="272999"/>
                  <a:pt x="38100" y="273077"/>
                  <a:pt x="28575" y="276252"/>
                </a:cubicBezTo>
                <a:cubicBezTo>
                  <a:pt x="13701" y="320873"/>
                  <a:pt x="10804" y="315866"/>
                  <a:pt x="28575" y="381027"/>
                </a:cubicBezTo>
                <a:cubicBezTo>
                  <a:pt x="31587" y="392071"/>
                  <a:pt x="41275" y="400077"/>
                  <a:pt x="47625" y="409602"/>
                </a:cubicBezTo>
                <a:cubicBezTo>
                  <a:pt x="44450" y="428652"/>
                  <a:pt x="47682" y="449984"/>
                  <a:pt x="38100" y="466752"/>
                </a:cubicBezTo>
                <a:cubicBezTo>
                  <a:pt x="33119" y="475469"/>
                  <a:pt x="16625" y="469177"/>
                  <a:pt x="9525" y="476277"/>
                </a:cubicBezTo>
                <a:cubicBezTo>
                  <a:pt x="2425" y="483377"/>
                  <a:pt x="3175" y="495327"/>
                  <a:pt x="0" y="504852"/>
                </a:cubicBezTo>
                <a:cubicBezTo>
                  <a:pt x="6350" y="523902"/>
                  <a:pt x="7911" y="545294"/>
                  <a:pt x="19050" y="562002"/>
                </a:cubicBezTo>
                <a:lnTo>
                  <a:pt x="57150" y="619152"/>
                </a:lnTo>
                <a:cubicBezTo>
                  <a:pt x="51516" y="636053"/>
                  <a:pt x="26742" y="695521"/>
                  <a:pt x="57150" y="704877"/>
                </a:cubicBezTo>
                <a:cubicBezTo>
                  <a:pt x="66751" y="707831"/>
                  <a:pt x="248114" y="670494"/>
                  <a:pt x="266700" y="666777"/>
                </a:cubicBezTo>
                <a:cubicBezTo>
                  <a:pt x="290593" y="523418"/>
                  <a:pt x="266700" y="691332"/>
                  <a:pt x="266700" y="400077"/>
                </a:cubicBezTo>
                <a:cubicBezTo>
                  <a:pt x="266700" y="173325"/>
                  <a:pt x="264532" y="226829"/>
                  <a:pt x="277649" y="43188"/>
                </a:cubicBezTo>
                <a:cubicBezTo>
                  <a:pt x="191272" y="0"/>
                  <a:pt x="212388" y="39716"/>
                  <a:pt x="177463" y="3495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</xdr:col>
      <xdr:colOff>403860</xdr:colOff>
      <xdr:row>86</xdr:row>
      <xdr:rowOff>45720</xdr:rowOff>
    </xdr:from>
    <xdr:to>
      <xdr:col>23</xdr:col>
      <xdr:colOff>129540</xdr:colOff>
      <xdr:row>94</xdr:row>
      <xdr:rowOff>160020</xdr:rowOff>
    </xdr:to>
    <xdr:pic>
      <xdr:nvPicPr>
        <xdr:cNvPr id="12" name="Obrázek 17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592580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35</xdr:col>
      <xdr:colOff>104277</xdr:colOff>
      <xdr:row>16</xdr:row>
      <xdr:rowOff>40088</xdr:rowOff>
    </xdr:from>
    <xdr:to>
      <xdr:col>39</xdr:col>
      <xdr:colOff>95397</xdr:colOff>
      <xdr:row>27</xdr:row>
      <xdr:rowOff>47706</xdr:rowOff>
    </xdr:to>
    <xdr:grpSp>
      <xdr:nvGrpSpPr>
        <xdr:cNvPr id="14" name="Skupina 242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GrpSpPr>
          <a:grpSpLocks noChangeAspect="1"/>
        </xdr:cNvGrpSpPr>
      </xdr:nvGrpSpPr>
      <xdr:grpSpPr bwMode="auto">
        <a:xfrm>
          <a:off x="8907382" y="3108141"/>
          <a:ext cx="953647" cy="1992828"/>
          <a:chOff x="5609723" y="21620536"/>
          <a:chExt cx="632660" cy="1329699"/>
        </a:xfrm>
      </xdr:grpSpPr>
      <xdr:sp macro="" textlink="">
        <xdr:nvSpPr>
          <xdr:cNvPr id="15" name="Obdélník 23">
            <a:extLst>
              <a:ext uri="{FF2B5EF4-FFF2-40B4-BE49-F238E27FC236}">
                <a16:creationId xmlns:a16="http://schemas.microsoft.com/office/drawing/2014/main" id="{00000000-0008-0000-14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5661178" y="22069168"/>
            <a:ext cx="535085" cy="105988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 lIns="0" tIns="0" rIns="0" bIns="0"/>
          <a:lstStyle/>
          <a:p>
            <a:pPr algn="ctr"/>
            <a:r>
              <a:rPr lang="sk-SK" sz="1000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rPr>
              <a:t>101</a:t>
            </a:r>
            <a:endParaRPr lang="sk-SK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endParaRPr>
          </a:p>
        </xdr:txBody>
      </xdr:sp>
      <xdr:sp macro="" textlink="">
        <xdr:nvSpPr>
          <xdr:cNvPr id="27" name="Obdélník 23">
            <a:extLst>
              <a:ext uri="{FF2B5EF4-FFF2-40B4-BE49-F238E27FC236}">
                <a16:creationId xmlns:a16="http://schemas.microsoft.com/office/drawing/2014/main" id="{00000000-0008-0000-1400-00001B000000}"/>
              </a:ext>
            </a:extLst>
          </xdr:cNvPr>
          <xdr:cNvSpPr>
            <a:spLocks noChangeArrowheads="1"/>
          </xdr:cNvSpPr>
        </xdr:nvSpPr>
        <xdr:spPr bwMode="auto">
          <a:xfrm>
            <a:off x="5663183" y="22764267"/>
            <a:ext cx="535085" cy="166853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 lIns="0" tIns="0" rIns="0" bIns="0" anchor="ctr"/>
          <a:lstStyle/>
          <a:p>
            <a:pPr algn="ctr"/>
            <a:r>
              <a:rPr lang="sk-SK" sz="1000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rPr>
              <a:t>187</a:t>
            </a:r>
          </a:p>
        </xdr:txBody>
      </xdr:sp>
      <xdr:sp macro="" textlink="">
        <xdr:nvSpPr>
          <xdr:cNvPr id="17" name="Obdélník 24">
            <a:extLst>
              <a:ext uri="{FF2B5EF4-FFF2-40B4-BE49-F238E27FC236}">
                <a16:creationId xmlns:a16="http://schemas.microsoft.com/office/drawing/2014/main" id="{00000000-0008-0000-14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5609723" y="21620536"/>
            <a:ext cx="60570" cy="1329699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18" name="Skupina 238">
            <a:extLst>
              <a:ext uri="{FF2B5EF4-FFF2-40B4-BE49-F238E27FC236}">
                <a16:creationId xmlns:a16="http://schemas.microsoft.com/office/drawing/2014/main" id="{00000000-0008-0000-1400-000012000000}"/>
              </a:ext>
            </a:extLst>
          </xdr:cNvPr>
          <xdr:cNvGrpSpPr>
            <a:grpSpLocks/>
          </xdr:cNvGrpSpPr>
        </xdr:nvGrpSpPr>
        <xdr:grpSpPr bwMode="auto">
          <a:xfrm>
            <a:off x="5702735" y="21697458"/>
            <a:ext cx="539648" cy="119658"/>
            <a:chOff x="5702735" y="21697458"/>
            <a:chExt cx="539648" cy="119658"/>
          </a:xfrm>
        </xdr:grpSpPr>
        <xdr:sp macro="" textlink="">
          <xdr:nvSpPr>
            <xdr:cNvPr id="24" name="Obdélník 23">
              <a:extLst>
                <a:ext uri="{FF2B5EF4-FFF2-40B4-BE49-F238E27FC236}">
                  <a16:creationId xmlns:a16="http://schemas.microsoft.com/office/drawing/2014/main" id="{00000000-0008-0000-1400-00001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101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25" name="Obdélník 30">
              <a:extLst>
                <a:ext uri="{FF2B5EF4-FFF2-40B4-BE49-F238E27FC236}">
                  <a16:creationId xmlns:a16="http://schemas.microsoft.com/office/drawing/2014/main" id="{00000000-0008-0000-1400-000019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9" name="Skupina 239">
            <a:extLst>
              <a:ext uri="{FF2B5EF4-FFF2-40B4-BE49-F238E27FC236}">
                <a16:creationId xmlns:a16="http://schemas.microsoft.com/office/drawing/2014/main" id="{00000000-0008-0000-1400-000013000000}"/>
              </a:ext>
            </a:extLst>
          </xdr:cNvPr>
          <xdr:cNvGrpSpPr>
            <a:grpSpLocks/>
          </xdr:cNvGrpSpPr>
        </xdr:nvGrpSpPr>
        <xdr:grpSpPr bwMode="auto">
          <a:xfrm>
            <a:off x="5696171" y="22372523"/>
            <a:ext cx="544206" cy="183600"/>
            <a:chOff x="5696171" y="22372523"/>
            <a:chExt cx="544206" cy="183600"/>
          </a:xfrm>
        </xdr:grpSpPr>
        <xdr:sp macro="" textlink="">
          <xdr:nvSpPr>
            <xdr:cNvPr id="21" name="Obdélník 23">
              <a:extLst>
                <a:ext uri="{FF2B5EF4-FFF2-40B4-BE49-F238E27FC236}">
                  <a16:creationId xmlns:a16="http://schemas.microsoft.com/office/drawing/2014/main" id="{00000000-0008-0000-1400-00001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5292" y="22385002"/>
              <a:ext cx="535085" cy="166089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23" name="Obdélník 30">
              <a:extLst>
                <a:ext uri="{FF2B5EF4-FFF2-40B4-BE49-F238E27FC236}">
                  <a16:creationId xmlns:a16="http://schemas.microsoft.com/office/drawing/2014/main" id="{00000000-0008-0000-1400-000017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14997" y="22453697"/>
              <a:ext cx="183600" cy="21251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>
      <xdr:col>14</xdr:col>
      <xdr:colOff>0</xdr:colOff>
      <xdr:row>4</xdr:row>
      <xdr:rowOff>96254</xdr:rowOff>
    </xdr:from>
    <xdr:to>
      <xdr:col>23</xdr:col>
      <xdr:colOff>176463</xdr:colOff>
      <xdr:row>14</xdr:row>
      <xdr:rowOff>27674</xdr:rowOff>
    </xdr:to>
    <xdr:grpSp>
      <xdr:nvGrpSpPr>
        <xdr:cNvPr id="29" name="Skupina 21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GrpSpPr>
          <a:grpSpLocks noChangeAspect="1"/>
        </xdr:cNvGrpSpPr>
      </xdr:nvGrpSpPr>
      <xdr:grpSpPr bwMode="auto">
        <a:xfrm>
          <a:off x="3749842" y="998622"/>
          <a:ext cx="2342147" cy="1736157"/>
          <a:chOff x="1771649" y="3377086"/>
          <a:chExt cx="991168" cy="740669"/>
        </a:xfrm>
      </xdr:grpSpPr>
      <xdr:sp macro="" textlink="">
        <xdr:nvSpPr>
          <xdr:cNvPr id="30" name="Obdélník 19">
            <a:extLst>
              <a:ext uri="{FF2B5EF4-FFF2-40B4-BE49-F238E27FC236}">
                <a16:creationId xmlns:a16="http://schemas.microsoft.com/office/drawing/2014/main" id="{00000000-0008-0000-14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1" name="Obdélník 18">
            <a:extLst>
              <a:ext uri="{FF2B5EF4-FFF2-40B4-BE49-F238E27FC236}">
                <a16:creationId xmlns:a16="http://schemas.microsoft.com/office/drawing/2014/main" id="{00000000-0008-0000-14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378382"/>
            <a:ext cx="85726" cy="695027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2" name="Volný tvar 20">
            <a:extLst>
              <a:ext uri="{FF2B5EF4-FFF2-40B4-BE49-F238E27FC236}">
                <a16:creationId xmlns:a16="http://schemas.microsoft.com/office/drawing/2014/main" id="{00000000-0008-0000-1400-0000200000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305367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16</xdr:col>
      <xdr:colOff>160423</xdr:colOff>
      <xdr:row>5</xdr:row>
      <xdr:rowOff>48129</xdr:rowOff>
    </xdr:from>
    <xdr:to>
      <xdr:col>23</xdr:col>
      <xdr:colOff>88233</xdr:colOff>
      <xdr:row>14</xdr:row>
      <xdr:rowOff>164033</xdr:rowOff>
    </xdr:to>
    <xdr:grpSp>
      <xdr:nvGrpSpPr>
        <xdr:cNvPr id="33" name="Skupina 21">
          <a:extLst>
            <a:ext uri="{FF2B5EF4-FFF2-40B4-BE49-F238E27FC236}">
              <a16:creationId xmlns:a16="http://schemas.microsoft.com/office/drawing/2014/main" id="{00000000-0008-0000-1400-000021000000}"/>
            </a:ext>
          </a:extLst>
        </xdr:cNvPr>
        <xdr:cNvGrpSpPr>
          <a:grpSpLocks noChangeAspect="1"/>
        </xdr:cNvGrpSpPr>
      </xdr:nvGrpSpPr>
      <xdr:grpSpPr bwMode="auto">
        <a:xfrm>
          <a:off x="4391528" y="1130971"/>
          <a:ext cx="1612231" cy="1740167"/>
          <a:chOff x="1771649" y="3377086"/>
          <a:chExt cx="672216" cy="740669"/>
        </a:xfrm>
      </xdr:grpSpPr>
      <xdr:sp macro="" textlink="">
        <xdr:nvSpPr>
          <xdr:cNvPr id="34" name="Obdélník 19">
            <a:extLst>
              <a:ext uri="{FF2B5EF4-FFF2-40B4-BE49-F238E27FC236}">
                <a16:creationId xmlns:a16="http://schemas.microsoft.com/office/drawing/2014/main" id="{00000000-0008-0000-1400-000022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5" y="3695700"/>
            <a:ext cx="553256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5" name="Obdélník 18">
            <a:extLst>
              <a:ext uri="{FF2B5EF4-FFF2-40B4-BE49-F238E27FC236}">
                <a16:creationId xmlns:a16="http://schemas.microsoft.com/office/drawing/2014/main" id="{00000000-0008-0000-14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562350"/>
            <a:ext cx="85726" cy="51435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6" name="Volný tvar 20">
            <a:extLst>
              <a:ext uri="{FF2B5EF4-FFF2-40B4-BE49-F238E27FC236}">
                <a16:creationId xmlns:a16="http://schemas.microsoft.com/office/drawing/2014/main" id="{00000000-0008-0000-1400-000024000000}"/>
              </a:ext>
            </a:extLst>
          </xdr:cNvPr>
          <xdr:cNvSpPr>
            <a:spLocks/>
          </xdr:cNvSpPr>
        </xdr:nvSpPr>
        <xdr:spPr bwMode="auto">
          <a:xfrm>
            <a:off x="2192299" y="3377086"/>
            <a:ext cx="251566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23</xdr:col>
      <xdr:colOff>80211</xdr:colOff>
      <xdr:row>4</xdr:row>
      <xdr:rowOff>88231</xdr:rowOff>
    </xdr:from>
    <xdr:to>
      <xdr:col>29</xdr:col>
      <xdr:colOff>38903</xdr:colOff>
      <xdr:row>15</xdr:row>
      <xdr:rowOff>88231</xdr:rowOff>
    </xdr:to>
    <xdr:pic>
      <xdr:nvPicPr>
        <xdr:cNvPr id="53" name="Obrázek 39">
          <a:extLst>
            <a:ext uri="{FF2B5EF4-FFF2-40B4-BE49-F238E27FC236}">
              <a16:creationId xmlns:a16="http://schemas.microsoft.com/office/drawing/2014/main" id="{00000000-0008-0000-14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6190" y="986589"/>
          <a:ext cx="1258102" cy="2029326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144380</xdr:colOff>
      <xdr:row>8</xdr:row>
      <xdr:rowOff>112295</xdr:rowOff>
    </xdr:from>
    <xdr:to>
      <xdr:col>34</xdr:col>
      <xdr:colOff>96252</xdr:colOff>
      <xdr:row>14</xdr:row>
      <xdr:rowOff>152983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69769" y="1748590"/>
          <a:ext cx="1034715" cy="114759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280737</xdr:rowOff>
    </xdr:from>
    <xdr:to>
      <xdr:col>23</xdr:col>
      <xdr:colOff>169471</xdr:colOff>
      <xdr:row>14</xdr:row>
      <xdr:rowOff>128337</xdr:rowOff>
    </xdr:to>
    <xdr:grpSp>
      <xdr:nvGrpSpPr>
        <xdr:cNvPr id="29" name="Skupina 96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GrpSpPr>
          <a:grpSpLocks noChangeAspect="1"/>
        </xdr:cNvGrpSpPr>
      </xdr:nvGrpSpPr>
      <xdr:grpSpPr bwMode="auto">
        <a:xfrm>
          <a:off x="3749842" y="892342"/>
          <a:ext cx="2335155" cy="1943100"/>
          <a:chOff x="9103519" y="4391025"/>
          <a:chExt cx="976394" cy="805761"/>
        </a:xfrm>
      </xdr:grpSpPr>
      <xdr:sp macro="" textlink="">
        <xdr:nvSpPr>
          <xdr:cNvPr id="30" name="Obdélník 98">
            <a:extLst>
              <a:ext uri="{FF2B5EF4-FFF2-40B4-BE49-F238E27FC236}">
                <a16:creationId xmlns:a16="http://schemas.microsoft.com/office/drawing/2014/main" id="{00000000-0008-0000-1500-00001E000000}"/>
              </a:ext>
            </a:extLst>
          </xdr:cNvPr>
          <xdr:cNvSpPr>
            <a:spLocks noChangeArrowheads="1"/>
          </xdr:cNvSpPr>
        </xdr:nvSpPr>
        <xdr:spPr bwMode="auto">
          <a:xfrm>
            <a:off x="9179719" y="4484886"/>
            <a:ext cx="771525" cy="418303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1" name="Obdélník 99">
            <a:extLst>
              <a:ext uri="{FF2B5EF4-FFF2-40B4-BE49-F238E27FC236}">
                <a16:creationId xmlns:a16="http://schemas.microsoft.com/office/drawing/2014/main" id="{00000000-0008-0000-1500-00001F000000}"/>
              </a:ext>
            </a:extLst>
          </xdr:cNvPr>
          <xdr:cNvSpPr>
            <a:spLocks noChangeArrowheads="1"/>
          </xdr:cNvSpPr>
        </xdr:nvSpPr>
        <xdr:spPr bwMode="auto">
          <a:xfrm>
            <a:off x="9170194" y="4915644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2" name="Obdélník 100">
            <a:extLst>
              <a:ext uri="{FF2B5EF4-FFF2-40B4-BE49-F238E27FC236}">
                <a16:creationId xmlns:a16="http://schemas.microsoft.com/office/drawing/2014/main" id="{00000000-0008-0000-15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9103519" y="4433584"/>
            <a:ext cx="85726" cy="677893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3" name="Volný tvar 101">
            <a:extLst>
              <a:ext uri="{FF2B5EF4-FFF2-40B4-BE49-F238E27FC236}">
                <a16:creationId xmlns:a16="http://schemas.microsoft.com/office/drawing/2014/main" id="{00000000-0008-0000-1500-0000210000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2" name="Picture 24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70</xdr:row>
      <xdr:rowOff>67777</xdr:rowOff>
    </xdr:from>
    <xdr:to>
      <xdr:col>34</xdr:col>
      <xdr:colOff>0</xdr:colOff>
      <xdr:row>79</xdr:row>
      <xdr:rowOff>44917</xdr:rowOff>
    </xdr:to>
    <xdr:pic>
      <xdr:nvPicPr>
        <xdr:cNvPr id="3" name="Picture 1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204657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205740</xdr:colOff>
      <xdr:row>70</xdr:row>
      <xdr:rowOff>143977</xdr:rowOff>
    </xdr:from>
    <xdr:to>
      <xdr:col>23</xdr:col>
      <xdr:colOff>68580</xdr:colOff>
      <xdr:row>79</xdr:row>
      <xdr:rowOff>176061</xdr:rowOff>
    </xdr:to>
    <xdr:grpSp>
      <xdr:nvGrpSpPr>
        <xdr:cNvPr id="4" name="Skupina 102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pSpPr>
          <a:grpSpLocks noChangeAspect="1"/>
        </xdr:cNvGrpSpPr>
      </xdr:nvGrpSpPr>
      <xdr:grpSpPr bwMode="auto">
        <a:xfrm>
          <a:off x="3714951" y="13138082"/>
          <a:ext cx="2269155" cy="1656347"/>
          <a:chOff x="1800224" y="3409923"/>
          <a:chExt cx="947819" cy="707831"/>
        </a:xfrm>
      </xdr:grpSpPr>
      <xdr:sp macro="" textlink="">
        <xdr:nvSpPr>
          <xdr:cNvPr id="5" name="Obdélník 103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" name="Obdélník 104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Volný tvar 105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>
            <a:spLocks/>
          </xdr:cNvSpPr>
        </xdr:nvSpPr>
        <xdr:spPr bwMode="auto">
          <a:xfrm>
            <a:off x="2457450" y="3409923"/>
            <a:ext cx="290593" cy="707831"/>
          </a:xfrm>
          <a:custGeom>
            <a:avLst/>
            <a:gdLst>
              <a:gd name="T0" fmla="*/ 177463 w 290593"/>
              <a:gd name="T1" fmla="*/ 34953 h 707831"/>
              <a:gd name="T2" fmla="*/ 95250 w 290593"/>
              <a:gd name="T3" fmla="*/ 38127 h 707831"/>
              <a:gd name="T4" fmla="*/ 38100 w 290593"/>
              <a:gd name="T5" fmla="*/ 57177 h 707831"/>
              <a:gd name="T6" fmla="*/ 85725 w 290593"/>
              <a:gd name="T7" fmla="*/ 104802 h 707831"/>
              <a:gd name="T8" fmla="*/ 57150 w 290593"/>
              <a:gd name="T9" fmla="*/ 266727 h 707831"/>
              <a:gd name="T10" fmla="*/ 28575 w 290593"/>
              <a:gd name="T11" fmla="*/ 276252 h 707831"/>
              <a:gd name="T12" fmla="*/ 28575 w 290593"/>
              <a:gd name="T13" fmla="*/ 381027 h 707831"/>
              <a:gd name="T14" fmla="*/ 47625 w 290593"/>
              <a:gd name="T15" fmla="*/ 409602 h 707831"/>
              <a:gd name="T16" fmla="*/ 38100 w 290593"/>
              <a:gd name="T17" fmla="*/ 466752 h 707831"/>
              <a:gd name="T18" fmla="*/ 9525 w 290593"/>
              <a:gd name="T19" fmla="*/ 476277 h 707831"/>
              <a:gd name="T20" fmla="*/ 0 w 290593"/>
              <a:gd name="T21" fmla="*/ 504852 h 707831"/>
              <a:gd name="T22" fmla="*/ 19050 w 290593"/>
              <a:gd name="T23" fmla="*/ 562002 h 707831"/>
              <a:gd name="T24" fmla="*/ 57150 w 290593"/>
              <a:gd name="T25" fmla="*/ 619152 h 707831"/>
              <a:gd name="T26" fmla="*/ 57150 w 290593"/>
              <a:gd name="T27" fmla="*/ 704877 h 707831"/>
              <a:gd name="T28" fmla="*/ 266700 w 290593"/>
              <a:gd name="T29" fmla="*/ 666777 h 707831"/>
              <a:gd name="T30" fmla="*/ 266700 w 290593"/>
              <a:gd name="T31" fmla="*/ 400077 h 707831"/>
              <a:gd name="T32" fmla="*/ 277649 w 290593"/>
              <a:gd name="T33" fmla="*/ 43188 h 707831"/>
              <a:gd name="T34" fmla="*/ 177463 w 290593"/>
              <a:gd name="T35" fmla="*/ 34953 h 707831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290593"/>
              <a:gd name="T55" fmla="*/ 0 h 707831"/>
              <a:gd name="T56" fmla="*/ 290593 w 290593"/>
              <a:gd name="T57" fmla="*/ 707831 h 707831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290593" h="707831">
                <a:moveTo>
                  <a:pt x="177463" y="34953"/>
                </a:moveTo>
                <a:lnTo>
                  <a:pt x="95250" y="38127"/>
                </a:lnTo>
                <a:cubicBezTo>
                  <a:pt x="82027" y="53239"/>
                  <a:pt x="38100" y="57177"/>
                  <a:pt x="38100" y="57177"/>
                </a:cubicBezTo>
                <a:cubicBezTo>
                  <a:pt x="52096" y="66508"/>
                  <a:pt x="84429" y="82771"/>
                  <a:pt x="85725" y="104802"/>
                </a:cubicBezTo>
                <a:cubicBezTo>
                  <a:pt x="86693" y="121255"/>
                  <a:pt x="98014" y="234036"/>
                  <a:pt x="57150" y="266727"/>
                </a:cubicBezTo>
                <a:cubicBezTo>
                  <a:pt x="49310" y="272999"/>
                  <a:pt x="38100" y="273077"/>
                  <a:pt x="28575" y="276252"/>
                </a:cubicBezTo>
                <a:cubicBezTo>
                  <a:pt x="13701" y="320873"/>
                  <a:pt x="10804" y="315866"/>
                  <a:pt x="28575" y="381027"/>
                </a:cubicBezTo>
                <a:cubicBezTo>
                  <a:pt x="31587" y="392071"/>
                  <a:pt x="41275" y="400077"/>
                  <a:pt x="47625" y="409602"/>
                </a:cubicBezTo>
                <a:cubicBezTo>
                  <a:pt x="44450" y="428652"/>
                  <a:pt x="47682" y="449984"/>
                  <a:pt x="38100" y="466752"/>
                </a:cubicBezTo>
                <a:cubicBezTo>
                  <a:pt x="33119" y="475469"/>
                  <a:pt x="16625" y="469177"/>
                  <a:pt x="9525" y="476277"/>
                </a:cubicBezTo>
                <a:cubicBezTo>
                  <a:pt x="2425" y="483377"/>
                  <a:pt x="3175" y="495327"/>
                  <a:pt x="0" y="504852"/>
                </a:cubicBezTo>
                <a:cubicBezTo>
                  <a:pt x="6350" y="523902"/>
                  <a:pt x="7911" y="545294"/>
                  <a:pt x="19050" y="562002"/>
                </a:cubicBezTo>
                <a:lnTo>
                  <a:pt x="57150" y="619152"/>
                </a:lnTo>
                <a:cubicBezTo>
                  <a:pt x="51516" y="636053"/>
                  <a:pt x="26742" y="695521"/>
                  <a:pt x="57150" y="704877"/>
                </a:cubicBezTo>
                <a:cubicBezTo>
                  <a:pt x="66751" y="707831"/>
                  <a:pt x="248114" y="670494"/>
                  <a:pt x="266700" y="666777"/>
                </a:cubicBezTo>
                <a:cubicBezTo>
                  <a:pt x="290593" y="523418"/>
                  <a:pt x="266700" y="691332"/>
                  <a:pt x="266700" y="400077"/>
                </a:cubicBezTo>
                <a:cubicBezTo>
                  <a:pt x="266700" y="173325"/>
                  <a:pt x="264532" y="226829"/>
                  <a:pt x="277649" y="43188"/>
                </a:cubicBezTo>
                <a:cubicBezTo>
                  <a:pt x="191272" y="0"/>
                  <a:pt x="212388" y="39716"/>
                  <a:pt x="177463" y="3495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</xdr:col>
      <xdr:colOff>403860</xdr:colOff>
      <xdr:row>86</xdr:row>
      <xdr:rowOff>45720</xdr:rowOff>
    </xdr:from>
    <xdr:to>
      <xdr:col>23</xdr:col>
      <xdr:colOff>129540</xdr:colOff>
      <xdr:row>94</xdr:row>
      <xdr:rowOff>160020</xdr:rowOff>
    </xdr:to>
    <xdr:pic>
      <xdr:nvPicPr>
        <xdr:cNvPr id="8" name="Obrázek 1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610868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160423</xdr:colOff>
      <xdr:row>5</xdr:row>
      <xdr:rowOff>48129</xdr:rowOff>
    </xdr:from>
    <xdr:to>
      <xdr:col>23</xdr:col>
      <xdr:colOff>88233</xdr:colOff>
      <xdr:row>14</xdr:row>
      <xdr:rowOff>164033</xdr:rowOff>
    </xdr:to>
    <xdr:grpSp>
      <xdr:nvGrpSpPr>
        <xdr:cNvPr id="23" name="Skupina 2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GrpSpPr>
          <a:grpSpLocks noChangeAspect="1"/>
        </xdr:cNvGrpSpPr>
      </xdr:nvGrpSpPr>
      <xdr:grpSpPr bwMode="auto">
        <a:xfrm>
          <a:off x="4391528" y="1130971"/>
          <a:ext cx="1612231" cy="1740167"/>
          <a:chOff x="1771649" y="3377086"/>
          <a:chExt cx="672216" cy="740669"/>
        </a:xfrm>
      </xdr:grpSpPr>
      <xdr:sp macro="" textlink="">
        <xdr:nvSpPr>
          <xdr:cNvPr id="24" name="Obdélník 19">
            <a:extLst>
              <a:ext uri="{FF2B5EF4-FFF2-40B4-BE49-F238E27FC236}">
                <a16:creationId xmlns:a16="http://schemas.microsoft.com/office/drawing/2014/main" id="{00000000-0008-0000-15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5" y="3695700"/>
            <a:ext cx="553256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" name="Obdélník 18">
            <a:extLst>
              <a:ext uri="{FF2B5EF4-FFF2-40B4-BE49-F238E27FC236}">
                <a16:creationId xmlns:a16="http://schemas.microsoft.com/office/drawing/2014/main" id="{00000000-0008-0000-15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1771649" y="3562350"/>
            <a:ext cx="85726" cy="514350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" name="Volný tvar 20">
            <a:extLst>
              <a:ext uri="{FF2B5EF4-FFF2-40B4-BE49-F238E27FC236}">
                <a16:creationId xmlns:a16="http://schemas.microsoft.com/office/drawing/2014/main" id="{00000000-0008-0000-1500-00001A000000}"/>
              </a:ext>
            </a:extLst>
          </xdr:cNvPr>
          <xdr:cNvSpPr>
            <a:spLocks/>
          </xdr:cNvSpPr>
        </xdr:nvSpPr>
        <xdr:spPr bwMode="auto">
          <a:xfrm>
            <a:off x="2192299" y="3377086"/>
            <a:ext cx="251566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23</xdr:col>
      <xdr:colOff>80211</xdr:colOff>
      <xdr:row>4</xdr:row>
      <xdr:rowOff>88231</xdr:rowOff>
    </xdr:from>
    <xdr:to>
      <xdr:col>29</xdr:col>
      <xdr:colOff>38903</xdr:colOff>
      <xdr:row>15</xdr:row>
      <xdr:rowOff>88231</xdr:rowOff>
    </xdr:to>
    <xdr:pic>
      <xdr:nvPicPr>
        <xdr:cNvPr id="27" name="Obrázek 39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8011" y="987391"/>
          <a:ext cx="1238852" cy="201168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35</xdr:col>
      <xdr:colOff>104277</xdr:colOff>
      <xdr:row>16</xdr:row>
      <xdr:rowOff>40088</xdr:rowOff>
    </xdr:from>
    <xdr:to>
      <xdr:col>39</xdr:col>
      <xdr:colOff>97959</xdr:colOff>
      <xdr:row>27</xdr:row>
      <xdr:rowOff>47706</xdr:rowOff>
    </xdr:to>
    <xdr:grpSp>
      <xdr:nvGrpSpPr>
        <xdr:cNvPr id="21" name="Skupina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GrpSpPr/>
      </xdr:nvGrpSpPr>
      <xdr:grpSpPr>
        <a:xfrm>
          <a:off x="8907382" y="3108141"/>
          <a:ext cx="956209" cy="1992828"/>
          <a:chOff x="8029077" y="3152256"/>
          <a:chExt cx="859956" cy="2036945"/>
        </a:xfrm>
      </xdr:grpSpPr>
      <xdr:sp macro="" textlink="">
        <xdr:nvSpPr>
          <xdr:cNvPr id="10" name="Obdélník 23">
            <a:extLst>
              <a:ext uri="{FF2B5EF4-FFF2-40B4-BE49-F238E27FC236}">
                <a16:creationId xmlns:a16="http://schemas.microsoft.com/office/drawing/2014/main" id="{00000000-0008-0000-15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8098810" y="3839508"/>
            <a:ext cx="725158" cy="162361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  <xdr:txBody>
          <a:bodyPr lIns="0" tIns="0" rIns="0" bIns="0"/>
          <a:lstStyle/>
          <a:p>
            <a:pPr algn="ctr"/>
            <a:r>
              <a:rPr lang="sk-SK" sz="1000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rPr>
              <a:t>101</a:t>
            </a:r>
            <a:endParaRPr lang="sk-SK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endParaRPr>
          </a:p>
        </xdr:txBody>
      </xdr:sp>
      <xdr:grpSp>
        <xdr:nvGrpSpPr>
          <xdr:cNvPr id="13" name="Skupina 238">
            <a:extLst>
              <a:ext uri="{FF2B5EF4-FFF2-40B4-BE49-F238E27FC236}">
                <a16:creationId xmlns:a16="http://schemas.microsoft.com/office/drawing/2014/main" id="{00000000-0008-0000-1500-00000D000000}"/>
              </a:ext>
            </a:extLst>
          </xdr:cNvPr>
          <xdr:cNvGrpSpPr>
            <a:grpSpLocks/>
          </xdr:cNvGrpSpPr>
        </xdr:nvGrpSpPr>
        <xdr:grpSpPr bwMode="auto">
          <a:xfrm>
            <a:off x="8155129" y="3270092"/>
            <a:ext cx="731342" cy="183302"/>
            <a:chOff x="5702735" y="21697458"/>
            <a:chExt cx="539648" cy="119658"/>
          </a:xfrm>
        </xdr:grpSpPr>
        <xdr:sp macro="" textlink="">
          <xdr:nvSpPr>
            <xdr:cNvPr id="17" name="Obdélník 16">
              <a:extLst>
                <a:ext uri="{FF2B5EF4-FFF2-40B4-BE49-F238E27FC236}">
                  <a16:creationId xmlns:a16="http://schemas.microsoft.com/office/drawing/2014/main" id="{00000000-0008-0000-1500-000011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101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18" name="Obdélník 30">
              <a:extLst>
                <a:ext uri="{FF2B5EF4-FFF2-40B4-BE49-F238E27FC236}">
                  <a16:creationId xmlns:a16="http://schemas.microsoft.com/office/drawing/2014/main" id="{00000000-0008-0000-1500-000012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9" name="Skupina 18">
            <a:extLst>
              <a:ext uri="{FF2B5EF4-FFF2-40B4-BE49-F238E27FC236}">
                <a16:creationId xmlns:a16="http://schemas.microsoft.com/office/drawing/2014/main" id="{00000000-0008-0000-1500-000013000000}"/>
              </a:ext>
            </a:extLst>
          </xdr:cNvPr>
          <xdr:cNvGrpSpPr/>
        </xdr:nvGrpSpPr>
        <xdr:grpSpPr>
          <a:xfrm>
            <a:off x="8146234" y="4304212"/>
            <a:ext cx="742799" cy="281254"/>
            <a:chOff x="8146234" y="4304212"/>
            <a:chExt cx="742799" cy="281254"/>
          </a:xfrm>
        </xdr:grpSpPr>
        <xdr:sp macro="" textlink="">
          <xdr:nvSpPr>
            <xdr:cNvPr id="15" name="Obdélník 23">
              <a:extLst>
                <a:ext uri="{FF2B5EF4-FFF2-40B4-BE49-F238E27FC236}">
                  <a16:creationId xmlns:a16="http://schemas.microsoft.com/office/drawing/2014/main" id="{00000000-0008-0000-1500-00000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53" name="Obdélník 98">
              <a:extLst>
                <a:ext uri="{FF2B5EF4-FFF2-40B4-BE49-F238E27FC236}">
                  <a16:creationId xmlns:a16="http://schemas.microsoft.com/office/drawing/2014/main" id="{00000000-0008-0000-1500-00003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65433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16" name="Obdélník 30">
              <a:extLst>
                <a:ext uri="{FF2B5EF4-FFF2-40B4-BE49-F238E27FC236}">
                  <a16:creationId xmlns:a16="http://schemas.microsoft.com/office/drawing/2014/main" id="{00000000-0008-0000-1500-000010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20007" y="4430439"/>
              <a:ext cx="281254" cy="28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20" name="Skupina 19">
            <a:extLst>
              <a:ext uri="{FF2B5EF4-FFF2-40B4-BE49-F238E27FC236}">
                <a16:creationId xmlns:a16="http://schemas.microsoft.com/office/drawing/2014/main" id="{00000000-0008-0000-1500-000014000000}"/>
              </a:ext>
            </a:extLst>
          </xdr:cNvPr>
          <xdr:cNvGrpSpPr/>
        </xdr:nvGrpSpPr>
        <xdr:grpSpPr>
          <a:xfrm>
            <a:off x="8101264" y="4892842"/>
            <a:ext cx="725421" cy="254526"/>
            <a:chOff x="8101264" y="4892842"/>
            <a:chExt cx="725421" cy="254526"/>
          </a:xfrm>
        </xdr:grpSpPr>
        <xdr:sp macro="" textlink="">
          <xdr:nvSpPr>
            <xdr:cNvPr id="11" name="Obdélník 23">
              <a:extLst>
                <a:ext uri="{FF2B5EF4-FFF2-40B4-BE49-F238E27FC236}">
                  <a16:creationId xmlns:a16="http://schemas.microsoft.com/office/drawing/2014/main" id="{00000000-0008-0000-1500-00000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01527" y="5093368"/>
              <a:ext cx="725158" cy="540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sz="1000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54" name="Obdélník 98">
              <a:extLst>
                <a:ext uri="{FF2B5EF4-FFF2-40B4-BE49-F238E27FC236}">
                  <a16:creationId xmlns:a16="http://schemas.microsoft.com/office/drawing/2014/main" id="{00000000-0008-0000-1500-000036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01264" y="4892842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</xdr:grpSp>
      <xdr:sp macro="" textlink="">
        <xdr:nvSpPr>
          <xdr:cNvPr id="12" name="Obdélník 24">
            <a:extLst>
              <a:ext uri="{FF2B5EF4-FFF2-40B4-BE49-F238E27FC236}">
                <a16:creationId xmlns:a16="http://schemas.microsoft.com/office/drawing/2014/main" id="{00000000-0008-0000-15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8029077" y="3152256"/>
            <a:ext cx="82086" cy="203694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 editAs="oneCell">
    <xdr:from>
      <xdr:col>29</xdr:col>
      <xdr:colOff>160422</xdr:colOff>
      <xdr:row>8</xdr:row>
      <xdr:rowOff>176731</xdr:rowOff>
    </xdr:from>
    <xdr:to>
      <xdr:col>34</xdr:col>
      <xdr:colOff>56147</xdr:colOff>
      <xdr:row>14</xdr:row>
      <xdr:rowOff>183530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85811" y="1813026"/>
          <a:ext cx="978568" cy="111370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2" name="Picture 24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70</xdr:row>
      <xdr:rowOff>67777</xdr:rowOff>
    </xdr:from>
    <xdr:to>
      <xdr:col>34</xdr:col>
      <xdr:colOff>0</xdr:colOff>
      <xdr:row>79</xdr:row>
      <xdr:rowOff>44917</xdr:rowOff>
    </xdr:to>
    <xdr:pic>
      <xdr:nvPicPr>
        <xdr:cNvPr id="3" name="Picture 1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204657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205740</xdr:colOff>
      <xdr:row>70</xdr:row>
      <xdr:rowOff>143977</xdr:rowOff>
    </xdr:from>
    <xdr:to>
      <xdr:col>23</xdr:col>
      <xdr:colOff>68580</xdr:colOff>
      <xdr:row>79</xdr:row>
      <xdr:rowOff>176061</xdr:rowOff>
    </xdr:to>
    <xdr:grpSp>
      <xdr:nvGrpSpPr>
        <xdr:cNvPr id="4" name="Skupina 102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pSpPr>
          <a:grpSpLocks noChangeAspect="1"/>
        </xdr:cNvGrpSpPr>
      </xdr:nvGrpSpPr>
      <xdr:grpSpPr bwMode="auto">
        <a:xfrm>
          <a:off x="3714951" y="13138082"/>
          <a:ext cx="2269155" cy="1656347"/>
          <a:chOff x="1800224" y="3409923"/>
          <a:chExt cx="947819" cy="707831"/>
        </a:xfrm>
      </xdr:grpSpPr>
      <xdr:sp macro="" textlink="">
        <xdr:nvSpPr>
          <xdr:cNvPr id="5" name="Obdélník 103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" name="Obdélník 104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Volný tvar 105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>
            <a:spLocks/>
          </xdr:cNvSpPr>
        </xdr:nvSpPr>
        <xdr:spPr bwMode="auto">
          <a:xfrm>
            <a:off x="2457450" y="3409923"/>
            <a:ext cx="290593" cy="707831"/>
          </a:xfrm>
          <a:custGeom>
            <a:avLst/>
            <a:gdLst>
              <a:gd name="T0" fmla="*/ 177463 w 290593"/>
              <a:gd name="T1" fmla="*/ 34953 h 707831"/>
              <a:gd name="T2" fmla="*/ 95250 w 290593"/>
              <a:gd name="T3" fmla="*/ 38127 h 707831"/>
              <a:gd name="T4" fmla="*/ 38100 w 290593"/>
              <a:gd name="T5" fmla="*/ 57177 h 707831"/>
              <a:gd name="T6" fmla="*/ 85725 w 290593"/>
              <a:gd name="T7" fmla="*/ 104802 h 707831"/>
              <a:gd name="T8" fmla="*/ 57150 w 290593"/>
              <a:gd name="T9" fmla="*/ 266727 h 707831"/>
              <a:gd name="T10" fmla="*/ 28575 w 290593"/>
              <a:gd name="T11" fmla="*/ 276252 h 707831"/>
              <a:gd name="T12" fmla="*/ 28575 w 290593"/>
              <a:gd name="T13" fmla="*/ 381027 h 707831"/>
              <a:gd name="T14" fmla="*/ 47625 w 290593"/>
              <a:gd name="T15" fmla="*/ 409602 h 707831"/>
              <a:gd name="T16" fmla="*/ 38100 w 290593"/>
              <a:gd name="T17" fmla="*/ 466752 h 707831"/>
              <a:gd name="T18" fmla="*/ 9525 w 290593"/>
              <a:gd name="T19" fmla="*/ 476277 h 707831"/>
              <a:gd name="T20" fmla="*/ 0 w 290593"/>
              <a:gd name="T21" fmla="*/ 504852 h 707831"/>
              <a:gd name="T22" fmla="*/ 19050 w 290593"/>
              <a:gd name="T23" fmla="*/ 562002 h 707831"/>
              <a:gd name="T24" fmla="*/ 57150 w 290593"/>
              <a:gd name="T25" fmla="*/ 619152 h 707831"/>
              <a:gd name="T26" fmla="*/ 57150 w 290593"/>
              <a:gd name="T27" fmla="*/ 704877 h 707831"/>
              <a:gd name="T28" fmla="*/ 266700 w 290593"/>
              <a:gd name="T29" fmla="*/ 666777 h 707831"/>
              <a:gd name="T30" fmla="*/ 266700 w 290593"/>
              <a:gd name="T31" fmla="*/ 400077 h 707831"/>
              <a:gd name="T32" fmla="*/ 277649 w 290593"/>
              <a:gd name="T33" fmla="*/ 43188 h 707831"/>
              <a:gd name="T34" fmla="*/ 177463 w 290593"/>
              <a:gd name="T35" fmla="*/ 34953 h 707831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290593"/>
              <a:gd name="T55" fmla="*/ 0 h 707831"/>
              <a:gd name="T56" fmla="*/ 290593 w 290593"/>
              <a:gd name="T57" fmla="*/ 707831 h 707831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290593" h="707831">
                <a:moveTo>
                  <a:pt x="177463" y="34953"/>
                </a:moveTo>
                <a:lnTo>
                  <a:pt x="95250" y="38127"/>
                </a:lnTo>
                <a:cubicBezTo>
                  <a:pt x="82027" y="53239"/>
                  <a:pt x="38100" y="57177"/>
                  <a:pt x="38100" y="57177"/>
                </a:cubicBezTo>
                <a:cubicBezTo>
                  <a:pt x="52096" y="66508"/>
                  <a:pt x="84429" y="82771"/>
                  <a:pt x="85725" y="104802"/>
                </a:cubicBezTo>
                <a:cubicBezTo>
                  <a:pt x="86693" y="121255"/>
                  <a:pt x="98014" y="234036"/>
                  <a:pt x="57150" y="266727"/>
                </a:cubicBezTo>
                <a:cubicBezTo>
                  <a:pt x="49310" y="272999"/>
                  <a:pt x="38100" y="273077"/>
                  <a:pt x="28575" y="276252"/>
                </a:cubicBezTo>
                <a:cubicBezTo>
                  <a:pt x="13701" y="320873"/>
                  <a:pt x="10804" y="315866"/>
                  <a:pt x="28575" y="381027"/>
                </a:cubicBezTo>
                <a:cubicBezTo>
                  <a:pt x="31587" y="392071"/>
                  <a:pt x="41275" y="400077"/>
                  <a:pt x="47625" y="409602"/>
                </a:cubicBezTo>
                <a:cubicBezTo>
                  <a:pt x="44450" y="428652"/>
                  <a:pt x="47682" y="449984"/>
                  <a:pt x="38100" y="466752"/>
                </a:cubicBezTo>
                <a:cubicBezTo>
                  <a:pt x="33119" y="475469"/>
                  <a:pt x="16625" y="469177"/>
                  <a:pt x="9525" y="476277"/>
                </a:cubicBezTo>
                <a:cubicBezTo>
                  <a:pt x="2425" y="483377"/>
                  <a:pt x="3175" y="495327"/>
                  <a:pt x="0" y="504852"/>
                </a:cubicBezTo>
                <a:cubicBezTo>
                  <a:pt x="6350" y="523902"/>
                  <a:pt x="7911" y="545294"/>
                  <a:pt x="19050" y="562002"/>
                </a:cubicBezTo>
                <a:lnTo>
                  <a:pt x="57150" y="619152"/>
                </a:lnTo>
                <a:cubicBezTo>
                  <a:pt x="51516" y="636053"/>
                  <a:pt x="26742" y="695521"/>
                  <a:pt x="57150" y="704877"/>
                </a:cubicBezTo>
                <a:cubicBezTo>
                  <a:pt x="66751" y="707831"/>
                  <a:pt x="248114" y="670494"/>
                  <a:pt x="266700" y="666777"/>
                </a:cubicBezTo>
                <a:cubicBezTo>
                  <a:pt x="290593" y="523418"/>
                  <a:pt x="266700" y="691332"/>
                  <a:pt x="266700" y="400077"/>
                </a:cubicBezTo>
                <a:cubicBezTo>
                  <a:pt x="266700" y="173325"/>
                  <a:pt x="264532" y="226829"/>
                  <a:pt x="277649" y="43188"/>
                </a:cubicBezTo>
                <a:cubicBezTo>
                  <a:pt x="191272" y="0"/>
                  <a:pt x="212388" y="39716"/>
                  <a:pt x="177463" y="3495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</xdr:col>
      <xdr:colOff>403860</xdr:colOff>
      <xdr:row>86</xdr:row>
      <xdr:rowOff>45720</xdr:rowOff>
    </xdr:from>
    <xdr:to>
      <xdr:col>23</xdr:col>
      <xdr:colOff>129540</xdr:colOff>
      <xdr:row>94</xdr:row>
      <xdr:rowOff>160020</xdr:rowOff>
    </xdr:to>
    <xdr:pic>
      <xdr:nvPicPr>
        <xdr:cNvPr id="8" name="Obrázek 1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610868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72191</xdr:colOff>
      <xdr:row>4</xdr:row>
      <xdr:rowOff>96254</xdr:rowOff>
    </xdr:from>
    <xdr:to>
      <xdr:col>23</xdr:col>
      <xdr:colOff>176463</xdr:colOff>
      <xdr:row>14</xdr:row>
      <xdr:rowOff>27674</xdr:rowOff>
    </xdr:to>
    <xdr:grpSp>
      <xdr:nvGrpSpPr>
        <xdr:cNvPr id="19" name="Skupina 2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GrpSpPr>
          <a:grpSpLocks noChangeAspect="1"/>
        </xdr:cNvGrpSpPr>
      </xdr:nvGrpSpPr>
      <xdr:grpSpPr bwMode="auto">
        <a:xfrm>
          <a:off x="3822033" y="998622"/>
          <a:ext cx="2269956" cy="1736157"/>
          <a:chOff x="1805312" y="3377086"/>
          <a:chExt cx="957505" cy="740669"/>
        </a:xfrm>
      </xdr:grpSpPr>
      <xdr:sp macro="" textlink="">
        <xdr:nvSpPr>
          <xdr:cNvPr id="20" name="Obdélník 19">
            <a:extLst>
              <a:ext uri="{FF2B5EF4-FFF2-40B4-BE49-F238E27FC236}">
                <a16:creationId xmlns:a16="http://schemas.microsoft.com/office/drawing/2014/main" id="{00000000-0008-0000-16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469064"/>
            <a:ext cx="771525" cy="53143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1" name="Obdélník 18">
            <a:extLst>
              <a:ext uri="{FF2B5EF4-FFF2-40B4-BE49-F238E27FC236}">
                <a16:creationId xmlns:a16="http://schemas.microsoft.com/office/drawing/2014/main" id="{00000000-0008-0000-16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1805312" y="3378382"/>
            <a:ext cx="52063" cy="695027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" name="Volný tvar 20">
            <a:extLst>
              <a:ext uri="{FF2B5EF4-FFF2-40B4-BE49-F238E27FC236}">
                <a16:creationId xmlns:a16="http://schemas.microsoft.com/office/drawing/2014/main" id="{00000000-0008-0000-1600-000016000000}"/>
              </a:ext>
            </a:extLst>
          </xdr:cNvPr>
          <xdr:cNvSpPr>
            <a:spLocks/>
          </xdr:cNvSpPr>
        </xdr:nvSpPr>
        <xdr:spPr bwMode="auto">
          <a:xfrm>
            <a:off x="2457450" y="3377086"/>
            <a:ext cx="305367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17</xdr:col>
      <xdr:colOff>16042</xdr:colOff>
      <xdr:row>5</xdr:row>
      <xdr:rowOff>48129</xdr:rowOff>
    </xdr:from>
    <xdr:to>
      <xdr:col>23</xdr:col>
      <xdr:colOff>88232</xdr:colOff>
      <xdr:row>14</xdr:row>
      <xdr:rowOff>164033</xdr:rowOff>
    </xdr:to>
    <xdr:grpSp>
      <xdr:nvGrpSpPr>
        <xdr:cNvPr id="23" name="Skupina 2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GrpSpPr>
          <a:grpSpLocks noChangeAspect="1"/>
        </xdr:cNvGrpSpPr>
      </xdr:nvGrpSpPr>
      <xdr:grpSpPr bwMode="auto">
        <a:xfrm>
          <a:off x="4487779" y="1130971"/>
          <a:ext cx="1515979" cy="1740167"/>
          <a:chOff x="1805259" y="3377086"/>
          <a:chExt cx="638606" cy="740669"/>
        </a:xfrm>
      </xdr:grpSpPr>
      <xdr:sp macro="" textlink="">
        <xdr:nvSpPr>
          <xdr:cNvPr id="24" name="Obdélník 19">
            <a:extLst>
              <a:ext uri="{FF2B5EF4-FFF2-40B4-BE49-F238E27FC236}">
                <a16:creationId xmlns:a16="http://schemas.microsoft.com/office/drawing/2014/main" id="{00000000-0008-0000-16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5" y="3695700"/>
            <a:ext cx="553256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" name="Obdélník 18">
            <a:extLst>
              <a:ext uri="{FF2B5EF4-FFF2-40B4-BE49-F238E27FC236}">
                <a16:creationId xmlns:a16="http://schemas.microsoft.com/office/drawing/2014/main" id="{00000000-0008-0000-16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1805259" y="3562350"/>
            <a:ext cx="52116" cy="51435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" name="Volný tvar 20">
            <a:extLst>
              <a:ext uri="{FF2B5EF4-FFF2-40B4-BE49-F238E27FC236}">
                <a16:creationId xmlns:a16="http://schemas.microsoft.com/office/drawing/2014/main" id="{00000000-0008-0000-1600-00001A000000}"/>
              </a:ext>
            </a:extLst>
          </xdr:cNvPr>
          <xdr:cNvSpPr>
            <a:spLocks/>
          </xdr:cNvSpPr>
        </xdr:nvSpPr>
        <xdr:spPr bwMode="auto">
          <a:xfrm>
            <a:off x="2192299" y="3377086"/>
            <a:ext cx="251566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>
    <xdr:from>
      <xdr:col>35</xdr:col>
      <xdr:colOff>104277</xdr:colOff>
      <xdr:row>16</xdr:row>
      <xdr:rowOff>40088</xdr:rowOff>
    </xdr:from>
    <xdr:to>
      <xdr:col>39</xdr:col>
      <xdr:colOff>100699</xdr:colOff>
      <xdr:row>27</xdr:row>
      <xdr:rowOff>47706</xdr:rowOff>
    </xdr:to>
    <xdr:grpSp>
      <xdr:nvGrpSpPr>
        <xdr:cNvPr id="56" name="Skupina 55">
          <a:extLst>
            <a:ext uri="{FF2B5EF4-FFF2-40B4-BE49-F238E27FC236}">
              <a16:creationId xmlns:a16="http://schemas.microsoft.com/office/drawing/2014/main" id="{00000000-0008-0000-1600-000038000000}"/>
            </a:ext>
          </a:extLst>
        </xdr:cNvPr>
        <xdr:cNvGrpSpPr/>
      </xdr:nvGrpSpPr>
      <xdr:grpSpPr>
        <a:xfrm>
          <a:off x="8907382" y="3108141"/>
          <a:ext cx="958949" cy="1992828"/>
          <a:chOff x="8029077" y="3152256"/>
          <a:chExt cx="862696" cy="2036945"/>
        </a:xfrm>
      </xdr:grpSpPr>
      <xdr:sp macro="" textlink="">
        <xdr:nvSpPr>
          <xdr:cNvPr id="12" name="Obdélník 24">
            <a:extLst>
              <a:ext uri="{FF2B5EF4-FFF2-40B4-BE49-F238E27FC236}">
                <a16:creationId xmlns:a16="http://schemas.microsoft.com/office/drawing/2014/main" id="{00000000-0008-0000-16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8029077" y="3152256"/>
            <a:ext cx="82086" cy="203694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13" name="Skupina 238">
            <a:extLst>
              <a:ext uri="{FF2B5EF4-FFF2-40B4-BE49-F238E27FC236}">
                <a16:creationId xmlns:a16="http://schemas.microsoft.com/office/drawing/2014/main" id="{00000000-0008-0000-1600-00000D000000}"/>
              </a:ext>
            </a:extLst>
          </xdr:cNvPr>
          <xdr:cNvGrpSpPr>
            <a:grpSpLocks/>
          </xdr:cNvGrpSpPr>
        </xdr:nvGrpSpPr>
        <xdr:grpSpPr bwMode="auto">
          <a:xfrm>
            <a:off x="8155129" y="3270092"/>
            <a:ext cx="731342" cy="183302"/>
            <a:chOff x="5702735" y="21697458"/>
            <a:chExt cx="539648" cy="119658"/>
          </a:xfrm>
        </xdr:grpSpPr>
        <xdr:sp macro="" textlink="">
          <xdr:nvSpPr>
            <xdr:cNvPr id="17" name="Obdélník 16">
              <a:extLst>
                <a:ext uri="{FF2B5EF4-FFF2-40B4-BE49-F238E27FC236}">
                  <a16:creationId xmlns:a16="http://schemas.microsoft.com/office/drawing/2014/main" id="{00000000-0008-0000-1600-000011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101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18" name="Obdélník 30">
              <a:extLst>
                <a:ext uri="{FF2B5EF4-FFF2-40B4-BE49-F238E27FC236}">
                  <a16:creationId xmlns:a16="http://schemas.microsoft.com/office/drawing/2014/main" id="{00000000-0008-0000-1600-000012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4" name="Skupina 239">
            <a:extLst>
              <a:ext uri="{FF2B5EF4-FFF2-40B4-BE49-F238E27FC236}">
                <a16:creationId xmlns:a16="http://schemas.microsoft.com/office/drawing/2014/main" id="{00000000-0008-0000-1600-00000E000000}"/>
              </a:ext>
            </a:extLst>
          </xdr:cNvPr>
          <xdr:cNvGrpSpPr>
            <a:grpSpLocks/>
          </xdr:cNvGrpSpPr>
        </xdr:nvGrpSpPr>
        <xdr:grpSpPr bwMode="auto">
          <a:xfrm>
            <a:off x="8154254" y="4304213"/>
            <a:ext cx="737519" cy="281254"/>
            <a:chOff x="5696171" y="22372523"/>
            <a:chExt cx="544206" cy="183600"/>
          </a:xfrm>
        </xdr:grpSpPr>
        <xdr:sp macro="" textlink="">
          <xdr:nvSpPr>
            <xdr:cNvPr id="15" name="Obdélník 23">
              <a:extLst>
                <a:ext uri="{FF2B5EF4-FFF2-40B4-BE49-F238E27FC236}">
                  <a16:creationId xmlns:a16="http://schemas.microsoft.com/office/drawing/2014/main" id="{00000000-0008-0000-1600-00000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5292" y="22385002"/>
              <a:ext cx="535085" cy="166089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16" name="Obdélník 30">
              <a:extLst>
                <a:ext uri="{FF2B5EF4-FFF2-40B4-BE49-F238E27FC236}">
                  <a16:creationId xmlns:a16="http://schemas.microsoft.com/office/drawing/2014/main" id="{00000000-0008-0000-1600-000010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14997" y="22453697"/>
              <a:ext cx="183600" cy="21251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7" name="Skupina 238">
            <a:extLst>
              <a:ext uri="{FF2B5EF4-FFF2-40B4-BE49-F238E27FC236}">
                <a16:creationId xmlns:a16="http://schemas.microsoft.com/office/drawing/2014/main" id="{00000000-0008-0000-1600-00002F000000}"/>
              </a:ext>
            </a:extLst>
          </xdr:cNvPr>
          <xdr:cNvGrpSpPr>
            <a:grpSpLocks/>
          </xdr:cNvGrpSpPr>
        </xdr:nvGrpSpPr>
        <xdr:grpSpPr bwMode="auto">
          <a:xfrm>
            <a:off x="8155129" y="3823542"/>
            <a:ext cx="731342" cy="183302"/>
            <a:chOff x="5702735" y="21697458"/>
            <a:chExt cx="539648" cy="119658"/>
          </a:xfrm>
        </xdr:grpSpPr>
        <xdr:sp macro="" textlink="">
          <xdr:nvSpPr>
            <xdr:cNvPr id="48" name="Obdélník 47">
              <a:extLst>
                <a:ext uri="{FF2B5EF4-FFF2-40B4-BE49-F238E27FC236}">
                  <a16:creationId xmlns:a16="http://schemas.microsoft.com/office/drawing/2014/main" id="{00000000-0008-0000-1600-000030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101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49" name="Obdélník 30">
              <a:extLst>
                <a:ext uri="{FF2B5EF4-FFF2-40B4-BE49-F238E27FC236}">
                  <a16:creationId xmlns:a16="http://schemas.microsoft.com/office/drawing/2014/main" id="{00000000-0008-0000-1600-000031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50" name="Skupina 239">
            <a:extLst>
              <a:ext uri="{FF2B5EF4-FFF2-40B4-BE49-F238E27FC236}">
                <a16:creationId xmlns:a16="http://schemas.microsoft.com/office/drawing/2014/main" id="{00000000-0008-0000-1600-000032000000}"/>
              </a:ext>
            </a:extLst>
          </xdr:cNvPr>
          <xdr:cNvGrpSpPr>
            <a:grpSpLocks/>
          </xdr:cNvGrpSpPr>
        </xdr:nvGrpSpPr>
        <xdr:grpSpPr bwMode="auto">
          <a:xfrm>
            <a:off x="8154254" y="4881726"/>
            <a:ext cx="737519" cy="281254"/>
            <a:chOff x="5696171" y="22372523"/>
            <a:chExt cx="544206" cy="183600"/>
          </a:xfrm>
        </xdr:grpSpPr>
        <xdr:sp macro="" textlink="">
          <xdr:nvSpPr>
            <xdr:cNvPr id="51" name="Obdélník 23">
              <a:extLst>
                <a:ext uri="{FF2B5EF4-FFF2-40B4-BE49-F238E27FC236}">
                  <a16:creationId xmlns:a16="http://schemas.microsoft.com/office/drawing/2014/main" id="{00000000-0008-0000-1600-00003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5292" y="22385002"/>
              <a:ext cx="535085" cy="166089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52" name="Obdélník 30">
              <a:extLst>
                <a:ext uri="{FF2B5EF4-FFF2-40B4-BE49-F238E27FC236}">
                  <a16:creationId xmlns:a16="http://schemas.microsoft.com/office/drawing/2014/main" id="{00000000-0008-0000-1600-000034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14997" y="22453697"/>
              <a:ext cx="183600" cy="21251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 editAs="oneCell">
    <xdr:from>
      <xdr:col>23</xdr:col>
      <xdr:colOff>80209</xdr:colOff>
      <xdr:row>4</xdr:row>
      <xdr:rowOff>88235</xdr:rowOff>
    </xdr:from>
    <xdr:to>
      <xdr:col>29</xdr:col>
      <xdr:colOff>40799</xdr:colOff>
      <xdr:row>15</xdr:row>
      <xdr:rowOff>89309</xdr:rowOff>
    </xdr:to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16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06188" y="986593"/>
          <a:ext cx="1260000" cy="203040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72194</xdr:colOff>
      <xdr:row>3</xdr:row>
      <xdr:rowOff>280737</xdr:rowOff>
    </xdr:from>
    <xdr:to>
      <xdr:col>23</xdr:col>
      <xdr:colOff>169476</xdr:colOff>
      <xdr:row>14</xdr:row>
      <xdr:rowOff>128337</xdr:rowOff>
    </xdr:to>
    <xdr:grpSp>
      <xdr:nvGrpSpPr>
        <xdr:cNvPr id="2" name="Skupina 96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>
          <a:grpSpLocks noChangeAspect="1"/>
        </xdr:cNvGrpSpPr>
      </xdr:nvGrpSpPr>
      <xdr:grpSpPr bwMode="auto">
        <a:xfrm>
          <a:off x="3822036" y="892342"/>
          <a:ext cx="2262966" cy="1943100"/>
          <a:chOff x="9136789" y="4391025"/>
          <a:chExt cx="943124" cy="805761"/>
        </a:xfrm>
      </xdr:grpSpPr>
      <xdr:sp macro="" textlink="">
        <xdr:nvSpPr>
          <xdr:cNvPr id="3" name="Obdélník 98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9179719" y="4484886"/>
            <a:ext cx="771525" cy="418303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bdélník 99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9170194" y="4915644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" name="Obdélník 100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9136789" y="4433584"/>
            <a:ext cx="52456" cy="677893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" name="Volný tvar 101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7" name="Picture 24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</xdr:colOff>
      <xdr:row>70</xdr:row>
      <xdr:rowOff>67777</xdr:rowOff>
    </xdr:from>
    <xdr:to>
      <xdr:col>34</xdr:col>
      <xdr:colOff>0</xdr:colOff>
      <xdr:row>79</xdr:row>
      <xdr:rowOff>44917</xdr:rowOff>
    </xdr:to>
    <xdr:pic>
      <xdr:nvPicPr>
        <xdr:cNvPr id="8" name="Picture 1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13204657"/>
          <a:ext cx="2110740" cy="162306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205740</xdr:colOff>
      <xdr:row>70</xdr:row>
      <xdr:rowOff>143977</xdr:rowOff>
    </xdr:from>
    <xdr:to>
      <xdr:col>23</xdr:col>
      <xdr:colOff>68580</xdr:colOff>
      <xdr:row>79</xdr:row>
      <xdr:rowOff>176061</xdr:rowOff>
    </xdr:to>
    <xdr:grpSp>
      <xdr:nvGrpSpPr>
        <xdr:cNvPr id="9" name="Skupina 102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GrpSpPr>
          <a:grpSpLocks noChangeAspect="1"/>
        </xdr:cNvGrpSpPr>
      </xdr:nvGrpSpPr>
      <xdr:grpSpPr bwMode="auto">
        <a:xfrm>
          <a:off x="3714951" y="13138082"/>
          <a:ext cx="2269155" cy="1656347"/>
          <a:chOff x="1800224" y="3409923"/>
          <a:chExt cx="947819" cy="707831"/>
        </a:xfrm>
      </xdr:grpSpPr>
      <xdr:sp macro="" textlink="">
        <xdr:nvSpPr>
          <xdr:cNvPr id="10" name="Obdélník 103">
            <a:extLst>
              <a:ext uri="{FF2B5EF4-FFF2-40B4-BE49-F238E27FC236}">
                <a16:creationId xmlns:a16="http://schemas.microsoft.com/office/drawing/2014/main" id="{00000000-0008-0000-17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4" y="3695700"/>
            <a:ext cx="771525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" name="Obdélník 104">
            <a:extLst>
              <a:ext uri="{FF2B5EF4-FFF2-40B4-BE49-F238E27FC236}">
                <a16:creationId xmlns:a16="http://schemas.microsoft.com/office/drawing/2014/main" id="{00000000-0008-0000-1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800224" y="3562350"/>
            <a:ext cx="54000" cy="478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" name="Volný tvar 105">
            <a:extLst>
              <a:ext uri="{FF2B5EF4-FFF2-40B4-BE49-F238E27FC236}">
                <a16:creationId xmlns:a16="http://schemas.microsoft.com/office/drawing/2014/main" id="{00000000-0008-0000-1700-00000C000000}"/>
              </a:ext>
            </a:extLst>
          </xdr:cNvPr>
          <xdr:cNvSpPr>
            <a:spLocks/>
          </xdr:cNvSpPr>
        </xdr:nvSpPr>
        <xdr:spPr bwMode="auto">
          <a:xfrm>
            <a:off x="2457450" y="3409923"/>
            <a:ext cx="290593" cy="707831"/>
          </a:xfrm>
          <a:custGeom>
            <a:avLst/>
            <a:gdLst>
              <a:gd name="T0" fmla="*/ 177463 w 290593"/>
              <a:gd name="T1" fmla="*/ 34953 h 707831"/>
              <a:gd name="T2" fmla="*/ 95250 w 290593"/>
              <a:gd name="T3" fmla="*/ 38127 h 707831"/>
              <a:gd name="T4" fmla="*/ 38100 w 290593"/>
              <a:gd name="T5" fmla="*/ 57177 h 707831"/>
              <a:gd name="T6" fmla="*/ 85725 w 290593"/>
              <a:gd name="T7" fmla="*/ 104802 h 707831"/>
              <a:gd name="T8" fmla="*/ 57150 w 290593"/>
              <a:gd name="T9" fmla="*/ 266727 h 707831"/>
              <a:gd name="T10" fmla="*/ 28575 w 290593"/>
              <a:gd name="T11" fmla="*/ 276252 h 707831"/>
              <a:gd name="T12" fmla="*/ 28575 w 290593"/>
              <a:gd name="T13" fmla="*/ 381027 h 707831"/>
              <a:gd name="T14" fmla="*/ 47625 w 290593"/>
              <a:gd name="T15" fmla="*/ 409602 h 707831"/>
              <a:gd name="T16" fmla="*/ 38100 w 290593"/>
              <a:gd name="T17" fmla="*/ 466752 h 707831"/>
              <a:gd name="T18" fmla="*/ 9525 w 290593"/>
              <a:gd name="T19" fmla="*/ 476277 h 707831"/>
              <a:gd name="T20" fmla="*/ 0 w 290593"/>
              <a:gd name="T21" fmla="*/ 504852 h 707831"/>
              <a:gd name="T22" fmla="*/ 19050 w 290593"/>
              <a:gd name="T23" fmla="*/ 562002 h 707831"/>
              <a:gd name="T24" fmla="*/ 57150 w 290593"/>
              <a:gd name="T25" fmla="*/ 619152 h 707831"/>
              <a:gd name="T26" fmla="*/ 57150 w 290593"/>
              <a:gd name="T27" fmla="*/ 704877 h 707831"/>
              <a:gd name="T28" fmla="*/ 266700 w 290593"/>
              <a:gd name="T29" fmla="*/ 666777 h 707831"/>
              <a:gd name="T30" fmla="*/ 266700 w 290593"/>
              <a:gd name="T31" fmla="*/ 400077 h 707831"/>
              <a:gd name="T32" fmla="*/ 277649 w 290593"/>
              <a:gd name="T33" fmla="*/ 43188 h 707831"/>
              <a:gd name="T34" fmla="*/ 177463 w 290593"/>
              <a:gd name="T35" fmla="*/ 34953 h 707831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w 290593"/>
              <a:gd name="T55" fmla="*/ 0 h 707831"/>
              <a:gd name="T56" fmla="*/ 290593 w 290593"/>
              <a:gd name="T57" fmla="*/ 707831 h 707831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T54" t="T55" r="T56" b="T57"/>
            <a:pathLst>
              <a:path w="290593" h="707831">
                <a:moveTo>
                  <a:pt x="177463" y="34953"/>
                </a:moveTo>
                <a:lnTo>
                  <a:pt x="95250" y="38127"/>
                </a:lnTo>
                <a:cubicBezTo>
                  <a:pt x="82027" y="53239"/>
                  <a:pt x="38100" y="57177"/>
                  <a:pt x="38100" y="57177"/>
                </a:cubicBezTo>
                <a:cubicBezTo>
                  <a:pt x="52096" y="66508"/>
                  <a:pt x="84429" y="82771"/>
                  <a:pt x="85725" y="104802"/>
                </a:cubicBezTo>
                <a:cubicBezTo>
                  <a:pt x="86693" y="121255"/>
                  <a:pt x="98014" y="234036"/>
                  <a:pt x="57150" y="266727"/>
                </a:cubicBezTo>
                <a:cubicBezTo>
                  <a:pt x="49310" y="272999"/>
                  <a:pt x="38100" y="273077"/>
                  <a:pt x="28575" y="276252"/>
                </a:cubicBezTo>
                <a:cubicBezTo>
                  <a:pt x="13701" y="320873"/>
                  <a:pt x="10804" y="315866"/>
                  <a:pt x="28575" y="381027"/>
                </a:cubicBezTo>
                <a:cubicBezTo>
                  <a:pt x="31587" y="392071"/>
                  <a:pt x="41275" y="400077"/>
                  <a:pt x="47625" y="409602"/>
                </a:cubicBezTo>
                <a:cubicBezTo>
                  <a:pt x="44450" y="428652"/>
                  <a:pt x="47682" y="449984"/>
                  <a:pt x="38100" y="466752"/>
                </a:cubicBezTo>
                <a:cubicBezTo>
                  <a:pt x="33119" y="475469"/>
                  <a:pt x="16625" y="469177"/>
                  <a:pt x="9525" y="476277"/>
                </a:cubicBezTo>
                <a:cubicBezTo>
                  <a:pt x="2425" y="483377"/>
                  <a:pt x="3175" y="495327"/>
                  <a:pt x="0" y="504852"/>
                </a:cubicBezTo>
                <a:cubicBezTo>
                  <a:pt x="6350" y="523902"/>
                  <a:pt x="7911" y="545294"/>
                  <a:pt x="19050" y="562002"/>
                </a:cubicBezTo>
                <a:lnTo>
                  <a:pt x="57150" y="619152"/>
                </a:lnTo>
                <a:cubicBezTo>
                  <a:pt x="51516" y="636053"/>
                  <a:pt x="26742" y="695521"/>
                  <a:pt x="57150" y="704877"/>
                </a:cubicBezTo>
                <a:cubicBezTo>
                  <a:pt x="66751" y="707831"/>
                  <a:pt x="248114" y="670494"/>
                  <a:pt x="266700" y="666777"/>
                </a:cubicBezTo>
                <a:cubicBezTo>
                  <a:pt x="290593" y="523418"/>
                  <a:pt x="266700" y="691332"/>
                  <a:pt x="266700" y="400077"/>
                </a:cubicBezTo>
                <a:cubicBezTo>
                  <a:pt x="266700" y="173325"/>
                  <a:pt x="264532" y="226829"/>
                  <a:pt x="277649" y="43188"/>
                </a:cubicBezTo>
                <a:cubicBezTo>
                  <a:pt x="191272" y="0"/>
                  <a:pt x="212388" y="39716"/>
                  <a:pt x="177463" y="3495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</xdr:col>
      <xdr:colOff>403860</xdr:colOff>
      <xdr:row>86</xdr:row>
      <xdr:rowOff>45720</xdr:rowOff>
    </xdr:from>
    <xdr:to>
      <xdr:col>23</xdr:col>
      <xdr:colOff>129540</xdr:colOff>
      <xdr:row>94</xdr:row>
      <xdr:rowOff>160020</xdr:rowOff>
    </xdr:to>
    <xdr:pic>
      <xdr:nvPicPr>
        <xdr:cNvPr id="13" name="Obrázek 17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16108680"/>
          <a:ext cx="40919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16042</xdr:colOff>
      <xdr:row>5</xdr:row>
      <xdr:rowOff>48129</xdr:rowOff>
    </xdr:from>
    <xdr:to>
      <xdr:col>23</xdr:col>
      <xdr:colOff>88232</xdr:colOff>
      <xdr:row>14</xdr:row>
      <xdr:rowOff>164033</xdr:rowOff>
    </xdr:to>
    <xdr:grpSp>
      <xdr:nvGrpSpPr>
        <xdr:cNvPr id="14" name="Skupina 2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GrpSpPr>
          <a:grpSpLocks noChangeAspect="1"/>
        </xdr:cNvGrpSpPr>
      </xdr:nvGrpSpPr>
      <xdr:grpSpPr bwMode="auto">
        <a:xfrm>
          <a:off x="4487779" y="1130971"/>
          <a:ext cx="1515979" cy="1740167"/>
          <a:chOff x="1805259" y="3377086"/>
          <a:chExt cx="638606" cy="740669"/>
        </a:xfrm>
      </xdr:grpSpPr>
      <xdr:sp macro="" textlink="">
        <xdr:nvSpPr>
          <xdr:cNvPr id="15" name="Obdélník 19">
            <a:extLst>
              <a:ext uri="{FF2B5EF4-FFF2-40B4-BE49-F238E27FC236}">
                <a16:creationId xmlns:a16="http://schemas.microsoft.com/office/drawing/2014/main" id="{00000000-0008-0000-17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838325" y="3695700"/>
            <a:ext cx="553256" cy="30480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" name="Obdélník 18">
            <a:extLst>
              <a:ext uri="{FF2B5EF4-FFF2-40B4-BE49-F238E27FC236}">
                <a16:creationId xmlns:a16="http://schemas.microsoft.com/office/drawing/2014/main" id="{00000000-0008-0000-17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1805259" y="3562350"/>
            <a:ext cx="52116" cy="51435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" name="Volný tvar 20">
            <a:extLst>
              <a:ext uri="{FF2B5EF4-FFF2-40B4-BE49-F238E27FC236}">
                <a16:creationId xmlns:a16="http://schemas.microsoft.com/office/drawing/2014/main" id="{00000000-0008-0000-1700-000011000000}"/>
              </a:ext>
            </a:extLst>
          </xdr:cNvPr>
          <xdr:cNvSpPr>
            <a:spLocks/>
          </xdr:cNvSpPr>
        </xdr:nvSpPr>
        <xdr:spPr bwMode="auto">
          <a:xfrm>
            <a:off x="2192299" y="3377086"/>
            <a:ext cx="251566" cy="740669"/>
          </a:xfrm>
          <a:custGeom>
            <a:avLst/>
            <a:gdLst>
              <a:gd name="T0" fmla="*/ 76200 w 290593"/>
              <a:gd name="T1" fmla="*/ 16 h 817667"/>
              <a:gd name="T2" fmla="*/ 76200 w 290593"/>
              <a:gd name="T3" fmla="*/ 16 h 817667"/>
              <a:gd name="T4" fmla="*/ 95250 w 290593"/>
              <a:gd name="T5" fmla="*/ 161 h 817667"/>
              <a:gd name="T6" fmla="*/ 38100 w 290593"/>
              <a:gd name="T7" fmla="*/ 181 h 817667"/>
              <a:gd name="T8" fmla="*/ 85725 w 290593"/>
              <a:gd name="T9" fmla="*/ 233 h 817667"/>
              <a:gd name="T10" fmla="*/ 65211 w 290593"/>
              <a:gd name="T11" fmla="*/ 318 h 817667"/>
              <a:gd name="T12" fmla="*/ 28575 w 290593"/>
              <a:gd name="T13" fmla="*/ 421 h 817667"/>
              <a:gd name="T14" fmla="*/ 28575 w 290593"/>
              <a:gd name="T15" fmla="*/ 534 h 817667"/>
              <a:gd name="T16" fmla="*/ 47625 w 290593"/>
              <a:gd name="T17" fmla="*/ 566 h 817667"/>
              <a:gd name="T18" fmla="*/ 38100 w 290593"/>
              <a:gd name="T19" fmla="*/ 627 h 817667"/>
              <a:gd name="T20" fmla="*/ 9525 w 290593"/>
              <a:gd name="T21" fmla="*/ 637 h 817667"/>
              <a:gd name="T22" fmla="*/ 0 w 290593"/>
              <a:gd name="T23" fmla="*/ 668 h 817667"/>
              <a:gd name="T24" fmla="*/ 19050 w 290593"/>
              <a:gd name="T25" fmla="*/ 730 h 817667"/>
              <a:gd name="T26" fmla="*/ 57150 w 290593"/>
              <a:gd name="T27" fmla="*/ 793 h 817667"/>
              <a:gd name="T28" fmla="*/ 57150 w 290593"/>
              <a:gd name="T29" fmla="*/ 885 h 817667"/>
              <a:gd name="T30" fmla="*/ 266700 w 290593"/>
              <a:gd name="T31" fmla="*/ 844 h 817667"/>
              <a:gd name="T32" fmla="*/ 266700 w 290593"/>
              <a:gd name="T33" fmla="*/ 554 h 817667"/>
              <a:gd name="T34" fmla="*/ 285750 w 290593"/>
              <a:gd name="T35" fmla="*/ 47 h 817667"/>
              <a:gd name="T36" fmla="*/ 76200 w 290593"/>
              <a:gd name="T37" fmla="*/ 16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23</xdr:col>
      <xdr:colOff>80210</xdr:colOff>
      <xdr:row>4</xdr:row>
      <xdr:rowOff>88233</xdr:rowOff>
    </xdr:from>
    <xdr:to>
      <xdr:col>29</xdr:col>
      <xdr:colOff>40800</xdr:colOff>
      <xdr:row>15</xdr:row>
      <xdr:rowOff>89307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1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06189" y="986591"/>
          <a:ext cx="1260000" cy="2030400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>
    <xdr:from>
      <xdr:col>35</xdr:col>
      <xdr:colOff>104277</xdr:colOff>
      <xdr:row>16</xdr:row>
      <xdr:rowOff>40088</xdr:rowOff>
    </xdr:from>
    <xdr:to>
      <xdr:col>39</xdr:col>
      <xdr:colOff>105980</xdr:colOff>
      <xdr:row>27</xdr:row>
      <xdr:rowOff>47706</xdr:rowOff>
    </xdr:to>
    <xdr:grpSp>
      <xdr:nvGrpSpPr>
        <xdr:cNvPr id="47" name="Skupina 46">
          <a:extLst>
            <a:ext uri="{FF2B5EF4-FFF2-40B4-BE49-F238E27FC236}">
              <a16:creationId xmlns:a16="http://schemas.microsoft.com/office/drawing/2014/main" id="{00000000-0008-0000-1700-00002F000000}"/>
            </a:ext>
          </a:extLst>
        </xdr:cNvPr>
        <xdr:cNvGrpSpPr/>
      </xdr:nvGrpSpPr>
      <xdr:grpSpPr>
        <a:xfrm>
          <a:off x="8907382" y="3108141"/>
          <a:ext cx="964230" cy="1992828"/>
          <a:chOff x="8029077" y="3152256"/>
          <a:chExt cx="867977" cy="2036945"/>
        </a:xfrm>
      </xdr:grpSpPr>
      <xdr:grpSp>
        <xdr:nvGrpSpPr>
          <xdr:cNvPr id="21" name="Skupina 238">
            <a:extLst>
              <a:ext uri="{FF2B5EF4-FFF2-40B4-BE49-F238E27FC236}">
                <a16:creationId xmlns:a16="http://schemas.microsoft.com/office/drawing/2014/main" id="{00000000-0008-0000-1700-000015000000}"/>
              </a:ext>
            </a:extLst>
          </xdr:cNvPr>
          <xdr:cNvGrpSpPr>
            <a:grpSpLocks/>
          </xdr:cNvGrpSpPr>
        </xdr:nvGrpSpPr>
        <xdr:grpSpPr bwMode="auto">
          <a:xfrm>
            <a:off x="8155129" y="3270092"/>
            <a:ext cx="731342" cy="183302"/>
            <a:chOff x="5702735" y="21697458"/>
            <a:chExt cx="539648" cy="119658"/>
          </a:xfrm>
        </xdr:grpSpPr>
        <xdr:sp macro="" textlink="">
          <xdr:nvSpPr>
            <xdr:cNvPr id="30" name="Obdélník 29">
              <a:extLst>
                <a:ext uri="{FF2B5EF4-FFF2-40B4-BE49-F238E27FC236}">
                  <a16:creationId xmlns:a16="http://schemas.microsoft.com/office/drawing/2014/main" id="{00000000-0008-0000-1700-00001E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101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31" name="Obdélník 30">
              <a:extLst>
                <a:ext uri="{FF2B5EF4-FFF2-40B4-BE49-F238E27FC236}">
                  <a16:creationId xmlns:a16="http://schemas.microsoft.com/office/drawing/2014/main" id="{00000000-0008-0000-1700-00001F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22" name="Skupina 21">
            <a:extLst>
              <a:ext uri="{FF2B5EF4-FFF2-40B4-BE49-F238E27FC236}">
                <a16:creationId xmlns:a16="http://schemas.microsoft.com/office/drawing/2014/main" id="{00000000-0008-0000-1700-000016000000}"/>
              </a:ext>
            </a:extLst>
          </xdr:cNvPr>
          <xdr:cNvGrpSpPr/>
        </xdr:nvGrpSpPr>
        <xdr:grpSpPr>
          <a:xfrm>
            <a:off x="8154255" y="4304212"/>
            <a:ext cx="742799" cy="281254"/>
            <a:chOff x="8146234" y="4304212"/>
            <a:chExt cx="742799" cy="281254"/>
          </a:xfrm>
        </xdr:grpSpPr>
        <xdr:sp macro="" textlink="">
          <xdr:nvSpPr>
            <xdr:cNvPr id="27" name="Obdélník 23">
              <a:extLst>
                <a:ext uri="{FF2B5EF4-FFF2-40B4-BE49-F238E27FC236}">
                  <a16:creationId xmlns:a16="http://schemas.microsoft.com/office/drawing/2014/main" id="{00000000-0008-0000-1700-00001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28" name="Obdélník 98">
              <a:extLst>
                <a:ext uri="{FF2B5EF4-FFF2-40B4-BE49-F238E27FC236}">
                  <a16:creationId xmlns:a16="http://schemas.microsoft.com/office/drawing/2014/main" id="{00000000-0008-0000-1700-00001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65433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29" name="Obdélník 30">
              <a:extLst>
                <a:ext uri="{FF2B5EF4-FFF2-40B4-BE49-F238E27FC236}">
                  <a16:creationId xmlns:a16="http://schemas.microsoft.com/office/drawing/2014/main" id="{00000000-0008-0000-1700-00001D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20007" y="4430439"/>
              <a:ext cx="281254" cy="288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24" name="Obdélník 24">
            <a:extLst>
              <a:ext uri="{FF2B5EF4-FFF2-40B4-BE49-F238E27FC236}">
                <a16:creationId xmlns:a16="http://schemas.microsoft.com/office/drawing/2014/main" id="{00000000-0008-0000-17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8029077" y="3152256"/>
            <a:ext cx="82086" cy="203694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36" name="Skupina 238">
            <a:extLst>
              <a:ext uri="{FF2B5EF4-FFF2-40B4-BE49-F238E27FC236}">
                <a16:creationId xmlns:a16="http://schemas.microsoft.com/office/drawing/2014/main" id="{00000000-0008-0000-1700-000024000000}"/>
              </a:ext>
            </a:extLst>
          </xdr:cNvPr>
          <xdr:cNvGrpSpPr>
            <a:grpSpLocks/>
          </xdr:cNvGrpSpPr>
        </xdr:nvGrpSpPr>
        <xdr:grpSpPr bwMode="auto">
          <a:xfrm>
            <a:off x="8157411" y="3818019"/>
            <a:ext cx="731342" cy="183302"/>
            <a:chOff x="5702735" y="21697458"/>
            <a:chExt cx="539648" cy="119658"/>
          </a:xfrm>
        </xdr:grpSpPr>
        <xdr:sp macro="" textlink="">
          <xdr:nvSpPr>
            <xdr:cNvPr id="37" name="Obdélník 36">
              <a:extLst>
                <a:ext uri="{FF2B5EF4-FFF2-40B4-BE49-F238E27FC236}">
                  <a16:creationId xmlns:a16="http://schemas.microsoft.com/office/drawing/2014/main" id="{00000000-0008-0000-1700-00002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07298" y="21712036"/>
              <a:ext cx="535085" cy="103402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/>
            <a:lstStyle/>
            <a:p>
              <a:pPr algn="ctr"/>
              <a:r>
                <a:rPr lang="sk-SK" sz="1000" b="1">
                  <a:solidFill>
                    <a:schemeClr val="bg1"/>
                  </a:solidFill>
                  <a:latin typeface="Verdana" panose="020B0604030504040204" pitchFamily="34" charset="0"/>
                  <a:ea typeface="Verdana" panose="020B0604030504040204" pitchFamily="34" charset="0"/>
                </a:rPr>
                <a:t>101</a:t>
              </a:r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38" name="Obdélník 37">
              <a:extLst>
                <a:ext uri="{FF2B5EF4-FFF2-40B4-BE49-F238E27FC236}">
                  <a16:creationId xmlns:a16="http://schemas.microsoft.com/office/drawing/2014/main" id="{00000000-0008-0000-1700-000026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5652204" y="21747989"/>
              <a:ext cx="119658" cy="18595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43" name="Skupina 42">
            <a:extLst>
              <a:ext uri="{FF2B5EF4-FFF2-40B4-BE49-F238E27FC236}">
                <a16:creationId xmlns:a16="http://schemas.microsoft.com/office/drawing/2014/main" id="{00000000-0008-0000-1700-00002B000000}"/>
              </a:ext>
            </a:extLst>
          </xdr:cNvPr>
          <xdr:cNvGrpSpPr/>
        </xdr:nvGrpSpPr>
        <xdr:grpSpPr>
          <a:xfrm>
            <a:off x="8156589" y="4876797"/>
            <a:ext cx="730318" cy="281254"/>
            <a:chOff x="8153434" y="4304212"/>
            <a:chExt cx="730318" cy="281254"/>
          </a:xfrm>
        </xdr:grpSpPr>
        <xdr:sp macro="" textlink="">
          <xdr:nvSpPr>
            <xdr:cNvPr id="44" name="Obdélník 23">
              <a:extLst>
                <a:ext uri="{FF2B5EF4-FFF2-40B4-BE49-F238E27FC236}">
                  <a16:creationId xmlns:a16="http://schemas.microsoft.com/office/drawing/2014/main" id="{00000000-0008-0000-1700-00002C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45" name="Obdélník 98">
              <a:extLst>
                <a:ext uri="{FF2B5EF4-FFF2-40B4-BE49-F238E27FC236}">
                  <a16:creationId xmlns:a16="http://schemas.microsoft.com/office/drawing/2014/main" id="{00000000-0008-0000-1700-00002D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7412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46" name="Obdélník 30">
              <a:extLst>
                <a:ext uri="{FF2B5EF4-FFF2-40B4-BE49-F238E27FC236}">
                  <a16:creationId xmlns:a16="http://schemas.microsoft.com/office/drawing/2014/main" id="{00000000-0008-0000-1700-00002E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23607" y="4434039"/>
              <a:ext cx="281254" cy="21600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72194</xdr:colOff>
      <xdr:row>3</xdr:row>
      <xdr:rowOff>280737</xdr:rowOff>
    </xdr:from>
    <xdr:to>
      <xdr:col>23</xdr:col>
      <xdr:colOff>169476</xdr:colOff>
      <xdr:row>14</xdr:row>
      <xdr:rowOff>128337</xdr:rowOff>
    </xdr:to>
    <xdr:grpSp>
      <xdr:nvGrpSpPr>
        <xdr:cNvPr id="2" name="Skupina 96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pSpPr>
          <a:grpSpLocks noChangeAspect="1"/>
        </xdr:cNvGrpSpPr>
      </xdr:nvGrpSpPr>
      <xdr:grpSpPr bwMode="auto">
        <a:xfrm>
          <a:off x="3822036" y="892342"/>
          <a:ext cx="2262966" cy="1943100"/>
          <a:chOff x="9136789" y="4391025"/>
          <a:chExt cx="943124" cy="805761"/>
        </a:xfrm>
      </xdr:grpSpPr>
      <xdr:sp macro="" textlink="">
        <xdr:nvSpPr>
          <xdr:cNvPr id="3" name="Obdélník 98">
            <a:extLst>
              <a:ext uri="{FF2B5EF4-FFF2-40B4-BE49-F238E27FC236}">
                <a16:creationId xmlns:a16="http://schemas.microsoft.com/office/drawing/2014/main" id="{00000000-0008-0000-18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9179719" y="4484886"/>
            <a:ext cx="771525" cy="418303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bdélník 99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9170194" y="4915644"/>
            <a:ext cx="771525" cy="126452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" name="Obdélník 100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9136789" y="4433584"/>
            <a:ext cx="52456" cy="677893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" name="Volný tvar 101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>
            <a:spLocks/>
          </xdr:cNvSpPr>
        </xdr:nvSpPr>
        <xdr:spPr bwMode="auto">
          <a:xfrm>
            <a:off x="9789320" y="4391025"/>
            <a:ext cx="290593" cy="805761"/>
          </a:xfrm>
          <a:custGeom>
            <a:avLst/>
            <a:gdLst>
              <a:gd name="T0" fmla="*/ 76200 w 290593"/>
              <a:gd name="T1" fmla="*/ 5010 h 817667"/>
              <a:gd name="T2" fmla="*/ 76200 w 290593"/>
              <a:gd name="T3" fmla="*/ 5010 h 817667"/>
              <a:gd name="T4" fmla="*/ 77390 w 290593"/>
              <a:gd name="T5" fmla="*/ 34148 h 817667"/>
              <a:gd name="T6" fmla="*/ 38100 w 290593"/>
              <a:gd name="T7" fmla="*/ 57244 h 817667"/>
              <a:gd name="T8" fmla="*/ 85725 w 290593"/>
              <a:gd name="T9" fmla="*/ 73568 h 817667"/>
              <a:gd name="T10" fmla="*/ 57150 w 290593"/>
              <a:gd name="T11" fmla="*/ 129068 h 817667"/>
              <a:gd name="T12" fmla="*/ 28575 w 290593"/>
              <a:gd name="T13" fmla="*/ 132332 h 817667"/>
              <a:gd name="T14" fmla="*/ 28575 w 290593"/>
              <a:gd name="T15" fmla="*/ 168242 h 817667"/>
              <a:gd name="T16" fmla="*/ 47625 w 290593"/>
              <a:gd name="T17" fmla="*/ 178034 h 817667"/>
              <a:gd name="T18" fmla="*/ 38100 w 290593"/>
              <a:gd name="T19" fmla="*/ 197624 h 817667"/>
              <a:gd name="T20" fmla="*/ 9525 w 290593"/>
              <a:gd name="T21" fmla="*/ 200890 h 817667"/>
              <a:gd name="T22" fmla="*/ 0 w 290593"/>
              <a:gd name="T23" fmla="*/ 210682 h 817667"/>
              <a:gd name="T24" fmla="*/ 19050 w 290593"/>
              <a:gd name="T25" fmla="*/ 230271 h 817667"/>
              <a:gd name="T26" fmla="*/ 57150 w 290593"/>
              <a:gd name="T27" fmla="*/ 249858 h 817667"/>
              <a:gd name="T28" fmla="*/ 57150 w 290593"/>
              <a:gd name="T29" fmla="*/ 279239 h 817667"/>
              <a:gd name="T30" fmla="*/ 266700 w 290593"/>
              <a:gd name="T31" fmla="*/ 266183 h 817667"/>
              <a:gd name="T32" fmla="*/ 266700 w 290593"/>
              <a:gd name="T33" fmla="*/ 174772 h 817667"/>
              <a:gd name="T34" fmla="*/ 285750 w 290593"/>
              <a:gd name="T35" fmla="*/ 14801 h 817667"/>
              <a:gd name="T36" fmla="*/ 76200 w 290593"/>
              <a:gd name="T37" fmla="*/ 5010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09205" y="63275"/>
                  <a:pt x="77390" y="99635"/>
                </a:cubicBezTo>
                <a:cubicBezTo>
                  <a:pt x="64167" y="114747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98014" y="343872"/>
                  <a:pt x="57150" y="376563"/>
                </a:cubicBezTo>
                <a:cubicBezTo>
                  <a:pt x="49310" y="382835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45</xdr:col>
      <xdr:colOff>144780</xdr:colOff>
      <xdr:row>1</xdr:row>
      <xdr:rowOff>106680</xdr:rowOff>
    </xdr:from>
    <xdr:to>
      <xdr:col>63</xdr:col>
      <xdr:colOff>487680</xdr:colOff>
      <xdr:row>4</xdr:row>
      <xdr:rowOff>144780</xdr:rowOff>
    </xdr:to>
    <xdr:pic>
      <xdr:nvPicPr>
        <xdr:cNvPr id="7" name="Picture 24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66700"/>
          <a:ext cx="9601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80210</xdr:colOff>
      <xdr:row>4</xdr:row>
      <xdr:rowOff>88233</xdr:rowOff>
    </xdr:from>
    <xdr:to>
      <xdr:col>29</xdr:col>
      <xdr:colOff>40800</xdr:colOff>
      <xdr:row>15</xdr:row>
      <xdr:rowOff>89307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8010" y="987393"/>
          <a:ext cx="1240750" cy="2012754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>
    <xdr:from>
      <xdr:col>35</xdr:col>
      <xdr:colOff>104277</xdr:colOff>
      <xdr:row>16</xdr:row>
      <xdr:rowOff>40088</xdr:rowOff>
    </xdr:from>
    <xdr:to>
      <xdr:col>39</xdr:col>
      <xdr:colOff>105980</xdr:colOff>
      <xdr:row>27</xdr:row>
      <xdr:rowOff>47706</xdr:rowOff>
    </xdr:to>
    <xdr:grpSp>
      <xdr:nvGrpSpPr>
        <xdr:cNvPr id="46" name="Skupina 45">
          <a:extLst>
            <a:ext uri="{FF2B5EF4-FFF2-40B4-BE49-F238E27FC236}">
              <a16:creationId xmlns:a16="http://schemas.microsoft.com/office/drawing/2014/main" id="{00000000-0008-0000-1800-00002E000000}"/>
            </a:ext>
          </a:extLst>
        </xdr:cNvPr>
        <xdr:cNvGrpSpPr/>
      </xdr:nvGrpSpPr>
      <xdr:grpSpPr>
        <a:xfrm>
          <a:off x="8907382" y="3108141"/>
          <a:ext cx="964230" cy="1992828"/>
          <a:chOff x="8029077" y="3152256"/>
          <a:chExt cx="867977" cy="2036945"/>
        </a:xfrm>
      </xdr:grpSpPr>
      <xdr:grpSp>
        <xdr:nvGrpSpPr>
          <xdr:cNvPr id="21" name="Skupina 20">
            <a:extLst>
              <a:ext uri="{FF2B5EF4-FFF2-40B4-BE49-F238E27FC236}">
                <a16:creationId xmlns:a16="http://schemas.microsoft.com/office/drawing/2014/main" id="{00000000-0008-0000-1800-000015000000}"/>
              </a:ext>
            </a:extLst>
          </xdr:cNvPr>
          <xdr:cNvGrpSpPr/>
        </xdr:nvGrpSpPr>
        <xdr:grpSpPr>
          <a:xfrm>
            <a:off x="8150655" y="4320254"/>
            <a:ext cx="746399" cy="281254"/>
            <a:chOff x="8142634" y="4304212"/>
            <a:chExt cx="746399" cy="281254"/>
          </a:xfrm>
        </xdr:grpSpPr>
        <xdr:sp macro="" textlink="">
          <xdr:nvSpPr>
            <xdr:cNvPr id="30" name="Obdélník 23">
              <a:extLst>
                <a:ext uri="{FF2B5EF4-FFF2-40B4-BE49-F238E27FC236}">
                  <a16:creationId xmlns:a16="http://schemas.microsoft.com/office/drawing/2014/main" id="{00000000-0008-0000-1800-00001E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31" name="Obdélník 98">
              <a:extLst>
                <a:ext uri="{FF2B5EF4-FFF2-40B4-BE49-F238E27FC236}">
                  <a16:creationId xmlns:a16="http://schemas.microsoft.com/office/drawing/2014/main" id="{00000000-0008-0000-1800-00001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65433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32" name="Obdélník 30">
              <a:extLst>
                <a:ext uri="{FF2B5EF4-FFF2-40B4-BE49-F238E27FC236}">
                  <a16:creationId xmlns:a16="http://schemas.microsoft.com/office/drawing/2014/main" id="{00000000-0008-0000-1800-000020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18207" y="4428639"/>
              <a:ext cx="281254" cy="32400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22" name="Obdélník 24">
            <a:extLst>
              <a:ext uri="{FF2B5EF4-FFF2-40B4-BE49-F238E27FC236}">
                <a16:creationId xmlns:a16="http://schemas.microsoft.com/office/drawing/2014/main" id="{00000000-0008-0000-1800-000016000000}"/>
              </a:ext>
            </a:extLst>
          </xdr:cNvPr>
          <xdr:cNvSpPr>
            <a:spLocks noChangeArrowheads="1"/>
          </xdr:cNvSpPr>
        </xdr:nvSpPr>
        <xdr:spPr bwMode="auto">
          <a:xfrm>
            <a:off x="8029077" y="3152256"/>
            <a:ext cx="82086" cy="2036945"/>
          </a:xfrm>
          <a:prstGeom prst="rect">
            <a:avLst/>
          </a:prstGeom>
          <a:solidFill>
            <a:srgbClr val="FFFFE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24" name="Skupina 23">
            <a:extLst>
              <a:ext uri="{FF2B5EF4-FFF2-40B4-BE49-F238E27FC236}">
                <a16:creationId xmlns:a16="http://schemas.microsoft.com/office/drawing/2014/main" id="{00000000-0008-0000-1800-000018000000}"/>
              </a:ext>
            </a:extLst>
          </xdr:cNvPr>
          <xdr:cNvGrpSpPr/>
        </xdr:nvGrpSpPr>
        <xdr:grpSpPr>
          <a:xfrm>
            <a:off x="8145789" y="4868776"/>
            <a:ext cx="741118" cy="281254"/>
            <a:chOff x="8142634" y="4304212"/>
            <a:chExt cx="741118" cy="281254"/>
          </a:xfrm>
        </xdr:grpSpPr>
        <xdr:sp macro="" textlink="">
          <xdr:nvSpPr>
            <xdr:cNvPr id="25" name="Obdélník 23">
              <a:extLst>
                <a:ext uri="{FF2B5EF4-FFF2-40B4-BE49-F238E27FC236}">
                  <a16:creationId xmlns:a16="http://schemas.microsoft.com/office/drawing/2014/main" id="{00000000-0008-0000-1800-00001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26" name="Obdélník 98">
              <a:extLst>
                <a:ext uri="{FF2B5EF4-FFF2-40B4-BE49-F238E27FC236}">
                  <a16:creationId xmlns:a16="http://schemas.microsoft.com/office/drawing/2014/main" id="{00000000-0008-0000-1800-00001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7412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27" name="Obdélník 30">
              <a:extLst>
                <a:ext uri="{FF2B5EF4-FFF2-40B4-BE49-F238E27FC236}">
                  <a16:creationId xmlns:a16="http://schemas.microsoft.com/office/drawing/2014/main" id="{00000000-0008-0000-1800-00001B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18207" y="4428639"/>
              <a:ext cx="281254" cy="32400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35" name="Skupina 34">
            <a:extLst>
              <a:ext uri="{FF2B5EF4-FFF2-40B4-BE49-F238E27FC236}">
                <a16:creationId xmlns:a16="http://schemas.microsoft.com/office/drawing/2014/main" id="{00000000-0008-0000-1800-000023000000}"/>
              </a:ext>
            </a:extLst>
          </xdr:cNvPr>
          <xdr:cNvGrpSpPr/>
        </xdr:nvGrpSpPr>
        <xdr:grpSpPr>
          <a:xfrm>
            <a:off x="8150655" y="3774822"/>
            <a:ext cx="746399" cy="281254"/>
            <a:chOff x="8142634" y="4304212"/>
            <a:chExt cx="746399" cy="281254"/>
          </a:xfrm>
        </xdr:grpSpPr>
        <xdr:sp macro="" textlink="">
          <xdr:nvSpPr>
            <xdr:cNvPr id="36" name="Obdélník 23">
              <a:extLst>
                <a:ext uri="{FF2B5EF4-FFF2-40B4-BE49-F238E27FC236}">
                  <a16:creationId xmlns:a16="http://schemas.microsoft.com/office/drawing/2014/main" id="{00000000-0008-0000-1800-00002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37" name="Obdélník 98">
              <a:extLst>
                <a:ext uri="{FF2B5EF4-FFF2-40B4-BE49-F238E27FC236}">
                  <a16:creationId xmlns:a16="http://schemas.microsoft.com/office/drawing/2014/main" id="{00000000-0008-0000-1800-00002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65433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38" name="Obdélník 30">
              <a:extLst>
                <a:ext uri="{FF2B5EF4-FFF2-40B4-BE49-F238E27FC236}">
                  <a16:creationId xmlns:a16="http://schemas.microsoft.com/office/drawing/2014/main" id="{00000000-0008-0000-1800-000026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18207" y="4428639"/>
              <a:ext cx="281254" cy="32400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39" name="Skupina 38">
            <a:extLst>
              <a:ext uri="{FF2B5EF4-FFF2-40B4-BE49-F238E27FC236}">
                <a16:creationId xmlns:a16="http://schemas.microsoft.com/office/drawing/2014/main" id="{00000000-0008-0000-1800-000027000000}"/>
              </a:ext>
            </a:extLst>
          </xdr:cNvPr>
          <xdr:cNvGrpSpPr/>
        </xdr:nvGrpSpPr>
        <xdr:grpSpPr>
          <a:xfrm>
            <a:off x="8150655" y="3229392"/>
            <a:ext cx="746399" cy="281254"/>
            <a:chOff x="8142634" y="4304212"/>
            <a:chExt cx="746399" cy="281254"/>
          </a:xfrm>
        </xdr:grpSpPr>
        <xdr:sp macro="" textlink="">
          <xdr:nvSpPr>
            <xdr:cNvPr id="40" name="Obdélník 23">
              <a:extLst>
                <a:ext uri="{FF2B5EF4-FFF2-40B4-BE49-F238E27FC236}">
                  <a16:creationId xmlns:a16="http://schemas.microsoft.com/office/drawing/2014/main" id="{00000000-0008-0000-1800-00002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58594" y="4523874"/>
              <a:ext cx="725158" cy="53884"/>
            </a:xfrm>
            <a:prstGeom prst="rect">
              <a:avLst/>
            </a:prstGeom>
            <a:solidFill>
              <a:srgbClr val="7F7F7F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endParaRPr lang="sk-SK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endParaRPr>
            </a:p>
          </xdr:txBody>
        </xdr:sp>
        <xdr:sp macro="" textlink="">
          <xdr:nvSpPr>
            <xdr:cNvPr id="41" name="Obdélník 98">
              <a:extLst>
                <a:ext uri="{FF2B5EF4-FFF2-40B4-BE49-F238E27FC236}">
                  <a16:creationId xmlns:a16="http://schemas.microsoft.com/office/drawing/2014/main" id="{00000000-0008-0000-1800-00002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165433" y="4323347"/>
              <a:ext cx="723600" cy="184485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  <xdr:txBody>
            <a:bodyPr lIns="0" tIns="0" rIns="0" bIns="0" anchor="ctr"/>
            <a:lstStyle/>
            <a:p>
              <a:pPr algn="ctr"/>
              <a:r>
                <a:rPr lang="sk-SK" sz="1000" b="1">
                  <a:latin typeface="Verdana" panose="020B0604030504040204" pitchFamily="34" charset="0"/>
                  <a:ea typeface="Verdana" panose="020B0604030504040204" pitchFamily="34" charset="0"/>
                </a:rPr>
                <a:t>187</a:t>
              </a:r>
            </a:p>
          </xdr:txBody>
        </xdr:sp>
        <xdr:sp macro="" textlink="">
          <xdr:nvSpPr>
            <xdr:cNvPr id="42" name="Obdélník 30">
              <a:extLst>
                <a:ext uri="{FF2B5EF4-FFF2-40B4-BE49-F238E27FC236}">
                  <a16:creationId xmlns:a16="http://schemas.microsoft.com/office/drawing/2014/main" id="{00000000-0008-0000-1800-00002A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8018207" y="4428639"/>
              <a:ext cx="281254" cy="32400"/>
            </a:xfrm>
            <a:prstGeom prst="rect">
              <a:avLst/>
            </a:prstGeom>
            <a:solidFill>
              <a:srgbClr val="C6D9F1"/>
            </a:solidFill>
            <a:ln w="952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 editAs="oneCell">
    <xdr:from>
      <xdr:col>22</xdr:col>
      <xdr:colOff>155206</xdr:colOff>
      <xdr:row>70</xdr:row>
      <xdr:rowOff>32084</xdr:rowOff>
    </xdr:from>
    <xdr:to>
      <xdr:col>34</xdr:col>
      <xdr:colOff>54582</xdr:colOff>
      <xdr:row>79</xdr:row>
      <xdr:rowOff>32082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18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64617" y="13266821"/>
          <a:ext cx="2498197" cy="1660356"/>
        </a:xfrm>
        <a:prstGeom prst="rect">
          <a:avLst/>
        </a:prstGeom>
        <a:noFill/>
        <a:ln w="28575">
          <a:solidFill>
            <a:srgbClr val="A6A6A6"/>
          </a:solidFill>
          <a:miter lim="800000"/>
          <a:headEnd/>
          <a:tailEnd/>
        </a:ln>
      </xdr:spPr>
    </xdr:pic>
    <xdr:clientData/>
  </xdr:twoCellAnchor>
  <xdr:twoCellAnchor>
    <xdr:from>
      <xdr:col>12</xdr:col>
      <xdr:colOff>120316</xdr:colOff>
      <xdr:row>70</xdr:row>
      <xdr:rowOff>42911</xdr:rowOff>
    </xdr:from>
    <xdr:to>
      <xdr:col>21</xdr:col>
      <xdr:colOff>192104</xdr:colOff>
      <xdr:row>79</xdr:row>
      <xdr:rowOff>158815</xdr:rowOff>
    </xdr:to>
    <xdr:grpSp>
      <xdr:nvGrpSpPr>
        <xdr:cNvPr id="52" name="Skupina 33">
          <a:extLst>
            <a:ext uri="{FF2B5EF4-FFF2-40B4-BE49-F238E27FC236}">
              <a16:creationId xmlns:a16="http://schemas.microsoft.com/office/drawing/2014/main" id="{00000000-0008-0000-1800-000034000000}"/>
            </a:ext>
          </a:extLst>
        </xdr:cNvPr>
        <xdr:cNvGrpSpPr>
          <a:grpSpLocks/>
        </xdr:cNvGrpSpPr>
      </xdr:nvGrpSpPr>
      <xdr:grpSpPr bwMode="auto">
        <a:xfrm>
          <a:off x="3388895" y="13037016"/>
          <a:ext cx="2237472" cy="1740167"/>
          <a:chOff x="3449052" y="986589"/>
          <a:chExt cx="2016894" cy="1776257"/>
        </a:xfrm>
      </xdr:grpSpPr>
      <xdr:sp macro="" textlink="">
        <xdr:nvSpPr>
          <xdr:cNvPr id="53" name="Obdélník 19">
            <a:extLst>
              <a:ext uri="{FF2B5EF4-FFF2-40B4-BE49-F238E27FC236}">
                <a16:creationId xmlns:a16="http://schemas.microsoft.com/office/drawing/2014/main" id="{00000000-0008-0000-18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3512047" y="2205790"/>
            <a:ext cx="1657085" cy="275860"/>
          </a:xfrm>
          <a:prstGeom prst="rect">
            <a:avLst/>
          </a:prstGeom>
          <a:solidFill>
            <a:srgbClr val="7F7F7F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4" name="Obdélník 19">
            <a:extLst>
              <a:ext uri="{FF2B5EF4-FFF2-40B4-BE49-F238E27FC236}">
                <a16:creationId xmlns:a16="http://schemas.microsoft.com/office/drawing/2014/main" id="{00000000-0008-0000-1800-000036000000}"/>
              </a:ext>
            </a:extLst>
          </xdr:cNvPr>
          <xdr:cNvSpPr>
            <a:spLocks noChangeArrowheads="1"/>
          </xdr:cNvSpPr>
        </xdr:nvSpPr>
        <xdr:spPr bwMode="auto">
          <a:xfrm>
            <a:off x="3553326" y="1211179"/>
            <a:ext cx="1657085" cy="970547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5" name="Obdélník 18">
            <a:extLst>
              <a:ext uri="{FF2B5EF4-FFF2-40B4-BE49-F238E27FC236}">
                <a16:creationId xmlns:a16="http://schemas.microsoft.com/office/drawing/2014/main" id="{00000000-0008-0000-1800-000037000000}"/>
              </a:ext>
            </a:extLst>
          </xdr:cNvPr>
          <xdr:cNvSpPr>
            <a:spLocks noChangeArrowheads="1"/>
          </xdr:cNvSpPr>
        </xdr:nvSpPr>
        <xdr:spPr bwMode="auto">
          <a:xfrm>
            <a:off x="3449052" y="989697"/>
            <a:ext cx="111600" cy="1666799"/>
          </a:xfrm>
          <a:prstGeom prst="rect">
            <a:avLst/>
          </a:prstGeom>
          <a:solidFill>
            <a:srgbClr val="C6D9F1"/>
          </a:solidFill>
          <a:ln w="9525" algn="ctr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6" name="Volný tvar 20">
            <a:extLst>
              <a:ext uri="{FF2B5EF4-FFF2-40B4-BE49-F238E27FC236}">
                <a16:creationId xmlns:a16="http://schemas.microsoft.com/office/drawing/2014/main" id="{00000000-0008-0000-1800-000038000000}"/>
              </a:ext>
            </a:extLst>
          </xdr:cNvPr>
          <xdr:cNvSpPr>
            <a:spLocks/>
          </xdr:cNvSpPr>
        </xdr:nvSpPr>
        <xdr:spPr bwMode="auto">
          <a:xfrm>
            <a:off x="4841809" y="986589"/>
            <a:ext cx="624137" cy="1776257"/>
          </a:xfrm>
          <a:custGeom>
            <a:avLst/>
            <a:gdLst>
              <a:gd name="T0" fmla="*/ 2147483646 w 290593"/>
              <a:gd name="T1" fmla="*/ 107994243 h 817667"/>
              <a:gd name="T2" fmla="*/ 2147483646 w 290593"/>
              <a:gd name="T3" fmla="*/ 107994243 h 817667"/>
              <a:gd name="T4" fmla="*/ 2147483646 w 290593"/>
              <a:gd name="T5" fmla="*/ 1107104460 h 817667"/>
              <a:gd name="T6" fmla="*/ 2147483646 w 290593"/>
              <a:gd name="T7" fmla="*/ 1248751123 h 817667"/>
              <a:gd name="T8" fmla="*/ 2147483646 w 290593"/>
              <a:gd name="T9" fmla="*/ 1606677617 h 817667"/>
              <a:gd name="T10" fmla="*/ 2147483646 w 290593"/>
              <a:gd name="T11" fmla="*/ 2147483646 h 817667"/>
              <a:gd name="T12" fmla="*/ 2147483646 w 290593"/>
              <a:gd name="T13" fmla="*/ 2147483646 h 817667"/>
              <a:gd name="T14" fmla="*/ 2147483646 w 290593"/>
              <a:gd name="T15" fmla="*/ 2147483646 h 817667"/>
              <a:gd name="T16" fmla="*/ 2147483646 w 290593"/>
              <a:gd name="T17" fmla="*/ 2147483646 h 817667"/>
              <a:gd name="T18" fmla="*/ 2147483646 w 290593"/>
              <a:gd name="T19" fmla="*/ 2147483646 h 817667"/>
              <a:gd name="T20" fmla="*/ 2147483646 w 290593"/>
              <a:gd name="T21" fmla="*/ 2147483646 h 817667"/>
              <a:gd name="T22" fmla="*/ 0 w 290593"/>
              <a:gd name="T23" fmla="*/ 2147483646 h 817667"/>
              <a:gd name="T24" fmla="*/ 2147483646 w 290593"/>
              <a:gd name="T25" fmla="*/ 2147483646 h 817667"/>
              <a:gd name="T26" fmla="*/ 2147483646 w 290593"/>
              <a:gd name="T27" fmla="*/ 2147483646 h 817667"/>
              <a:gd name="T28" fmla="*/ 2147483646 w 290593"/>
              <a:gd name="T29" fmla="*/ 2147483646 h 817667"/>
              <a:gd name="T30" fmla="*/ 2147483646 w 290593"/>
              <a:gd name="T31" fmla="*/ 2147483646 h 817667"/>
              <a:gd name="T32" fmla="*/ 2147483646 w 290593"/>
              <a:gd name="T33" fmla="*/ 2147483646 h 817667"/>
              <a:gd name="T34" fmla="*/ 2147483646 w 290593"/>
              <a:gd name="T35" fmla="*/ 322678155 h 817667"/>
              <a:gd name="T36" fmla="*/ 2147483646 w 290593"/>
              <a:gd name="T37" fmla="*/ 107994243 h 817667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w 290593"/>
              <a:gd name="T58" fmla="*/ 0 h 817667"/>
              <a:gd name="T59" fmla="*/ 290593 w 290593"/>
              <a:gd name="T60" fmla="*/ 817667 h 817667"/>
            </a:gdLst>
            <a:ahLst/>
            <a:cxnLst>
              <a:cxn ang="T38">
                <a:pos x="T0" y="T1"/>
              </a:cxn>
              <a:cxn ang="T39">
                <a:pos x="T2" y="T3"/>
              </a:cxn>
              <a:cxn ang="T40">
                <a:pos x="T4" y="T5"/>
              </a:cxn>
              <a:cxn ang="T41">
                <a:pos x="T6" y="T7"/>
              </a:cxn>
              <a:cxn ang="T42">
                <a:pos x="T8" y="T9"/>
              </a:cxn>
              <a:cxn ang="T43">
                <a:pos x="T10" y="T11"/>
              </a:cxn>
              <a:cxn ang="T44">
                <a:pos x="T12" y="T13"/>
              </a:cxn>
              <a:cxn ang="T45">
                <a:pos x="T14" y="T15"/>
              </a:cxn>
              <a:cxn ang="T46">
                <a:pos x="T16" y="T17"/>
              </a:cxn>
              <a:cxn ang="T47">
                <a:pos x="T18" y="T19"/>
              </a:cxn>
              <a:cxn ang="T48">
                <a:pos x="T20" y="T21"/>
              </a:cxn>
              <a:cxn ang="T49">
                <a:pos x="T22" y="T23"/>
              </a:cxn>
              <a:cxn ang="T50">
                <a:pos x="T24" y="T25"/>
              </a:cxn>
              <a:cxn ang="T51">
                <a:pos x="T26" y="T27"/>
              </a:cxn>
              <a:cxn ang="T52">
                <a:pos x="T28" y="T29"/>
              </a:cxn>
              <a:cxn ang="T53">
                <a:pos x="T30" y="T31"/>
              </a:cxn>
              <a:cxn ang="T54">
                <a:pos x="T32" y="T33"/>
              </a:cxn>
              <a:cxn ang="T55">
                <a:pos x="T34" y="T35"/>
              </a:cxn>
              <a:cxn ang="T56">
                <a:pos x="T36" y="T37"/>
              </a:cxn>
            </a:cxnLst>
            <a:rect l="T57" t="T58" r="T59" b="T60"/>
            <a:pathLst>
              <a:path w="290593" h="817667">
                <a:moveTo>
                  <a:pt x="76200" y="14613"/>
                </a:moveTo>
                <a:lnTo>
                  <a:pt x="76200" y="14613"/>
                </a:lnTo>
                <a:cubicBezTo>
                  <a:pt x="86511" y="42109"/>
                  <a:pt x="127065" y="111603"/>
                  <a:pt x="95250" y="147963"/>
                </a:cubicBezTo>
                <a:cubicBezTo>
                  <a:pt x="82027" y="163075"/>
                  <a:pt x="38100" y="167013"/>
                  <a:pt x="38100" y="167013"/>
                </a:cubicBezTo>
                <a:cubicBezTo>
                  <a:pt x="52096" y="176344"/>
                  <a:pt x="84429" y="192607"/>
                  <a:pt x="85725" y="214638"/>
                </a:cubicBezTo>
                <a:cubicBezTo>
                  <a:pt x="86693" y="231091"/>
                  <a:pt x="106075" y="259086"/>
                  <a:pt x="65211" y="291777"/>
                </a:cubicBezTo>
                <a:cubicBezTo>
                  <a:pt x="57371" y="298049"/>
                  <a:pt x="38100" y="382913"/>
                  <a:pt x="28575" y="386088"/>
                </a:cubicBezTo>
                <a:cubicBezTo>
                  <a:pt x="13701" y="430709"/>
                  <a:pt x="10804" y="425702"/>
                  <a:pt x="28575" y="490863"/>
                </a:cubicBezTo>
                <a:cubicBezTo>
                  <a:pt x="31587" y="501907"/>
                  <a:pt x="41275" y="509913"/>
                  <a:pt x="47625" y="519438"/>
                </a:cubicBezTo>
                <a:cubicBezTo>
                  <a:pt x="44450" y="538488"/>
                  <a:pt x="47682" y="559820"/>
                  <a:pt x="38100" y="576588"/>
                </a:cubicBezTo>
                <a:cubicBezTo>
                  <a:pt x="33119" y="585305"/>
                  <a:pt x="16625" y="579013"/>
                  <a:pt x="9525" y="586113"/>
                </a:cubicBezTo>
                <a:cubicBezTo>
                  <a:pt x="2425" y="593213"/>
                  <a:pt x="3175" y="605163"/>
                  <a:pt x="0" y="614688"/>
                </a:cubicBezTo>
                <a:cubicBezTo>
                  <a:pt x="6350" y="633738"/>
                  <a:pt x="7911" y="655130"/>
                  <a:pt x="19050" y="671838"/>
                </a:cubicBezTo>
                <a:lnTo>
                  <a:pt x="57150" y="728988"/>
                </a:lnTo>
                <a:cubicBezTo>
                  <a:pt x="51516" y="745889"/>
                  <a:pt x="26742" y="805357"/>
                  <a:pt x="57150" y="814713"/>
                </a:cubicBezTo>
                <a:cubicBezTo>
                  <a:pt x="66751" y="817667"/>
                  <a:pt x="248114" y="780330"/>
                  <a:pt x="266700" y="776613"/>
                </a:cubicBezTo>
                <a:cubicBezTo>
                  <a:pt x="290593" y="633254"/>
                  <a:pt x="266700" y="801168"/>
                  <a:pt x="266700" y="509913"/>
                </a:cubicBezTo>
                <a:cubicBezTo>
                  <a:pt x="266700" y="283161"/>
                  <a:pt x="272633" y="226829"/>
                  <a:pt x="285750" y="43188"/>
                </a:cubicBezTo>
                <a:cubicBezTo>
                  <a:pt x="199373" y="0"/>
                  <a:pt x="111125" y="19376"/>
                  <a:pt x="76200" y="14613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 algn="ctr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</xdr:grpSp>
    <xdr:clientData/>
  </xdr:twoCellAnchor>
  <xdr:twoCellAnchor editAs="oneCell">
    <xdr:from>
      <xdr:col>30</xdr:col>
      <xdr:colOff>71387</xdr:colOff>
      <xdr:row>86</xdr:row>
      <xdr:rowOff>169243</xdr:rowOff>
    </xdr:from>
    <xdr:to>
      <xdr:col>43</xdr:col>
      <xdr:colOff>56148</xdr:colOff>
      <xdr:row>97</xdr:row>
      <xdr:rowOff>146382</xdr:rowOff>
    </xdr:to>
    <xdr:pic>
      <xdr:nvPicPr>
        <xdr:cNvPr id="57" name="Obrázek 31">
          <a:extLst>
            <a:ext uri="{FF2B5EF4-FFF2-40B4-BE49-F238E27FC236}">
              <a16:creationId xmlns:a16="http://schemas.microsoft.com/office/drawing/2014/main" id="{00000000-0008-0000-18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3345" y="16355727"/>
          <a:ext cx="2800150" cy="2006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120316</xdr:colOff>
      <xdr:row>86</xdr:row>
      <xdr:rowOff>32083</xdr:rowOff>
    </xdr:from>
    <xdr:to>
      <xdr:col>20</xdr:col>
      <xdr:colOff>71387</xdr:colOff>
      <xdr:row>96</xdr:row>
      <xdr:rowOff>146383</xdr:rowOff>
    </xdr:to>
    <xdr:pic>
      <xdr:nvPicPr>
        <xdr:cNvPr id="58" name="Obrázek 32">
          <a:extLst>
            <a:ext uri="{FF2B5EF4-FFF2-40B4-BE49-F238E27FC236}">
              <a16:creationId xmlns:a16="http://schemas.microsoft.com/office/drawing/2014/main" id="{00000000-0008-0000-18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6218567"/>
          <a:ext cx="2766461" cy="19591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596265</xdr:colOff>
      <xdr:row>393</xdr:row>
      <xdr:rowOff>28575</xdr:rowOff>
    </xdr:from>
    <xdr:to>
      <xdr:col>1</xdr:col>
      <xdr:colOff>753261</xdr:colOff>
      <xdr:row>394</xdr:row>
      <xdr:rowOff>18075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>
          <a:spLocks noChangeAspect="1"/>
        </xdr:cNvSpPr>
      </xdr:nvSpPr>
      <xdr:spPr>
        <a:xfrm>
          <a:off x="781050" y="83153250"/>
          <a:ext cx="180000" cy="180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i</a:t>
          </a:r>
        </a:p>
      </xdr:txBody>
    </xdr:sp>
    <xdr:clientData/>
  </xdr:twoCellAnchor>
  <xdr:twoCellAnchor>
    <xdr:from>
      <xdr:col>2</xdr:col>
      <xdr:colOff>392430</xdr:colOff>
      <xdr:row>0</xdr:row>
      <xdr:rowOff>144780</xdr:rowOff>
    </xdr:from>
    <xdr:to>
      <xdr:col>2</xdr:col>
      <xdr:colOff>1451610</xdr:colOff>
      <xdr:row>2</xdr:row>
      <xdr:rowOff>76200</xdr:rowOff>
    </xdr:to>
    <xdr:sp macro="" textlink="">
      <xdr:nvSpPr>
        <xdr:cNvPr id="27" name="TextovéPole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1B000000}"/>
            </a:ext>
          </a:extLst>
        </xdr:cNvPr>
        <xdr:cNvSpPr txBox="1"/>
      </xdr:nvSpPr>
      <xdr:spPr bwMode="auto">
        <a:xfrm>
          <a:off x="1457325" y="152400"/>
          <a:ext cx="1181100" cy="285750"/>
        </a:xfrm>
        <a:prstGeom prst="rect">
          <a:avLst/>
        </a:prstGeom>
        <a:solidFill>
          <a:srgbClr val="C0C0C0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25400" dir="13500000" algn="br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100">
              <a:latin typeface="Arial" pitchFamily="34" charset="0"/>
              <a:cs typeface="Arial" pitchFamily="34" charset="0"/>
            </a:rPr>
            <a:t>Úvod</a:t>
          </a:r>
        </a:p>
      </xdr:txBody>
    </xdr:sp>
    <xdr:clientData/>
  </xdr:twoCellAnchor>
  <xdr:twoCellAnchor>
    <xdr:from>
      <xdr:col>2</xdr:col>
      <xdr:colOff>2106930</xdr:colOff>
      <xdr:row>0</xdr:row>
      <xdr:rowOff>144780</xdr:rowOff>
    </xdr:from>
    <xdr:to>
      <xdr:col>6</xdr:col>
      <xdr:colOff>11430</xdr:colOff>
      <xdr:row>2</xdr:row>
      <xdr:rowOff>76200</xdr:rowOff>
    </xdr:to>
    <xdr:sp macro="" textlink="">
      <xdr:nvSpPr>
        <xdr:cNvPr id="28" name="TextovéPole 2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A00-00001C000000}"/>
            </a:ext>
          </a:extLst>
        </xdr:cNvPr>
        <xdr:cNvSpPr txBox="1"/>
      </xdr:nvSpPr>
      <xdr:spPr bwMode="auto">
        <a:xfrm>
          <a:off x="3362325" y="152400"/>
          <a:ext cx="1181100" cy="285750"/>
        </a:xfrm>
        <a:prstGeom prst="rect">
          <a:avLst/>
        </a:prstGeom>
        <a:solidFill>
          <a:srgbClr val="C0C0C0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25400" dir="13500000" algn="br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1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Výběr zásuvek</a:t>
          </a:r>
        </a:p>
      </xdr:txBody>
    </xdr:sp>
    <xdr:clientData/>
  </xdr:twoCellAnchor>
  <xdr:twoCellAnchor>
    <xdr:from>
      <xdr:col>6</xdr:col>
      <xdr:colOff>236220</xdr:colOff>
      <xdr:row>0</xdr:row>
      <xdr:rowOff>144780</xdr:rowOff>
    </xdr:from>
    <xdr:to>
      <xdr:col>8</xdr:col>
      <xdr:colOff>401982</xdr:colOff>
      <xdr:row>2</xdr:row>
      <xdr:rowOff>76200</xdr:rowOff>
    </xdr:to>
    <xdr:sp macro="" textlink="">
      <xdr:nvSpPr>
        <xdr:cNvPr id="29" name="TextovéPol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1D000000}"/>
            </a:ext>
          </a:extLst>
        </xdr:cNvPr>
        <xdr:cNvSpPr txBox="1"/>
      </xdr:nvSpPr>
      <xdr:spPr bwMode="auto">
        <a:xfrm>
          <a:off x="4791075" y="152400"/>
          <a:ext cx="1181100" cy="285750"/>
        </a:xfrm>
        <a:prstGeom prst="rect">
          <a:avLst/>
        </a:prstGeom>
        <a:solidFill>
          <a:srgbClr val="C0C0C0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25400" dir="13500000" algn="br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10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Výběr doplňků</a:t>
          </a:r>
        </a:p>
      </xdr:txBody>
    </xdr:sp>
    <xdr:clientData/>
  </xdr:twoCellAnchor>
  <xdr:twoCellAnchor>
    <xdr:from>
      <xdr:col>9</xdr:col>
      <xdr:colOff>9525</xdr:colOff>
      <xdr:row>0</xdr:row>
      <xdr:rowOff>144780</xdr:rowOff>
    </xdr:from>
    <xdr:to>
      <xdr:col>11</xdr:col>
      <xdr:colOff>148711</xdr:colOff>
      <xdr:row>2</xdr:row>
      <xdr:rowOff>76200</xdr:rowOff>
    </xdr:to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00000000-0008-0000-1A00-00001E000000}"/>
            </a:ext>
          </a:extLst>
        </xdr:cNvPr>
        <xdr:cNvSpPr txBox="1"/>
      </xdr:nvSpPr>
      <xdr:spPr bwMode="auto">
        <a:xfrm>
          <a:off x="6219825" y="152400"/>
          <a:ext cx="1181100" cy="285750"/>
        </a:xfrm>
        <a:prstGeom prst="rect">
          <a:avLst/>
        </a:prstGeom>
        <a:solidFill>
          <a:srgbClr val="C0C0C0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25400" dir="13500000" algn="br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10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Výběr EASYS</a:t>
          </a:r>
        </a:p>
      </xdr:txBody>
    </xdr:sp>
    <xdr:clientData/>
  </xdr:twoCellAnchor>
  <xdr:twoCellAnchor>
    <xdr:from>
      <xdr:col>77</xdr:col>
      <xdr:colOff>80010</xdr:colOff>
      <xdr:row>0</xdr:row>
      <xdr:rowOff>144780</xdr:rowOff>
    </xdr:from>
    <xdr:to>
      <xdr:col>78</xdr:col>
      <xdr:colOff>420846</xdr:colOff>
      <xdr:row>2</xdr:row>
      <xdr:rowOff>76200</xdr:rowOff>
    </xdr:to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00000000-0008-0000-1A00-00001F000000}"/>
            </a:ext>
          </a:extLst>
        </xdr:cNvPr>
        <xdr:cNvSpPr txBox="1"/>
      </xdr:nvSpPr>
      <xdr:spPr bwMode="auto">
        <a:xfrm>
          <a:off x="8124825" y="152400"/>
          <a:ext cx="1181100" cy="285750"/>
        </a:xfrm>
        <a:prstGeom prst="rect">
          <a:avLst/>
        </a:prstGeom>
        <a:solidFill>
          <a:srgbClr val="C0C0C0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25400" dir="13500000" algn="br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100">
              <a:solidFill>
                <a:schemeClr val="bg1">
                  <a:lumMod val="50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Objednávka</a:t>
          </a:r>
        </a:p>
      </xdr:txBody>
    </xdr:sp>
    <xdr:clientData/>
  </xdr:twoCellAnchor>
  <xdr:twoCellAnchor>
    <xdr:from>
      <xdr:col>1</xdr:col>
      <xdr:colOff>127635</xdr:colOff>
      <xdr:row>0</xdr:row>
      <xdr:rowOff>144780</xdr:rowOff>
    </xdr:from>
    <xdr:to>
      <xdr:col>2</xdr:col>
      <xdr:colOff>184785</xdr:colOff>
      <xdr:row>2</xdr:row>
      <xdr:rowOff>76200</xdr:rowOff>
    </xdr:to>
    <xdr:sp macro="" textlink="">
      <xdr:nvSpPr>
        <xdr:cNvPr id="32" name="TextovéPole 3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A00-000020000000}"/>
            </a:ext>
          </a:extLst>
        </xdr:cNvPr>
        <xdr:cNvSpPr txBox="1"/>
      </xdr:nvSpPr>
      <xdr:spPr bwMode="auto">
        <a:xfrm>
          <a:off x="266700" y="152400"/>
          <a:ext cx="952500" cy="28575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12700" dir="2700000" algn="tl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&lt;&lt;</a:t>
          </a:r>
          <a:r>
            <a:rPr lang="cs-CZ" sz="11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zpět</a:t>
          </a:r>
          <a:endParaRPr lang="cs-CZ" sz="1100" b="1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79</xdr:col>
      <xdr:colOff>11430</xdr:colOff>
      <xdr:row>0</xdr:row>
      <xdr:rowOff>144780</xdr:rowOff>
    </xdr:from>
    <xdr:to>
      <xdr:col>80</xdr:col>
      <xdr:colOff>255270</xdr:colOff>
      <xdr:row>2</xdr:row>
      <xdr:rowOff>76200</xdr:rowOff>
    </xdr:to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00000000-0008-0000-1A00-000021000000}"/>
            </a:ext>
          </a:extLst>
        </xdr:cNvPr>
        <xdr:cNvSpPr txBox="1"/>
      </xdr:nvSpPr>
      <xdr:spPr bwMode="auto">
        <a:xfrm>
          <a:off x="9544050" y="152400"/>
          <a:ext cx="952500" cy="28575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12700" dist="12700" dir="2700000" algn="tl" rotWithShape="0">
            <a:schemeClr val="tx1">
              <a:alpha val="40000"/>
            </a:scheme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100" b="1">
              <a:solidFill>
                <a:schemeClr val="bg1">
                  <a:lumMod val="6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vpřed  &gt;&gt;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600075</xdr:colOff>
          <xdr:row>397</xdr:row>
          <xdr:rowOff>0</xdr:rowOff>
        </xdr:from>
        <xdr:to>
          <xdr:col>12</xdr:col>
          <xdr:colOff>9525</xdr:colOff>
          <xdr:row>398</xdr:row>
          <xdr:rowOff>66675</xdr:rowOff>
        </xdr:to>
        <xdr:sp macro="" textlink="">
          <xdr:nvSpPr>
            <xdr:cNvPr id="83424" name="Button 1504" hidden="1">
              <a:extLst>
                <a:ext uri="{63B3BB69-23CF-44E3-9099-C40C66FF867C}">
                  <a14:compatExt spid="_x0000_s83424"/>
                </a:ext>
                <a:ext uri="{FF2B5EF4-FFF2-40B4-BE49-F238E27FC236}">
                  <a16:creationId xmlns:a16="http://schemas.microsoft.com/office/drawing/2014/main" id="{00000000-0008-0000-1A00-0000E045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53640926-AAD7-44D8-BBD7-CCE9431645EC}">
                <a14:shadowObscured val="1"/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cs-CZ" sz="9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VYTVOŘIT  OBJEDNÁVKU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266700</xdr:colOff>
      <xdr:row>6</xdr:row>
      <xdr:rowOff>76200</xdr:rowOff>
    </xdr:from>
    <xdr:to>
      <xdr:col>79</xdr:col>
      <xdr:colOff>358140</xdr:colOff>
      <xdr:row>13</xdr:row>
      <xdr:rowOff>90638</xdr:rowOff>
    </xdr:to>
    <xdr:sp macro="" textlink="">
      <xdr:nvSpPr>
        <xdr:cNvPr id="11" name="Bublinový popisek ve tvaru obláčku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/>
      </xdr:nvSpPr>
      <xdr:spPr bwMode="auto">
        <a:xfrm>
          <a:off x="5966460" y="1082040"/>
          <a:ext cx="23934420" cy="1256498"/>
        </a:xfrm>
        <a:prstGeom prst="cloudCallout">
          <a:avLst>
            <a:gd name="adj1" fmla="val -16180"/>
            <a:gd name="adj2" fmla="val 104029"/>
          </a:avLst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sk-SK" sz="10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Odfiltrujte prázdné řádky :</a:t>
          </a:r>
        </a:p>
        <a:p>
          <a:pPr algn="ctr"/>
          <a:r>
            <a:rPr lang="sk-SK" sz="10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 </a:t>
          </a:r>
        </a:p>
        <a:p>
          <a:pPr algn="ctr"/>
          <a:r>
            <a:rPr lang="sk-SK" sz="1000" b="1">
              <a:solidFill>
                <a:srgbClr val="FF0000"/>
              </a:solidFill>
              <a:latin typeface="Verdana" panose="020B0604030504040204" pitchFamily="34" charset="0"/>
              <a:ea typeface="Verdana" panose="020B0604030504040204" pitchFamily="34" charset="0"/>
            </a:rPr>
            <a:t>zrušte zatržítko u poslední volby '(Prázdné)'</a:t>
          </a:r>
        </a:p>
      </xdr:txBody>
    </xdr:sp>
    <xdr:clientData fPrintsWithSheet="0"/>
  </xdr:twoCellAnchor>
  <xdr:twoCellAnchor>
    <xdr:from>
      <xdr:col>2</xdr:col>
      <xdr:colOff>990600</xdr:colOff>
      <xdr:row>9</xdr:row>
      <xdr:rowOff>22860</xdr:rowOff>
    </xdr:from>
    <xdr:to>
      <xdr:col>11</xdr:col>
      <xdr:colOff>449580</xdr:colOff>
      <xdr:row>21</xdr:row>
      <xdr:rowOff>137160</xdr:rowOff>
    </xdr:to>
    <xdr:sp macro="" textlink="">
      <xdr:nvSpPr>
        <xdr:cNvPr id="3" name="Oblouk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 bwMode="auto">
        <a:xfrm flipV="1">
          <a:off x="1912620" y="1600200"/>
          <a:ext cx="5151120" cy="2339340"/>
        </a:xfrm>
        <a:prstGeom prst="arc">
          <a:avLst>
            <a:gd name="adj1" fmla="val 15557760"/>
            <a:gd name="adj2" fmla="val 21089902"/>
          </a:avLst>
        </a:prstGeom>
        <a:noFill/>
        <a:ln w="15875" cap="flat" cmpd="sng" algn="ctr">
          <a:solidFill>
            <a:srgbClr val="FF0000"/>
          </a:solidFill>
          <a:prstDash val="solid"/>
          <a:round/>
          <a:headEnd type="triangle" w="med" len="med"/>
          <a:tailEnd type="none" w="med" len="med"/>
        </a:ln>
        <a:effectLst/>
      </xdr:spPr>
      <xdr:txBody>
        <a:bodyPr vertOverflow="clip" horzOverflow="clip" rtlCol="0" anchor="t"/>
        <a:lstStyle/>
        <a:p>
          <a:endParaRPr lang="sk-SK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solidFill>
          <a:srgbClr val="FFFFE1"/>
        </a:solidFill>
        <a:ln w="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6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7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8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9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1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4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16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17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18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19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0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21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Relationship Id="rId5" Type="http://schemas.openxmlformats.org/officeDocument/2006/relationships/comments" Target="../comments22.xml"/><Relationship Id="rId4" Type="http://schemas.openxmlformats.org/officeDocument/2006/relationships/ctrlProp" Target="../ctrlProps/ctrlProp2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T31"/>
  <sheetViews>
    <sheetView showGridLines="0" showRowColHeaders="0" zoomScale="95" zoomScaleNormal="95" workbookViewId="0">
      <selection activeCell="T9" sqref="T9:V9"/>
    </sheetView>
  </sheetViews>
  <sheetFormatPr defaultColWidth="9" defaultRowHeight="14.25"/>
  <cols>
    <col min="1" max="1" width="3.625" style="86" customWidth="1"/>
    <col min="2" max="44" width="3.125" style="86" customWidth="1"/>
    <col min="45" max="45" width="3.625" style="86" customWidth="1"/>
    <col min="46" max="16384" width="9" style="86"/>
  </cols>
  <sheetData>
    <row r="1" spans="1:46" ht="12.95" customHeight="1" thickBot="1">
      <c r="AT1" s="4"/>
    </row>
    <row r="2" spans="1:46" ht="23.1" customHeight="1" thickBot="1">
      <c r="B2" s="486" t="str">
        <f>verze!E13</f>
        <v>&lt;&lt;  späť</v>
      </c>
      <c r="C2" s="487"/>
      <c r="D2" s="487"/>
      <c r="E2" s="488"/>
      <c r="G2" s="502" t="str">
        <f>verze!E6</f>
        <v xml:space="preserve"> Úvod</v>
      </c>
      <c r="H2" s="503"/>
      <c r="I2" s="503"/>
      <c r="J2" s="503"/>
      <c r="K2" s="504"/>
      <c r="O2" s="480" t="str">
        <f>verze!E7</f>
        <v xml:space="preserve"> Výber zásuviek</v>
      </c>
      <c r="P2" s="481"/>
      <c r="Q2" s="481"/>
      <c r="R2" s="481"/>
      <c r="S2" s="482"/>
      <c r="U2" s="480" t="str">
        <f>verze!E8</f>
        <v xml:space="preserve"> </v>
      </c>
      <c r="V2" s="481"/>
      <c r="W2" s="481"/>
      <c r="X2" s="481"/>
      <c r="Y2" s="482"/>
      <c r="AA2" s="480" t="str">
        <f>verze!E9</f>
        <v xml:space="preserve"> </v>
      </c>
      <c r="AB2" s="481"/>
      <c r="AC2" s="481"/>
      <c r="AD2" s="481"/>
      <c r="AE2" s="482"/>
      <c r="AI2" s="480" t="str">
        <f>verze!E10</f>
        <v xml:space="preserve"> Objednávka</v>
      </c>
      <c r="AJ2" s="481"/>
      <c r="AK2" s="481"/>
      <c r="AL2" s="481"/>
      <c r="AM2" s="482"/>
      <c r="AO2" s="477" t="str">
        <f>verze!E14</f>
        <v>vpred  &gt;&gt;</v>
      </c>
      <c r="AP2" s="478"/>
      <c r="AQ2" s="478"/>
      <c r="AR2" s="479"/>
      <c r="AT2" s="4"/>
    </row>
    <row r="3" spans="1:46" ht="12.95" customHeight="1">
      <c r="AT3" s="4"/>
    </row>
    <row r="4" spans="1:46" ht="23.1" customHeight="1">
      <c r="A4" s="89"/>
      <c r="B4" s="91" t="str">
        <f>verze!E15</f>
        <v xml:space="preserve"> Základné údaje // Nápoveda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4"/>
    </row>
    <row r="5" spans="1:46" ht="14.45" customHeight="1">
      <c r="AT5" s="4"/>
    </row>
    <row r="6" spans="1:46" ht="14.4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ht="14.45" customHeight="1">
      <c r="A7" s="4"/>
      <c r="B7" s="501" t="str">
        <f>verze!E94</f>
        <v>Formulár pre identifikačné údaje</v>
      </c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4"/>
      <c r="O7" s="4"/>
      <c r="P7" s="501" t="str">
        <f>verze!E37</f>
        <v xml:space="preserve">Zľava od predajcu [%]: </v>
      </c>
      <c r="Q7" s="501"/>
      <c r="R7" s="501"/>
      <c r="S7" s="501"/>
      <c r="T7" s="501"/>
      <c r="U7" s="501"/>
      <c r="V7" s="501"/>
      <c r="W7" s="501"/>
      <c r="X7" s="87"/>
      <c r="Y7" s="87"/>
      <c r="Z7" s="87"/>
      <c r="AA7" s="501" t="str">
        <f>"      "&amp;verze!E16</f>
        <v xml:space="preserve">       Nápoveda</v>
      </c>
      <c r="AB7" s="501"/>
      <c r="AC7" s="501"/>
      <c r="AD7" s="501"/>
      <c r="AE7" s="501"/>
      <c r="AF7" s="501"/>
      <c r="AG7" s="501"/>
      <c r="AH7" s="501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ht="14.45" customHeight="1">
      <c r="A8" s="4"/>
      <c r="B8" s="499" t="str">
        <f>verze!E30</f>
        <v>Odberateľ</v>
      </c>
      <c r="C8" s="499"/>
      <c r="D8" s="499"/>
      <c r="E8" s="499"/>
      <c r="F8" s="499"/>
      <c r="G8" s="499"/>
      <c r="H8" s="499"/>
      <c r="I8" s="499"/>
      <c r="J8" s="499"/>
      <c r="K8" s="499"/>
      <c r="L8" s="499"/>
      <c r="M8" s="499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ht="14.45" customHeight="1">
      <c r="A9" s="4"/>
      <c r="B9" s="497"/>
      <c r="C9" s="497"/>
      <c r="D9" s="497"/>
      <c r="E9" s="497"/>
      <c r="F9" s="497"/>
      <c r="G9" s="497"/>
      <c r="H9" s="497"/>
      <c r="I9" s="497"/>
      <c r="J9" s="497"/>
      <c r="K9" s="497"/>
      <c r="L9" s="497"/>
      <c r="M9" s="497"/>
      <c r="N9" s="4"/>
      <c r="O9" s="4"/>
      <c r="P9" s="4"/>
      <c r="Q9" s="4"/>
      <c r="R9" s="4"/>
      <c r="S9" s="4"/>
      <c r="T9" s="498">
        <v>5</v>
      </c>
      <c r="U9" s="498"/>
      <c r="V9" s="498"/>
      <c r="W9" s="4"/>
      <c r="X9" s="4"/>
      <c r="Y9" s="4"/>
      <c r="Z9" s="4"/>
      <c r="AA9" s="213" t="str">
        <f>verze!E99</f>
        <v>Pred prvým spustením:</v>
      </c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ht="14.45" customHeight="1">
      <c r="A10" s="4"/>
      <c r="B10" s="499" t="str">
        <f>verze!E31</f>
        <v>Adresa</v>
      </c>
      <c r="C10" s="499"/>
      <c r="D10" s="499"/>
      <c r="E10" s="499"/>
      <c r="F10" s="499"/>
      <c r="G10" s="499"/>
      <c r="H10" s="499"/>
      <c r="I10" s="499"/>
      <c r="J10" s="499"/>
      <c r="K10" s="499"/>
      <c r="L10" s="499"/>
      <c r="M10" s="499"/>
      <c r="N10" s="4"/>
      <c r="O10" s="4"/>
      <c r="P10" s="4"/>
      <c r="Q10" s="4"/>
      <c r="R10" s="4"/>
      <c r="S10" s="4"/>
      <c r="T10" s="500"/>
      <c r="U10" s="500"/>
      <c r="V10" s="500"/>
      <c r="W10" s="4"/>
      <c r="X10" s="4"/>
      <c r="Y10" s="4"/>
      <c r="Z10" s="4"/>
      <c r="AA10" s="4" t="str">
        <f>"1. "&amp;verze!$E$100</f>
        <v>1. V ľavej časti obrazovky vyplň identifikačné údaje.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14.45" customHeight="1">
      <c r="A11" s="4"/>
      <c r="B11" s="497"/>
      <c r="C11" s="497"/>
      <c r="D11" s="497"/>
      <c r="E11" s="497"/>
      <c r="F11" s="497"/>
      <c r="G11" s="497"/>
      <c r="H11" s="497"/>
      <c r="I11" s="497"/>
      <c r="J11" s="497"/>
      <c r="K11" s="497"/>
      <c r="L11" s="497"/>
      <c r="M11" s="497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 t="str">
        <f>"2. "&amp;verze!$E$101</f>
        <v>2. V strednej časti vyplň výšku zľavy od predajcu.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ht="14.45" customHeight="1">
      <c r="A12" s="4"/>
      <c r="B12" s="497"/>
      <c r="C12" s="497"/>
      <c r="D12" s="497"/>
      <c r="E12" s="497"/>
      <c r="F12" s="497"/>
      <c r="G12" s="497"/>
      <c r="H12" s="497"/>
      <c r="I12" s="497"/>
      <c r="J12" s="497"/>
      <c r="K12" s="497"/>
      <c r="L12" s="497"/>
      <c r="M12" s="497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 t="str">
        <f>"3. "&amp;verze!$E$102</f>
        <v>3. Vrať sa na úvod a súbor ulož, alebo zatvor s potvdením zmien.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ht="14.45" customHeight="1">
      <c r="A13" s="4"/>
      <c r="B13" s="497"/>
      <c r="C13" s="497"/>
      <c r="D13" s="497"/>
      <c r="E13" s="497"/>
      <c r="F13" s="497"/>
      <c r="G13" s="497"/>
      <c r="H13" s="497"/>
      <c r="I13" s="497"/>
      <c r="J13" s="497"/>
      <c r="K13" s="497"/>
      <c r="L13" s="497"/>
      <c r="M13" s="49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 t="str">
        <f>"    "&amp;verze!$E$103</f>
        <v xml:space="preserve">    Identifikačné údaje sa budú zobrazovať v hlavičke objednávky.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ht="14.45" customHeight="1">
      <c r="A14" s="4"/>
      <c r="B14" s="499" t="str">
        <f>verze!E33</f>
        <v>Dodacia adresa</v>
      </c>
      <c r="C14" s="499"/>
      <c r="D14" s="499"/>
      <c r="E14" s="499"/>
      <c r="F14" s="499"/>
      <c r="G14" s="499"/>
      <c r="H14" s="499"/>
      <c r="I14" s="499"/>
      <c r="J14" s="499"/>
      <c r="K14" s="499"/>
      <c r="L14" s="499"/>
      <c r="M14" s="499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ht="14.45" customHeight="1">
      <c r="A15" s="4"/>
      <c r="B15" s="497"/>
      <c r="C15" s="497"/>
      <c r="D15" s="497"/>
      <c r="E15" s="497"/>
      <c r="F15" s="497"/>
      <c r="G15" s="497"/>
      <c r="H15" s="497"/>
      <c r="I15" s="497"/>
      <c r="J15" s="497"/>
      <c r="K15" s="497"/>
      <c r="L15" s="497"/>
      <c r="M15" s="497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84"/>
      <c r="AS15" s="84"/>
      <c r="AT15" s="65"/>
    </row>
    <row r="16" spans="1:46" ht="14.45" customHeight="1">
      <c r="A16" s="4"/>
      <c r="B16" s="497"/>
      <c r="C16" s="497"/>
      <c r="D16" s="497"/>
      <c r="E16" s="497"/>
      <c r="F16" s="497"/>
      <c r="G16" s="497"/>
      <c r="H16" s="497"/>
      <c r="I16" s="497"/>
      <c r="J16" s="497"/>
      <c r="K16" s="497"/>
      <c r="L16" s="497"/>
      <c r="M16" s="497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ht="14.45" customHeight="1">
      <c r="A17" s="4"/>
      <c r="B17" s="497"/>
      <c r="C17" s="497"/>
      <c r="D17" s="497"/>
      <c r="E17" s="497"/>
      <c r="F17" s="497"/>
      <c r="G17" s="497"/>
      <c r="H17" s="497"/>
      <c r="I17" s="497"/>
      <c r="J17" s="497"/>
      <c r="K17" s="497"/>
      <c r="L17" s="497"/>
      <c r="M17" s="497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213" t="str">
        <f>verze!$E$104</f>
        <v>Na úvodnej obrazovke :</v>
      </c>
      <c r="AB17" s="78"/>
      <c r="AC17" s="78"/>
      <c r="AD17" s="78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ht="14.45" customHeight="1">
      <c r="A18" s="4"/>
      <c r="B18" s="499" t="str">
        <f>verze!E34</f>
        <v>IČO</v>
      </c>
      <c r="C18" s="499"/>
      <c r="D18" s="499"/>
      <c r="E18" s="499"/>
      <c r="F18" s="499"/>
      <c r="G18" s="499"/>
      <c r="H18" s="499"/>
      <c r="I18" s="499"/>
      <c r="J18" s="499"/>
      <c r="K18" s="499"/>
      <c r="L18" s="499"/>
      <c r="M18" s="499"/>
      <c r="N18" s="4"/>
      <c r="O18" s="4"/>
      <c r="P18" s="4"/>
      <c r="Q18" s="4"/>
      <c r="R18" s="4"/>
      <c r="S18" s="4"/>
      <c r="T18" s="71"/>
      <c r="U18" s="71"/>
      <c r="V18" s="4"/>
      <c r="W18" s="4"/>
      <c r="X18" s="4"/>
      <c r="Y18" s="4"/>
      <c r="Z18" s="4"/>
      <c r="AA18" s="4" t="str">
        <f>"1. "&amp;verze!$E$111</f>
        <v>1. vyber farbu povrchovej úpravy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ht="14.45" customHeight="1">
      <c r="A19" s="4"/>
      <c r="B19" s="505"/>
      <c r="C19" s="505"/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4"/>
      <c r="O19" s="4"/>
      <c r="P19" s="4"/>
      <c r="Q19" s="4"/>
      <c r="R19" s="4"/>
      <c r="S19" s="4"/>
      <c r="T19" s="4"/>
      <c r="U19" s="71"/>
      <c r="V19" s="4"/>
      <c r="W19" s="4"/>
      <c r="X19" s="4"/>
      <c r="Y19" s="4"/>
      <c r="Z19" s="4"/>
      <c r="AA19" s="4" t="str">
        <f>"2. "&amp;verze!$E$112</f>
        <v>2. vyber zpôsob montáže čelného kovania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ht="14.45" customHeight="1">
      <c r="A20" s="4"/>
      <c r="B20" s="499" t="str">
        <f>verze!E35</f>
        <v>DIČ / IČDPH</v>
      </c>
      <c r="C20" s="499"/>
      <c r="D20" s="499"/>
      <c r="E20" s="499"/>
      <c r="F20" s="499"/>
      <c r="G20" s="499"/>
      <c r="H20" s="499"/>
      <c r="I20" s="499"/>
      <c r="J20" s="499"/>
      <c r="K20" s="499"/>
      <c r="L20" s="499"/>
      <c r="M20" s="499"/>
      <c r="N20" s="4"/>
      <c r="O20" s="4"/>
      <c r="P20" s="4"/>
      <c r="Q20" s="4"/>
      <c r="R20" s="4"/>
      <c r="S20" s="4"/>
      <c r="T20" s="4"/>
      <c r="U20" s="63"/>
      <c r="V20" s="4"/>
      <c r="W20" s="4"/>
      <c r="X20" s="4"/>
      <c r="Y20" s="4"/>
      <c r="Z20" s="4"/>
      <c r="AA20" s="4" t="str">
        <f>"3. "&amp;verze!$E$105</f>
        <v>3. vyber, aké ceny sa budú zobrazovať: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ht="14.45" customHeight="1">
      <c r="B21" s="505"/>
      <c r="C21" s="505"/>
      <c r="D21" s="505"/>
      <c r="E21" s="505"/>
      <c r="F21" s="505"/>
      <c r="G21" s="505"/>
      <c r="H21" s="505"/>
      <c r="I21" s="505"/>
      <c r="J21" s="505"/>
      <c r="K21" s="505"/>
      <c r="L21" s="505"/>
      <c r="M21" s="505"/>
      <c r="S21" s="67"/>
      <c r="T21" s="63"/>
      <c r="U21" s="63"/>
      <c r="V21" s="4"/>
      <c r="W21" s="4"/>
      <c r="X21" s="4"/>
      <c r="Y21" s="4"/>
      <c r="Z21" s="4"/>
      <c r="AA21" s="4" t="str">
        <f>"   - "&amp;verze!$E$106</f>
        <v xml:space="preserve">   - základné ceny, tj. cenníkové bez zľavy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14.45" customHeight="1">
      <c r="A22" s="4"/>
      <c r="B22" s="499" t="str">
        <f>verze!E36</f>
        <v>Telefón, fax, e-mail</v>
      </c>
      <c r="C22" s="499"/>
      <c r="D22" s="499"/>
      <c r="E22" s="499"/>
      <c r="F22" s="499"/>
      <c r="G22" s="499"/>
      <c r="H22" s="499"/>
      <c r="I22" s="499"/>
      <c r="J22" s="499"/>
      <c r="K22" s="499"/>
      <c r="L22" s="499"/>
      <c r="M22" s="499"/>
      <c r="N22" s="4"/>
      <c r="O22" s="4"/>
      <c r="P22" s="4"/>
      <c r="Q22" s="4"/>
      <c r="R22" s="4"/>
      <c r="S22" s="67"/>
      <c r="T22" s="67"/>
      <c r="U22" s="67"/>
      <c r="V22" s="4"/>
      <c r="W22" s="4"/>
      <c r="X22" s="4"/>
      <c r="Y22" s="4"/>
      <c r="Z22" s="4"/>
      <c r="AA22" s="4" t="str">
        <f>"   - "&amp;verze!$E$107</f>
        <v xml:space="preserve">   - nákupné ceny, tj. ceny so zľavou od predajcu</v>
      </c>
      <c r="AB22" s="4"/>
      <c r="AC22" s="4"/>
      <c r="AD22" s="67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85"/>
      <c r="AT22" s="4"/>
    </row>
    <row r="23" spans="1:46" ht="14.45" customHeight="1">
      <c r="A23" s="4"/>
      <c r="B23" s="505"/>
      <c r="C23" s="505"/>
      <c r="D23" s="505"/>
      <c r="E23" s="505"/>
      <c r="F23" s="505"/>
      <c r="G23" s="505"/>
      <c r="H23" s="505"/>
      <c r="I23" s="505"/>
      <c r="J23" s="505"/>
      <c r="K23" s="505"/>
      <c r="L23" s="505"/>
      <c r="M23" s="505"/>
      <c r="N23" s="4"/>
      <c r="O23" s="4"/>
      <c r="P23" s="4"/>
      <c r="Q23" s="4"/>
      <c r="R23" s="4"/>
      <c r="S23" s="67"/>
      <c r="T23" s="67"/>
      <c r="U23" s="67"/>
      <c r="V23" s="4"/>
      <c r="W23" s="4"/>
      <c r="X23" s="4"/>
      <c r="Y23" s="4"/>
      <c r="Z23" s="4"/>
      <c r="AA23" s="4"/>
      <c r="AB23" s="4"/>
      <c r="AC23" s="4"/>
      <c r="AD23" s="67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14.45" customHeight="1">
      <c r="A24" s="4"/>
      <c r="B24" s="505"/>
      <c r="C24" s="505"/>
      <c r="D24" s="505"/>
      <c r="E24" s="505"/>
      <c r="F24" s="505"/>
      <c r="G24" s="505"/>
      <c r="H24" s="505"/>
      <c r="I24" s="505"/>
      <c r="J24" s="505"/>
      <c r="K24" s="505"/>
      <c r="L24" s="505"/>
      <c r="M24" s="505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 t="str">
        <f>verze!$E$110</f>
        <v>Pokiaľ zadáte zľavu s mínusovým znamienkom, zobrazia sa ceny o túto hodnotu vyššie.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ht="14.45" customHeight="1">
      <c r="A25" s="4"/>
      <c r="B25" s="505"/>
      <c r="C25" s="505"/>
      <c r="D25" s="505"/>
      <c r="E25" s="505"/>
      <c r="F25" s="505"/>
      <c r="G25" s="505"/>
      <c r="H25" s="505"/>
      <c r="I25" s="505"/>
      <c r="J25" s="505"/>
      <c r="K25" s="505"/>
      <c r="L25" s="505"/>
      <c r="M25" s="505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14.45" customHeight="1">
      <c r="A26" s="4"/>
      <c r="B26" s="26"/>
      <c r="C26" s="26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14.4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14.4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ht="14.4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14.4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</sheetData>
  <sheetProtection password="DD97" sheet="1"/>
  <mergeCells count="30">
    <mergeCell ref="B24:M24"/>
    <mergeCell ref="B25:M25"/>
    <mergeCell ref="B14:M14"/>
    <mergeCell ref="B18:M18"/>
    <mergeCell ref="B22:M22"/>
    <mergeCell ref="B20:M20"/>
    <mergeCell ref="B21:M21"/>
    <mergeCell ref="B23:M23"/>
    <mergeCell ref="B19:M19"/>
    <mergeCell ref="B16:M16"/>
    <mergeCell ref="B17:M17"/>
    <mergeCell ref="AA7:AH7"/>
    <mergeCell ref="B7:M7"/>
    <mergeCell ref="B8:M8"/>
    <mergeCell ref="AO2:AR2"/>
    <mergeCell ref="P7:W7"/>
    <mergeCell ref="B2:E2"/>
    <mergeCell ref="G2:K2"/>
    <mergeCell ref="O2:S2"/>
    <mergeCell ref="AA2:AE2"/>
    <mergeCell ref="AI2:AM2"/>
    <mergeCell ref="B12:M12"/>
    <mergeCell ref="B13:M13"/>
    <mergeCell ref="B15:M15"/>
    <mergeCell ref="T9:V9"/>
    <mergeCell ref="U2:Y2"/>
    <mergeCell ref="B9:M9"/>
    <mergeCell ref="B10:M10"/>
    <mergeCell ref="B11:M11"/>
    <mergeCell ref="T10:V10"/>
  </mergeCells>
  <conditionalFormatting sqref="T18:U18 U19">
    <cfRule type="expression" dxfId="1000" priority="4" stopIfTrue="1">
      <formula>#REF!=1</formula>
    </cfRule>
  </conditionalFormatting>
  <hyperlinks>
    <hyperlink ref="B2:E2" location="FORM!A1" display="späť" xr:uid="{00000000-0004-0000-0000-000000000000}"/>
    <hyperlink ref="G2:K2" location="FORM!A1" display="Úvod" xr:uid="{00000000-0004-0000-0000-000001000000}"/>
  </hyperlinks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BP56"/>
  <sheetViews>
    <sheetView showGridLines="0" showRowColHeaders="0" tabSelected="1" zoomScale="95" zoomScaleNormal="95" workbookViewId="0"/>
  </sheetViews>
  <sheetFormatPr defaultColWidth="9" defaultRowHeight="14.25"/>
  <cols>
    <col min="1" max="1" width="3.625" style="86" customWidth="1"/>
    <col min="2" max="44" width="3.125" style="86" customWidth="1"/>
    <col min="45" max="45" width="3.625" style="86" customWidth="1"/>
    <col min="46" max="48" width="9" style="86" hidden="1" customWidth="1"/>
    <col min="49" max="49" width="17.5" style="86" hidden="1" customWidth="1"/>
    <col min="50" max="51" width="9" style="86" hidden="1" customWidth="1"/>
    <col min="52" max="54" width="9" style="86" customWidth="1"/>
    <col min="55" max="16384" width="9" style="86"/>
  </cols>
  <sheetData>
    <row r="1" spans="1:68" ht="12.95" customHeight="1" thickBot="1">
      <c r="AT1" s="282"/>
      <c r="AU1" s="282"/>
      <c r="AV1" s="282"/>
      <c r="AW1" s="282"/>
      <c r="AX1" s="282"/>
      <c r="AY1" s="282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</row>
    <row r="2" spans="1:68" ht="23.1" customHeight="1" thickBot="1">
      <c r="B2" s="477" t="str">
        <f>verze!E13</f>
        <v>&lt;&lt;  späť</v>
      </c>
      <c r="C2" s="478"/>
      <c r="D2" s="478"/>
      <c r="E2" s="479"/>
      <c r="G2" s="480" t="str">
        <f>verze!E6</f>
        <v xml:space="preserve"> Úvod</v>
      </c>
      <c r="H2" s="481"/>
      <c r="I2" s="481"/>
      <c r="J2" s="481"/>
      <c r="K2" s="482"/>
      <c r="O2" s="483" t="str">
        <f>verze!E7</f>
        <v xml:space="preserve"> Výber zásuviek</v>
      </c>
      <c r="P2" s="484"/>
      <c r="Q2" s="484"/>
      <c r="R2" s="484"/>
      <c r="S2" s="485"/>
      <c r="U2" s="483" t="str">
        <f>verze!E8</f>
        <v xml:space="preserve"> </v>
      </c>
      <c r="V2" s="484"/>
      <c r="W2" s="484"/>
      <c r="X2" s="484"/>
      <c r="Y2" s="485"/>
      <c r="AA2" s="480" t="str">
        <f>verze!E9</f>
        <v xml:space="preserve"> </v>
      </c>
      <c r="AB2" s="481"/>
      <c r="AC2" s="481"/>
      <c r="AD2" s="481"/>
      <c r="AE2" s="482"/>
      <c r="AI2" s="483" t="str">
        <f>verze!E10</f>
        <v xml:space="preserve"> Objednávka</v>
      </c>
      <c r="AJ2" s="484"/>
      <c r="AK2" s="484"/>
      <c r="AL2" s="484"/>
      <c r="AM2" s="485"/>
      <c r="AO2" s="486" t="str">
        <f>verze!E14</f>
        <v>vpred  &gt;&gt;</v>
      </c>
      <c r="AP2" s="487"/>
      <c r="AQ2" s="487"/>
      <c r="AR2" s="488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</row>
    <row r="3" spans="1:68" ht="12.95" customHeight="1" thickBot="1">
      <c r="AT3" s="4"/>
      <c r="AU3" s="4"/>
      <c r="AV3" s="4"/>
      <c r="AW3" s="4"/>
      <c r="AX3" s="4"/>
      <c r="AY3" s="4"/>
      <c r="AZ3" s="4"/>
      <c r="BA3" s="6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</row>
    <row r="4" spans="1:68" ht="23.1" customHeight="1" thickBot="1">
      <c r="A4" s="89"/>
      <c r="B4" s="90" t="s">
        <v>405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474" t="str">
        <f>verze!E15</f>
        <v xml:space="preserve"> Základné údaje // Nápoveda</v>
      </c>
      <c r="AJ4" s="475"/>
      <c r="AK4" s="475"/>
      <c r="AL4" s="475"/>
      <c r="AM4" s="475"/>
      <c r="AN4" s="475"/>
      <c r="AO4" s="475"/>
      <c r="AP4" s="475"/>
      <c r="AQ4" s="475"/>
      <c r="AR4" s="476"/>
      <c r="AS4" s="89"/>
      <c r="AT4" s="4"/>
      <c r="AU4" s="4" t="str">
        <f>verze!E55</f>
        <v>Vybraté</v>
      </c>
      <c r="AV4" s="4"/>
      <c r="AW4" s="4"/>
      <c r="AX4" s="4"/>
      <c r="AY4" s="4"/>
      <c r="AZ4" s="4"/>
      <c r="BA4" s="6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68" ht="14.45" customHeight="1"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</row>
    <row r="6" spans="1:68" ht="14.4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 t="str">
        <f>verze!E61</f>
        <v>strieborná</v>
      </c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ht="14.45" customHeight="1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 t="str">
        <f>verze!E56</f>
        <v>farba: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 t="str">
        <f>verze!E57</f>
        <v>čelné kovanie:</v>
      </c>
      <c r="AN7" s="4"/>
      <c r="AO7" s="4"/>
      <c r="AP7" s="4"/>
      <c r="AQ7" s="4"/>
      <c r="AR7" s="4"/>
      <c r="AS7" s="4"/>
      <c r="AT7" s="4"/>
      <c r="AU7" s="4" t="str">
        <f>verze!E62</f>
        <v>biela</v>
      </c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ht="14.45" customHeight="1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71" t="s">
        <v>19</v>
      </c>
      <c r="V8" s="472"/>
      <c r="W8" s="472"/>
      <c r="X8" s="472"/>
      <c r="Y8" s="472"/>
      <c r="Z8" s="473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71" t="s">
        <v>20</v>
      </c>
      <c r="AN8" s="472"/>
      <c r="AO8" s="472"/>
      <c r="AP8" s="472"/>
      <c r="AQ8" s="472"/>
      <c r="AR8" s="473"/>
      <c r="AS8" s="4"/>
      <c r="AT8" s="4"/>
      <c r="AU8" s="4" t="str">
        <f>verze!E63</f>
        <v>antracit</v>
      </c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14.4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</row>
    <row r="10" spans="1:68" ht="14.4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 t="str">
        <f>verze!E67</f>
        <v>na skrutky</v>
      </c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</row>
    <row r="11" spans="1:68" ht="14.4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 t="str">
        <f>verze!E68</f>
        <v>s rozpernými púzdrami</v>
      </c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</row>
    <row r="12" spans="1:68" ht="14.4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7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 ht="14.4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 t="str">
        <f>verze!E26</f>
        <v>flexibilné sety</v>
      </c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68" ht="14.4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88" t="str">
        <f>IF(U8=AU6,AU4,"")</f>
        <v>Vybraté</v>
      </c>
      <c r="V14" s="4"/>
      <c r="W14" s="4"/>
      <c r="X14" s="4"/>
      <c r="Y14" s="88" t="str">
        <f>IF(U8=AU7,AU4,"")</f>
        <v/>
      </c>
      <c r="Z14" s="4"/>
      <c r="AA14" s="4"/>
      <c r="AB14" s="4"/>
      <c r="AC14" s="88" t="str">
        <f>IF(U8=AU8,AU4,"")</f>
        <v/>
      </c>
      <c r="AD14" s="4"/>
      <c r="AE14" s="4"/>
      <c r="AF14" s="4"/>
      <c r="AG14" s="4"/>
      <c r="AH14" s="4"/>
      <c r="AI14" s="4"/>
      <c r="AJ14" s="4"/>
      <c r="AK14" s="4"/>
      <c r="AL14" s="88" t="str">
        <f>IF(AM8=AU10,AU4,"")</f>
        <v>Vybraté</v>
      </c>
      <c r="AM14" s="88"/>
      <c r="AN14" s="4"/>
      <c r="AO14" s="4"/>
      <c r="AP14" s="88" t="str">
        <f>IF(AM8=AU11,AU4,"")</f>
        <v/>
      </c>
      <c r="AQ14" s="4"/>
      <c r="AR14" s="4"/>
      <c r="AS14" s="4"/>
      <c r="AT14" s="4"/>
      <c r="AU14" s="4" t="str">
        <f>verze!E27</f>
        <v>veľkobalenia</v>
      </c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</row>
    <row r="15" spans="1:68" ht="14.4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84"/>
      <c r="AQ15" s="84"/>
      <c r="AR15" s="84"/>
      <c r="AS15" s="8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</row>
    <row r="16" spans="1:68" ht="14.4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88"/>
      <c r="AM16" s="88"/>
      <c r="AN16" s="4"/>
      <c r="AO16" s="4"/>
      <c r="AP16" s="88"/>
      <c r="AQ16" s="88"/>
      <c r="AR16" s="4"/>
      <c r="AS16" s="4"/>
      <c r="AT16" s="4"/>
      <c r="AU16" s="4" t="str">
        <f>verze!E71</f>
        <v>vo farbe bočnice</v>
      </c>
      <c r="AV16" s="4"/>
      <c r="AW16" s="4" t="str">
        <f>verze!E77</f>
        <v>žiadna</v>
      </c>
      <c r="AX16" s="6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</row>
    <row r="17" spans="1:68" ht="14.45" customHeight="1" thickBo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 t="str">
        <f>verze!E25</f>
        <v>spôsob balenia:</v>
      </c>
      <c r="V17" s="4"/>
      <c r="W17" s="4"/>
      <c r="X17" s="4"/>
      <c r="Y17" s="4"/>
      <c r="Z17" s="4"/>
      <c r="AA17" s="78"/>
      <c r="AB17" s="78"/>
      <c r="AC17" s="78"/>
      <c r="AD17" s="78"/>
      <c r="AE17" s="4"/>
      <c r="AF17" s="4"/>
      <c r="AG17" s="4"/>
      <c r="AH17" s="4"/>
      <c r="AI17" s="4"/>
      <c r="AJ17" s="4"/>
      <c r="AK17" s="4"/>
      <c r="AL17" s="4"/>
      <c r="AM17" s="4" t="str">
        <f>verze!E70</f>
        <v>dekoratívny profil:</v>
      </c>
      <c r="AN17" s="4"/>
      <c r="AO17" s="4"/>
      <c r="AP17" s="4"/>
      <c r="AQ17" s="4"/>
      <c r="AR17" s="4"/>
      <c r="AS17" s="4"/>
      <c r="AT17" s="4"/>
      <c r="AU17" s="4" t="str">
        <f>verze!E73</f>
        <v>nerez</v>
      </c>
      <c r="AV17" s="4"/>
      <c r="AW17" s="4" t="str">
        <f>verze!E78</f>
        <v>strieborná s logom</v>
      </c>
      <c r="AX17" s="24">
        <v>9257703</v>
      </c>
      <c r="AY17" s="2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</row>
    <row r="18" spans="1:68" ht="14.45" customHeight="1" thickBo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71"/>
      <c r="U18" s="471" t="s">
        <v>106</v>
      </c>
      <c r="V18" s="472"/>
      <c r="W18" s="472"/>
      <c r="X18" s="472"/>
      <c r="Y18" s="472"/>
      <c r="Z18" s="473"/>
      <c r="AA18" s="78"/>
      <c r="AB18" s="78"/>
      <c r="AC18" s="78"/>
      <c r="AD18" s="78"/>
      <c r="AE18" s="4"/>
      <c r="AF18" s="4"/>
      <c r="AG18" s="4"/>
      <c r="AH18" s="4"/>
      <c r="AI18" s="4"/>
      <c r="AJ18" s="4"/>
      <c r="AK18" s="4"/>
      <c r="AL18" s="4"/>
      <c r="AM18" s="471" t="s">
        <v>318</v>
      </c>
      <c r="AN18" s="472"/>
      <c r="AO18" s="472"/>
      <c r="AP18" s="472"/>
      <c r="AQ18" s="472"/>
      <c r="AR18" s="473"/>
      <c r="AS18" s="4"/>
      <c r="AT18" s="4"/>
      <c r="AU18" s="4" t="str">
        <f>verze!E72</f>
        <v>hliník</v>
      </c>
      <c r="AV18" s="4"/>
      <c r="AW18" s="4" t="str">
        <f>verze!E79</f>
        <v>strieborná bez loga</v>
      </c>
      <c r="AX18" s="24">
        <v>9270185</v>
      </c>
      <c r="AY18" s="2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</row>
    <row r="19" spans="1:68" ht="14.4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78"/>
      <c r="AB19" s="78"/>
      <c r="AC19" s="78"/>
      <c r="AD19" s="78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 t="str">
        <f>verze!E65</f>
        <v>chróm</v>
      </c>
      <c r="AV19" s="4"/>
      <c r="AW19" s="4" t="str">
        <f>verze!E80</f>
        <v>biela s logom</v>
      </c>
      <c r="AX19" s="24">
        <v>9257704</v>
      </c>
      <c r="AY19" s="2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8" ht="14.45" customHeight="1" thickBo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78"/>
      <c r="AB20" s="78"/>
      <c r="AC20" s="78"/>
      <c r="AD20" s="78"/>
      <c r="AE20" s="4"/>
      <c r="AF20" s="4"/>
      <c r="AG20" s="4"/>
      <c r="AH20" s="4"/>
      <c r="AI20" s="4"/>
      <c r="AJ20" s="4"/>
      <c r="AK20" s="4"/>
      <c r="AL20" s="4"/>
      <c r="AM20" s="4" t="str">
        <f>verze!E76</f>
        <v>krytka:</v>
      </c>
      <c r="AN20" s="4"/>
      <c r="AO20" s="4"/>
      <c r="AP20" s="4"/>
      <c r="AQ20" s="4"/>
      <c r="AR20" s="4"/>
      <c r="AS20" s="4"/>
      <c r="AT20" s="4"/>
      <c r="AU20" s="4" t="str">
        <f>verze!E74</f>
        <v>dub</v>
      </c>
      <c r="AV20" s="4"/>
      <c r="AW20" s="4" t="str">
        <f>verze!E81</f>
        <v>biela bez loga</v>
      </c>
      <c r="AX20" s="24">
        <v>9270186</v>
      </c>
      <c r="AY20" s="2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</row>
    <row r="21" spans="1:68" ht="14.45" customHeight="1" thickBot="1">
      <c r="S21" s="67"/>
      <c r="T21" s="63"/>
      <c r="U21" s="4"/>
      <c r="V21" s="4"/>
      <c r="W21" s="4"/>
      <c r="X21" s="4"/>
      <c r="Y21" s="4"/>
      <c r="Z21" s="4"/>
      <c r="AA21" s="78"/>
      <c r="AB21" s="78"/>
      <c r="AC21" s="78"/>
      <c r="AD21" s="78"/>
      <c r="AE21" s="4"/>
      <c r="AF21" s="4"/>
      <c r="AG21" s="4"/>
      <c r="AH21" s="4"/>
      <c r="AI21" s="4"/>
      <c r="AJ21" s="4"/>
      <c r="AK21" s="4"/>
      <c r="AL21" s="4"/>
      <c r="AM21" s="471" t="s">
        <v>308</v>
      </c>
      <c r="AN21" s="472"/>
      <c r="AO21" s="472"/>
      <c r="AP21" s="472"/>
      <c r="AQ21" s="472"/>
      <c r="AR21" s="473"/>
      <c r="AS21" s="4"/>
      <c r="AT21" s="4"/>
      <c r="AU21" s="4" t="str">
        <f>verze!E75</f>
        <v>orech</v>
      </c>
      <c r="AV21" s="4"/>
      <c r="AW21" s="4" t="str">
        <f>verze!E82</f>
        <v>antracitová s logom</v>
      </c>
      <c r="AX21" s="24">
        <v>9257705</v>
      </c>
      <c r="AY21" s="2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</row>
    <row r="22" spans="1:68" ht="14.4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67"/>
      <c r="T22" s="67"/>
      <c r="U22" s="4"/>
      <c r="V22" s="4"/>
      <c r="W22" s="4"/>
      <c r="X22" s="4"/>
      <c r="Y22" s="4"/>
      <c r="Z22" s="4"/>
      <c r="AA22" s="78"/>
      <c r="AB22" s="78"/>
      <c r="AC22" s="78"/>
      <c r="AD22" s="78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 t="str">
        <f>verze!E83</f>
        <v>antracitová bez loga</v>
      </c>
      <c r="AX22" s="24">
        <v>9270187</v>
      </c>
      <c r="AY22" s="2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</row>
    <row r="23" spans="1:68" ht="14.45" customHeight="1" thickBo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67"/>
      <c r="T23" s="67"/>
      <c r="U23" s="4"/>
      <c r="V23" s="88"/>
      <c r="W23" s="88" t="str">
        <f>IF(U18=AU13,AU4,"")</f>
        <v>Vybraté</v>
      </c>
      <c r="X23" s="4"/>
      <c r="Y23" s="4"/>
      <c r="Z23" s="4"/>
      <c r="AA23" s="78"/>
      <c r="AB23" s="78"/>
      <c r="AC23" s="78"/>
      <c r="AD23" s="88"/>
      <c r="AE23" s="88" t="str">
        <f>IF(U18=AU14,AU4,"")</f>
        <v/>
      </c>
      <c r="AF23" s="4"/>
      <c r="AG23" s="4"/>
      <c r="AH23" s="4"/>
      <c r="AI23" s="4"/>
      <c r="AJ23" s="4"/>
      <c r="AK23" s="4"/>
      <c r="AL23" s="4"/>
      <c r="AM23" s="4" t="str">
        <f>verze!E84</f>
        <v>hrúbka boku skrinky:</v>
      </c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</row>
    <row r="24" spans="1:68" ht="14.45" customHeight="1" thickBo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78"/>
      <c r="AB24" s="78"/>
      <c r="AC24" s="78"/>
      <c r="AD24" s="78"/>
      <c r="AE24" s="4"/>
      <c r="AF24" s="4"/>
      <c r="AG24" s="4"/>
      <c r="AH24" s="4"/>
      <c r="AI24" s="4"/>
      <c r="AJ24" s="4"/>
      <c r="AK24" s="4"/>
      <c r="AL24" s="4"/>
      <c r="AM24" s="494">
        <v>18</v>
      </c>
      <c r="AN24" s="495"/>
      <c r="AO24" s="495"/>
      <c r="AP24" s="495"/>
      <c r="AQ24" s="495"/>
      <c r="AR24" s="496"/>
      <c r="AS24" s="4"/>
      <c r="AT24" s="4"/>
      <c r="AU24" s="4">
        <v>16</v>
      </c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</row>
    <row r="25" spans="1:68" ht="14.45" customHeight="1">
      <c r="A25" s="4"/>
      <c r="B25" s="4" t="str">
        <f>" "&amp;verze!E29</f>
        <v xml:space="preserve"> Predajca:</v>
      </c>
      <c r="C25" s="61"/>
      <c r="D25" s="61"/>
      <c r="E25" s="61"/>
      <c r="F25" s="61"/>
      <c r="G25" s="61"/>
      <c r="H25" s="61"/>
      <c r="I25" s="61"/>
      <c r="J25" s="61"/>
      <c r="K25" s="61"/>
      <c r="L25" s="4"/>
      <c r="M25" s="4"/>
      <c r="N25" s="4"/>
      <c r="O25" s="4"/>
      <c r="P25" s="4"/>
      <c r="Q25" s="4"/>
      <c r="R25" s="4"/>
      <c r="S25" s="4"/>
      <c r="T25" s="4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4"/>
      <c r="AF25" s="70"/>
      <c r="AG25" s="70"/>
      <c r="AH25" s="70"/>
      <c r="AI25" s="70"/>
      <c r="AJ25" s="70"/>
      <c r="AK25" s="70"/>
      <c r="AL25" s="70"/>
      <c r="AM25" s="70"/>
      <c r="AN25" s="4"/>
      <c r="AO25" s="4"/>
      <c r="AP25" s="4"/>
      <c r="AQ25" s="4"/>
      <c r="AR25" s="4"/>
      <c r="AS25" s="4"/>
      <c r="AT25" s="4"/>
      <c r="AU25" s="4">
        <v>18</v>
      </c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</row>
    <row r="26" spans="1:68" ht="14.45" customHeight="1">
      <c r="A26" s="4"/>
      <c r="B26" s="493" t="str">
        <f>" "&amp;CENY!C3</f>
        <v xml:space="preserve"> Hettich ČR k.s.</v>
      </c>
      <c r="C26" s="493"/>
      <c r="D26" s="493"/>
      <c r="E26" s="493"/>
      <c r="F26" s="493"/>
      <c r="G26" s="493"/>
      <c r="H26" s="493"/>
      <c r="I26" s="493"/>
      <c r="J26" s="493"/>
      <c r="K26" s="493"/>
      <c r="L26" s="4"/>
      <c r="M26" s="4"/>
      <c r="N26" s="4"/>
      <c r="O26" s="4"/>
      <c r="P26" s="4"/>
      <c r="Q26" s="4"/>
      <c r="R26" s="4"/>
      <c r="S26" s="4"/>
      <c r="T26" s="4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4"/>
      <c r="AF26" s="70"/>
      <c r="AG26" s="70"/>
      <c r="AH26" s="70"/>
      <c r="AI26" s="70"/>
      <c r="AJ26" s="70"/>
      <c r="AK26" s="70"/>
      <c r="AL26" s="70"/>
      <c r="AM26" s="70"/>
      <c r="AN26" s="4"/>
      <c r="AO26" s="4"/>
      <c r="AP26" s="4"/>
      <c r="AQ26" s="4"/>
      <c r="AR26" s="4"/>
      <c r="AS26" s="85"/>
      <c r="AT26" s="4"/>
      <c r="AU26" s="4">
        <v>19</v>
      </c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</row>
    <row r="27" spans="1:68" ht="14.45" customHeight="1" thickBot="1">
      <c r="A27" s="4"/>
      <c r="B27" s="489" t="str">
        <f>" "&amp;CENY!C4</f>
        <v xml:space="preserve"> Jihlavská 3</v>
      </c>
      <c r="C27" s="489"/>
      <c r="D27" s="489"/>
      <c r="E27" s="489"/>
      <c r="F27" s="489"/>
      <c r="G27" s="489"/>
      <c r="H27" s="489"/>
      <c r="I27" s="489"/>
      <c r="J27" s="489"/>
      <c r="K27" s="489"/>
      <c r="L27" s="4"/>
      <c r="M27" s="4"/>
      <c r="N27" s="4"/>
      <c r="O27" s="4"/>
      <c r="P27" s="4"/>
      <c r="Q27" s="4"/>
      <c r="R27" s="4"/>
      <c r="S27" s="4"/>
      <c r="T27" s="4"/>
      <c r="U27" s="63" t="str">
        <f>verze!E58</f>
        <v>Cenová hladina:</v>
      </c>
      <c r="V27" s="4"/>
      <c r="W27" s="4"/>
      <c r="X27" s="4"/>
      <c r="Y27" s="4"/>
      <c r="Z27" s="4"/>
      <c r="AA27" s="78"/>
      <c r="AB27" s="78"/>
      <c r="AC27" s="78"/>
      <c r="AD27" s="78"/>
      <c r="AE27" s="4"/>
      <c r="AF27" s="70"/>
      <c r="AG27" s="70"/>
      <c r="AH27" s="70"/>
      <c r="AI27" s="70"/>
      <c r="AJ27" s="70"/>
      <c r="AK27" s="70"/>
      <c r="AL27" s="70"/>
      <c r="AM27" s="70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</row>
    <row r="28" spans="1:68" ht="14.45" customHeight="1" thickBot="1">
      <c r="A28" s="4"/>
      <c r="B28" s="489" t="str">
        <f>" "&amp;CENY!C5</f>
        <v xml:space="preserve"> 591 01  Žďár nad Sázavou</v>
      </c>
      <c r="C28" s="489"/>
      <c r="D28" s="489"/>
      <c r="E28" s="489"/>
      <c r="F28" s="489"/>
      <c r="G28" s="489"/>
      <c r="H28" s="489"/>
      <c r="I28" s="489"/>
      <c r="J28" s="489"/>
      <c r="K28" s="489"/>
      <c r="L28" s="4"/>
      <c r="M28" s="4"/>
      <c r="N28" s="4"/>
      <c r="O28" s="4"/>
      <c r="P28" s="4"/>
      <c r="Q28" s="4"/>
      <c r="R28" s="4"/>
      <c r="S28" s="4"/>
      <c r="T28" s="4"/>
      <c r="U28" s="471" t="s">
        <v>88</v>
      </c>
      <c r="V28" s="472"/>
      <c r="W28" s="472"/>
      <c r="X28" s="472"/>
      <c r="Y28" s="472"/>
      <c r="Z28" s="473"/>
      <c r="AA28" s="4"/>
      <c r="AB28" s="4"/>
      <c r="AC28" s="4"/>
      <c r="AD28" s="5" t="str">
        <f>verze!E59&amp;" "</f>
        <v xml:space="preserve">Zľava % </v>
      </c>
      <c r="AE28" s="490">
        <f>IF(U28=AU30,0,IF(U28=AU31,Napoveda!T9,IF(U28=AU36,Napoveda!T10,1/0)))</f>
        <v>0</v>
      </c>
      <c r="AF28" s="492"/>
      <c r="AG28" s="4"/>
      <c r="AH28" s="4"/>
      <c r="AI28" s="4"/>
      <c r="AJ28" s="4"/>
      <c r="AK28" s="4"/>
      <c r="AL28" s="4"/>
      <c r="AM28" s="4"/>
      <c r="AN28" s="4"/>
      <c r="AO28" s="5" t="str">
        <f>verze!E51&amp;" "</f>
        <v xml:space="preserve">Verzia </v>
      </c>
      <c r="AP28" s="490" t="str">
        <f>verze!E52</f>
        <v>2.0.0</v>
      </c>
      <c r="AQ28" s="491"/>
      <c r="AR28" s="492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</row>
    <row r="29" spans="1:68" ht="14.45" customHeight="1">
      <c r="A29" s="4"/>
      <c r="B29" s="489" t="str">
        <f>" "&amp;CENY!C6</f>
        <v xml:space="preserve"> tel. (+421) 032 65 83 885</v>
      </c>
      <c r="C29" s="489"/>
      <c r="D29" s="489"/>
      <c r="E29" s="489"/>
      <c r="F29" s="489"/>
      <c r="G29" s="489"/>
      <c r="H29" s="489"/>
      <c r="I29" s="489"/>
      <c r="J29" s="489"/>
      <c r="K29" s="489"/>
      <c r="L29" s="4"/>
      <c r="M29" s="4"/>
      <c r="N29" s="4"/>
      <c r="O29" s="4"/>
      <c r="P29" s="4"/>
      <c r="Q29" s="4"/>
      <c r="R29" s="4"/>
      <c r="S29" s="4"/>
      <c r="T29" s="4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</row>
    <row r="30" spans="1:68" ht="14.45" customHeight="1">
      <c r="A30" s="4"/>
      <c r="B30" s="489" t="str">
        <f>" "&amp;CENY!C7</f>
        <v xml:space="preserve"> fax (+420) 032 65 83 884</v>
      </c>
      <c r="C30" s="489"/>
      <c r="D30" s="489"/>
      <c r="E30" s="489"/>
      <c r="F30" s="489"/>
      <c r="G30" s="489"/>
      <c r="H30" s="489"/>
      <c r="I30" s="489"/>
      <c r="J30" s="489"/>
      <c r="K30" s="489"/>
      <c r="L30" s="4"/>
      <c r="M30" s="4"/>
      <c r="N30" s="4"/>
      <c r="O30" s="4"/>
      <c r="P30" s="4"/>
      <c r="Q30" s="4"/>
      <c r="R30" s="4"/>
      <c r="S30" s="4"/>
      <c r="T30" s="4"/>
      <c r="U30" s="67"/>
      <c r="V30" s="67"/>
      <c r="W30" s="67"/>
      <c r="X30" s="67"/>
      <c r="Y30" s="67"/>
      <c r="Z30" s="67"/>
      <c r="AA30" s="78"/>
      <c r="AB30" s="78"/>
      <c r="AC30" s="78"/>
      <c r="AD30" s="78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85"/>
      <c r="AR30" s="85"/>
      <c r="AS30" s="4"/>
      <c r="AT30" s="4"/>
      <c r="AU30" s="4" t="str">
        <f>verze!E86</f>
        <v>Základné ceny</v>
      </c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</row>
    <row r="31" spans="1:68" ht="14.45" customHeight="1">
      <c r="A31" s="4"/>
      <c r="B31" s="489" t="str">
        <f>" "&amp;CENY!C8</f>
        <v xml:space="preserve"> hcr-objednavkysr@hettich.com</v>
      </c>
      <c r="C31" s="489"/>
      <c r="D31" s="489"/>
      <c r="E31" s="489"/>
      <c r="F31" s="489"/>
      <c r="G31" s="489"/>
      <c r="H31" s="489"/>
      <c r="I31" s="489"/>
      <c r="J31" s="489"/>
      <c r="K31" s="489"/>
      <c r="L31" s="4"/>
      <c r="M31" s="4"/>
      <c r="N31" s="4"/>
      <c r="O31" s="4"/>
      <c r="P31" s="4"/>
      <c r="Q31" s="4"/>
      <c r="R31" s="4"/>
      <c r="S31" s="4"/>
      <c r="T31" s="4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 t="str">
        <f>verze!E87</f>
        <v>Nákupné ceny</v>
      </c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</row>
    <row r="32" spans="1:68" ht="14.4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</row>
    <row r="33" spans="1:68" ht="14.4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</row>
    <row r="34" spans="1:68" ht="18"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65"/>
      <c r="AU34" s="4"/>
      <c r="AV34" s="4"/>
      <c r="AW34" s="4"/>
      <c r="AX34" s="4"/>
      <c r="AY34" s="4"/>
    </row>
    <row r="35" spans="1:68"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</row>
    <row r="36" spans="1:68"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 t="str">
        <f>verze!E88</f>
        <v>S voliteľnou zľavou</v>
      </c>
      <c r="AW36" s="4"/>
      <c r="AX36" s="4"/>
      <c r="AY36" s="4"/>
    </row>
    <row r="37" spans="1:68"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</row>
    <row r="38" spans="1:68"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T38" s="4"/>
      <c r="AU38" s="4"/>
      <c r="AV38" s="4"/>
      <c r="AW38" s="4"/>
      <c r="AX38" s="4"/>
      <c r="AY38" s="4"/>
    </row>
    <row r="39" spans="1:68"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T39" s="4"/>
      <c r="AU39" s="4"/>
      <c r="AV39" s="4"/>
      <c r="AW39" s="4"/>
      <c r="AX39" s="4"/>
      <c r="AY39" s="4"/>
    </row>
    <row r="40" spans="1:68"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T40" s="4"/>
      <c r="AU40" s="4"/>
      <c r="AV40" s="4"/>
      <c r="AW40" s="4"/>
      <c r="AX40" s="4"/>
      <c r="AY40" s="4"/>
    </row>
    <row r="41" spans="1:68"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T41" s="4"/>
      <c r="AU41" s="4"/>
      <c r="AV41" s="4"/>
      <c r="AW41" s="4"/>
      <c r="AX41" s="4"/>
      <c r="AY41" s="4"/>
    </row>
    <row r="42" spans="1:68">
      <c r="AT42" s="4"/>
      <c r="AU42" s="4"/>
      <c r="AV42" s="4"/>
      <c r="AW42" s="4"/>
      <c r="AX42" s="4"/>
    </row>
    <row r="43" spans="1:68">
      <c r="AT43" s="4"/>
      <c r="AU43" s="66"/>
      <c r="AV43" s="4"/>
      <c r="AW43" s="4"/>
      <c r="AX43" s="4"/>
    </row>
    <row r="44" spans="1:68">
      <c r="AT44" s="4"/>
      <c r="AU44" s="4"/>
      <c r="AV44" s="4"/>
      <c r="AW44" s="4"/>
      <c r="AX44" s="4"/>
    </row>
    <row r="45" spans="1:68">
      <c r="AT45" s="4"/>
      <c r="AU45" s="4"/>
      <c r="AV45" s="4"/>
      <c r="AW45" s="4"/>
      <c r="AX45" s="4"/>
    </row>
    <row r="46" spans="1:68">
      <c r="AT46" s="4"/>
      <c r="AU46" s="4"/>
      <c r="AV46" s="4"/>
      <c r="AW46" s="4"/>
      <c r="AX46" s="4"/>
    </row>
    <row r="47" spans="1:68">
      <c r="AT47" s="4"/>
      <c r="AU47" s="4"/>
      <c r="AV47" s="4"/>
      <c r="AW47" s="4"/>
      <c r="AX47" s="4"/>
    </row>
    <row r="48" spans="1:68">
      <c r="AT48" s="4"/>
      <c r="AU48" s="4"/>
      <c r="AV48" s="4"/>
      <c r="AW48" s="4"/>
      <c r="AX48" s="4"/>
    </row>
    <row r="49" spans="46:50">
      <c r="AT49" s="4"/>
      <c r="AU49" s="4"/>
      <c r="AV49" s="4"/>
      <c r="AW49" s="4"/>
      <c r="AX49" s="4"/>
    </row>
    <row r="50" spans="46:50">
      <c r="AT50" s="4"/>
      <c r="AU50" s="4"/>
      <c r="AV50" s="4"/>
      <c r="AW50" s="4"/>
      <c r="AX50" s="4"/>
    </row>
    <row r="51" spans="46:50">
      <c r="AT51" s="4"/>
      <c r="AU51" s="62"/>
      <c r="AV51" s="4"/>
      <c r="AW51" s="4"/>
      <c r="AX51" s="4"/>
    </row>
    <row r="52" spans="46:50">
      <c r="AT52" s="4"/>
      <c r="AU52" s="62"/>
      <c r="AV52" s="4"/>
      <c r="AW52" s="4"/>
      <c r="AX52" s="4"/>
    </row>
    <row r="53" spans="46:50">
      <c r="AU53" s="4"/>
      <c r="AV53" s="4"/>
      <c r="AW53" s="4"/>
      <c r="AX53" s="4"/>
    </row>
    <row r="54" spans="46:50">
      <c r="AU54" s="4"/>
      <c r="AV54" s="4"/>
      <c r="AW54" s="4"/>
      <c r="AX54" s="4"/>
    </row>
    <row r="55" spans="46:50">
      <c r="AX55" s="4"/>
    </row>
    <row r="56" spans="46:50">
      <c r="AX56" s="4"/>
    </row>
  </sheetData>
  <sheetProtection algorithmName="SHA-512" hashValue="gfVo5lnjJjeKfc53g1y0mBKysXEoyNLpaAZaO3vP3cLOLyxU6iNcml/M3e3VsLReUkMJZU8BBLBeJlaLByIOrw==" saltValue="2MRkrOKStDwAL5k5XLwq4w==" spinCount="100000" sheet="1" autoFilter="0"/>
  <mergeCells count="23">
    <mergeCell ref="B26:K26"/>
    <mergeCell ref="B27:K27"/>
    <mergeCell ref="AM18:AR18"/>
    <mergeCell ref="AM21:AR21"/>
    <mergeCell ref="AM24:AR24"/>
    <mergeCell ref="U18:Z18"/>
    <mergeCell ref="B30:K30"/>
    <mergeCell ref="B31:K31"/>
    <mergeCell ref="AP28:AR28"/>
    <mergeCell ref="AE28:AF28"/>
    <mergeCell ref="U28:Z28"/>
    <mergeCell ref="B28:K28"/>
    <mergeCell ref="B29:K29"/>
    <mergeCell ref="U8:Z8"/>
    <mergeCell ref="AM8:AR8"/>
    <mergeCell ref="AI4:AR4"/>
    <mergeCell ref="B2:E2"/>
    <mergeCell ref="G2:K2"/>
    <mergeCell ref="O2:S2"/>
    <mergeCell ref="U2:Y2"/>
    <mergeCell ref="AA2:AE2"/>
    <mergeCell ref="AI2:AM2"/>
    <mergeCell ref="AO2:AR2"/>
  </mergeCells>
  <conditionalFormatting sqref="T18 U25:AD26">
    <cfRule type="expression" dxfId="1002" priority="4" stopIfTrue="1">
      <formula>$AV$2=1</formula>
    </cfRule>
  </conditionalFormatting>
  <conditionalFormatting sqref="AU36">
    <cfRule type="expression" dxfId="1001" priority="2" stopIfTrue="1">
      <formula>$AU$37=1</formula>
    </cfRule>
  </conditionalFormatting>
  <dataValidations count="7">
    <dataValidation type="list" allowBlank="1" showInputMessage="1" showErrorMessage="1" sqref="U8" xr:uid="{00000000-0002-0000-0100-000000000000}">
      <formula1>$AU$6:$AU$8</formula1>
    </dataValidation>
    <dataValidation type="list" allowBlank="1" showInputMessage="1" showErrorMessage="1" sqref="AM8:AR8" xr:uid="{00000000-0002-0000-0100-000001000000}">
      <formula1>$AU$10:$AU$11</formula1>
    </dataValidation>
    <dataValidation type="list" errorStyle="warning" allowBlank="1" showInputMessage="1" showErrorMessage="1" errorTitle="NESPRÁVNY  ÚDAJ" sqref="U28" xr:uid="{00000000-0002-0000-0100-000002000000}">
      <formula1>$AU$30:$AU$36</formula1>
    </dataValidation>
    <dataValidation type="list" allowBlank="1" showInputMessage="1" showErrorMessage="1" sqref="AM18:AR18" xr:uid="{00000000-0002-0000-0100-000003000000}">
      <formula1>$AU$16:$AU$17</formula1>
    </dataValidation>
    <dataValidation type="list" allowBlank="1" showInputMessage="1" showErrorMessage="1" sqref="AM21:AR21" xr:uid="{00000000-0002-0000-0100-000004000000}">
      <formula1>$AW$16:$AW$22</formula1>
    </dataValidation>
    <dataValidation type="list" allowBlank="1" showInputMessage="1" showErrorMessage="1" sqref="AM24:AR24" xr:uid="{00000000-0002-0000-0100-000005000000}">
      <formula1>$AU$25</formula1>
    </dataValidation>
    <dataValidation type="list" allowBlank="1" showInputMessage="1" showErrorMessage="1" sqref="U18:Z18" xr:uid="{00000000-0002-0000-0100-000006000000}">
      <formula1>$AU$13:$AU$14</formula1>
    </dataValidation>
  </dataValidations>
  <hyperlinks>
    <hyperlink ref="AI4:AR4" location="Napoveda!A1" display="Napoveda!A1" xr:uid="{00000000-0004-0000-0100-000000000000}"/>
    <hyperlink ref="O2:S2" location="MENU!A5" display="MENU!A5" xr:uid="{00000000-0004-0000-0100-000001000000}"/>
    <hyperlink ref="AO2:AR2" location="MENU!A5" display="&gt;&gt;&gt;" xr:uid="{00000000-0004-0000-0100-000002000000}"/>
    <hyperlink ref="AI2:AM2" location="OBJ!A1" display="OBJ!A1" xr:uid="{00000000-0004-0000-0100-000003000000}"/>
    <hyperlink ref="U2:Y2" location="'MENU-2'!A5" display="'MENU-2'!A5" xr:uid="{00000000-0004-0000-0100-000004000000}"/>
  </hyperlinks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BL111"/>
  <sheetViews>
    <sheetView showGridLines="0" showRowColHeaders="0" zoomScale="95" zoomScaleNormal="95" workbookViewId="0">
      <pane ySplit="4" topLeftCell="A5" activePane="bottomLeft" state="frozen"/>
      <selection pane="bottomLeft" activeCell="G2" sqref="G2:K2"/>
    </sheetView>
  </sheetViews>
  <sheetFormatPr defaultColWidth="9" defaultRowHeight="14.25"/>
  <cols>
    <col min="1" max="1" width="3.625" style="61" customWidth="1"/>
    <col min="2" max="58" width="3.125" style="61" customWidth="1"/>
    <col min="59" max="59" width="3.625" style="61" customWidth="1"/>
    <col min="60" max="72" width="9" style="61" customWidth="1"/>
    <col min="73" max="16384" width="9" style="61"/>
  </cols>
  <sheetData>
    <row r="1" spans="1:64" ht="12.95" customHeight="1" thickBot="1">
      <c r="BG1" s="147"/>
    </row>
    <row r="2" spans="1:64" ht="23.1" customHeight="1" thickBot="1">
      <c r="B2" s="486" t="str">
        <f>verze!E13</f>
        <v>&lt;&lt;  späť</v>
      </c>
      <c r="C2" s="487"/>
      <c r="D2" s="487"/>
      <c r="E2" s="488"/>
      <c r="G2" s="502" t="str">
        <f>verze!E6</f>
        <v xml:space="preserve"> Úvod</v>
      </c>
      <c r="H2" s="503"/>
      <c r="I2" s="503"/>
      <c r="J2" s="503"/>
      <c r="K2" s="504"/>
      <c r="O2" s="515" t="str">
        <f>verze!E7</f>
        <v xml:space="preserve"> Výber zásuviek</v>
      </c>
      <c r="P2" s="516"/>
      <c r="Q2" s="516"/>
      <c r="R2" s="516"/>
      <c r="S2" s="517"/>
      <c r="U2" s="502" t="str">
        <f>verze!E8</f>
        <v xml:space="preserve"> </v>
      </c>
      <c r="V2" s="503"/>
      <c r="W2" s="503"/>
      <c r="X2" s="503"/>
      <c r="Y2" s="504"/>
      <c r="AA2" s="515" t="str">
        <f>verze!E9</f>
        <v xml:space="preserve"> </v>
      </c>
      <c r="AB2" s="516"/>
      <c r="AC2" s="516"/>
      <c r="AD2" s="516"/>
      <c r="AE2" s="517"/>
      <c r="AI2" s="502" t="str">
        <f>verze!E10</f>
        <v xml:space="preserve"> Objednávka</v>
      </c>
      <c r="AJ2" s="503"/>
      <c r="AK2" s="503"/>
      <c r="AL2" s="503"/>
      <c r="AM2" s="504"/>
      <c r="AO2" s="486" t="str">
        <f>verze!E14</f>
        <v>vpred  &gt;&gt;</v>
      </c>
      <c r="AP2" s="487"/>
      <c r="AQ2" s="487"/>
      <c r="AR2" s="488"/>
    </row>
    <row r="3" spans="1:64" ht="12.95" customHeight="1">
      <c r="BG3" s="147"/>
    </row>
    <row r="4" spans="1:64" ht="23.1" customHeight="1">
      <c r="A4" s="148"/>
      <c r="B4" s="91" t="str">
        <f>verze!E7</f>
        <v xml:space="preserve"> Výber zásuviek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9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9" t="s">
        <v>406</v>
      </c>
      <c r="BG4" s="150"/>
    </row>
    <row r="5" spans="1:64" ht="14.45" customHeight="1"/>
    <row r="6" spans="1:64" s="76" customFormat="1" ht="14.45" customHeight="1">
      <c r="A6" s="4"/>
      <c r="B6" s="7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80"/>
      <c r="O6" s="81" t="str">
        <f>verze!E206&amp;" - 101 mm"</f>
        <v>Zásuvka - 101 mm</v>
      </c>
      <c r="P6" s="82"/>
      <c r="Q6" s="79"/>
      <c r="R6" s="79"/>
      <c r="S6" s="79"/>
      <c r="T6" s="79"/>
      <c r="U6" s="79"/>
      <c r="V6" s="79"/>
      <c r="W6" s="79"/>
      <c r="X6" s="79"/>
      <c r="Y6" s="79"/>
      <c r="Z6" s="79"/>
      <c r="AA6" s="82"/>
      <c r="AB6" s="82"/>
      <c r="AC6" s="83"/>
      <c r="AD6" s="81" t="str">
        <f>verze!E206&amp;" - 139 mm"</f>
        <v>Zásuvka - 139 mm</v>
      </c>
      <c r="AE6" s="82"/>
      <c r="AF6" s="79"/>
      <c r="AG6" s="79"/>
      <c r="AH6" s="79"/>
      <c r="AI6" s="79"/>
      <c r="AJ6" s="79"/>
      <c r="AK6" s="79"/>
      <c r="AL6" s="79"/>
      <c r="AM6" s="79"/>
      <c r="AN6" s="79"/>
      <c r="AO6" s="82"/>
      <c r="AP6" s="82"/>
      <c r="AQ6" s="79"/>
      <c r="AR6" s="81" t="str">
        <f>verze!E206&amp;" - 187 mm"</f>
        <v>Zásuvka - 187 mm</v>
      </c>
      <c r="AS6" s="82"/>
      <c r="AT6" s="79"/>
      <c r="AU6" s="79"/>
      <c r="AV6" s="79"/>
      <c r="AW6" s="79"/>
      <c r="AX6" s="79"/>
      <c r="AY6" s="79"/>
      <c r="AZ6" s="79"/>
      <c r="BA6" s="79"/>
      <c r="BB6" s="79"/>
      <c r="BC6" s="82"/>
      <c r="BD6" s="82"/>
      <c r="BE6" s="79"/>
      <c r="BF6" s="81" t="str">
        <f>verze!E206&amp;" - 251 mm"</f>
        <v>Zásuvka - 251 mm</v>
      </c>
      <c r="BG6" s="4"/>
      <c r="BL6" s="81"/>
    </row>
    <row r="7" spans="1:64" s="76" customFormat="1" ht="14.45" customHeight="1" thickBot="1">
      <c r="A7" s="4"/>
      <c r="B7" s="74"/>
      <c r="C7" s="75"/>
      <c r="D7" s="75"/>
      <c r="E7" s="75"/>
      <c r="F7" s="75"/>
      <c r="G7" s="75"/>
      <c r="H7" s="75"/>
      <c r="I7" s="75"/>
      <c r="P7" s="4"/>
      <c r="Q7" s="74"/>
      <c r="R7" s="75"/>
      <c r="S7" s="75"/>
      <c r="T7" s="75"/>
      <c r="U7" s="75"/>
      <c r="V7" s="75"/>
      <c r="AE7" s="4"/>
      <c r="AF7" s="74"/>
      <c r="AG7" s="75"/>
      <c r="AH7" s="75"/>
      <c r="AI7" s="75"/>
      <c r="AJ7" s="75"/>
      <c r="AK7" s="75"/>
      <c r="AS7" s="4"/>
      <c r="AT7" s="74"/>
      <c r="AU7" s="75"/>
      <c r="AV7" s="75"/>
      <c r="AW7" s="75"/>
      <c r="AX7" s="75"/>
      <c r="AY7" s="75"/>
      <c r="BG7" s="4"/>
    </row>
    <row r="8" spans="1:64" s="76" customFormat="1" ht="14.45" customHeight="1" thickTop="1">
      <c r="B8" s="173"/>
      <c r="C8" s="174" t="str">
        <f>verze!E119</f>
        <v>zásuvka základná</v>
      </c>
      <c r="D8" s="175"/>
      <c r="E8" s="175"/>
      <c r="F8" s="175"/>
      <c r="G8" s="175"/>
      <c r="H8" s="175"/>
      <c r="I8" s="175"/>
      <c r="J8" s="176"/>
      <c r="K8" s="176"/>
      <c r="L8" s="176"/>
      <c r="M8" s="176"/>
      <c r="N8" s="176"/>
      <c r="O8" s="177"/>
      <c r="P8" s="173"/>
      <c r="Q8" s="174" t="str">
        <f>verze!E119</f>
        <v>zásuvka základná</v>
      </c>
      <c r="R8" s="175"/>
      <c r="S8" s="175"/>
      <c r="T8" s="175"/>
      <c r="U8" s="175"/>
      <c r="V8" s="175"/>
      <c r="W8" s="176"/>
      <c r="X8" s="176"/>
      <c r="Y8" s="176"/>
      <c r="Z8" s="176"/>
      <c r="AA8" s="176"/>
      <c r="AB8" s="176"/>
      <c r="AC8" s="176"/>
      <c r="AD8" s="177"/>
      <c r="AE8" s="173"/>
      <c r="AF8" s="174" t="str">
        <f>verze!E119</f>
        <v>zásuvka základná</v>
      </c>
      <c r="AG8" s="175"/>
      <c r="AH8" s="175"/>
      <c r="AI8" s="175"/>
      <c r="AJ8" s="175"/>
      <c r="AK8" s="175"/>
      <c r="AL8" s="176"/>
      <c r="AM8" s="176"/>
      <c r="AN8" s="176"/>
      <c r="AO8" s="176"/>
      <c r="AP8" s="176"/>
      <c r="AQ8" s="176"/>
      <c r="AR8" s="177"/>
      <c r="AS8" s="173"/>
      <c r="AT8" s="174" t="str">
        <f>verze!E119</f>
        <v>zásuvka základná</v>
      </c>
      <c r="AU8" s="175"/>
      <c r="AV8" s="175"/>
      <c r="AW8" s="175"/>
      <c r="AX8" s="175"/>
      <c r="AY8" s="175"/>
      <c r="AZ8" s="176"/>
      <c r="BA8" s="176"/>
      <c r="BB8" s="176"/>
      <c r="BC8" s="176"/>
      <c r="BD8" s="176"/>
      <c r="BE8" s="176"/>
      <c r="BF8" s="177"/>
      <c r="BG8" s="4"/>
    </row>
    <row r="9" spans="1:64" s="76" customFormat="1" ht="14.45" customHeight="1">
      <c r="B9" s="178"/>
      <c r="C9" s="4" t="str">
        <f>verze!E145</f>
        <v>výška bočnice :</v>
      </c>
      <c r="D9" s="4"/>
      <c r="E9" s="4"/>
      <c r="F9" s="4"/>
      <c r="G9" s="506" t="s">
        <v>334</v>
      </c>
      <c r="H9" s="506"/>
      <c r="I9" s="506"/>
      <c r="J9" s="4"/>
      <c r="K9" s="4"/>
      <c r="L9" s="4"/>
      <c r="M9" s="4"/>
      <c r="N9" s="4"/>
      <c r="O9" s="179"/>
      <c r="P9" s="178"/>
      <c r="Q9" s="4" t="str">
        <f>verze!E145</f>
        <v>výška bočnice :</v>
      </c>
      <c r="R9" s="4"/>
      <c r="S9" s="4"/>
      <c r="T9" s="4"/>
      <c r="U9" s="506" t="s">
        <v>335</v>
      </c>
      <c r="V9" s="506"/>
      <c r="W9" s="506"/>
      <c r="X9" s="4"/>
      <c r="Y9" s="4"/>
      <c r="Z9" s="4"/>
      <c r="AA9" s="4"/>
      <c r="AB9" s="4"/>
      <c r="AC9" s="4"/>
      <c r="AD9" s="179"/>
      <c r="AE9" s="178"/>
      <c r="AF9" s="4" t="str">
        <f>verze!E145</f>
        <v>výška bočnice :</v>
      </c>
      <c r="AG9" s="4"/>
      <c r="AH9" s="4"/>
      <c r="AI9" s="4"/>
      <c r="AJ9" s="506" t="s">
        <v>336</v>
      </c>
      <c r="AK9" s="506"/>
      <c r="AL9" s="506"/>
      <c r="AM9" s="4"/>
      <c r="AN9" s="4"/>
      <c r="AO9" s="4"/>
      <c r="AP9" s="4"/>
      <c r="AQ9" s="4"/>
      <c r="AR9" s="179"/>
      <c r="AS9" s="178"/>
      <c r="AT9" s="4" t="str">
        <f>verze!E145</f>
        <v>výška bočnice :</v>
      </c>
      <c r="AU9" s="4"/>
      <c r="AV9" s="4"/>
      <c r="AW9" s="4"/>
      <c r="AX9" s="506" t="s">
        <v>337</v>
      </c>
      <c r="AY9" s="506"/>
      <c r="AZ9" s="506"/>
      <c r="BA9" s="4"/>
      <c r="BB9" s="4"/>
      <c r="BC9" s="4"/>
      <c r="BD9" s="4"/>
      <c r="BE9" s="4"/>
      <c r="BF9" s="179"/>
      <c r="BG9" s="4"/>
    </row>
    <row r="10" spans="1:64" s="76" customFormat="1" ht="14.45" customHeight="1">
      <c r="B10" s="178"/>
      <c r="C10" s="4"/>
      <c r="D10" s="4"/>
      <c r="E10" s="4"/>
      <c r="F10" s="4"/>
      <c r="G10" s="506"/>
      <c r="H10" s="506"/>
      <c r="I10" s="506"/>
      <c r="J10" s="4"/>
      <c r="K10" s="4"/>
      <c r="L10" s="4"/>
      <c r="M10" s="4"/>
      <c r="N10" s="4"/>
      <c r="O10" s="179"/>
      <c r="P10" s="178"/>
      <c r="Q10" s="4"/>
      <c r="R10" s="4"/>
      <c r="S10" s="4"/>
      <c r="T10" s="4"/>
      <c r="U10" s="506"/>
      <c r="V10" s="506"/>
      <c r="W10" s="506"/>
      <c r="X10" s="4"/>
      <c r="Y10" s="4"/>
      <c r="Z10" s="4"/>
      <c r="AA10" s="4"/>
      <c r="AB10" s="4"/>
      <c r="AC10" s="4"/>
      <c r="AD10" s="179"/>
      <c r="AE10" s="178"/>
      <c r="AF10" s="4"/>
      <c r="AG10" s="4"/>
      <c r="AH10" s="4"/>
      <c r="AI10" s="4"/>
      <c r="AJ10" s="506"/>
      <c r="AK10" s="506"/>
      <c r="AL10" s="506"/>
      <c r="AM10" s="4"/>
      <c r="AN10" s="4"/>
      <c r="AO10" s="4"/>
      <c r="AP10" s="4"/>
      <c r="AQ10" s="4"/>
      <c r="AR10" s="179"/>
      <c r="AS10" s="178"/>
      <c r="AT10" s="4"/>
      <c r="AU10" s="4"/>
      <c r="AV10" s="4"/>
      <c r="AW10" s="4"/>
      <c r="AX10" s="506"/>
      <c r="AY10" s="506"/>
      <c r="AZ10" s="506"/>
      <c r="BA10" s="4"/>
      <c r="BB10" s="4"/>
      <c r="BC10" s="4"/>
      <c r="BD10" s="4"/>
      <c r="BE10" s="4"/>
      <c r="BF10" s="179"/>
      <c r="BG10" s="4"/>
    </row>
    <row r="11" spans="1:64" s="76" customFormat="1" ht="14.45" customHeight="1">
      <c r="B11" s="17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79"/>
      <c r="P11" s="178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179"/>
      <c r="AE11" s="178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179"/>
      <c r="AS11" s="178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179"/>
      <c r="BG11" s="4"/>
    </row>
    <row r="12" spans="1:64" s="76" customFormat="1" ht="14.45" customHeight="1">
      <c r="B12" s="178"/>
      <c r="C12" s="4" t="str">
        <f>verze!E147</f>
        <v>min.vstavaná výška [mm] :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79"/>
      <c r="P12" s="178"/>
      <c r="Q12" s="4" t="str">
        <f>verze!E147</f>
        <v>min.vstavaná výška [mm] :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179"/>
      <c r="AE12" s="178"/>
      <c r="AF12" s="4" t="str">
        <f>verze!E147</f>
        <v>min.vstavaná výška [mm] :</v>
      </c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179"/>
      <c r="AS12" s="178"/>
      <c r="AT12" s="4" t="str">
        <f>verze!E147</f>
        <v>min.vstavaná výška [mm] :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179"/>
      <c r="BG12" s="4"/>
    </row>
    <row r="13" spans="1:64" s="97" customFormat="1" ht="14.45" customHeight="1">
      <c r="B13" s="180"/>
      <c r="C13" s="510" t="str">
        <f>verze!E148</f>
        <v>len SiSy</v>
      </c>
      <c r="D13" s="510"/>
      <c r="E13" s="511"/>
      <c r="F13" s="512" t="s">
        <v>339</v>
      </c>
      <c r="G13" s="510"/>
      <c r="H13" s="510"/>
      <c r="I13" s="4"/>
      <c r="J13" s="24"/>
      <c r="K13" s="24"/>
      <c r="L13" s="24"/>
      <c r="M13" s="507">
        <f>SUM('AVT101'!O19:AF22)+SUM('AVT101'!O27:AD30)</f>
        <v>0</v>
      </c>
      <c r="N13" s="507"/>
      <c r="O13" s="508"/>
      <c r="P13" s="180"/>
      <c r="Q13" s="510" t="str">
        <f>verze!E148</f>
        <v>len SiSy</v>
      </c>
      <c r="R13" s="510"/>
      <c r="S13" s="511"/>
      <c r="T13" s="512" t="s">
        <v>339</v>
      </c>
      <c r="U13" s="510"/>
      <c r="V13" s="510"/>
      <c r="W13" s="4"/>
      <c r="X13" s="24"/>
      <c r="Y13" s="24"/>
      <c r="Z13" s="24"/>
      <c r="AA13" s="24"/>
      <c r="AB13" s="507">
        <f>SUM('AVT139'!O19:AF22)+SUM('AVT139'!O27:AD30)</f>
        <v>0</v>
      </c>
      <c r="AC13" s="507"/>
      <c r="AD13" s="508"/>
      <c r="AE13" s="180"/>
      <c r="AF13" s="510" t="str">
        <f>verze!E148</f>
        <v>len SiSy</v>
      </c>
      <c r="AG13" s="510"/>
      <c r="AH13" s="511"/>
      <c r="AI13" s="512" t="s">
        <v>339</v>
      </c>
      <c r="AJ13" s="510"/>
      <c r="AK13" s="510"/>
      <c r="AL13" s="4"/>
      <c r="AM13" s="24"/>
      <c r="AN13" s="24"/>
      <c r="AO13" s="24"/>
      <c r="AP13" s="507">
        <f>SUM('AVT187'!O19:AF22)+SUM('AVT187'!O27:AD30)</f>
        <v>0</v>
      </c>
      <c r="AQ13" s="507"/>
      <c r="AR13" s="508"/>
      <c r="AS13" s="180"/>
      <c r="AT13" s="510" t="str">
        <f>verze!E148</f>
        <v>len SiSy</v>
      </c>
      <c r="AU13" s="510"/>
      <c r="AV13" s="511"/>
      <c r="AW13" s="512" t="s">
        <v>339</v>
      </c>
      <c r="AX13" s="510"/>
      <c r="AY13" s="510"/>
      <c r="AZ13" s="4"/>
      <c r="BA13" s="24"/>
      <c r="BB13" s="24"/>
      <c r="BC13" s="24"/>
      <c r="BD13" s="507">
        <f>SUM('AVT251'!O19:AF22)+SUM('AVT251'!O27:AD30)</f>
        <v>0</v>
      </c>
      <c r="BE13" s="507"/>
      <c r="BF13" s="508"/>
      <c r="BG13" s="24"/>
    </row>
    <row r="14" spans="1:64" s="97" customFormat="1" ht="14.45" customHeight="1">
      <c r="B14" s="180"/>
      <c r="C14" s="509">
        <v>102</v>
      </c>
      <c r="D14" s="509"/>
      <c r="E14" s="513"/>
      <c r="F14" s="509">
        <v>104</v>
      </c>
      <c r="G14" s="509"/>
      <c r="H14" s="509"/>
      <c r="I14" s="24"/>
      <c r="J14" s="24"/>
      <c r="K14" s="24"/>
      <c r="L14" s="24"/>
      <c r="M14" s="507"/>
      <c r="N14" s="507"/>
      <c r="O14" s="508"/>
      <c r="P14" s="180"/>
      <c r="Q14" s="509">
        <v>140</v>
      </c>
      <c r="R14" s="509"/>
      <c r="S14" s="513"/>
      <c r="T14" s="509">
        <v>142</v>
      </c>
      <c r="U14" s="509"/>
      <c r="V14" s="509"/>
      <c r="W14" s="24"/>
      <c r="X14" s="24"/>
      <c r="Y14" s="24"/>
      <c r="Z14" s="24"/>
      <c r="AA14" s="24"/>
      <c r="AB14" s="507"/>
      <c r="AC14" s="507"/>
      <c r="AD14" s="508"/>
      <c r="AE14" s="180"/>
      <c r="AF14" s="509">
        <v>188</v>
      </c>
      <c r="AG14" s="509"/>
      <c r="AH14" s="513"/>
      <c r="AI14" s="509">
        <v>190</v>
      </c>
      <c r="AJ14" s="509"/>
      <c r="AK14" s="509"/>
      <c r="AL14" s="24"/>
      <c r="AM14" s="24"/>
      <c r="AN14" s="24"/>
      <c r="AO14" s="24"/>
      <c r="AP14" s="507"/>
      <c r="AQ14" s="507"/>
      <c r="AR14" s="508"/>
      <c r="AS14" s="180"/>
      <c r="AT14" s="509">
        <v>252</v>
      </c>
      <c r="AU14" s="509"/>
      <c r="AV14" s="513"/>
      <c r="AW14" s="509">
        <v>254</v>
      </c>
      <c r="AX14" s="509"/>
      <c r="AY14" s="509"/>
      <c r="AZ14" s="24"/>
      <c r="BA14" s="24"/>
      <c r="BB14" s="24"/>
      <c r="BC14" s="24"/>
      <c r="BD14" s="507"/>
      <c r="BE14" s="507"/>
      <c r="BF14" s="508"/>
      <c r="BG14" s="24"/>
    </row>
    <row r="15" spans="1:64" s="76" customFormat="1" ht="14.45" customHeight="1" thickBot="1">
      <c r="B15" s="178"/>
      <c r="C15" s="73"/>
      <c r="D15" s="4"/>
      <c r="E15" s="4"/>
      <c r="F15" s="4"/>
      <c r="G15" s="4"/>
      <c r="H15" s="4"/>
      <c r="I15" s="4"/>
      <c r="J15" s="4"/>
      <c r="K15" s="4"/>
      <c r="L15" s="4"/>
      <c r="M15" s="4"/>
      <c r="N15" s="234"/>
      <c r="O15" s="179"/>
      <c r="P15" s="17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179"/>
      <c r="AE15" s="178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179"/>
      <c r="AS15" s="178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179"/>
      <c r="BG15" s="4"/>
    </row>
    <row r="16" spans="1:64" s="76" customFormat="1" ht="14.45" customHeight="1" thickTop="1">
      <c r="B16" s="173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7"/>
      <c r="P16" s="173"/>
      <c r="Q16" s="327"/>
      <c r="R16" s="327"/>
      <c r="S16" s="327"/>
      <c r="T16" s="327"/>
      <c r="U16" s="327"/>
      <c r="V16" s="327"/>
      <c r="W16" s="327"/>
      <c r="X16" s="327"/>
      <c r="Y16" s="327"/>
      <c r="Z16" s="327"/>
      <c r="AA16" s="327"/>
      <c r="AB16" s="327"/>
      <c r="AC16" s="327"/>
      <c r="AD16" s="328"/>
      <c r="AE16" s="173"/>
      <c r="AF16" s="174" t="str">
        <f>verze!E120</f>
        <v>zásuvka so sklenenou bočnicou</v>
      </c>
      <c r="AG16" s="175"/>
      <c r="AH16" s="175"/>
      <c r="AI16" s="175"/>
      <c r="AJ16" s="175"/>
      <c r="AK16" s="175"/>
      <c r="AL16" s="176"/>
      <c r="AM16" s="176"/>
      <c r="AN16" s="176"/>
      <c r="AO16" s="176"/>
      <c r="AP16" s="176"/>
      <c r="AQ16" s="176"/>
      <c r="AR16" s="177"/>
      <c r="AS16" s="173"/>
      <c r="AT16" s="176"/>
      <c r="AU16" s="176"/>
      <c r="AV16" s="176"/>
      <c r="AW16" s="176"/>
      <c r="AX16" s="176"/>
      <c r="AY16" s="176"/>
      <c r="AZ16" s="176"/>
      <c r="BA16" s="176"/>
      <c r="BB16" s="176"/>
      <c r="BC16" s="176"/>
      <c r="BD16" s="176"/>
      <c r="BE16" s="176"/>
      <c r="BF16" s="177"/>
      <c r="BG16" s="4"/>
    </row>
    <row r="17" spans="2:59" s="76" customFormat="1" ht="14.45" customHeight="1">
      <c r="B17" s="17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179"/>
      <c r="P17" s="17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179"/>
      <c r="AE17" s="178"/>
      <c r="AF17" s="4" t="str">
        <f>verze!E145</f>
        <v>výška bočnice :</v>
      </c>
      <c r="AG17" s="4"/>
      <c r="AH17" s="4"/>
      <c r="AI17" s="4"/>
      <c r="AJ17" s="506" t="s">
        <v>336</v>
      </c>
      <c r="AK17" s="506"/>
      <c r="AL17" s="506"/>
      <c r="AM17" s="4"/>
      <c r="AN17" s="4"/>
      <c r="AO17" s="4"/>
      <c r="AP17" s="4"/>
      <c r="AQ17" s="4"/>
      <c r="AR17" s="179"/>
      <c r="AS17" s="178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179"/>
      <c r="BG17" s="4"/>
    </row>
    <row r="18" spans="2:59" s="76" customFormat="1" ht="14.45" customHeight="1">
      <c r="B18" s="17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179"/>
      <c r="P18" s="17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179"/>
      <c r="AE18" s="178"/>
      <c r="AF18" s="4"/>
      <c r="AG18" s="4"/>
      <c r="AH18" s="4"/>
      <c r="AI18" s="4"/>
      <c r="AJ18" s="506"/>
      <c r="AK18" s="506"/>
      <c r="AL18" s="506"/>
      <c r="AM18" s="4"/>
      <c r="AN18" s="4"/>
      <c r="AO18" s="4"/>
      <c r="AP18" s="4"/>
      <c r="AQ18" s="4"/>
      <c r="AR18" s="179"/>
      <c r="AS18" s="178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179"/>
      <c r="BG18" s="4"/>
    </row>
    <row r="19" spans="2:59" s="76" customFormat="1" ht="14.45" customHeight="1">
      <c r="B19" s="17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179"/>
      <c r="P19" s="178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179"/>
      <c r="AE19" s="178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179"/>
      <c r="AS19" s="178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179"/>
      <c r="BG19" s="4"/>
    </row>
    <row r="20" spans="2:59" s="76" customFormat="1" ht="14.45" customHeight="1">
      <c r="B20" s="17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179"/>
      <c r="P20" s="178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179"/>
      <c r="AE20" s="178"/>
      <c r="AF20" s="4" t="str">
        <f>verze!E147</f>
        <v>min.vstavaná výška [mm] :</v>
      </c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179"/>
      <c r="AS20" s="178"/>
      <c r="AT20" s="514" t="str">
        <f>verze!E196</f>
        <v>Tlačítko "RESET" funguje len pri zapnutej funkcii MAKRO. Pokiaľ nie je zapnutá, musíte polia vymazať ručne.</v>
      </c>
      <c r="AU20" s="514"/>
      <c r="AV20" s="514"/>
      <c r="AW20" s="514"/>
      <c r="AX20" s="514"/>
      <c r="AY20" s="514"/>
      <c r="AZ20" s="514"/>
      <c r="BA20" s="514"/>
      <c r="BB20" s="514"/>
      <c r="BC20" s="514"/>
      <c r="BD20" s="514"/>
      <c r="BE20" s="514"/>
      <c r="BF20" s="179"/>
      <c r="BG20" s="4"/>
    </row>
    <row r="21" spans="2:59" s="97" customFormat="1" ht="14.45" customHeight="1">
      <c r="B21" s="180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4"/>
      <c r="N21" s="4"/>
      <c r="O21" s="179"/>
      <c r="P21" s="178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179"/>
      <c r="AE21" s="180"/>
      <c r="AF21" s="510" t="str">
        <f>verze!E148</f>
        <v>len SiSy</v>
      </c>
      <c r="AG21" s="510"/>
      <c r="AH21" s="511"/>
      <c r="AI21" s="512" t="s">
        <v>339</v>
      </c>
      <c r="AJ21" s="510"/>
      <c r="AK21" s="510"/>
      <c r="AL21" s="24"/>
      <c r="AM21" s="24"/>
      <c r="AN21" s="24"/>
      <c r="AO21" s="24"/>
      <c r="AP21" s="507">
        <f>SUM(AVT187In!O19:AF22)+SUM(AVT187In!O27:AD30)</f>
        <v>0</v>
      </c>
      <c r="AQ21" s="507"/>
      <c r="AR21" s="508"/>
      <c r="AS21" s="180"/>
      <c r="AT21" s="514"/>
      <c r="AU21" s="514"/>
      <c r="AV21" s="514"/>
      <c r="AW21" s="514"/>
      <c r="AX21" s="514"/>
      <c r="AY21" s="514"/>
      <c r="AZ21" s="514"/>
      <c r="BA21" s="514"/>
      <c r="BB21" s="514"/>
      <c r="BC21" s="514"/>
      <c r="BD21" s="514"/>
      <c r="BE21" s="514"/>
      <c r="BF21" s="179"/>
      <c r="BG21" s="24"/>
    </row>
    <row r="22" spans="2:59" s="97" customFormat="1" ht="14.45" customHeight="1">
      <c r="B22" s="180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4"/>
      <c r="N22" s="4"/>
      <c r="O22" s="179"/>
      <c r="P22" s="178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179"/>
      <c r="AE22" s="180"/>
      <c r="AF22" s="509">
        <v>188</v>
      </c>
      <c r="AG22" s="509"/>
      <c r="AH22" s="513"/>
      <c r="AI22" s="509">
        <v>190</v>
      </c>
      <c r="AJ22" s="509"/>
      <c r="AK22" s="509"/>
      <c r="AL22" s="24"/>
      <c r="AM22" s="24"/>
      <c r="AN22" s="24"/>
      <c r="AO22" s="24"/>
      <c r="AP22" s="507"/>
      <c r="AQ22" s="507"/>
      <c r="AR22" s="508"/>
      <c r="AS22" s="180"/>
      <c r="AT22" s="514"/>
      <c r="AU22" s="514"/>
      <c r="AV22" s="514"/>
      <c r="AW22" s="514"/>
      <c r="AX22" s="514"/>
      <c r="AY22" s="514"/>
      <c r="AZ22" s="514"/>
      <c r="BA22" s="514"/>
      <c r="BB22" s="514"/>
      <c r="BC22" s="514"/>
      <c r="BD22" s="514"/>
      <c r="BE22" s="514"/>
      <c r="BF22" s="179"/>
      <c r="BG22" s="24"/>
    </row>
    <row r="23" spans="2:59" s="76" customFormat="1" ht="14.45" customHeight="1" thickBot="1">
      <c r="B23" s="181"/>
      <c r="C23" s="182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4"/>
      <c r="P23" s="181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4"/>
      <c r="AE23" s="181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4"/>
      <c r="AS23" s="181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4"/>
      <c r="BG23" s="4"/>
    </row>
    <row r="24" spans="2:59" s="76" customFormat="1" ht="14.45" customHeight="1" thickTop="1">
      <c r="B24" s="4"/>
      <c r="C24" s="7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</row>
    <row r="25" spans="2:59" s="76" customFormat="1" ht="14.45" customHeight="1" thickBot="1">
      <c r="B25" s="4"/>
      <c r="C25" s="7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196" t="str">
        <f>verze!E125</f>
        <v>Vnútorná zásuvka - 101 mm s ALU čelom</v>
      </c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6" t="str">
        <f>verze!E126</f>
        <v>Vnútorná zásuvka - 139 mm s ALU čelom</v>
      </c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6" t="str">
        <f>verze!E127</f>
        <v>Vnútorná zásuvka - 187 mm s ALU čelom</v>
      </c>
      <c r="AS25" s="192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6"/>
      <c r="BG25" s="4"/>
    </row>
    <row r="26" spans="2:59" s="76" customFormat="1" ht="14.45" customHeight="1" thickTop="1">
      <c r="B26" s="173"/>
      <c r="C26" s="174" t="str">
        <f>verze!E119</f>
        <v>zásuvka základná</v>
      </c>
      <c r="D26" s="175"/>
      <c r="E26" s="175"/>
      <c r="F26" s="175"/>
      <c r="G26" s="175"/>
      <c r="H26" s="175"/>
      <c r="I26" s="175"/>
      <c r="J26" s="176"/>
      <c r="K26" s="176"/>
      <c r="L26" s="176"/>
      <c r="M26" s="176"/>
      <c r="N26" s="176"/>
      <c r="O26" s="177"/>
      <c r="P26" s="173"/>
      <c r="Q26" s="174" t="str">
        <f>verze!E119</f>
        <v>zásuvka základná</v>
      </c>
      <c r="R26" s="175"/>
      <c r="S26" s="175"/>
      <c r="T26" s="175"/>
      <c r="U26" s="175"/>
      <c r="V26" s="175"/>
      <c r="W26" s="176"/>
      <c r="X26" s="176"/>
      <c r="Y26" s="176"/>
      <c r="Z26" s="176"/>
      <c r="AA26" s="176"/>
      <c r="AB26" s="176"/>
      <c r="AC26" s="176"/>
      <c r="AD26" s="177"/>
      <c r="AE26" s="173"/>
      <c r="AF26" s="174" t="str">
        <f>verze!E119</f>
        <v>zásuvka základná</v>
      </c>
      <c r="AG26" s="175"/>
      <c r="AH26" s="175"/>
      <c r="AI26" s="175"/>
      <c r="AJ26" s="175"/>
      <c r="AK26" s="175"/>
      <c r="AL26" s="176"/>
      <c r="AM26" s="176"/>
      <c r="AN26" s="176"/>
      <c r="AO26" s="176"/>
      <c r="AP26" s="176"/>
      <c r="AQ26" s="176"/>
      <c r="AR26" s="177"/>
      <c r="AS26" s="173"/>
      <c r="AT26" s="176"/>
      <c r="AU26" s="175"/>
      <c r="AV26" s="175"/>
      <c r="AW26" s="175"/>
      <c r="AX26" s="175"/>
      <c r="AY26" s="175"/>
      <c r="AZ26" s="176"/>
      <c r="BA26" s="176"/>
      <c r="BB26" s="176"/>
      <c r="BC26" s="176"/>
      <c r="BD26" s="176"/>
      <c r="BE26" s="176"/>
      <c r="BF26" s="177"/>
      <c r="BG26" s="4"/>
    </row>
    <row r="27" spans="2:59" s="76" customFormat="1" ht="14.45" customHeight="1">
      <c r="B27" s="178"/>
      <c r="C27" s="4" t="str">
        <f>verze!E145</f>
        <v>výška bočnice :</v>
      </c>
      <c r="D27" s="4"/>
      <c r="E27" s="4"/>
      <c r="F27" s="4"/>
      <c r="G27" s="506" t="s">
        <v>334</v>
      </c>
      <c r="H27" s="506"/>
      <c r="I27" s="506"/>
      <c r="J27" s="4"/>
      <c r="K27" s="4"/>
      <c r="L27" s="4"/>
      <c r="M27" s="4"/>
      <c r="N27" s="4"/>
      <c r="O27" s="179"/>
      <c r="P27" s="178"/>
      <c r="Q27" s="4" t="str">
        <f>verze!E145</f>
        <v>výška bočnice :</v>
      </c>
      <c r="R27" s="4"/>
      <c r="S27" s="4"/>
      <c r="T27" s="4"/>
      <c r="U27" s="506" t="s">
        <v>335</v>
      </c>
      <c r="V27" s="506"/>
      <c r="W27" s="506"/>
      <c r="X27" s="4"/>
      <c r="Y27" s="4"/>
      <c r="Z27" s="4"/>
      <c r="AA27" s="4"/>
      <c r="AB27" s="4"/>
      <c r="AC27" s="4"/>
      <c r="AD27" s="179"/>
      <c r="AE27" s="178"/>
      <c r="AF27" s="4" t="str">
        <f>verze!E145</f>
        <v>výška bočnice :</v>
      </c>
      <c r="AG27" s="4"/>
      <c r="AH27" s="4"/>
      <c r="AI27" s="4"/>
      <c r="AJ27" s="506" t="s">
        <v>336</v>
      </c>
      <c r="AK27" s="506"/>
      <c r="AL27" s="506"/>
      <c r="AM27" s="4"/>
      <c r="AN27" s="4"/>
      <c r="AO27" s="4"/>
      <c r="AP27" s="4"/>
      <c r="AQ27" s="4"/>
      <c r="AR27" s="179"/>
      <c r="AS27" s="178"/>
      <c r="AU27" s="4"/>
      <c r="AV27" s="4"/>
      <c r="AZ27" s="4"/>
      <c r="BA27" s="4"/>
      <c r="BB27" s="4"/>
      <c r="BC27" s="4"/>
      <c r="BD27" s="4"/>
      <c r="BE27" s="4"/>
      <c r="BF27" s="179"/>
      <c r="BG27" s="4"/>
    </row>
    <row r="28" spans="2:59" s="76" customFormat="1" ht="14.45" customHeight="1">
      <c r="B28" s="178"/>
      <c r="C28" s="4"/>
      <c r="D28" s="4"/>
      <c r="E28" s="4"/>
      <c r="F28" s="4"/>
      <c r="G28" s="506"/>
      <c r="H28" s="506"/>
      <c r="I28" s="506"/>
      <c r="J28" s="4"/>
      <c r="K28" s="4"/>
      <c r="L28" s="4"/>
      <c r="M28" s="4"/>
      <c r="N28" s="4"/>
      <c r="O28" s="179"/>
      <c r="P28" s="178"/>
      <c r="Q28" s="4"/>
      <c r="R28" s="4"/>
      <c r="S28" s="4"/>
      <c r="T28" s="4"/>
      <c r="U28" s="506"/>
      <c r="V28" s="506"/>
      <c r="W28" s="506"/>
      <c r="X28" s="4"/>
      <c r="Y28" s="4"/>
      <c r="Z28" s="4"/>
      <c r="AA28" s="4"/>
      <c r="AB28" s="4"/>
      <c r="AC28" s="4"/>
      <c r="AD28" s="179"/>
      <c r="AE28" s="178"/>
      <c r="AF28" s="4"/>
      <c r="AG28" s="4"/>
      <c r="AH28" s="4"/>
      <c r="AI28" s="4"/>
      <c r="AJ28" s="506"/>
      <c r="AK28" s="506"/>
      <c r="AL28" s="506"/>
      <c r="AM28" s="4"/>
      <c r="AN28" s="4"/>
      <c r="AO28" s="4"/>
      <c r="AP28" s="4"/>
      <c r="AQ28" s="4"/>
      <c r="AR28" s="179"/>
      <c r="AS28" s="178"/>
      <c r="AU28" s="4"/>
      <c r="AV28" s="4"/>
      <c r="AZ28" s="4"/>
      <c r="BA28" s="4"/>
      <c r="BB28" s="4"/>
      <c r="BC28" s="4"/>
      <c r="BD28" s="4"/>
      <c r="BE28" s="4"/>
      <c r="BF28" s="179"/>
      <c r="BG28" s="4"/>
    </row>
    <row r="29" spans="2:59" s="76" customFormat="1" ht="14.45" customHeight="1">
      <c r="B29" s="17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179"/>
      <c r="P29" s="178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179"/>
      <c r="AE29" s="178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179"/>
      <c r="AS29" s="178"/>
      <c r="AU29" s="4"/>
      <c r="AV29" s="4"/>
      <c r="AZ29" s="4"/>
      <c r="BA29" s="4"/>
      <c r="BB29" s="4"/>
      <c r="BC29" s="4"/>
      <c r="BD29" s="4"/>
      <c r="BE29" s="4"/>
      <c r="BF29" s="179"/>
      <c r="BG29" s="4"/>
    </row>
    <row r="30" spans="2:59" s="76" customFormat="1" ht="14.45" customHeight="1">
      <c r="B30" s="178"/>
      <c r="C30" s="4" t="str">
        <f>verze!E147</f>
        <v>min.vstavaná výška [mm] :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179"/>
      <c r="P30" s="178"/>
      <c r="Q30" s="4" t="str">
        <f>verze!E147</f>
        <v>min.vstavaná výška [mm] :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179"/>
      <c r="AE30" s="178"/>
      <c r="AF30" s="4" t="str">
        <f>verze!E147</f>
        <v>min.vstavaná výška [mm] :</v>
      </c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179"/>
      <c r="AS30" s="178"/>
      <c r="AU30" s="4"/>
      <c r="AV30" s="4"/>
      <c r="AZ30" s="4"/>
      <c r="BA30" s="4"/>
      <c r="BB30" s="4"/>
      <c r="BC30" s="4"/>
      <c r="BD30" s="4"/>
      <c r="BE30" s="4"/>
      <c r="BF30" s="179"/>
      <c r="BG30" s="4"/>
    </row>
    <row r="31" spans="2:59" s="76" customFormat="1" ht="14.45" customHeight="1">
      <c r="B31" s="178"/>
      <c r="C31" s="510" t="str">
        <f>verze!E148</f>
        <v>len SiSy</v>
      </c>
      <c r="D31" s="510"/>
      <c r="E31" s="511"/>
      <c r="F31" s="512" t="s">
        <v>339</v>
      </c>
      <c r="G31" s="510"/>
      <c r="H31" s="510"/>
      <c r="I31" s="4"/>
      <c r="J31" s="24"/>
      <c r="K31" s="24"/>
      <c r="L31" s="24"/>
      <c r="M31" s="507">
        <f>SUM('AVT101(vn-A)'!O19:AF22)+SUM('AVT101(vn-A)'!O27:AD30)</f>
        <v>0</v>
      </c>
      <c r="N31" s="507"/>
      <c r="O31" s="508"/>
      <c r="P31" s="178"/>
      <c r="Q31" s="510" t="str">
        <f>verze!E148</f>
        <v>len SiSy</v>
      </c>
      <c r="R31" s="510"/>
      <c r="S31" s="511"/>
      <c r="T31" s="512" t="s">
        <v>339</v>
      </c>
      <c r="U31" s="510"/>
      <c r="V31" s="510"/>
      <c r="W31" s="4"/>
      <c r="X31" s="24"/>
      <c r="Y31" s="24"/>
      <c r="Z31" s="24"/>
      <c r="AA31" s="24"/>
      <c r="AB31" s="507">
        <f>SUM('AVT139(vn-A)'!O19:AF22)+SUM('AVT139(vn-A)'!O27:AD30)</f>
        <v>0</v>
      </c>
      <c r="AC31" s="507"/>
      <c r="AD31" s="508"/>
      <c r="AE31" s="178"/>
      <c r="AF31" s="510" t="str">
        <f>verze!E148</f>
        <v>len SiSy</v>
      </c>
      <c r="AG31" s="510"/>
      <c r="AH31" s="511"/>
      <c r="AI31" s="512" t="s">
        <v>339</v>
      </c>
      <c r="AJ31" s="510"/>
      <c r="AK31" s="510"/>
      <c r="AL31" s="4"/>
      <c r="AM31" s="24"/>
      <c r="AN31" s="24"/>
      <c r="AO31" s="24"/>
      <c r="AP31" s="507">
        <f>SUM('AVT187(vn-A)'!O19:AF22)+SUM('AVT187(vn-A)'!O27:AD30)</f>
        <v>0</v>
      </c>
      <c r="AQ31" s="507"/>
      <c r="AR31" s="508"/>
      <c r="AS31" s="180"/>
      <c r="AZ31" s="24"/>
      <c r="BA31" s="24"/>
      <c r="BB31" s="24"/>
      <c r="BC31" s="24"/>
      <c r="BF31" s="193"/>
      <c r="BG31" s="4"/>
    </row>
    <row r="32" spans="2:59" s="76" customFormat="1" ht="14.45" customHeight="1">
      <c r="B32" s="178"/>
      <c r="C32" s="509">
        <v>105</v>
      </c>
      <c r="D32" s="509"/>
      <c r="E32" s="513"/>
      <c r="F32" s="509">
        <v>107</v>
      </c>
      <c r="G32" s="509"/>
      <c r="H32" s="509"/>
      <c r="I32" s="24"/>
      <c r="J32" s="24"/>
      <c r="K32" s="24"/>
      <c r="L32" s="24"/>
      <c r="M32" s="507"/>
      <c r="N32" s="507"/>
      <c r="O32" s="508"/>
      <c r="P32" s="178"/>
      <c r="Q32" s="509">
        <v>143</v>
      </c>
      <c r="R32" s="509"/>
      <c r="S32" s="513"/>
      <c r="T32" s="509">
        <v>145</v>
      </c>
      <c r="U32" s="509"/>
      <c r="V32" s="509"/>
      <c r="W32" s="24"/>
      <c r="X32" s="24"/>
      <c r="Y32" s="24"/>
      <c r="Z32" s="24"/>
      <c r="AA32" s="24"/>
      <c r="AB32" s="507"/>
      <c r="AC32" s="507"/>
      <c r="AD32" s="508"/>
      <c r="AE32" s="178"/>
      <c r="AF32" s="509">
        <v>192</v>
      </c>
      <c r="AG32" s="509"/>
      <c r="AH32" s="513"/>
      <c r="AI32" s="509">
        <v>194</v>
      </c>
      <c r="AJ32" s="509"/>
      <c r="AK32" s="509"/>
      <c r="AL32" s="24"/>
      <c r="AM32" s="24"/>
      <c r="AN32" s="24"/>
      <c r="AO32" s="24"/>
      <c r="AP32" s="507"/>
      <c r="AQ32" s="507"/>
      <c r="AR32" s="508"/>
      <c r="AS32" s="180"/>
      <c r="AZ32" s="24"/>
      <c r="BA32" s="24"/>
      <c r="BB32" s="24"/>
      <c r="BC32" s="24"/>
      <c r="BF32" s="193"/>
      <c r="BG32" s="4"/>
    </row>
    <row r="33" spans="2:59" s="76" customFormat="1" ht="14.45" customHeight="1" thickBot="1">
      <c r="B33" s="181"/>
      <c r="C33" s="182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235" t="str">
        <f>IF(AND(M31=0,SUM('AVT101(vn-A)'!O84:AJ84)&lt;&gt;0),verze!E118&amp;"  ","")</f>
        <v/>
      </c>
      <c r="P33" s="181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235" t="str">
        <f>IF(AND(AB31=0,SUM('AVT139(vn-A)'!O84:AJ84)&lt;&gt;0),verze!E118&amp;"  ","")</f>
        <v/>
      </c>
      <c r="AE33" s="181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235" t="str">
        <f>IF(AND(AP31=0,SUM('AVT187(vn-A)'!O84:AJ84)&lt;&gt;0),verze!E118&amp;"  ","")</f>
        <v/>
      </c>
      <c r="AS33" s="181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4"/>
      <c r="BG33" s="4"/>
    </row>
    <row r="34" spans="2:59" s="76" customFormat="1" ht="14.45" customHeight="1" thickTop="1">
      <c r="B34" s="173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7"/>
      <c r="P34" s="173"/>
      <c r="Q34" s="174"/>
      <c r="R34" s="175"/>
      <c r="S34" s="175"/>
      <c r="T34" s="175"/>
      <c r="U34" s="175"/>
      <c r="V34" s="175"/>
      <c r="W34" s="176"/>
      <c r="X34" s="176"/>
      <c r="Y34" s="176"/>
      <c r="Z34" s="176"/>
      <c r="AA34" s="176"/>
      <c r="AB34" s="176"/>
      <c r="AC34" s="176"/>
      <c r="AD34" s="177"/>
      <c r="AE34" s="173"/>
      <c r="AF34" s="174" t="str">
        <f>verze!E120</f>
        <v>zásuvka so sklenenou bočnicou</v>
      </c>
      <c r="AG34" s="175"/>
      <c r="AH34" s="175"/>
      <c r="AI34" s="175"/>
      <c r="AJ34" s="175"/>
      <c r="AK34" s="175"/>
      <c r="AL34" s="176"/>
      <c r="AM34" s="176"/>
      <c r="AN34" s="176"/>
      <c r="AO34" s="176"/>
      <c r="AP34" s="176"/>
      <c r="AQ34" s="176"/>
      <c r="AR34" s="177"/>
      <c r="AS34" s="173"/>
      <c r="AT34" s="176"/>
      <c r="AU34" s="175"/>
      <c r="AV34" s="175"/>
      <c r="AW34" s="175"/>
      <c r="AX34" s="175"/>
      <c r="AY34" s="175"/>
      <c r="AZ34" s="176"/>
      <c r="BA34" s="176"/>
      <c r="BB34" s="176"/>
      <c r="BC34" s="176"/>
      <c r="BD34" s="176"/>
      <c r="BE34" s="176"/>
      <c r="BF34" s="177"/>
      <c r="BG34" s="4"/>
    </row>
    <row r="35" spans="2:59" s="76" customFormat="1" ht="14.45" customHeight="1">
      <c r="B35" s="17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179"/>
      <c r="P35" s="178"/>
      <c r="Q35" s="4"/>
      <c r="R35" s="4"/>
      <c r="S35" s="4"/>
      <c r="T35" s="4"/>
      <c r="U35" s="6"/>
      <c r="V35" s="6"/>
      <c r="W35" s="6"/>
      <c r="X35" s="4"/>
      <c r="Y35" s="4"/>
      <c r="Z35" s="4"/>
      <c r="AA35" s="4"/>
      <c r="AB35" s="4"/>
      <c r="AC35" s="4"/>
      <c r="AD35" s="179"/>
      <c r="AE35" s="178"/>
      <c r="AF35" s="4" t="str">
        <f>verze!E145</f>
        <v>výška bočnice :</v>
      </c>
      <c r="AG35" s="4"/>
      <c r="AH35" s="4"/>
      <c r="AI35" s="4"/>
      <c r="AJ35" s="506" t="s">
        <v>336</v>
      </c>
      <c r="AK35" s="506"/>
      <c r="AL35" s="506"/>
      <c r="AM35" s="4"/>
      <c r="AN35" s="4"/>
      <c r="AO35" s="4"/>
      <c r="AP35" s="4"/>
      <c r="AQ35" s="4"/>
      <c r="AR35" s="179"/>
      <c r="AS35" s="178"/>
      <c r="AU35" s="4"/>
      <c r="AV35" s="4"/>
      <c r="AZ35" s="4"/>
      <c r="BA35" s="4"/>
      <c r="BB35" s="4"/>
      <c r="BC35" s="4"/>
      <c r="BD35" s="4"/>
      <c r="BE35" s="4"/>
      <c r="BF35" s="179"/>
      <c r="BG35" s="4"/>
    </row>
    <row r="36" spans="2:59" s="76" customFormat="1" ht="14.45" customHeight="1">
      <c r="B36" s="17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179"/>
      <c r="P36" s="178"/>
      <c r="Q36" s="4"/>
      <c r="R36" s="4"/>
      <c r="S36" s="4"/>
      <c r="T36" s="4"/>
      <c r="U36" s="6"/>
      <c r="V36" s="6"/>
      <c r="W36" s="6"/>
      <c r="X36" s="4"/>
      <c r="Y36" s="4"/>
      <c r="Z36" s="4"/>
      <c r="AA36" s="4"/>
      <c r="AB36" s="4"/>
      <c r="AC36" s="4"/>
      <c r="AD36" s="179"/>
      <c r="AE36" s="178"/>
      <c r="AF36" s="4"/>
      <c r="AG36" s="4"/>
      <c r="AH36" s="4"/>
      <c r="AI36" s="4"/>
      <c r="AJ36" s="506"/>
      <c r="AK36" s="506"/>
      <c r="AL36" s="506"/>
      <c r="AM36" s="4"/>
      <c r="AN36" s="4"/>
      <c r="AO36" s="4"/>
      <c r="AP36" s="4"/>
      <c r="AQ36" s="4"/>
      <c r="AR36" s="179"/>
      <c r="AS36" s="178"/>
      <c r="AU36" s="4"/>
      <c r="AV36" s="4"/>
      <c r="AZ36" s="4"/>
      <c r="BA36" s="4"/>
      <c r="BB36" s="4"/>
      <c r="BC36" s="4"/>
      <c r="BD36" s="4"/>
      <c r="BE36" s="4"/>
      <c r="BF36" s="179"/>
      <c r="BG36" s="4"/>
    </row>
    <row r="37" spans="2:59" s="76" customFormat="1" ht="14.45" customHeight="1">
      <c r="B37" s="17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179"/>
      <c r="P37" s="178"/>
      <c r="Q37" s="4"/>
      <c r="R37" s="4"/>
      <c r="S37" s="4"/>
      <c r="T37" s="4"/>
      <c r="U37" s="6"/>
      <c r="V37" s="6"/>
      <c r="W37" s="6"/>
      <c r="X37" s="4"/>
      <c r="Y37" s="4"/>
      <c r="Z37" s="4"/>
      <c r="AA37" s="4"/>
      <c r="AB37" s="4"/>
      <c r="AC37" s="4"/>
      <c r="AD37" s="179"/>
      <c r="AE37" s="178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179"/>
      <c r="AS37" s="178"/>
      <c r="AU37" s="4"/>
      <c r="AV37" s="4"/>
      <c r="AZ37" s="4"/>
      <c r="BA37" s="4"/>
      <c r="BB37" s="4"/>
      <c r="BC37" s="4"/>
      <c r="BD37" s="4"/>
      <c r="BE37" s="4"/>
      <c r="BF37" s="179"/>
      <c r="BG37" s="4"/>
    </row>
    <row r="38" spans="2:59" s="76" customFormat="1" ht="14.45" customHeight="1">
      <c r="B38" s="17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179"/>
      <c r="P38" s="178"/>
      <c r="Q38" s="4"/>
      <c r="R38" s="4"/>
      <c r="S38" s="4"/>
      <c r="T38" s="4"/>
      <c r="U38" s="6"/>
      <c r="V38" s="6"/>
      <c r="W38" s="6"/>
      <c r="X38" s="4"/>
      <c r="Y38" s="4"/>
      <c r="Z38" s="4"/>
      <c r="AA38" s="4"/>
      <c r="AB38" s="4"/>
      <c r="AC38" s="4"/>
      <c r="AD38" s="179"/>
      <c r="AE38" s="178"/>
      <c r="AF38" s="4" t="str">
        <f>verze!E147</f>
        <v>min.vstavaná výška [mm] :</v>
      </c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179"/>
      <c r="AS38" s="178"/>
      <c r="AU38" s="4"/>
      <c r="AV38" s="4"/>
      <c r="AZ38" s="4"/>
      <c r="BA38" s="4"/>
      <c r="BB38" s="4"/>
      <c r="BC38" s="4"/>
      <c r="BD38" s="4"/>
      <c r="BE38" s="4"/>
      <c r="BF38" s="179"/>
      <c r="BG38" s="4"/>
    </row>
    <row r="39" spans="2:59" s="76" customFormat="1" ht="14.45" customHeight="1">
      <c r="B39" s="17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179"/>
      <c r="P39" s="178"/>
      <c r="Q39" s="4"/>
      <c r="R39" s="4"/>
      <c r="S39" s="4"/>
      <c r="T39" s="4"/>
      <c r="U39" s="6"/>
      <c r="V39" s="6"/>
      <c r="W39" s="6"/>
      <c r="X39" s="4"/>
      <c r="Y39" s="4"/>
      <c r="Z39" s="4"/>
      <c r="AA39" s="4"/>
      <c r="AB39" s="4"/>
      <c r="AC39" s="4"/>
      <c r="AD39" s="179"/>
      <c r="AE39" s="178"/>
      <c r="AF39" s="510" t="str">
        <f>verze!E148</f>
        <v>len SiSy</v>
      </c>
      <c r="AG39" s="510"/>
      <c r="AH39" s="511"/>
      <c r="AI39" s="512" t="s">
        <v>339</v>
      </c>
      <c r="AJ39" s="510"/>
      <c r="AK39" s="510"/>
      <c r="AL39" s="4"/>
      <c r="AM39" s="24"/>
      <c r="AN39" s="24"/>
      <c r="AO39" s="24"/>
      <c r="AP39" s="507">
        <f>SUM('AVT187In(vn-A)'!O19:AF22)+SUM('AVT187In(vn-A)'!O27:AD30)</f>
        <v>0</v>
      </c>
      <c r="AQ39" s="507"/>
      <c r="AR39" s="508"/>
      <c r="AS39" s="180"/>
      <c r="AZ39" s="24"/>
      <c r="BA39" s="24"/>
      <c r="BB39" s="24"/>
      <c r="BC39" s="24"/>
      <c r="BF39" s="193"/>
      <c r="BG39" s="4"/>
    </row>
    <row r="40" spans="2:59" s="76" customFormat="1" ht="14.45" customHeight="1">
      <c r="B40" s="178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4"/>
      <c r="N40" s="4"/>
      <c r="O40" s="179"/>
      <c r="P40" s="178"/>
      <c r="Q40" s="4"/>
      <c r="R40" s="4"/>
      <c r="S40" s="4"/>
      <c r="T40" s="4"/>
      <c r="U40" s="6"/>
      <c r="V40" s="6"/>
      <c r="W40" s="6"/>
      <c r="X40" s="4"/>
      <c r="Y40" s="4"/>
      <c r="Z40" s="4"/>
      <c r="AA40" s="4"/>
      <c r="AB40" s="4"/>
      <c r="AC40" s="4"/>
      <c r="AD40" s="179"/>
      <c r="AE40" s="178"/>
      <c r="AF40" s="509">
        <v>188</v>
      </c>
      <c r="AG40" s="509"/>
      <c r="AH40" s="513"/>
      <c r="AI40" s="509">
        <v>190</v>
      </c>
      <c r="AJ40" s="509"/>
      <c r="AK40" s="509"/>
      <c r="AL40" s="24"/>
      <c r="AM40" s="24"/>
      <c r="AN40" s="24"/>
      <c r="AO40" s="24"/>
      <c r="AP40" s="507"/>
      <c r="AQ40" s="507"/>
      <c r="AR40" s="508"/>
      <c r="AS40" s="180"/>
      <c r="AZ40" s="24"/>
      <c r="BA40" s="24"/>
      <c r="BB40" s="24"/>
      <c r="BC40" s="24"/>
      <c r="BF40" s="193"/>
      <c r="BG40" s="4"/>
    </row>
    <row r="41" spans="2:59" s="76" customFormat="1" ht="14.45" customHeight="1" thickBot="1">
      <c r="B41" s="181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3"/>
      <c r="N41" s="183"/>
      <c r="O41" s="184"/>
      <c r="P41" s="181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3"/>
      <c r="AB41" s="183"/>
      <c r="AC41" s="183"/>
      <c r="AD41" s="184"/>
      <c r="AE41" s="181"/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235" t="str">
        <f>IF(AND(AP39=0,SUM('AVT187In(vn-A)'!O84:AJ84)&lt;&gt;0),verze!E118&amp;"  ","")</f>
        <v/>
      </c>
      <c r="AS41" s="181"/>
      <c r="AT41" s="183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4"/>
      <c r="BG41" s="4"/>
    </row>
    <row r="42" spans="2:59" s="76" customFormat="1" ht="14.45" customHeight="1" thickTop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6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5"/>
      <c r="AD42" s="6"/>
      <c r="AE42" s="4"/>
      <c r="AR42" s="77"/>
      <c r="AS42" s="4"/>
      <c r="BF42" s="77"/>
      <c r="BG42" s="4"/>
    </row>
    <row r="43" spans="2:59" s="76" customFormat="1" ht="14.45" customHeight="1" thickBot="1">
      <c r="B43" s="4"/>
      <c r="C43" s="7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196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/>
      <c r="AC43" s="197"/>
      <c r="AD43" s="196"/>
      <c r="AE43" s="197"/>
      <c r="AF43" s="197"/>
      <c r="AG43" s="197"/>
      <c r="AH43" s="197"/>
      <c r="AI43" s="197"/>
      <c r="AJ43" s="197"/>
      <c r="AK43" s="197"/>
      <c r="AL43" s="197"/>
      <c r="AM43" s="197"/>
      <c r="AN43" s="197"/>
      <c r="AO43" s="197"/>
      <c r="AP43" s="197"/>
      <c r="AQ43" s="197"/>
      <c r="AR43" s="196" t="str">
        <f>verze!E128</f>
        <v>Vnútorná zásuvka - 187 mm so skleneným čelom</v>
      </c>
      <c r="AS43" s="197"/>
      <c r="AT43" s="197"/>
      <c r="AU43" s="197"/>
      <c r="AV43" s="197"/>
      <c r="AW43" s="197"/>
      <c r="AX43" s="197"/>
      <c r="AY43" s="197"/>
      <c r="AZ43" s="197"/>
      <c r="BA43" s="197"/>
      <c r="BB43" s="197"/>
      <c r="BC43" s="197"/>
      <c r="BD43" s="197"/>
      <c r="BE43" s="197"/>
      <c r="BF43" s="196"/>
      <c r="BG43" s="4"/>
    </row>
    <row r="44" spans="2:59" s="76" customFormat="1" ht="14.45" customHeight="1" thickTop="1">
      <c r="B44" s="173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7"/>
      <c r="P44" s="173"/>
      <c r="Q44" s="174"/>
      <c r="R44" s="175"/>
      <c r="S44" s="175"/>
      <c r="T44" s="175"/>
      <c r="U44" s="175"/>
      <c r="V44" s="175"/>
      <c r="W44" s="176"/>
      <c r="X44" s="176"/>
      <c r="Y44" s="176"/>
      <c r="Z44" s="176"/>
      <c r="AA44" s="176"/>
      <c r="AB44" s="176"/>
      <c r="AC44" s="176"/>
      <c r="AD44" s="177"/>
      <c r="AE44" s="173"/>
      <c r="AF44" s="174" t="str">
        <f>verze!E119</f>
        <v>zásuvka základná</v>
      </c>
      <c r="AG44" s="175"/>
      <c r="AH44" s="175"/>
      <c r="AI44" s="175"/>
      <c r="AJ44" s="175"/>
      <c r="AK44" s="175"/>
      <c r="AL44" s="176"/>
      <c r="AM44" s="176"/>
      <c r="AN44" s="176"/>
      <c r="AO44" s="176"/>
      <c r="AP44" s="176"/>
      <c r="AQ44" s="176"/>
      <c r="AR44" s="177"/>
      <c r="AS44" s="173"/>
      <c r="AT44" s="176"/>
      <c r="AU44" s="175"/>
      <c r="AV44" s="175"/>
      <c r="AW44" s="175"/>
      <c r="AX44" s="175"/>
      <c r="AY44" s="175"/>
      <c r="AZ44" s="176"/>
      <c r="BA44" s="176"/>
      <c r="BB44" s="176"/>
      <c r="BC44" s="176"/>
      <c r="BD44" s="176"/>
      <c r="BE44" s="176"/>
      <c r="BF44" s="177"/>
      <c r="BG44" s="4"/>
    </row>
    <row r="45" spans="2:59" s="76" customFormat="1" ht="14.45" customHeight="1">
      <c r="B45" s="17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179"/>
      <c r="P45" s="178"/>
      <c r="Q45" s="4"/>
      <c r="R45" s="4"/>
      <c r="S45" s="4"/>
      <c r="T45" s="4"/>
      <c r="U45" s="6"/>
      <c r="V45" s="6"/>
      <c r="W45" s="6"/>
      <c r="X45" s="4"/>
      <c r="Y45" s="4"/>
      <c r="Z45" s="4"/>
      <c r="AA45" s="4"/>
      <c r="AB45" s="4"/>
      <c r="AC45" s="4"/>
      <c r="AD45" s="179"/>
      <c r="AE45" s="178"/>
      <c r="AF45" s="4" t="str">
        <f>verze!E145</f>
        <v>výška bočnice :</v>
      </c>
      <c r="AG45" s="4"/>
      <c r="AH45" s="4"/>
      <c r="AI45" s="4"/>
      <c r="AJ45" s="506" t="s">
        <v>336</v>
      </c>
      <c r="AK45" s="506"/>
      <c r="AL45" s="506"/>
      <c r="AM45" s="4"/>
      <c r="AN45" s="4"/>
      <c r="AO45" s="4"/>
      <c r="AP45" s="4"/>
      <c r="AQ45" s="4"/>
      <c r="AR45" s="179"/>
      <c r="AS45" s="178"/>
      <c r="AU45" s="4"/>
      <c r="AV45" s="4"/>
      <c r="AZ45" s="4"/>
      <c r="BA45" s="4"/>
      <c r="BB45" s="4"/>
      <c r="BC45" s="4"/>
      <c r="BD45" s="4"/>
      <c r="BE45" s="4"/>
      <c r="BF45" s="179"/>
      <c r="BG45" s="4"/>
    </row>
    <row r="46" spans="2:59" s="76" customFormat="1" ht="14.45" customHeight="1">
      <c r="B46" s="17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179"/>
      <c r="P46" s="178"/>
      <c r="Q46" s="4"/>
      <c r="R46" s="4"/>
      <c r="S46" s="4"/>
      <c r="T46" s="4"/>
      <c r="U46" s="6"/>
      <c r="V46" s="6"/>
      <c r="W46" s="6"/>
      <c r="X46" s="4"/>
      <c r="Y46" s="4"/>
      <c r="Z46" s="4"/>
      <c r="AA46" s="4"/>
      <c r="AB46" s="4"/>
      <c r="AC46" s="4"/>
      <c r="AD46" s="179"/>
      <c r="AE46" s="178"/>
      <c r="AF46" s="4"/>
      <c r="AG46" s="4"/>
      <c r="AH46" s="4"/>
      <c r="AI46" s="4"/>
      <c r="AJ46" s="506"/>
      <c r="AK46" s="506"/>
      <c r="AL46" s="506"/>
      <c r="AM46" s="4"/>
      <c r="AN46" s="4"/>
      <c r="AO46" s="4"/>
      <c r="AP46" s="4"/>
      <c r="AQ46" s="4"/>
      <c r="AR46" s="179"/>
      <c r="AS46" s="178"/>
      <c r="AU46" s="4"/>
      <c r="AV46" s="4"/>
      <c r="AZ46" s="4"/>
      <c r="BA46" s="4"/>
      <c r="BB46" s="4"/>
      <c r="BC46" s="4"/>
      <c r="BD46" s="4"/>
      <c r="BE46" s="4"/>
      <c r="BF46" s="179"/>
      <c r="BG46" s="4"/>
    </row>
    <row r="47" spans="2:59" s="76" customFormat="1" ht="14.45" customHeight="1">
      <c r="B47" s="17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179"/>
      <c r="P47" s="178"/>
      <c r="Q47" s="4"/>
      <c r="R47" s="4"/>
      <c r="S47" s="4"/>
      <c r="T47" s="4"/>
      <c r="U47" s="6"/>
      <c r="V47" s="6"/>
      <c r="W47" s="6"/>
      <c r="X47" s="4"/>
      <c r="Y47" s="4"/>
      <c r="Z47" s="4"/>
      <c r="AA47" s="4"/>
      <c r="AB47" s="4"/>
      <c r="AC47" s="4"/>
      <c r="AD47" s="179"/>
      <c r="AE47" s="178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179"/>
      <c r="AS47" s="178"/>
      <c r="AU47" s="4"/>
      <c r="AV47" s="4"/>
      <c r="AZ47" s="4"/>
      <c r="BA47" s="4"/>
      <c r="BB47" s="4"/>
      <c r="BC47" s="4"/>
      <c r="BD47" s="4"/>
      <c r="BE47" s="4"/>
      <c r="BF47" s="179"/>
      <c r="BG47" s="4"/>
    </row>
    <row r="48" spans="2:59" s="76" customFormat="1" ht="14.45" customHeight="1">
      <c r="B48" s="17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179"/>
      <c r="P48" s="178"/>
      <c r="Q48" s="4"/>
      <c r="R48" s="4"/>
      <c r="S48" s="4"/>
      <c r="T48" s="4"/>
      <c r="U48" s="6"/>
      <c r="V48" s="6"/>
      <c r="W48" s="6"/>
      <c r="X48" s="4"/>
      <c r="Y48" s="4"/>
      <c r="Z48" s="4"/>
      <c r="AA48" s="4"/>
      <c r="AB48" s="4"/>
      <c r="AC48" s="4"/>
      <c r="AD48" s="179"/>
      <c r="AE48" s="178"/>
      <c r="AF48" s="4" t="str">
        <f>verze!E147</f>
        <v>min.vstavaná výška [mm] :</v>
      </c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179"/>
      <c r="AS48" s="178"/>
      <c r="AU48" s="4"/>
      <c r="AV48" s="4"/>
      <c r="AZ48" s="4"/>
      <c r="BA48" s="4"/>
      <c r="BB48" s="4"/>
      <c r="BC48" s="4"/>
      <c r="BD48" s="4"/>
      <c r="BE48" s="4"/>
      <c r="BF48" s="179"/>
      <c r="BG48" s="4"/>
    </row>
    <row r="49" spans="1:59" s="76" customFormat="1" ht="14.45" customHeight="1">
      <c r="B49" s="17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179"/>
      <c r="P49" s="178"/>
      <c r="Q49" s="4"/>
      <c r="R49" s="4"/>
      <c r="S49" s="4"/>
      <c r="T49" s="4"/>
      <c r="U49" s="6"/>
      <c r="V49" s="6"/>
      <c r="W49" s="6"/>
      <c r="X49" s="4"/>
      <c r="Y49" s="4"/>
      <c r="Z49" s="4"/>
      <c r="AA49" s="4"/>
      <c r="AB49" s="4"/>
      <c r="AC49" s="4"/>
      <c r="AD49" s="179"/>
      <c r="AE49" s="178"/>
      <c r="AF49" s="510" t="str">
        <f>verze!E148</f>
        <v>len SiSy</v>
      </c>
      <c r="AG49" s="510"/>
      <c r="AH49" s="511"/>
      <c r="AI49" s="512" t="s">
        <v>339</v>
      </c>
      <c r="AJ49" s="510"/>
      <c r="AK49" s="510"/>
      <c r="AL49" s="4"/>
      <c r="AM49" s="24"/>
      <c r="AN49" s="24"/>
      <c r="AO49" s="24"/>
      <c r="AP49" s="507">
        <f>SUM('AVT187(vn-S)'!O19:AF22)+SUM('AVT187(vn-S)'!O27:AD30)</f>
        <v>0</v>
      </c>
      <c r="AQ49" s="507"/>
      <c r="AR49" s="508"/>
      <c r="AS49" s="180"/>
      <c r="AZ49" s="24"/>
      <c r="BA49" s="24"/>
      <c r="BB49" s="24"/>
      <c r="BC49" s="24"/>
      <c r="BF49" s="193"/>
      <c r="BG49" s="4"/>
    </row>
    <row r="50" spans="1:59" s="76" customFormat="1" ht="14.45" customHeight="1">
      <c r="B50" s="178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4"/>
      <c r="N50" s="4"/>
      <c r="O50" s="179"/>
      <c r="P50" s="178"/>
      <c r="Q50" s="4"/>
      <c r="R50" s="4"/>
      <c r="S50" s="4"/>
      <c r="T50" s="4"/>
      <c r="U50" s="6"/>
      <c r="V50" s="6"/>
      <c r="W50" s="6"/>
      <c r="X50" s="4"/>
      <c r="Y50" s="4"/>
      <c r="Z50" s="4"/>
      <c r="AA50" s="4"/>
      <c r="AB50" s="4"/>
      <c r="AC50" s="4"/>
      <c r="AD50" s="179"/>
      <c r="AE50" s="178"/>
      <c r="AF50" s="509">
        <v>194</v>
      </c>
      <c r="AG50" s="509"/>
      <c r="AH50" s="513"/>
      <c r="AI50" s="509">
        <v>196</v>
      </c>
      <c r="AJ50" s="509"/>
      <c r="AK50" s="509"/>
      <c r="AL50" s="24"/>
      <c r="AM50" s="24"/>
      <c r="AN50" s="24"/>
      <c r="AO50" s="24"/>
      <c r="AP50" s="507"/>
      <c r="AQ50" s="507"/>
      <c r="AR50" s="508"/>
      <c r="AS50" s="180"/>
      <c r="AZ50" s="24"/>
      <c r="BA50" s="24"/>
      <c r="BB50" s="24"/>
      <c r="BC50" s="24"/>
      <c r="BF50" s="193"/>
      <c r="BG50" s="4"/>
    </row>
    <row r="51" spans="1:59" s="76" customFormat="1" ht="14.45" customHeight="1" thickBot="1">
      <c r="B51" s="181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3"/>
      <c r="N51" s="183"/>
      <c r="O51" s="184"/>
      <c r="P51" s="181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3"/>
      <c r="AB51" s="183"/>
      <c r="AC51" s="183"/>
      <c r="AD51" s="184"/>
      <c r="AE51" s="181"/>
      <c r="AF51" s="183"/>
      <c r="AG51" s="183"/>
      <c r="AH51" s="183"/>
      <c r="AI51" s="183"/>
      <c r="AJ51" s="183"/>
      <c r="AK51" s="183"/>
      <c r="AL51" s="183"/>
      <c r="AM51" s="183"/>
      <c r="AN51" s="183"/>
      <c r="AO51" s="183"/>
      <c r="AP51" s="183"/>
      <c r="AQ51" s="183"/>
      <c r="AR51" s="235" t="str">
        <f>IF(AND(AP49=0,SUM('AVT187(vn-S)'!O84:AJ84)&lt;&gt;0),verze!E118&amp;"  ","")</f>
        <v/>
      </c>
      <c r="AS51" s="181"/>
      <c r="AT51" s="183"/>
      <c r="AU51" s="183"/>
      <c r="AV51" s="183"/>
      <c r="AW51" s="183"/>
      <c r="AX51" s="183"/>
      <c r="AY51" s="183"/>
      <c r="AZ51" s="183"/>
      <c r="BA51" s="183"/>
      <c r="BB51" s="183"/>
      <c r="BC51" s="183"/>
      <c r="BD51" s="183"/>
      <c r="BE51" s="183"/>
      <c r="BF51" s="184"/>
      <c r="BG51" s="4"/>
    </row>
    <row r="52" spans="1:59" s="76" customFormat="1" ht="14.45" customHeight="1" thickTop="1">
      <c r="B52" s="173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7"/>
      <c r="P52" s="173"/>
      <c r="Q52" s="174"/>
      <c r="R52" s="175"/>
      <c r="S52" s="175"/>
      <c r="T52" s="175"/>
      <c r="U52" s="175"/>
      <c r="V52" s="175"/>
      <c r="W52" s="176"/>
      <c r="X52" s="176"/>
      <c r="Y52" s="176"/>
      <c r="Z52" s="176"/>
      <c r="AA52" s="176"/>
      <c r="AB52" s="176"/>
      <c r="AC52" s="176"/>
      <c r="AD52" s="177"/>
      <c r="AE52" s="173"/>
      <c r="AF52" s="174" t="str">
        <f>verze!E120</f>
        <v>zásuvka so sklenenou bočnicou</v>
      </c>
      <c r="AG52" s="175"/>
      <c r="AH52" s="175"/>
      <c r="AI52" s="175"/>
      <c r="AJ52" s="175"/>
      <c r="AK52" s="175"/>
      <c r="AL52" s="176"/>
      <c r="AM52" s="176"/>
      <c r="AN52" s="176"/>
      <c r="AO52" s="176"/>
      <c r="AP52" s="176"/>
      <c r="AQ52" s="176"/>
      <c r="AR52" s="177"/>
      <c r="AS52" s="176"/>
      <c r="AT52" s="175"/>
      <c r="AU52" s="175"/>
      <c r="AV52" s="175"/>
      <c r="AW52" s="175"/>
      <c r="AX52" s="175"/>
      <c r="AY52" s="175"/>
      <c r="AZ52" s="176"/>
      <c r="BA52" s="176"/>
      <c r="BB52" s="176"/>
      <c r="BC52" s="176"/>
      <c r="BD52" s="176"/>
      <c r="BE52" s="176"/>
      <c r="BF52" s="177"/>
      <c r="BG52" s="4"/>
    </row>
    <row r="53" spans="1:59" s="76" customFormat="1" ht="14.45" customHeight="1">
      <c r="B53" s="17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179"/>
      <c r="P53" s="178"/>
      <c r="Q53" s="4"/>
      <c r="R53" s="4"/>
      <c r="S53" s="4"/>
      <c r="T53" s="4"/>
      <c r="U53" s="6"/>
      <c r="V53" s="6"/>
      <c r="W53" s="6"/>
      <c r="X53" s="4"/>
      <c r="Y53" s="4"/>
      <c r="Z53" s="4"/>
      <c r="AA53" s="4"/>
      <c r="AB53" s="4"/>
      <c r="AC53" s="4"/>
      <c r="AD53" s="179"/>
      <c r="AE53" s="178"/>
      <c r="AF53" s="4" t="str">
        <f>verze!E145</f>
        <v>výška bočnice :</v>
      </c>
      <c r="AG53" s="4"/>
      <c r="AH53" s="4"/>
      <c r="AI53" s="4"/>
      <c r="AJ53" s="506" t="s">
        <v>336</v>
      </c>
      <c r="AK53" s="506"/>
      <c r="AL53" s="506"/>
      <c r="AM53" s="4"/>
      <c r="AN53" s="4"/>
      <c r="AO53" s="4"/>
      <c r="AP53" s="4"/>
      <c r="AQ53" s="4"/>
      <c r="AR53" s="179"/>
      <c r="AT53" s="4"/>
      <c r="AU53" s="4"/>
      <c r="AV53" s="4"/>
      <c r="AZ53" s="4"/>
      <c r="BA53" s="4"/>
      <c r="BB53" s="4"/>
      <c r="BC53" s="4"/>
      <c r="BD53" s="4"/>
      <c r="BE53" s="4"/>
      <c r="BF53" s="179"/>
      <c r="BG53" s="4"/>
    </row>
    <row r="54" spans="1:59" s="76" customFormat="1" ht="14.45" customHeight="1">
      <c r="B54" s="17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179"/>
      <c r="P54" s="178"/>
      <c r="Q54" s="4"/>
      <c r="R54" s="4"/>
      <c r="S54" s="4"/>
      <c r="T54" s="4"/>
      <c r="U54" s="6"/>
      <c r="V54" s="6"/>
      <c r="W54" s="6"/>
      <c r="X54" s="4"/>
      <c r="Y54" s="4"/>
      <c r="Z54" s="4"/>
      <c r="AA54" s="4"/>
      <c r="AB54" s="4"/>
      <c r="AC54" s="4"/>
      <c r="AD54" s="179"/>
      <c r="AE54" s="178"/>
      <c r="AF54" s="4"/>
      <c r="AG54" s="4"/>
      <c r="AH54" s="4"/>
      <c r="AI54" s="4"/>
      <c r="AJ54" s="506"/>
      <c r="AK54" s="506"/>
      <c r="AL54" s="506"/>
      <c r="AM54" s="4"/>
      <c r="AN54" s="4"/>
      <c r="AO54" s="4"/>
      <c r="AP54" s="4"/>
      <c r="AQ54" s="4"/>
      <c r="AR54" s="179"/>
      <c r="AT54" s="4"/>
      <c r="AU54" s="4"/>
      <c r="AV54" s="4"/>
      <c r="AZ54" s="4"/>
      <c r="BA54" s="4"/>
      <c r="BB54" s="4"/>
      <c r="BC54" s="4"/>
      <c r="BD54" s="4"/>
      <c r="BE54" s="4"/>
      <c r="BF54" s="179"/>
      <c r="BG54" s="4"/>
    </row>
    <row r="55" spans="1:59" s="76" customFormat="1" ht="14.45" customHeight="1">
      <c r="B55" s="17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179"/>
      <c r="P55" s="178"/>
      <c r="Q55" s="4"/>
      <c r="R55" s="4"/>
      <c r="S55" s="4"/>
      <c r="T55" s="4"/>
      <c r="U55" s="6"/>
      <c r="V55" s="6"/>
      <c r="W55" s="6"/>
      <c r="X55" s="4"/>
      <c r="Y55" s="4"/>
      <c r="Z55" s="4"/>
      <c r="AA55" s="4"/>
      <c r="AB55" s="4"/>
      <c r="AC55" s="4"/>
      <c r="AD55" s="179"/>
      <c r="AE55" s="178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179"/>
      <c r="AT55" s="4"/>
      <c r="AU55" s="4"/>
      <c r="AV55" s="4"/>
      <c r="AZ55" s="4"/>
      <c r="BA55" s="4"/>
      <c r="BB55" s="4"/>
      <c r="BC55" s="4"/>
      <c r="BD55" s="4"/>
      <c r="BE55" s="4"/>
      <c r="BF55" s="179"/>
      <c r="BG55" s="4"/>
    </row>
    <row r="56" spans="1:59" s="76" customFormat="1" ht="14.45" customHeight="1">
      <c r="B56" s="17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179"/>
      <c r="P56" s="178"/>
      <c r="Q56" s="4"/>
      <c r="R56" s="4"/>
      <c r="S56" s="4"/>
      <c r="T56" s="4"/>
      <c r="U56" s="6"/>
      <c r="V56" s="6"/>
      <c r="W56" s="6"/>
      <c r="X56" s="4"/>
      <c r="Y56" s="4"/>
      <c r="Z56" s="4"/>
      <c r="AA56" s="4"/>
      <c r="AB56" s="4"/>
      <c r="AC56" s="4"/>
      <c r="AD56" s="179"/>
      <c r="AE56" s="178"/>
      <c r="AF56" s="4" t="str">
        <f>verze!E147</f>
        <v>min.vstavaná výška [mm] :</v>
      </c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179"/>
      <c r="AT56" s="4"/>
      <c r="AU56" s="4"/>
      <c r="AV56" s="4"/>
      <c r="AZ56" s="4"/>
      <c r="BA56" s="4"/>
      <c r="BB56" s="4"/>
      <c r="BC56" s="4"/>
      <c r="BD56" s="4"/>
      <c r="BE56" s="4"/>
      <c r="BF56" s="179"/>
      <c r="BG56" s="4"/>
    </row>
    <row r="57" spans="1:59" s="76" customFormat="1" ht="14.45" customHeight="1">
      <c r="B57" s="17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179"/>
      <c r="P57" s="178"/>
      <c r="Q57" s="4"/>
      <c r="R57" s="4"/>
      <c r="S57" s="4"/>
      <c r="T57" s="4"/>
      <c r="U57" s="6"/>
      <c r="V57" s="6"/>
      <c r="W57" s="6"/>
      <c r="X57" s="4"/>
      <c r="Y57" s="4"/>
      <c r="Z57" s="4"/>
      <c r="AA57" s="4"/>
      <c r="AB57" s="4"/>
      <c r="AC57" s="4"/>
      <c r="AD57" s="179"/>
      <c r="AE57" s="178"/>
      <c r="AF57" s="510" t="str">
        <f>verze!E148</f>
        <v>len SiSy</v>
      </c>
      <c r="AG57" s="510"/>
      <c r="AH57" s="511"/>
      <c r="AI57" s="512" t="s">
        <v>339</v>
      </c>
      <c r="AJ57" s="510"/>
      <c r="AK57" s="510"/>
      <c r="AL57" s="4"/>
      <c r="AM57" s="24"/>
      <c r="AN57" s="24"/>
      <c r="AO57" s="24"/>
      <c r="AP57" s="507">
        <f>SUM('AVT187In(vn-S)'!O19:AF22)+SUM('AVT187In(vn-S)'!O27:AD30)</f>
        <v>0</v>
      </c>
      <c r="AQ57" s="507"/>
      <c r="AR57" s="508"/>
      <c r="AZ57" s="24"/>
      <c r="BA57" s="24"/>
      <c r="BB57" s="24"/>
      <c r="BC57" s="24"/>
      <c r="BF57" s="193"/>
      <c r="BG57" s="4"/>
    </row>
    <row r="58" spans="1:59" s="76" customFormat="1" ht="14.45" customHeight="1">
      <c r="B58" s="178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4"/>
      <c r="N58" s="4"/>
      <c r="O58" s="179"/>
      <c r="P58" s="178"/>
      <c r="Q58" s="4"/>
      <c r="R58" s="4"/>
      <c r="S58" s="4"/>
      <c r="T58" s="4"/>
      <c r="U58" s="6"/>
      <c r="V58" s="6"/>
      <c r="W58" s="6"/>
      <c r="X58" s="4"/>
      <c r="Y58" s="4"/>
      <c r="Z58" s="4"/>
      <c r="AA58" s="4"/>
      <c r="AB58" s="4"/>
      <c r="AC58" s="4"/>
      <c r="AD58" s="179"/>
      <c r="AE58" s="178"/>
      <c r="AF58" s="509">
        <v>194</v>
      </c>
      <c r="AG58" s="509"/>
      <c r="AH58" s="513"/>
      <c r="AI58" s="509">
        <v>196</v>
      </c>
      <c r="AJ58" s="509"/>
      <c r="AK58" s="509"/>
      <c r="AL58" s="24"/>
      <c r="AM58" s="24"/>
      <c r="AN58" s="24"/>
      <c r="AO58" s="24"/>
      <c r="AP58" s="507"/>
      <c r="AQ58" s="507"/>
      <c r="AR58" s="508"/>
      <c r="AZ58" s="24"/>
      <c r="BA58" s="24"/>
      <c r="BB58" s="24"/>
      <c r="BC58" s="24"/>
      <c r="BF58" s="193"/>
      <c r="BG58" s="4"/>
    </row>
    <row r="59" spans="1:59" s="76" customFormat="1" ht="14.45" customHeight="1" thickBot="1">
      <c r="B59" s="181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3"/>
      <c r="N59" s="183"/>
      <c r="O59" s="184"/>
      <c r="P59" s="181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3"/>
      <c r="AB59" s="183"/>
      <c r="AC59" s="183"/>
      <c r="AD59" s="184"/>
      <c r="AE59" s="181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235" t="str">
        <f>IF(AND(AP57=0,SUM('AVT187In(vn-S)'!O84:AJ84)&lt;&gt;0),verze!E118&amp;"  ","")</f>
        <v/>
      </c>
      <c r="AS59" s="194"/>
      <c r="AT59" s="194"/>
      <c r="AU59" s="194"/>
      <c r="AV59" s="194"/>
      <c r="AW59" s="194"/>
      <c r="AX59" s="194"/>
      <c r="AY59" s="194"/>
      <c r="AZ59" s="186"/>
      <c r="BA59" s="186"/>
      <c r="BB59" s="186"/>
      <c r="BC59" s="186"/>
      <c r="BD59" s="194"/>
      <c r="BE59" s="194"/>
      <c r="BF59" s="195"/>
      <c r="BG59" s="4"/>
    </row>
    <row r="60" spans="1:59" s="76" customFormat="1" ht="14.45" customHeight="1" thickTop="1">
      <c r="B60" s="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4"/>
      <c r="N60" s="4"/>
      <c r="O60" s="4"/>
      <c r="P60" s="4"/>
      <c r="Q60" s="143"/>
      <c r="R60" s="143"/>
      <c r="S60" s="143"/>
      <c r="T60" s="143"/>
      <c r="U60" s="143"/>
      <c r="V60" s="143"/>
      <c r="W60" s="24"/>
      <c r="X60" s="24"/>
      <c r="Y60" s="24"/>
      <c r="Z60" s="24"/>
      <c r="AA60" s="24"/>
      <c r="AB60" s="159"/>
      <c r="AC60" s="159"/>
      <c r="AD60" s="159"/>
      <c r="AE60" s="24"/>
      <c r="AL60" s="24"/>
      <c r="AM60" s="24"/>
      <c r="AN60" s="24"/>
      <c r="AO60" s="24"/>
      <c r="AR60" s="77"/>
      <c r="AS60" s="24"/>
      <c r="AZ60" s="24"/>
      <c r="BA60" s="24"/>
      <c r="BB60" s="24"/>
      <c r="BC60" s="24"/>
      <c r="BF60" s="77"/>
      <c r="BG60" s="4"/>
    </row>
    <row r="61" spans="1:59" s="76" customFormat="1" ht="23.1" customHeight="1">
      <c r="A61" s="166"/>
      <c r="B61" s="172" t="str">
        <f>verze!E141</f>
        <v>Špeciálne zásuvky a špeciálne riešenia</v>
      </c>
      <c r="C61" s="172"/>
      <c r="D61" s="166"/>
      <c r="E61" s="166"/>
      <c r="F61" s="166"/>
      <c r="G61" s="166"/>
      <c r="H61" s="166"/>
      <c r="I61" s="166"/>
      <c r="J61" s="166"/>
      <c r="K61" s="166"/>
      <c r="L61" s="166"/>
      <c r="M61" s="166"/>
      <c r="N61" s="167"/>
      <c r="O61" s="168"/>
      <c r="P61" s="169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69"/>
      <c r="AB61" s="169"/>
      <c r="AC61" s="171"/>
      <c r="AD61" s="168"/>
      <c r="AE61" s="169"/>
      <c r="AF61" s="170"/>
      <c r="AG61" s="170"/>
      <c r="AH61" s="170"/>
      <c r="AI61" s="170"/>
      <c r="AJ61" s="170"/>
      <c r="AK61" s="170"/>
      <c r="AL61" s="170"/>
      <c r="AM61" s="170"/>
      <c r="AN61" s="170"/>
      <c r="AO61" s="169"/>
      <c r="AP61" s="169"/>
      <c r="AQ61" s="170"/>
      <c r="AR61" s="168"/>
      <c r="AS61" s="169"/>
      <c r="AT61" s="170"/>
      <c r="AU61" s="170"/>
      <c r="AV61" s="170"/>
      <c r="AW61" s="170"/>
      <c r="AX61" s="170"/>
      <c r="AY61" s="170"/>
      <c r="AZ61" s="170"/>
      <c r="BA61" s="170"/>
      <c r="BB61" s="170"/>
      <c r="BC61" s="169"/>
      <c r="BD61" s="169"/>
      <c r="BE61" s="170"/>
      <c r="BF61" s="168"/>
      <c r="BG61" s="4"/>
    </row>
    <row r="62" spans="1:59" s="76" customFormat="1" ht="14.45" customHeight="1" thickBot="1">
      <c r="B62" s="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4"/>
      <c r="N62" s="4"/>
      <c r="O62" s="4"/>
      <c r="P62" s="4"/>
      <c r="Q62" s="143"/>
      <c r="R62" s="143"/>
      <c r="S62" s="143"/>
      <c r="T62" s="143"/>
      <c r="U62" s="143"/>
      <c r="V62" s="143"/>
      <c r="W62" s="24"/>
      <c r="X62" s="24"/>
      <c r="Y62" s="24"/>
      <c r="Z62" s="24"/>
      <c r="AA62" s="24"/>
      <c r="AB62" s="159"/>
      <c r="AC62" s="159"/>
      <c r="AD62" s="159"/>
      <c r="AE62" s="24"/>
      <c r="AL62" s="24"/>
      <c r="AM62" s="24"/>
      <c r="AN62" s="24"/>
      <c r="AO62" s="24"/>
      <c r="AR62" s="77"/>
      <c r="AS62" s="24"/>
      <c r="AZ62" s="24"/>
      <c r="BA62" s="24"/>
      <c r="BB62" s="24"/>
      <c r="BC62" s="24"/>
      <c r="BF62" s="77"/>
      <c r="BG62" s="4"/>
    </row>
    <row r="63" spans="1:59" s="76" customFormat="1" ht="14.45" customHeight="1" thickTop="1">
      <c r="B63" s="173"/>
      <c r="C63" s="174" t="str">
        <f>verze!E119</f>
        <v>zásuvka základná</v>
      </c>
      <c r="D63" s="175"/>
      <c r="E63" s="175"/>
      <c r="F63" s="175"/>
      <c r="G63" s="175"/>
      <c r="H63" s="175"/>
      <c r="I63" s="175"/>
      <c r="J63" s="176"/>
      <c r="K63" s="176"/>
      <c r="L63" s="176"/>
      <c r="M63" s="176"/>
      <c r="N63" s="176"/>
      <c r="O63" s="177"/>
      <c r="P63" s="173"/>
      <c r="Q63" s="327"/>
      <c r="R63" s="327"/>
      <c r="S63" s="327"/>
      <c r="T63" s="327"/>
      <c r="U63" s="327"/>
      <c r="V63" s="327"/>
      <c r="W63" s="327"/>
      <c r="X63" s="327"/>
      <c r="Y63" s="327"/>
      <c r="Z63" s="327"/>
      <c r="AA63" s="327"/>
      <c r="AB63" s="327"/>
      <c r="AC63" s="327"/>
      <c r="AD63" s="328"/>
      <c r="AE63" s="173"/>
      <c r="AF63" s="327"/>
      <c r="AG63" s="327"/>
      <c r="AH63" s="327"/>
      <c r="AI63" s="327"/>
      <c r="AJ63" s="327"/>
      <c r="AK63" s="327"/>
      <c r="AL63" s="327"/>
      <c r="AM63" s="327"/>
      <c r="AN63" s="327"/>
      <c r="AO63" s="327"/>
      <c r="AP63" s="327"/>
      <c r="AQ63" s="327"/>
      <c r="AR63" s="328"/>
      <c r="AS63" s="176"/>
      <c r="AT63" s="175"/>
      <c r="AU63" s="175"/>
      <c r="AV63" s="175"/>
      <c r="AW63" s="175"/>
      <c r="AX63" s="175"/>
      <c r="AY63" s="175"/>
      <c r="AZ63" s="176"/>
      <c r="BA63" s="176"/>
      <c r="BB63" s="176"/>
      <c r="BC63" s="176"/>
      <c r="BD63" s="176"/>
      <c r="BE63" s="176"/>
      <c r="BF63" s="177"/>
      <c r="BG63" s="4"/>
    </row>
    <row r="64" spans="1:59" s="76" customFormat="1" ht="14.45" customHeight="1">
      <c r="B64" s="178"/>
      <c r="C64" s="4" t="str">
        <f>verze!E145</f>
        <v>výška bočnice :</v>
      </c>
      <c r="D64" s="4"/>
      <c r="E64" s="4"/>
      <c r="F64" s="4"/>
      <c r="G64" s="506" t="s">
        <v>376</v>
      </c>
      <c r="H64" s="506"/>
      <c r="I64" s="506"/>
      <c r="J64" s="4"/>
      <c r="K64" s="4"/>
      <c r="L64" s="4"/>
      <c r="M64" s="4"/>
      <c r="N64" s="4"/>
      <c r="O64" s="179"/>
      <c r="P64" s="178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179"/>
      <c r="AE64" s="178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179"/>
      <c r="AT64" s="4"/>
      <c r="AU64" s="4"/>
      <c r="AV64" s="4"/>
      <c r="AZ64" s="4"/>
      <c r="BA64" s="4"/>
      <c r="BB64" s="4"/>
      <c r="BC64" s="4"/>
      <c r="BD64" s="4"/>
      <c r="BE64" s="4"/>
      <c r="BF64" s="179"/>
      <c r="BG64" s="4"/>
    </row>
    <row r="65" spans="1:59" s="76" customFormat="1" ht="14.45" customHeight="1">
      <c r="B65" s="178"/>
      <c r="C65" s="4"/>
      <c r="D65" s="4"/>
      <c r="E65" s="4"/>
      <c r="F65" s="4"/>
      <c r="G65" s="506"/>
      <c r="H65" s="506"/>
      <c r="I65" s="506"/>
      <c r="J65" s="4"/>
      <c r="K65" s="4"/>
      <c r="L65" s="4"/>
      <c r="M65" s="4"/>
      <c r="N65" s="4"/>
      <c r="O65" s="179"/>
      <c r="P65" s="178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179"/>
      <c r="AE65" s="178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179"/>
      <c r="AT65" s="4"/>
      <c r="AU65" s="4"/>
      <c r="AV65" s="4"/>
      <c r="AZ65" s="4"/>
      <c r="BA65" s="4"/>
      <c r="BB65" s="4"/>
      <c r="BC65" s="4"/>
      <c r="BD65" s="4"/>
      <c r="BE65" s="4"/>
      <c r="BF65" s="179"/>
      <c r="BG65" s="4"/>
    </row>
    <row r="66" spans="1:59" s="76" customFormat="1" ht="14.45" customHeight="1">
      <c r="B66" s="17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179"/>
      <c r="P66" s="178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179"/>
      <c r="AE66" s="178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179"/>
      <c r="AT66" s="4"/>
      <c r="AU66" s="4"/>
      <c r="AV66" s="4"/>
      <c r="AZ66" s="4"/>
      <c r="BA66" s="4"/>
      <c r="BB66" s="4"/>
      <c r="BC66" s="4"/>
      <c r="BD66" s="4"/>
      <c r="BE66" s="4"/>
      <c r="BF66" s="179"/>
      <c r="BG66" s="4"/>
    </row>
    <row r="67" spans="1:59" s="76" customFormat="1" ht="14.45" customHeight="1">
      <c r="B67" s="178"/>
      <c r="C67" s="4" t="str">
        <f>verze!E147</f>
        <v>min.vstavaná výška [mm] :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179"/>
      <c r="P67" s="178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179"/>
      <c r="AE67" s="178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179"/>
      <c r="AT67" s="4"/>
      <c r="AU67" s="4"/>
      <c r="AV67" s="4"/>
      <c r="AZ67" s="4"/>
      <c r="BA67" s="4"/>
      <c r="BB67" s="4"/>
      <c r="BC67" s="4"/>
      <c r="BD67" s="4"/>
      <c r="BE67" s="4"/>
      <c r="BF67" s="179"/>
      <c r="BG67" s="4"/>
    </row>
    <row r="68" spans="1:59" s="97" customFormat="1" ht="14.45" customHeight="1">
      <c r="B68" s="180"/>
      <c r="C68" s="510" t="str">
        <f>verze!E148</f>
        <v>len SiSy</v>
      </c>
      <c r="D68" s="510"/>
      <c r="E68" s="511"/>
      <c r="F68" s="512" t="s">
        <v>339</v>
      </c>
      <c r="G68" s="510"/>
      <c r="H68" s="510"/>
      <c r="I68" s="4"/>
      <c r="J68" s="24"/>
      <c r="K68" s="24"/>
      <c r="L68" s="24"/>
      <c r="M68" s="507">
        <f>SUM('AVT77'!O19:AF22)+SUM('AVT77'!O27:AD30)</f>
        <v>0</v>
      </c>
      <c r="N68" s="507"/>
      <c r="O68" s="508"/>
      <c r="P68" s="178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179"/>
      <c r="AE68" s="178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179"/>
      <c r="AS68" s="76"/>
      <c r="AT68" s="76"/>
      <c r="AU68" s="76"/>
      <c r="AV68" s="76"/>
      <c r="AW68" s="76"/>
      <c r="AX68" s="76"/>
      <c r="AY68" s="76"/>
      <c r="AZ68" s="24"/>
      <c r="BA68" s="24"/>
      <c r="BB68" s="24"/>
      <c r="BC68" s="24"/>
      <c r="BD68" s="76"/>
      <c r="BE68" s="76"/>
      <c r="BF68" s="193"/>
      <c r="BG68" s="24"/>
    </row>
    <row r="69" spans="1:59" s="97" customFormat="1" ht="14.45" customHeight="1">
      <c r="B69" s="180"/>
      <c r="C69" s="509">
        <v>78</v>
      </c>
      <c r="D69" s="509"/>
      <c r="E69" s="513"/>
      <c r="F69" s="509">
        <v>80</v>
      </c>
      <c r="G69" s="509"/>
      <c r="H69" s="509"/>
      <c r="I69" s="24"/>
      <c r="J69" s="24"/>
      <c r="K69" s="24"/>
      <c r="L69" s="24"/>
      <c r="M69" s="507"/>
      <c r="N69" s="507"/>
      <c r="O69" s="508"/>
      <c r="P69" s="178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179"/>
      <c r="AE69" s="178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179"/>
      <c r="AS69" s="76"/>
      <c r="AT69" s="76"/>
      <c r="AU69" s="76"/>
      <c r="AV69" s="76"/>
      <c r="AW69" s="76"/>
      <c r="AX69" s="76"/>
      <c r="AY69" s="76"/>
      <c r="AZ69" s="24"/>
      <c r="BA69" s="24"/>
      <c r="BB69" s="24"/>
      <c r="BC69" s="24"/>
      <c r="BD69" s="76"/>
      <c r="BE69" s="76"/>
      <c r="BF69" s="193"/>
      <c r="BG69" s="24"/>
    </row>
    <row r="70" spans="1:59" s="76" customFormat="1" ht="14.45" customHeight="1" thickBot="1">
      <c r="B70" s="181"/>
      <c r="C70" s="182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340"/>
      <c r="O70" s="184"/>
      <c r="P70" s="181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184"/>
      <c r="AE70" s="181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94"/>
      <c r="AT70" s="194"/>
      <c r="AU70" s="194"/>
      <c r="AV70" s="194"/>
      <c r="AW70" s="194"/>
      <c r="AX70" s="194"/>
      <c r="AY70" s="194"/>
      <c r="AZ70" s="186"/>
      <c r="BA70" s="186"/>
      <c r="BB70" s="186"/>
      <c r="BC70" s="186"/>
      <c r="BD70" s="194"/>
      <c r="BE70" s="194"/>
      <c r="BF70" s="195"/>
      <c r="BG70" s="4"/>
    </row>
    <row r="71" spans="1:59" s="76" customFormat="1" ht="14.45" customHeight="1" thickTop="1">
      <c r="B71" s="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4"/>
      <c r="N71" s="4"/>
      <c r="O71" s="4"/>
      <c r="P71" s="4"/>
      <c r="Q71" s="143"/>
      <c r="R71" s="143"/>
      <c r="S71" s="143"/>
      <c r="T71" s="143"/>
      <c r="U71" s="143"/>
      <c r="V71" s="143"/>
      <c r="W71" s="24"/>
      <c r="X71" s="24"/>
      <c r="Y71" s="24"/>
      <c r="Z71" s="24"/>
      <c r="AA71" s="24"/>
      <c r="AB71" s="159"/>
      <c r="AC71" s="159"/>
      <c r="AD71" s="159"/>
      <c r="AE71" s="24"/>
      <c r="AL71" s="24"/>
      <c r="AM71" s="24"/>
      <c r="AN71" s="24"/>
      <c r="AO71" s="24"/>
      <c r="AR71" s="77"/>
      <c r="AS71" s="24"/>
      <c r="AZ71" s="24"/>
      <c r="BA71" s="24"/>
      <c r="BB71" s="24"/>
      <c r="BC71" s="24"/>
      <c r="BF71" s="77"/>
      <c r="BG71" s="4"/>
    </row>
    <row r="72" spans="1:59" s="76" customFormat="1" ht="23.1" customHeight="1">
      <c r="A72" s="166"/>
      <c r="B72" s="172" t="str">
        <f>verze!E142</f>
        <v>Zásuvky uzké</v>
      </c>
      <c r="C72" s="172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7"/>
      <c r="O72" s="168"/>
      <c r="P72" s="169"/>
      <c r="Q72" s="170"/>
      <c r="R72" s="170"/>
      <c r="S72" s="170"/>
      <c r="T72" s="170"/>
      <c r="U72" s="170"/>
      <c r="V72" s="170"/>
      <c r="W72" s="170"/>
      <c r="X72" s="170"/>
      <c r="Y72" s="170"/>
      <c r="Z72" s="170"/>
      <c r="AA72" s="169"/>
      <c r="AB72" s="169"/>
      <c r="AC72" s="171"/>
      <c r="AD72" s="168"/>
      <c r="AE72" s="169"/>
      <c r="AF72" s="170"/>
      <c r="AG72" s="170"/>
      <c r="AH72" s="170"/>
      <c r="AI72" s="170"/>
      <c r="AJ72" s="170"/>
      <c r="AK72" s="170"/>
      <c r="AL72" s="170"/>
      <c r="AM72" s="170"/>
      <c r="AN72" s="170"/>
      <c r="AO72" s="169"/>
      <c r="AP72" s="169"/>
      <c r="AQ72" s="170"/>
      <c r="AR72" s="168"/>
      <c r="AS72" s="169"/>
      <c r="AT72" s="170"/>
      <c r="AU72" s="170"/>
      <c r="AV72" s="170"/>
      <c r="AW72" s="170"/>
      <c r="AX72" s="170"/>
      <c r="AY72" s="170"/>
      <c r="AZ72" s="170"/>
      <c r="BA72" s="170"/>
      <c r="BB72" s="170"/>
      <c r="BC72" s="169"/>
      <c r="BD72" s="169"/>
      <c r="BE72" s="170"/>
      <c r="BF72" s="168"/>
      <c r="BG72" s="4"/>
    </row>
    <row r="73" spans="1:59" s="76" customFormat="1" ht="14.45" customHeight="1" thickBot="1">
      <c r="B73" s="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4"/>
      <c r="N73" s="4"/>
      <c r="O73" s="4"/>
      <c r="P73" s="4"/>
      <c r="Q73" s="143"/>
      <c r="R73" s="143"/>
      <c r="S73" s="143"/>
      <c r="T73" s="143"/>
      <c r="U73" s="143"/>
      <c r="V73" s="143"/>
      <c r="W73" s="24"/>
      <c r="X73" s="24"/>
      <c r="Y73" s="24"/>
      <c r="Z73" s="24"/>
      <c r="AA73" s="24"/>
      <c r="AB73" s="159"/>
      <c r="AC73" s="159"/>
      <c r="AD73" s="159"/>
      <c r="AE73" s="24"/>
      <c r="AL73" s="24"/>
      <c r="AM73" s="24"/>
      <c r="AN73" s="24"/>
      <c r="AO73" s="24"/>
      <c r="AR73" s="77"/>
      <c r="AS73" s="24"/>
      <c r="AZ73" s="24"/>
      <c r="BA73" s="24"/>
      <c r="BB73" s="24"/>
      <c r="BC73" s="24"/>
      <c r="BF73" s="77"/>
      <c r="BG73" s="4"/>
    </row>
    <row r="74" spans="1:59" s="76" customFormat="1" ht="14.45" customHeight="1" thickTop="1">
      <c r="B74" s="173"/>
      <c r="C74" s="174" t="str">
        <f>verze!E136</f>
        <v>zásuvka uzká spodná 101/187</v>
      </c>
      <c r="D74" s="175"/>
      <c r="E74" s="175"/>
      <c r="F74" s="175"/>
      <c r="G74" s="175"/>
      <c r="H74" s="175"/>
      <c r="I74" s="175"/>
      <c r="J74" s="176"/>
      <c r="K74" s="176"/>
      <c r="L74" s="176"/>
      <c r="M74" s="176"/>
      <c r="N74" s="176"/>
      <c r="O74" s="177"/>
      <c r="P74" s="173"/>
      <c r="Q74" s="174" t="str">
        <f>verze!E137</f>
        <v>zásuvka uzká spodná 139/187</v>
      </c>
      <c r="R74" s="175"/>
      <c r="S74" s="175"/>
      <c r="T74" s="175"/>
      <c r="U74" s="175"/>
      <c r="V74" s="175"/>
      <c r="W74" s="175"/>
      <c r="X74" s="176"/>
      <c r="Y74" s="176"/>
      <c r="Z74" s="176"/>
      <c r="AA74" s="176"/>
      <c r="AB74" s="176"/>
      <c r="AC74" s="176"/>
      <c r="AD74" s="177"/>
      <c r="AE74" s="173"/>
      <c r="AF74" s="174" t="str">
        <f>verze!E138</f>
        <v>zásuvka uzká spodná 2x187</v>
      </c>
      <c r="AG74" s="175"/>
      <c r="AH74" s="175"/>
      <c r="AI74" s="175"/>
      <c r="AJ74" s="175"/>
      <c r="AK74" s="175"/>
      <c r="AL74" s="175"/>
      <c r="AM74" s="176"/>
      <c r="AN74" s="176"/>
      <c r="AO74" s="176"/>
      <c r="AP74" s="176"/>
      <c r="AQ74" s="176"/>
      <c r="AR74" s="177"/>
      <c r="AS74" s="173"/>
      <c r="AT74" s="174" t="str">
        <f>verze!E138</f>
        <v>zásuvka uzká spodná 2x187</v>
      </c>
      <c r="AU74" s="175"/>
      <c r="AV74" s="175"/>
      <c r="AW74" s="175"/>
      <c r="AX74" s="175"/>
      <c r="AY74" s="175"/>
      <c r="AZ74" s="175"/>
      <c r="BA74" s="176"/>
      <c r="BB74" s="176"/>
      <c r="BC74" s="176"/>
      <c r="BD74" s="176"/>
      <c r="BE74" s="176"/>
      <c r="BF74" s="177"/>
      <c r="BG74" s="4"/>
    </row>
    <row r="75" spans="1:59" s="76" customFormat="1" ht="14.45" customHeight="1">
      <c r="B75" s="178"/>
      <c r="C75" s="74" t="str">
        <f>verze!E119</f>
        <v>zásuvka základná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179"/>
      <c r="P75" s="178"/>
      <c r="Q75" s="74" t="str">
        <f>verze!E119</f>
        <v>zásuvka základná</v>
      </c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179"/>
      <c r="AE75" s="178"/>
      <c r="AF75" s="74" t="str">
        <f>verze!E119</f>
        <v>zásuvka základná</v>
      </c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179"/>
      <c r="AS75" s="178"/>
      <c r="AT75" s="74" t="str">
        <f>verze!E120</f>
        <v>zásuvka so sklenenou bočnicou</v>
      </c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179"/>
      <c r="BG75" s="4"/>
    </row>
    <row r="76" spans="1:59" s="76" customFormat="1" ht="14.45" customHeight="1">
      <c r="B76" s="178"/>
      <c r="C76" s="4" t="str">
        <f>verze!E145</f>
        <v>výška bočnice :</v>
      </c>
      <c r="D76" s="4"/>
      <c r="E76" s="4"/>
      <c r="F76" s="4"/>
      <c r="G76" s="4" t="s">
        <v>385</v>
      </c>
      <c r="H76" s="4"/>
      <c r="I76" s="4"/>
      <c r="J76" s="4"/>
      <c r="K76" s="4"/>
      <c r="L76" s="4"/>
      <c r="M76" s="4"/>
      <c r="N76" s="4"/>
      <c r="O76" s="179"/>
      <c r="P76" s="178"/>
      <c r="Q76" s="4" t="str">
        <f>verze!E145</f>
        <v>výška bočnice :</v>
      </c>
      <c r="R76" s="4"/>
      <c r="S76" s="4"/>
      <c r="T76" s="4"/>
      <c r="U76" s="4" t="s">
        <v>386</v>
      </c>
      <c r="V76" s="4"/>
      <c r="W76" s="4"/>
      <c r="X76" s="4"/>
      <c r="Y76" s="4"/>
      <c r="Z76" s="4"/>
      <c r="AA76" s="4"/>
      <c r="AB76" s="4"/>
      <c r="AC76" s="4"/>
      <c r="AD76" s="179"/>
      <c r="AE76" s="178"/>
      <c r="AF76" s="4" t="str">
        <f>verze!E145</f>
        <v>výška bočnice :</v>
      </c>
      <c r="AG76" s="4"/>
      <c r="AH76" s="4"/>
      <c r="AI76" s="4"/>
      <c r="AJ76" s="4" t="s">
        <v>336</v>
      </c>
      <c r="AK76" s="4"/>
      <c r="AL76" s="4"/>
      <c r="AM76" s="4"/>
      <c r="AN76" s="4"/>
      <c r="AO76" s="4"/>
      <c r="AP76" s="4"/>
      <c r="AQ76" s="4"/>
      <c r="AR76" s="179"/>
      <c r="AS76" s="178"/>
      <c r="AT76" s="4" t="str">
        <f>verze!E145</f>
        <v>výška bočnice :</v>
      </c>
      <c r="AU76" s="4"/>
      <c r="AV76" s="4"/>
      <c r="AW76" s="4"/>
      <c r="AX76" s="4" t="s">
        <v>336</v>
      </c>
      <c r="AY76" s="4"/>
      <c r="AZ76" s="4"/>
      <c r="BA76" s="4"/>
      <c r="BB76" s="4"/>
      <c r="BC76" s="4"/>
      <c r="BD76" s="4"/>
      <c r="BE76" s="4"/>
      <c r="BF76" s="179"/>
      <c r="BG76" s="4"/>
    </row>
    <row r="77" spans="1:59" s="76" customFormat="1" ht="14.45" customHeight="1">
      <c r="B77" s="178"/>
      <c r="C77" s="4"/>
      <c r="D77" s="4"/>
      <c r="E77" s="4"/>
      <c r="F77" s="4"/>
      <c r="G77" s="506"/>
      <c r="H77" s="506"/>
      <c r="I77" s="506"/>
      <c r="J77" s="4"/>
      <c r="K77" s="4"/>
      <c r="L77" s="4"/>
      <c r="M77" s="4"/>
      <c r="N77" s="4"/>
      <c r="O77" s="179"/>
      <c r="P77" s="178"/>
      <c r="Q77" s="4"/>
      <c r="R77" s="4"/>
      <c r="S77" s="4"/>
      <c r="T77" s="4"/>
      <c r="U77" s="506"/>
      <c r="V77" s="506"/>
      <c r="W77" s="506"/>
      <c r="X77" s="4"/>
      <c r="Y77" s="4"/>
      <c r="Z77" s="4"/>
      <c r="AA77" s="4"/>
      <c r="AB77" s="4"/>
      <c r="AC77" s="4"/>
      <c r="AD77" s="179"/>
      <c r="AE77" s="178"/>
      <c r="AF77" s="4"/>
      <c r="AG77" s="4"/>
      <c r="AH77" s="4"/>
      <c r="AI77" s="4"/>
      <c r="AJ77" s="506"/>
      <c r="AK77" s="506"/>
      <c r="AL77" s="506"/>
      <c r="AM77" s="4"/>
      <c r="AN77" s="4"/>
      <c r="AO77" s="4"/>
      <c r="AP77" s="4"/>
      <c r="AQ77" s="4"/>
      <c r="AR77" s="179"/>
      <c r="AS77" s="178"/>
      <c r="AT77" s="4"/>
      <c r="AU77" s="4"/>
      <c r="AV77" s="4"/>
      <c r="AW77" s="4"/>
      <c r="AX77" s="506"/>
      <c r="AY77" s="506"/>
      <c r="AZ77" s="506"/>
      <c r="BA77" s="4"/>
      <c r="BB77" s="4"/>
      <c r="BC77" s="4"/>
      <c r="BD77" s="4"/>
      <c r="BE77" s="4"/>
      <c r="BF77" s="179"/>
      <c r="BG77" s="4"/>
    </row>
    <row r="78" spans="1:59" s="76" customFormat="1" ht="14.45" customHeight="1">
      <c r="B78" s="17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179"/>
      <c r="P78" s="178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179"/>
      <c r="AE78" s="178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179"/>
      <c r="AS78" s="178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179"/>
      <c r="BG78" s="4"/>
    </row>
    <row r="79" spans="1:59" s="76" customFormat="1" ht="14.45" customHeight="1">
      <c r="B79" s="180"/>
      <c r="C79" s="4"/>
      <c r="D79" s="4"/>
      <c r="E79" s="4"/>
      <c r="F79" s="4"/>
      <c r="G79" s="4"/>
      <c r="H79" s="4"/>
      <c r="I79" s="24"/>
      <c r="J79" s="24"/>
      <c r="K79" s="24"/>
      <c r="L79" s="24"/>
      <c r="M79" s="507">
        <f>SUM('AVT-celny-101+187'!O19:AD19)+SUM('AVT-celny-101+187'!W20:AF20)+SUM('AVT-celny-101+187'!O25:AD25)</f>
        <v>0</v>
      </c>
      <c r="N79" s="507"/>
      <c r="O79" s="508"/>
      <c r="P79" s="180"/>
      <c r="Q79" s="4"/>
      <c r="R79" s="4"/>
      <c r="S79" s="4"/>
      <c r="T79" s="4"/>
      <c r="U79" s="4"/>
      <c r="V79" s="4"/>
      <c r="W79" s="24"/>
      <c r="X79" s="24"/>
      <c r="Y79" s="24"/>
      <c r="Z79" s="24"/>
      <c r="AA79" s="24"/>
      <c r="AB79" s="507">
        <f>SUM('AVT-celny-139+187'!O19:AD19)+SUM('AVT-celny-139+187'!W20:AF20)+SUM('AVT-celny-139+187'!O25:AD25)</f>
        <v>0</v>
      </c>
      <c r="AC79" s="507"/>
      <c r="AD79" s="508"/>
      <c r="AE79" s="180"/>
      <c r="AF79" s="4"/>
      <c r="AG79" s="4"/>
      <c r="AH79" s="4"/>
      <c r="AI79" s="4"/>
      <c r="AJ79" s="4"/>
      <c r="AK79" s="4"/>
      <c r="AL79" s="24"/>
      <c r="AM79" s="24"/>
      <c r="AN79" s="24"/>
      <c r="AO79" s="24"/>
      <c r="AP79" s="507">
        <f>SUM('AVT-celny-2x187'!O19:AD19)+SUM('AVT-celny-2x187'!W20:AF20)+SUM('AVT-celny-2x187'!O25:AD25)</f>
        <v>0</v>
      </c>
      <c r="AQ79" s="507"/>
      <c r="AR79" s="508"/>
      <c r="AS79" s="180"/>
      <c r="AT79" s="4"/>
      <c r="AU79" s="4"/>
      <c r="AV79" s="4"/>
      <c r="AW79" s="4"/>
      <c r="AX79" s="4"/>
      <c r="AY79" s="4"/>
      <c r="AZ79" s="24"/>
      <c r="BA79" s="24"/>
      <c r="BB79" s="24"/>
      <c r="BC79" s="24"/>
      <c r="BD79" s="507">
        <f>SUM('AVT-celny-2x187In'!S19:AD19)+SUM('AVT-celny-2x187In'!W20:AF20)+SUM('AVT-celny-2x187In'!S25:AD25)</f>
        <v>0</v>
      </c>
      <c r="BE79" s="507"/>
      <c r="BF79" s="508"/>
      <c r="BG79" s="24"/>
    </row>
    <row r="80" spans="1:59" s="76" customFormat="1" ht="14.45" customHeight="1">
      <c r="B80" s="180"/>
      <c r="C80" s="4"/>
      <c r="D80" s="4"/>
      <c r="E80" s="4"/>
      <c r="F80" s="4"/>
      <c r="G80" s="4"/>
      <c r="H80" s="4"/>
      <c r="I80" s="24"/>
      <c r="J80" s="24"/>
      <c r="K80" s="24"/>
      <c r="L80" s="24"/>
      <c r="M80" s="507"/>
      <c r="N80" s="507"/>
      <c r="O80" s="508"/>
      <c r="P80" s="180"/>
      <c r="Q80" s="4"/>
      <c r="R80" s="4"/>
      <c r="S80" s="4"/>
      <c r="T80" s="4"/>
      <c r="U80" s="4"/>
      <c r="V80" s="4"/>
      <c r="W80" s="24"/>
      <c r="X80" s="24"/>
      <c r="Y80" s="24"/>
      <c r="Z80" s="24"/>
      <c r="AA80" s="24"/>
      <c r="AB80" s="507"/>
      <c r="AC80" s="507"/>
      <c r="AD80" s="508"/>
      <c r="AE80" s="180"/>
      <c r="AF80" s="4"/>
      <c r="AG80" s="4"/>
      <c r="AH80" s="4"/>
      <c r="AI80" s="4"/>
      <c r="AJ80" s="4"/>
      <c r="AK80" s="4"/>
      <c r="AL80" s="24"/>
      <c r="AM80" s="24"/>
      <c r="AN80" s="24"/>
      <c r="AO80" s="24"/>
      <c r="AP80" s="507"/>
      <c r="AQ80" s="507"/>
      <c r="AR80" s="508"/>
      <c r="AS80" s="180"/>
      <c r="AT80" s="4"/>
      <c r="AU80" s="4"/>
      <c r="AV80" s="4"/>
      <c r="AW80" s="4"/>
      <c r="AX80" s="4"/>
      <c r="AY80" s="4"/>
      <c r="AZ80" s="24"/>
      <c r="BA80" s="24"/>
      <c r="BB80" s="24"/>
      <c r="BC80" s="24"/>
      <c r="BD80" s="507"/>
      <c r="BE80" s="507"/>
      <c r="BF80" s="508"/>
      <c r="BG80" s="24"/>
    </row>
    <row r="81" spans="1:59" s="76" customFormat="1" ht="14.45" customHeight="1" thickBot="1">
      <c r="A81" s="4"/>
      <c r="B81" s="185"/>
      <c r="C81" s="186"/>
      <c r="D81" s="186"/>
      <c r="E81" s="186"/>
      <c r="F81" s="186"/>
      <c r="G81" s="186"/>
      <c r="H81" s="186"/>
      <c r="I81" s="186"/>
      <c r="J81" s="186"/>
      <c r="K81" s="186"/>
      <c r="L81" s="183"/>
      <c r="M81" s="183"/>
      <c r="N81" s="183"/>
      <c r="O81" s="184"/>
      <c r="P81" s="185"/>
      <c r="Q81" s="186"/>
      <c r="R81" s="186"/>
      <c r="S81" s="186"/>
      <c r="T81" s="186"/>
      <c r="U81" s="186"/>
      <c r="V81" s="186"/>
      <c r="W81" s="186"/>
      <c r="X81" s="186"/>
      <c r="Y81" s="183"/>
      <c r="Z81" s="186"/>
      <c r="AA81" s="183"/>
      <c r="AB81" s="183"/>
      <c r="AC81" s="183"/>
      <c r="AD81" s="184"/>
      <c r="AE81" s="185"/>
      <c r="AF81" s="186"/>
      <c r="AG81" s="186"/>
      <c r="AH81" s="186"/>
      <c r="AI81" s="186"/>
      <c r="AJ81" s="186"/>
      <c r="AK81" s="186"/>
      <c r="AL81" s="186"/>
      <c r="AM81" s="186"/>
      <c r="AN81" s="186"/>
      <c r="AO81" s="183"/>
      <c r="AP81" s="183"/>
      <c r="AQ81" s="183"/>
      <c r="AR81" s="184"/>
      <c r="AS81" s="185"/>
      <c r="AT81" s="186"/>
      <c r="AU81" s="186"/>
      <c r="AV81" s="186"/>
      <c r="AW81" s="186"/>
      <c r="AX81" s="186"/>
      <c r="AY81" s="186"/>
      <c r="AZ81" s="186"/>
      <c r="BA81" s="186"/>
      <c r="BB81" s="186"/>
      <c r="BC81" s="183"/>
      <c r="BD81" s="183"/>
      <c r="BE81" s="183"/>
      <c r="BF81" s="184"/>
    </row>
    <row r="82" spans="1:59" s="76" customFormat="1" ht="14.45" customHeight="1" thickTop="1">
      <c r="B82" s="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4"/>
      <c r="N82" s="4"/>
      <c r="O82" s="4"/>
      <c r="P82" s="4"/>
      <c r="Q82" s="143"/>
      <c r="R82" s="143"/>
      <c r="S82" s="143"/>
      <c r="T82" s="143"/>
      <c r="U82" s="143"/>
      <c r="V82" s="143"/>
      <c r="W82" s="24"/>
      <c r="X82" s="24"/>
      <c r="Y82" s="24"/>
      <c r="Z82" s="24"/>
      <c r="AA82" s="24"/>
      <c r="AB82" s="159"/>
      <c r="AC82" s="159"/>
      <c r="AD82" s="159"/>
      <c r="AE82" s="24"/>
      <c r="AL82" s="24"/>
      <c r="AM82" s="24"/>
      <c r="AN82" s="24"/>
      <c r="AO82" s="24"/>
      <c r="AR82" s="77"/>
      <c r="AS82" s="24"/>
      <c r="AZ82" s="24"/>
      <c r="BA82" s="24"/>
      <c r="BB82" s="24"/>
      <c r="BC82" s="24"/>
      <c r="BF82" s="77"/>
      <c r="BG82" s="4"/>
    </row>
    <row r="83" spans="1:59" s="76" customFormat="1" ht="23.1" customHeight="1">
      <c r="A83" s="166"/>
      <c r="B83" s="172" t="str">
        <f>verze!E143</f>
        <v>Vysoké potravinové skrine</v>
      </c>
      <c r="C83" s="172"/>
      <c r="D83" s="166"/>
      <c r="E83" s="166"/>
      <c r="F83" s="166"/>
      <c r="G83" s="166"/>
      <c r="H83" s="166"/>
      <c r="I83" s="166"/>
      <c r="J83" s="166"/>
      <c r="K83" s="166"/>
      <c r="L83" s="166"/>
      <c r="M83" s="166"/>
      <c r="N83" s="167"/>
      <c r="O83" s="168"/>
      <c r="P83" s="169"/>
      <c r="Q83" s="170"/>
      <c r="R83" s="170"/>
      <c r="S83" s="170"/>
      <c r="T83" s="170"/>
      <c r="U83" s="170"/>
      <c r="V83" s="170"/>
      <c r="W83" s="170"/>
      <c r="X83" s="170"/>
      <c r="Y83" s="170"/>
      <c r="Z83" s="170"/>
      <c r="AA83" s="169"/>
      <c r="AB83" s="169"/>
      <c r="AC83" s="171"/>
      <c r="AD83" s="168"/>
      <c r="AE83" s="169"/>
      <c r="AF83" s="170"/>
      <c r="AG83" s="170"/>
      <c r="AH83" s="170"/>
      <c r="AI83" s="170"/>
      <c r="AJ83" s="170"/>
      <c r="AK83" s="170"/>
      <c r="AL83" s="170"/>
      <c r="AM83" s="170"/>
      <c r="AN83" s="170"/>
      <c r="AO83" s="169"/>
      <c r="AP83" s="169"/>
      <c r="AQ83" s="170"/>
      <c r="AR83" s="168"/>
      <c r="AS83" s="169"/>
      <c r="AT83" s="170"/>
      <c r="AU83" s="170"/>
      <c r="AV83" s="170"/>
      <c r="AW83" s="170"/>
      <c r="AX83" s="170"/>
      <c r="AY83" s="170"/>
      <c r="AZ83" s="170"/>
      <c r="BA83" s="170"/>
      <c r="BB83" s="170"/>
      <c r="BC83" s="169"/>
      <c r="BD83" s="169"/>
      <c r="BE83" s="170"/>
      <c r="BF83" s="168"/>
      <c r="BG83" s="4"/>
    </row>
    <row r="84" spans="1:59" s="76" customFormat="1" ht="14.45" customHeight="1" thickBot="1">
      <c r="B84" s="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4"/>
      <c r="N84" s="4"/>
      <c r="O84" s="4"/>
      <c r="P84" s="4"/>
      <c r="Q84" s="143"/>
      <c r="R84" s="143"/>
      <c r="S84" s="143"/>
      <c r="T84" s="143"/>
      <c r="U84" s="143"/>
      <c r="V84" s="143"/>
      <c r="W84" s="24"/>
      <c r="X84" s="24"/>
      <c r="Y84" s="24"/>
      <c r="Z84" s="24"/>
      <c r="AA84" s="24"/>
      <c r="AB84" s="159"/>
      <c r="AC84" s="159"/>
      <c r="AD84" s="159"/>
      <c r="AE84" s="24"/>
      <c r="AL84" s="24"/>
      <c r="AM84" s="24"/>
      <c r="AN84" s="24"/>
      <c r="AO84" s="24"/>
      <c r="AR84" s="77"/>
      <c r="AS84" s="24"/>
      <c r="AZ84" s="24"/>
      <c r="BA84" s="24"/>
      <c r="BB84" s="24"/>
      <c r="BC84" s="24"/>
      <c r="BF84" s="77"/>
      <c r="BG84" s="4"/>
    </row>
    <row r="85" spans="1:59" s="76" customFormat="1" ht="14.45" customHeight="1" thickTop="1">
      <c r="B85" s="173"/>
      <c r="C85" s="174" t="str">
        <f>verze!E139</f>
        <v>potravinová skriňa vysoká výsuvná</v>
      </c>
      <c r="D85" s="175"/>
      <c r="E85" s="175"/>
      <c r="F85" s="175"/>
      <c r="G85" s="175"/>
      <c r="H85" s="175"/>
      <c r="I85" s="175"/>
      <c r="J85" s="176"/>
      <c r="K85" s="176"/>
      <c r="L85" s="176"/>
      <c r="M85" s="176"/>
      <c r="N85" s="176"/>
      <c r="O85" s="177"/>
      <c r="P85" s="173"/>
      <c r="Q85" s="174" t="str">
        <f>verze!E139</f>
        <v>potravinová skriňa vysoká výsuvná</v>
      </c>
      <c r="R85" s="175"/>
      <c r="S85" s="175"/>
      <c r="T85" s="175"/>
      <c r="U85" s="175"/>
      <c r="V85" s="175"/>
      <c r="W85" s="175"/>
      <c r="X85" s="176"/>
      <c r="Y85" s="176"/>
      <c r="Z85" s="176"/>
      <c r="AA85" s="176"/>
      <c r="AB85" s="176"/>
      <c r="AC85" s="176"/>
      <c r="AD85" s="177"/>
      <c r="AE85" s="344"/>
      <c r="AF85" s="345"/>
      <c r="AG85" s="345"/>
      <c r="AH85" s="345"/>
      <c r="AI85" s="345"/>
      <c r="AJ85" s="345"/>
      <c r="AK85" s="345"/>
      <c r="AL85" s="345"/>
      <c r="AM85" s="345"/>
      <c r="AN85" s="345"/>
      <c r="AO85" s="345"/>
      <c r="AP85" s="345"/>
      <c r="AQ85" s="345"/>
      <c r="AR85" s="346"/>
      <c r="AS85" s="173"/>
      <c r="AT85" s="327"/>
      <c r="AU85" s="327"/>
      <c r="AV85" s="327"/>
      <c r="AW85" s="327"/>
      <c r="AX85" s="327"/>
      <c r="AY85" s="327"/>
      <c r="AZ85" s="327"/>
      <c r="BA85" s="327"/>
      <c r="BB85" s="327"/>
      <c r="BC85" s="327"/>
      <c r="BD85" s="327"/>
      <c r="BE85" s="327"/>
      <c r="BF85" s="328"/>
      <c r="BG85" s="4"/>
    </row>
    <row r="86" spans="1:59" s="76" customFormat="1" ht="14.45" customHeight="1">
      <c r="B86" s="178"/>
      <c r="C86" s="74" t="str">
        <f>verze!E119</f>
        <v>zásuvka základná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179"/>
      <c r="P86" s="178"/>
      <c r="Q86" s="74" t="str">
        <f>verze!E120</f>
        <v>zásuvka so sklenenou bočnicou</v>
      </c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179"/>
      <c r="AE86" s="347"/>
      <c r="AF86" s="348"/>
      <c r="AG86" s="348"/>
      <c r="AH86" s="348"/>
      <c r="AI86" s="348"/>
      <c r="AJ86" s="348"/>
      <c r="AK86" s="348"/>
      <c r="AL86" s="348"/>
      <c r="AM86" s="348"/>
      <c r="AN86" s="348"/>
      <c r="AO86" s="348"/>
      <c r="AP86" s="348"/>
      <c r="AQ86" s="348"/>
      <c r="AR86" s="349"/>
      <c r="AS86" s="178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179"/>
      <c r="BG86" s="4"/>
    </row>
    <row r="87" spans="1:59" s="76" customFormat="1" ht="14.45" customHeight="1">
      <c r="B87" s="17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179"/>
      <c r="P87" s="178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179"/>
      <c r="AE87" s="347"/>
      <c r="AF87" s="348"/>
      <c r="AG87" s="348"/>
      <c r="AH87" s="348"/>
      <c r="AI87" s="348"/>
      <c r="AJ87" s="348"/>
      <c r="AK87" s="348"/>
      <c r="AL87" s="348"/>
      <c r="AM87" s="348"/>
      <c r="AN87" s="348"/>
      <c r="AO87" s="348"/>
      <c r="AP87" s="348"/>
      <c r="AQ87" s="348"/>
      <c r="AR87" s="349"/>
      <c r="AS87" s="178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179"/>
      <c r="BG87" s="4"/>
    </row>
    <row r="88" spans="1:59" s="76" customFormat="1" ht="14.45" customHeight="1">
      <c r="B88" s="17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179"/>
      <c r="P88" s="178"/>
      <c r="Q88" s="4"/>
      <c r="R88" s="4"/>
      <c r="S88" s="4"/>
      <c r="T88" s="4"/>
      <c r="U88" s="506"/>
      <c r="V88" s="506"/>
      <c r="W88" s="506"/>
      <c r="X88" s="4"/>
      <c r="Y88" s="4"/>
      <c r="Z88" s="4"/>
      <c r="AA88" s="4"/>
      <c r="AB88" s="4"/>
      <c r="AC88" s="4"/>
      <c r="AD88" s="179"/>
      <c r="AE88" s="347"/>
      <c r="AF88" s="348"/>
      <c r="AG88" s="348"/>
      <c r="AH88" s="348"/>
      <c r="AI88" s="348"/>
      <c r="AJ88" s="348"/>
      <c r="AK88" s="348"/>
      <c r="AL88" s="348"/>
      <c r="AM88" s="348"/>
      <c r="AN88" s="348"/>
      <c r="AO88" s="348"/>
      <c r="AP88" s="348"/>
      <c r="AQ88" s="348"/>
      <c r="AR88" s="349"/>
      <c r="AS88" s="178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179"/>
      <c r="BG88" s="4"/>
    </row>
    <row r="89" spans="1:59" s="76" customFormat="1" ht="14.45" customHeight="1">
      <c r="B89" s="17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179"/>
      <c r="P89" s="178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179"/>
      <c r="AE89" s="347"/>
      <c r="AF89" s="348"/>
      <c r="AG89" s="348"/>
      <c r="AH89" s="348"/>
      <c r="AI89" s="348"/>
      <c r="AJ89" s="348"/>
      <c r="AK89" s="348"/>
      <c r="AL89" s="348"/>
      <c r="AM89" s="348"/>
      <c r="AN89" s="348"/>
      <c r="AO89" s="348"/>
      <c r="AP89" s="348"/>
      <c r="AQ89" s="348"/>
      <c r="AR89" s="349"/>
      <c r="AS89" s="178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179"/>
      <c r="BG89" s="4"/>
    </row>
    <row r="90" spans="1:59" s="76" customFormat="1" ht="14.45" customHeight="1">
      <c r="B90" s="180"/>
      <c r="C90" s="4"/>
      <c r="D90" s="4"/>
      <c r="E90" s="4"/>
      <c r="F90" s="4"/>
      <c r="G90" s="4"/>
      <c r="H90" s="4"/>
      <c r="I90" s="24"/>
      <c r="J90" s="24"/>
      <c r="K90" s="24"/>
      <c r="L90" s="24"/>
      <c r="M90" s="507">
        <f>SUM('potr-v101+187'!W20:AD20)+SUM('potr-v101+187'!W22:AF22)+SUM('potr-v101+187'!W28:AD28)</f>
        <v>0</v>
      </c>
      <c r="N90" s="507"/>
      <c r="O90" s="508"/>
      <c r="P90" s="180"/>
      <c r="Q90" s="4"/>
      <c r="R90" s="4"/>
      <c r="S90" s="4"/>
      <c r="T90" s="4"/>
      <c r="U90" s="4"/>
      <c r="V90" s="4"/>
      <c r="W90" s="24"/>
      <c r="X90" s="24"/>
      <c r="Y90" s="24"/>
      <c r="Z90" s="24"/>
      <c r="AA90" s="24"/>
      <c r="AB90" s="507">
        <f>SUM('potr-v101+187-IL'!W20:AD20)+SUM('potr-v101+187-IL'!W22:AF22)+SUM('potr-v101+187-IL'!W28:AD28)</f>
        <v>0</v>
      </c>
      <c r="AC90" s="507"/>
      <c r="AD90" s="508"/>
      <c r="AE90" s="347"/>
      <c r="AF90" s="348"/>
      <c r="AG90" s="348"/>
      <c r="AH90" s="348"/>
      <c r="AI90" s="348"/>
      <c r="AJ90" s="348"/>
      <c r="AK90" s="348"/>
      <c r="AL90" s="348"/>
      <c r="AM90" s="348"/>
      <c r="AN90" s="348"/>
      <c r="AO90" s="348"/>
      <c r="AP90" s="348"/>
      <c r="AQ90" s="348"/>
      <c r="AR90" s="349"/>
      <c r="AS90" s="178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179"/>
      <c r="BG90" s="24"/>
    </row>
    <row r="91" spans="1:59" s="76" customFormat="1" ht="14.45" customHeight="1">
      <c r="B91" s="180"/>
      <c r="C91" s="4"/>
      <c r="D91" s="4"/>
      <c r="E91" s="4"/>
      <c r="F91" s="4"/>
      <c r="G91" s="4"/>
      <c r="H91" s="4"/>
      <c r="I91" s="24"/>
      <c r="J91" s="24"/>
      <c r="K91" s="24"/>
      <c r="L91" s="24"/>
      <c r="M91" s="507"/>
      <c r="N91" s="507"/>
      <c r="O91" s="508"/>
      <c r="P91" s="180"/>
      <c r="Q91" s="4"/>
      <c r="R91" s="4"/>
      <c r="S91" s="4"/>
      <c r="T91" s="4"/>
      <c r="U91" s="4"/>
      <c r="V91" s="4"/>
      <c r="W91" s="24"/>
      <c r="X91" s="24"/>
      <c r="Y91" s="24"/>
      <c r="Z91" s="24"/>
      <c r="AA91" s="24"/>
      <c r="AB91" s="507"/>
      <c r="AC91" s="507"/>
      <c r="AD91" s="508"/>
      <c r="AE91" s="347"/>
      <c r="AF91" s="348"/>
      <c r="AG91" s="348"/>
      <c r="AH91" s="348"/>
      <c r="AI91" s="348"/>
      <c r="AJ91" s="348"/>
      <c r="AK91" s="348"/>
      <c r="AL91" s="348"/>
      <c r="AM91" s="348"/>
      <c r="AN91" s="348"/>
      <c r="AO91" s="348"/>
      <c r="AP91" s="348"/>
      <c r="AQ91" s="348"/>
      <c r="AR91" s="349"/>
      <c r="AS91" s="178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179"/>
      <c r="BG91" s="24"/>
    </row>
    <row r="92" spans="1:59" s="76" customFormat="1" ht="14.45" customHeight="1" thickBot="1">
      <c r="A92" s="4"/>
      <c r="B92" s="185"/>
      <c r="C92" s="186"/>
      <c r="D92" s="186"/>
      <c r="E92" s="186"/>
      <c r="F92" s="186"/>
      <c r="G92" s="186"/>
      <c r="H92" s="186"/>
      <c r="I92" s="186"/>
      <c r="J92" s="186"/>
      <c r="K92" s="186"/>
      <c r="L92" s="183"/>
      <c r="M92" s="183"/>
      <c r="N92" s="183"/>
      <c r="O92" s="235" t="str">
        <f>IF(AND(M90=0,SUM('potr-v101+187'!O85:AI85)&lt;&gt;0),verze!E118&amp;"  ","")</f>
        <v/>
      </c>
      <c r="P92" s="185"/>
      <c r="Q92" s="186"/>
      <c r="R92" s="186"/>
      <c r="S92" s="186"/>
      <c r="T92" s="186"/>
      <c r="U92" s="186"/>
      <c r="V92" s="186"/>
      <c r="W92" s="186"/>
      <c r="X92" s="186"/>
      <c r="Y92" s="183"/>
      <c r="Z92" s="186"/>
      <c r="AA92" s="183"/>
      <c r="AB92" s="183"/>
      <c r="AC92" s="183"/>
      <c r="AD92" s="235" t="str">
        <f>IF(AND(AB90=0,SUM('potr-v101+187-IL'!O85:AI85)&lt;&gt;0),verze!E118&amp;"  ","")</f>
        <v/>
      </c>
      <c r="AE92" s="350"/>
      <c r="AF92" s="351"/>
      <c r="AG92" s="351"/>
      <c r="AH92" s="351"/>
      <c r="AI92" s="351"/>
      <c r="AJ92" s="351"/>
      <c r="AK92" s="351"/>
      <c r="AL92" s="351"/>
      <c r="AM92" s="351"/>
      <c r="AN92" s="351"/>
      <c r="AO92" s="351"/>
      <c r="AP92" s="351"/>
      <c r="AQ92" s="351"/>
      <c r="AR92" s="352"/>
      <c r="AS92" s="181"/>
      <c r="AT92" s="183"/>
      <c r="AU92" s="183"/>
      <c r="AV92" s="183"/>
      <c r="AW92" s="183"/>
      <c r="AX92" s="183"/>
      <c r="AY92" s="183"/>
      <c r="AZ92" s="183"/>
      <c r="BA92" s="183"/>
      <c r="BB92" s="183"/>
      <c r="BC92" s="183"/>
      <c r="BD92" s="183"/>
      <c r="BE92" s="183"/>
      <c r="BF92" s="184"/>
    </row>
    <row r="93" spans="1:59" s="76" customFormat="1" ht="14.45" customHeight="1" thickTop="1" thickBo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"/>
      <c r="O93" s="6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5"/>
      <c r="AD93" s="6"/>
      <c r="AE93" s="4"/>
      <c r="AR93" s="77"/>
      <c r="AS93" s="4"/>
      <c r="BF93" s="77"/>
      <c r="BG93" s="4"/>
    </row>
    <row r="94" spans="1:59" s="76" customFormat="1" ht="14.45" customHeight="1" thickTop="1">
      <c r="A94" s="4"/>
      <c r="B94" s="173"/>
      <c r="C94" s="174" t="str">
        <f>verze!E140</f>
        <v>potravinová skriňa vysoká otváravá</v>
      </c>
      <c r="D94" s="175"/>
      <c r="E94" s="175"/>
      <c r="F94" s="175"/>
      <c r="G94" s="175"/>
      <c r="H94" s="175"/>
      <c r="I94" s="175"/>
      <c r="J94" s="176"/>
      <c r="K94" s="176"/>
      <c r="L94" s="176"/>
      <c r="M94" s="176"/>
      <c r="N94" s="176"/>
      <c r="O94" s="177"/>
      <c r="P94" s="173"/>
      <c r="Q94" s="174" t="str">
        <f>verze!E140</f>
        <v>potravinová skriňa vysoká otváravá</v>
      </c>
      <c r="R94" s="175"/>
      <c r="S94" s="175"/>
      <c r="T94" s="175"/>
      <c r="U94" s="175"/>
      <c r="V94" s="175"/>
      <c r="W94" s="175"/>
      <c r="X94" s="176"/>
      <c r="Y94" s="176"/>
      <c r="Z94" s="176"/>
      <c r="AA94" s="176"/>
      <c r="AB94" s="176"/>
      <c r="AC94" s="176"/>
      <c r="AD94" s="177"/>
      <c r="AE94" s="173"/>
      <c r="AF94" s="327"/>
      <c r="AG94" s="327"/>
      <c r="AH94" s="327"/>
      <c r="AI94" s="327"/>
      <c r="AJ94" s="327"/>
      <c r="AK94" s="327"/>
      <c r="AL94" s="327"/>
      <c r="AM94" s="327"/>
      <c r="AN94" s="327"/>
      <c r="AO94" s="327"/>
      <c r="AP94" s="327"/>
      <c r="AQ94" s="327"/>
      <c r="AR94" s="328"/>
      <c r="AS94" s="173"/>
      <c r="AT94" s="174" t="str">
        <f>verze!E140</f>
        <v>potravinová skriňa vysoká otváravá</v>
      </c>
      <c r="AU94" s="231"/>
      <c r="AV94" s="231"/>
      <c r="AW94" s="231"/>
      <c r="AX94" s="231"/>
      <c r="AY94" s="231"/>
      <c r="AZ94" s="231"/>
      <c r="BA94" s="176"/>
      <c r="BB94" s="176"/>
      <c r="BC94" s="176"/>
      <c r="BD94" s="176"/>
      <c r="BE94" s="176"/>
      <c r="BF94" s="177"/>
      <c r="BG94" s="4"/>
    </row>
    <row r="95" spans="1:59" s="76" customFormat="1" ht="14.45" customHeight="1">
      <c r="A95" s="4"/>
      <c r="B95" s="178"/>
      <c r="C95" s="74" t="str">
        <f>verze!E119</f>
        <v>zásuvka základná</v>
      </c>
      <c r="D95" s="4"/>
      <c r="E95" s="4"/>
      <c r="F95" s="4"/>
      <c r="G95" s="75"/>
      <c r="H95" s="75"/>
      <c r="I95" s="75"/>
      <c r="J95" s="4"/>
      <c r="K95" s="4"/>
      <c r="L95" s="4"/>
      <c r="M95" s="4"/>
      <c r="N95" s="4"/>
      <c r="O95" s="179"/>
      <c r="P95" s="178"/>
      <c r="Q95" s="74" t="str">
        <f>verze!E120</f>
        <v>zásuvka so sklenenou bočnicou</v>
      </c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179"/>
      <c r="AE95" s="178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179"/>
      <c r="AS95" s="178"/>
      <c r="AT95" s="74" t="str">
        <f>verze!E120</f>
        <v>zásuvka so sklenenou bočnicou</v>
      </c>
      <c r="AU95" s="232"/>
      <c r="AV95" s="232"/>
      <c r="AW95" s="232"/>
      <c r="AX95" s="232"/>
      <c r="AY95" s="232"/>
      <c r="AZ95" s="232"/>
      <c r="BA95" s="4"/>
      <c r="BB95" s="4"/>
      <c r="BC95" s="4"/>
      <c r="BD95" s="4"/>
      <c r="BE95" s="4"/>
      <c r="BF95" s="179"/>
      <c r="BG95" s="4"/>
    </row>
    <row r="96" spans="1:59" s="76" customFormat="1" ht="14.45" customHeight="1">
      <c r="A96" s="4"/>
      <c r="B96" s="178"/>
      <c r="C96" s="74"/>
      <c r="D96" s="4"/>
      <c r="E96" s="4"/>
      <c r="F96" s="4"/>
      <c r="G96" s="506"/>
      <c r="H96" s="506"/>
      <c r="I96" s="506"/>
      <c r="J96" s="4"/>
      <c r="K96" s="4"/>
      <c r="L96" s="4"/>
      <c r="M96" s="4"/>
      <c r="N96" s="4"/>
      <c r="O96" s="179"/>
      <c r="P96" s="178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179"/>
      <c r="AE96" s="178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179"/>
      <c r="AS96" s="178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179"/>
      <c r="BG96" s="4"/>
    </row>
    <row r="97" spans="1:59" s="76" customFormat="1" ht="14.45" customHeight="1">
      <c r="A97" s="4"/>
      <c r="B97" s="17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179"/>
      <c r="P97" s="178"/>
      <c r="Q97" s="4"/>
      <c r="R97" s="4"/>
      <c r="S97" s="4"/>
      <c r="T97" s="4"/>
      <c r="U97" s="506"/>
      <c r="V97" s="506"/>
      <c r="W97" s="506"/>
      <c r="X97" s="4"/>
      <c r="Y97" s="4"/>
      <c r="Z97" s="4"/>
      <c r="AA97" s="4"/>
      <c r="AB97" s="4"/>
      <c r="AC97" s="4"/>
      <c r="AD97" s="179"/>
      <c r="AE97" s="178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179"/>
      <c r="AS97" s="178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179"/>
      <c r="BG97" s="4"/>
    </row>
    <row r="98" spans="1:59" s="76" customFormat="1" ht="14.45" customHeight="1">
      <c r="A98" s="4"/>
      <c r="B98" s="17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179"/>
      <c r="P98" s="178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179"/>
      <c r="AE98" s="178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179"/>
      <c r="AS98" s="178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179"/>
      <c r="BG98" s="4"/>
    </row>
    <row r="99" spans="1:59" s="76" customFormat="1" ht="14.45" customHeight="1">
      <c r="A99" s="4"/>
      <c r="B99" s="180"/>
      <c r="C99" s="4"/>
      <c r="D99" s="4"/>
      <c r="E99" s="4"/>
      <c r="F99" s="4"/>
      <c r="G99" s="4"/>
      <c r="H99" s="4"/>
      <c r="I99" s="24"/>
      <c r="J99" s="24"/>
      <c r="K99" s="24"/>
      <c r="L99" s="24"/>
      <c r="M99" s="507">
        <f>SUM('potr-o101+187'!W20:AD20)+SUM('potr-o101+187'!W22:AF22)+SUM('potr-o101+187'!W28:AD28)</f>
        <v>0</v>
      </c>
      <c r="N99" s="507"/>
      <c r="O99" s="508"/>
      <c r="P99" s="180"/>
      <c r="Q99" s="4"/>
      <c r="R99" s="4"/>
      <c r="S99" s="4"/>
      <c r="T99" s="4"/>
      <c r="U99" s="4"/>
      <c r="V99" s="4"/>
      <c r="W99" s="24"/>
      <c r="X99" s="24"/>
      <c r="Y99" s="24"/>
      <c r="Z99" s="24"/>
      <c r="AA99" s="24"/>
      <c r="AB99" s="507">
        <f>SUM('potr-o101+187-IL'!W20:AD20)+SUM('potr-o101+187-IL'!W22:AF22)+SUM('potr-o101+187-IL'!W28:AD28)</f>
        <v>0</v>
      </c>
      <c r="AC99" s="507"/>
      <c r="AD99" s="508"/>
      <c r="AE99" s="178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179"/>
      <c r="AS99" s="180"/>
      <c r="AT99" s="4"/>
      <c r="AU99" s="4"/>
      <c r="AV99" s="4"/>
      <c r="AW99" s="4"/>
      <c r="AX99" s="4"/>
      <c r="AY99" s="4"/>
      <c r="AZ99" s="24"/>
      <c r="BA99" s="24"/>
      <c r="BB99" s="24"/>
      <c r="BC99" s="24"/>
      <c r="BD99" s="507">
        <f>SUM('potr-o187-IL'!W20:AD20)+SUM('potr-o187-IL'!W22:AF22)+SUM('potr-o187-IL'!W28:AD28)</f>
        <v>0</v>
      </c>
      <c r="BE99" s="507"/>
      <c r="BF99" s="508"/>
      <c r="BG99" s="4"/>
    </row>
    <row r="100" spans="1:59" s="76" customFormat="1" ht="14.45" customHeight="1">
      <c r="A100" s="4"/>
      <c r="B100" s="180"/>
      <c r="C100" s="4"/>
      <c r="D100" s="4"/>
      <c r="E100" s="4"/>
      <c r="F100" s="4"/>
      <c r="G100" s="4"/>
      <c r="H100" s="4"/>
      <c r="I100" s="24"/>
      <c r="J100" s="24"/>
      <c r="K100" s="24"/>
      <c r="L100" s="24"/>
      <c r="M100" s="507"/>
      <c r="N100" s="507"/>
      <c r="O100" s="508"/>
      <c r="P100" s="180"/>
      <c r="Q100" s="4"/>
      <c r="R100" s="4"/>
      <c r="S100" s="4"/>
      <c r="T100" s="4"/>
      <c r="U100" s="4"/>
      <c r="V100" s="4"/>
      <c r="W100" s="24"/>
      <c r="X100" s="24"/>
      <c r="Y100" s="24"/>
      <c r="Z100" s="24"/>
      <c r="AA100" s="24"/>
      <c r="AB100" s="507"/>
      <c r="AC100" s="507"/>
      <c r="AD100" s="508"/>
      <c r="AE100" s="178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179"/>
      <c r="AS100" s="180"/>
      <c r="AT100" s="4"/>
      <c r="AU100" s="4"/>
      <c r="AV100" s="4"/>
      <c r="AW100" s="4"/>
      <c r="AX100" s="4"/>
      <c r="AY100" s="4"/>
      <c r="AZ100" s="24"/>
      <c r="BA100" s="24"/>
      <c r="BB100" s="24"/>
      <c r="BC100" s="24"/>
      <c r="BD100" s="507"/>
      <c r="BE100" s="507"/>
      <c r="BF100" s="508"/>
      <c r="BG100" s="4"/>
    </row>
    <row r="101" spans="1:59" s="76" customFormat="1" ht="14.45" customHeight="1" thickBot="1">
      <c r="A101" s="4"/>
      <c r="B101" s="185"/>
      <c r="C101" s="186"/>
      <c r="D101" s="186"/>
      <c r="E101" s="186"/>
      <c r="F101" s="186"/>
      <c r="G101" s="186"/>
      <c r="H101" s="186"/>
      <c r="I101" s="186"/>
      <c r="J101" s="186"/>
      <c r="K101" s="186"/>
      <c r="L101" s="183"/>
      <c r="M101" s="183"/>
      <c r="N101" s="183"/>
      <c r="O101" s="235" t="str">
        <f>IF(AND(M99=0,SUM('potr-o101+187'!O85:AI85)&lt;&gt;0),verze!E118&amp;"  ","")</f>
        <v/>
      </c>
      <c r="P101" s="185"/>
      <c r="Q101" s="186"/>
      <c r="R101" s="186"/>
      <c r="S101" s="186"/>
      <c r="T101" s="186"/>
      <c r="U101" s="186"/>
      <c r="V101" s="186"/>
      <c r="W101" s="186"/>
      <c r="X101" s="186"/>
      <c r="Y101" s="183"/>
      <c r="Z101" s="186"/>
      <c r="AA101" s="183"/>
      <c r="AB101" s="183"/>
      <c r="AC101" s="183"/>
      <c r="AD101" s="235" t="str">
        <f>IF(AND(AB99=0,SUM('potr-o101+187-IL'!O85:AI85)&lt;&gt;0),verze!E118&amp;"  ","")</f>
        <v/>
      </c>
      <c r="AE101" s="181"/>
      <c r="AF101" s="183"/>
      <c r="AG101" s="183"/>
      <c r="AH101" s="183"/>
      <c r="AI101" s="183"/>
      <c r="AJ101" s="183"/>
      <c r="AK101" s="183"/>
      <c r="AL101" s="183"/>
      <c r="AM101" s="183"/>
      <c r="AN101" s="183"/>
      <c r="AO101" s="183"/>
      <c r="AP101" s="183"/>
      <c r="AQ101" s="183"/>
      <c r="AR101" s="184"/>
      <c r="AS101" s="201"/>
      <c r="AT101" s="194"/>
      <c r="AU101" s="194"/>
      <c r="AV101" s="194"/>
      <c r="AW101" s="194"/>
      <c r="AX101" s="194"/>
      <c r="AY101" s="186"/>
      <c r="AZ101" s="186"/>
      <c r="BA101" s="186"/>
      <c r="BB101" s="186"/>
      <c r="BC101" s="194"/>
      <c r="BD101" s="194"/>
      <c r="BE101" s="202"/>
      <c r="BF101" s="235" t="str">
        <f>IF(AND(BD99=0,SUM('potr-o187-IL'!O86:AJ86)&lt;&gt;0),verze!E118&amp;"  ","")</f>
        <v/>
      </c>
      <c r="BG101" s="4"/>
    </row>
    <row r="102" spans="1:59" s="76" customFormat="1" ht="14.45" customHeight="1" thickTop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5"/>
      <c r="O102" s="6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5"/>
      <c r="AD102" s="6"/>
      <c r="AE102" s="4"/>
      <c r="AR102" s="77"/>
      <c r="AS102" s="4"/>
      <c r="BF102" s="77"/>
      <c r="BG102" s="4"/>
    </row>
    <row r="103" spans="1:59" s="76" customFormat="1" ht="14.45" customHeight="1">
      <c r="A103" s="4"/>
      <c r="B103" s="4"/>
      <c r="C103" s="365" t="str">
        <f>verze!E201</f>
        <v>SiSy = tlmenie Silent System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5"/>
      <c r="O103" s="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5"/>
      <c r="AD103" s="6"/>
      <c r="AE103" s="4"/>
      <c r="AR103" s="77"/>
      <c r="AS103" s="4"/>
      <c r="BF103" s="77"/>
      <c r="BG103" s="4"/>
    </row>
    <row r="104" spans="1:59" s="76" customFormat="1" ht="14.45" customHeight="1">
      <c r="A104" s="4"/>
      <c r="B104" s="4"/>
      <c r="C104" s="365" t="str">
        <f>verze!E202</f>
        <v>P2O/SiSy = tlmenie s otváraním bez úchytky Push to open Silent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5"/>
      <c r="O104" s="6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5"/>
      <c r="AD104" s="6"/>
      <c r="AE104" s="4"/>
      <c r="AR104" s="77"/>
      <c r="AS104" s="4"/>
      <c r="BF104" s="77"/>
      <c r="BG104" s="4"/>
    </row>
    <row r="105" spans="1:59" s="76" customFormat="1" ht="14.4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5"/>
      <c r="O105" s="6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5"/>
      <c r="AD105" s="6"/>
      <c r="AE105" s="4"/>
      <c r="AR105" s="77"/>
      <c r="AS105" s="4"/>
      <c r="BF105" s="77"/>
      <c r="BG105" s="4"/>
    </row>
    <row r="106" spans="1:59" s="76" customFormat="1" ht="14.4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5"/>
      <c r="O106" s="6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5"/>
      <c r="AD106" s="6"/>
      <c r="AE106" s="4"/>
      <c r="AR106" s="77"/>
      <c r="AS106" s="4"/>
      <c r="BF106" s="77"/>
      <c r="BG106" s="4"/>
    </row>
    <row r="107" spans="1:59" s="76" customFormat="1" ht="14.4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5"/>
      <c r="O107" s="6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5"/>
      <c r="AD107" s="6"/>
      <c r="AE107" s="4"/>
      <c r="AR107" s="77"/>
      <c r="AS107" s="4"/>
      <c r="BF107" s="77"/>
      <c r="BG107" s="4"/>
    </row>
    <row r="108" spans="1:59" s="76" customFormat="1" ht="14.4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5"/>
      <c r="O108" s="6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5"/>
      <c r="AD108" s="6"/>
      <c r="AE108" s="4"/>
      <c r="AR108" s="77"/>
      <c r="AS108" s="4"/>
      <c r="BF108" s="77"/>
      <c r="BG108" s="4"/>
    </row>
    <row r="109" spans="1:59" s="76" customFormat="1" ht="14.4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5"/>
      <c r="O109" s="6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5"/>
      <c r="AD109" s="6"/>
      <c r="AE109" s="4"/>
      <c r="AR109" s="77"/>
      <c r="AS109" s="4"/>
      <c r="BF109" s="77"/>
      <c r="BG109" s="4"/>
    </row>
    <row r="110" spans="1:59" s="76" customFormat="1" ht="14.4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5"/>
      <c r="O110" s="6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5"/>
      <c r="AD110" s="6"/>
      <c r="AE110" s="4"/>
      <c r="AR110" s="77"/>
      <c r="AS110" s="4"/>
      <c r="BF110" s="77"/>
      <c r="BG110" s="4"/>
    </row>
    <row r="111" spans="1:59" s="76" customFormat="1" ht="14.4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5"/>
      <c r="O111" s="6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5"/>
      <c r="AD111" s="6"/>
      <c r="AE111" s="4"/>
      <c r="AR111" s="77"/>
      <c r="AS111" s="4"/>
      <c r="BF111" s="77"/>
      <c r="BG111" s="4"/>
    </row>
  </sheetData>
  <sheetProtection algorithmName="SHA-512" hashValue="bF/+czLtr96pUBw0uKyD5BehddYeI/6bXoGwes6y+lEbGKDNyuRua7N1dvTi32HtM6H+Sbnb+xjCOcvii9+tcA==" saltValue="5gHlMWRTbW5kMF7l/IEvjg==" spinCount="100000" sheet="1" autoFilter="0"/>
  <mergeCells count="108">
    <mergeCell ref="AO2:AR2"/>
    <mergeCell ref="M68:O69"/>
    <mergeCell ref="AI2:AM2"/>
    <mergeCell ref="AP13:AR14"/>
    <mergeCell ref="AJ9:AL9"/>
    <mergeCell ref="AJ10:AL10"/>
    <mergeCell ref="U27:W27"/>
    <mergeCell ref="U28:W28"/>
    <mergeCell ref="AP31:AR32"/>
    <mergeCell ref="AJ17:AL17"/>
    <mergeCell ref="AF21:AH21"/>
    <mergeCell ref="AI21:AK21"/>
    <mergeCell ref="AF14:AH14"/>
    <mergeCell ref="BD99:BF100"/>
    <mergeCell ref="AP57:AR58"/>
    <mergeCell ref="G28:I28"/>
    <mergeCell ref="G27:I27"/>
    <mergeCell ref="BD79:BF80"/>
    <mergeCell ref="AB99:AD100"/>
    <mergeCell ref="C68:E68"/>
    <mergeCell ref="F68:H68"/>
    <mergeCell ref="C69:E69"/>
    <mergeCell ref="F69:H69"/>
    <mergeCell ref="U88:W88"/>
    <mergeCell ref="AB79:AD80"/>
    <mergeCell ref="U97:W97"/>
    <mergeCell ref="M99:O100"/>
    <mergeCell ref="M90:O91"/>
    <mergeCell ref="C31:E31"/>
    <mergeCell ref="F31:H31"/>
    <mergeCell ref="C32:E32"/>
    <mergeCell ref="F32:H32"/>
    <mergeCell ref="G65:I65"/>
    <mergeCell ref="Q31:S31"/>
    <mergeCell ref="G64:I64"/>
    <mergeCell ref="M79:O80"/>
    <mergeCell ref="AJ46:AL46"/>
    <mergeCell ref="C13:E13"/>
    <mergeCell ref="AA2:AE2"/>
    <mergeCell ref="M13:O14"/>
    <mergeCell ref="U9:W9"/>
    <mergeCell ref="G9:I9"/>
    <mergeCell ref="G10:I10"/>
    <mergeCell ref="F13:H13"/>
    <mergeCell ref="Q13:S13"/>
    <mergeCell ref="T13:V13"/>
    <mergeCell ref="U10:W10"/>
    <mergeCell ref="B2:E2"/>
    <mergeCell ref="G2:K2"/>
    <mergeCell ref="O2:S2"/>
    <mergeCell ref="U2:Y2"/>
    <mergeCell ref="AB13:AD14"/>
    <mergeCell ref="C14:E14"/>
    <mergeCell ref="F14:H14"/>
    <mergeCell ref="Q14:S14"/>
    <mergeCell ref="T14:V14"/>
    <mergeCell ref="BD13:BF14"/>
    <mergeCell ref="AT14:AV14"/>
    <mergeCell ref="AP39:AR40"/>
    <mergeCell ref="AF40:AH40"/>
    <mergeCell ref="AF13:AH13"/>
    <mergeCell ref="AI13:AK13"/>
    <mergeCell ref="AI14:AK14"/>
    <mergeCell ref="AF22:AH22"/>
    <mergeCell ref="AI22:AK22"/>
    <mergeCell ref="AJ18:AL18"/>
    <mergeCell ref="AW13:AY13"/>
    <mergeCell ref="AF39:AH39"/>
    <mergeCell ref="AF32:AH32"/>
    <mergeCell ref="AJ35:AL35"/>
    <mergeCell ref="AT20:BE22"/>
    <mergeCell ref="AX77:AZ77"/>
    <mergeCell ref="AJ77:AL77"/>
    <mergeCell ref="AF58:AH58"/>
    <mergeCell ref="AX9:AZ9"/>
    <mergeCell ref="AX10:AZ10"/>
    <mergeCell ref="AF31:AH31"/>
    <mergeCell ref="AI31:AK31"/>
    <mergeCell ref="AT13:AV13"/>
    <mergeCell ref="AF57:AH57"/>
    <mergeCell ref="AI57:AK57"/>
    <mergeCell ref="AI49:AK49"/>
    <mergeCell ref="AJ53:AL53"/>
    <mergeCell ref="AJ54:AL54"/>
    <mergeCell ref="U77:W77"/>
    <mergeCell ref="G77:I77"/>
    <mergeCell ref="G96:I96"/>
    <mergeCell ref="AB90:AD91"/>
    <mergeCell ref="AW14:AY14"/>
    <mergeCell ref="AP79:AR80"/>
    <mergeCell ref="AF49:AH49"/>
    <mergeCell ref="AB31:AD32"/>
    <mergeCell ref="AI40:AK40"/>
    <mergeCell ref="AJ36:AL36"/>
    <mergeCell ref="AJ45:AL45"/>
    <mergeCell ref="M31:O32"/>
    <mergeCell ref="AJ27:AL27"/>
    <mergeCell ref="AJ28:AL28"/>
    <mergeCell ref="T31:V31"/>
    <mergeCell ref="Q32:S32"/>
    <mergeCell ref="AI32:AK32"/>
    <mergeCell ref="T32:V32"/>
    <mergeCell ref="AP21:AR22"/>
    <mergeCell ref="AP49:AR50"/>
    <mergeCell ref="AF50:AH50"/>
    <mergeCell ref="AI50:AK50"/>
    <mergeCell ref="AI58:AK58"/>
    <mergeCell ref="AI39:AK39"/>
  </mergeCells>
  <conditionalFormatting sqref="M13:O14 AB13:AD14 AP13:AR14 AP21:AR22 M31:O32 AB31:AD32 M99:O100 M79:O80 AB62:AD62 M90:O91 AA82:AD84 AB57:AC58 AB60:AD60 AB71:AD73">
    <cfRule type="cellIs" dxfId="999" priority="262" stopIfTrue="1" operator="greaterThan">
      <formula>0</formula>
    </cfRule>
  </conditionalFormatting>
  <conditionalFormatting sqref="BD13:BF14">
    <cfRule type="cellIs" dxfId="998" priority="84" stopIfTrue="1" operator="greaterThan">
      <formula>0</formula>
    </cfRule>
  </conditionalFormatting>
  <conditionalFormatting sqref="AP31:AR32">
    <cfRule type="cellIs" dxfId="997" priority="17" stopIfTrue="1" operator="greaterThan">
      <formula>0</formula>
    </cfRule>
  </conditionalFormatting>
  <conditionalFormatting sqref="AB49:AC50">
    <cfRule type="cellIs" dxfId="996" priority="14" stopIfTrue="1" operator="greaterThan">
      <formula>0</formula>
    </cfRule>
  </conditionalFormatting>
  <conditionalFormatting sqref="AP49:AR50">
    <cfRule type="cellIs" dxfId="995" priority="16" stopIfTrue="1" operator="greaterThan">
      <formula>0</formula>
    </cfRule>
  </conditionalFormatting>
  <conditionalFormatting sqref="AP57:AR58">
    <cfRule type="cellIs" dxfId="994" priority="15" stopIfTrue="1" operator="greaterThan">
      <formula>0</formula>
    </cfRule>
  </conditionalFormatting>
  <conditionalFormatting sqref="AP39:AR40">
    <cfRule type="cellIs" dxfId="993" priority="12" stopIfTrue="1" operator="greaterThan">
      <formula>0</formula>
    </cfRule>
  </conditionalFormatting>
  <conditionalFormatting sqref="AB39:AC40">
    <cfRule type="cellIs" dxfId="992" priority="11" stopIfTrue="1" operator="greaterThan">
      <formula>0</formula>
    </cfRule>
  </conditionalFormatting>
  <conditionalFormatting sqref="M68:O69">
    <cfRule type="cellIs" dxfId="991" priority="10" stopIfTrue="1" operator="greaterThan">
      <formula>0</formula>
    </cfRule>
  </conditionalFormatting>
  <conditionalFormatting sqref="AP79:AR80">
    <cfRule type="cellIs" dxfId="990" priority="7" stopIfTrue="1" operator="greaterThan">
      <formula>0</formula>
    </cfRule>
  </conditionalFormatting>
  <conditionalFormatting sqref="BD79:BF80">
    <cfRule type="cellIs" dxfId="989" priority="6" stopIfTrue="1" operator="greaterThan">
      <formula>0</formula>
    </cfRule>
  </conditionalFormatting>
  <conditionalFormatting sqref="AB79:AD80">
    <cfRule type="cellIs" dxfId="988" priority="5" stopIfTrue="1" operator="greaterThan">
      <formula>0</formula>
    </cfRule>
  </conditionalFormatting>
  <conditionalFormatting sqref="Y82">
    <cfRule type="cellIs" dxfId="987" priority="4" stopIfTrue="1" operator="greaterThan">
      <formula>0</formula>
    </cfRule>
  </conditionalFormatting>
  <conditionalFormatting sqref="AB90:AD91">
    <cfRule type="cellIs" dxfId="986" priority="3" stopIfTrue="1" operator="greaterThan">
      <formula>0</formula>
    </cfRule>
  </conditionalFormatting>
  <conditionalFormatting sqref="AB99:AD100">
    <cfRule type="cellIs" dxfId="985" priority="2" stopIfTrue="1" operator="greaterThan">
      <formula>0</formula>
    </cfRule>
  </conditionalFormatting>
  <conditionalFormatting sqref="BD99:BF100">
    <cfRule type="cellIs" dxfId="984" priority="1" stopIfTrue="1" operator="greaterThan">
      <formula>0</formula>
    </cfRule>
  </conditionalFormatting>
  <hyperlinks>
    <hyperlink ref="G2:K2" location="FORM!A1" display="FORM!A1" xr:uid="{00000000-0004-0000-0200-000000000000}"/>
    <hyperlink ref="B2:E2" location="FORM!A1" display="&lt;&lt;&lt;" xr:uid="{00000000-0004-0000-0200-000001000000}"/>
    <hyperlink ref="AI2:AM2" location="OBJ!A1" display="OBJ!A1" xr:uid="{00000000-0004-0000-0200-000002000000}"/>
    <hyperlink ref="U2:Y2" location="'MENU-2'!A5" display="'MENU-2'!A5" xr:uid="{00000000-0004-0000-0200-000003000000}"/>
    <hyperlink ref="AO2:AR2" location="OBJ!A1" display="OBJ!A1" xr:uid="{00000000-0004-0000-0200-000004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25562" r:id="rId4" name="Button 147034">
              <controlPr defaultSize="0" print="0" autoFill="0" autoPict="0" macro="[0]!RESETTE">
                <anchor moveWithCells="1" sizeWithCells="1">
                  <from>
                    <xdr:col>48</xdr:col>
                    <xdr:colOff>104775</xdr:colOff>
                    <xdr:row>16</xdr:row>
                    <xdr:rowOff>95250</xdr:rowOff>
                  </from>
                  <to>
                    <xdr:col>54</xdr:col>
                    <xdr:colOff>104775</xdr:colOff>
                    <xdr:row>18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5"/>
  <dimension ref="A1:BD52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9" defaultRowHeight="14.25"/>
  <cols>
    <col min="1" max="1" width="3.625" style="61" customWidth="1"/>
    <col min="2" max="44" width="3.125" style="61" customWidth="1"/>
    <col min="45" max="45" width="3.625" style="61" customWidth="1"/>
    <col min="46" max="48" width="9" style="61" hidden="1" customWidth="1"/>
    <col min="49" max="49" width="3.25" style="61" hidden="1" customWidth="1"/>
    <col min="50" max="55" width="2.875" style="61" hidden="1" customWidth="1"/>
    <col min="56" max="56" width="9" style="61" hidden="1" customWidth="1"/>
    <col min="57" max="67" width="9" style="61" customWidth="1"/>
    <col min="68" max="16384" width="9" style="61"/>
  </cols>
  <sheetData>
    <row r="1" spans="1:54" ht="12.95" customHeight="1" thickBot="1">
      <c r="AS1" s="147"/>
    </row>
    <row r="2" spans="1:54" ht="23.1" customHeight="1" thickBot="1">
      <c r="B2" s="486" t="str">
        <f>verze!E13</f>
        <v>&lt;&lt;  späť</v>
      </c>
      <c r="C2" s="487"/>
      <c r="D2" s="487"/>
      <c r="E2" s="488"/>
      <c r="G2" s="502" t="str">
        <f>verze!E6</f>
        <v xml:space="preserve"> Úvod</v>
      </c>
      <c r="H2" s="503"/>
      <c r="I2" s="503"/>
      <c r="J2" s="503"/>
      <c r="K2" s="504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02" t="str">
        <f>verze!E10</f>
        <v xml:space="preserve"> Objednávka</v>
      </c>
      <c r="AJ2" s="503"/>
      <c r="AK2" s="503"/>
      <c r="AL2" s="503"/>
      <c r="AM2" s="504"/>
      <c r="AO2" s="486" t="str">
        <f>verze!E14</f>
        <v>vpred  &gt;&gt;</v>
      </c>
      <c r="AP2" s="487"/>
      <c r="AQ2" s="487"/>
      <c r="AR2" s="488"/>
    </row>
    <row r="3" spans="1:54" ht="12.95" customHeight="1">
      <c r="AS3" s="147"/>
    </row>
    <row r="4" spans="1:54" ht="23.1" customHeight="1">
      <c r="A4" s="148"/>
      <c r="B4" s="91" t="str">
        <f>verze!E8</f>
        <v xml:space="preserve"> 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9" t="s">
        <v>119</v>
      </c>
      <c r="AS4" s="150"/>
    </row>
    <row r="5" spans="1:54" ht="14.45" customHeight="1"/>
    <row r="6" spans="1:54" s="76" customFormat="1" ht="14.45" customHeight="1">
      <c r="A6" s="4"/>
      <c r="B6" s="7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80"/>
      <c r="O6" s="81"/>
      <c r="P6" s="82"/>
      <c r="Q6" s="79"/>
      <c r="R6" s="79"/>
      <c r="S6" s="79"/>
      <c r="T6" s="79"/>
      <c r="U6" s="79"/>
      <c r="V6" s="79"/>
      <c r="W6" s="79"/>
      <c r="X6" s="79"/>
      <c r="Y6" s="79"/>
      <c r="Z6" s="79"/>
      <c r="AA6" s="82"/>
      <c r="AB6" s="82"/>
      <c r="AC6" s="83"/>
      <c r="AD6" s="81"/>
      <c r="AE6" s="82"/>
      <c r="AF6" s="79"/>
      <c r="AG6" s="79"/>
      <c r="AH6" s="79"/>
      <c r="AI6" s="79"/>
      <c r="AJ6" s="79"/>
      <c r="AK6" s="79"/>
      <c r="AL6" s="79"/>
      <c r="AM6" s="79"/>
      <c r="AN6" s="79"/>
      <c r="AO6" s="82"/>
      <c r="AP6" s="82"/>
      <c r="AQ6" s="79"/>
      <c r="AR6" s="81"/>
      <c r="AS6" s="4"/>
    </row>
    <row r="7" spans="1:54" s="76" customFormat="1" ht="14.45" customHeight="1" thickBot="1">
      <c r="A7" s="4"/>
      <c r="B7" s="74"/>
      <c r="C7" s="75"/>
      <c r="D7" s="75"/>
      <c r="E7" s="75"/>
      <c r="F7" s="75"/>
      <c r="G7" s="75"/>
      <c r="H7" s="75"/>
      <c r="I7" s="75"/>
      <c r="P7" s="4"/>
      <c r="Q7" s="74"/>
      <c r="R7" s="75"/>
      <c r="S7" s="75"/>
      <c r="T7" s="75"/>
      <c r="U7" s="75"/>
      <c r="V7" s="75"/>
      <c r="AE7" s="4"/>
      <c r="AF7" s="74"/>
      <c r="AG7" s="75"/>
      <c r="AH7" s="75"/>
      <c r="AI7" s="75"/>
      <c r="AJ7" s="75"/>
      <c r="AK7" s="75"/>
      <c r="AS7" s="4"/>
    </row>
    <row r="8" spans="1:54" s="76" customFormat="1" ht="14.45" customHeight="1" thickTop="1">
      <c r="B8" s="173"/>
      <c r="C8" s="174" t="s">
        <v>170</v>
      </c>
      <c r="D8" s="175"/>
      <c r="E8" s="175"/>
      <c r="F8" s="175"/>
      <c r="G8" s="175"/>
      <c r="H8" s="175"/>
      <c r="I8" s="175"/>
      <c r="J8" s="176"/>
      <c r="K8" s="176"/>
      <c r="L8" s="176"/>
      <c r="M8" s="176"/>
      <c r="N8" s="176"/>
      <c r="O8" s="177"/>
      <c r="P8" s="173"/>
      <c r="Q8" s="174"/>
      <c r="R8" s="175"/>
      <c r="S8" s="175"/>
      <c r="T8" s="175"/>
      <c r="U8" s="175"/>
      <c r="V8" s="175"/>
      <c r="W8" s="175"/>
      <c r="X8" s="176"/>
      <c r="Y8" s="176"/>
      <c r="Z8" s="176"/>
      <c r="AA8" s="176"/>
      <c r="AB8" s="176"/>
      <c r="AC8" s="176"/>
      <c r="AD8" s="177"/>
      <c r="AE8" s="173"/>
      <c r="AF8" s="174"/>
      <c r="AG8" s="175"/>
      <c r="AH8" s="175"/>
      <c r="AI8" s="175"/>
      <c r="AJ8" s="175"/>
      <c r="AK8" s="175"/>
      <c r="AL8" s="175"/>
      <c r="AM8" s="176"/>
      <c r="AN8" s="176"/>
      <c r="AO8" s="176"/>
      <c r="AP8" s="176"/>
      <c r="AQ8" s="176"/>
      <c r="AR8" s="177"/>
      <c r="AS8" s="4"/>
    </row>
    <row r="9" spans="1:54" s="76" customFormat="1" ht="14.45" customHeight="1">
      <c r="B9" s="178"/>
      <c r="C9" s="4" t="str">
        <f>verze!$E$150</f>
        <v>min.šírka korp.:</v>
      </c>
      <c r="D9" s="4"/>
      <c r="E9" s="4"/>
      <c r="F9" s="4"/>
      <c r="G9" s="506" t="s">
        <v>265</v>
      </c>
      <c r="H9" s="506"/>
      <c r="I9" s="506"/>
      <c r="J9" s="4"/>
      <c r="K9" s="4"/>
      <c r="L9" s="4"/>
      <c r="M9" s="4"/>
      <c r="N9" s="4"/>
      <c r="O9" s="179"/>
      <c r="P9" s="178"/>
      <c r="Q9" s="4" t="str">
        <f>verze!$E$150</f>
        <v>min.šírka korp.:</v>
      </c>
      <c r="R9" s="4"/>
      <c r="S9" s="4"/>
      <c r="T9" s="4"/>
      <c r="U9" s="506"/>
      <c r="V9" s="506"/>
      <c r="W9" s="506"/>
      <c r="X9" s="4"/>
      <c r="Y9" s="4"/>
      <c r="Z9" s="4"/>
      <c r="AA9" s="4"/>
      <c r="AB9" s="4"/>
      <c r="AC9" s="4"/>
      <c r="AD9" s="179"/>
      <c r="AE9" s="178"/>
      <c r="AF9" s="4" t="str">
        <f>verze!$E$150</f>
        <v>min.šírka korp.:</v>
      </c>
      <c r="AG9" s="4"/>
      <c r="AH9" s="4"/>
      <c r="AI9" s="4"/>
      <c r="AJ9" s="506"/>
      <c r="AK9" s="506"/>
      <c r="AL9" s="506"/>
      <c r="AM9" s="4"/>
      <c r="AN9" s="4"/>
      <c r="AO9" s="4"/>
      <c r="AP9" s="4"/>
      <c r="AQ9" s="4"/>
      <c r="AR9" s="179"/>
      <c r="AS9" s="4"/>
    </row>
    <row r="10" spans="1:54" s="76" customFormat="1" ht="14.45" customHeight="1">
      <c r="B10" s="178"/>
      <c r="C10" s="4" t="str">
        <f>verze!$E$151</f>
        <v>max.šírka korp.:</v>
      </c>
      <c r="D10" s="4"/>
      <c r="E10" s="4"/>
      <c r="F10" s="4"/>
      <c r="G10" s="506" t="s">
        <v>266</v>
      </c>
      <c r="H10" s="506"/>
      <c r="I10" s="506"/>
      <c r="J10" s="4"/>
      <c r="K10" s="4"/>
      <c r="L10" s="4"/>
      <c r="M10" s="4"/>
      <c r="N10" s="4"/>
      <c r="O10" s="179"/>
      <c r="P10" s="178"/>
      <c r="Q10" s="4" t="str">
        <f>verze!$E$151</f>
        <v>max.šírka korp.:</v>
      </c>
      <c r="R10" s="4"/>
      <c r="S10" s="4"/>
      <c r="T10" s="4"/>
      <c r="U10" s="506"/>
      <c r="V10" s="506"/>
      <c r="W10" s="506"/>
      <c r="X10" s="4"/>
      <c r="Y10" s="4"/>
      <c r="Z10" s="4"/>
      <c r="AA10" s="4"/>
      <c r="AB10" s="4"/>
      <c r="AC10" s="4"/>
      <c r="AD10" s="179"/>
      <c r="AE10" s="178"/>
      <c r="AF10" s="4" t="str">
        <f>verze!$E$151</f>
        <v>max.šírka korp.:</v>
      </c>
      <c r="AG10" s="4"/>
      <c r="AH10" s="4"/>
      <c r="AI10" s="4"/>
      <c r="AJ10" s="506"/>
      <c r="AK10" s="506"/>
      <c r="AL10" s="506"/>
      <c r="AM10" s="4"/>
      <c r="AN10" s="4"/>
      <c r="AO10" s="4"/>
      <c r="AP10" s="4"/>
      <c r="AQ10" s="4"/>
      <c r="AR10" s="179"/>
      <c r="AS10" s="4"/>
    </row>
    <row r="11" spans="1:54" s="76" customFormat="1" ht="14.45" customHeight="1">
      <c r="B11" s="178"/>
      <c r="C11" s="4"/>
      <c r="D11" s="4"/>
      <c r="E11" s="4"/>
      <c r="F11" s="4"/>
      <c r="G11" s="4"/>
      <c r="H11" s="4"/>
      <c r="I11" s="24"/>
      <c r="J11" s="4"/>
      <c r="K11" s="4"/>
      <c r="L11" s="4"/>
      <c r="M11" s="4"/>
      <c r="N11" s="4"/>
      <c r="O11" s="179"/>
      <c r="P11" s="178"/>
      <c r="Q11" s="4"/>
      <c r="R11" s="4"/>
      <c r="S11" s="4"/>
      <c r="T11" s="4"/>
      <c r="U11" s="4"/>
      <c r="V11" s="4"/>
      <c r="W11" s="24"/>
      <c r="X11" s="4"/>
      <c r="Y11" s="4"/>
      <c r="Z11" s="4"/>
      <c r="AA11" s="4"/>
      <c r="AB11" s="4"/>
      <c r="AC11" s="4"/>
      <c r="AD11" s="179"/>
      <c r="AE11" s="178"/>
      <c r="AF11" s="4"/>
      <c r="AG11" s="4"/>
      <c r="AH11" s="4"/>
      <c r="AI11" s="4"/>
      <c r="AJ11" s="4"/>
      <c r="AK11" s="4"/>
      <c r="AL11" s="24"/>
      <c r="AM11" s="4"/>
      <c r="AN11" s="4"/>
      <c r="AO11" s="4"/>
      <c r="AP11" s="4"/>
      <c r="AQ11" s="4"/>
      <c r="AR11" s="179"/>
      <c r="AS11" s="4"/>
    </row>
    <row r="12" spans="1:54" s="76" customFormat="1" ht="14.45" customHeight="1">
      <c r="B12" s="178"/>
      <c r="C12" s="4" t="str">
        <f>verze!$E$152</f>
        <v>min.hĺb.príbor.:</v>
      </c>
      <c r="D12" s="4"/>
      <c r="E12" s="4"/>
      <c r="F12" s="4"/>
      <c r="G12" s="506" t="s">
        <v>267</v>
      </c>
      <c r="H12" s="506"/>
      <c r="I12" s="506"/>
      <c r="J12" s="4"/>
      <c r="K12" s="4"/>
      <c r="L12" s="4"/>
      <c r="M12" s="4"/>
      <c r="N12" s="4"/>
      <c r="O12" s="179"/>
      <c r="P12" s="178"/>
      <c r="Q12" s="4" t="str">
        <f>verze!$E$152</f>
        <v>min.hĺb.príbor.:</v>
      </c>
      <c r="R12" s="4"/>
      <c r="S12" s="4"/>
      <c r="T12" s="4"/>
      <c r="U12" s="506"/>
      <c r="V12" s="506"/>
      <c r="W12" s="506"/>
      <c r="X12" s="4"/>
      <c r="Y12" s="4"/>
      <c r="Z12" s="4"/>
      <c r="AA12" s="4"/>
      <c r="AB12" s="4"/>
      <c r="AC12" s="4"/>
      <c r="AD12" s="179"/>
      <c r="AE12" s="178"/>
      <c r="AF12" s="4" t="str">
        <f>verze!$E$152</f>
        <v>min.hĺb.príbor.:</v>
      </c>
      <c r="AG12" s="4"/>
      <c r="AH12" s="4"/>
      <c r="AI12" s="4"/>
      <c r="AJ12" s="506"/>
      <c r="AK12" s="506"/>
      <c r="AL12" s="506"/>
      <c r="AM12" s="4"/>
      <c r="AN12" s="4"/>
      <c r="AO12" s="4"/>
      <c r="AP12" s="4"/>
      <c r="AQ12" s="4"/>
      <c r="AR12" s="179"/>
      <c r="AS12" s="4"/>
      <c r="AW12" s="76">
        <f>SUM('AVT101'!$O$19:$AP$19)</f>
        <v>0</v>
      </c>
      <c r="AX12" s="151">
        <f>IF(AW12=MAX(AW$12:AW$14),1,0)</f>
        <v>1</v>
      </c>
      <c r="AY12" s="76" t="e">
        <f>SUM(#REF!)</f>
        <v>#REF!</v>
      </c>
      <c r="AZ12" s="151" t="e">
        <f>IF(AY12=MAX(AY$12:AY$14),1,0)</f>
        <v>#REF!</v>
      </c>
      <c r="BA12" s="76" t="e">
        <f>SUM(#REF!)</f>
        <v>#REF!</v>
      </c>
      <c r="BB12" s="151" t="e">
        <f>IF(BA12=MAX(BA$12:BA$14),1,0)</f>
        <v>#REF!</v>
      </c>
    </row>
    <row r="13" spans="1:54" s="97" customFormat="1" ht="14.45" customHeight="1">
      <c r="B13" s="180"/>
      <c r="C13" s="4" t="str">
        <f>verze!$E$153</f>
        <v>max.hĺb.príbor.:</v>
      </c>
      <c r="D13" s="4"/>
      <c r="E13" s="4"/>
      <c r="F13" s="4"/>
      <c r="G13" s="506" t="s">
        <v>268</v>
      </c>
      <c r="H13" s="506"/>
      <c r="I13" s="506"/>
      <c r="J13" s="24"/>
      <c r="K13" s="24"/>
      <c r="L13" s="24"/>
      <c r="M13" s="507" t="e">
        <f>SUM(#REF!)+SUM(#REF!)</f>
        <v>#REF!</v>
      </c>
      <c r="N13" s="507"/>
      <c r="O13" s="508"/>
      <c r="P13" s="180"/>
      <c r="Q13" s="4" t="str">
        <f>verze!$E$153</f>
        <v>max.hĺb.príbor.:</v>
      </c>
      <c r="R13" s="4"/>
      <c r="S13" s="4"/>
      <c r="T13" s="4"/>
      <c r="U13" s="506"/>
      <c r="V13" s="506"/>
      <c r="W13" s="506"/>
      <c r="X13" s="24"/>
      <c r="Y13" s="24"/>
      <c r="Z13" s="24"/>
      <c r="AA13" s="24"/>
      <c r="AB13" s="507" t="e">
        <f>SUM(SUM(#REF!)+SUM(#REF!))</f>
        <v>#REF!</v>
      </c>
      <c r="AC13" s="507"/>
      <c r="AD13" s="508"/>
      <c r="AE13" s="180"/>
      <c r="AF13" s="4" t="str">
        <f>verze!$E$153</f>
        <v>max.hĺb.príbor.:</v>
      </c>
      <c r="AG13" s="4"/>
      <c r="AH13" s="4"/>
      <c r="AI13" s="4"/>
      <c r="AJ13" s="506"/>
      <c r="AK13" s="506"/>
      <c r="AL13" s="506"/>
      <c r="AM13" s="24"/>
      <c r="AN13" s="24"/>
      <c r="AO13" s="24"/>
      <c r="AP13" s="507" t="e">
        <f>SUM(SUM(#REF!)+SUM(#REF!))</f>
        <v>#REF!</v>
      </c>
      <c r="AQ13" s="507"/>
      <c r="AR13" s="508"/>
      <c r="AS13" s="24"/>
      <c r="AW13" s="97">
        <f>SUM('AVT101'!$O$20:$AP$20)+SUM('AVT101'!$O$27:$AP$27)</f>
        <v>0</v>
      </c>
      <c r="AX13" s="151">
        <f>IF(AW13=MAX(AW$12:AW$14),1,0)</f>
        <v>1</v>
      </c>
      <c r="AY13" s="97" t="e">
        <f>SUM(#REF!)+SUM(#REF!)</f>
        <v>#REF!</v>
      </c>
      <c r="AZ13" s="151" t="e">
        <f>IF(AY13=MAX(AY$12:AY$14),1,0)</f>
        <v>#REF!</v>
      </c>
      <c r="BA13" s="97" t="e">
        <f>SUM(#REF!)+SUM(#REF!)</f>
        <v>#REF!</v>
      </c>
      <c r="BB13" s="151" t="e">
        <f>IF(BA13=MAX(BA$12:BA$14),1,0)</f>
        <v>#REF!</v>
      </c>
    </row>
    <row r="14" spans="1:54" s="97" customFormat="1" ht="14.45" customHeight="1">
      <c r="B14" s="180"/>
      <c r="C14" s="4"/>
      <c r="D14" s="4"/>
      <c r="E14" s="4"/>
      <c r="F14" s="4"/>
      <c r="G14" s="4"/>
      <c r="H14" s="4"/>
      <c r="I14" s="24"/>
      <c r="J14" s="24"/>
      <c r="K14" s="24"/>
      <c r="L14" s="24"/>
      <c r="M14" s="507"/>
      <c r="N14" s="507"/>
      <c r="O14" s="508"/>
      <c r="P14" s="180"/>
      <c r="Q14" s="4"/>
      <c r="R14" s="4"/>
      <c r="S14" s="4"/>
      <c r="T14" s="4"/>
      <c r="U14" s="4"/>
      <c r="V14" s="4"/>
      <c r="W14" s="24"/>
      <c r="X14" s="24"/>
      <c r="Y14" s="24"/>
      <c r="Z14" s="24"/>
      <c r="AA14" s="24"/>
      <c r="AB14" s="507"/>
      <c r="AC14" s="507"/>
      <c r="AD14" s="508"/>
      <c r="AE14" s="180"/>
      <c r="AF14" s="4"/>
      <c r="AG14" s="4"/>
      <c r="AH14" s="4"/>
      <c r="AI14" s="4"/>
      <c r="AJ14" s="4"/>
      <c r="AK14" s="4"/>
      <c r="AL14" s="24"/>
      <c r="AM14" s="24"/>
      <c r="AN14" s="24"/>
      <c r="AO14" s="24"/>
      <c r="AP14" s="507"/>
      <c r="AQ14" s="507"/>
      <c r="AR14" s="508"/>
      <c r="AS14" s="24"/>
      <c r="AW14" s="97">
        <f>SUM('AVT101'!$Q$21:$AR$21)+SUM('AVT101'!$Q$27:$AR$27)</f>
        <v>0</v>
      </c>
      <c r="AX14" s="151">
        <f>IF(AW14=MAX(AW$12:AW$14),1,0)</f>
        <v>1</v>
      </c>
      <c r="AY14" s="97" t="e">
        <f>SUM(#REF!)+SUM(#REF!)</f>
        <v>#REF!</v>
      </c>
      <c r="AZ14" s="151" t="e">
        <f>IF(AY14=MAX(AY$12:AY$14),1,0)</f>
        <v>#REF!</v>
      </c>
      <c r="BA14" s="97" t="e">
        <f>SUM(#REF!)+SUM(#REF!)</f>
        <v>#REF!</v>
      </c>
      <c r="BB14" s="151" t="e">
        <f>IF(BA14=MAX(BA$12:BA$14),1,0)</f>
        <v>#REF!</v>
      </c>
    </row>
    <row r="15" spans="1:54" s="76" customFormat="1" ht="14.45" customHeight="1" thickBot="1">
      <c r="B15" s="178"/>
      <c r="C15" s="73"/>
      <c r="D15" s="4"/>
      <c r="E15" s="4"/>
      <c r="F15" s="4"/>
      <c r="G15" s="4"/>
      <c r="H15" s="4"/>
      <c r="I15" s="4"/>
      <c r="J15" s="4"/>
      <c r="K15" s="4"/>
      <c r="L15" s="4"/>
      <c r="M15" s="4"/>
      <c r="N15" s="234"/>
      <c r="O15" s="179"/>
      <c r="P15" s="17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179"/>
      <c r="AE15" s="178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179"/>
      <c r="AS15" s="4"/>
    </row>
    <row r="16" spans="1:54" s="76" customFormat="1" ht="14.45" customHeight="1" thickTop="1">
      <c r="B16" s="173"/>
      <c r="C16" s="174"/>
      <c r="D16" s="175"/>
      <c r="E16" s="175"/>
      <c r="F16" s="175"/>
      <c r="G16" s="175"/>
      <c r="H16" s="175"/>
      <c r="I16" s="175"/>
      <c r="J16" s="176"/>
      <c r="K16" s="176"/>
      <c r="L16" s="176"/>
      <c r="M16" s="176"/>
      <c r="N16" s="176"/>
      <c r="O16" s="177"/>
      <c r="P16" s="173"/>
      <c r="Q16" s="174"/>
      <c r="R16" s="175"/>
      <c r="S16" s="175"/>
      <c r="T16" s="175"/>
      <c r="U16" s="175"/>
      <c r="V16" s="175"/>
      <c r="W16" s="175"/>
      <c r="X16" s="176"/>
      <c r="Y16" s="176"/>
      <c r="Z16" s="176"/>
      <c r="AA16" s="176"/>
      <c r="AB16" s="176"/>
      <c r="AC16" s="176"/>
      <c r="AD16" s="177"/>
      <c r="AE16" s="173"/>
      <c r="AF16" s="174"/>
      <c r="AG16" s="175"/>
      <c r="AH16" s="175"/>
      <c r="AI16" s="175"/>
      <c r="AJ16" s="175"/>
      <c r="AK16" s="175"/>
      <c r="AL16" s="175"/>
      <c r="AM16" s="176"/>
      <c r="AN16" s="176"/>
      <c r="AO16" s="176"/>
      <c r="AP16" s="176"/>
      <c r="AQ16" s="176"/>
      <c r="AR16" s="177"/>
      <c r="AS16" s="4"/>
    </row>
    <row r="17" spans="2:54" s="76" customFormat="1" ht="14.45" customHeight="1">
      <c r="B17" s="178"/>
      <c r="C17" s="4" t="str">
        <f>verze!$E$150</f>
        <v>min.šírka korp.:</v>
      </c>
      <c r="D17" s="4"/>
      <c r="E17" s="4"/>
      <c r="F17" s="4"/>
      <c r="G17" s="506"/>
      <c r="H17" s="506"/>
      <c r="I17" s="506"/>
      <c r="J17" s="4"/>
      <c r="K17" s="4"/>
      <c r="L17" s="4"/>
      <c r="M17" s="4"/>
      <c r="N17" s="4"/>
      <c r="O17" s="179"/>
      <c r="P17" s="178"/>
      <c r="Q17" s="4" t="str">
        <f>verze!$E$150</f>
        <v>min.šírka korp.:</v>
      </c>
      <c r="R17" s="4"/>
      <c r="S17" s="4"/>
      <c r="T17" s="4"/>
      <c r="U17" s="506"/>
      <c r="V17" s="506"/>
      <c r="W17" s="506"/>
      <c r="X17" s="4"/>
      <c r="Y17" s="4"/>
      <c r="Z17" s="4"/>
      <c r="AA17" s="4"/>
      <c r="AB17" s="4"/>
      <c r="AC17" s="4"/>
      <c r="AD17" s="179"/>
      <c r="AE17" s="178"/>
      <c r="AF17" s="4" t="str">
        <f>verze!$E$150</f>
        <v>min.šírka korp.:</v>
      </c>
      <c r="AG17" s="4"/>
      <c r="AH17" s="4"/>
      <c r="AI17" s="4"/>
      <c r="AJ17" s="506"/>
      <c r="AK17" s="506"/>
      <c r="AL17" s="506"/>
      <c r="AM17" s="4"/>
      <c r="AN17" s="4"/>
      <c r="AO17" s="4"/>
      <c r="AP17" s="4"/>
      <c r="AQ17" s="4"/>
      <c r="AR17" s="179"/>
      <c r="AS17" s="4"/>
    </row>
    <row r="18" spans="2:54" s="76" customFormat="1" ht="14.45" customHeight="1">
      <c r="B18" s="178"/>
      <c r="C18" s="4" t="str">
        <f>verze!$E$151</f>
        <v>max.šírka korp.:</v>
      </c>
      <c r="D18" s="4"/>
      <c r="E18" s="4"/>
      <c r="F18" s="4"/>
      <c r="G18" s="506"/>
      <c r="H18" s="506"/>
      <c r="I18" s="506"/>
      <c r="J18" s="4"/>
      <c r="K18" s="4"/>
      <c r="L18" s="4"/>
      <c r="M18" s="4"/>
      <c r="N18" s="4"/>
      <c r="O18" s="179"/>
      <c r="P18" s="178"/>
      <c r="Q18" s="4" t="str">
        <f>verze!$E$151</f>
        <v>max.šírka korp.:</v>
      </c>
      <c r="R18" s="4"/>
      <c r="S18" s="4"/>
      <c r="T18" s="4"/>
      <c r="U18" s="506"/>
      <c r="V18" s="506"/>
      <c r="W18" s="506"/>
      <c r="X18" s="4"/>
      <c r="Y18" s="4"/>
      <c r="Z18" s="4"/>
      <c r="AA18" s="4"/>
      <c r="AB18" s="4"/>
      <c r="AC18" s="4"/>
      <c r="AD18" s="179"/>
      <c r="AE18" s="178"/>
      <c r="AF18" s="4" t="str">
        <f>verze!$E$151</f>
        <v>max.šírka korp.:</v>
      </c>
      <c r="AG18" s="4"/>
      <c r="AH18" s="4"/>
      <c r="AI18" s="4"/>
      <c r="AJ18" s="506"/>
      <c r="AK18" s="506"/>
      <c r="AL18" s="506"/>
      <c r="AM18" s="4"/>
      <c r="AN18" s="4"/>
      <c r="AO18" s="4"/>
      <c r="AP18" s="4"/>
      <c r="AQ18" s="4"/>
      <c r="AR18" s="179"/>
      <c r="AS18" s="4"/>
    </row>
    <row r="19" spans="2:54" s="76" customFormat="1" ht="14.45" customHeight="1">
      <c r="B19" s="178"/>
      <c r="C19" s="4"/>
      <c r="D19" s="4"/>
      <c r="E19" s="4"/>
      <c r="F19" s="4"/>
      <c r="G19" s="4"/>
      <c r="H19" s="4"/>
      <c r="I19" s="24"/>
      <c r="J19" s="4"/>
      <c r="K19" s="4"/>
      <c r="L19" s="4"/>
      <c r="M19" s="4"/>
      <c r="N19" s="4"/>
      <c r="O19" s="179"/>
      <c r="P19" s="178"/>
      <c r="Q19" s="4"/>
      <c r="R19" s="4"/>
      <c r="S19" s="4"/>
      <c r="T19" s="4"/>
      <c r="U19" s="4"/>
      <c r="V19" s="4"/>
      <c r="W19" s="24"/>
      <c r="X19" s="4"/>
      <c r="Y19" s="4"/>
      <c r="Z19" s="4"/>
      <c r="AA19" s="4"/>
      <c r="AB19" s="4"/>
      <c r="AC19" s="4"/>
      <c r="AD19" s="179"/>
      <c r="AE19" s="178"/>
      <c r="AF19" s="4"/>
      <c r="AG19" s="4"/>
      <c r="AH19" s="4"/>
      <c r="AI19" s="4"/>
      <c r="AJ19" s="4"/>
      <c r="AK19" s="4"/>
      <c r="AL19" s="24"/>
      <c r="AM19" s="4"/>
      <c r="AN19" s="4"/>
      <c r="AO19" s="4"/>
      <c r="AP19" s="4"/>
      <c r="AQ19" s="4"/>
      <c r="AR19" s="179"/>
      <c r="AS19" s="4"/>
    </row>
    <row r="20" spans="2:54" s="76" customFormat="1" ht="14.45" customHeight="1">
      <c r="B20" s="178"/>
      <c r="C20" s="4" t="str">
        <f>verze!$E$152</f>
        <v>min.hĺb.príbor.:</v>
      </c>
      <c r="D20" s="4"/>
      <c r="E20" s="4"/>
      <c r="F20" s="4"/>
      <c r="G20" s="506"/>
      <c r="H20" s="506"/>
      <c r="I20" s="506"/>
      <c r="J20" s="4"/>
      <c r="K20" s="4"/>
      <c r="L20" s="4"/>
      <c r="M20" s="4"/>
      <c r="N20" s="4"/>
      <c r="O20" s="179"/>
      <c r="P20" s="178"/>
      <c r="Q20" s="4" t="str">
        <f>verze!$E$152</f>
        <v>min.hĺb.príbor.:</v>
      </c>
      <c r="R20" s="4"/>
      <c r="S20" s="4"/>
      <c r="T20" s="4"/>
      <c r="U20" s="506"/>
      <c r="V20" s="506"/>
      <c r="W20" s="506"/>
      <c r="X20" s="4"/>
      <c r="Y20" s="4"/>
      <c r="Z20" s="4"/>
      <c r="AA20" s="4"/>
      <c r="AB20" s="4"/>
      <c r="AC20" s="4"/>
      <c r="AD20" s="179"/>
      <c r="AE20" s="178"/>
      <c r="AF20" s="4" t="str">
        <f>verze!$E$152</f>
        <v>min.hĺb.príbor.:</v>
      </c>
      <c r="AG20" s="4"/>
      <c r="AH20" s="4"/>
      <c r="AI20" s="4"/>
      <c r="AJ20" s="506"/>
      <c r="AK20" s="506"/>
      <c r="AL20" s="506"/>
      <c r="AM20" s="4"/>
      <c r="AN20" s="4"/>
      <c r="AO20" s="4"/>
      <c r="AP20" s="4"/>
      <c r="AQ20" s="4"/>
      <c r="AR20" s="179"/>
      <c r="AS20" s="4"/>
      <c r="BA20" s="76" t="e">
        <f>SUM(#REF!)</f>
        <v>#REF!</v>
      </c>
      <c r="BB20" s="151" t="e">
        <f>IF(BA20=MAX(BA$20:BA$22),1,0)</f>
        <v>#REF!</v>
      </c>
    </row>
    <row r="21" spans="2:54" s="97" customFormat="1" ht="14.45" customHeight="1">
      <c r="B21" s="180"/>
      <c r="C21" s="4" t="str">
        <f>verze!$E$153</f>
        <v>max.hĺb.príbor.:</v>
      </c>
      <c r="D21" s="4"/>
      <c r="E21" s="4"/>
      <c r="F21" s="4"/>
      <c r="G21" s="506"/>
      <c r="H21" s="506"/>
      <c r="I21" s="506"/>
      <c r="J21" s="24"/>
      <c r="K21" s="24"/>
      <c r="L21" s="24"/>
      <c r="M21" s="507">
        <f>SUM(SUM('AVT101'!O27:AR29)+SUM('AVT101'!O34:AR35))</f>
        <v>0</v>
      </c>
      <c r="N21" s="507"/>
      <c r="O21" s="508"/>
      <c r="P21" s="180"/>
      <c r="Q21" s="4" t="str">
        <f>verze!$E$153</f>
        <v>max.hĺb.príbor.:</v>
      </c>
      <c r="R21" s="4"/>
      <c r="S21" s="4"/>
      <c r="T21" s="4"/>
      <c r="U21" s="506"/>
      <c r="V21" s="506"/>
      <c r="W21" s="506"/>
      <c r="X21" s="24"/>
      <c r="Y21" s="24"/>
      <c r="Z21" s="24"/>
      <c r="AA21" s="24"/>
      <c r="AB21" s="507" t="e">
        <f>SUM(SUM(#REF!)+SUM(#REF!))</f>
        <v>#REF!</v>
      </c>
      <c r="AC21" s="507"/>
      <c r="AD21" s="508"/>
      <c r="AE21" s="180"/>
      <c r="AF21" s="4" t="str">
        <f>verze!$E$153</f>
        <v>max.hĺb.príbor.:</v>
      </c>
      <c r="AG21" s="4"/>
      <c r="AH21" s="4"/>
      <c r="AI21" s="4"/>
      <c r="AJ21" s="506"/>
      <c r="AK21" s="506"/>
      <c r="AL21" s="506"/>
      <c r="AM21" s="24"/>
      <c r="AN21" s="24"/>
      <c r="AO21" s="24"/>
      <c r="AP21" s="507" t="e">
        <f>SUM(SUM(#REF!)+SUM(#REF!))</f>
        <v>#REF!</v>
      </c>
      <c r="AQ21" s="507"/>
      <c r="AR21" s="508"/>
      <c r="AS21" s="24"/>
      <c r="BA21" s="97" t="e">
        <f>SUM(#REF!)+SUM(#REF!)</f>
        <v>#REF!</v>
      </c>
      <c r="BB21" s="151" t="e">
        <f>IF(BA21=MAX(BA$20:BA$22),1,0)</f>
        <v>#REF!</v>
      </c>
    </row>
    <row r="22" spans="2:54" s="97" customFormat="1" ht="14.45" customHeight="1">
      <c r="B22" s="180"/>
      <c r="C22" s="4"/>
      <c r="D22" s="4"/>
      <c r="E22" s="4"/>
      <c r="F22" s="4"/>
      <c r="G22" s="4"/>
      <c r="H22" s="4"/>
      <c r="I22" s="24"/>
      <c r="J22" s="24"/>
      <c r="K22" s="24"/>
      <c r="L22" s="24"/>
      <c r="M22" s="507"/>
      <c r="N22" s="507"/>
      <c r="O22" s="508"/>
      <c r="P22" s="180"/>
      <c r="Q22" s="4"/>
      <c r="R22" s="4"/>
      <c r="S22" s="4"/>
      <c r="T22" s="4"/>
      <c r="U22" s="4"/>
      <c r="V22" s="4"/>
      <c r="W22" s="24"/>
      <c r="X22" s="24"/>
      <c r="Y22" s="24"/>
      <c r="Z22" s="24"/>
      <c r="AA22" s="24"/>
      <c r="AB22" s="507"/>
      <c r="AC22" s="507"/>
      <c r="AD22" s="508"/>
      <c r="AE22" s="180"/>
      <c r="AF22" s="4"/>
      <c r="AG22" s="4"/>
      <c r="AH22" s="4"/>
      <c r="AI22" s="4"/>
      <c r="AJ22" s="4"/>
      <c r="AK22" s="4"/>
      <c r="AL22" s="24"/>
      <c r="AM22" s="24"/>
      <c r="AN22" s="24"/>
      <c r="AO22" s="24"/>
      <c r="AP22" s="507"/>
      <c r="AQ22" s="507"/>
      <c r="AR22" s="508"/>
      <c r="AS22" s="24"/>
      <c r="BA22" s="97" t="e">
        <f>SUM(#REF!)+SUM(#REF!)</f>
        <v>#REF!</v>
      </c>
      <c r="BB22" s="151" t="e">
        <f>IF(BA22=MAX(BA$20:BA$22),1,0)</f>
        <v>#REF!</v>
      </c>
    </row>
    <row r="23" spans="2:54" s="97" customFormat="1" ht="14.45" customHeight="1" thickBot="1">
      <c r="B23" s="185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3"/>
      <c r="N23" s="183"/>
      <c r="O23" s="184"/>
      <c r="P23" s="185"/>
      <c r="Q23" s="187"/>
      <c r="R23" s="187"/>
      <c r="S23" s="188"/>
      <c r="T23" s="188"/>
      <c r="U23" s="189"/>
      <c r="V23" s="189"/>
      <c r="W23" s="186"/>
      <c r="X23" s="186"/>
      <c r="Y23" s="186"/>
      <c r="Z23" s="186"/>
      <c r="AA23" s="186"/>
      <c r="AB23" s="190"/>
      <c r="AC23" s="190"/>
      <c r="AD23" s="191"/>
      <c r="AE23" s="185"/>
      <c r="AF23" s="187"/>
      <c r="AG23" s="187"/>
      <c r="AH23" s="188"/>
      <c r="AI23" s="188"/>
      <c r="AJ23" s="189"/>
      <c r="AK23" s="189"/>
      <c r="AL23" s="186"/>
      <c r="AM23" s="186"/>
      <c r="AN23" s="186"/>
      <c r="AO23" s="186"/>
      <c r="AP23" s="190"/>
      <c r="AQ23" s="190"/>
      <c r="AR23" s="191"/>
      <c r="AS23" s="24"/>
    </row>
    <row r="24" spans="2:54" s="76" customFormat="1" ht="14.45" customHeight="1" thickTop="1">
      <c r="B24" s="173"/>
      <c r="C24" s="174"/>
      <c r="D24" s="175"/>
      <c r="E24" s="175"/>
      <c r="F24" s="175"/>
      <c r="G24" s="175"/>
      <c r="H24" s="175"/>
      <c r="I24" s="175"/>
      <c r="J24" s="176"/>
      <c r="K24" s="176"/>
      <c r="L24" s="176"/>
      <c r="M24" s="176"/>
      <c r="N24" s="176"/>
      <c r="O24" s="177"/>
      <c r="P24" s="173"/>
      <c r="Q24" s="174"/>
      <c r="R24" s="175"/>
      <c r="S24" s="175"/>
      <c r="T24" s="175"/>
      <c r="U24" s="175"/>
      <c r="V24" s="175"/>
      <c r="W24" s="175"/>
      <c r="X24" s="176"/>
      <c r="Y24" s="176"/>
      <c r="Z24" s="176"/>
      <c r="AA24" s="176"/>
      <c r="AB24" s="176"/>
      <c r="AC24" s="176"/>
      <c r="AD24" s="177"/>
      <c r="AE24" s="173"/>
      <c r="AF24" s="174"/>
      <c r="AG24" s="175"/>
      <c r="AH24" s="175"/>
      <c r="AI24" s="175"/>
      <c r="AJ24" s="175"/>
      <c r="AK24" s="175"/>
      <c r="AL24" s="175"/>
      <c r="AM24" s="176"/>
      <c r="AN24" s="176"/>
      <c r="AO24" s="176"/>
      <c r="AP24" s="176"/>
      <c r="AQ24" s="176"/>
      <c r="AR24" s="177"/>
      <c r="AS24" s="4"/>
    </row>
    <row r="25" spans="2:54" s="76" customFormat="1" ht="14.45" customHeight="1">
      <c r="B25" s="178"/>
      <c r="C25" s="4" t="str">
        <f>verze!$E$150</f>
        <v>min.šírka korp.:</v>
      </c>
      <c r="D25" s="4"/>
      <c r="E25" s="4"/>
      <c r="F25" s="4"/>
      <c r="G25" s="506"/>
      <c r="H25" s="506"/>
      <c r="I25" s="506"/>
      <c r="J25" s="4"/>
      <c r="K25" s="4"/>
      <c r="L25" s="4"/>
      <c r="M25" s="4"/>
      <c r="N25" s="4"/>
      <c r="O25" s="179"/>
      <c r="P25" s="178"/>
      <c r="Q25" s="4" t="str">
        <f>verze!$E$150</f>
        <v>min.šírka korp.:</v>
      </c>
      <c r="R25" s="4"/>
      <c r="S25" s="4"/>
      <c r="T25" s="4"/>
      <c r="U25" s="506"/>
      <c r="V25" s="506"/>
      <c r="W25" s="506"/>
      <c r="X25" s="4"/>
      <c r="Y25" s="4"/>
      <c r="Z25" s="4"/>
      <c r="AA25" s="4"/>
      <c r="AB25" s="4"/>
      <c r="AC25" s="4"/>
      <c r="AD25" s="179"/>
      <c r="AE25" s="178"/>
      <c r="AF25" s="4" t="str">
        <f>verze!$E$150</f>
        <v>min.šírka korp.:</v>
      </c>
      <c r="AG25" s="4"/>
      <c r="AH25" s="4"/>
      <c r="AI25" s="4"/>
      <c r="AJ25" s="506"/>
      <c r="AK25" s="506"/>
      <c r="AL25" s="506"/>
      <c r="AM25" s="4"/>
      <c r="AN25" s="4"/>
      <c r="AO25" s="4"/>
      <c r="AP25" s="4"/>
      <c r="AQ25" s="4"/>
      <c r="AR25" s="179"/>
      <c r="AS25" s="4"/>
    </row>
    <row r="26" spans="2:54" s="76" customFormat="1" ht="14.45" customHeight="1">
      <c r="B26" s="178"/>
      <c r="C26" s="4" t="str">
        <f>verze!$E$151</f>
        <v>max.šírka korp.:</v>
      </c>
      <c r="D26" s="4"/>
      <c r="E26" s="4"/>
      <c r="F26" s="4"/>
      <c r="G26" s="506"/>
      <c r="H26" s="506"/>
      <c r="I26" s="506"/>
      <c r="J26" s="4"/>
      <c r="K26" s="4"/>
      <c r="L26" s="4"/>
      <c r="M26" s="4"/>
      <c r="N26" s="4"/>
      <c r="O26" s="179"/>
      <c r="P26" s="178"/>
      <c r="Q26" s="4" t="str">
        <f>verze!$E$151</f>
        <v>max.šírka korp.:</v>
      </c>
      <c r="R26" s="4"/>
      <c r="S26" s="4"/>
      <c r="T26" s="4"/>
      <c r="U26" s="506"/>
      <c r="V26" s="506"/>
      <c r="W26" s="506"/>
      <c r="X26" s="4"/>
      <c r="Y26" s="4"/>
      <c r="Z26" s="4"/>
      <c r="AA26" s="4"/>
      <c r="AB26" s="4"/>
      <c r="AC26" s="4"/>
      <c r="AD26" s="179"/>
      <c r="AE26" s="178"/>
      <c r="AF26" s="4" t="str">
        <f>verze!$E$151</f>
        <v>max.šírka korp.:</v>
      </c>
      <c r="AG26" s="4"/>
      <c r="AH26" s="4"/>
      <c r="AI26" s="4"/>
      <c r="AJ26" s="506"/>
      <c r="AK26" s="506"/>
      <c r="AL26" s="506"/>
      <c r="AM26" s="4"/>
      <c r="AN26" s="4"/>
      <c r="AO26" s="4"/>
      <c r="AP26" s="4"/>
      <c r="AQ26" s="4"/>
      <c r="AR26" s="179"/>
      <c r="AS26" s="4"/>
    </row>
    <row r="27" spans="2:54" s="76" customFormat="1" ht="14.45" customHeight="1">
      <c r="B27" s="178"/>
      <c r="C27" s="4"/>
      <c r="D27" s="4"/>
      <c r="E27" s="4"/>
      <c r="F27" s="4"/>
      <c r="G27" s="4"/>
      <c r="H27" s="4"/>
      <c r="I27" s="24"/>
      <c r="J27" s="4"/>
      <c r="K27" s="4"/>
      <c r="L27" s="4"/>
      <c r="M27" s="4"/>
      <c r="N27" s="4"/>
      <c r="O27" s="179"/>
      <c r="P27" s="178"/>
      <c r="Q27" s="4"/>
      <c r="R27" s="4"/>
      <c r="S27" s="4"/>
      <c r="T27" s="4"/>
      <c r="U27" s="4"/>
      <c r="V27" s="4"/>
      <c r="W27" s="24"/>
      <c r="X27" s="4"/>
      <c r="Y27" s="4"/>
      <c r="Z27" s="4"/>
      <c r="AA27" s="4"/>
      <c r="AB27" s="4"/>
      <c r="AC27" s="4"/>
      <c r="AD27" s="179"/>
      <c r="AE27" s="178"/>
      <c r="AF27" s="4"/>
      <c r="AG27" s="4"/>
      <c r="AH27" s="4"/>
      <c r="AI27" s="4"/>
      <c r="AJ27" s="4"/>
      <c r="AK27" s="4"/>
      <c r="AL27" s="24"/>
      <c r="AM27" s="4"/>
      <c r="AN27" s="4"/>
      <c r="AO27" s="4"/>
      <c r="AP27" s="4"/>
      <c r="AQ27" s="4"/>
      <c r="AR27" s="179"/>
      <c r="AS27" s="4"/>
    </row>
    <row r="28" spans="2:54" s="76" customFormat="1" ht="14.45" customHeight="1">
      <c r="B28" s="178"/>
      <c r="C28" s="4" t="str">
        <f>verze!$E$152</f>
        <v>min.hĺb.príbor.:</v>
      </c>
      <c r="D28" s="4"/>
      <c r="E28" s="4"/>
      <c r="F28" s="4"/>
      <c r="G28" s="506"/>
      <c r="H28" s="506"/>
      <c r="I28" s="506"/>
      <c r="J28" s="4"/>
      <c r="K28" s="4"/>
      <c r="L28" s="4"/>
      <c r="M28" s="4"/>
      <c r="N28" s="4"/>
      <c r="O28" s="179"/>
      <c r="P28" s="178"/>
      <c r="Q28" s="4" t="str">
        <f>verze!$E$152</f>
        <v>min.hĺb.príbor.:</v>
      </c>
      <c r="R28" s="4"/>
      <c r="S28" s="4"/>
      <c r="T28" s="4"/>
      <c r="U28" s="506"/>
      <c r="V28" s="506"/>
      <c r="W28" s="506"/>
      <c r="X28" s="4"/>
      <c r="Y28" s="4"/>
      <c r="Z28" s="4"/>
      <c r="AA28" s="4"/>
      <c r="AB28" s="4"/>
      <c r="AC28" s="4"/>
      <c r="AD28" s="179"/>
      <c r="AE28" s="178"/>
      <c r="AF28" s="4" t="str">
        <f>verze!$E$152</f>
        <v>min.hĺb.príbor.:</v>
      </c>
      <c r="AG28" s="4"/>
      <c r="AH28" s="4"/>
      <c r="AI28" s="4"/>
      <c r="AJ28" s="506"/>
      <c r="AK28" s="506"/>
      <c r="AL28" s="506"/>
      <c r="AM28" s="4"/>
      <c r="AN28" s="4"/>
      <c r="AO28" s="4"/>
      <c r="AP28" s="4"/>
      <c r="AQ28" s="4"/>
      <c r="AR28" s="179"/>
      <c r="AS28" s="4"/>
      <c r="AY28" s="76" t="e">
        <f>SUM(#REF!)</f>
        <v>#REF!</v>
      </c>
      <c r="AZ28" s="151" t="e">
        <f>IF(AY28=MAX(AY$28:AY$30),1,0)</f>
        <v>#REF!</v>
      </c>
      <c r="BA28" s="76" t="e">
        <f>SUM(#REF!)</f>
        <v>#REF!</v>
      </c>
      <c r="BB28" s="151" t="e">
        <f>IF(BA28=MAX(BA$28:BA$30),1,0)</f>
        <v>#REF!</v>
      </c>
    </row>
    <row r="29" spans="2:54" s="97" customFormat="1" ht="14.45" customHeight="1">
      <c r="B29" s="180"/>
      <c r="C29" s="4" t="str">
        <f>verze!$E$153</f>
        <v>max.hĺb.príbor.:</v>
      </c>
      <c r="D29" s="4"/>
      <c r="E29" s="4"/>
      <c r="F29" s="4"/>
      <c r="G29" s="506"/>
      <c r="H29" s="506"/>
      <c r="I29" s="506"/>
      <c r="J29" s="24"/>
      <c r="K29" s="24"/>
      <c r="L29" s="24"/>
      <c r="M29" s="507">
        <f>SUM(SUM('AVT101'!O35:AR37)+SUM('AVT101'!O42:AR43))</f>
        <v>0</v>
      </c>
      <c r="N29" s="507"/>
      <c r="O29" s="508"/>
      <c r="P29" s="180"/>
      <c r="Q29" s="4" t="str">
        <f>verze!$E$153</f>
        <v>max.hĺb.príbor.:</v>
      </c>
      <c r="R29" s="4"/>
      <c r="S29" s="4"/>
      <c r="T29" s="4"/>
      <c r="U29" s="506"/>
      <c r="V29" s="506"/>
      <c r="W29" s="506"/>
      <c r="X29" s="24"/>
      <c r="Y29" s="24"/>
      <c r="Z29" s="24"/>
      <c r="AA29" s="24"/>
      <c r="AB29" s="507" t="e">
        <f>SUM(SUM(#REF!)+SUM(#REF!))</f>
        <v>#REF!</v>
      </c>
      <c r="AC29" s="507"/>
      <c r="AD29" s="508"/>
      <c r="AE29" s="180"/>
      <c r="AF29" s="4" t="str">
        <f>verze!$E$153</f>
        <v>max.hĺb.príbor.:</v>
      </c>
      <c r="AG29" s="4"/>
      <c r="AH29" s="4"/>
      <c r="AI29" s="4"/>
      <c r="AJ29" s="506"/>
      <c r="AK29" s="506"/>
      <c r="AL29" s="506"/>
      <c r="AM29" s="24"/>
      <c r="AN29" s="24"/>
      <c r="AO29" s="24"/>
      <c r="AP29" s="507" t="e">
        <f>SUM(SUM(#REF!)+SUM(#REF!))</f>
        <v>#REF!</v>
      </c>
      <c r="AQ29" s="507"/>
      <c r="AR29" s="508"/>
      <c r="AS29" s="24"/>
      <c r="AY29" s="97" t="e">
        <f>SUM(#REF!)+SUM(#REF!)</f>
        <v>#REF!</v>
      </c>
      <c r="AZ29" s="151" t="e">
        <f>IF(AY29=MAX(AY$28:AY$30),1,0)</f>
        <v>#REF!</v>
      </c>
      <c r="BA29" s="97" t="e">
        <f>SUM(#REF!)+SUM(#REF!)</f>
        <v>#REF!</v>
      </c>
      <c r="BB29" s="151" t="e">
        <f>IF(BA29=MAX(BA$28:BA$30),1,0)</f>
        <v>#REF!</v>
      </c>
    </row>
    <row r="30" spans="2:54" s="97" customFormat="1" ht="14.45" customHeight="1">
      <c r="B30" s="180"/>
      <c r="C30" s="4"/>
      <c r="D30" s="4"/>
      <c r="E30" s="4"/>
      <c r="F30" s="4"/>
      <c r="G30" s="4"/>
      <c r="H30" s="4"/>
      <c r="I30" s="24"/>
      <c r="J30" s="24"/>
      <c r="K30" s="24"/>
      <c r="L30" s="24"/>
      <c r="M30" s="507"/>
      <c r="N30" s="507"/>
      <c r="O30" s="508"/>
      <c r="P30" s="180"/>
      <c r="Q30" s="4"/>
      <c r="R30" s="4"/>
      <c r="S30" s="4"/>
      <c r="T30" s="4"/>
      <c r="U30" s="4"/>
      <c r="V30" s="4"/>
      <c r="W30" s="24"/>
      <c r="X30" s="24"/>
      <c r="Y30" s="24"/>
      <c r="Z30" s="24"/>
      <c r="AA30" s="24"/>
      <c r="AB30" s="507"/>
      <c r="AC30" s="507"/>
      <c r="AD30" s="508"/>
      <c r="AE30" s="180"/>
      <c r="AF30" s="4"/>
      <c r="AG30" s="4"/>
      <c r="AH30" s="4"/>
      <c r="AI30" s="4"/>
      <c r="AJ30" s="4"/>
      <c r="AK30" s="4"/>
      <c r="AL30" s="24"/>
      <c r="AM30" s="24"/>
      <c r="AN30" s="24"/>
      <c r="AO30" s="24"/>
      <c r="AP30" s="507"/>
      <c r="AQ30" s="507"/>
      <c r="AR30" s="508"/>
      <c r="AS30" s="24"/>
      <c r="AY30" s="97" t="e">
        <f>SUM(#REF!)+SUM(#REF!)</f>
        <v>#REF!</v>
      </c>
      <c r="AZ30" s="151" t="e">
        <f>IF(AY30=MAX(AY$28:AY$30),1,0)</f>
        <v>#REF!</v>
      </c>
      <c r="BA30" s="97" t="e">
        <f>SUM(#REF!)+SUM(#REF!)</f>
        <v>#REF!</v>
      </c>
      <c r="BB30" s="151" t="e">
        <f>IF(BA30=MAX(BA$28:BA$30),1,0)</f>
        <v>#REF!</v>
      </c>
    </row>
    <row r="31" spans="2:54" s="97" customFormat="1" ht="14.45" customHeight="1" thickBot="1">
      <c r="B31" s="185"/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3"/>
      <c r="N31" s="183"/>
      <c r="O31" s="184"/>
      <c r="P31" s="185"/>
      <c r="Q31" s="187"/>
      <c r="R31" s="187"/>
      <c r="S31" s="188"/>
      <c r="T31" s="188"/>
      <c r="U31" s="189"/>
      <c r="V31" s="189"/>
      <c r="W31" s="186"/>
      <c r="X31" s="186"/>
      <c r="Y31" s="186"/>
      <c r="Z31" s="186"/>
      <c r="AA31" s="186"/>
      <c r="AB31" s="190"/>
      <c r="AC31" s="190"/>
      <c r="AD31" s="191"/>
      <c r="AE31" s="185"/>
      <c r="AF31" s="187"/>
      <c r="AG31" s="187"/>
      <c r="AH31" s="188"/>
      <c r="AI31" s="188"/>
      <c r="AJ31" s="189"/>
      <c r="AK31" s="189"/>
      <c r="AL31" s="186"/>
      <c r="AM31" s="186"/>
      <c r="AN31" s="186"/>
      <c r="AO31" s="186"/>
      <c r="AP31" s="190"/>
      <c r="AQ31" s="190"/>
      <c r="AR31" s="191"/>
      <c r="AS31" s="24"/>
    </row>
    <row r="32" spans="2:54" s="76" customFormat="1" ht="14.45" customHeight="1" thickTop="1">
      <c r="B32" s="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4"/>
      <c r="N32" s="4"/>
      <c r="O32" s="4"/>
      <c r="P32" s="4"/>
      <c r="Q32" s="143"/>
      <c r="R32" s="143"/>
      <c r="S32" s="143"/>
      <c r="T32" s="143"/>
      <c r="U32" s="143"/>
      <c r="V32" s="143"/>
      <c r="W32" s="24"/>
      <c r="X32" s="24"/>
      <c r="Y32" s="24"/>
      <c r="Z32" s="24"/>
      <c r="AA32" s="24"/>
      <c r="AB32" s="159"/>
      <c r="AC32" s="159"/>
      <c r="AD32" s="159"/>
      <c r="AE32" s="24"/>
      <c r="AL32" s="24"/>
      <c r="AM32" s="24"/>
      <c r="AN32" s="24"/>
      <c r="AO32" s="24"/>
      <c r="AR32" s="77"/>
      <c r="AS32" s="4"/>
    </row>
    <row r="33" spans="1:45" s="76" customFormat="1" ht="23.1" customHeight="1">
      <c r="A33" s="166"/>
      <c r="B33" s="172"/>
      <c r="C33" s="172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7"/>
      <c r="O33" s="168"/>
      <c r="P33" s="169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69"/>
      <c r="AB33" s="169"/>
      <c r="AC33" s="171"/>
      <c r="AD33" s="168"/>
      <c r="AE33" s="169"/>
      <c r="AF33" s="170"/>
      <c r="AG33" s="170"/>
      <c r="AH33" s="170"/>
      <c r="AI33" s="170"/>
      <c r="AJ33" s="170"/>
      <c r="AK33" s="170"/>
      <c r="AL33" s="170"/>
      <c r="AM33" s="170"/>
      <c r="AN33" s="170"/>
      <c r="AO33" s="169"/>
      <c r="AP33" s="169"/>
      <c r="AQ33" s="170"/>
      <c r="AR33" s="168"/>
      <c r="AS33" s="4"/>
    </row>
    <row r="34" spans="1:45" s="76" customFormat="1" ht="14.45" customHeight="1" thickBot="1">
      <c r="B34" s="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4"/>
      <c r="N34" s="4"/>
      <c r="O34" s="4"/>
      <c r="P34" s="4"/>
      <c r="Q34" s="143"/>
      <c r="R34" s="143"/>
      <c r="S34" s="143"/>
      <c r="T34" s="143"/>
      <c r="U34" s="143"/>
      <c r="V34" s="143"/>
      <c r="W34" s="24"/>
      <c r="X34" s="24"/>
      <c r="Y34" s="24"/>
      <c r="Z34" s="24"/>
      <c r="AA34" s="24"/>
      <c r="AB34" s="159"/>
      <c r="AC34" s="159"/>
      <c r="AD34" s="159"/>
      <c r="AE34" s="24"/>
      <c r="AL34" s="24"/>
      <c r="AM34" s="24"/>
      <c r="AN34" s="24"/>
      <c r="AO34" s="24"/>
      <c r="AR34" s="77"/>
      <c r="AS34" s="4"/>
    </row>
    <row r="35" spans="1:45" s="76" customFormat="1" ht="14.45" customHeight="1" thickTop="1">
      <c r="B35" s="173"/>
      <c r="C35" s="174"/>
      <c r="D35" s="175"/>
      <c r="E35" s="175"/>
      <c r="F35" s="175"/>
      <c r="G35" s="175"/>
      <c r="H35" s="175"/>
      <c r="I35" s="175"/>
      <c r="J35" s="176"/>
      <c r="K35" s="176"/>
      <c r="L35" s="176"/>
      <c r="M35" s="176"/>
      <c r="N35" s="176"/>
      <c r="O35" s="177"/>
      <c r="P35" s="173"/>
      <c r="Q35" s="174"/>
      <c r="R35" s="231"/>
      <c r="S35" s="231"/>
      <c r="T35" s="231"/>
      <c r="U35" s="231"/>
      <c r="V35" s="231"/>
      <c r="W35" s="231"/>
      <c r="X35" s="176"/>
      <c r="Y35" s="176"/>
      <c r="Z35" s="176"/>
      <c r="AA35" s="176"/>
      <c r="AB35" s="176"/>
      <c r="AC35" s="176"/>
      <c r="AD35" s="177"/>
      <c r="AE35" s="173"/>
      <c r="AF35" s="174"/>
      <c r="AG35" s="231"/>
      <c r="AH35" s="231"/>
      <c r="AI35" s="231"/>
      <c r="AJ35" s="231"/>
      <c r="AK35" s="231"/>
      <c r="AL35" s="231"/>
      <c r="AM35" s="176"/>
      <c r="AN35" s="176"/>
      <c r="AO35" s="176"/>
      <c r="AP35" s="176"/>
      <c r="AQ35" s="176"/>
      <c r="AR35" s="177"/>
      <c r="AS35" s="4"/>
    </row>
    <row r="36" spans="1:45" s="76" customFormat="1" ht="14.45" customHeight="1">
      <c r="B36" s="178"/>
      <c r="C36" s="7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179"/>
      <c r="P36" s="178"/>
      <c r="Q36" s="74"/>
      <c r="R36" s="232"/>
      <c r="S36" s="232"/>
      <c r="T36" s="232"/>
      <c r="U36" s="232"/>
      <c r="V36" s="232"/>
      <c r="W36" s="232"/>
      <c r="X36" s="4"/>
      <c r="Y36" s="4"/>
      <c r="Z36" s="4"/>
      <c r="AA36" s="4"/>
      <c r="AB36" s="4"/>
      <c r="AC36" s="4"/>
      <c r="AD36" s="179"/>
      <c r="AE36" s="178"/>
      <c r="AF36" s="74"/>
      <c r="AG36" s="232"/>
      <c r="AH36" s="232"/>
      <c r="AI36" s="232"/>
      <c r="AJ36" s="232"/>
      <c r="AK36" s="232"/>
      <c r="AL36" s="232"/>
      <c r="AM36" s="4"/>
      <c r="AN36" s="4"/>
      <c r="AO36" s="4"/>
      <c r="AP36" s="4"/>
      <c r="AQ36" s="4"/>
      <c r="AR36" s="179"/>
      <c r="AS36" s="4"/>
    </row>
    <row r="37" spans="1:45" s="76" customFormat="1" ht="14.45" customHeight="1">
      <c r="B37" s="178"/>
      <c r="C37" s="4"/>
      <c r="D37" s="4"/>
      <c r="E37" s="4"/>
      <c r="F37" s="4"/>
      <c r="G37" s="506"/>
      <c r="H37" s="506"/>
      <c r="I37" s="506"/>
      <c r="J37" s="4"/>
      <c r="K37" s="4"/>
      <c r="L37" s="4"/>
      <c r="M37" s="4"/>
      <c r="N37" s="4"/>
      <c r="O37" s="179"/>
      <c r="P37" s="178"/>
      <c r="Q37" s="4"/>
      <c r="R37" s="4"/>
      <c r="S37" s="4"/>
      <c r="T37" s="4"/>
      <c r="U37" s="506"/>
      <c r="V37" s="506"/>
      <c r="W37" s="506"/>
      <c r="X37" s="4"/>
      <c r="Y37" s="4"/>
      <c r="Z37" s="4"/>
      <c r="AA37" s="4"/>
      <c r="AB37" s="4"/>
      <c r="AC37" s="4"/>
      <c r="AD37" s="179"/>
      <c r="AE37" s="178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179"/>
      <c r="AS37" s="4"/>
    </row>
    <row r="38" spans="1:45" s="76" customFormat="1" ht="14.45" customHeight="1">
      <c r="B38" s="178"/>
      <c r="C38" s="4"/>
      <c r="D38" s="4"/>
      <c r="E38" s="4"/>
      <c r="F38" s="4"/>
      <c r="G38" s="506"/>
      <c r="H38" s="506"/>
      <c r="I38" s="506"/>
      <c r="J38" s="4"/>
      <c r="K38" s="4"/>
      <c r="L38" s="4"/>
      <c r="M38" s="4"/>
      <c r="N38" s="4"/>
      <c r="O38" s="179"/>
      <c r="P38" s="178"/>
      <c r="Q38" s="4"/>
      <c r="R38" s="4"/>
      <c r="S38" s="4"/>
      <c r="T38" s="4"/>
      <c r="U38" s="506"/>
      <c r="V38" s="506"/>
      <c r="W38" s="506"/>
      <c r="X38" s="4"/>
      <c r="Y38" s="4"/>
      <c r="Z38" s="4"/>
      <c r="AA38" s="4"/>
      <c r="AB38" s="4"/>
      <c r="AC38" s="4"/>
      <c r="AD38" s="179"/>
      <c r="AE38" s="178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179"/>
      <c r="AS38" s="4"/>
    </row>
    <row r="39" spans="1:45" s="76" customFormat="1" ht="14.45" customHeight="1">
      <c r="B39" s="17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179"/>
      <c r="P39" s="178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179"/>
      <c r="AE39" s="178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179"/>
      <c r="AS39" s="4"/>
    </row>
    <row r="40" spans="1:45" s="76" customFormat="1" ht="14.45" customHeight="1">
      <c r="B40" s="180"/>
      <c r="C40" s="4"/>
      <c r="D40" s="4"/>
      <c r="E40" s="4"/>
      <c r="F40" s="4"/>
      <c r="G40" s="4"/>
      <c r="H40" s="4"/>
      <c r="I40" s="24"/>
      <c r="J40" s="24"/>
      <c r="K40" s="24"/>
      <c r="L40" s="24"/>
      <c r="M40" s="507"/>
      <c r="N40" s="507"/>
      <c r="O40" s="508"/>
      <c r="P40" s="180"/>
      <c r="Q40" s="4"/>
      <c r="R40" s="4"/>
      <c r="S40" s="4"/>
      <c r="T40" s="4"/>
      <c r="U40" s="4"/>
      <c r="V40" s="4"/>
      <c r="W40" s="24"/>
      <c r="X40" s="24"/>
      <c r="Y40" s="24"/>
      <c r="Z40" s="24"/>
      <c r="AA40" s="24"/>
      <c r="AB40" s="507"/>
      <c r="AC40" s="507"/>
      <c r="AD40" s="508"/>
      <c r="AE40" s="180"/>
      <c r="AF40" s="4"/>
      <c r="AG40" s="4"/>
      <c r="AH40" s="4"/>
      <c r="AI40" s="4"/>
      <c r="AJ40" s="4"/>
      <c r="AK40" s="4"/>
      <c r="AL40" s="24"/>
      <c r="AM40" s="24"/>
      <c r="AN40" s="24"/>
      <c r="AO40" s="24"/>
      <c r="AP40" s="507"/>
      <c r="AQ40" s="507"/>
      <c r="AR40" s="508"/>
      <c r="AS40" s="24"/>
    </row>
    <row r="41" spans="1:45" s="76" customFormat="1" ht="14.45" customHeight="1">
      <c r="B41" s="180"/>
      <c r="C41" s="4"/>
      <c r="D41" s="4"/>
      <c r="E41" s="4"/>
      <c r="F41" s="4"/>
      <c r="G41" s="4"/>
      <c r="H41" s="4"/>
      <c r="I41" s="24"/>
      <c r="J41" s="24"/>
      <c r="K41" s="24"/>
      <c r="L41" s="24"/>
      <c r="M41" s="507"/>
      <c r="N41" s="507"/>
      <c r="O41" s="508"/>
      <c r="P41" s="180"/>
      <c r="Q41" s="4"/>
      <c r="R41" s="4"/>
      <c r="S41" s="4"/>
      <c r="T41" s="4"/>
      <c r="U41" s="4"/>
      <c r="V41" s="4"/>
      <c r="W41" s="24"/>
      <c r="X41" s="24"/>
      <c r="Y41" s="24"/>
      <c r="Z41" s="24"/>
      <c r="AA41" s="24"/>
      <c r="AB41" s="507"/>
      <c r="AC41" s="507"/>
      <c r="AD41" s="508"/>
      <c r="AE41" s="180"/>
      <c r="AF41" s="4"/>
      <c r="AG41" s="4"/>
      <c r="AH41" s="4"/>
      <c r="AI41" s="4"/>
      <c r="AJ41" s="4"/>
      <c r="AK41" s="4"/>
      <c r="AL41" s="24"/>
      <c r="AM41" s="24"/>
      <c r="AN41" s="24"/>
      <c r="AO41" s="24"/>
      <c r="AP41" s="507"/>
      <c r="AQ41" s="507"/>
      <c r="AR41" s="508"/>
      <c r="AS41" s="24"/>
    </row>
    <row r="42" spans="1:45" s="76" customFormat="1" ht="14.45" customHeight="1" thickBot="1">
      <c r="A42" s="4"/>
      <c r="B42" s="185"/>
      <c r="C42" s="186"/>
      <c r="D42" s="186"/>
      <c r="E42" s="186"/>
      <c r="F42" s="186"/>
      <c r="G42" s="186"/>
      <c r="H42" s="186"/>
      <c r="I42" s="186"/>
      <c r="J42" s="186"/>
      <c r="K42" s="186"/>
      <c r="L42" s="183"/>
      <c r="M42" s="183"/>
      <c r="N42" s="183"/>
      <c r="O42" s="184"/>
      <c r="P42" s="199"/>
      <c r="Q42" s="198"/>
      <c r="R42" s="198"/>
      <c r="S42" s="198"/>
      <c r="T42" s="198"/>
      <c r="U42" s="198"/>
      <c r="V42" s="186"/>
      <c r="W42" s="186"/>
      <c r="X42" s="186"/>
      <c r="Y42" s="186"/>
      <c r="Z42" s="186"/>
      <c r="AA42" s="190"/>
      <c r="AB42" s="190"/>
      <c r="AC42" s="190"/>
      <c r="AD42" s="200"/>
      <c r="AE42" s="201"/>
      <c r="AF42" s="194"/>
      <c r="AG42" s="194"/>
      <c r="AH42" s="194"/>
      <c r="AI42" s="194"/>
      <c r="AJ42" s="194"/>
      <c r="AK42" s="186"/>
      <c r="AL42" s="186"/>
      <c r="AM42" s="186"/>
      <c r="AN42" s="186"/>
      <c r="AO42" s="194"/>
      <c r="AP42" s="194"/>
      <c r="AQ42" s="202"/>
      <c r="AR42" s="184"/>
    </row>
    <row r="43" spans="1:45" s="76" customFormat="1" ht="14.45" customHeight="1" thickTop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5"/>
      <c r="AD43" s="6"/>
      <c r="AE43" s="4"/>
      <c r="AR43" s="77"/>
      <c r="AS43" s="4"/>
    </row>
    <row r="44" spans="1:45" s="76" customFormat="1" ht="14.4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6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5"/>
      <c r="AD44" s="6"/>
      <c r="AE44" s="4"/>
      <c r="AR44" s="77"/>
      <c r="AS44" s="4"/>
    </row>
    <row r="45" spans="1:45" s="76" customFormat="1" ht="14.4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6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5"/>
      <c r="AD45" s="6"/>
      <c r="AE45" s="4"/>
      <c r="AR45" s="77"/>
      <c r="AS45" s="4"/>
    </row>
    <row r="46" spans="1:45" s="76" customFormat="1" ht="14.4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6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5"/>
      <c r="AD46" s="6"/>
      <c r="AE46" s="4"/>
      <c r="AR46" s="77"/>
      <c r="AS46" s="4"/>
    </row>
    <row r="47" spans="1:45" s="76" customFormat="1" ht="14.4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6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5"/>
      <c r="AD47" s="6"/>
      <c r="AE47" s="4"/>
      <c r="AR47" s="77"/>
      <c r="AS47" s="4"/>
    </row>
    <row r="48" spans="1:45" s="76" customFormat="1" ht="14.4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6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5"/>
      <c r="AD48" s="6"/>
      <c r="AE48" s="4"/>
      <c r="AR48" s="77"/>
      <c r="AS48" s="4"/>
    </row>
    <row r="49" spans="1:45" s="76" customFormat="1" ht="14.4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6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"/>
      <c r="AD49" s="6"/>
      <c r="AE49" s="4"/>
      <c r="AR49" s="77"/>
      <c r="AS49" s="4"/>
    </row>
    <row r="50" spans="1:45" s="76" customFormat="1" ht="14.4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5"/>
      <c r="AD50" s="6"/>
      <c r="AE50" s="4"/>
      <c r="AR50" s="77"/>
      <c r="AS50" s="4"/>
    </row>
    <row r="51" spans="1:45" s="76" customFormat="1" ht="14.4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6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5"/>
      <c r="AD51" s="6"/>
      <c r="AE51" s="4"/>
      <c r="AR51" s="77"/>
      <c r="AS51" s="4"/>
    </row>
    <row r="52" spans="1:45" s="76" customFormat="1" ht="14.4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6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5"/>
      <c r="AD52" s="6"/>
      <c r="AE52" s="4"/>
      <c r="AR52" s="77"/>
      <c r="AS52" s="4"/>
    </row>
  </sheetData>
  <sheetProtection password="DD97" sheet="1"/>
  <mergeCells count="59">
    <mergeCell ref="G21:I21"/>
    <mergeCell ref="U17:W17"/>
    <mergeCell ref="U18:W18"/>
    <mergeCell ref="U20:W20"/>
    <mergeCell ref="U21:W21"/>
    <mergeCell ref="M21:O22"/>
    <mergeCell ref="G17:I17"/>
    <mergeCell ref="G18:I18"/>
    <mergeCell ref="G20:I20"/>
    <mergeCell ref="G25:I25"/>
    <mergeCell ref="G26:I26"/>
    <mergeCell ref="G28:I28"/>
    <mergeCell ref="G29:I29"/>
    <mergeCell ref="U28:W28"/>
    <mergeCell ref="U29:W29"/>
    <mergeCell ref="M29:O30"/>
    <mergeCell ref="AP40:AR41"/>
    <mergeCell ref="G37:I37"/>
    <mergeCell ref="U37:W37"/>
    <mergeCell ref="G38:I38"/>
    <mergeCell ref="U38:W38"/>
    <mergeCell ref="M40:O41"/>
    <mergeCell ref="AB40:AD41"/>
    <mergeCell ref="AP29:AR30"/>
    <mergeCell ref="AJ29:AL29"/>
    <mergeCell ref="U25:W25"/>
    <mergeCell ref="AJ25:AL25"/>
    <mergeCell ref="U26:W26"/>
    <mergeCell ref="AJ26:AL26"/>
    <mergeCell ref="AB29:AD30"/>
    <mergeCell ref="AB21:AD22"/>
    <mergeCell ref="AJ21:AL21"/>
    <mergeCell ref="AJ28:AL28"/>
    <mergeCell ref="AP21:AR22"/>
    <mergeCell ref="AJ17:AL17"/>
    <mergeCell ref="AJ18:AL18"/>
    <mergeCell ref="AJ20:AL20"/>
    <mergeCell ref="AP13:AR14"/>
    <mergeCell ref="G10:I10"/>
    <mergeCell ref="U10:W10"/>
    <mergeCell ref="AJ10:AL10"/>
    <mergeCell ref="M13:O14"/>
    <mergeCell ref="G12:I12"/>
    <mergeCell ref="G13:I13"/>
    <mergeCell ref="U12:W12"/>
    <mergeCell ref="U13:W13"/>
    <mergeCell ref="AJ12:AL12"/>
    <mergeCell ref="AJ13:AL13"/>
    <mergeCell ref="AB13:AD14"/>
    <mergeCell ref="AO2:AR2"/>
    <mergeCell ref="G9:I9"/>
    <mergeCell ref="U9:W9"/>
    <mergeCell ref="AJ9:AL9"/>
    <mergeCell ref="B2:E2"/>
    <mergeCell ref="G2:K2"/>
    <mergeCell ref="O2:S2"/>
    <mergeCell ref="U2:Y2"/>
    <mergeCell ref="AA2:AE2"/>
    <mergeCell ref="AI2:AM2"/>
  </mergeCells>
  <conditionalFormatting sqref="M40:O41 AP40:AR41 AA42:AC42 M13:O14 AB13:AD14 AP13:AR14 AP29:AR31 AB29:AD41 AP21:AR23 AB21:AD23">
    <cfRule type="cellIs" dxfId="983" priority="117" stopIfTrue="1" operator="greaterThan">
      <formula>0</formula>
    </cfRule>
  </conditionalFormatting>
  <conditionalFormatting sqref="M21:O22">
    <cfRule type="cellIs" dxfId="982" priority="2" stopIfTrue="1" operator="greaterThan">
      <formula>0</formula>
    </cfRule>
  </conditionalFormatting>
  <conditionalFormatting sqref="M29:O30">
    <cfRule type="cellIs" dxfId="981" priority="1" stopIfTrue="1" operator="greaterThan">
      <formula>0</formula>
    </cfRule>
  </conditionalFormatting>
  <hyperlinks>
    <hyperlink ref="G2:K2" location="FORM!A1" display="FORM!A1" xr:uid="{00000000-0004-0000-0300-000000000000}"/>
    <hyperlink ref="B2:E2" location="MENU!A1" display="MENU!A1" xr:uid="{00000000-0004-0000-0300-000001000000}"/>
    <hyperlink ref="AI2:AM2" location="OBJ!A1" display="OBJ!A1" xr:uid="{00000000-0004-0000-0300-000002000000}"/>
    <hyperlink ref="AO2:AR2" location="OBJ!A1" display="OBJ!A1" xr:uid="{00000000-0004-0000-0300-000003000000}"/>
    <hyperlink ref="O2:S2" location="MENU!A1" display="MENU!A1" xr:uid="{00000000-0004-0000-0300-000004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tabColor theme="9" tint="-0.249977111117893"/>
  </sheetPr>
  <dimension ref="A1:BK100"/>
  <sheetViews>
    <sheetView showGridLines="0" showRowColHeaders="0" zoomScale="95" zoomScaleNormal="95" workbookViewId="0">
      <selection activeCell="O2" sqref="O2:S2"/>
    </sheetView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77"</f>
        <v>Zásuvka AVANTECH YOU  77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SUM(BB5:BB935)</f>
        <v>#N/A</v>
      </c>
      <c r="BD4" s="94" t="s">
        <v>34</v>
      </c>
      <c r="BK4" s="322" t="e">
        <f>SUM(BK5:BK928)</f>
        <v>#N/A</v>
      </c>
    </row>
    <row r="5" spans="1:63" ht="14.45" customHeight="1">
      <c r="AU5" s="319">
        <f>OBJ!B23</f>
        <v>9353331</v>
      </c>
      <c r="AV5" s="21" t="str">
        <f>VLOOKUP(AU5,CENY!$B$11:$G$1054,2,FALSE)</f>
        <v>AvanY-sólo oceľ.boky-NW 77/400mm/strieb.</v>
      </c>
      <c r="AW5" s="22">
        <f>VLOOKUP(AU5,CENY!$B$11:$G$1054,3,FALSE)</f>
        <v>1</v>
      </c>
      <c r="AX5" s="362">
        <v>6</v>
      </c>
      <c r="AY5" s="23">
        <f>U20+U28+U30</f>
        <v>0</v>
      </c>
      <c r="AZ5" s="326">
        <f>IF(AY5="","",IF($AW$4=1,AY5,0))</f>
        <v>0</v>
      </c>
      <c r="BA5" s="95">
        <f>VLOOKUP(AU5,CENY!$B$11:$M$2025,12,FALSE)</f>
        <v>27.198930000000001</v>
      </c>
      <c r="BB5" s="95">
        <f t="shared" ref="BB5:BB37" si="0">IF(BA5="","",BA5*AY5)</f>
        <v>0</v>
      </c>
      <c r="BD5" s="319">
        <f>OBJ!B29</f>
        <v>9255000</v>
      </c>
      <c r="BE5" s="21" t="str">
        <f>VLOOKUP(BD5,CENY!$B$11:$G$1054,2,FALSE)</f>
        <v>AvanY-bok ľavý /v77/h400/ strieborná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10.49362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375</v>
      </c>
      <c r="G6" s="566"/>
      <c r="H6" s="566"/>
      <c r="I6" s="566"/>
      <c r="J6" s="566"/>
      <c r="K6" s="566"/>
      <c r="AU6" s="319">
        <f>OBJ!B24</f>
        <v>9353332</v>
      </c>
      <c r="AV6" s="21" t="str">
        <f>VLOOKUP(AU6,CENY!$B$11:$G$1054,2,FALSE)</f>
        <v>AvanY-sólo oceľ.boky-NW 77/450mm/strieb.</v>
      </c>
      <c r="AW6" s="22">
        <f>VLOOKUP(AU6,CENY!$B$11:$G$1054,3,FALSE)</f>
        <v>1</v>
      </c>
      <c r="AX6" s="362">
        <v>6</v>
      </c>
      <c r="AY6" s="23">
        <f>W20+W22+W28+W30</f>
        <v>0</v>
      </c>
      <c r="AZ6" s="326">
        <f t="shared" ref="AZ6:AZ69" si="1">IF(AY6="","",IF($AW$4=1,AY6,0))</f>
        <v>0</v>
      </c>
      <c r="BA6" s="95">
        <f>VLOOKUP(AU6,CENY!$B$11:$M$2025,12,FALSE)</f>
        <v>26.252420000000001</v>
      </c>
      <c r="BB6" s="95">
        <f t="shared" si="0"/>
        <v>0</v>
      </c>
      <c r="BD6" s="319">
        <f>OBJ!B30</f>
        <v>9255001</v>
      </c>
      <c r="BE6" s="21" t="str">
        <f>VLOOKUP(BD6,CENY!$B$11:$G$1054,2,FALSE)</f>
        <v>AvanY-bok pravý /v77/h400/ strieborná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10.49362</v>
      </c>
      <c r="BK6" s="95">
        <f t="shared" ref="BK6:BK36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OBJ!B25</f>
        <v>9353333</v>
      </c>
      <c r="AV7" s="21" t="str">
        <f>VLOOKUP(AU7,CENY!$B$11:$G$1054,2,FALSE)</f>
        <v>AvanY-sólo oceľ.boky-NW 77/500mm/strieb.</v>
      </c>
      <c r="AW7" s="22">
        <f>VLOOKUP(AU7,CENY!$B$11:$G$1054,3,FALSE)</f>
        <v>1</v>
      </c>
      <c r="AX7" s="362">
        <v>8</v>
      </c>
      <c r="AY7" s="23">
        <f>Y20+Y22+Y28+Y30</f>
        <v>0</v>
      </c>
      <c r="AZ7" s="326">
        <f t="shared" si="1"/>
        <v>0</v>
      </c>
      <c r="BA7" s="95">
        <f>VLOOKUP(AU7,CENY!$B$11:$M$2025,12,FALSE)</f>
        <v>26.6004</v>
      </c>
      <c r="BB7" s="95">
        <f t="shared" si="0"/>
        <v>0</v>
      </c>
      <c r="BD7" s="319">
        <f>OBJ!B31</f>
        <v>9255002</v>
      </c>
      <c r="BE7" s="21" t="str">
        <f>VLOOKUP(BD7,CENY!$B$11:$G$1054,2,FALSE)</f>
        <v>AvanY-bok ľavý /v77/h450/ strieborná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10.680099999999999</v>
      </c>
      <c r="BK7" s="95">
        <f t="shared" si="3"/>
        <v>0</v>
      </c>
    </row>
    <row r="8" spans="1:63" ht="14.45" customHeigh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OBJ!B26</f>
        <v>9353334</v>
      </c>
      <c r="AV8" s="21" t="str">
        <f>VLOOKUP(AU8,CENY!$B$11:$G$1054,2,FALSE)</f>
        <v>AvanY-sólo oceľ.boky-NW 77/550mm/strieb.</v>
      </c>
      <c r="AW8" s="22">
        <f>VLOOKUP(AU8,CENY!$B$11:$G$1054,3,FALSE)</f>
        <v>1</v>
      </c>
      <c r="AX8" s="362">
        <v>8</v>
      </c>
      <c r="AY8" s="23">
        <f>AA20+AA22+AA28+AA30</f>
        <v>0</v>
      </c>
      <c r="AZ8" s="326">
        <f t="shared" si="1"/>
        <v>0</v>
      </c>
      <c r="BA8" s="95">
        <f>VLOOKUP(AU8,CENY!$B$11:$M$2025,12,FALSE)</f>
        <v>28.296320000000001</v>
      </c>
      <c r="BB8" s="95">
        <f t="shared" si="0"/>
        <v>0</v>
      </c>
      <c r="BD8" s="319">
        <f>OBJ!B32</f>
        <v>9255003</v>
      </c>
      <c r="BE8" s="21" t="str">
        <f>VLOOKUP(BD8,CENY!$B$11:$G$1054,2,FALSE)</f>
        <v>AvanY-bok pravý /v77/h450/ strieborná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10.680099999999999</v>
      </c>
      <c r="BK8" s="95">
        <f t="shared" si="3"/>
        <v>0</v>
      </c>
    </row>
    <row r="9" spans="1:63" ht="14.45" customHeight="1">
      <c r="B9" s="552"/>
      <c r="C9" s="560"/>
      <c r="D9" s="560"/>
      <c r="E9" s="561"/>
      <c r="F9" s="562"/>
      <c r="G9" s="563"/>
      <c r="H9" s="563"/>
      <c r="I9" s="563"/>
      <c r="J9" s="563"/>
      <c r="K9" s="564"/>
      <c r="AU9" s="319"/>
      <c r="AV9" s="21"/>
      <c r="AW9" s="22"/>
      <c r="AX9" s="22"/>
      <c r="AY9" s="23"/>
      <c r="AZ9" s="326" t="str">
        <f t="shared" si="1"/>
        <v/>
      </c>
      <c r="BA9" s="95"/>
      <c r="BB9" s="95" t="str">
        <f t="shared" si="0"/>
        <v/>
      </c>
      <c r="BD9" s="319">
        <f>OBJ!B33</f>
        <v>9255004</v>
      </c>
      <c r="BE9" s="21" t="str">
        <f>VLOOKUP(BD9,CENY!$B$11:$G$1054,2,FALSE)</f>
        <v>AvanY-bok ľavý /v77/h500/ strieborná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10.86618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U10" s="319">
        <f>OBJ!B74</f>
        <v>9347505</v>
      </c>
      <c r="AV10" s="21" t="str">
        <f>VLOOKUP(AU10,CENY!$B$11:$G$1054,2,FALSE)</f>
        <v>AvanY-design ALprofil Hybrid na bok 400/ strieb.</v>
      </c>
      <c r="AW10" s="22">
        <f>VLOOKUP(AU10,CENY!$B$11:$G$1054,3,FALSE)</f>
        <v>200</v>
      </c>
      <c r="AX10" s="22"/>
      <c r="AY10" s="23">
        <f>IF(FORM!AM18=FORM!AU16,0,2*(U20+U28+U30))</f>
        <v>0</v>
      </c>
      <c r="AZ10" s="326">
        <f t="shared" si="1"/>
        <v>0</v>
      </c>
      <c r="BA10" s="95">
        <f>VLOOKUP(AU10,CENY!$B$11:$M$2025,12,FALSE)</f>
        <v>0.99777000000000005</v>
      </c>
      <c r="BB10" s="95">
        <f t="shared" si="0"/>
        <v>0</v>
      </c>
      <c r="BD10" s="319">
        <f>OBJ!B34</f>
        <v>9255005</v>
      </c>
      <c r="BE10" s="21" t="str">
        <f>VLOOKUP(BD10,CENY!$B$11:$G$1054,2,FALSE)</f>
        <v>AvanY-bok pravý /v77/h500/ strieborná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10.86618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OBJ!B75</f>
        <v>9347506</v>
      </c>
      <c r="AV11" s="21" t="str">
        <f>VLOOKUP(AU11,CENY!$B$11:$G$1054,2,FALSE)</f>
        <v>AvanY-design ALprofil Hybrid na bok 450/ strieb.</v>
      </c>
      <c r="AW11" s="22">
        <f>VLOOKUP(AU11,CENY!$B$11:$G$1054,3,FALSE)</f>
        <v>200</v>
      </c>
      <c r="AX11" s="22"/>
      <c r="AY11" s="23">
        <f>IF(FORM!AM18=FORM!AU16,0,2*(W20+W22+W28+W30))</f>
        <v>0</v>
      </c>
      <c r="AZ11" s="326">
        <f t="shared" si="1"/>
        <v>0</v>
      </c>
      <c r="BA11" s="95">
        <f>VLOOKUP(AU11,CENY!$B$11:$M$2025,12,FALSE)</f>
        <v>1.01556</v>
      </c>
      <c r="BB11" s="95">
        <f t="shared" si="0"/>
        <v>0</v>
      </c>
      <c r="BD11" s="319">
        <f>OBJ!B35</f>
        <v>9255006</v>
      </c>
      <c r="BE11" s="21" t="str">
        <f>VLOOKUP(BD11,CENY!$B$11:$G$1054,2,FALSE)</f>
        <v>AvanY-bok ľavý /v77/h550/ strieborná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11.052530000000001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OBJ!B76</f>
        <v>9347507</v>
      </c>
      <c r="AV12" s="21" t="str">
        <f>VLOOKUP(AU12,CENY!$B$11:$G$1054,2,FALSE)</f>
        <v>AvanY-design ALprofil Hybrid na bok 500/ strieb.</v>
      </c>
      <c r="AW12" s="22">
        <f>VLOOKUP(AU12,CENY!$B$11:$G$1054,3,FALSE)</f>
        <v>200</v>
      </c>
      <c r="AX12" s="22"/>
      <c r="AY12" s="23">
        <f>IF(FORM!AM18=FORM!AU16,0,2*(Y20+Y22+Y28+Y30))</f>
        <v>0</v>
      </c>
      <c r="AZ12" s="326">
        <f t="shared" si="1"/>
        <v>0</v>
      </c>
      <c r="BA12" s="95">
        <f>VLOOKUP(AU12,CENY!$B$11:$M$2025,12,FALSE)</f>
        <v>1.0332399999999999</v>
      </c>
      <c r="BB12" s="95">
        <f t="shared" si="0"/>
        <v>0</v>
      </c>
      <c r="BD12" s="319">
        <f>OBJ!B36</f>
        <v>9255007</v>
      </c>
      <c r="BE12" s="21" t="str">
        <f>VLOOKUP(BD12,CENY!$B$11:$G$1054,2,FALSE)</f>
        <v>AvanY-bok pravý /v77/h550/ strieborná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11.052530000000001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OBJ!B77</f>
        <v>9347508</v>
      </c>
      <c r="AV13" s="21" t="str">
        <f>VLOOKUP(AU13,CENY!$B$11:$G$1054,2,FALSE)</f>
        <v>AvanY-design ALprofil Hybrid na bok 550/ strieb.</v>
      </c>
      <c r="AW13" s="22">
        <f>VLOOKUP(AU13,CENY!$B$11:$G$1054,3,FALSE)</f>
        <v>200</v>
      </c>
      <c r="AX13" s="22"/>
      <c r="AY13" s="23">
        <f>IF(FORM!AM18=FORM!AU16,0,2*(AA20+AA22+AA28+AA30))</f>
        <v>0</v>
      </c>
      <c r="AZ13" s="326">
        <f t="shared" si="1"/>
        <v>0</v>
      </c>
      <c r="BA13" s="95">
        <f>VLOOKUP(AU13,CENY!$B$11:$M$2025,12,FALSE)</f>
        <v>1.0508599999999999</v>
      </c>
      <c r="BB13" s="95">
        <f t="shared" si="0"/>
        <v>0</v>
      </c>
      <c r="BD13" s="319"/>
      <c r="BE13" s="21"/>
      <c r="BF13" s="22"/>
      <c r="BG13" s="22"/>
      <c r="BH13" s="23"/>
      <c r="BI13" s="326" t="str">
        <f t="shared" si="2"/>
        <v/>
      </c>
      <c r="BJ13" s="95"/>
      <c r="BK13" s="95" t="str">
        <f t="shared" si="3"/>
        <v/>
      </c>
    </row>
    <row r="14" spans="1:63" ht="14.45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OBJ!B37</f>
        <v>9255832</v>
      </c>
      <c r="BE14" s="21" t="str">
        <f>VLOOKUP(BD14,CENY!$B$11:$G$1054,2,FALSE)</f>
        <v>AvanY-príchytka čela k naskrutk./ v77</v>
      </c>
      <c r="BF14" s="22">
        <f>VLOOKUP(BD14,CENY!$B$11:$G$1054,3,FALSE)</f>
        <v>100</v>
      </c>
      <c r="BG14" s="22"/>
      <c r="BH14" s="23">
        <f>2*(SUM(O19:T19)+SUM(O20:AD20)+SUM(W22:AF22)+SUM(O27:T27)+SUM(O28:AD28)+SUM(O30:AD30))</f>
        <v>0</v>
      </c>
      <c r="BI14" s="326">
        <f t="shared" si="2"/>
        <v>0</v>
      </c>
      <c r="BJ14" s="95">
        <f>VLOOKUP(BD14,CENY!$B$11:$M$2025,12,FALSE)</f>
        <v>0.81357999999999997</v>
      </c>
      <c r="BK14" s="95">
        <f t="shared" si="3"/>
        <v>0</v>
      </c>
    </row>
    <row r="15" spans="1:63" ht="14.45" customHeight="1">
      <c r="AU15" s="319">
        <f>OBJ!B246</f>
        <v>9318190</v>
      </c>
      <c r="AV15" s="21" t="str">
        <f>VLOOKUP(AU15,CENY!$B$11:$G$1054,2,FALSE)</f>
        <v>Actro You(L) 400/SiSy 40kg; EB21</v>
      </c>
      <c r="AW15" s="22">
        <f>VLOOKUP(AU15,CENY!$B$11:$G$1054,3,FALSE)</f>
        <v>1</v>
      </c>
      <c r="AX15" s="362">
        <v>8</v>
      </c>
      <c r="AY15" s="23">
        <f>U20</f>
        <v>0</v>
      </c>
      <c r="AZ15" s="326">
        <f t="shared" si="1"/>
        <v>0</v>
      </c>
      <c r="BA15" s="95">
        <f>VLOOKUP(AU15,CENY!$B$11:$M$2025,12,FALSE)</f>
        <v>31.976389999999999</v>
      </c>
      <c r="BB15" s="95">
        <f t="shared" si="0"/>
        <v>0</v>
      </c>
      <c r="BD15" s="319">
        <f>OBJ!B27</f>
        <v>79665</v>
      </c>
      <c r="BE15" s="21" t="str">
        <f>VLOOKUP(BD15,CENY!$B$11:$G$1054,2,FALSE)</f>
        <v>Univerzálny uholník  31x31mm</v>
      </c>
      <c r="BF15" s="22">
        <f>VLOOKUP(BD15,CENY!$B$11:$G$1054,3,FALSE)</f>
        <v>100</v>
      </c>
      <c r="BG15" s="22"/>
      <c r="BH15" s="23">
        <f>2*(SUM(O19:T19)+SUM(O20:AD20)+SUM(W22:AF22)+SUM(O27:T27)+SUM(O28:AD28)+SUM(O30:AD30))</f>
        <v>0</v>
      </c>
      <c r="BI15" s="326">
        <f t="shared" si="2"/>
        <v>0</v>
      </c>
      <c r="BJ15" s="95">
        <f>VLOOKUP(BD15,CENY!$B$11:$M$2025,12,FALSE)</f>
        <v>0.38266</v>
      </c>
      <c r="BK15" s="95">
        <f t="shared" si="3"/>
        <v>0</v>
      </c>
    </row>
    <row r="16" spans="1:63" ht="14.45" customHeight="1">
      <c r="AU16" s="319">
        <f>OBJ!B247</f>
        <v>9318191</v>
      </c>
      <c r="AV16" s="21" t="str">
        <f>VLOOKUP(AU16,CENY!$B$11:$G$1054,2,FALSE)</f>
        <v>Actro You(L) 450/SiSy 40kg; EB21</v>
      </c>
      <c r="AW16" s="22">
        <f>VLOOKUP(AU16,CENY!$B$11:$G$1054,3,FALSE)</f>
        <v>1</v>
      </c>
      <c r="AX16" s="362">
        <v>10</v>
      </c>
      <c r="AY16" s="23">
        <f>W20</f>
        <v>0</v>
      </c>
      <c r="AZ16" s="326">
        <f t="shared" si="1"/>
        <v>0</v>
      </c>
      <c r="BA16" s="95">
        <f>VLOOKUP(AU16,CENY!$B$11:$M$2025,12,FALSE)</f>
        <v>32.324420000000003</v>
      </c>
      <c r="BB16" s="95">
        <f t="shared" si="0"/>
        <v>0</v>
      </c>
      <c r="BD16" s="20"/>
      <c r="BE16" s="21"/>
      <c r="BF16" s="22"/>
      <c r="BG16" s="22"/>
      <c r="BH16" s="23"/>
      <c r="BI16" s="326" t="str">
        <f t="shared" si="2"/>
        <v/>
      </c>
      <c r="BJ16" s="95"/>
      <c r="BK16" s="95" t="str">
        <f t="shared" si="3"/>
        <v/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I17" s="542" t="str">
        <f>verze!E198</f>
        <v>P2O Silent pre Actro</v>
      </c>
      <c r="AJ17" s="543"/>
      <c r="AK17" s="543"/>
      <c r="AL17" s="543"/>
      <c r="AM17" s="543"/>
      <c r="AN17" s="543"/>
      <c r="AO17" s="543"/>
      <c r="AU17" s="319">
        <f>OBJ!B248</f>
        <v>9318192</v>
      </c>
      <c r="AV17" s="21" t="str">
        <f>VLOOKUP(AU17,CENY!$B$11:$G$1054,2,FALSE)</f>
        <v>Actro You(L) 500/SiSy 40kg; EB21</v>
      </c>
      <c r="AW17" s="22">
        <f>VLOOKUP(AU17,CENY!$B$11:$G$1054,3,FALSE)</f>
        <v>1</v>
      </c>
      <c r="AX17" s="362">
        <v>10</v>
      </c>
      <c r="AY17" s="23">
        <f>Y20</f>
        <v>0</v>
      </c>
      <c r="AZ17" s="326">
        <f t="shared" si="1"/>
        <v>0</v>
      </c>
      <c r="BA17" s="95">
        <f>VLOOKUP(AU17,CENY!$B$11:$M$2025,12,FALSE)</f>
        <v>6.5957299999999996</v>
      </c>
      <c r="BB17" s="95">
        <f t="shared" si="0"/>
        <v>0</v>
      </c>
      <c r="BD17" s="319">
        <f>OBJ!B74</f>
        <v>9347505</v>
      </c>
      <c r="BE17" s="21" t="str">
        <f>VLOOKUP(BD17,CENY!$B$11:$G$1054,2,FALSE)</f>
        <v>AvanY-design ALprofil Hybrid na bok 400/ strieb.</v>
      </c>
      <c r="BF17" s="22">
        <f>VLOOKUP(BD17,CENY!$B$11:$G$1054,3,FALSE)</f>
        <v>200</v>
      </c>
      <c r="BG17" s="22"/>
      <c r="BH17" s="23">
        <f>2*(U20+U28+U30)</f>
        <v>0</v>
      </c>
      <c r="BI17" s="326">
        <f t="shared" si="2"/>
        <v>0</v>
      </c>
      <c r="BJ17" s="95">
        <f>VLOOKUP(BD17,CENY!$B$11:$M$2025,12,FALSE)</f>
        <v>0.99777000000000005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I18" s="545" t="s">
        <v>299</v>
      </c>
      <c r="AJ18" s="545"/>
      <c r="AK18" s="545"/>
      <c r="AL18" s="545"/>
      <c r="AM18" s="545"/>
      <c r="AN18" s="545"/>
      <c r="AO18" s="545"/>
      <c r="AU18" s="319">
        <f>OBJ!B249</f>
        <v>9318194</v>
      </c>
      <c r="AV18" s="21" t="str">
        <f>VLOOKUP(AU18,CENY!$B$11:$G$1054,2,FALSE)</f>
        <v>Actro You(L) 550/SiSy 40kg; EB21</v>
      </c>
      <c r="AW18" s="22">
        <f>VLOOKUP(AU18,CENY!$B$11:$G$1054,3,FALSE)</f>
        <v>1</v>
      </c>
      <c r="AX18" s="362">
        <v>10</v>
      </c>
      <c r="AY18" s="23">
        <f>AA20</f>
        <v>0</v>
      </c>
      <c r="AZ18" s="326">
        <f t="shared" si="1"/>
        <v>0</v>
      </c>
      <c r="BA18" s="95">
        <f>VLOOKUP(AU18,CENY!$B$11:$M$2025,12,FALSE)</f>
        <v>6.9728000000000003</v>
      </c>
      <c r="BB18" s="95">
        <f t="shared" si="0"/>
        <v>0</v>
      </c>
      <c r="BD18" s="319">
        <f>OBJ!B75</f>
        <v>9347506</v>
      </c>
      <c r="BE18" s="21" t="str">
        <f>VLOOKUP(BD18,CENY!$B$11:$G$1054,2,FALSE)</f>
        <v>AvanY-design ALprofil Hybrid na bok 450/ strieb.</v>
      </c>
      <c r="BF18" s="22">
        <f>VLOOKUP(BD18,CENY!$B$11:$G$1054,3,FALSE)</f>
        <v>200</v>
      </c>
      <c r="BG18" s="22"/>
      <c r="BH18" s="23">
        <f>2*(W20+W22+W28+W30)</f>
        <v>0</v>
      </c>
      <c r="BI18" s="326">
        <f t="shared" si="2"/>
        <v>0</v>
      </c>
      <c r="BJ18" s="95">
        <f>VLOOKUP(BD18,CENY!$B$11:$M$2025,12,FALSE)</f>
        <v>1.01556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280"/>
      <c r="P19" s="281"/>
      <c r="Q19" s="280"/>
      <c r="R19" s="281"/>
      <c r="S19" s="280"/>
      <c r="T19" s="281"/>
      <c r="U19" s="283"/>
      <c r="V19" s="284"/>
      <c r="W19" s="283"/>
      <c r="X19" s="284"/>
      <c r="Y19" s="283"/>
      <c r="Z19" s="284"/>
      <c r="AA19" s="283"/>
      <c r="AB19" s="284"/>
      <c r="AC19" s="280"/>
      <c r="AD19" s="281"/>
      <c r="AE19" s="280"/>
      <c r="AF19" s="281"/>
      <c r="AI19" s="289"/>
      <c r="AJ19" s="290"/>
      <c r="AK19" s="289"/>
      <c r="AL19" s="290"/>
      <c r="AM19" s="291" t="s">
        <v>295</v>
      </c>
      <c r="AN19" s="536"/>
      <c r="AO19" s="536"/>
      <c r="AU19" s="319"/>
      <c r="AV19" s="21"/>
      <c r="AW19" s="22"/>
      <c r="AX19" s="22"/>
      <c r="AY19" s="23"/>
      <c r="AZ19" s="326" t="str">
        <f t="shared" si="1"/>
        <v/>
      </c>
      <c r="BA19" s="95"/>
      <c r="BB19" s="95" t="str">
        <f t="shared" si="0"/>
        <v/>
      </c>
      <c r="BD19" s="319">
        <f>OBJ!B76</f>
        <v>9347507</v>
      </c>
      <c r="BE19" s="21" t="str">
        <f>VLOOKUP(BD19,CENY!$B$11:$G$1054,2,FALSE)</f>
        <v>AvanY-design ALprofil Hybrid na bok 500/ strieb.</v>
      </c>
      <c r="BF19" s="22">
        <f>VLOOKUP(BD19,CENY!$B$11:$G$1054,3,FALSE)</f>
        <v>200</v>
      </c>
      <c r="BG19" s="22"/>
      <c r="BH19" s="23">
        <f>2*(Y20+Y22+Y28+Y30)</f>
        <v>0</v>
      </c>
      <c r="BI19" s="326">
        <f t="shared" si="2"/>
        <v>0</v>
      </c>
      <c r="BJ19" s="95">
        <f>VLOOKUP(BD19,CENY!$B$11:$M$2025,12,FALSE)</f>
        <v>1.0332399999999999</v>
      </c>
      <c r="BK19" s="95">
        <f t="shared" si="3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20"/>
      <c r="P20" s="521"/>
      <c r="Q20" s="520"/>
      <c r="R20" s="521"/>
      <c r="S20" s="520"/>
      <c r="T20" s="521"/>
      <c r="U20" s="518"/>
      <c r="V20" s="519"/>
      <c r="W20" s="518"/>
      <c r="X20" s="519"/>
      <c r="Y20" s="518"/>
      <c r="Z20" s="519"/>
      <c r="AA20" s="518"/>
      <c r="AB20" s="519"/>
      <c r="AC20" s="520"/>
      <c r="AD20" s="521"/>
      <c r="AE20" s="520"/>
      <c r="AF20" s="521"/>
      <c r="AI20" s="287"/>
      <c r="AJ20" s="288"/>
      <c r="AK20" s="287"/>
      <c r="AL20" s="288"/>
      <c r="AM20" s="286" t="s">
        <v>294</v>
      </c>
      <c r="AN20" s="522"/>
      <c r="AO20" s="522"/>
      <c r="AU20" s="319">
        <f>OBJ!B268</f>
        <v>9318215</v>
      </c>
      <c r="AV20" s="21" t="str">
        <f>VLOOKUP(AU20,CENY!$B$11:$G$1054,2,FALSE)</f>
        <v>Actro You(XL) 450/SiSy 70kg; EB21</v>
      </c>
      <c r="AW20" s="22">
        <f>VLOOKUP(AU20,CENY!$B$11:$G$1054,3,FALSE)</f>
        <v>1</v>
      </c>
      <c r="AX20" s="362">
        <v>10</v>
      </c>
      <c r="AY20" s="23">
        <f>W22</f>
        <v>0</v>
      </c>
      <c r="AZ20" s="326">
        <f t="shared" si="1"/>
        <v>0</v>
      </c>
      <c r="BA20" s="95">
        <f>VLOOKUP(AU20,CENY!$B$11:$M$2025,12,FALSE)</f>
        <v>7.9265800000000004</v>
      </c>
      <c r="BB20" s="95">
        <f t="shared" si="0"/>
        <v>0</v>
      </c>
      <c r="BD20" s="319">
        <f>OBJ!B77</f>
        <v>9347508</v>
      </c>
      <c r="BE20" s="21" t="str">
        <f>VLOOKUP(BD20,CENY!$B$11:$G$1054,2,FALSE)</f>
        <v>AvanY-design ALprofil Hybrid na bok 550/ strieb.</v>
      </c>
      <c r="BF20" s="22">
        <f>VLOOKUP(BD20,CENY!$B$11:$G$1054,3,FALSE)</f>
        <v>200</v>
      </c>
      <c r="BG20" s="22"/>
      <c r="BH20" s="23">
        <f>2*(AA20+AA22+AA28+AA30)</f>
        <v>0</v>
      </c>
      <c r="BI20" s="326">
        <f t="shared" si="2"/>
        <v>0</v>
      </c>
      <c r="BJ20" s="95">
        <f>VLOOKUP(BD20,CENY!$B$11:$M$2025,12,FALSE)</f>
        <v>1.0508599999999999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4"/>
      <c r="AO21" s="544"/>
      <c r="AU21" s="319">
        <f>OBJ!B269</f>
        <v>9318216</v>
      </c>
      <c r="AV21" s="21" t="str">
        <f>VLOOKUP(AU21,CENY!$B$11:$G$1054,2,FALSE)</f>
        <v>Actro You(XL) 500/SiSy 70kg; EB21</v>
      </c>
      <c r="AW21" s="22">
        <f>VLOOKUP(AU21,CENY!$B$11:$G$1054,3,FALSE)</f>
        <v>1</v>
      </c>
      <c r="AX21" s="362">
        <v>10</v>
      </c>
      <c r="AY21" s="23">
        <f>Y22</f>
        <v>0</v>
      </c>
      <c r="AZ21" s="326">
        <f t="shared" si="1"/>
        <v>0</v>
      </c>
      <c r="BA21" s="95">
        <f>VLOOKUP(AU21,CENY!$B$11:$M$2025,12,FALSE)</f>
        <v>39.622210000000003</v>
      </c>
      <c r="BB21" s="95">
        <f t="shared" si="0"/>
        <v>0</v>
      </c>
      <c r="BD21" s="319"/>
      <c r="BE21" s="21"/>
      <c r="BF21" s="22"/>
      <c r="BG21" s="22"/>
      <c r="BH21" s="23"/>
      <c r="BI21" s="326" t="str">
        <f t="shared" si="2"/>
        <v/>
      </c>
      <c r="BJ21" s="95"/>
      <c r="BK21" s="95" t="str">
        <f t="shared" si="3"/>
        <v/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20"/>
      <c r="AD22" s="521"/>
      <c r="AE22" s="520"/>
      <c r="AF22" s="521"/>
      <c r="AI22" s="287"/>
      <c r="AJ22" s="288"/>
      <c r="AK22" s="287"/>
      <c r="AL22" s="288"/>
      <c r="AM22" s="286" t="s">
        <v>297</v>
      </c>
      <c r="AN22" s="541"/>
      <c r="AO22" s="541"/>
      <c r="AU22" s="319">
        <f>OBJ!B270</f>
        <v>9318217</v>
      </c>
      <c r="AV22" s="21" t="str">
        <f>VLOOKUP(AU22,CENY!$B$11:$G$1054,2,FALSE)</f>
        <v>Actro You(XL) 550/SiSy 70kg; EB21</v>
      </c>
      <c r="AW22" s="22">
        <f>VLOOKUP(AU22,CENY!$B$11:$G$1054,3,FALSE)</f>
        <v>1</v>
      </c>
      <c r="AX22" s="362">
        <v>10</v>
      </c>
      <c r="AY22" s="23">
        <f>AA22</f>
        <v>0</v>
      </c>
      <c r="AZ22" s="326">
        <f t="shared" si="1"/>
        <v>0</v>
      </c>
      <c r="BA22" s="95">
        <f>VLOOKUP(AU22,CENY!$B$11:$M$2025,12,FALSE)</f>
        <v>41.504899999999999</v>
      </c>
      <c r="BB22" s="95">
        <f t="shared" si="0"/>
        <v>0</v>
      </c>
      <c r="BD22" s="319">
        <f>OBJ!B257</f>
        <v>9318175</v>
      </c>
      <c r="BE22" s="21" t="str">
        <f>VLOOKUP(BD22,CENY!$B$11:$G$1054,2,FALSE)</f>
        <v>Actro You(L) 400/SiSy 40kg; EB21; ľavý</v>
      </c>
      <c r="BF22" s="22">
        <f>VLOOKUP(BD22,CENY!$B$11:$G$1054,3,FALSE)</f>
        <v>10</v>
      </c>
      <c r="BG22" s="22"/>
      <c r="BH22" s="23">
        <f>AY15</f>
        <v>0</v>
      </c>
      <c r="BI22" s="326">
        <f t="shared" si="2"/>
        <v>0</v>
      </c>
      <c r="BJ22" s="95">
        <f>VLOOKUP(BD22,CENY!$B$11:$M$2025,12,FALSE)</f>
        <v>14.56085</v>
      </c>
      <c r="BK22" s="95">
        <f t="shared" si="3"/>
        <v>0</v>
      </c>
    </row>
    <row r="23" spans="2:63" ht="14.45" customHeight="1">
      <c r="O23" s="4"/>
      <c r="P23" s="4"/>
      <c r="AU23" s="319"/>
      <c r="AV23" s="21"/>
      <c r="AW23" s="22"/>
      <c r="AX23" s="22"/>
      <c r="AY23" s="23"/>
      <c r="AZ23" s="326" t="str">
        <f t="shared" si="1"/>
        <v/>
      </c>
      <c r="BA23" s="95"/>
      <c r="BB23" s="95" t="str">
        <f t="shared" si="0"/>
        <v/>
      </c>
      <c r="BD23" s="319">
        <f>OBJ!B258</f>
        <v>9318176</v>
      </c>
      <c r="BE23" s="21" t="str">
        <f>VLOOKUP(BD23,CENY!$B$11:$G$1054,2,FALSE)</f>
        <v>Actro You(L) 400/SiSy 40kg; EB21; pravý</v>
      </c>
      <c r="BF23" s="22">
        <f>VLOOKUP(BD23,CENY!$B$11:$G$1054,3,FALSE)</f>
        <v>10</v>
      </c>
      <c r="BG23" s="22"/>
      <c r="BH23" s="23">
        <f>AY15</f>
        <v>0</v>
      </c>
      <c r="BI23" s="326">
        <f t="shared" si="2"/>
        <v>0</v>
      </c>
      <c r="BJ23" s="95">
        <f>VLOOKUP(BD23,CENY!$B$11:$M$2025,12,FALSE)</f>
        <v>14.56085</v>
      </c>
      <c r="BK23" s="95">
        <f t="shared" si="3"/>
        <v>0</v>
      </c>
    </row>
    <row r="24" spans="2:63" ht="14.45" customHeight="1">
      <c r="AU24" s="319">
        <f>OBJ!B284</f>
        <v>9257890</v>
      </c>
      <c r="AV24" s="21" t="str">
        <f>VLOOKUP(AU24,CENY!$B$11:$G$1054,2,FALSE)</f>
        <v>Actro You - Push to open Silent; &lt;10kg</v>
      </c>
      <c r="AW24" s="22">
        <f>VLOOKUP(AU24,CENY!$B$11:$G$1054,3,FALSE)</f>
        <v>1</v>
      </c>
      <c r="AX24" s="22"/>
      <c r="AY24" s="23">
        <f>AN19</f>
        <v>0</v>
      </c>
      <c r="AZ24" s="326">
        <f t="shared" si="1"/>
        <v>0</v>
      </c>
      <c r="BA24" s="95">
        <f>VLOOKUP(AU24,CENY!$B$11:$M$2025,12,FALSE)</f>
        <v>23.177009999999999</v>
      </c>
      <c r="BB24" s="95">
        <f t="shared" si="0"/>
        <v>0</v>
      </c>
      <c r="BD24" s="319">
        <f>OBJ!B259</f>
        <v>9318177</v>
      </c>
      <c r="BE24" s="21" t="str">
        <f>VLOOKUP(BD24,CENY!$B$11:$G$1054,2,FALSE)</f>
        <v>Actro You(L) 450/SiSy 40kg; EB21; ľavý</v>
      </c>
      <c r="BF24" s="22">
        <f>VLOOKUP(BD24,CENY!$B$11:$G$1054,3,FALSE)</f>
        <v>10</v>
      </c>
      <c r="BG24" s="22"/>
      <c r="BH24" s="23">
        <f>AY16</f>
        <v>0</v>
      </c>
      <c r="BI24" s="326">
        <f t="shared" si="2"/>
        <v>0</v>
      </c>
      <c r="BJ24" s="95" t="e">
        <f>VLOOKUP(BD24,CENY!$B$11:$M$2025,12,FALSE)</f>
        <v>#N/A</v>
      </c>
      <c r="BK24" s="95" t="e">
        <f t="shared" si="3"/>
        <v>#N/A</v>
      </c>
    </row>
    <row r="25" spans="2:63" ht="14.45" customHeight="1" thickBot="1">
      <c r="B25" s="2" t="s">
        <v>285</v>
      </c>
      <c r="AI25" s="542" t="str">
        <f>verze!E199</f>
        <v>P2O Silent pre Quadro</v>
      </c>
      <c r="AJ25" s="543"/>
      <c r="AK25" s="543"/>
      <c r="AL25" s="543"/>
      <c r="AM25" s="543"/>
      <c r="AN25" s="543"/>
      <c r="AO25" s="543"/>
      <c r="AU25" s="319">
        <f>OBJ!B285</f>
        <v>9257891</v>
      </c>
      <c r="AV25" s="21" t="str">
        <f>VLOOKUP(AU25,CENY!$B$11:$G$1054,2,FALSE)</f>
        <v>Actro You - Push to open Silent; 8-20kg</v>
      </c>
      <c r="AW25" s="22">
        <f>VLOOKUP(AU25,CENY!$B$11:$G$1054,3,FALSE)</f>
        <v>1</v>
      </c>
      <c r="AX25" s="22"/>
      <c r="AY25" s="23">
        <f>AN20</f>
        <v>0</v>
      </c>
      <c r="AZ25" s="326">
        <f t="shared" si="1"/>
        <v>0</v>
      </c>
      <c r="BA25" s="95">
        <f>VLOOKUP(AU25,CENY!$B$11:$M$2025,12,FALSE)</f>
        <v>23.177009999999999</v>
      </c>
      <c r="BB25" s="95">
        <f t="shared" si="0"/>
        <v>0</v>
      </c>
      <c r="BD25" s="319">
        <f>OBJ!B260</f>
        <v>9318178</v>
      </c>
      <c r="BE25" s="21" t="str">
        <f>VLOOKUP(BD25,CENY!$B$11:$G$1054,2,FALSE)</f>
        <v>Actro You(L) 450/SiSy 40kg; EB21; pravý</v>
      </c>
      <c r="BF25" s="22">
        <f>VLOOKUP(BD25,CENY!$B$11:$G$1054,3,FALSE)</f>
        <v>10</v>
      </c>
      <c r="BG25" s="22"/>
      <c r="BH25" s="23">
        <f>AY16</f>
        <v>0</v>
      </c>
      <c r="BI25" s="326">
        <f t="shared" si="2"/>
        <v>0</v>
      </c>
      <c r="BJ25" s="95">
        <f>VLOOKUP(BD25,CENY!$B$11:$M$2025,12,FALSE)</f>
        <v>14.040839999999999</v>
      </c>
      <c r="BK25" s="95">
        <f t="shared" si="3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I26" s="545" t="s">
        <v>299</v>
      </c>
      <c r="AJ26" s="545"/>
      <c r="AK26" s="545"/>
      <c r="AL26" s="545"/>
      <c r="AM26" s="545"/>
      <c r="AN26" s="545"/>
      <c r="AO26" s="545"/>
      <c r="AU26" s="319">
        <f>OBJ!B286</f>
        <v>9257892</v>
      </c>
      <c r="AV26" s="21" t="str">
        <f>VLOOKUP(AU26,CENY!$B$11:$G$1054,2,FALSE)</f>
        <v>Actro You - Push to open Silent; 10-40kg</v>
      </c>
      <c r="AW26" s="22">
        <f>VLOOKUP(AU26,CENY!$B$11:$G$1054,3,FALSE)</f>
        <v>1</v>
      </c>
      <c r="AX26" s="22"/>
      <c r="AY26" s="23">
        <f>AN21</f>
        <v>0</v>
      </c>
      <c r="AZ26" s="326">
        <f t="shared" si="1"/>
        <v>0</v>
      </c>
      <c r="BA26" s="95">
        <f>VLOOKUP(AU26,CENY!$B$11:$M$2025,12,FALSE)</f>
        <v>23.177009999999999</v>
      </c>
      <c r="BB26" s="95">
        <f t="shared" si="0"/>
        <v>0</v>
      </c>
      <c r="BD26" s="319">
        <f>OBJ!B261</f>
        <v>9318179</v>
      </c>
      <c r="BE26" s="21" t="str">
        <f>VLOOKUP(BD26,CENY!$B$11:$G$1054,2,FALSE)</f>
        <v>Actro You(L) 500/SiSy 40kg; EB21; ľavý</v>
      </c>
      <c r="BF26" s="22">
        <f>VLOOKUP(BD26,CENY!$B$11:$G$1054,3,FALSE)</f>
        <v>10</v>
      </c>
      <c r="BG26" s="22"/>
      <c r="BH26" s="23">
        <f>AY17</f>
        <v>0</v>
      </c>
      <c r="BI26" s="326">
        <f t="shared" si="2"/>
        <v>0</v>
      </c>
      <c r="BJ26" s="95">
        <f>VLOOKUP(BD26,CENY!$B$11:$M$2025,12,FALSE)</f>
        <v>13.931559999999999</v>
      </c>
      <c r="BK26" s="95">
        <f t="shared" si="3"/>
        <v>0</v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280"/>
      <c r="P27" s="281"/>
      <c r="Q27" s="280"/>
      <c r="R27" s="281"/>
      <c r="S27" s="280"/>
      <c r="T27" s="281"/>
      <c r="U27" s="283"/>
      <c r="V27" s="284"/>
      <c r="W27" s="283"/>
      <c r="X27" s="284"/>
      <c r="Y27" s="283"/>
      <c r="Z27" s="284"/>
      <c r="AA27" s="283"/>
      <c r="AB27" s="284"/>
      <c r="AC27" s="280"/>
      <c r="AD27" s="281"/>
      <c r="AI27" s="289"/>
      <c r="AJ27" s="290"/>
      <c r="AK27" s="289"/>
      <c r="AL27" s="290"/>
      <c r="AM27" s="291" t="s">
        <v>295</v>
      </c>
      <c r="AN27" s="536"/>
      <c r="AO27" s="536"/>
      <c r="AU27" s="319">
        <f>OBJ!B287</f>
        <v>9257893</v>
      </c>
      <c r="AV27" s="21" t="str">
        <f>VLOOKUP(AU27,CENY!$B$11:$G$1054,2,FALSE)</f>
        <v>Actro You - Push to open Silent; 20-70kg</v>
      </c>
      <c r="AW27" s="22">
        <f>VLOOKUP(AU27,CENY!$B$11:$G$1054,3,FALSE)</f>
        <v>1</v>
      </c>
      <c r="AX27" s="22"/>
      <c r="AY27" s="23">
        <f>AN22</f>
        <v>0</v>
      </c>
      <c r="AZ27" s="326">
        <f t="shared" si="1"/>
        <v>0</v>
      </c>
      <c r="BA27" s="95">
        <f>VLOOKUP(AU27,CENY!$B$11:$M$2025,12,FALSE)</f>
        <v>23.177009999999999</v>
      </c>
      <c r="BB27" s="95">
        <f t="shared" si="0"/>
        <v>0</v>
      </c>
      <c r="BD27" s="319">
        <f>OBJ!B262</f>
        <v>9318180</v>
      </c>
      <c r="BE27" s="21" t="str">
        <f>VLOOKUP(BD27,CENY!$B$11:$G$1054,2,FALSE)</f>
        <v>Actro You(L) 500/SiSy 40kg; EB21; pravý</v>
      </c>
      <c r="BF27" s="22">
        <f>VLOOKUP(BD27,CENY!$B$11:$G$1054,3,FALSE)</f>
        <v>10</v>
      </c>
      <c r="BG27" s="22"/>
      <c r="BH27" s="23">
        <f>AY17</f>
        <v>0</v>
      </c>
      <c r="BI27" s="326">
        <f t="shared" si="2"/>
        <v>0</v>
      </c>
      <c r="BJ27" s="95">
        <f>VLOOKUP(BD27,CENY!$B$11:$M$2025,12,FALSE)</f>
        <v>13.931559999999999</v>
      </c>
      <c r="BK27" s="95">
        <f t="shared" si="3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20"/>
      <c r="P28" s="521"/>
      <c r="Q28" s="520"/>
      <c r="R28" s="521"/>
      <c r="S28" s="520"/>
      <c r="T28" s="521"/>
      <c r="U28" s="518"/>
      <c r="V28" s="519"/>
      <c r="W28" s="518"/>
      <c r="X28" s="519"/>
      <c r="Y28" s="518"/>
      <c r="Z28" s="519"/>
      <c r="AA28" s="518"/>
      <c r="AB28" s="519"/>
      <c r="AC28" s="520"/>
      <c r="AD28" s="521"/>
      <c r="AI28" s="287"/>
      <c r="AJ28" s="288"/>
      <c r="AK28" s="287"/>
      <c r="AL28" s="288"/>
      <c r="AM28" s="286" t="s">
        <v>294</v>
      </c>
      <c r="AN28" s="522"/>
      <c r="AO28" s="522"/>
      <c r="AU28" s="319">
        <f>OBJ!B288</f>
        <v>9236718</v>
      </c>
      <c r="AV28" s="21" t="str">
        <f>VLOOKUP(AU28,CENY!$B$11:$G$1054,2,FALSE)</f>
        <v>Push to open Synchro / tyč 2.000 mm</v>
      </c>
      <c r="AW28" s="22">
        <f>VLOOKUP(AU28,CENY!$B$11:$G$1054,3,FALSE)</f>
        <v>100</v>
      </c>
      <c r="AX28" s="22"/>
      <c r="AY28" s="23">
        <f>SUM(AN19:AO22)+SUM(AN27:AO29)+SUM(O30:AD30)</f>
        <v>0</v>
      </c>
      <c r="AZ28" s="326">
        <f t="shared" si="1"/>
        <v>0</v>
      </c>
      <c r="BA28" s="95">
        <f>VLOOKUP(AU28,CENY!$B$11:$M$2025,12,FALSE)</f>
        <v>8.7567500000000003</v>
      </c>
      <c r="BB28" s="95">
        <f t="shared" si="0"/>
        <v>0</v>
      </c>
      <c r="BD28" s="319">
        <f>OBJ!B263</f>
        <v>9318181</v>
      </c>
      <c r="BE28" s="21" t="str">
        <f>VLOOKUP(BD28,CENY!$B$11:$G$1054,2,FALSE)</f>
        <v>Actro You(L) 550/SiSy 40kg; EB21; ľavý</v>
      </c>
      <c r="BF28" s="22">
        <f>VLOOKUP(BD28,CENY!$B$11:$G$1054,3,FALSE)</f>
        <v>10</v>
      </c>
      <c r="BG28" s="22"/>
      <c r="BH28" s="23">
        <f>AY18</f>
        <v>0</v>
      </c>
      <c r="BI28" s="326">
        <f t="shared" si="2"/>
        <v>0</v>
      </c>
      <c r="BJ28" s="95">
        <f>VLOOKUP(BD28,CENY!$B$11:$M$2025,12,FALSE)</f>
        <v>15.147040000000001</v>
      </c>
      <c r="BK28" s="95">
        <f t="shared" si="3"/>
        <v>0</v>
      </c>
    </row>
    <row r="29" spans="2:63" ht="14.45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9"/>
      <c r="AO29" s="529"/>
      <c r="AU29" s="319"/>
      <c r="AV29" s="21"/>
      <c r="AW29" s="22"/>
      <c r="AX29" s="22"/>
      <c r="AY29" s="23"/>
      <c r="AZ29" s="326" t="str">
        <f t="shared" si="1"/>
        <v/>
      </c>
      <c r="BA29" s="95"/>
      <c r="BB29" s="95" t="str">
        <f t="shared" si="0"/>
        <v/>
      </c>
      <c r="BD29" s="319">
        <f>OBJ!B264</f>
        <v>9318182</v>
      </c>
      <c r="BE29" s="21" t="str">
        <f>VLOOKUP(BD29,CENY!$B$11:$G$1054,2,FALSE)</f>
        <v>Actro You(L) 550/SiSy 40kg; EB21; pravý</v>
      </c>
      <c r="BF29" s="22">
        <f>VLOOKUP(BD29,CENY!$B$11:$G$1054,3,FALSE)</f>
        <v>10</v>
      </c>
      <c r="BG29" s="22"/>
      <c r="BH29" s="23">
        <f>AY18</f>
        <v>0</v>
      </c>
      <c r="BI29" s="326">
        <f t="shared" si="2"/>
        <v>0</v>
      </c>
      <c r="BJ29" s="95">
        <f>VLOOKUP(BD29,CENY!$B$11:$M$2025,12,FALSE)</f>
        <v>15.147040000000001</v>
      </c>
      <c r="BK29" s="95">
        <f t="shared" si="3"/>
        <v>0</v>
      </c>
    </row>
    <row r="30" spans="2:63" ht="14.45" customHeight="1" thickBot="1">
      <c r="B30" s="530" t="s">
        <v>373</v>
      </c>
      <c r="C30" s="530"/>
      <c r="D30" s="530"/>
      <c r="E30" s="530"/>
      <c r="F30" s="530"/>
      <c r="G30" s="530"/>
      <c r="H30" s="531" t="str">
        <f>verze!E18</f>
        <v>plnovýsuv</v>
      </c>
      <c r="I30" s="531"/>
      <c r="J30" s="531"/>
      <c r="K30" s="531"/>
      <c r="L30" s="531"/>
      <c r="M30" s="525" t="s">
        <v>1</v>
      </c>
      <c r="N30" s="526"/>
      <c r="O30" s="520"/>
      <c r="P30" s="521"/>
      <c r="Q30" s="520"/>
      <c r="R30" s="521"/>
      <c r="S30" s="520"/>
      <c r="T30" s="521"/>
      <c r="U30" s="518"/>
      <c r="V30" s="519"/>
      <c r="W30" s="518"/>
      <c r="X30" s="519"/>
      <c r="Y30" s="518"/>
      <c r="Z30" s="519"/>
      <c r="AA30" s="518"/>
      <c r="AB30" s="519"/>
      <c r="AC30" s="527"/>
      <c r="AD30" s="528"/>
      <c r="AU30" s="319">
        <f>OBJ!B307</f>
        <v>9256888</v>
      </c>
      <c r="AV30" s="21" t="str">
        <f>VLOOKUP(AU30,CENY!$B$11:$G$1054,2,FALSE)</f>
        <v>Quadro You(M) 400/SiSy 30kg; EB21</v>
      </c>
      <c r="AW30" s="22">
        <f>VLOOKUP(AU30,CENY!$B$11:$G$1054,3,FALSE)</f>
        <v>1</v>
      </c>
      <c r="AX30" s="362">
        <v>8</v>
      </c>
      <c r="AY30" s="23">
        <f>U28</f>
        <v>0</v>
      </c>
      <c r="AZ30" s="326">
        <f t="shared" si="1"/>
        <v>0</v>
      </c>
      <c r="BA30" s="95">
        <f>VLOOKUP(AU30,CENY!$B$11:$M$2025,12,FALSE)</f>
        <v>24.002659999999999</v>
      </c>
      <c r="BB30" s="95">
        <f t="shared" si="0"/>
        <v>0</v>
      </c>
      <c r="BD30" s="319"/>
      <c r="BE30" s="21"/>
      <c r="BF30" s="22"/>
      <c r="BG30" s="22"/>
      <c r="BH30" s="23"/>
      <c r="BI30" s="326" t="str">
        <f t="shared" si="2"/>
        <v/>
      </c>
      <c r="BJ30" s="95"/>
      <c r="BK30" s="95" t="str">
        <f t="shared" si="3"/>
        <v/>
      </c>
    </row>
    <row r="31" spans="2:63" ht="14.45" customHeight="1">
      <c r="AU31" s="319">
        <f>OBJ!B308</f>
        <v>9256890</v>
      </c>
      <c r="AV31" s="21" t="str">
        <f>VLOOKUP(AU31,CENY!$B$11:$G$1054,2,FALSE)</f>
        <v>Quadro You(M) 450/SiSy 30kg; EB21</v>
      </c>
      <c r="AW31" s="22">
        <f>VLOOKUP(AU31,CENY!$B$11:$G$1054,3,FALSE)</f>
        <v>1</v>
      </c>
      <c r="AX31" s="362">
        <v>8</v>
      </c>
      <c r="AY31" s="23">
        <f>W28</f>
        <v>0</v>
      </c>
      <c r="AZ31" s="326">
        <f t="shared" si="1"/>
        <v>0</v>
      </c>
      <c r="BA31" s="95">
        <f>VLOOKUP(AU31,CENY!$B$11:$M$2025,12,FALSE)</f>
        <v>4.9393000000000002</v>
      </c>
      <c r="BB31" s="95">
        <f t="shared" si="0"/>
        <v>0</v>
      </c>
      <c r="BD31" s="319">
        <f>OBJ!B273</f>
        <v>9318198</v>
      </c>
      <c r="BE31" s="21" t="str">
        <f>VLOOKUP(BD31,CENY!$B$11:$G$1054,2,FALSE)</f>
        <v>Actro You(XL) 450/SiSy 70kg; EB21; ľavý</v>
      </c>
      <c r="BF31" s="22">
        <f>VLOOKUP(BD31,CENY!$B$11:$G$1054,3,FALSE)</f>
        <v>10</v>
      </c>
      <c r="BG31" s="22"/>
      <c r="BH31" s="23">
        <f>AY20</f>
        <v>0</v>
      </c>
      <c r="BI31" s="326">
        <f t="shared" si="2"/>
        <v>0</v>
      </c>
      <c r="BJ31" s="95" t="e">
        <f>VLOOKUP(BD31,CENY!$B$11:$M$2025,12,FALSE)</f>
        <v>#N/A</v>
      </c>
      <c r="BK31" s="95" t="e">
        <f t="shared" si="3"/>
        <v>#N/A</v>
      </c>
    </row>
    <row r="32" spans="2:63" ht="14.45" customHeight="1">
      <c r="B32" s="366" t="str">
        <f>verze!E201</f>
        <v>SiSy = tlmenie Silent System</v>
      </c>
      <c r="AU32" s="319">
        <f>OBJ!B309</f>
        <v>9256892</v>
      </c>
      <c r="AV32" s="21" t="str">
        <f>VLOOKUP(AU32,CENY!$B$11:$G$1054,2,FALSE)</f>
        <v>Quadro You(M) 500/SiSy 30kg; EB21</v>
      </c>
      <c r="AW32" s="22">
        <f>VLOOKUP(AU32,CENY!$B$11:$G$1054,3,FALSE)</f>
        <v>1</v>
      </c>
      <c r="AX32" s="362">
        <v>8</v>
      </c>
      <c r="AY32" s="23">
        <f>Y28</f>
        <v>0</v>
      </c>
      <c r="AZ32" s="326">
        <f t="shared" si="1"/>
        <v>0</v>
      </c>
      <c r="BA32" s="95">
        <f>VLOOKUP(AU32,CENY!$B$11:$M$2025,12,FALSE)</f>
        <v>23.748699999999999</v>
      </c>
      <c r="BB32" s="95">
        <f t="shared" si="0"/>
        <v>0</v>
      </c>
      <c r="BD32" s="319">
        <f>OBJ!B274</f>
        <v>9318199</v>
      </c>
      <c r="BE32" s="21" t="str">
        <f>VLOOKUP(BD32,CENY!$B$11:$G$1054,2,FALSE)</f>
        <v>Actro You(XL) 450/SiSy 70kg; EB21; pravý</v>
      </c>
      <c r="BF32" s="22">
        <f>VLOOKUP(BD32,CENY!$B$11:$G$1054,3,FALSE)</f>
        <v>10</v>
      </c>
      <c r="BG32" s="22"/>
      <c r="BH32" s="23">
        <f>AY20</f>
        <v>0</v>
      </c>
      <c r="BI32" s="326">
        <f t="shared" si="2"/>
        <v>0</v>
      </c>
      <c r="BJ32" s="95" t="e">
        <f>VLOOKUP(BD32,CENY!$B$11:$M$2025,12,FALSE)</f>
        <v>#N/A</v>
      </c>
      <c r="BK32" s="95" t="e">
        <f t="shared" si="3"/>
        <v>#N/A</v>
      </c>
    </row>
    <row r="33" spans="2:63" ht="14.45" customHeight="1">
      <c r="B33" s="366" t="str">
        <f>verze!E204</f>
        <v>P2O = otváranie bez úchytky Push to open</v>
      </c>
      <c r="AU33" s="319">
        <f>OBJ!B310</f>
        <v>9256894</v>
      </c>
      <c r="AV33" s="21" t="str">
        <f>VLOOKUP(AU33,CENY!$B$11:$G$1054,2,FALSE)</f>
        <v>Quadro You(M) 550/SiSy 30kg; EB21</v>
      </c>
      <c r="AW33" s="22">
        <f>VLOOKUP(AU33,CENY!$B$11:$G$1054,3,FALSE)</f>
        <v>1</v>
      </c>
      <c r="AX33" s="362">
        <v>8</v>
      </c>
      <c r="AY33" s="23">
        <f>AA28</f>
        <v>0</v>
      </c>
      <c r="AZ33" s="326">
        <f t="shared" si="1"/>
        <v>0</v>
      </c>
      <c r="BA33" s="95">
        <f>VLOOKUP(AU33,CENY!$B$11:$M$2025,12,FALSE)</f>
        <v>5.1277499999999998</v>
      </c>
      <c r="BB33" s="95">
        <f t="shared" si="0"/>
        <v>0</v>
      </c>
      <c r="BD33" s="319">
        <f>OBJ!B275</f>
        <v>9318201</v>
      </c>
      <c r="BE33" s="21" t="str">
        <f>VLOOKUP(BD33,CENY!$B$11:$G$1054,2,FALSE)</f>
        <v>Actro You(XL) 500/SiSy 70kg; EB21; ľavý</v>
      </c>
      <c r="BF33" s="22">
        <f>VLOOKUP(BD33,CENY!$B$11:$G$1054,3,FALSE)</f>
        <v>10</v>
      </c>
      <c r="BG33" s="22"/>
      <c r="BH33" s="23">
        <f>AY21</f>
        <v>0</v>
      </c>
      <c r="BI33" s="326">
        <f t="shared" si="2"/>
        <v>0</v>
      </c>
      <c r="BJ33" s="95">
        <f>VLOOKUP(BD33,CENY!$B$11:$M$2025,12,FALSE)</f>
        <v>17.52394</v>
      </c>
      <c r="BK33" s="95">
        <f t="shared" si="3"/>
        <v>0</v>
      </c>
    </row>
    <row r="34" spans="2:63" ht="14.45" customHeight="1">
      <c r="B34" s="366" t="str">
        <f>verze!E203</f>
        <v>P2O Silent = tlmenie s otváraním bez úchytky Push to open Silent</v>
      </c>
      <c r="AU34" s="319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>
        <f>OBJ!B276</f>
        <v>9318203</v>
      </c>
      <c r="BE34" s="21" t="str">
        <f>VLOOKUP(BD34,CENY!$B$11:$G$1054,2,FALSE)</f>
        <v>Actro You(XL) 500/SiSy 70kg; EB21; pravý</v>
      </c>
      <c r="BF34" s="22">
        <f>VLOOKUP(BD34,CENY!$B$11:$G$1054,3,FALSE)</f>
        <v>10</v>
      </c>
      <c r="BG34" s="22"/>
      <c r="BH34" s="23">
        <f>AY21</f>
        <v>0</v>
      </c>
      <c r="BI34" s="326">
        <f t="shared" si="2"/>
        <v>0</v>
      </c>
      <c r="BJ34" s="95">
        <f>VLOOKUP(BD34,CENY!$B$11:$M$2025,12,FALSE)</f>
        <v>17.52394</v>
      </c>
      <c r="BK34" s="95">
        <f t="shared" si="3"/>
        <v>0</v>
      </c>
    </row>
    <row r="35" spans="2:63" ht="14.45" customHeight="1">
      <c r="AU35" s="319">
        <f>OBJ!B329</f>
        <v>9257894</v>
      </c>
      <c r="AV35" s="21" t="str">
        <f>VLOOKUP(AU35,CENY!$B$11:$G$1054,2,FALSE)</f>
        <v>Quadro You - Push to open Silent; &lt;10kg</v>
      </c>
      <c r="AW35" s="22">
        <f>VLOOKUP(AU35,CENY!$B$11:$G$1054,3,FALSE)</f>
        <v>1</v>
      </c>
      <c r="AX35" s="22"/>
      <c r="AY35" s="23">
        <f>AN27</f>
        <v>0</v>
      </c>
      <c r="AZ35" s="326">
        <f t="shared" si="1"/>
        <v>0</v>
      </c>
      <c r="BA35" s="95">
        <f>VLOOKUP(AU35,CENY!$B$11:$M$2025,12,FALSE)</f>
        <v>23.114239999999999</v>
      </c>
      <c r="BB35" s="95">
        <f t="shared" si="0"/>
        <v>0</v>
      </c>
      <c r="BD35" s="319">
        <f>OBJ!B277</f>
        <v>9318208</v>
      </c>
      <c r="BE35" s="21" t="str">
        <f>VLOOKUP(BD35,CENY!$B$11:$G$1054,2,FALSE)</f>
        <v>Actro You(XL) 550/SiSy 70kg; EB21; ľavý</v>
      </c>
      <c r="BF35" s="22">
        <f>VLOOKUP(BD35,CENY!$B$11:$G$1054,3,FALSE)</f>
        <v>10</v>
      </c>
      <c r="BG35" s="22"/>
      <c r="BH35" s="23">
        <f>AY22</f>
        <v>0</v>
      </c>
      <c r="BI35" s="326">
        <f t="shared" si="2"/>
        <v>0</v>
      </c>
      <c r="BJ35" s="95">
        <f>VLOOKUP(BD35,CENY!$B$11:$M$2025,12,FALSE)</f>
        <v>18.45496</v>
      </c>
      <c r="BK35" s="95">
        <f t="shared" si="3"/>
        <v>0</v>
      </c>
    </row>
    <row r="36" spans="2:63" ht="14.45" customHeight="1">
      <c r="AU36" s="319">
        <f>OBJ!B330</f>
        <v>9257895</v>
      </c>
      <c r="AV36" s="21" t="str">
        <f>VLOOKUP(AU36,CENY!$B$11:$G$1054,2,FALSE)</f>
        <v>Quadro You - Push to open Silent; 8-20kg</v>
      </c>
      <c r="AW36" s="22">
        <f>VLOOKUP(AU36,CENY!$B$11:$G$1054,3,FALSE)</f>
        <v>1</v>
      </c>
      <c r="AX36" s="22"/>
      <c r="AY36" s="23">
        <f>AN28</f>
        <v>0</v>
      </c>
      <c r="AZ36" s="326">
        <f t="shared" si="1"/>
        <v>0</v>
      </c>
      <c r="BA36" s="95">
        <f>VLOOKUP(AU36,CENY!$B$11:$M$2025,12,FALSE)</f>
        <v>23.114239999999999</v>
      </c>
      <c r="BB36" s="95">
        <f t="shared" si="0"/>
        <v>0</v>
      </c>
      <c r="BD36" s="319">
        <f>OBJ!B278</f>
        <v>9318209</v>
      </c>
      <c r="BE36" s="21" t="str">
        <f>VLOOKUP(BD36,CENY!$B$11:$G$1054,2,FALSE)</f>
        <v>Actro You(XL) 550/SiSy 70kg; EB21; pravý</v>
      </c>
      <c r="BF36" s="22">
        <f>VLOOKUP(BD36,CENY!$B$11:$G$1054,3,FALSE)</f>
        <v>10</v>
      </c>
      <c r="BG36" s="22"/>
      <c r="BH36" s="23">
        <f>AY22</f>
        <v>0</v>
      </c>
      <c r="BI36" s="326">
        <f t="shared" si="2"/>
        <v>0</v>
      </c>
      <c r="BJ36" s="95">
        <f>VLOOKUP(BD36,CENY!$B$11:$M$2025,12,FALSE)</f>
        <v>18.45496</v>
      </c>
      <c r="BK36" s="95">
        <f t="shared" si="3"/>
        <v>0</v>
      </c>
    </row>
    <row r="37" spans="2:63" ht="14.45" customHeight="1">
      <c r="AU37" s="319">
        <f>OBJ!B331</f>
        <v>9257896</v>
      </c>
      <c r="AV37" s="21" t="str">
        <f>VLOOKUP(AU37,CENY!$B$11:$G$1054,2,FALSE)</f>
        <v>Quadro You - Push to open Silent; 10-30kg</v>
      </c>
      <c r="AW37" s="22">
        <f>VLOOKUP(AU37,CENY!$B$11:$G$1054,3,FALSE)</f>
        <v>1</v>
      </c>
      <c r="AX37" s="22"/>
      <c r="AY37" s="23">
        <f>AN29</f>
        <v>0</v>
      </c>
      <c r="AZ37" s="326">
        <f t="shared" si="1"/>
        <v>0</v>
      </c>
      <c r="BA37" s="95">
        <f>VLOOKUP(AU37,CENY!$B$11:$M$2025,12,FALSE)</f>
        <v>23.114239999999999</v>
      </c>
      <c r="BB37" s="95">
        <f t="shared" si="0"/>
        <v>0</v>
      </c>
      <c r="BD37" s="319"/>
      <c r="BE37" s="21"/>
      <c r="BF37" s="22"/>
      <c r="BG37" s="22"/>
      <c r="BH37" s="23"/>
      <c r="BI37" s="326" t="str">
        <f t="shared" si="2"/>
        <v/>
      </c>
      <c r="BJ37" s="95"/>
      <c r="BK37" s="95" t="str">
        <f t="shared" ref="BK37:BK76" si="4">IF(BJ37="","",BJ37*BH37)</f>
        <v/>
      </c>
    </row>
    <row r="38" spans="2:63" ht="14.45" customHeight="1">
      <c r="AU38" s="319"/>
      <c r="AV38" s="21"/>
      <c r="AW38" s="22"/>
      <c r="AX38" s="22"/>
      <c r="AY38" s="23"/>
      <c r="AZ38" s="326" t="str">
        <f t="shared" si="1"/>
        <v/>
      </c>
      <c r="BA38" s="95"/>
      <c r="BB38" s="95" t="str">
        <f t="shared" ref="BB38:BB77" si="5">IF(BA38="","",BA38*AY38)</f>
        <v/>
      </c>
      <c r="BD38" s="319">
        <f>OBJ!B284</f>
        <v>9257890</v>
      </c>
      <c r="BE38" s="21" t="str">
        <f>VLOOKUP(BD38,CENY!$B$11:$G$1054,2,FALSE)</f>
        <v>Actro You - Push to open Silent; &lt;10kg</v>
      </c>
      <c r="BF38" s="22">
        <f>VLOOKUP(BD38,CENY!$B$11:$G$1054,3,FALSE)</f>
        <v>1</v>
      </c>
      <c r="BG38" s="22"/>
      <c r="BH38" s="23">
        <f>AY24</f>
        <v>0</v>
      </c>
      <c r="BI38" s="326">
        <f t="shared" si="2"/>
        <v>0</v>
      </c>
      <c r="BJ38" s="95">
        <f>VLOOKUP(BD38,CENY!$B$11:$M$2025,12,FALSE)</f>
        <v>23.177009999999999</v>
      </c>
      <c r="BK38" s="95">
        <f t="shared" si="4"/>
        <v>0</v>
      </c>
    </row>
    <row r="39" spans="2:63" ht="14.45" customHeight="1">
      <c r="AU39" s="319">
        <f>OBJ!B336</f>
        <v>9256933</v>
      </c>
      <c r="AV39" s="21" t="str">
        <f>VLOOKUP(AU39,CENY!$B$11:$G$1054,2,FALSE)</f>
        <v>Quadro You(M) 400/P2O 30kg; EB21</v>
      </c>
      <c r="AW39" s="22">
        <f>VLOOKUP(AU39,CENY!$B$11:$G$1054,3,FALSE)</f>
        <v>1</v>
      </c>
      <c r="AX39" s="362">
        <v>8</v>
      </c>
      <c r="AY39" s="23">
        <f>U30</f>
        <v>0</v>
      </c>
      <c r="AZ39" s="326">
        <f t="shared" si="1"/>
        <v>0</v>
      </c>
      <c r="BA39" s="95">
        <f>VLOOKUP(AU39,CENY!$B$11:$M$2025,12,FALSE)</f>
        <v>26.80339</v>
      </c>
      <c r="BB39" s="95">
        <f t="shared" si="5"/>
        <v>0</v>
      </c>
      <c r="BD39" s="319">
        <f>OBJ!B285</f>
        <v>9257891</v>
      </c>
      <c r="BE39" s="21" t="str">
        <f>VLOOKUP(BD39,CENY!$B$11:$G$1054,2,FALSE)</f>
        <v>Actro You - Push to open Silent; 8-20kg</v>
      </c>
      <c r="BF39" s="22">
        <f>VLOOKUP(BD39,CENY!$B$11:$G$1054,3,FALSE)</f>
        <v>1</v>
      </c>
      <c r="BG39" s="22"/>
      <c r="BH39" s="23">
        <f>AY25</f>
        <v>0</v>
      </c>
      <c r="BI39" s="326">
        <f t="shared" si="2"/>
        <v>0</v>
      </c>
      <c r="BJ39" s="95">
        <f>VLOOKUP(BD39,CENY!$B$11:$M$2025,12,FALSE)</f>
        <v>23.177009999999999</v>
      </c>
      <c r="BK39" s="95">
        <f t="shared" si="4"/>
        <v>0</v>
      </c>
    </row>
    <row r="40" spans="2:63" ht="14.45" customHeight="1">
      <c r="AU40" s="319">
        <f>OBJ!B337</f>
        <v>9256935</v>
      </c>
      <c r="AV40" s="21" t="str">
        <f>VLOOKUP(AU40,CENY!$B$11:$G$1054,2,FALSE)</f>
        <v>Quadro You(M) 450/P2O 30kg; EB21</v>
      </c>
      <c r="AW40" s="22">
        <f>VLOOKUP(AU40,CENY!$B$11:$G$1054,3,FALSE)</f>
        <v>1</v>
      </c>
      <c r="AX40" s="362">
        <v>8</v>
      </c>
      <c r="AY40" s="23">
        <f>W30</f>
        <v>0</v>
      </c>
      <c r="AZ40" s="326">
        <f t="shared" si="1"/>
        <v>0</v>
      </c>
      <c r="BA40" s="95">
        <f>VLOOKUP(AU40,CENY!$B$11:$M$2025,12,FALSE)</f>
        <v>27.270389999999999</v>
      </c>
      <c r="BB40" s="95">
        <f t="shared" si="5"/>
        <v>0</v>
      </c>
      <c r="BD40" s="319">
        <f>OBJ!B286</f>
        <v>9257892</v>
      </c>
      <c r="BE40" s="21" t="str">
        <f>VLOOKUP(BD40,CENY!$B$11:$G$1054,2,FALSE)</f>
        <v>Actro You - Push to open Silent; 10-40kg</v>
      </c>
      <c r="BF40" s="22">
        <f>VLOOKUP(BD40,CENY!$B$11:$G$1054,3,FALSE)</f>
        <v>1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23.177009999999999</v>
      </c>
      <c r="BK40" s="95">
        <f t="shared" si="4"/>
        <v>0</v>
      </c>
    </row>
    <row r="41" spans="2:63" ht="14.45" customHeight="1">
      <c r="AU41" s="319">
        <f>OBJ!B338</f>
        <v>9256937</v>
      </c>
      <c r="AV41" s="21" t="str">
        <f>VLOOKUP(AU41,CENY!$B$11:$G$1054,2,FALSE)</f>
        <v>Quadro You(M) 500/P2O 30kg; EB21</v>
      </c>
      <c r="AW41" s="22">
        <f>VLOOKUP(AU41,CENY!$B$11:$G$1054,3,FALSE)</f>
        <v>1</v>
      </c>
      <c r="AX41" s="362">
        <v>8</v>
      </c>
      <c r="AY41" s="23">
        <f>Y30</f>
        <v>0</v>
      </c>
      <c r="AZ41" s="326">
        <f t="shared" si="1"/>
        <v>0</v>
      </c>
      <c r="BA41" s="95">
        <f>VLOOKUP(AU41,CENY!$B$11:$M$2025,12,FALSE)</f>
        <v>5.5988800000000003</v>
      </c>
      <c r="BB41" s="95">
        <f t="shared" si="5"/>
        <v>0</v>
      </c>
      <c r="BD41" s="319">
        <f>OBJ!B287</f>
        <v>9257893</v>
      </c>
      <c r="BE41" s="21" t="str">
        <f>VLOOKUP(BD41,CENY!$B$11:$G$1054,2,FALSE)</f>
        <v>Actro You - Push to open Silent; 20-70kg</v>
      </c>
      <c r="BF41" s="22">
        <f>VLOOKUP(BD41,CENY!$B$11:$G$1054,3,FALSE)</f>
        <v>1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23.177009999999999</v>
      </c>
      <c r="BK41" s="95">
        <f t="shared" si="4"/>
        <v>0</v>
      </c>
    </row>
    <row r="42" spans="2:63" ht="14.45" customHeight="1">
      <c r="AU42" s="319">
        <f>OBJ!B339</f>
        <v>9256939</v>
      </c>
      <c r="AV42" s="21" t="str">
        <f>VLOOKUP(AU42,CENY!$B$11:$G$1054,2,FALSE)</f>
        <v>Quadro You(M) 550/P2O 30kg; EB21</v>
      </c>
      <c r="AW42" s="22">
        <f>VLOOKUP(AU42,CENY!$B$11:$G$1054,3,FALSE)</f>
        <v>1</v>
      </c>
      <c r="AX42" s="362">
        <v>8</v>
      </c>
      <c r="AY42" s="23">
        <f>AA30</f>
        <v>0</v>
      </c>
      <c r="AZ42" s="326">
        <f t="shared" si="1"/>
        <v>0</v>
      </c>
      <c r="BA42" s="95">
        <f>VLOOKUP(AU42,CENY!$B$11:$M$2025,12,FALSE)</f>
        <v>28.20382</v>
      </c>
      <c r="BB42" s="95">
        <f t="shared" si="5"/>
        <v>0</v>
      </c>
      <c r="BD42" s="319">
        <f>OBJ!B288</f>
        <v>9236718</v>
      </c>
      <c r="BE42" s="21" t="str">
        <f>VLOOKUP(BD42,CENY!$B$11:$G$1054,2,FALSE)</f>
        <v>Push to open Synchro / tyč 2.000 mm</v>
      </c>
      <c r="BF42" s="22">
        <f>VLOOKUP(BD42,CENY!$B$11:$G$1054,3,FALSE)</f>
        <v>100</v>
      </c>
      <c r="BG42" s="22"/>
      <c r="BH42" s="23">
        <f>AY28</f>
        <v>0</v>
      </c>
      <c r="BI42" s="326">
        <f t="shared" si="2"/>
        <v>0</v>
      </c>
      <c r="BJ42" s="95">
        <f>VLOOKUP(BD42,CENY!$B$11:$M$2025,12,FALSE)</f>
        <v>8.7567500000000003</v>
      </c>
      <c r="BK42" s="95">
        <f t="shared" si="4"/>
        <v>0</v>
      </c>
    </row>
    <row r="43" spans="2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5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4"/>
        <v/>
      </c>
    </row>
    <row r="44" spans="2:63" ht="14.45" customHeight="1">
      <c r="AU44" s="319">
        <f>OBJ!B358</f>
        <v>9219966</v>
      </c>
      <c r="AV44" s="21" t="str">
        <f>VLOOKUP(AU44,CENY!$B$11:$G$1054,2,FALSE)</f>
        <v>Push to open Synchro / adaptér typ A</v>
      </c>
      <c r="AW44" s="22">
        <f>VLOOKUP(AU44,CENY!$B$11:$G$1054,3,FALSE)</f>
        <v>200</v>
      </c>
      <c r="AX44" s="22"/>
      <c r="AY44" s="23">
        <f>2*SUM(O30:AD30)</f>
        <v>0</v>
      </c>
      <c r="AZ44" s="326">
        <f t="shared" si="1"/>
        <v>0</v>
      </c>
      <c r="BA44" s="95">
        <f>VLOOKUP(AU44,CENY!$B$11:$M$2025,12,FALSE)</f>
        <v>0.79318999999999995</v>
      </c>
      <c r="BB44" s="95">
        <f t="shared" si="5"/>
        <v>0</v>
      </c>
      <c r="BD44" s="319">
        <f>OBJ!B318</f>
        <v>9256864</v>
      </c>
      <c r="BE44" s="21" t="str">
        <f>VLOOKUP(BD44,CENY!$B$11:$G$1054,2,FALSE)</f>
        <v>Quadro You(M) 400/SiSy 30kg; EB21; ľavý</v>
      </c>
      <c r="BF44" s="22">
        <f>VLOOKUP(BD44,CENY!$B$11:$G$1054,3,FALSE)</f>
        <v>20</v>
      </c>
      <c r="BG44" s="22"/>
      <c r="BH44" s="23">
        <f>AY30</f>
        <v>0</v>
      </c>
      <c r="BI44" s="326">
        <f t="shared" si="2"/>
        <v>0</v>
      </c>
      <c r="BJ44" s="95">
        <f>VLOOKUP(BD44,CENY!$B$11:$M$2025,12,FALSE)</f>
        <v>11.25459</v>
      </c>
      <c r="BK44" s="95">
        <f t="shared" si="4"/>
        <v>0</v>
      </c>
    </row>
    <row r="45" spans="2:63" ht="14.45" customHeight="1">
      <c r="AU45" s="319"/>
      <c r="AV45" s="21"/>
      <c r="AW45" s="22"/>
      <c r="AX45" s="22"/>
      <c r="AY45" s="23"/>
      <c r="AZ45" s="326" t="str">
        <f t="shared" si="1"/>
        <v/>
      </c>
      <c r="BA45" s="95"/>
      <c r="BB45" s="95" t="str">
        <f t="shared" si="5"/>
        <v/>
      </c>
      <c r="BD45" s="319">
        <f>OBJ!B319</f>
        <v>9256865</v>
      </c>
      <c r="BE45" s="21" t="str">
        <f>VLOOKUP(BD45,CENY!$B$11:$G$1054,2,FALSE)</f>
        <v>Quadro You(M) 400/SiSy 30kg; EB21; pravý</v>
      </c>
      <c r="BF45" s="22">
        <f>VLOOKUP(BD45,CENY!$B$11:$G$1054,3,FALSE)</f>
        <v>20</v>
      </c>
      <c r="BG45" s="22"/>
      <c r="BH45" s="23">
        <f>AY30</f>
        <v>0</v>
      </c>
      <c r="BI45" s="326">
        <f t="shared" si="2"/>
        <v>0</v>
      </c>
      <c r="BJ45" s="95">
        <f>VLOOKUP(BD45,CENY!$B$11:$M$2025,12,FALSE)</f>
        <v>11.25459</v>
      </c>
      <c r="BK45" s="95">
        <f t="shared" si="4"/>
        <v>0</v>
      </c>
    </row>
    <row r="46" spans="2:63" ht="14.45" customHeight="1">
      <c r="AQ46" s="233"/>
      <c r="AU46" s="442">
        <f>OBJ!B37</f>
        <v>9255832</v>
      </c>
      <c r="AV46" s="443" t="str">
        <f>VLOOKUP(AU46,CENY!$B$11:$G$1054,2,FALSE)</f>
        <v>AvanY-príchytka čela k naskrutk./ v77</v>
      </c>
      <c r="AW46" s="22">
        <f>VLOOKUP(AU46,CENY!$B$11:$G$1054,3,FALSE)</f>
        <v>100</v>
      </c>
      <c r="AX46" s="22"/>
      <c r="AY46" s="68">
        <f>2*(SUM(O19:T19)+SUM(O20:AD20)+SUM(W22:AF22)+SUM(O27:T27)+SUM(O28:AD28)+SUM(O30:AD30))</f>
        <v>0</v>
      </c>
      <c r="AZ46" s="326">
        <f t="shared" si="1"/>
        <v>0</v>
      </c>
      <c r="BA46" s="95">
        <f>VLOOKUP(AU46,CENY!$B$11:$M$2025,12,FALSE)</f>
        <v>0.81357999999999997</v>
      </c>
      <c r="BB46" s="95">
        <f t="shared" si="5"/>
        <v>0</v>
      </c>
      <c r="BD46" s="319">
        <f>OBJ!B320</f>
        <v>9256868</v>
      </c>
      <c r="BE46" s="21" t="str">
        <f>VLOOKUP(BD46,CENY!$B$11:$G$1054,2,FALSE)</f>
        <v>Quadro You(M) 450/SiSy 30kg; EB21; ľavý</v>
      </c>
      <c r="BF46" s="22">
        <f>VLOOKUP(BD46,CENY!$B$11:$G$1054,3,FALSE)</f>
        <v>20</v>
      </c>
      <c r="BG46" s="22"/>
      <c r="BH46" s="23">
        <f>AY31</f>
        <v>0</v>
      </c>
      <c r="BI46" s="326">
        <f t="shared" si="2"/>
        <v>0</v>
      </c>
      <c r="BJ46" s="95">
        <f>VLOOKUP(BD46,CENY!$B$11:$M$2025,12,FALSE)</f>
        <v>11.487740000000001</v>
      </c>
      <c r="BK46" s="95">
        <f t="shared" si="4"/>
        <v>0</v>
      </c>
    </row>
    <row r="47" spans="2:63" ht="14.45" customHeight="1">
      <c r="AQ47" s="233"/>
      <c r="AU47" s="319"/>
      <c r="AV47" s="21"/>
      <c r="AW47" s="22"/>
      <c r="AX47" s="22"/>
      <c r="AY47" s="23"/>
      <c r="AZ47" s="326" t="str">
        <f t="shared" si="1"/>
        <v/>
      </c>
      <c r="BA47" s="95"/>
      <c r="BB47" s="95" t="str">
        <f t="shared" si="5"/>
        <v/>
      </c>
      <c r="BD47" s="319">
        <f>OBJ!B321</f>
        <v>9256869</v>
      </c>
      <c r="BE47" s="21" t="str">
        <f>VLOOKUP(BD47,CENY!$B$11:$G$1054,2,FALSE)</f>
        <v>Quadro You(M) 450/SiSy 30kg; EB21; pravý</v>
      </c>
      <c r="BF47" s="22">
        <f>VLOOKUP(BD47,CENY!$B$11:$G$1054,3,FALSE)</f>
        <v>20</v>
      </c>
      <c r="BG47" s="22"/>
      <c r="BH47" s="23">
        <f>AY31</f>
        <v>0</v>
      </c>
      <c r="BI47" s="326">
        <f t="shared" si="2"/>
        <v>0</v>
      </c>
      <c r="BJ47" s="95">
        <f>VLOOKUP(BD47,CENY!$B$11:$M$2025,12,FALSE)</f>
        <v>11.487740000000001</v>
      </c>
      <c r="BK47" s="95">
        <f t="shared" si="4"/>
        <v>0</v>
      </c>
    </row>
    <row r="48" spans="2:63" ht="14.45" customHeight="1">
      <c r="AU48" s="320">
        <f>OBJ!B214</f>
        <v>0</v>
      </c>
      <c r="AV48" s="321" t="e">
        <f>VLOOKUP(AU48,CENY!$B$11:$G$1054,2,FALSE)</f>
        <v>#N/A</v>
      </c>
      <c r="AW48" s="22" t="e">
        <f>VLOOKUP(AU48,CENY!$B$11:$G$1054,3,FALSE)</f>
        <v>#N/A</v>
      </c>
      <c r="AX48" s="22"/>
      <c r="AY48" s="68">
        <f>IF(FORM!AM21&lt;&gt;FORM!AW16,(2*(+SUM(O19:T19)+SUM(O20:AD20)+SUM(W22:AF22)+SUM(O27:T27)+SUM(O28:AD28)+SUM(O30:AD30))),0)</f>
        <v>0</v>
      </c>
      <c r="AZ48" s="326">
        <f t="shared" si="1"/>
        <v>0</v>
      </c>
      <c r="BA48" s="324" t="str">
        <f>IF(AU48=0,"",VLOOKUP(AU48,CENY!$B$11:$M$2025,12,FALSE))</f>
        <v/>
      </c>
      <c r="BB48" s="95" t="str">
        <f>IF(BA48="","",BA48*AY48)</f>
        <v/>
      </c>
      <c r="BD48" s="319">
        <f>OBJ!B322</f>
        <v>9256872</v>
      </c>
      <c r="BE48" s="21" t="str">
        <f>VLOOKUP(BD48,CENY!$B$11:$G$1054,2,FALSE)</f>
        <v>Quadro You(M) 500/SiSy 30kg; EB21; ľavý</v>
      </c>
      <c r="BF48" s="22">
        <f>VLOOKUP(BD48,CENY!$B$11:$G$1054,3,FALSE)</f>
        <v>20</v>
      </c>
      <c r="BG48" s="22"/>
      <c r="BH48" s="23">
        <f>AY32</f>
        <v>0</v>
      </c>
      <c r="BI48" s="326">
        <f t="shared" si="2"/>
        <v>0</v>
      </c>
      <c r="BJ48" s="95">
        <f>VLOOKUP(BD48,CENY!$B$11:$M$2025,12,FALSE)</f>
        <v>11.163180000000001</v>
      </c>
      <c r="BK48" s="95">
        <f t="shared" si="4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5"/>
        <v/>
      </c>
      <c r="BD49" s="319">
        <f>OBJ!B323</f>
        <v>9256873</v>
      </c>
      <c r="BE49" s="21" t="str">
        <f>VLOOKUP(BD49,CENY!$B$11:$G$1054,2,FALSE)</f>
        <v>Quadro You(M) 500/SiSy 30kg; EB21; pravý</v>
      </c>
      <c r="BF49" s="22">
        <f>VLOOKUP(BD49,CENY!$B$11:$G$1054,3,FALSE)</f>
        <v>20</v>
      </c>
      <c r="BG49" s="22"/>
      <c r="BH49" s="23">
        <f>AY32</f>
        <v>0</v>
      </c>
      <c r="BI49" s="326">
        <f t="shared" si="2"/>
        <v>0</v>
      </c>
      <c r="BJ49" s="95">
        <f>VLOOKUP(BD49,CENY!$B$11:$M$2025,12,FALSE)</f>
        <v>11.163180000000001</v>
      </c>
      <c r="BK49" s="95">
        <f t="shared" si="4"/>
        <v>0</v>
      </c>
    </row>
    <row r="50" spans="47:63" ht="14.45" customHeight="1">
      <c r="AU50" s="319"/>
      <c r="AV50" s="21"/>
      <c r="AW50" s="22"/>
      <c r="AX50" s="22"/>
      <c r="AY50" s="23"/>
      <c r="AZ50" s="326" t="str">
        <f t="shared" si="1"/>
        <v/>
      </c>
      <c r="BA50" s="95"/>
      <c r="BB50" s="95" t="str">
        <f t="shared" si="5"/>
        <v/>
      </c>
      <c r="BD50" s="319">
        <f>OBJ!B324</f>
        <v>9256876</v>
      </c>
      <c r="BE50" s="21" t="str">
        <f>VLOOKUP(BD50,CENY!$B$11:$G$1054,2,FALSE)</f>
        <v>Quadro You(M) 550/SiSy 30kg; EB21; ľavý</v>
      </c>
      <c r="BF50" s="22">
        <f>VLOOKUP(BD50,CENY!$B$11:$G$1054,3,FALSE)</f>
        <v>20</v>
      </c>
      <c r="BG50" s="22"/>
      <c r="BH50" s="23">
        <f>AY33</f>
        <v>0</v>
      </c>
      <c r="BI50" s="326">
        <f t="shared" si="2"/>
        <v>0</v>
      </c>
      <c r="BJ50" s="95">
        <f>VLOOKUP(BD50,CENY!$B$11:$M$2025,12,FALSE)</f>
        <v>11.38542</v>
      </c>
      <c r="BK50" s="95">
        <f t="shared" si="4"/>
        <v>0</v>
      </c>
    </row>
    <row r="51" spans="47:63" ht="14.45" customHeight="1">
      <c r="AU51" s="319"/>
      <c r="AV51" s="21"/>
      <c r="AW51" s="22"/>
      <c r="AX51" s="22"/>
      <c r="AY51" s="23"/>
      <c r="AZ51" s="326" t="str">
        <f t="shared" si="1"/>
        <v/>
      </c>
      <c r="BA51" s="95"/>
      <c r="BB51" s="95" t="str">
        <f t="shared" si="5"/>
        <v/>
      </c>
      <c r="BD51" s="319">
        <f>OBJ!B325</f>
        <v>9256877</v>
      </c>
      <c r="BE51" s="21" t="str">
        <f>VLOOKUP(BD51,CENY!$B$11:$G$1054,2,FALSE)</f>
        <v>Quadro You(M) 550/SiSy 30kg; EB21; pravý</v>
      </c>
      <c r="BF51" s="22">
        <f>VLOOKUP(BD51,CENY!$B$11:$G$1054,3,FALSE)</f>
        <v>20</v>
      </c>
      <c r="BG51" s="22"/>
      <c r="BH51" s="23">
        <f>AY33</f>
        <v>0</v>
      </c>
      <c r="BI51" s="326">
        <f t="shared" si="2"/>
        <v>0</v>
      </c>
      <c r="BJ51" s="95">
        <f>VLOOKUP(BD51,CENY!$B$11:$M$2025,12,FALSE)</f>
        <v>11.954689999999999</v>
      </c>
      <c r="BK51" s="95">
        <f t="shared" si="4"/>
        <v>0</v>
      </c>
    </row>
    <row r="52" spans="47:63" ht="14.45" customHeight="1">
      <c r="AU52" s="319"/>
      <c r="AV52" s="21"/>
      <c r="AW52" s="22"/>
      <c r="AX52" s="22"/>
      <c r="AY52" s="23"/>
      <c r="AZ52" s="326" t="str">
        <f t="shared" si="1"/>
        <v/>
      </c>
      <c r="BA52" s="95"/>
      <c r="BB52" s="95" t="str">
        <f t="shared" si="5"/>
        <v/>
      </c>
      <c r="BD52" s="319"/>
      <c r="BE52" s="21"/>
      <c r="BF52" s="22"/>
      <c r="BG52" s="22"/>
      <c r="BH52" s="23"/>
      <c r="BI52" s="326" t="str">
        <f t="shared" si="2"/>
        <v/>
      </c>
      <c r="BJ52" s="95"/>
      <c r="BK52" s="95" t="str">
        <f t="shared" si="4"/>
        <v/>
      </c>
    </row>
    <row r="53" spans="47:63" ht="14.45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5"/>
        <v/>
      </c>
      <c r="BD53" s="319">
        <f>OBJ!B329</f>
        <v>9257894</v>
      </c>
      <c r="BE53" s="21" t="str">
        <f>VLOOKUP(BD53,CENY!$B$11:$G$1054,2,FALSE)</f>
        <v>Quadro You - Push to open Silent; &lt;10kg</v>
      </c>
      <c r="BF53" s="22">
        <f>VLOOKUP(BD53,CENY!$B$11:$G$1054,3,FALSE)</f>
        <v>1</v>
      </c>
      <c r="BG53" s="22"/>
      <c r="BH53" s="23">
        <f>AY35</f>
        <v>0</v>
      </c>
      <c r="BI53" s="326">
        <f t="shared" si="2"/>
        <v>0</v>
      </c>
      <c r="BJ53" s="95">
        <f>VLOOKUP(BD53,CENY!$B$11:$M$2025,12,FALSE)</f>
        <v>23.114239999999999</v>
      </c>
      <c r="BK53" s="95">
        <f t="shared" si="4"/>
        <v>0</v>
      </c>
    </row>
    <row r="54" spans="47:63" ht="14.45" customHeight="1">
      <c r="AU54" s="319"/>
      <c r="AV54" s="21"/>
      <c r="AW54" s="22"/>
      <c r="AX54" s="22"/>
      <c r="AY54" s="23"/>
      <c r="AZ54" s="326" t="str">
        <f t="shared" si="1"/>
        <v/>
      </c>
      <c r="BA54" s="95"/>
      <c r="BB54" s="95" t="str">
        <f t="shared" si="5"/>
        <v/>
      </c>
      <c r="BD54" s="319">
        <f>OBJ!B330</f>
        <v>9257895</v>
      </c>
      <c r="BE54" s="21" t="str">
        <f>VLOOKUP(BD54,CENY!$B$11:$G$1054,2,FALSE)</f>
        <v>Quadro You - Push to open Silent; 8-20kg</v>
      </c>
      <c r="BF54" s="22">
        <f>VLOOKUP(BD54,CENY!$B$11:$G$1054,3,FALSE)</f>
        <v>1</v>
      </c>
      <c r="BG54" s="22"/>
      <c r="BH54" s="23">
        <f>AY36</f>
        <v>0</v>
      </c>
      <c r="BI54" s="326">
        <f t="shared" si="2"/>
        <v>0</v>
      </c>
      <c r="BJ54" s="95">
        <f>VLOOKUP(BD54,CENY!$B$11:$M$2025,12,FALSE)</f>
        <v>23.114239999999999</v>
      </c>
      <c r="BK54" s="95">
        <f t="shared" si="4"/>
        <v>0</v>
      </c>
    </row>
    <row r="55" spans="47:63" ht="14.45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5"/>
        <v/>
      </c>
      <c r="BD55" s="319">
        <f>OBJ!B331</f>
        <v>9257896</v>
      </c>
      <c r="BE55" s="21" t="str">
        <f>VLOOKUP(BD55,CENY!$B$11:$G$1054,2,FALSE)</f>
        <v>Quadro You - Push to open Silent; 10-30kg</v>
      </c>
      <c r="BF55" s="22">
        <f>VLOOKUP(BD55,CENY!$B$11:$G$1054,3,FALSE)</f>
        <v>1</v>
      </c>
      <c r="BG55" s="22"/>
      <c r="BH55" s="23">
        <f>AY37</f>
        <v>0</v>
      </c>
      <c r="BI55" s="326">
        <f t="shared" si="2"/>
        <v>0</v>
      </c>
      <c r="BJ55" s="95">
        <f>VLOOKUP(BD55,CENY!$B$11:$M$2025,12,FALSE)</f>
        <v>23.114239999999999</v>
      </c>
      <c r="BK55" s="95">
        <f t="shared" si="4"/>
        <v>0</v>
      </c>
    </row>
    <row r="56" spans="47:63" ht="14.45" customHeight="1">
      <c r="AU56" s="20"/>
      <c r="AV56" s="21"/>
      <c r="AW56" s="22"/>
      <c r="AX56" s="22"/>
      <c r="AY56" s="23"/>
      <c r="AZ56" s="326" t="str">
        <f t="shared" si="1"/>
        <v/>
      </c>
      <c r="BA56" s="95"/>
      <c r="BB56" s="95" t="str">
        <f t="shared" si="5"/>
        <v/>
      </c>
      <c r="BD56" s="319"/>
      <c r="BE56" s="21"/>
      <c r="BF56" s="22"/>
      <c r="BG56" s="22"/>
      <c r="BH56" s="23"/>
      <c r="BI56" s="326" t="str">
        <f t="shared" si="2"/>
        <v/>
      </c>
      <c r="BJ56" s="95"/>
      <c r="BK56" s="95" t="str">
        <f t="shared" si="4"/>
        <v/>
      </c>
    </row>
    <row r="57" spans="47:63" ht="14.45" customHeight="1">
      <c r="AU57" s="20"/>
      <c r="AV57" s="21"/>
      <c r="AW57" s="22"/>
      <c r="AX57" s="22"/>
      <c r="AY57" s="23"/>
      <c r="AZ57" s="326" t="str">
        <f t="shared" si="1"/>
        <v/>
      </c>
      <c r="BA57" s="95"/>
      <c r="BB57" s="95" t="str">
        <f t="shared" si="5"/>
        <v/>
      </c>
      <c r="BD57" s="319">
        <f>OBJ!B347</f>
        <v>9256909</v>
      </c>
      <c r="BE57" s="21" t="str">
        <f>VLOOKUP(BD57,CENY!$B$11:$G$1054,2,FALSE)</f>
        <v>Quadro You(M) 400/P2O 30kg; EB21; ľavý</v>
      </c>
      <c r="BF57" s="22">
        <f>VLOOKUP(BD57,CENY!$B$11:$G$1054,3,FALSE)</f>
        <v>20</v>
      </c>
      <c r="BG57" s="22"/>
      <c r="BH57" s="23">
        <f>AY39</f>
        <v>0</v>
      </c>
      <c r="BI57" s="326">
        <f t="shared" si="2"/>
        <v>0</v>
      </c>
      <c r="BJ57" s="95">
        <f>VLOOKUP(BD57,CENY!$B$11:$M$2025,12,FALSE)</f>
        <v>12.654769999999999</v>
      </c>
      <c r="BK57" s="95">
        <f t="shared" si="4"/>
        <v>0</v>
      </c>
    </row>
    <row r="58" spans="47:63" ht="14.45" customHeight="1">
      <c r="AU58" s="20"/>
      <c r="AV58" s="21"/>
      <c r="AW58" s="22"/>
      <c r="AX58" s="22"/>
      <c r="AY58" s="23"/>
      <c r="AZ58" s="326" t="str">
        <f t="shared" si="1"/>
        <v/>
      </c>
      <c r="BA58" s="95"/>
      <c r="BB58" s="95" t="str">
        <f t="shared" si="5"/>
        <v/>
      </c>
      <c r="BD58" s="319">
        <f>OBJ!B348</f>
        <v>9256910</v>
      </c>
      <c r="BE58" s="21" t="str">
        <f>VLOOKUP(BD58,CENY!$B$11:$G$1054,2,FALSE)</f>
        <v>Quadro You(M) 400/P2O 30kg; EB21; pravý</v>
      </c>
      <c r="BF58" s="22">
        <f>VLOOKUP(BD58,CENY!$B$11:$G$1054,3,FALSE)</f>
        <v>20</v>
      </c>
      <c r="BG58" s="22"/>
      <c r="BH58" s="23">
        <f>AY39</f>
        <v>0</v>
      </c>
      <c r="BI58" s="326">
        <f t="shared" si="2"/>
        <v>0</v>
      </c>
      <c r="BJ58" s="95">
        <f>VLOOKUP(BD58,CENY!$B$11:$M$2025,12,FALSE)</f>
        <v>12.654769999999999</v>
      </c>
      <c r="BK58" s="95">
        <f t="shared" si="4"/>
        <v>0</v>
      </c>
    </row>
    <row r="59" spans="47:63" ht="14.45" customHeight="1">
      <c r="AU59" s="20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si="5"/>
        <v/>
      </c>
      <c r="BD59" s="319">
        <f>OBJ!B349</f>
        <v>9256913</v>
      </c>
      <c r="BE59" s="21" t="str">
        <f>VLOOKUP(BD59,CENY!$B$11:$G$1054,2,FALSE)</f>
        <v>Quadro You(M) 450/P2O 30kg; EB21; ľavý</v>
      </c>
      <c r="BF59" s="22">
        <f>VLOOKUP(BD59,CENY!$B$11:$G$1054,3,FALSE)</f>
        <v>20</v>
      </c>
      <c r="BG59" s="22"/>
      <c r="BH59" s="23">
        <f>AY40</f>
        <v>0</v>
      </c>
      <c r="BI59" s="326">
        <f t="shared" si="2"/>
        <v>0</v>
      </c>
      <c r="BJ59" s="95">
        <f>VLOOKUP(BD59,CENY!$B$11:$M$2025,12,FALSE)</f>
        <v>12.888019999999999</v>
      </c>
      <c r="BK59" s="95">
        <f t="shared" si="4"/>
        <v>0</v>
      </c>
    </row>
    <row r="60" spans="47:63" ht="14.45" customHeight="1">
      <c r="AU60" s="20"/>
      <c r="AV60" s="21"/>
      <c r="AW60" s="22"/>
      <c r="AX60" s="22"/>
      <c r="AY60" s="23"/>
      <c r="AZ60" s="326" t="str">
        <f t="shared" si="1"/>
        <v/>
      </c>
      <c r="BA60" s="95"/>
      <c r="BB60" s="95" t="str">
        <f t="shared" si="5"/>
        <v/>
      </c>
      <c r="BD60" s="319">
        <f>OBJ!B350</f>
        <v>9256914</v>
      </c>
      <c r="BE60" s="21" t="str">
        <f>VLOOKUP(BD60,CENY!$B$11:$G$1054,2,FALSE)</f>
        <v>Quadro You(M) 450/P2O 30kg; EB21; pravý</v>
      </c>
      <c r="BF60" s="22">
        <f>VLOOKUP(BD60,CENY!$B$11:$G$1054,3,FALSE)</f>
        <v>20</v>
      </c>
      <c r="BG60" s="22"/>
      <c r="BH60" s="23">
        <f>AY40</f>
        <v>0</v>
      </c>
      <c r="BI60" s="326">
        <f t="shared" si="2"/>
        <v>0</v>
      </c>
      <c r="BJ60" s="95">
        <f>VLOOKUP(BD60,CENY!$B$11:$M$2025,12,FALSE)</f>
        <v>12.888019999999999</v>
      </c>
      <c r="BK60" s="95">
        <f t="shared" si="4"/>
        <v>0</v>
      </c>
    </row>
    <row r="61" spans="47:63" ht="14.45" customHeight="1">
      <c r="AU61" s="20"/>
      <c r="AV61" s="21"/>
      <c r="AW61" s="22"/>
      <c r="AX61" s="22"/>
      <c r="AY61" s="23"/>
      <c r="AZ61" s="326" t="str">
        <f t="shared" si="1"/>
        <v/>
      </c>
      <c r="BA61" s="95"/>
      <c r="BB61" s="95" t="str">
        <f t="shared" si="5"/>
        <v/>
      </c>
      <c r="BD61" s="319">
        <f>OBJ!B351</f>
        <v>9256917</v>
      </c>
      <c r="BE61" s="21" t="str">
        <f>VLOOKUP(BD61,CENY!$B$11:$G$1054,2,FALSE)</f>
        <v>Quadro You(M) 500/P2O 30kg; EB21; ľavý</v>
      </c>
      <c r="BF61" s="22">
        <f>VLOOKUP(BD61,CENY!$B$11:$G$1054,3,FALSE)</f>
        <v>20</v>
      </c>
      <c r="BG61" s="22"/>
      <c r="BH61" s="23">
        <f>AY41</f>
        <v>0</v>
      </c>
      <c r="BI61" s="326">
        <f t="shared" si="2"/>
        <v>0</v>
      </c>
      <c r="BJ61" s="95">
        <f>VLOOKUP(BD61,CENY!$B$11:$M$2025,12,FALSE)</f>
        <v>12.496779999999999</v>
      </c>
      <c r="BK61" s="95">
        <f t="shared" si="4"/>
        <v>0</v>
      </c>
    </row>
    <row r="62" spans="47:63" ht="14.45" customHeight="1">
      <c r="AU62" s="20"/>
      <c r="AV62" s="21"/>
      <c r="AW62" s="22"/>
      <c r="AX62" s="22"/>
      <c r="AY62" s="23"/>
      <c r="AZ62" s="326" t="str">
        <f t="shared" si="1"/>
        <v/>
      </c>
      <c r="BA62" s="95"/>
      <c r="BB62" s="95" t="str">
        <f t="shared" si="5"/>
        <v/>
      </c>
      <c r="BD62" s="319">
        <f>OBJ!B352</f>
        <v>9256918</v>
      </c>
      <c r="BE62" s="21" t="str">
        <f>VLOOKUP(BD62,CENY!$B$11:$G$1054,2,FALSE)</f>
        <v>Quadro You(M) 500/P2O 30kg; EB21; pravý</v>
      </c>
      <c r="BF62" s="22">
        <f>VLOOKUP(BD62,CENY!$B$11:$G$1054,3,FALSE)</f>
        <v>20</v>
      </c>
      <c r="BG62" s="22"/>
      <c r="BH62" s="23">
        <f>AY41</f>
        <v>0</v>
      </c>
      <c r="BI62" s="326">
        <f t="shared" si="2"/>
        <v>0</v>
      </c>
      <c r="BJ62" s="95">
        <f>VLOOKUP(BD62,CENY!$B$11:$M$2025,12,FALSE)</f>
        <v>12.496779999999999</v>
      </c>
      <c r="BK62" s="95">
        <f t="shared" si="4"/>
        <v>0</v>
      </c>
    </row>
    <row r="63" spans="47:63" ht="14.45" customHeight="1">
      <c r="AU63" s="20"/>
      <c r="AV63" s="21"/>
      <c r="AW63" s="22"/>
      <c r="AX63" s="22"/>
      <c r="AY63" s="23"/>
      <c r="AZ63" s="326" t="str">
        <f t="shared" si="1"/>
        <v/>
      </c>
      <c r="BA63" s="95"/>
      <c r="BB63" s="95" t="str">
        <f t="shared" si="5"/>
        <v/>
      </c>
      <c r="BD63" s="319">
        <f>OBJ!B353</f>
        <v>9256921</v>
      </c>
      <c r="BE63" s="21" t="str">
        <f>VLOOKUP(BD63,CENY!$B$11:$G$1054,2,FALSE)</f>
        <v>Quadro You(M) 550/P2O 30kg; EB21; ľavý</v>
      </c>
      <c r="BF63" s="22">
        <f>VLOOKUP(BD63,CENY!$B$11:$G$1054,3,FALSE)</f>
        <v>20</v>
      </c>
      <c r="BG63" s="22"/>
      <c r="BH63" s="23">
        <f>AY42</f>
        <v>0</v>
      </c>
      <c r="BI63" s="326">
        <f t="shared" si="2"/>
        <v>0</v>
      </c>
      <c r="BJ63" s="95">
        <f>VLOOKUP(BD63,CENY!$B$11:$M$2025,12,FALSE)</f>
        <v>12.718019999999999</v>
      </c>
      <c r="BK63" s="95">
        <f t="shared" si="4"/>
        <v>0</v>
      </c>
    </row>
    <row r="64" spans="47:63" ht="14.45" customHeight="1">
      <c r="AU64" s="20"/>
      <c r="AV64" s="21"/>
      <c r="AW64" s="22"/>
      <c r="AX64" s="22"/>
      <c r="AY64" s="23"/>
      <c r="AZ64" s="326" t="str">
        <f t="shared" si="1"/>
        <v/>
      </c>
      <c r="BA64" s="95"/>
      <c r="BB64" s="95" t="str">
        <f t="shared" si="5"/>
        <v/>
      </c>
      <c r="BD64" s="319">
        <f>OBJ!B354</f>
        <v>9256922</v>
      </c>
      <c r="BE64" s="21" t="str">
        <f>VLOOKUP(BD64,CENY!$B$11:$G$1054,2,FALSE)</f>
        <v>Quadro You(M) 550/P2O 30kg; EB21; pravý</v>
      </c>
      <c r="BF64" s="22">
        <f>VLOOKUP(BD64,CENY!$B$11:$G$1054,3,FALSE)</f>
        <v>20</v>
      </c>
      <c r="BG64" s="22"/>
      <c r="BH64" s="23">
        <f>AY42</f>
        <v>0</v>
      </c>
      <c r="BI64" s="326">
        <f t="shared" si="2"/>
        <v>0</v>
      </c>
      <c r="BJ64" s="95">
        <f>VLOOKUP(BD64,CENY!$B$11:$M$2025,12,FALSE)</f>
        <v>13.35392</v>
      </c>
      <c r="BK64" s="95">
        <f t="shared" si="4"/>
        <v>0</v>
      </c>
    </row>
    <row r="65" spans="47:63" ht="14.45" customHeight="1">
      <c r="AU65" s="20"/>
      <c r="AV65" s="21"/>
      <c r="AW65" s="22"/>
      <c r="AX65" s="22"/>
      <c r="AY65" s="23"/>
      <c r="AZ65" s="326" t="str">
        <f t="shared" si="1"/>
        <v/>
      </c>
      <c r="BA65" s="95"/>
      <c r="BB65" s="95" t="str">
        <f t="shared" si="5"/>
        <v/>
      </c>
      <c r="BD65" s="319"/>
      <c r="BE65" s="21"/>
      <c r="BF65" s="22"/>
      <c r="BG65" s="22"/>
      <c r="BH65" s="23"/>
      <c r="BI65" s="326" t="str">
        <f t="shared" si="2"/>
        <v/>
      </c>
      <c r="BJ65" s="95"/>
      <c r="BK65" s="95" t="str">
        <f t="shared" si="4"/>
        <v/>
      </c>
    </row>
    <row r="66" spans="47:63" ht="14.45" customHeight="1">
      <c r="AU66" s="20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5"/>
        <v/>
      </c>
      <c r="BD66" s="319">
        <f>OBJ!B358</f>
        <v>9219966</v>
      </c>
      <c r="BE66" s="21" t="str">
        <f>VLOOKUP(BD66,CENY!$B$11:$G$1054,2,FALSE)</f>
        <v>Push to open Synchro / adaptér typ A</v>
      </c>
      <c r="BF66" s="22">
        <f>VLOOKUP(BD66,CENY!$B$11:$G$1054,3,FALSE)</f>
        <v>200</v>
      </c>
      <c r="BG66" s="22"/>
      <c r="BH66" s="23">
        <f>AY44</f>
        <v>0</v>
      </c>
      <c r="BI66" s="326">
        <f t="shared" si="2"/>
        <v>0</v>
      </c>
      <c r="BJ66" s="95">
        <f>VLOOKUP(BD66,CENY!$B$11:$M$2025,12,FALSE)</f>
        <v>0.79318999999999995</v>
      </c>
      <c r="BK66" s="95">
        <f t="shared" si="4"/>
        <v>0</v>
      </c>
    </row>
    <row r="67" spans="47:63" ht="14.45" customHeight="1">
      <c r="AU67" s="20"/>
      <c r="AV67" s="21"/>
      <c r="AW67" s="22"/>
      <c r="AX67" s="22"/>
      <c r="AY67" s="23"/>
      <c r="AZ67" s="326" t="str">
        <f t="shared" si="1"/>
        <v/>
      </c>
      <c r="BA67" s="95"/>
      <c r="BB67" s="95" t="str">
        <f t="shared" si="5"/>
        <v/>
      </c>
      <c r="BD67" s="319"/>
      <c r="BE67" s="21"/>
      <c r="BF67" s="22"/>
      <c r="BG67" s="22"/>
      <c r="BH67" s="23"/>
      <c r="BI67" s="326" t="str">
        <f t="shared" si="2"/>
        <v/>
      </c>
      <c r="BJ67" s="95"/>
      <c r="BK67" s="95" t="str">
        <f t="shared" si="4"/>
        <v/>
      </c>
    </row>
    <row r="68" spans="47:63" ht="14.45" customHeight="1">
      <c r="AU68" s="20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5"/>
        <v/>
      </c>
      <c r="BD68" s="319">
        <f>OBJ!B214</f>
        <v>0</v>
      </c>
      <c r="BE68" s="21" t="e">
        <f>VLOOKUP(BD68,CENY!$B$11:$G$1054,2,FALSE)</f>
        <v>#N/A</v>
      </c>
      <c r="BF68" s="22" t="e">
        <f>VLOOKUP(BD68,CENY!$B$11:$G$1054,3,FALSE)</f>
        <v>#N/A</v>
      </c>
      <c r="BG68" s="22"/>
      <c r="BH68" s="23">
        <f>AY48</f>
        <v>0</v>
      </c>
      <c r="BI68" s="326">
        <f t="shared" si="2"/>
        <v>0</v>
      </c>
      <c r="BJ68" s="324" t="str">
        <f>IF(BD68=0,"",VLOOKUP(BD68,CENY!$B$11:$M$2025,12,FALSE))</f>
        <v/>
      </c>
      <c r="BK68" s="95" t="str">
        <f>IF(BJ68="","",BJ68*BH68)</f>
        <v/>
      </c>
    </row>
    <row r="69" spans="47:63" ht="14.45" customHeight="1">
      <c r="AU69" s="20"/>
      <c r="AV69" s="21"/>
      <c r="AW69" s="22"/>
      <c r="AX69" s="22"/>
      <c r="AY69" s="23"/>
      <c r="AZ69" s="326" t="str">
        <f t="shared" si="1"/>
        <v/>
      </c>
      <c r="BA69" s="95"/>
      <c r="BB69" s="95" t="str">
        <f t="shared" si="5"/>
        <v/>
      </c>
      <c r="BD69" s="319"/>
      <c r="BE69" s="21"/>
      <c r="BF69" s="22"/>
      <c r="BG69" s="22"/>
      <c r="BH69" s="23"/>
      <c r="BI69" s="326" t="str">
        <f t="shared" si="2"/>
        <v/>
      </c>
      <c r="BJ69" s="95"/>
      <c r="BK69" s="95" t="str">
        <f t="shared" si="4"/>
        <v/>
      </c>
    </row>
    <row r="70" spans="47:63" ht="14.45" customHeight="1">
      <c r="AU70" s="319">
        <f>OBJ!B360</f>
        <v>9278225</v>
      </c>
      <c r="AV70" s="21" t="str">
        <f>VLOOKUP(AU70,CENY!$B$11:$G$1054,2,FALSE)</f>
        <v>Skrutka s polgul.hlavou 3,5x6,5mm</v>
      </c>
      <c r="AW70" s="22">
        <f>VLOOKUP(AU70,CENY!$B$11:$G$1054,3,FALSE)</f>
        <v>200</v>
      </c>
      <c r="AX70" s="22"/>
      <c r="AY70" s="23">
        <f>SUMPRODUCT(AX5:AX8,AY5:AY8)</f>
        <v>0</v>
      </c>
      <c r="AZ70" s="326">
        <f t="shared" ref="AZ70:AZ75" si="6">IF(AY70="","",IF($AW$4=1,AY70,0))</f>
        <v>0</v>
      </c>
      <c r="BA70" s="95" t="e">
        <f>VLOOKUP(AU70,CENY!$B$11:$M$2025,12,FALSE)</f>
        <v>#N/A</v>
      </c>
      <c r="BB70" s="95" t="e">
        <f t="shared" si="5"/>
        <v>#N/A</v>
      </c>
      <c r="BC70" s="86" t="s">
        <v>402</v>
      </c>
      <c r="BD70" s="319">
        <f>OBJ!B360</f>
        <v>9278225</v>
      </c>
      <c r="BE70" s="21" t="str">
        <f>VLOOKUP(BD70,CENY!$B$11:$G$1054,2,FALSE)</f>
        <v>Skrutka s polgul.hlavou 3,5x6,5mm</v>
      </c>
      <c r="BF70" s="22">
        <f>VLOOKUP(BD70,CENY!$B$11:$G$1054,3,FALSE)</f>
        <v>200</v>
      </c>
      <c r="BG70" s="22"/>
      <c r="BH70" s="23">
        <f>AY70+BH15*1</f>
        <v>0</v>
      </c>
      <c r="BI70" s="326">
        <f t="shared" ref="BI70:BI78" si="7">IF(BH70="","",IF($AW$4=0,BH70,0))</f>
        <v>0</v>
      </c>
      <c r="BJ70" s="95" t="e">
        <f>VLOOKUP(BD70,CENY!$B$11:$M$2025,12,FALSE)</f>
        <v>#N/A</v>
      </c>
      <c r="BK70" s="95" t="e">
        <f t="shared" ref="BK70:BK75" si="8">IF(BJ70="","",BJ70*BH70)</f>
        <v>#N/A</v>
      </c>
    </row>
    <row r="71" spans="47:63" ht="14.45" customHeight="1">
      <c r="AU71" s="319">
        <f>OBJ!B361</f>
        <v>45167</v>
      </c>
      <c r="AV71" s="21" t="str">
        <f>VLOOKUP(AU71,CENY!$B$11:$G$1054,2,FALSE)</f>
        <v>Skrutka s polgul.hlavou 3,5x12mm</v>
      </c>
      <c r="AW71" s="22">
        <f>VLOOKUP(AU71,CENY!$B$11:$G$1054,3,FALSE)</f>
        <v>200</v>
      </c>
      <c r="AX71" s="22"/>
      <c r="AY71" s="23">
        <v>0</v>
      </c>
      <c r="AZ71" s="326">
        <f t="shared" si="6"/>
        <v>0</v>
      </c>
      <c r="BA71" s="95">
        <f>VLOOKUP(AU71,CENY!$B$11:$M$2025,12,FALSE)</f>
        <v>3.4759999999999999E-2</v>
      </c>
      <c r="BB71" s="95">
        <f>IF(BA71="","",BA71*AY71)</f>
        <v>0</v>
      </c>
      <c r="BC71" s="86" t="s">
        <v>401</v>
      </c>
      <c r="BD71" s="319">
        <f>OBJ!B361</f>
        <v>45167</v>
      </c>
      <c r="BE71" s="21" t="str">
        <f>VLOOKUP(BD71,CENY!$B$11:$G$1054,2,FALSE)</f>
        <v>Skrutka s polgul.hlavou 3,5x12mm</v>
      </c>
      <c r="BF71" s="22">
        <f>VLOOKUP(BD71,CENY!$B$11:$G$1054,3,FALSE)</f>
        <v>200</v>
      </c>
      <c r="BG71" s="22"/>
      <c r="BH71" s="23">
        <f>BH15*1</f>
        <v>0</v>
      </c>
      <c r="BI71" s="326">
        <f t="shared" si="7"/>
        <v>0</v>
      </c>
      <c r="BJ71" s="95">
        <f>VLOOKUP(BD71,CENY!$B$11:$M$2025,12,FALSE)</f>
        <v>3.4759999999999999E-2</v>
      </c>
      <c r="BK71" s="95">
        <f t="shared" si="8"/>
        <v>0</v>
      </c>
    </row>
    <row r="72" spans="47:63" ht="14.45" customHeight="1">
      <c r="AU72" s="319">
        <f>OBJ!B362</f>
        <v>45168</v>
      </c>
      <c r="AV72" s="21" t="str">
        <f>VLOOKUP(AU72,CENY!$B$11:$G$1054,2,FALSE)</f>
        <v>Skrutka s polgul.hlavou 3,5x20mm</v>
      </c>
      <c r="AW72" s="22">
        <f>VLOOKUP(AU72,CENY!$B$11:$G$1054,3,FALSE)</f>
        <v>200</v>
      </c>
      <c r="AX72" s="22"/>
      <c r="AY72" s="360">
        <v>0</v>
      </c>
      <c r="AZ72" s="326">
        <f t="shared" si="6"/>
        <v>0</v>
      </c>
      <c r="BA72" s="95">
        <f>VLOOKUP(AU72,CENY!$B$11:$M$2025,12,FALSE)</f>
        <v>4.9860000000000002E-2</v>
      </c>
      <c r="BB72" s="95">
        <f>IF(BA72="","",BA72*AY72)</f>
        <v>0</v>
      </c>
      <c r="BC72" s="86" t="s">
        <v>397</v>
      </c>
      <c r="BD72" s="319">
        <f>OBJ!B362</f>
        <v>45168</v>
      </c>
      <c r="BE72" s="21" t="str">
        <f>VLOOKUP(BD72,CENY!$B$11:$G$1054,2,FALSE)</f>
        <v>Skrutka s polgul.hlavou 3,5x20mm</v>
      </c>
      <c r="BF72" s="22">
        <f>VLOOKUP(BD72,CENY!$B$11:$G$1054,3,FALSE)</f>
        <v>200</v>
      </c>
      <c r="BG72" s="22"/>
      <c r="BH72" s="360">
        <f>IF(FORM!$AM$8=FORM!$AU$10,BH14*2,0)</f>
        <v>0</v>
      </c>
      <c r="BI72" s="326">
        <f t="shared" si="7"/>
        <v>0</v>
      </c>
      <c r="BJ72" s="95">
        <f>VLOOKUP(BD72,CENY!$B$11:$M$2025,12,FALSE)</f>
        <v>4.9860000000000002E-2</v>
      </c>
      <c r="BK72" s="95">
        <f t="shared" si="8"/>
        <v>0</v>
      </c>
    </row>
    <row r="73" spans="47:63" ht="14.45" customHeight="1">
      <c r="AU73" s="319">
        <f>OBJ!B363</f>
        <v>9278224</v>
      </c>
      <c r="AV73" s="21" t="str">
        <f>VLOOKUP(AU73,CENY!$B$11:$G$1054,2,FALSE)</f>
        <v>Skrutka s polgul.hlavou 3,5x30mm</v>
      </c>
      <c r="AW73" s="22">
        <f>VLOOKUP(AU73,CENY!$B$11:$G$1054,3,FALSE)</f>
        <v>200</v>
      </c>
      <c r="AX73" s="22"/>
      <c r="AY73" s="360">
        <v>0</v>
      </c>
      <c r="AZ73" s="326">
        <f t="shared" si="6"/>
        <v>0</v>
      </c>
      <c r="BA73" s="95">
        <f>VLOOKUP(AU73,CENY!$B$11:$M$2025,12,FALSE)</f>
        <v>4.299E-2</v>
      </c>
      <c r="BB73" s="95">
        <f>IF(BA73="","",BA73*AY73)</f>
        <v>0</v>
      </c>
      <c r="BC73" s="86" t="s">
        <v>398</v>
      </c>
      <c r="BD73" s="319">
        <f>OBJ!B363</f>
        <v>9278224</v>
      </c>
      <c r="BE73" s="21" t="str">
        <f>VLOOKUP(BD73,CENY!$B$11:$G$1054,2,FALSE)</f>
        <v>Skrutka s polgul.hlavou 3,5x30mm</v>
      </c>
      <c r="BF73" s="22">
        <f>VLOOKUP(BD73,CENY!$B$11:$G$1054,3,FALSE)</f>
        <v>200</v>
      </c>
      <c r="BG73" s="22"/>
      <c r="BH73" s="360">
        <f>SUM(BH5:BH12)</f>
        <v>0</v>
      </c>
      <c r="BI73" s="326">
        <f t="shared" si="7"/>
        <v>0</v>
      </c>
      <c r="BJ73" s="95">
        <f>VLOOKUP(BD73,CENY!$B$11:$M$2025,12,FALSE)</f>
        <v>4.299E-2</v>
      </c>
      <c r="BK73" s="95">
        <f t="shared" si="8"/>
        <v>0</v>
      </c>
    </row>
    <row r="74" spans="47:63" ht="14.45" customHeight="1">
      <c r="AU74" s="319">
        <f>OBJ!B364</f>
        <v>9279197</v>
      </c>
      <c r="AV74" s="21" t="str">
        <f>VLOOKUP(AU74,CENY!$B$11:$G$1054,2,FALSE)</f>
        <v>Skrutka s polgul.hlavou M3,5x12mm</v>
      </c>
      <c r="AW74" s="22">
        <f>VLOOKUP(AU74,CENY!$B$11:$G$1054,3,FALSE)</f>
        <v>1000</v>
      </c>
      <c r="AX74" s="22"/>
      <c r="AY74" s="68">
        <v>0</v>
      </c>
      <c r="AZ74" s="326">
        <f t="shared" si="6"/>
        <v>0</v>
      </c>
      <c r="BA74" s="95" t="e">
        <f>VLOOKUP(AU74,CENY!$B$11:$M$2025,12,FALSE)</f>
        <v>#N/A</v>
      </c>
      <c r="BB74" s="95" t="e">
        <f>IF(BA74="","",BA74*AY74)</f>
        <v>#N/A</v>
      </c>
      <c r="BC74" s="86" t="s">
        <v>399</v>
      </c>
      <c r="BD74" s="319">
        <f>OBJ!B364</f>
        <v>9279197</v>
      </c>
      <c r="BE74" s="21" t="str">
        <f>VLOOKUP(BD74,CENY!$B$11:$G$1054,2,FALSE)</f>
        <v>Skrutka s polgul.hlavou M3,5x12mm</v>
      </c>
      <c r="BF74" s="22">
        <f>VLOOKUP(BD74,CENY!$B$11:$G$1054,3,FALSE)</f>
        <v>1000</v>
      </c>
      <c r="BG74" s="22"/>
      <c r="BH74" s="68">
        <f>AY74</f>
        <v>0</v>
      </c>
      <c r="BI74" s="326">
        <f t="shared" si="7"/>
        <v>0</v>
      </c>
      <c r="BJ74" s="95" t="e">
        <f>VLOOKUP(BD74,CENY!$B$11:$M$2025,12,FALSE)</f>
        <v>#N/A</v>
      </c>
      <c r="BK74" s="95" t="e">
        <f t="shared" si="8"/>
        <v>#N/A</v>
      </c>
    </row>
    <row r="75" spans="47:63" ht="14.45" customHeight="1">
      <c r="AU75" s="319">
        <f>OBJ!B365</f>
        <v>9137114</v>
      </c>
      <c r="AV75" s="21" t="str">
        <f>VLOOKUP(AU75,CENY!$B$11:$G$1054,2,FALSE)</f>
        <v>EURO-skrutka  6,0x14mm / niklovaná</v>
      </c>
      <c r="AW75" s="22">
        <f>VLOOKUP(AU75,CENY!$B$11:$G$1054,3,FALSE)</f>
        <v>200</v>
      </c>
      <c r="AX75" s="22"/>
      <c r="AY75" s="23">
        <f>SUMPRODUCT(AX15:AX42,AY15:AY42)</f>
        <v>0</v>
      </c>
      <c r="AZ75" s="326">
        <f t="shared" si="6"/>
        <v>0</v>
      </c>
      <c r="BA75" s="95">
        <f>VLOOKUP(AU75,CENY!$B$11:$M$2025,12,FALSE)</f>
        <v>7.7280000000000001E-2</v>
      </c>
      <c r="BB75" s="95">
        <f>IF(BA75="","",BA75*AY75)</f>
        <v>0</v>
      </c>
      <c r="BC75" s="86" t="s">
        <v>400</v>
      </c>
      <c r="BD75" s="319">
        <f>OBJ!B365</f>
        <v>9137114</v>
      </c>
      <c r="BE75" s="21" t="str">
        <f>VLOOKUP(BD75,CENY!$B$11:$G$1054,2,FALSE)</f>
        <v>EURO-skrutka  6,0x14mm / niklovaná</v>
      </c>
      <c r="BF75" s="22">
        <f>VLOOKUP(BD75,CENY!$B$11:$G$1054,3,FALSE)</f>
        <v>200</v>
      </c>
      <c r="BG75" s="22"/>
      <c r="BH75" s="23">
        <f>AY75</f>
        <v>0</v>
      </c>
      <c r="BI75" s="326">
        <f t="shared" si="7"/>
        <v>0</v>
      </c>
      <c r="BJ75" s="95">
        <f>VLOOKUP(BD75,CENY!$B$11:$M$2025,12,FALSE)</f>
        <v>7.7280000000000001E-2</v>
      </c>
      <c r="BK75" s="95">
        <f t="shared" si="8"/>
        <v>0</v>
      </c>
    </row>
    <row r="76" spans="47:63" ht="14.45" customHeight="1">
      <c r="AU76" s="20"/>
      <c r="AV76" s="21"/>
      <c r="AW76" s="22"/>
      <c r="AX76" s="22"/>
      <c r="AY76" s="23"/>
      <c r="AZ76" s="326" t="str">
        <f>IF(AY76="","",IF($AW$4=1,AY76,0))</f>
        <v/>
      </c>
      <c r="BA76" s="95"/>
      <c r="BB76" s="95" t="str">
        <f t="shared" si="5"/>
        <v/>
      </c>
      <c r="BD76" s="319"/>
      <c r="BE76" s="21"/>
      <c r="BF76" s="22"/>
      <c r="BG76" s="22"/>
      <c r="BH76" s="23"/>
      <c r="BI76" s="326" t="str">
        <f t="shared" si="7"/>
        <v/>
      </c>
      <c r="BJ76" s="95"/>
      <c r="BK76" s="95" t="str">
        <f t="shared" si="4"/>
        <v/>
      </c>
    </row>
    <row r="77" spans="47:63" ht="14.45" customHeight="1">
      <c r="AU77" s="20"/>
      <c r="AV77" s="21"/>
      <c r="AW77" s="22"/>
      <c r="AX77" s="22"/>
      <c r="AY77" s="23"/>
      <c r="AZ77" s="326" t="str">
        <f>IF(AY77="","",IF($AW$4=1,AY77,0))</f>
        <v/>
      </c>
      <c r="BA77" s="95"/>
      <c r="BB77" s="95" t="str">
        <f t="shared" si="5"/>
        <v/>
      </c>
      <c r="BD77" s="319"/>
      <c r="BE77" s="21"/>
      <c r="BF77" s="22"/>
      <c r="BG77" s="22"/>
      <c r="BH77" s="23"/>
      <c r="BI77" s="326" t="str">
        <f t="shared" si="7"/>
        <v/>
      </c>
      <c r="BJ77" s="95"/>
      <c r="BK77" s="95" t="str">
        <f>IF(BJ77="","",BJ77*BH77)</f>
        <v/>
      </c>
    </row>
    <row r="78" spans="47:63" ht="14.45" customHeight="1">
      <c r="AU78" s="20"/>
      <c r="AV78" s="21"/>
      <c r="AW78" s="22"/>
      <c r="AX78" s="22"/>
      <c r="AY78" s="23"/>
      <c r="AZ78" s="326" t="str">
        <f>IF(AY78="","",IF($AW$4=1,AY78,0))</f>
        <v/>
      </c>
      <c r="BA78" s="95"/>
      <c r="BB78" s="95" t="str">
        <f>IF(BA78="","",BA78*AY78)</f>
        <v/>
      </c>
      <c r="BD78" s="319"/>
      <c r="BE78" s="21"/>
      <c r="BF78" s="22"/>
      <c r="BG78" s="22"/>
      <c r="BH78" s="23"/>
      <c r="BI78" s="326" t="str">
        <f t="shared" si="7"/>
        <v/>
      </c>
      <c r="BJ78" s="95"/>
      <c r="BK78" s="95" t="str">
        <f>IF(BJ78="","",BJ78*BH78)</f>
        <v/>
      </c>
    </row>
    <row r="79" spans="47:63" ht="14.45" customHeight="1"/>
    <row r="80" spans="47:63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</sheetData>
  <sheetProtection algorithmName="SHA-512" hashValue="DyyM3jPMKBVD5U/7Nk3mcRDI473jrxAGbEBicq59BCPUM5gzRh7ayrJy1bJGDHP9DsXu5CXgfISTpplXXP3LUw==" saltValue="U6vuANeHWIJDZfJkRlTaAw==" spinCount="100000" sheet="1" objects="1" scenarios="1"/>
  <mergeCells count="106"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U2:Y2"/>
    <mergeCell ref="AA2:AE2"/>
    <mergeCell ref="AI2:AM2"/>
    <mergeCell ref="B12:E12"/>
    <mergeCell ref="F12:I12"/>
    <mergeCell ref="J12:K12"/>
    <mergeCell ref="B13:E13"/>
    <mergeCell ref="F13:I13"/>
    <mergeCell ref="J13:K13"/>
    <mergeCell ref="B9:E9"/>
    <mergeCell ref="F9:K9"/>
    <mergeCell ref="B10:E10"/>
    <mergeCell ref="F10:K10"/>
    <mergeCell ref="B11:E11"/>
    <mergeCell ref="F11:K11"/>
    <mergeCell ref="AE18:AF18"/>
    <mergeCell ref="AI18:AO18"/>
    <mergeCell ref="B19:G19"/>
    <mergeCell ref="H19:L19"/>
    <mergeCell ref="M19:N19"/>
    <mergeCell ref="AN19:AO19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B22:G22"/>
    <mergeCell ref="H22:L22"/>
    <mergeCell ref="M22:N22"/>
    <mergeCell ref="O22:P22"/>
    <mergeCell ref="Q22:R22"/>
    <mergeCell ref="S22:T22"/>
    <mergeCell ref="U22:V22"/>
    <mergeCell ref="W22:X22"/>
    <mergeCell ref="U20:V20"/>
    <mergeCell ref="W20:X20"/>
    <mergeCell ref="B20:G20"/>
    <mergeCell ref="H20:L20"/>
    <mergeCell ref="M20:N20"/>
    <mergeCell ref="O20:P20"/>
    <mergeCell ref="Q20:R20"/>
    <mergeCell ref="S20:T20"/>
    <mergeCell ref="Y22:Z22"/>
    <mergeCell ref="AA22:AB22"/>
    <mergeCell ref="AC22:AD22"/>
    <mergeCell ref="AA26:AB26"/>
    <mergeCell ref="AC26:AD26"/>
    <mergeCell ref="AE22:AF22"/>
    <mergeCell ref="AN22:AO22"/>
    <mergeCell ref="AI25:AO25"/>
    <mergeCell ref="AN20:AO20"/>
    <mergeCell ref="AN21:AO21"/>
    <mergeCell ref="Y20:Z20"/>
    <mergeCell ref="AA20:AB20"/>
    <mergeCell ref="AC20:AD20"/>
    <mergeCell ref="AE20:AF20"/>
    <mergeCell ref="AI26:AO26"/>
    <mergeCell ref="B27:G27"/>
    <mergeCell ref="H27:L27"/>
    <mergeCell ref="M27:N27"/>
    <mergeCell ref="AN27:AO27"/>
    <mergeCell ref="O26:P26"/>
    <mergeCell ref="Q26:R26"/>
    <mergeCell ref="S26:T26"/>
    <mergeCell ref="U26:V26"/>
    <mergeCell ref="W26:X26"/>
    <mergeCell ref="Y26:Z26"/>
    <mergeCell ref="U28:V28"/>
    <mergeCell ref="W28:X28"/>
    <mergeCell ref="Y28:Z28"/>
    <mergeCell ref="AA28:AB28"/>
    <mergeCell ref="AA30:AB30"/>
    <mergeCell ref="AC28:AD28"/>
    <mergeCell ref="AN28:AO28"/>
    <mergeCell ref="B28:G28"/>
    <mergeCell ref="H28:L28"/>
    <mergeCell ref="M28:N28"/>
    <mergeCell ref="O28:P28"/>
    <mergeCell ref="Q28:R28"/>
    <mergeCell ref="S28:T28"/>
    <mergeCell ref="AC30:AD30"/>
    <mergeCell ref="AN29:AO29"/>
    <mergeCell ref="B30:G30"/>
    <mergeCell ref="H30:L30"/>
    <mergeCell ref="M30:N30"/>
    <mergeCell ref="O30:P30"/>
    <mergeCell ref="Q30:R30"/>
    <mergeCell ref="S30:T30"/>
    <mergeCell ref="U30:V30"/>
    <mergeCell ref="W30:X30"/>
    <mergeCell ref="Y30:Z30"/>
  </mergeCells>
  <conditionalFormatting sqref="BH5:BI5 AY5:AZ8 AY10:AY35 AY38 BH6:BH14 BH16:BH51 BH56:BH64 AY66:AY69 AZ10:AZ69 BI6:BI69 AY76:AZ78 BH76:BI78">
    <cfRule type="cellIs" dxfId="980" priority="35" stopIfTrue="1" operator="equal">
      <formula>0</formula>
    </cfRule>
  </conditionalFormatting>
  <conditionalFormatting sqref="O17:AF17 U20:AB20 W22:AB22 U28:AB28 U30:AB30 AI25:AO25 AI17:AO17">
    <cfRule type="expression" dxfId="979" priority="34" stopIfTrue="1">
      <formula>$AW$4=0</formula>
    </cfRule>
  </conditionalFormatting>
  <conditionalFormatting sqref="AY44:AY45 AY47 AY49:AY51">
    <cfRule type="cellIs" dxfId="978" priority="32" stopIfTrue="1" operator="equal">
      <formula>0</formula>
    </cfRule>
  </conditionalFormatting>
  <conditionalFormatting sqref="AY52">
    <cfRule type="cellIs" dxfId="977" priority="31" stopIfTrue="1" operator="equal">
      <formula>0</formula>
    </cfRule>
  </conditionalFormatting>
  <conditionalFormatting sqref="AY56:AY65">
    <cfRule type="cellIs" dxfId="976" priority="30" stopIfTrue="1" operator="equal">
      <formula>0</formula>
    </cfRule>
  </conditionalFormatting>
  <conditionalFormatting sqref="BH15">
    <cfRule type="cellIs" dxfId="975" priority="29" stopIfTrue="1" operator="equal">
      <formula>0</formula>
    </cfRule>
  </conditionalFormatting>
  <conditionalFormatting sqref="AY39:AY42">
    <cfRule type="cellIs" dxfId="974" priority="26" stopIfTrue="1" operator="equal">
      <formula>0</formula>
    </cfRule>
  </conditionalFormatting>
  <conditionalFormatting sqref="AY43">
    <cfRule type="cellIs" dxfId="973" priority="24" stopIfTrue="1" operator="equal">
      <formula>0</formula>
    </cfRule>
  </conditionalFormatting>
  <conditionalFormatting sqref="AY46">
    <cfRule type="cellIs" dxfId="972" priority="23" stopIfTrue="1" operator="equal">
      <formula>0</formula>
    </cfRule>
  </conditionalFormatting>
  <conditionalFormatting sqref="AY53:AY55">
    <cfRule type="cellIs" dxfId="971" priority="22" stopIfTrue="1" operator="equal">
      <formula>0</formula>
    </cfRule>
  </conditionalFormatting>
  <conditionalFormatting sqref="BH52:BH55">
    <cfRule type="cellIs" dxfId="970" priority="21" stopIfTrue="1" operator="equal">
      <formula>0</formula>
    </cfRule>
  </conditionalFormatting>
  <conditionalFormatting sqref="BH65:BH67 BH69">
    <cfRule type="cellIs" dxfId="969" priority="20" stopIfTrue="1" operator="equal">
      <formula>0</formula>
    </cfRule>
  </conditionalFormatting>
  <conditionalFormatting sqref="AY36:AY37">
    <cfRule type="cellIs" dxfId="968" priority="18" stopIfTrue="1" operator="equal">
      <formula>0</formula>
    </cfRule>
  </conditionalFormatting>
  <conditionalFormatting sqref="AY48">
    <cfRule type="cellIs" dxfId="967" priority="15" stopIfTrue="1" operator="equal">
      <formula>0</formula>
    </cfRule>
  </conditionalFormatting>
  <conditionalFormatting sqref="BH68">
    <cfRule type="cellIs" dxfId="966" priority="14" stopIfTrue="1" operator="equal">
      <formula>0</formula>
    </cfRule>
  </conditionalFormatting>
  <conditionalFormatting sqref="F13:K13">
    <cfRule type="expression" dxfId="965" priority="13" stopIfTrue="1">
      <formula>$AW$4=1</formula>
    </cfRule>
  </conditionalFormatting>
  <conditionalFormatting sqref="AY9">
    <cfRule type="cellIs" dxfId="964" priority="11" stopIfTrue="1" operator="equal">
      <formula>0</formula>
    </cfRule>
  </conditionalFormatting>
  <conditionalFormatting sqref="AZ9">
    <cfRule type="cellIs" dxfId="963" priority="10" stopIfTrue="1" operator="equal">
      <formula>0</formula>
    </cfRule>
  </conditionalFormatting>
  <conditionalFormatting sqref="AZ71:AZ75">
    <cfRule type="cellIs" dxfId="962" priority="9" stopIfTrue="1" operator="equal">
      <formula>0</formula>
    </cfRule>
  </conditionalFormatting>
  <conditionalFormatting sqref="AY71:AY75">
    <cfRule type="cellIs" dxfId="961" priority="8" stopIfTrue="1" operator="equal">
      <formula>0</formula>
    </cfRule>
  </conditionalFormatting>
  <conditionalFormatting sqref="BH71 BH74:BH75">
    <cfRule type="cellIs" dxfId="960" priority="7" stopIfTrue="1" operator="equal">
      <formula>0</formula>
    </cfRule>
  </conditionalFormatting>
  <conditionalFormatting sqref="BI71:BI75">
    <cfRule type="cellIs" dxfId="959" priority="6" stopIfTrue="1" operator="equal">
      <formula>0</formula>
    </cfRule>
  </conditionalFormatting>
  <conditionalFormatting sqref="BH72:BH73">
    <cfRule type="cellIs" dxfId="958" priority="5" stopIfTrue="1" operator="equal">
      <formula>0</formula>
    </cfRule>
  </conditionalFormatting>
  <conditionalFormatting sqref="AZ70">
    <cfRule type="cellIs" dxfId="957" priority="4" stopIfTrue="1" operator="equal">
      <formula>0</formula>
    </cfRule>
  </conditionalFormatting>
  <conditionalFormatting sqref="AY70">
    <cfRule type="cellIs" dxfId="956" priority="3" stopIfTrue="1" operator="equal">
      <formula>0</formula>
    </cfRule>
  </conditionalFormatting>
  <conditionalFormatting sqref="BH70">
    <cfRule type="cellIs" dxfId="955" priority="2" stopIfTrue="1" operator="equal">
      <formula>0</formula>
    </cfRule>
  </conditionalFormatting>
  <conditionalFormatting sqref="BI70">
    <cfRule type="cellIs" dxfId="954" priority="1" stopIfTrue="1" operator="equal">
      <formula>0</formula>
    </cfRule>
  </conditionalFormatting>
  <hyperlinks>
    <hyperlink ref="M4" location="MENU!A1" display="MENU!A1" xr:uid="{00000000-0004-0000-0400-000000000000}"/>
    <hyperlink ref="M10" location="OBJ!A1" display="OBJ!A1" xr:uid="{00000000-0004-0000-0400-000001000000}"/>
    <hyperlink ref="M9" location="suhrn!A1" display="suhrn!A1" xr:uid="{00000000-0004-0000-0400-000002000000}"/>
    <hyperlink ref="O2:S2" location="MENU!A5" display="MENU!A5" xr:uid="{00000000-0004-0000-04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5">
    <tabColor rgb="FFFFFF00"/>
  </sheetPr>
  <dimension ref="A1:BK135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101"</f>
        <v>Zásuvka AVANTECH YOU  101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SUM(BB5:BB990)</f>
        <v>#N/A</v>
      </c>
      <c r="BD4" s="94" t="s">
        <v>34</v>
      </c>
      <c r="BK4" s="322" t="e">
        <f>SUM(BK5:BK985)</f>
        <v>#N/A</v>
      </c>
    </row>
    <row r="5" spans="1:63" ht="14.45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26.248429999999999</v>
      </c>
      <c r="BB5" s="95">
        <f t="shared" ref="BB5:BB66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361"/>
      <c r="BH5" s="23">
        <f>AY5</f>
        <v>0</v>
      </c>
      <c r="BI5" s="326">
        <f>IF(BH5="","",IF($AW$4=0,BH5,0))</f>
        <v>0</v>
      </c>
      <c r="BJ5" s="95">
        <f>VLOOKUP(BD5,CENY!$B$11:$M$2025,12,FALSE)</f>
        <v>10.00929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283</v>
      </c>
      <c r="G6" s="566"/>
      <c r="H6" s="566"/>
      <c r="I6" s="566"/>
      <c r="J6" s="566"/>
      <c r="K6" s="566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 t="shared" ref="AZ6:AZ67" si="1">IF(AY6="","",IF($AW$4=1,AY6,0))</f>
        <v>0</v>
      </c>
      <c r="BA6" s="95">
        <f>VLOOKUP(AU6,CENY!$B$11:$M$2025,12,FALSE)</f>
        <v>26.467459999999999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361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10.00929</v>
      </c>
      <c r="BK6" s="95">
        <f t="shared" ref="BK6:BK69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si="1"/>
        <v>0</v>
      </c>
      <c r="BA7" s="95">
        <f>VLOOKUP(AU7,CENY!$B$11:$M$2025,12,FALSE)</f>
        <v>26.833570000000002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361"/>
      <c r="BH7" s="23">
        <f>AY6</f>
        <v>0</v>
      </c>
      <c r="BI7" s="326">
        <f t="shared" si="2"/>
        <v>0</v>
      </c>
      <c r="BJ7" s="95">
        <f>VLOOKUP(BD7,CENY!$B$11:$M$2025,12,FALSE)</f>
        <v>10.12106</v>
      </c>
      <c r="BK7" s="95">
        <f t="shared" si="3"/>
        <v>0</v>
      </c>
    </row>
    <row r="8" spans="1:63" ht="14.45" customHeigh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1"/>
        <v>0</v>
      </c>
      <c r="BA8" s="95">
        <f>VLOOKUP(AU8,CENY!$B$11:$M$2025,12,FALSE)</f>
        <v>27.19903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361"/>
      <c r="BH8" s="23">
        <f>AY6</f>
        <v>0</v>
      </c>
      <c r="BI8" s="326">
        <f t="shared" si="2"/>
        <v>0</v>
      </c>
      <c r="BJ8" s="95">
        <f>VLOOKUP(BD8,CENY!$B$11:$M$2025,12,FALSE)</f>
        <v>10.12106</v>
      </c>
      <c r="BK8" s="95">
        <f t="shared" si="3"/>
        <v>0</v>
      </c>
    </row>
    <row r="9" spans="1:63" ht="14.45" customHeight="1">
      <c r="B9" s="552"/>
      <c r="C9" s="560"/>
      <c r="D9" s="560"/>
      <c r="E9" s="561"/>
      <c r="F9" s="562"/>
      <c r="G9" s="563"/>
      <c r="H9" s="563"/>
      <c r="I9" s="563"/>
      <c r="J9" s="563"/>
      <c r="K9" s="564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1"/>
        <v>0</v>
      </c>
      <c r="BA9" s="95">
        <f>VLOOKUP(AU9,CENY!$B$11:$M$2025,12,FALSE)</f>
        <v>26.252320000000001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361"/>
      <c r="BH9" s="23">
        <f>AY7</f>
        <v>0</v>
      </c>
      <c r="BI9" s="326">
        <f t="shared" si="2"/>
        <v>0</v>
      </c>
      <c r="BJ9" s="95">
        <f>VLOOKUP(BD9,CENY!$B$11:$M$2025,12,FALSE)</f>
        <v>10.307510000000001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1"/>
        <v>0</v>
      </c>
      <c r="BA10" s="95">
        <f>VLOOKUP(AU10,CENY!$B$11:$M$2025,12,FALSE)</f>
        <v>26.6005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361"/>
      <c r="BH10" s="23">
        <f>AY7</f>
        <v>0</v>
      </c>
      <c r="BI10" s="326">
        <f t="shared" si="2"/>
        <v>0</v>
      </c>
      <c r="BJ10" s="95">
        <f>VLOOKUP(BD10,CENY!$B$11:$M$2025,12,FALSE)</f>
        <v>10.307510000000001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1"/>
        <v>0</v>
      </c>
      <c r="BA11" s="95">
        <f>VLOOKUP(AU11,CENY!$B$11:$M$2025,12,FALSE)</f>
        <v>28.296320000000001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361"/>
      <c r="BH11" s="23">
        <f>AY8</f>
        <v>0</v>
      </c>
      <c r="BI11" s="326">
        <f t="shared" si="2"/>
        <v>0</v>
      </c>
      <c r="BJ11" s="95">
        <f>VLOOKUP(BD11,CENY!$B$11:$M$2025,12,FALSE)</f>
        <v>10.49362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1"/>
        <v>0</v>
      </c>
      <c r="BA12" s="95">
        <f>VLOOKUP(AU12,CENY!$B$11:$M$2025,12,FALSE)</f>
        <v>28.89237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361"/>
      <c r="BH12" s="23">
        <f>AY8</f>
        <v>0</v>
      </c>
      <c r="BI12" s="326">
        <f t="shared" si="2"/>
        <v>0</v>
      </c>
      <c r="BJ12" s="95">
        <f>VLOOKUP(BD12,CENY!$B$11:$M$2025,12,FALSE)</f>
        <v>10.49362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AE22</f>
        <v>0</v>
      </c>
      <c r="AZ13" s="326">
        <f t="shared" si="1"/>
        <v>0</v>
      </c>
      <c r="BA13" s="95">
        <f>VLOOKUP(AU13,CENY!$B$11:$M$2025,12,FALSE)</f>
        <v>29.75958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361"/>
      <c r="BH13" s="23">
        <f>AY9</f>
        <v>0</v>
      </c>
      <c r="BI13" s="326">
        <f t="shared" si="2"/>
        <v>0</v>
      </c>
      <c r="BJ13" s="95">
        <f>VLOOKUP(BD13,CENY!$B$11:$M$2025,12,FALSE)</f>
        <v>10.680099999999999</v>
      </c>
      <c r="BK13" s="95">
        <f t="shared" si="3"/>
        <v>0</v>
      </c>
    </row>
    <row r="14" spans="1:63" ht="14.45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361"/>
      <c r="BH14" s="23">
        <f>AY9</f>
        <v>0</v>
      </c>
      <c r="BI14" s="326">
        <f t="shared" si="2"/>
        <v>0</v>
      </c>
      <c r="BJ14" s="95">
        <f>VLOOKUP(BD14,CENY!$B$11:$M$2025,12,FALSE)</f>
        <v>10.680099999999999</v>
      </c>
      <c r="BK14" s="95">
        <f t="shared" si="3"/>
        <v>0</v>
      </c>
    </row>
    <row r="15" spans="1:63" ht="14.45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si="1"/>
        <v>0</v>
      </c>
      <c r="BA15" s="95">
        <f>VLOOKUP(AU15,CENY!$B$11:$M$2025,12,FALSE)</f>
        <v>0.95189000000000001</v>
      </c>
      <c r="BB15" s="95">
        <f t="shared" si="0"/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361"/>
      <c r="BH15" s="23">
        <f>AY10</f>
        <v>0</v>
      </c>
      <c r="BI15" s="326">
        <f t="shared" si="2"/>
        <v>0</v>
      </c>
      <c r="BJ15" s="95">
        <f>VLOOKUP(BD15,CENY!$B$11:$M$2025,12,FALSE)</f>
        <v>10.348739999999999</v>
      </c>
      <c r="BK15" s="95">
        <f t="shared" si="3"/>
        <v>0</v>
      </c>
    </row>
    <row r="16" spans="1:63" ht="14.45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1"/>
        <v>0</v>
      </c>
      <c r="BA16" s="95">
        <f>VLOOKUP(AU16,CENY!$B$11:$M$2025,12,FALSE)</f>
        <v>0.96240999999999999</v>
      </c>
      <c r="BB16" s="95">
        <f t="shared" si="0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361"/>
      <c r="BH16" s="23">
        <f>AY10</f>
        <v>0</v>
      </c>
      <c r="BI16" s="326">
        <f t="shared" si="2"/>
        <v>0</v>
      </c>
      <c r="BJ16" s="95">
        <f>VLOOKUP(BD16,CENY!$B$11:$M$2025,12,FALSE)</f>
        <v>10.348739999999999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I17" s="542" t="str">
        <f>verze!E198</f>
        <v>P2O Silent pre Actro</v>
      </c>
      <c r="AJ17" s="543"/>
      <c r="AK17" s="543"/>
      <c r="AL17" s="543"/>
      <c r="AM17" s="543"/>
      <c r="AN17" s="543"/>
      <c r="AO17" s="543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1"/>
        <v>0</v>
      </c>
      <c r="BA17" s="95">
        <f>VLOOKUP(AU17,CENY!$B$11:$M$2025,12,FALSE)</f>
        <v>0.98018000000000005</v>
      </c>
      <c r="BB17" s="95">
        <f t="shared" si="0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361"/>
      <c r="BH17" s="23">
        <f>AY11</f>
        <v>0</v>
      </c>
      <c r="BI17" s="326">
        <f t="shared" si="2"/>
        <v>0</v>
      </c>
      <c r="BJ17" s="95">
        <f>VLOOKUP(BD17,CENY!$B$11:$M$2025,12,FALSE)</f>
        <v>11.052530000000001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I18" s="545" t="s">
        <v>299</v>
      </c>
      <c r="AJ18" s="545"/>
      <c r="AK18" s="545"/>
      <c r="AL18" s="545"/>
      <c r="AM18" s="545"/>
      <c r="AN18" s="545"/>
      <c r="AO18" s="545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1"/>
        <v>0</v>
      </c>
      <c r="BA18" s="95">
        <f>VLOOKUP(AU18,CENY!$B$11:$M$2025,12,FALSE)</f>
        <v>0.99777000000000005</v>
      </c>
      <c r="BB18" s="95">
        <f t="shared" si="0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361"/>
      <c r="BH18" s="23">
        <f>AY11</f>
        <v>0</v>
      </c>
      <c r="BI18" s="326">
        <f t="shared" si="2"/>
        <v>0</v>
      </c>
      <c r="BJ18" s="95">
        <f>VLOOKUP(BD18,CENY!$B$11:$M$2025,12,FALSE)</f>
        <v>11.052530000000001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69"/>
      <c r="P19" s="570"/>
      <c r="Q19" s="569"/>
      <c r="R19" s="570"/>
      <c r="S19" s="569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6"/>
      <c r="AO19" s="536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1"/>
        <v>0</v>
      </c>
      <c r="BA19" s="95">
        <f>VLOOKUP(AU19,CENY!$B$11:$M$2025,12,FALSE)</f>
        <v>1.01556</v>
      </c>
      <c r="BB19" s="95">
        <f t="shared" si="0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361"/>
      <c r="BH19" s="23">
        <f>AY12</f>
        <v>0</v>
      </c>
      <c r="BI19" s="326">
        <f t="shared" si="2"/>
        <v>0</v>
      </c>
      <c r="BJ19" s="95">
        <f>VLOOKUP(BD19,CENY!$B$11:$M$2025,12,FALSE)</f>
        <v>11.33343</v>
      </c>
      <c r="BK19" s="95">
        <f t="shared" si="3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18"/>
      <c r="P20" s="519"/>
      <c r="Q20" s="518"/>
      <c r="R20" s="519"/>
      <c r="S20" s="518"/>
      <c r="T20" s="519"/>
      <c r="U20" s="518"/>
      <c r="V20" s="519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I20" s="287"/>
      <c r="AJ20" s="288"/>
      <c r="AK20" s="287"/>
      <c r="AL20" s="288"/>
      <c r="AM20" s="286" t="s">
        <v>294</v>
      </c>
      <c r="AN20" s="522"/>
      <c r="AO20" s="522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1"/>
        <v>0</v>
      </c>
      <c r="BA20" s="95">
        <f>VLOOKUP(AU20,CENY!$B$11:$M$2025,12,FALSE)</f>
        <v>1.0332399999999999</v>
      </c>
      <c r="BB20" s="95">
        <f t="shared" si="0"/>
        <v>0</v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361"/>
      <c r="BH20" s="23">
        <f>AY12</f>
        <v>0</v>
      </c>
      <c r="BI20" s="326">
        <f t="shared" si="2"/>
        <v>0</v>
      </c>
      <c r="BJ20" s="95">
        <f>VLOOKUP(BD20,CENY!$B$11:$M$2025,12,FALSE)</f>
        <v>11.33343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4"/>
      <c r="AO21" s="544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1"/>
        <v>0</v>
      </c>
      <c r="BA21" s="95">
        <f>VLOOKUP(AU21,CENY!$B$11:$M$2025,12,FALSE)</f>
        <v>1.0508599999999999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361"/>
      <c r="BH21" s="23">
        <f>AY13</f>
        <v>0</v>
      </c>
      <c r="BI21" s="326">
        <f t="shared" si="2"/>
        <v>0</v>
      </c>
      <c r="BJ21" s="95">
        <f>VLOOKUP(BD21,CENY!$B$11:$M$2025,12,FALSE)</f>
        <v>11.715400000000001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67"/>
      <c r="AF22" s="568"/>
      <c r="AI22" s="287"/>
      <c r="AJ22" s="288"/>
      <c r="AK22" s="287"/>
      <c r="AL22" s="288"/>
      <c r="AM22" s="286" t="s">
        <v>297</v>
      </c>
      <c r="AN22" s="541"/>
      <c r="AO22" s="541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1"/>
        <v>0</v>
      </c>
      <c r="BA22" s="95">
        <f>VLOOKUP(AU22,CENY!$B$11:$M$2025,12,FALSE)</f>
        <v>1.09639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361"/>
      <c r="BH22" s="23">
        <f>AY13</f>
        <v>0</v>
      </c>
      <c r="BI22" s="326">
        <f t="shared" si="2"/>
        <v>0</v>
      </c>
      <c r="BJ22" s="95">
        <f>VLOOKUP(BD22,CENY!$B$11:$M$2025,12,FALSE)</f>
        <v>11.715400000000001</v>
      </c>
      <c r="BK22" s="95">
        <f t="shared" si="3"/>
        <v>0</v>
      </c>
    </row>
    <row r="23" spans="2:63" ht="14.45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IF(FORM!AM18=FORM!AU16,0,2*AE22)</f>
        <v>0</v>
      </c>
      <c r="AZ23" s="326">
        <f t="shared" si="1"/>
        <v>0</v>
      </c>
      <c r="BA23" s="95">
        <f>VLOOKUP(AU23,CENY!$B$11:$M$2025,12,FALSE)</f>
        <v>1.1824300000000001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5" customHeight="1"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19">
        <f>OBJ!B69</f>
        <v>9255835</v>
      </c>
      <c r="BE24" s="21" t="str">
        <f>VLOOKUP(BD24,CENY!$B$11:$G$1054,2,FALSE)</f>
        <v>AvanY-príchytka čela k naskrutk./ v101</v>
      </c>
      <c r="BF24" s="22">
        <f>VLOOKUP(BD24,CENY!$B$11:$G$1054,3,FALSE)</f>
        <v>200</v>
      </c>
      <c r="BG24" s="22"/>
      <c r="BH24" s="23">
        <f>2*(SUM(O19:T19)+SUM(O20:AD20)+SUM(W22:AF22)+SUM(O27:T27)+SUM(O28:AD28)+SUM(O30:AD30))</f>
        <v>0</v>
      </c>
      <c r="BI24" s="326">
        <f t="shared" si="2"/>
        <v>0</v>
      </c>
      <c r="BJ24" s="95">
        <f>VLOOKUP(BD24,CENY!$B$11:$M$2025,12,FALSE)</f>
        <v>1.1621999999999999</v>
      </c>
      <c r="BK24" s="95">
        <f t="shared" si="3"/>
        <v>0</v>
      </c>
    </row>
    <row r="25" spans="2:63" ht="14.45" customHeight="1" thickBot="1">
      <c r="B25" s="2" t="s">
        <v>285</v>
      </c>
      <c r="AI25" s="542" t="str">
        <f>verze!E199</f>
        <v>P2O Silent pre Quadro</v>
      </c>
      <c r="AJ25" s="543"/>
      <c r="AK25" s="543"/>
      <c r="AL25" s="543"/>
      <c r="AM25" s="543"/>
      <c r="AN25" s="543"/>
      <c r="AO25" s="543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si="1"/>
        <v>0</v>
      </c>
      <c r="BA25" s="95">
        <f>VLOOKUP(AU25,CENY!$B$11:$M$2025,12,FALSE)</f>
        <v>31.62575</v>
      </c>
      <c r="BB25" s="95">
        <f t="shared" si="0"/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2*(SUM(O19:T19)+SUM(O20:AD20)+SUM(W22:AF22)+SUM(O27:T27)+SUM(O28:AD28)+SUM(O30:AD30))</f>
        <v>0</v>
      </c>
      <c r="BI25" s="326">
        <f t="shared" si="2"/>
        <v>0</v>
      </c>
      <c r="BJ25" s="95">
        <f>VLOOKUP(BD25,CENY!$B$11:$M$2025,12,FALSE)</f>
        <v>0.74794000000000005</v>
      </c>
      <c r="BK25" s="95">
        <f t="shared" si="3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I26" s="545" t="s">
        <v>299</v>
      </c>
      <c r="AJ26" s="545"/>
      <c r="AK26" s="545"/>
      <c r="AL26" s="545"/>
      <c r="AM26" s="545"/>
      <c r="AN26" s="545"/>
      <c r="AO26" s="545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1"/>
        <v>0</v>
      </c>
      <c r="BA26" s="95">
        <f>VLOOKUP(AU26,CENY!$B$11:$M$2025,12,FALSE)</f>
        <v>31.62575</v>
      </c>
      <c r="BB26" s="95">
        <f t="shared" si="0"/>
        <v>0</v>
      </c>
      <c r="BD26" s="20"/>
      <c r="BE26" s="21"/>
      <c r="BF26" s="22"/>
      <c r="BG26" s="22"/>
      <c r="BH26" s="23"/>
      <c r="BI26" s="326" t="str">
        <f t="shared" si="2"/>
        <v/>
      </c>
      <c r="BJ26" s="95"/>
      <c r="BK26" s="95" t="str">
        <f t="shared" si="3"/>
        <v/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69"/>
      <c r="P27" s="570"/>
      <c r="Q27" s="569"/>
      <c r="R27" s="570"/>
      <c r="S27" s="569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6"/>
      <c r="AO27" s="536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1"/>
        <v>0</v>
      </c>
      <c r="BA27" s="95">
        <f>VLOOKUP(AU27,CENY!$B$11:$M$2025,12,FALSE)</f>
        <v>31.62575</v>
      </c>
      <c r="BB27" s="95">
        <f t="shared" si="0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si="2"/>
        <v>0</v>
      </c>
      <c r="BJ27" s="95">
        <f>VLOOKUP(BD27,CENY!$B$11:$M$2025,12,FALSE)</f>
        <v>0.95189000000000001</v>
      </c>
      <c r="BK27" s="95">
        <f t="shared" si="3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18"/>
      <c r="P28" s="519"/>
      <c r="Q28" s="518"/>
      <c r="R28" s="519"/>
      <c r="S28" s="518"/>
      <c r="T28" s="519"/>
      <c r="U28" s="518"/>
      <c r="V28" s="519"/>
      <c r="W28" s="518"/>
      <c r="X28" s="519"/>
      <c r="Y28" s="518"/>
      <c r="Z28" s="519"/>
      <c r="AA28" s="518"/>
      <c r="AB28" s="519"/>
      <c r="AC28" s="518"/>
      <c r="AD28" s="519"/>
      <c r="AI28" s="287"/>
      <c r="AJ28" s="288"/>
      <c r="AK28" s="287"/>
      <c r="AL28" s="288"/>
      <c r="AM28" s="286" t="s">
        <v>294</v>
      </c>
      <c r="AN28" s="522"/>
      <c r="AO28" s="522"/>
      <c r="AU28" s="20"/>
      <c r="AV28" s="21"/>
      <c r="AW28" s="22"/>
      <c r="AX28" s="22"/>
      <c r="AY28" s="23"/>
      <c r="AZ28" s="326" t="str">
        <f t="shared" si="1"/>
        <v/>
      </c>
      <c r="BA28" s="95"/>
      <c r="BB28" s="95" t="str">
        <f t="shared" si="0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2"/>
        <v>0</v>
      </c>
      <c r="BJ28" s="95">
        <f>VLOOKUP(BD28,CENY!$B$11:$M$2025,12,FALSE)</f>
        <v>0.96240999999999999</v>
      </c>
      <c r="BK28" s="95">
        <f t="shared" si="3"/>
        <v>0</v>
      </c>
    </row>
    <row r="29" spans="2:63" ht="14.45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9"/>
      <c r="AO29" s="529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si="1"/>
        <v>0</v>
      </c>
      <c r="BA29" s="95">
        <f>VLOOKUP(AU29,CENY!$B$11:$M$2025,12,FALSE)</f>
        <v>31.62575</v>
      </c>
      <c r="BB29" s="95">
        <f t="shared" si="0"/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2"/>
        <v>0</v>
      </c>
      <c r="BJ29" s="95">
        <f>VLOOKUP(BD29,CENY!$B$11:$M$2025,12,FALSE)</f>
        <v>0.98018000000000005</v>
      </c>
      <c r="BK29" s="95">
        <f t="shared" si="3"/>
        <v>0</v>
      </c>
    </row>
    <row r="30" spans="2:63" ht="14.45" customHeight="1" thickBot="1">
      <c r="B30" s="530" t="s">
        <v>373</v>
      </c>
      <c r="C30" s="530"/>
      <c r="D30" s="530"/>
      <c r="E30" s="530"/>
      <c r="F30" s="530"/>
      <c r="G30" s="530"/>
      <c r="H30" s="531" t="str">
        <f>verze!E18</f>
        <v>plnovýsuv</v>
      </c>
      <c r="I30" s="531"/>
      <c r="J30" s="531"/>
      <c r="K30" s="531"/>
      <c r="L30" s="531"/>
      <c r="M30" s="525" t="s">
        <v>1</v>
      </c>
      <c r="N30" s="526"/>
      <c r="O30" s="518"/>
      <c r="P30" s="519"/>
      <c r="Q30" s="518"/>
      <c r="R30" s="519"/>
      <c r="S30" s="518"/>
      <c r="T30" s="519"/>
      <c r="U30" s="518"/>
      <c r="V30" s="519"/>
      <c r="W30" s="518"/>
      <c r="X30" s="519"/>
      <c r="Y30" s="518"/>
      <c r="Z30" s="519"/>
      <c r="AA30" s="518"/>
      <c r="AB30" s="519"/>
      <c r="AC30" s="567"/>
      <c r="AD30" s="568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1"/>
        <v>0</v>
      </c>
      <c r="BA30" s="95">
        <f>VLOOKUP(AU30,CENY!$B$11:$M$2025,12,FALSE)</f>
        <v>31.62575</v>
      </c>
      <c r="BB30" s="95">
        <f t="shared" si="0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2"/>
        <v>0</v>
      </c>
      <c r="BJ30" s="95">
        <f>VLOOKUP(BD30,CENY!$B$11:$M$2025,12,FALSE)</f>
        <v>0.99777000000000005</v>
      </c>
      <c r="BK30" s="95">
        <f t="shared" si="3"/>
        <v>0</v>
      </c>
    </row>
    <row r="31" spans="2:63" ht="14.45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1"/>
        <v>0</v>
      </c>
      <c r="BA31" s="95">
        <f>VLOOKUP(AU31,CENY!$B$11:$M$2025,12,FALSE)</f>
        <v>31.62575</v>
      </c>
      <c r="BB31" s="95">
        <f t="shared" si="0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2"/>
        <v>0</v>
      </c>
      <c r="BJ31" s="95">
        <f>VLOOKUP(BD31,CENY!$B$11:$M$2025,12,FALSE)</f>
        <v>1.01556</v>
      </c>
      <c r="BK31" s="95">
        <f t="shared" si="3"/>
        <v>0</v>
      </c>
    </row>
    <row r="32" spans="2:63" ht="14.45" customHeight="1">
      <c r="B32" s="366" t="str">
        <f>verze!E201</f>
        <v>SiSy = tlmenie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1"/>
        <v>0</v>
      </c>
      <c r="BA32" s="95">
        <f>VLOOKUP(AU32,CENY!$B$11:$M$2025,12,FALSE)</f>
        <v>31.976389999999999</v>
      </c>
      <c r="BB32" s="95">
        <f t="shared" si="0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2"/>
        <v>0</v>
      </c>
      <c r="BJ32" s="95">
        <f>VLOOKUP(BD32,CENY!$B$11:$M$2025,12,FALSE)</f>
        <v>1.0332399999999999</v>
      </c>
      <c r="BK32" s="95">
        <f t="shared" si="3"/>
        <v>0</v>
      </c>
    </row>
    <row r="33" spans="2:63" ht="14.45" customHeight="1">
      <c r="B33" s="366" t="str">
        <f>verze!E204</f>
        <v>P2O = otváranie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1"/>
        <v>0</v>
      </c>
      <c r="BA33" s="95">
        <f>VLOOKUP(AU33,CENY!$B$11:$M$2025,12,FALSE)</f>
        <v>32.324420000000003</v>
      </c>
      <c r="BB33" s="95">
        <f t="shared" si="0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2"/>
        <v>0</v>
      </c>
      <c r="BJ33" s="95">
        <f>VLOOKUP(BD33,CENY!$B$11:$M$2025,12,FALSE)</f>
        <v>1.0508599999999999</v>
      </c>
      <c r="BK33" s="95">
        <f t="shared" si="3"/>
        <v>0</v>
      </c>
    </row>
    <row r="34" spans="2:63" ht="14.45" customHeight="1">
      <c r="B34" s="366" t="str">
        <f>verze!E203</f>
        <v>P2O Silent = tlmenie s otváraním bez úchytky Push to open Silent</v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1"/>
        <v>0</v>
      </c>
      <c r="BA34" s="95">
        <f>VLOOKUP(AU34,CENY!$B$11:$M$2025,12,FALSE)</f>
        <v>6.5957299999999996</v>
      </c>
      <c r="BB34" s="95">
        <f t="shared" si="0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2"/>
        <v>0</v>
      </c>
      <c r="BJ34" s="95">
        <f>VLOOKUP(BD34,CENY!$B$11:$M$2025,12,FALSE)</f>
        <v>1.09639</v>
      </c>
      <c r="BK34" s="95">
        <f t="shared" si="3"/>
        <v>0</v>
      </c>
    </row>
    <row r="35" spans="2:63" ht="14.45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1"/>
        <v>0</v>
      </c>
      <c r="BA35" s="95">
        <f>VLOOKUP(AU35,CENY!$B$11:$M$2025,12,FALSE)</f>
        <v>6.9728000000000003</v>
      </c>
      <c r="BB35" s="95">
        <f t="shared" si="0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2*AE22</f>
        <v>0</v>
      </c>
      <c r="BI35" s="326">
        <f t="shared" si="2"/>
        <v>0</v>
      </c>
      <c r="BJ35" s="95">
        <f>VLOOKUP(BD35,CENY!$B$11:$M$2025,12,FALSE)</f>
        <v>1.1824300000000001</v>
      </c>
      <c r="BK35" s="95">
        <f t="shared" si="3"/>
        <v>0</v>
      </c>
    </row>
    <row r="36" spans="2:63" ht="14.45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1"/>
        <v>0</v>
      </c>
      <c r="BA36" s="95">
        <f>VLOOKUP(AU36,CENY!$B$11:$M$2025,12,FALSE)</f>
        <v>34.956960000000002</v>
      </c>
      <c r="BB36" s="95">
        <f t="shared" si="0"/>
        <v>0</v>
      </c>
      <c r="BD36" s="319"/>
      <c r="BE36" s="21"/>
      <c r="BF36" s="22"/>
      <c r="BG36" s="22"/>
      <c r="BH36" s="23"/>
      <c r="BI36" s="326" t="str">
        <f t="shared" si="2"/>
        <v/>
      </c>
      <c r="BJ36" s="95"/>
      <c r="BK36" s="95" t="str">
        <f t="shared" si="3"/>
        <v/>
      </c>
    </row>
    <row r="37" spans="2:63" ht="14.45" customHeight="1">
      <c r="AU37" s="319"/>
      <c r="AV37" s="21"/>
      <c r="AW37" s="22"/>
      <c r="AX37" s="22"/>
      <c r="AY37" s="23"/>
      <c r="AZ37" s="326" t="str">
        <f t="shared" si="1"/>
        <v/>
      </c>
      <c r="BA37" s="95"/>
      <c r="BB37" s="95" t="str">
        <f t="shared" si="0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si="2"/>
        <v>0</v>
      </c>
      <c r="BJ37" s="95" t="e">
        <f>VLOOKUP(BD37,CENY!$B$11:$M$2025,12,FALSE)</f>
        <v>#N/A</v>
      </c>
      <c r="BK37" s="95" t="e">
        <f t="shared" si="3"/>
        <v>#N/A</v>
      </c>
    </row>
    <row r="38" spans="2:63" ht="14.45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1"/>
        <v>0</v>
      </c>
      <c r="BA38" s="95">
        <f>VLOOKUP(AU38,CENY!$B$11:$M$2025,12,FALSE)</f>
        <v>7.9265800000000004</v>
      </c>
      <c r="BB38" s="95">
        <f t="shared" si="0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 t="e">
        <f>VLOOKUP(BD38,CENY!$B$11:$M$2025,12,FALSE)</f>
        <v>#N/A</v>
      </c>
      <c r="BK38" s="95" t="e">
        <f t="shared" si="3"/>
        <v>#N/A</v>
      </c>
    </row>
    <row r="39" spans="2:63" ht="14.45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1"/>
        <v>0</v>
      </c>
      <c r="BA39" s="95">
        <f>VLOOKUP(AU39,CENY!$B$11:$M$2025,12,FALSE)</f>
        <v>39.622210000000003</v>
      </c>
      <c r="BB39" s="95">
        <f t="shared" si="0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2"/>
        <v>0</v>
      </c>
      <c r="BJ39" s="95" t="e">
        <f>VLOOKUP(BD39,CENY!$B$11:$M$2025,12,FALSE)</f>
        <v>#N/A</v>
      </c>
      <c r="BK39" s="95" t="e">
        <f t="shared" si="3"/>
        <v>#N/A</v>
      </c>
    </row>
    <row r="40" spans="2:63" ht="14.45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1"/>
        <v>0</v>
      </c>
      <c r="BA40" s="95">
        <f>VLOOKUP(AU40,CENY!$B$11:$M$2025,12,FALSE)</f>
        <v>41.504899999999999</v>
      </c>
      <c r="BB40" s="95">
        <f t="shared" si="0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 t="e">
        <f>VLOOKUP(BD40,CENY!$B$11:$M$2025,12,FALSE)</f>
        <v>#N/A</v>
      </c>
      <c r="BK40" s="95" t="e">
        <f t="shared" si="3"/>
        <v>#N/A</v>
      </c>
    </row>
    <row r="41" spans="2:63" ht="14.45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1"/>
        <v>0</v>
      </c>
      <c r="BA41" s="95">
        <f>VLOOKUP(AU41,CENY!$B$11:$M$2025,12,FALSE)</f>
        <v>45.308109999999999</v>
      </c>
      <c r="BB41" s="95">
        <f t="shared" si="0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14.37729</v>
      </c>
      <c r="BK41" s="95">
        <f t="shared" si="3"/>
        <v>0</v>
      </c>
    </row>
    <row r="42" spans="2:63" ht="14.45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si="1"/>
        <v>0</v>
      </c>
      <c r="BA42" s="95">
        <f>VLOOKUP(AU42,CENY!$B$11:$M$2025,12,FALSE)</f>
        <v>47.02431</v>
      </c>
      <c r="BB42" s="95">
        <f t="shared" si="0"/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14.37729</v>
      </c>
      <c r="BK42" s="95">
        <f t="shared" si="3"/>
        <v>0</v>
      </c>
    </row>
    <row r="43" spans="2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3"/>
        <v/>
      </c>
    </row>
    <row r="44" spans="2:63" ht="14.45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1"/>
        <v>0</v>
      </c>
      <c r="BA44" s="95">
        <f>VLOOKUP(AU44,CENY!$B$11:$M$2025,12,FALSE)</f>
        <v>23.177009999999999</v>
      </c>
      <c r="BB44" s="95">
        <f t="shared" si="0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si="2"/>
        <v>0</v>
      </c>
      <c r="BJ44" s="95" t="e">
        <f>VLOOKUP(BD44,CENY!$B$11:$M$2025,12,FALSE)</f>
        <v>#N/A</v>
      </c>
      <c r="BK44" s="95" t="e">
        <f t="shared" si="3"/>
        <v>#N/A</v>
      </c>
    </row>
    <row r="45" spans="2:63" ht="14.45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1"/>
        <v>0</v>
      </c>
      <c r="BA45" s="95">
        <f>VLOOKUP(AU45,CENY!$B$11:$M$2025,12,FALSE)</f>
        <v>23.177009999999999</v>
      </c>
      <c r="BB45" s="95">
        <f t="shared" si="0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"/>
        <v>0</v>
      </c>
      <c r="BJ45" s="95" t="e">
        <f>VLOOKUP(BD45,CENY!$B$11:$M$2025,12,FALSE)</f>
        <v>#N/A</v>
      </c>
      <c r="BK45" s="95" t="e">
        <f t="shared" si="3"/>
        <v>#N/A</v>
      </c>
    </row>
    <row r="46" spans="2:63" ht="14.45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1"/>
        <v>0</v>
      </c>
      <c r="BA46" s="95">
        <f>VLOOKUP(AU46,CENY!$B$11:$M$2025,12,FALSE)</f>
        <v>23.177009999999999</v>
      </c>
      <c r="BB46" s="95">
        <f t="shared" si="0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2"/>
        <v>0</v>
      </c>
      <c r="BJ46" s="95">
        <f>VLOOKUP(BD46,CENY!$B$11:$M$2025,12,FALSE)</f>
        <v>14.37729</v>
      </c>
      <c r="BK46" s="95">
        <f t="shared" si="3"/>
        <v>0</v>
      </c>
    </row>
    <row r="47" spans="2:63" ht="14.45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1"/>
        <v>0</v>
      </c>
      <c r="BA47" s="95">
        <f>VLOOKUP(AU47,CENY!$B$11:$M$2025,12,FALSE)</f>
        <v>23.177009999999999</v>
      </c>
      <c r="BB47" s="95">
        <f t="shared" si="0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14.37729</v>
      </c>
      <c r="BK47" s="95">
        <f t="shared" si="3"/>
        <v>0</v>
      </c>
    </row>
    <row r="48" spans="2:63" ht="14.45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SUM(AN19:AO22)+SUM(AN27:AO29)+SUM(O30:AD30)</f>
        <v>0</v>
      </c>
      <c r="AZ48" s="326">
        <f t="shared" si="1"/>
        <v>0</v>
      </c>
      <c r="BA48" s="95">
        <f>VLOOKUP(AU48,CENY!$B$11:$M$2025,12,FALSE)</f>
        <v>8.7567500000000003</v>
      </c>
      <c r="BB48" s="95">
        <f t="shared" si="0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2"/>
        <v>0</v>
      </c>
      <c r="BJ48" s="95">
        <f>VLOOKUP(BD48,CENY!$B$11:$M$2025,12,FALSE)</f>
        <v>14.37729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 t="e">
        <f>VLOOKUP(BD49,CENY!$B$11:$M$2025,12,FALSE)</f>
        <v>#N/A</v>
      </c>
      <c r="BK49" s="95" t="e">
        <f t="shared" si="3"/>
        <v>#N/A</v>
      </c>
    </row>
    <row r="50" spans="47:63" ht="14.45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si="1"/>
        <v>0</v>
      </c>
      <c r="BA50" s="95">
        <f>VLOOKUP(AU50,CENY!$B$11:$M$2025,12,FALSE)</f>
        <v>23.022449999999999</v>
      </c>
      <c r="BB50" s="95">
        <f t="shared" si="0"/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2"/>
        <v>0</v>
      </c>
      <c r="BJ50" s="95">
        <f>VLOOKUP(BD50,CENY!$B$11:$M$2025,12,FALSE)</f>
        <v>14.56085</v>
      </c>
      <c r="BK50" s="95">
        <f t="shared" si="3"/>
        <v>0</v>
      </c>
    </row>
    <row r="51" spans="47:63" ht="14.45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1"/>
        <v>0</v>
      </c>
      <c r="BA51" s="95">
        <f>VLOOKUP(AU51,CENY!$B$11:$M$2025,12,FALSE)</f>
        <v>23.069210000000002</v>
      </c>
      <c r="BB51" s="95">
        <f t="shared" si="0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14.56085</v>
      </c>
      <c r="BK51" s="95">
        <f t="shared" si="3"/>
        <v>0</v>
      </c>
    </row>
    <row r="52" spans="47:63" ht="14.45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1"/>
        <v>0</v>
      </c>
      <c r="BA52" s="95">
        <f>VLOOKUP(AU52,CENY!$B$11:$M$2025,12,FALSE)</f>
        <v>23.536069999999999</v>
      </c>
      <c r="BB52" s="95">
        <f t="shared" si="0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2"/>
        <v>0</v>
      </c>
      <c r="BJ52" s="95" t="e">
        <f>VLOOKUP(BD52,CENY!$B$11:$M$2025,12,FALSE)</f>
        <v>#N/A</v>
      </c>
      <c r="BK52" s="95" t="e">
        <f t="shared" si="3"/>
        <v>#N/A</v>
      </c>
    </row>
    <row r="53" spans="47:63" ht="14.45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0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14.040839999999999</v>
      </c>
      <c r="BK53" s="95">
        <f t="shared" si="3"/>
        <v>0</v>
      </c>
    </row>
    <row r="54" spans="47:63" ht="14.45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si="1"/>
        <v>0</v>
      </c>
      <c r="BA54" s="95">
        <f>VLOOKUP(AU54,CENY!$B$11:$M$2025,12,FALSE)</f>
        <v>23.022449999999999</v>
      </c>
      <c r="BB54" s="95">
        <f t="shared" si="0"/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2"/>
        <v>0</v>
      </c>
      <c r="BJ54" s="95">
        <f>VLOOKUP(BD54,CENY!$B$11:$M$2025,12,FALSE)</f>
        <v>13.931559999999999</v>
      </c>
      <c r="BK54" s="95">
        <f t="shared" si="3"/>
        <v>0</v>
      </c>
    </row>
    <row r="55" spans="47:63" ht="14.45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1"/>
        <v>0</v>
      </c>
      <c r="BA55" s="95">
        <f>VLOOKUP(AU55,CENY!$B$11:$M$2025,12,FALSE)</f>
        <v>23.069210000000002</v>
      </c>
      <c r="BB55" s="95">
        <f t="shared" si="0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13.931559999999999</v>
      </c>
      <c r="BK55" s="95">
        <f t="shared" si="3"/>
        <v>0</v>
      </c>
    </row>
    <row r="56" spans="47:63" ht="14.45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1"/>
        <v>0</v>
      </c>
      <c r="BA56" s="95" t="e">
        <f>VLOOKUP(AU56,CENY!$B$11:$M$2025,12,FALSE)</f>
        <v>#N/A</v>
      </c>
      <c r="BB56" s="95" t="e">
        <f t="shared" si="0"/>
        <v>#N/A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2"/>
        <v>0</v>
      </c>
      <c r="BJ56" s="95">
        <f>VLOOKUP(BD56,CENY!$B$11:$M$2025,12,FALSE)</f>
        <v>15.147040000000001</v>
      </c>
      <c r="BK56" s="95">
        <f t="shared" si="3"/>
        <v>0</v>
      </c>
    </row>
    <row r="57" spans="47:63" ht="14.45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1"/>
        <v>0</v>
      </c>
      <c r="BA57" s="95">
        <f>VLOOKUP(AU57,CENY!$B$11:$M$2025,12,FALSE)</f>
        <v>24.002659999999999</v>
      </c>
      <c r="BB57" s="95">
        <f t="shared" si="0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15.147040000000001</v>
      </c>
      <c r="BK57" s="95">
        <f t="shared" si="3"/>
        <v>0</v>
      </c>
    </row>
    <row r="58" spans="47:63" ht="14.45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1"/>
        <v>0</v>
      </c>
      <c r="BA58" s="95">
        <f>VLOOKUP(AU58,CENY!$B$11:$M$2025,12,FALSE)</f>
        <v>4.9393000000000002</v>
      </c>
      <c r="BB58" s="95">
        <f t="shared" si="0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15.35308</v>
      </c>
      <c r="BK58" s="95">
        <f t="shared" si="3"/>
        <v>0</v>
      </c>
    </row>
    <row r="59" spans="47:63" ht="14.45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1"/>
        <v>0</v>
      </c>
      <c r="BA59" s="95">
        <f>VLOOKUP(AU59,CENY!$B$11:$M$2025,12,FALSE)</f>
        <v>23.748699999999999</v>
      </c>
      <c r="BB59" s="95">
        <f t="shared" si="0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 t="e">
        <f>VLOOKUP(BD59,CENY!$B$11:$M$2025,12,FALSE)</f>
        <v>#N/A</v>
      </c>
      <c r="BK59" s="95" t="e">
        <f t="shared" si="3"/>
        <v>#N/A</v>
      </c>
    </row>
    <row r="60" spans="47:63" ht="14.45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1"/>
        <v>0</v>
      </c>
      <c r="BA60" s="95">
        <f>VLOOKUP(AU60,CENY!$B$11:$M$2025,12,FALSE)</f>
        <v>5.1277499999999998</v>
      </c>
      <c r="BB60" s="95">
        <f t="shared" si="0"/>
        <v>0</v>
      </c>
      <c r="BD60" s="319"/>
      <c r="BE60" s="21"/>
      <c r="BF60" s="22"/>
      <c r="BG60" s="22"/>
      <c r="BH60" s="23"/>
      <c r="BI60" s="326" t="str">
        <f t="shared" si="2"/>
        <v/>
      </c>
      <c r="BJ60" s="95"/>
      <c r="BK60" s="95" t="str">
        <f t="shared" si="3"/>
        <v/>
      </c>
    </row>
    <row r="61" spans="47:63" ht="14.45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1"/>
        <v>0</v>
      </c>
      <c r="BA61" s="95">
        <f>VLOOKUP(AU61,CENY!$B$11:$M$2025,12,FALSE)</f>
        <v>25.86984</v>
      </c>
      <c r="BB61" s="95">
        <f t="shared" si="0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2"/>
        <v>0</v>
      </c>
      <c r="BJ61" s="95" t="e">
        <f>VLOOKUP(BD61,CENY!$B$11:$M$2025,12,FALSE)</f>
        <v>#N/A</v>
      </c>
      <c r="BK61" s="95" t="e">
        <f t="shared" si="3"/>
        <v>#N/A</v>
      </c>
    </row>
    <row r="62" spans="47:63" ht="14.45" customHeight="1">
      <c r="AU62" s="319"/>
      <c r="AV62" s="21"/>
      <c r="AW62" s="22"/>
      <c r="AX62" s="22"/>
      <c r="AY62" s="23"/>
      <c r="AZ62" s="326" t="str">
        <f t="shared" si="1"/>
        <v/>
      </c>
      <c r="BA62" s="95"/>
      <c r="BB62" s="95" t="str">
        <f t="shared" si="0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2"/>
        <v>0</v>
      </c>
      <c r="BJ62" s="95" t="e">
        <f>VLOOKUP(BD62,CENY!$B$11:$M$2025,12,FALSE)</f>
        <v>#N/A</v>
      </c>
      <c r="BK62" s="95" t="e">
        <f t="shared" si="3"/>
        <v>#N/A</v>
      </c>
    </row>
    <row r="63" spans="47:63" ht="14.45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1"/>
        <v>0</v>
      </c>
      <c r="BA63" s="95">
        <f>VLOOKUP(AU63,CENY!$B$11:$M$2025,12,FALSE)</f>
        <v>23.114239999999999</v>
      </c>
      <c r="BB63" s="95">
        <f t="shared" si="0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2"/>
        <v>0</v>
      </c>
      <c r="BJ63" s="95">
        <f>VLOOKUP(BD63,CENY!$B$11:$M$2025,12,FALSE)</f>
        <v>17.52394</v>
      </c>
      <c r="BK63" s="95">
        <f t="shared" si="3"/>
        <v>0</v>
      </c>
    </row>
    <row r="64" spans="47:63" ht="14.45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1"/>
        <v>0</v>
      </c>
      <c r="BA64" s="95">
        <f>VLOOKUP(AU64,CENY!$B$11:$M$2025,12,FALSE)</f>
        <v>23.114239999999999</v>
      </c>
      <c r="BB64" s="95">
        <f t="shared" si="0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2"/>
        <v>0</v>
      </c>
      <c r="BJ64" s="95">
        <f>VLOOKUP(BD64,CENY!$B$11:$M$2025,12,FALSE)</f>
        <v>17.52394</v>
      </c>
      <c r="BK64" s="95">
        <f t="shared" si="3"/>
        <v>0</v>
      </c>
    </row>
    <row r="65" spans="47:63" ht="14.45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1"/>
        <v>0</v>
      </c>
      <c r="BA65" s="95">
        <f>VLOOKUP(AU65,CENY!$B$11:$M$2025,12,FALSE)</f>
        <v>23.114239999999999</v>
      </c>
      <c r="BB65" s="95">
        <f t="shared" si="0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2"/>
        <v>0</v>
      </c>
      <c r="BJ65" s="95">
        <f>VLOOKUP(BD65,CENY!$B$11:$M$2025,12,FALSE)</f>
        <v>18.45496</v>
      </c>
      <c r="BK65" s="95">
        <f t="shared" si="3"/>
        <v>0</v>
      </c>
    </row>
    <row r="66" spans="47:63" ht="14.45" customHeight="1">
      <c r="AU66" s="319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0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2"/>
        <v>0</v>
      </c>
      <c r="BJ66" s="95">
        <f>VLOOKUP(BD66,CENY!$B$11:$M$2025,12,FALSE)</f>
        <v>18.45496</v>
      </c>
      <c r="BK66" s="95">
        <f t="shared" si="3"/>
        <v>0</v>
      </c>
    </row>
    <row r="67" spans="47:63" ht="14.45" customHeight="1"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si="1"/>
        <v>0</v>
      </c>
      <c r="BA67" s="95">
        <f>VLOOKUP(AU67,CENY!$B$11:$M$2025,12,FALSE)</f>
        <v>25.824369999999998</v>
      </c>
      <c r="BB67" s="95">
        <f t="shared" ref="BB67:BB88" si="4">IF(BA67="","",BA67*AY67)</f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2"/>
        <v>0</v>
      </c>
      <c r="BJ67" s="95">
        <f>VLOOKUP(BD67,CENY!$B$11:$M$2025,12,FALSE)</f>
        <v>21.352720000000001</v>
      </c>
      <c r="BK67" s="95">
        <f t="shared" si="3"/>
        <v>0</v>
      </c>
    </row>
    <row r="68" spans="47:63" ht="14.45" customHeight="1"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ref="AZ68:AZ126" si="5">IF(AY68="","",IF($AW$4=1,AY68,0))</f>
        <v>0</v>
      </c>
      <c r="BA68" s="95">
        <f>VLOOKUP(AU68,CENY!$B$11:$M$2025,12,FALSE)</f>
        <v>25.86984</v>
      </c>
      <c r="BB68" s="95">
        <f t="shared" si="4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2"/>
        <v>0</v>
      </c>
      <c r="BJ68" s="95">
        <f>VLOOKUP(BD68,CENY!$B$11:$M$2025,12,FALSE)</f>
        <v>21.352720000000001</v>
      </c>
      <c r="BK68" s="95">
        <f t="shared" si="3"/>
        <v>0</v>
      </c>
    </row>
    <row r="69" spans="47:63" ht="14.45" customHeight="1"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5"/>
        <v>0</v>
      </c>
      <c r="BA69" s="95">
        <f>VLOOKUP(AU69,CENY!$B$11:$M$2025,12,FALSE)</f>
        <v>26.336690000000001</v>
      </c>
      <c r="BB69" s="95">
        <f t="shared" si="4"/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si="2"/>
        <v>0</v>
      </c>
      <c r="BJ69" s="95">
        <f>VLOOKUP(BD69,CENY!$B$11:$M$2025,12,FALSE)</f>
        <v>22.243659999999998</v>
      </c>
      <c r="BK69" s="95">
        <f t="shared" si="3"/>
        <v>0</v>
      </c>
    </row>
    <row r="70" spans="47:63" ht="14.45" customHeight="1"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si="5"/>
        <v>0</v>
      </c>
      <c r="BA70" s="95">
        <f>VLOOKUP(AU70,CENY!$B$11:$M$2025,12,FALSE)</f>
        <v>26.80339</v>
      </c>
      <c r="BB70" s="95">
        <f t="shared" si="4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ref="BI70:BI133" si="6">IF(BH70="","",IF($AW$4=0,BH70,0))</f>
        <v>0</v>
      </c>
      <c r="BJ70" s="95">
        <f>VLOOKUP(BD70,CENY!$B$11:$M$2025,12,FALSE)</f>
        <v>22.243659999999998</v>
      </c>
      <c r="BK70" s="95">
        <f t="shared" ref="BK70:BK133" si="7">IF(BJ70="","",BJ70*BH70)</f>
        <v>0</v>
      </c>
    </row>
    <row r="71" spans="47:63" ht="14.45" customHeight="1"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5"/>
        <v>0</v>
      </c>
      <c r="BA71" s="95">
        <f>VLOOKUP(AU71,CENY!$B$11:$M$2025,12,FALSE)</f>
        <v>27.270389999999999</v>
      </c>
      <c r="BB71" s="95">
        <f t="shared" si="4"/>
        <v>0</v>
      </c>
      <c r="BD71" s="319"/>
      <c r="BE71" s="21"/>
      <c r="BF71" s="22"/>
      <c r="BG71" s="22"/>
      <c r="BH71" s="23"/>
      <c r="BI71" s="326" t="str">
        <f t="shared" si="6"/>
        <v/>
      </c>
      <c r="BJ71" s="95"/>
      <c r="BK71" s="95" t="str">
        <f t="shared" si="7"/>
        <v/>
      </c>
    </row>
    <row r="72" spans="47:63" ht="14.45" customHeight="1"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5"/>
        <v>0</v>
      </c>
      <c r="BA72" s="95">
        <f>VLOOKUP(AU72,CENY!$B$11:$M$2025,12,FALSE)</f>
        <v>5.5988800000000003</v>
      </c>
      <c r="BB72" s="95">
        <f t="shared" si="4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6"/>
        <v>0</v>
      </c>
      <c r="BJ72" s="95">
        <f>VLOOKUP(BD72,CENY!$B$11:$M$2025,12,FALSE)</f>
        <v>23.177009999999999</v>
      </c>
      <c r="BK72" s="95">
        <f t="shared" si="7"/>
        <v>0</v>
      </c>
    </row>
    <row r="73" spans="47:63" ht="14.45" customHeight="1"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5"/>
        <v>0</v>
      </c>
      <c r="BA73" s="95">
        <f>VLOOKUP(AU73,CENY!$B$11:$M$2025,12,FALSE)</f>
        <v>28.20382</v>
      </c>
      <c r="BB73" s="95">
        <f t="shared" si="4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6"/>
        <v>0</v>
      </c>
      <c r="BJ73" s="95">
        <f>VLOOKUP(BD73,CENY!$B$11:$M$2025,12,FALSE)</f>
        <v>23.177009999999999</v>
      </c>
      <c r="BK73" s="95">
        <f t="shared" si="7"/>
        <v>0</v>
      </c>
    </row>
    <row r="74" spans="47:63" ht="14.45" customHeight="1"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5"/>
        <v>0</v>
      </c>
      <c r="BA74" s="95">
        <f>VLOOKUP(AU74,CENY!$B$11:$M$2025,12,FALSE)</f>
        <v>28.670570000000001</v>
      </c>
      <c r="BB74" s="95">
        <f t="shared" si="4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6"/>
        <v>0</v>
      </c>
      <c r="BJ74" s="95">
        <f>VLOOKUP(BD74,CENY!$B$11:$M$2025,12,FALSE)</f>
        <v>23.177009999999999</v>
      </c>
      <c r="BK74" s="95">
        <f t="shared" si="7"/>
        <v>0</v>
      </c>
    </row>
    <row r="75" spans="47:63" ht="14.45" customHeight="1"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6"/>
        <v>0</v>
      </c>
      <c r="BJ75" s="95">
        <f>VLOOKUP(BD75,CENY!$B$11:$M$2025,12,FALSE)</f>
        <v>23.177009999999999</v>
      </c>
      <c r="BK75" s="95">
        <f t="shared" si="7"/>
        <v>0</v>
      </c>
    </row>
    <row r="76" spans="47:63" ht="14.45" customHeight="1"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5"/>
        <v>0</v>
      </c>
      <c r="BA76" s="95">
        <f>VLOOKUP(AU76,CENY!$B$11:$M$2025,12,FALSE)</f>
        <v>0.79318999999999995</v>
      </c>
      <c r="BB76" s="95">
        <f t="shared" si="4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8.7567500000000003</v>
      </c>
      <c r="BK76" s="95">
        <f t="shared" si="7"/>
        <v>0</v>
      </c>
    </row>
    <row r="77" spans="47:63" ht="14.45" customHeight="1"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/>
      <c r="BE77" s="21"/>
      <c r="BF77" s="22"/>
      <c r="BG77" s="22"/>
      <c r="BH77" s="23"/>
      <c r="BI77" s="326" t="str">
        <f t="shared" si="6"/>
        <v/>
      </c>
      <c r="BJ77" s="95"/>
      <c r="BK77" s="95" t="str">
        <f t="shared" si="7"/>
        <v/>
      </c>
    </row>
    <row r="78" spans="47:63" ht="14.45" customHeight="1">
      <c r="AU78" s="442">
        <f>OBJ!B69</f>
        <v>9255835</v>
      </c>
      <c r="AV78" s="443" t="str">
        <f>VLOOKUP(AU78,CENY!$B$11:$G$1054,2,FALSE)</f>
        <v>AvanY-príchytka čela k naskrutk./ v101</v>
      </c>
      <c r="AW78" s="22">
        <f>VLOOKUP(AU78,CENY!$B$11:$G$1054,3,FALSE)</f>
        <v>200</v>
      </c>
      <c r="AX78" s="22"/>
      <c r="AY78" s="68">
        <f>2*(SUM(O19:T19)+SUM(O20:AD20)+SUM(W22:AF22)+SUM(O27:T27)+SUM(O28:AD28)+SUM(O30:AD30))</f>
        <v>0</v>
      </c>
      <c r="AZ78" s="326">
        <f t="shared" si="5"/>
        <v>0</v>
      </c>
      <c r="BA78" s="95">
        <f>VLOOKUP(AU78,CENY!$B$11:$M$2025,12,FALSE)</f>
        <v>1.1621999999999999</v>
      </c>
      <c r="BB78" s="95">
        <f t="shared" si="4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si="6"/>
        <v>0</v>
      </c>
      <c r="BJ78" s="95">
        <f>VLOOKUP(BD78,CENY!$B$11:$M$2025,12,FALSE)</f>
        <v>10.7646</v>
      </c>
      <c r="BK78" s="95">
        <f t="shared" si="7"/>
        <v>0</v>
      </c>
    </row>
    <row r="79" spans="47:63" ht="14.45" customHeight="1"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6"/>
        <v>0</v>
      </c>
      <c r="BJ79" s="95">
        <f>VLOOKUP(BD79,CENY!$B$11:$M$2025,12,FALSE)</f>
        <v>10.7646</v>
      </c>
      <c r="BK79" s="95">
        <f t="shared" si="7"/>
        <v>0</v>
      </c>
    </row>
    <row r="80" spans="47:63" ht="14.45" customHeight="1">
      <c r="AU80" s="320">
        <f>OBJ!B214</f>
        <v>0</v>
      </c>
      <c r="AV80" s="3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si="5"/>
        <v>0</v>
      </c>
      <c r="BA80" s="324" t="str">
        <f>IF(AU80=0,"",VLOOKUP(AU80,CENY!$B$11:$M$2025,12,FALSE))</f>
        <v/>
      </c>
      <c r="BB80" s="95" t="str">
        <f>IF(BA80="","",BA80*AY80)</f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10.787739999999999</v>
      </c>
      <c r="BK80" s="95">
        <f t="shared" si="7"/>
        <v>0</v>
      </c>
    </row>
    <row r="81" spans="47:63" ht="14.45" customHeight="1"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6"/>
        <v>0</v>
      </c>
      <c r="BJ81" s="95">
        <f>VLOOKUP(BD81,CENY!$B$11:$M$2025,12,FALSE)</f>
        <v>10.787739999999999</v>
      </c>
      <c r="BK81" s="95">
        <f t="shared" si="7"/>
        <v>0</v>
      </c>
    </row>
    <row r="82" spans="47:63" ht="14.45" customHeight="1"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6"/>
        <v>0</v>
      </c>
      <c r="BJ82" s="95">
        <f>VLOOKUP(BD82,CENY!$B$11:$M$2025,12,FALSE)</f>
        <v>11.02122</v>
      </c>
      <c r="BK82" s="95">
        <f t="shared" si="7"/>
        <v>0</v>
      </c>
    </row>
    <row r="83" spans="47:63" ht="14.45" customHeight="1">
      <c r="AU83" s="319"/>
      <c r="AV83" s="21"/>
      <c r="AW83" s="22"/>
      <c r="AX83" s="22"/>
      <c r="AY83" s="23"/>
      <c r="AZ83" s="326" t="str">
        <f t="shared" si="5"/>
        <v/>
      </c>
      <c r="BA83" s="95"/>
      <c r="BB83" s="95" t="str">
        <f t="shared" si="4"/>
        <v/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6"/>
        <v>0</v>
      </c>
      <c r="BJ83" s="95">
        <f>VLOOKUP(BD83,CENY!$B$11:$M$2025,12,FALSE)</f>
        <v>11.02122</v>
      </c>
      <c r="BK83" s="95">
        <f t="shared" si="7"/>
        <v>0</v>
      </c>
    </row>
    <row r="84" spans="47:63" ht="14.45" customHeight="1">
      <c r="AU84" s="319"/>
      <c r="AV84" s="21"/>
      <c r="AW84" s="22"/>
      <c r="AX84" s="22"/>
      <c r="AY84" s="23"/>
      <c r="AZ84" s="326" t="str">
        <f t="shared" si="5"/>
        <v/>
      </c>
      <c r="BA84" s="95"/>
      <c r="BB84" s="95" t="str">
        <f t="shared" si="4"/>
        <v/>
      </c>
      <c r="BD84" s="319"/>
      <c r="BE84" s="21"/>
      <c r="BF84" s="22"/>
      <c r="BG84" s="22"/>
      <c r="BH84" s="23"/>
      <c r="BI84" s="326" t="str">
        <f t="shared" si="6"/>
        <v/>
      </c>
      <c r="BJ84" s="95"/>
      <c r="BK84" s="95" t="str">
        <f t="shared" si="7"/>
        <v/>
      </c>
    </row>
    <row r="85" spans="47:63" ht="14.45" customHeight="1">
      <c r="AU85" s="319"/>
      <c r="AV85" s="21"/>
      <c r="AW85" s="22"/>
      <c r="AX85" s="22"/>
      <c r="AY85" s="23"/>
      <c r="AZ85" s="326" t="str">
        <f t="shared" si="5"/>
        <v/>
      </c>
      <c r="BA85" s="95"/>
      <c r="BB85" s="95" t="str">
        <f t="shared" si="4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si="6"/>
        <v>0</v>
      </c>
      <c r="BJ85" s="95">
        <f>VLOOKUP(BD85,CENY!$B$11:$M$2025,12,FALSE)</f>
        <v>10.7646</v>
      </c>
      <c r="BK85" s="95">
        <f t="shared" si="7"/>
        <v>0</v>
      </c>
    </row>
    <row r="86" spans="47:63" ht="14.45" customHeight="1">
      <c r="AU86" s="319"/>
      <c r="AV86" s="21"/>
      <c r="AW86" s="22"/>
      <c r="AX86" s="22"/>
      <c r="AY86" s="23"/>
      <c r="AZ86" s="326" t="str">
        <f t="shared" si="5"/>
        <v/>
      </c>
      <c r="BA86" s="95"/>
      <c r="BB86" s="95" t="str">
        <f t="shared" si="4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6"/>
        <v>0</v>
      </c>
      <c r="BJ86" s="95">
        <f>VLOOKUP(BD86,CENY!$B$11:$M$2025,12,FALSE)</f>
        <v>10.7646</v>
      </c>
      <c r="BK86" s="95">
        <f t="shared" si="7"/>
        <v>0</v>
      </c>
    </row>
    <row r="87" spans="47:63" ht="14.45" customHeight="1">
      <c r="AU87" s="319"/>
      <c r="AV87" s="21"/>
      <c r="AW87" s="22"/>
      <c r="AX87" s="22"/>
      <c r="AY87" s="23"/>
      <c r="AZ87" s="326" t="str">
        <f t="shared" si="5"/>
        <v/>
      </c>
      <c r="BA87" s="95"/>
      <c r="BB87" s="95" t="str">
        <f t="shared" si="4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6"/>
        <v>0</v>
      </c>
      <c r="BJ87" s="95">
        <f>VLOOKUP(BD87,CENY!$B$11:$M$2025,12,FALSE)</f>
        <v>10.787739999999999</v>
      </c>
      <c r="BK87" s="95">
        <f t="shared" si="7"/>
        <v>0</v>
      </c>
    </row>
    <row r="88" spans="47:63" ht="14.45" customHeight="1">
      <c r="AU88" s="20"/>
      <c r="AV88" s="21"/>
      <c r="AW88" s="22"/>
      <c r="AX88" s="22"/>
      <c r="AY88" s="23"/>
      <c r="AZ88" s="326" t="str">
        <f t="shared" si="5"/>
        <v/>
      </c>
      <c r="BA88" s="95"/>
      <c r="BB88" s="95" t="str">
        <f t="shared" si="4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6"/>
        <v>0</v>
      </c>
      <c r="BJ88" s="95">
        <f>VLOOKUP(BD88,CENY!$B$11:$M$2025,12,FALSE)</f>
        <v>10.787739999999999</v>
      </c>
      <c r="BK88" s="95">
        <f t="shared" si="7"/>
        <v>0</v>
      </c>
    </row>
    <row r="89" spans="47:63" ht="14.45" customHeight="1">
      <c r="AU89" s="20"/>
      <c r="AV89" s="21"/>
      <c r="AW89" s="22"/>
      <c r="AX89" s="22"/>
      <c r="AY89" s="23"/>
      <c r="AZ89" s="326" t="str">
        <f t="shared" si="5"/>
        <v/>
      </c>
      <c r="BA89" s="95"/>
      <c r="BB89" s="95" t="str">
        <f t="shared" ref="BB89:BB97" si="8">IF(BA89="","",BA89*AY89)</f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6"/>
        <v>0</v>
      </c>
      <c r="BJ89" s="95">
        <f>VLOOKUP(BD89,CENY!$B$11:$M$2025,12,FALSE)</f>
        <v>11.02122</v>
      </c>
      <c r="BK89" s="95">
        <f t="shared" si="7"/>
        <v>0</v>
      </c>
    </row>
    <row r="90" spans="47:63" ht="14.45" customHeight="1">
      <c r="AU90" s="20"/>
      <c r="AV90" s="21"/>
      <c r="AW90" s="22"/>
      <c r="AX90" s="22"/>
      <c r="AY90" s="23"/>
      <c r="AZ90" s="326" t="str">
        <f t="shared" si="5"/>
        <v/>
      </c>
      <c r="BA90" s="95"/>
      <c r="BB90" s="95" t="str">
        <f t="shared" si="8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6"/>
        <v>0</v>
      </c>
      <c r="BJ90" s="95">
        <f>VLOOKUP(BD90,CENY!$B$11:$M$2025,12,FALSE)</f>
        <v>11.02122</v>
      </c>
      <c r="BK90" s="95">
        <f t="shared" si="7"/>
        <v>0</v>
      </c>
    </row>
    <row r="91" spans="47:63" ht="14.45" customHeight="1">
      <c r="AU91" s="20"/>
      <c r="AV91" s="21"/>
      <c r="AW91" s="22"/>
      <c r="AX91" s="22"/>
      <c r="AY91" s="23"/>
      <c r="AZ91" s="326" t="str">
        <f t="shared" si="5"/>
        <v/>
      </c>
      <c r="BA91" s="95"/>
      <c r="BB91" s="95" t="str">
        <f t="shared" si="8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6"/>
        <v>0</v>
      </c>
      <c r="BJ91" s="95">
        <f>VLOOKUP(BD91,CENY!$B$11:$M$2025,12,FALSE)</f>
        <v>11.25459</v>
      </c>
      <c r="BK91" s="95">
        <f t="shared" si="7"/>
        <v>0</v>
      </c>
    </row>
    <row r="92" spans="47:63" ht="14.45" customHeight="1">
      <c r="AU92" s="20"/>
      <c r="AV92" s="21"/>
      <c r="AW92" s="22"/>
      <c r="AX92" s="22"/>
      <c r="AY92" s="23"/>
      <c r="AZ92" s="326" t="str">
        <f t="shared" si="5"/>
        <v/>
      </c>
      <c r="BA92" s="95"/>
      <c r="BB92" s="95" t="str">
        <f t="shared" si="8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6"/>
        <v>0</v>
      </c>
      <c r="BJ92" s="95">
        <f>VLOOKUP(BD92,CENY!$B$11:$M$2025,12,FALSE)</f>
        <v>11.25459</v>
      </c>
      <c r="BK92" s="95">
        <f t="shared" si="7"/>
        <v>0</v>
      </c>
    </row>
    <row r="93" spans="47:63" ht="14.45" customHeight="1">
      <c r="AU93" s="20"/>
      <c r="AV93" s="21"/>
      <c r="AW93" s="22"/>
      <c r="AX93" s="22"/>
      <c r="AY93" s="23"/>
      <c r="AZ93" s="326" t="str">
        <f t="shared" si="5"/>
        <v/>
      </c>
      <c r="BA93" s="95"/>
      <c r="BB93" s="95" t="str">
        <f t="shared" si="8"/>
        <v/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6"/>
        <v>0</v>
      </c>
      <c r="BJ93" s="95">
        <f>VLOOKUP(BD93,CENY!$B$11:$M$2025,12,FALSE)</f>
        <v>11.487740000000001</v>
      </c>
      <c r="BK93" s="95">
        <f t="shared" si="7"/>
        <v>0</v>
      </c>
    </row>
    <row r="94" spans="47:63" ht="14.45" customHeight="1">
      <c r="AU94" s="20"/>
      <c r="AV94" s="21"/>
      <c r="AW94" s="22"/>
      <c r="AX94" s="22"/>
      <c r="AY94" s="23"/>
      <c r="AZ94" s="326" t="str">
        <f t="shared" si="5"/>
        <v/>
      </c>
      <c r="BA94" s="95"/>
      <c r="BB94" s="95" t="str">
        <f t="shared" si="8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6"/>
        <v>0</v>
      </c>
      <c r="BJ94" s="95">
        <f>VLOOKUP(BD94,CENY!$B$11:$M$2025,12,FALSE)</f>
        <v>11.487740000000001</v>
      </c>
      <c r="BK94" s="95">
        <f t="shared" si="7"/>
        <v>0</v>
      </c>
    </row>
    <row r="95" spans="47:63" ht="14.45" customHeight="1">
      <c r="AU95" s="20"/>
      <c r="AV95" s="21"/>
      <c r="AW95" s="22"/>
      <c r="AX95" s="22"/>
      <c r="AY95" s="23"/>
      <c r="AZ95" s="326" t="str">
        <f t="shared" si="5"/>
        <v/>
      </c>
      <c r="BA95" s="95"/>
      <c r="BB95" s="95" t="str">
        <f t="shared" si="8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6"/>
        <v>0</v>
      </c>
      <c r="BJ95" s="95">
        <f>VLOOKUP(BD95,CENY!$B$11:$M$2025,12,FALSE)</f>
        <v>11.163180000000001</v>
      </c>
      <c r="BK95" s="95">
        <f t="shared" si="7"/>
        <v>0</v>
      </c>
    </row>
    <row r="96" spans="47:63" ht="14.45" customHeight="1"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8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6"/>
        <v>0</v>
      </c>
      <c r="BJ96" s="95">
        <f>VLOOKUP(BD96,CENY!$B$11:$M$2025,12,FALSE)</f>
        <v>11.163180000000001</v>
      </c>
      <c r="BK96" s="95">
        <f t="shared" si="7"/>
        <v>0</v>
      </c>
    </row>
    <row r="97" spans="47:63" ht="14.45" customHeight="1">
      <c r="AU97" s="20"/>
      <c r="AV97" s="21"/>
      <c r="AW97" s="22"/>
      <c r="AX97" s="22"/>
      <c r="AY97" s="23"/>
      <c r="AZ97" s="326" t="str">
        <f t="shared" si="5"/>
        <v/>
      </c>
      <c r="BA97" s="95"/>
      <c r="BB97" s="95" t="str">
        <f t="shared" si="8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6"/>
        <v>0</v>
      </c>
      <c r="BJ97" s="95">
        <f>VLOOKUP(BD97,CENY!$B$11:$M$2025,12,FALSE)</f>
        <v>11.38542</v>
      </c>
      <c r="BK97" s="95">
        <f t="shared" si="7"/>
        <v>0</v>
      </c>
    </row>
    <row r="98" spans="47:63" ht="14.45" customHeight="1">
      <c r="AU98" s="20"/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ref="BB98:BB133" si="9">IF(BA98="","",BA98*AY98)</f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6"/>
        <v>0</v>
      </c>
      <c r="BJ98" s="95">
        <f>VLOOKUP(BD98,CENY!$B$11:$M$2025,12,FALSE)</f>
        <v>11.954689999999999</v>
      </c>
      <c r="BK98" s="95">
        <f t="shared" si="7"/>
        <v>0</v>
      </c>
    </row>
    <row r="99" spans="47:63" ht="14.45" customHeight="1">
      <c r="AU99" s="20"/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9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6"/>
        <v>0</v>
      </c>
      <c r="BJ99" s="95">
        <f>VLOOKUP(BD99,CENY!$B$11:$M$2025,12,FALSE)</f>
        <v>12.187939999999999</v>
      </c>
      <c r="BK99" s="95">
        <f t="shared" si="7"/>
        <v>0</v>
      </c>
    </row>
    <row r="100" spans="47:63" ht="14.45" customHeight="1"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9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6"/>
        <v>0</v>
      </c>
      <c r="BJ100" s="95">
        <f>VLOOKUP(BD100,CENY!$B$11:$M$2025,12,FALSE)</f>
        <v>12.187939999999999</v>
      </c>
      <c r="BK100" s="95">
        <f t="shared" si="7"/>
        <v>0</v>
      </c>
    </row>
    <row r="101" spans="47:63">
      <c r="AU101" s="20"/>
      <c r="AV101" s="21"/>
      <c r="AW101" s="22"/>
      <c r="AX101" s="22"/>
      <c r="AY101" s="23"/>
      <c r="AZ101" s="326" t="str">
        <f t="shared" si="5"/>
        <v/>
      </c>
      <c r="BA101" s="95"/>
      <c r="BB101" s="95" t="str">
        <f t="shared" si="9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47:63"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9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6"/>
        <v>0</v>
      </c>
      <c r="BJ102" s="95">
        <f>VLOOKUP(BD102,CENY!$B$11:$M$2025,12,FALSE)</f>
        <v>23.114239999999999</v>
      </c>
      <c r="BK102" s="95">
        <f t="shared" si="7"/>
        <v>0</v>
      </c>
    </row>
    <row r="103" spans="47:63">
      <c r="AU103" s="20"/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9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6"/>
        <v>0</v>
      </c>
      <c r="BJ103" s="95">
        <f>VLOOKUP(BD103,CENY!$B$11:$M$2025,12,FALSE)</f>
        <v>23.114239999999999</v>
      </c>
      <c r="BK103" s="95">
        <f t="shared" si="7"/>
        <v>0</v>
      </c>
    </row>
    <row r="104" spans="47:63">
      <c r="AU104" s="20"/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9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6"/>
        <v>0</v>
      </c>
      <c r="BJ104" s="95">
        <f>VLOOKUP(BD104,CENY!$B$11:$M$2025,12,FALSE)</f>
        <v>23.114239999999999</v>
      </c>
      <c r="BK104" s="95">
        <f t="shared" si="7"/>
        <v>0</v>
      </c>
    </row>
    <row r="105" spans="47:63"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9"/>
        <v/>
      </c>
      <c r="BD105" s="319"/>
      <c r="BE105" s="21"/>
      <c r="BF105" s="22"/>
      <c r="BG105" s="22"/>
      <c r="BH105" s="23"/>
      <c r="BI105" s="326" t="str">
        <f t="shared" si="6"/>
        <v/>
      </c>
      <c r="BJ105" s="95"/>
      <c r="BK105" s="95" t="str">
        <f t="shared" si="7"/>
        <v/>
      </c>
    </row>
    <row r="106" spans="47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9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si="6"/>
        <v>0</v>
      </c>
      <c r="BJ106" s="95">
        <f>VLOOKUP(BD106,CENY!$B$11:$M$2025,12,FALSE)</f>
        <v>12.16503</v>
      </c>
      <c r="BK106" s="95">
        <f t="shared" si="7"/>
        <v>0</v>
      </c>
    </row>
    <row r="107" spans="47:63">
      <c r="AU107" s="20"/>
      <c r="AV107" s="21"/>
      <c r="AW107" s="22"/>
      <c r="AX107" s="22"/>
      <c r="AY107" s="23"/>
      <c r="AZ107" s="326" t="str">
        <f t="shared" si="5"/>
        <v/>
      </c>
      <c r="BA107" s="95"/>
      <c r="BB107" s="95" t="str">
        <f t="shared" si="9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6"/>
        <v>0</v>
      </c>
      <c r="BJ107" s="95">
        <f>VLOOKUP(BD107,CENY!$B$11:$M$2025,12,FALSE)</f>
        <v>12.16503</v>
      </c>
      <c r="BK107" s="95">
        <f t="shared" si="7"/>
        <v>0</v>
      </c>
    </row>
    <row r="108" spans="47:63">
      <c r="AU108" s="20"/>
      <c r="AV108" s="21"/>
      <c r="AW108" s="22"/>
      <c r="AX108" s="22"/>
      <c r="AY108" s="23"/>
      <c r="AZ108" s="326" t="str">
        <f t="shared" si="5"/>
        <v/>
      </c>
      <c r="BA108" s="95"/>
      <c r="BB108" s="95" t="str">
        <f t="shared" si="9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6"/>
        <v>0</v>
      </c>
      <c r="BJ108" s="95">
        <f>VLOOKUP(BD108,CENY!$B$11:$M$2025,12,FALSE)</f>
        <v>12.187939999999999</v>
      </c>
      <c r="BK108" s="95">
        <f t="shared" si="7"/>
        <v>0</v>
      </c>
    </row>
    <row r="109" spans="47:63">
      <c r="AU109" s="20"/>
      <c r="AV109" s="21"/>
      <c r="AW109" s="22"/>
      <c r="AX109" s="22"/>
      <c r="AY109" s="23"/>
      <c r="AZ109" s="326" t="str">
        <f t="shared" si="5"/>
        <v/>
      </c>
      <c r="BA109" s="95"/>
      <c r="BB109" s="95" t="str">
        <f t="shared" si="9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6"/>
        <v>0</v>
      </c>
      <c r="BJ109" s="95">
        <f>VLOOKUP(BD109,CENY!$B$11:$M$2025,12,FALSE)</f>
        <v>12.187939999999999</v>
      </c>
      <c r="BK109" s="95">
        <f t="shared" si="7"/>
        <v>0</v>
      </c>
    </row>
    <row r="110" spans="47:63">
      <c r="AU110" s="20"/>
      <c r="AV110" s="21"/>
      <c r="AW110" s="22"/>
      <c r="AX110" s="22"/>
      <c r="AY110" s="23"/>
      <c r="AZ110" s="326" t="str">
        <f t="shared" si="5"/>
        <v/>
      </c>
      <c r="BA110" s="95"/>
      <c r="BB110" s="95" t="str">
        <f t="shared" si="9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6"/>
        <v>0</v>
      </c>
      <c r="BJ110" s="95">
        <f>VLOOKUP(BD110,CENY!$B$11:$M$2025,12,FALSE)</f>
        <v>12.42154</v>
      </c>
      <c r="BK110" s="95">
        <f t="shared" si="7"/>
        <v>0</v>
      </c>
    </row>
    <row r="111" spans="47:63">
      <c r="AU111" s="20"/>
      <c r="AV111" s="21"/>
      <c r="AW111" s="22"/>
      <c r="AX111" s="22"/>
      <c r="AY111" s="23"/>
      <c r="AZ111" s="326" t="str">
        <f t="shared" si="5"/>
        <v/>
      </c>
      <c r="BA111" s="95"/>
      <c r="BB111" s="95" t="str">
        <f t="shared" si="9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6"/>
        <v>0</v>
      </c>
      <c r="BJ111" s="95">
        <f>VLOOKUP(BD111,CENY!$B$11:$M$2025,12,FALSE)</f>
        <v>12.42154</v>
      </c>
      <c r="BK111" s="95">
        <f t="shared" si="7"/>
        <v>0</v>
      </c>
    </row>
    <row r="112" spans="47:63">
      <c r="AU112" s="20"/>
      <c r="AV112" s="21"/>
      <c r="AW112" s="22"/>
      <c r="AX112" s="22"/>
      <c r="AY112" s="23"/>
      <c r="AZ112" s="326" t="str">
        <f t="shared" si="5"/>
        <v/>
      </c>
      <c r="BA112" s="95"/>
      <c r="BB112" s="95" t="str">
        <f t="shared" si="9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6"/>
        <v>0</v>
      </c>
      <c r="BJ112" s="95">
        <f>VLOOKUP(BD112,CENY!$B$11:$M$2025,12,FALSE)</f>
        <v>12.654769999999999</v>
      </c>
      <c r="BK112" s="95">
        <f t="shared" si="7"/>
        <v>0</v>
      </c>
    </row>
    <row r="113" spans="46:63">
      <c r="AU113" s="20"/>
      <c r="AV113" s="21"/>
      <c r="AW113" s="22"/>
      <c r="AX113" s="22"/>
      <c r="AY113" s="23"/>
      <c r="AZ113" s="326" t="str">
        <f t="shared" si="5"/>
        <v/>
      </c>
      <c r="BA113" s="95"/>
      <c r="BB113" s="95" t="str">
        <f t="shared" si="9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6"/>
        <v>0</v>
      </c>
      <c r="BJ113" s="95">
        <f>VLOOKUP(BD113,CENY!$B$11:$M$2025,12,FALSE)</f>
        <v>12.654769999999999</v>
      </c>
      <c r="BK113" s="95">
        <f t="shared" si="7"/>
        <v>0</v>
      </c>
    </row>
    <row r="114" spans="46:63">
      <c r="AU114" s="20"/>
      <c r="AV114" s="21"/>
      <c r="AW114" s="22"/>
      <c r="AX114" s="22"/>
      <c r="AY114" s="23"/>
      <c r="AZ114" s="326" t="str">
        <f t="shared" si="5"/>
        <v/>
      </c>
      <c r="BA114" s="95"/>
      <c r="BB114" s="95" t="str">
        <f t="shared" si="9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6"/>
        <v>0</v>
      </c>
      <c r="BJ114" s="95">
        <f>VLOOKUP(BD114,CENY!$B$11:$M$2025,12,FALSE)</f>
        <v>12.888019999999999</v>
      </c>
      <c r="BK114" s="95">
        <f t="shared" si="7"/>
        <v>0</v>
      </c>
    </row>
    <row r="115" spans="46:63">
      <c r="AU115" s="20"/>
      <c r="AV115" s="21"/>
      <c r="AW115" s="22"/>
      <c r="AX115" s="22"/>
      <c r="AY115" s="23"/>
      <c r="AZ115" s="326" t="str">
        <f t="shared" si="5"/>
        <v/>
      </c>
      <c r="BA115" s="95"/>
      <c r="BB115" s="95" t="str">
        <f t="shared" si="9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6"/>
        <v>0</v>
      </c>
      <c r="BJ115" s="95">
        <f>VLOOKUP(BD115,CENY!$B$11:$M$2025,12,FALSE)</f>
        <v>12.888019999999999</v>
      </c>
      <c r="BK115" s="95">
        <f t="shared" si="7"/>
        <v>0</v>
      </c>
    </row>
    <row r="116" spans="46:63">
      <c r="AU116" s="20"/>
      <c r="AV116" s="21"/>
      <c r="AW116" s="22"/>
      <c r="AX116" s="22"/>
      <c r="AY116" s="23"/>
      <c r="AZ116" s="326" t="str">
        <f t="shared" si="5"/>
        <v/>
      </c>
      <c r="BA116" s="95"/>
      <c r="BB116" s="95" t="str">
        <f t="shared" si="9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6"/>
        <v>0</v>
      </c>
      <c r="BJ116" s="95">
        <f>VLOOKUP(BD116,CENY!$B$11:$M$2025,12,FALSE)</f>
        <v>12.496779999999999</v>
      </c>
      <c r="BK116" s="95">
        <f t="shared" si="7"/>
        <v>0</v>
      </c>
    </row>
    <row r="117" spans="46:63">
      <c r="AU117" s="20"/>
      <c r="AV117" s="21"/>
      <c r="AW117" s="22"/>
      <c r="AX117" s="22"/>
      <c r="AY117" s="23"/>
      <c r="AZ117" s="326" t="str">
        <f t="shared" si="5"/>
        <v/>
      </c>
      <c r="BA117" s="95"/>
      <c r="BB117" s="95" t="str">
        <f t="shared" si="9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6"/>
        <v>0</v>
      </c>
      <c r="BJ117" s="95">
        <f>VLOOKUP(BD117,CENY!$B$11:$M$2025,12,FALSE)</f>
        <v>12.496779999999999</v>
      </c>
      <c r="BK117" s="95">
        <f t="shared" si="7"/>
        <v>0</v>
      </c>
    </row>
    <row r="118" spans="46:63">
      <c r="AU118" s="20"/>
      <c r="AV118" s="21"/>
      <c r="AW118" s="22"/>
      <c r="AX118" s="22"/>
      <c r="AY118" s="23"/>
      <c r="AZ118" s="326" t="str">
        <f t="shared" si="5"/>
        <v/>
      </c>
      <c r="BA118" s="95"/>
      <c r="BB118" s="95" t="str">
        <f t="shared" si="9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6"/>
        <v>0</v>
      </c>
      <c r="BJ118" s="95">
        <f>VLOOKUP(BD118,CENY!$B$11:$M$2025,12,FALSE)</f>
        <v>12.718019999999999</v>
      </c>
      <c r="BK118" s="95">
        <f t="shared" si="7"/>
        <v>0</v>
      </c>
    </row>
    <row r="119" spans="46:63">
      <c r="AU119" s="20"/>
      <c r="AV119" s="21"/>
      <c r="AW119" s="22"/>
      <c r="AX119" s="22"/>
      <c r="AY119" s="23"/>
      <c r="AZ119" s="326" t="str">
        <f t="shared" si="5"/>
        <v/>
      </c>
      <c r="BA119" s="95"/>
      <c r="BB119" s="95" t="str">
        <f t="shared" si="9"/>
        <v/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6"/>
        <v>0</v>
      </c>
      <c r="BJ119" s="95">
        <f>VLOOKUP(BD119,CENY!$B$11:$M$2025,12,FALSE)</f>
        <v>13.35392</v>
      </c>
      <c r="BK119" s="95">
        <f t="shared" si="7"/>
        <v>0</v>
      </c>
    </row>
    <row r="120" spans="46:63">
      <c r="AU120" s="20"/>
      <c r="AV120" s="21"/>
      <c r="AW120" s="22"/>
      <c r="AX120" s="22"/>
      <c r="AY120" s="23"/>
      <c r="AZ120" s="326" t="str">
        <f t="shared" si="5"/>
        <v/>
      </c>
      <c r="BA120" s="95"/>
      <c r="BB120" s="95" t="str">
        <f t="shared" si="9"/>
        <v/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6"/>
        <v>0</v>
      </c>
      <c r="BJ120" s="95">
        <f>VLOOKUP(BD120,CENY!$B$11:$M$2025,12,FALSE)</f>
        <v>13.58704</v>
      </c>
      <c r="BK120" s="95">
        <f t="shared" si="7"/>
        <v>0</v>
      </c>
    </row>
    <row r="121" spans="46:63">
      <c r="AU121" s="20"/>
      <c r="AV121" s="21"/>
      <c r="AW121" s="22"/>
      <c r="AX121" s="22"/>
      <c r="AY121" s="23"/>
      <c r="AZ121" s="326" t="str">
        <f t="shared" si="5"/>
        <v/>
      </c>
      <c r="BA121" s="95"/>
      <c r="BB121" s="95" t="str">
        <f t="shared" si="9"/>
        <v/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6"/>
        <v>0</v>
      </c>
      <c r="BJ121" s="95">
        <f>VLOOKUP(BD121,CENY!$B$11:$M$2025,12,FALSE)</f>
        <v>13.58704</v>
      </c>
      <c r="BK121" s="95">
        <f t="shared" si="7"/>
        <v>0</v>
      </c>
    </row>
    <row r="122" spans="46:63">
      <c r="AU122" s="20"/>
      <c r="AV122" s="21"/>
      <c r="AW122" s="22"/>
      <c r="AX122" s="22"/>
      <c r="AY122" s="23"/>
      <c r="AZ122" s="326" t="str">
        <f t="shared" si="5"/>
        <v/>
      </c>
      <c r="BA122" s="95"/>
      <c r="BB122" s="95" t="str">
        <f t="shared" si="9"/>
        <v/>
      </c>
      <c r="BD122" s="319"/>
      <c r="BE122" s="21"/>
      <c r="BF122" s="22"/>
      <c r="BG122" s="22"/>
      <c r="BH122" s="23"/>
      <c r="BI122" s="326" t="str">
        <f t="shared" si="6"/>
        <v/>
      </c>
      <c r="BJ122" s="95"/>
      <c r="BK122" s="95" t="str">
        <f t="shared" si="7"/>
        <v/>
      </c>
    </row>
    <row r="123" spans="46:63">
      <c r="AU123" s="20"/>
      <c r="AV123" s="21"/>
      <c r="AW123" s="22"/>
      <c r="AX123" s="22"/>
      <c r="AY123" s="23"/>
      <c r="AZ123" s="326" t="str">
        <f t="shared" si="5"/>
        <v/>
      </c>
      <c r="BA123" s="95"/>
      <c r="BB123" s="95" t="str">
        <f t="shared" si="9"/>
        <v/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6"/>
        <v>0</v>
      </c>
      <c r="BJ123" s="95">
        <f>VLOOKUP(BD123,CENY!$B$11:$M$2025,12,FALSE)</f>
        <v>0.79318999999999995</v>
      </c>
      <c r="BK123" s="95">
        <f t="shared" si="7"/>
        <v>0</v>
      </c>
    </row>
    <row r="124" spans="46:63">
      <c r="AU124" s="20"/>
      <c r="AV124" s="21"/>
      <c r="AW124" s="22"/>
      <c r="AX124" s="22"/>
      <c r="AY124" s="23"/>
      <c r="AZ124" s="326" t="str">
        <f t="shared" si="5"/>
        <v/>
      </c>
      <c r="BA124" s="95"/>
      <c r="BB124" s="95" t="str">
        <f t="shared" si="9"/>
        <v/>
      </c>
      <c r="BD124" s="319"/>
      <c r="BE124" s="21"/>
      <c r="BF124" s="22"/>
      <c r="BG124" s="22"/>
      <c r="BH124" s="23"/>
      <c r="BI124" s="326" t="str">
        <f t="shared" si="6"/>
        <v/>
      </c>
      <c r="BJ124" s="95"/>
      <c r="BK124" s="95" t="str">
        <f t="shared" si="7"/>
        <v/>
      </c>
    </row>
    <row r="125" spans="46:63">
      <c r="AU125" s="20"/>
      <c r="AV125" s="21"/>
      <c r="AW125" s="22"/>
      <c r="AX125" s="22"/>
      <c r="AY125" s="23"/>
      <c r="AZ125" s="326" t="str">
        <f t="shared" si="5"/>
        <v/>
      </c>
      <c r="BA125" s="95"/>
      <c r="BB125" s="95" t="str">
        <f t="shared" si="9"/>
        <v/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6"/>
        <v>0</v>
      </c>
      <c r="BJ125" s="324" t="str">
        <f>IF(BD125=0,"",VLOOKUP(BD125,CENY!$B$11:$M$2025,12,FALSE))</f>
        <v/>
      </c>
      <c r="BK125" s="95" t="str">
        <f>IF(BJ125="","",BJ125*BH125)</f>
        <v/>
      </c>
    </row>
    <row r="126" spans="46:63">
      <c r="AU126" s="20"/>
      <c r="AV126" s="21"/>
      <c r="AW126" s="22"/>
      <c r="AX126" s="22"/>
      <c r="AY126" s="23"/>
      <c r="AZ126" s="326" t="str">
        <f t="shared" si="5"/>
        <v/>
      </c>
      <c r="BA126" s="95"/>
      <c r="BB126" s="95" t="str">
        <f t="shared" si="9"/>
        <v/>
      </c>
      <c r="BD126" s="319"/>
      <c r="BE126" s="21"/>
      <c r="BF126" s="22"/>
      <c r="BG126" s="22"/>
      <c r="BH126" s="23"/>
      <c r="BI126" s="326" t="str">
        <f t="shared" si="6"/>
        <v/>
      </c>
      <c r="BJ126" s="95"/>
      <c r="BK126" s="95" t="str">
        <f t="shared" si="7"/>
        <v/>
      </c>
    </row>
    <row r="127" spans="46:63">
      <c r="AT127" s="233"/>
      <c r="AU127" s="319">
        <f>OBJ!B361</f>
        <v>45167</v>
      </c>
      <c r="AV127" s="21" t="str">
        <f>VLOOKUP(AU127,CENY!$B$11:$G$1054,2,FALSE)</f>
        <v>Skrutka s polgul.hlavou 3,5x12mm</v>
      </c>
      <c r="AW127" s="22">
        <f>VLOOKUP(AU127,CENY!$B$11:$G$1054,3,FALSE)</f>
        <v>200</v>
      </c>
      <c r="AX127" s="22"/>
      <c r="AY127" s="23">
        <f>SUMPRODUCT(AX5:AX13,AY5:AY13)</f>
        <v>0</v>
      </c>
      <c r="AZ127" s="326">
        <f t="shared" ref="AZ127:AZ133" si="10">IF(AY127="","",IF($AW$4=1,AY127,0))</f>
        <v>0</v>
      </c>
      <c r="BA127" s="95">
        <f>VLOOKUP(AU127,CENY!$B$11:$M$2025,12,FALSE)</f>
        <v>3.4759999999999999E-2</v>
      </c>
      <c r="BB127" s="95">
        <f t="shared" si="9"/>
        <v>0</v>
      </c>
      <c r="BC127" s="86" t="s">
        <v>396</v>
      </c>
      <c r="BD127" s="319">
        <f>OBJ!B361</f>
        <v>45167</v>
      </c>
      <c r="BE127" s="21" t="str">
        <f>VLOOKUP(BD127,CENY!$B$11:$G$1054,2,FALSE)</f>
        <v>Skrutka s polgul.hlavou 3,5x12mm</v>
      </c>
      <c r="BF127" s="22">
        <f>VLOOKUP(BD127,CENY!$B$11:$G$1054,3,FALSE)</f>
        <v>200</v>
      </c>
      <c r="BG127" s="22"/>
      <c r="BH127" s="23">
        <f>AY127+BH25*2</f>
        <v>0</v>
      </c>
      <c r="BI127" s="326">
        <f>IF(BH127="","",IF($AW$4=0,BH127,0))</f>
        <v>0</v>
      </c>
      <c r="BJ127" s="95">
        <f>VLOOKUP(BD127,CENY!$B$11:$M$2025,12,FALSE)</f>
        <v>3.4759999999999999E-2</v>
      </c>
      <c r="BK127" s="95">
        <f>IF(BJ127="","",BJ127*BH127)</f>
        <v>0</v>
      </c>
    </row>
    <row r="128" spans="46:63">
      <c r="AT128" s="233"/>
      <c r="AU128" s="319">
        <f>OBJ!B362</f>
        <v>45168</v>
      </c>
      <c r="AV128" s="21" t="str">
        <f>VLOOKUP(AU128,CENY!$B$11:$G$1054,2,FALSE)</f>
        <v>Skrutka s polgul.hlavou 3,5x20mm</v>
      </c>
      <c r="AW128" s="22">
        <f>VLOOKUP(AU128,CENY!$B$11:$G$1054,3,FALSE)</f>
        <v>200</v>
      </c>
      <c r="AX128" s="22"/>
      <c r="AY128" s="360">
        <v>0</v>
      </c>
      <c r="AZ128" s="326">
        <f t="shared" si="10"/>
        <v>0</v>
      </c>
      <c r="BA128" s="95">
        <f>VLOOKUP(AU128,CENY!$B$11:$M$2025,12,FALSE)</f>
        <v>4.9860000000000002E-2</v>
      </c>
      <c r="BB128" s="95">
        <f t="shared" si="9"/>
        <v>0</v>
      </c>
      <c r="BC128" s="86" t="s">
        <v>397</v>
      </c>
      <c r="BD128" s="319">
        <f>OBJ!B362</f>
        <v>45168</v>
      </c>
      <c r="BE128" s="21" t="str">
        <f>VLOOKUP(BD128,CENY!$B$11:$G$1054,2,FALSE)</f>
        <v>Skrutka s polgul.hlavou 3,5x20mm</v>
      </c>
      <c r="BF128" s="22">
        <f>VLOOKUP(BD128,CENY!$B$11:$G$1054,3,FALSE)</f>
        <v>200</v>
      </c>
      <c r="BG128" s="22"/>
      <c r="BH128" s="360">
        <f>IF(FORM!$AM$8=FORM!$AU$10,BH24*2,0)</f>
        <v>0</v>
      </c>
      <c r="BI128" s="326">
        <f>IF(BH128="","",IF($AW$4=0,BH128,0))</f>
        <v>0</v>
      </c>
      <c r="BJ128" s="95">
        <f>VLOOKUP(BD128,CENY!$B$11:$M$2025,12,FALSE)</f>
        <v>4.9860000000000002E-2</v>
      </c>
      <c r="BK128" s="95">
        <f>IF(BJ128="","",BJ128*BH128)</f>
        <v>0</v>
      </c>
    </row>
    <row r="129" spans="46:63">
      <c r="AT129" s="233"/>
      <c r="AU129" s="319">
        <f>OBJ!B363</f>
        <v>9278224</v>
      </c>
      <c r="AV129" s="21" t="str">
        <f>VLOOKUP(AU129,CENY!$B$11:$G$1054,2,FALSE)</f>
        <v>Skrutka s polgul.hlavou 3,5x30mm</v>
      </c>
      <c r="AW129" s="22">
        <f>VLOOKUP(AU129,CENY!$B$11:$G$1054,3,FALSE)</f>
        <v>200</v>
      </c>
      <c r="AX129" s="22"/>
      <c r="AY129" s="360">
        <v>0</v>
      </c>
      <c r="AZ129" s="326">
        <f t="shared" si="10"/>
        <v>0</v>
      </c>
      <c r="BA129" s="95">
        <f>VLOOKUP(AU129,CENY!$B$11:$M$2025,12,FALSE)</f>
        <v>4.299E-2</v>
      </c>
      <c r="BB129" s="95">
        <f t="shared" si="9"/>
        <v>0</v>
      </c>
      <c r="BC129" s="86" t="s">
        <v>398</v>
      </c>
      <c r="BD129" s="319">
        <f>OBJ!B363</f>
        <v>9278224</v>
      </c>
      <c r="BE129" s="21" t="str">
        <f>VLOOKUP(BD129,CENY!$B$11:$G$1054,2,FALSE)</f>
        <v>Skrutka s polgul.hlavou 3,5x30mm</v>
      </c>
      <c r="BF129" s="22">
        <f>VLOOKUP(BD129,CENY!$B$11:$G$1054,3,FALSE)</f>
        <v>200</v>
      </c>
      <c r="BG129" s="22"/>
      <c r="BH129" s="360">
        <f>SUM(BH5:BH22)</f>
        <v>0</v>
      </c>
      <c r="BI129" s="326">
        <f>IF(BH129="","",IF($AW$4=0,BH129,0))</f>
        <v>0</v>
      </c>
      <c r="BJ129" s="95">
        <f>VLOOKUP(BD129,CENY!$B$11:$M$2025,12,FALSE)</f>
        <v>4.299E-2</v>
      </c>
      <c r="BK129" s="95">
        <f>IF(BJ129="","",BJ129*BH129)</f>
        <v>0</v>
      </c>
    </row>
    <row r="130" spans="46:63">
      <c r="AT130" s="233"/>
      <c r="AU130" s="319">
        <f>OBJ!B364</f>
        <v>9279197</v>
      </c>
      <c r="AV130" s="21" t="str">
        <f>VLOOKUP(AU130,CENY!$B$11:$G$1054,2,FALSE)</f>
        <v>Skrutka s polgul.hlavou M3,5x12mm</v>
      </c>
      <c r="AW130" s="22">
        <f>VLOOKUP(AU130,CENY!$B$11:$G$1054,3,FALSE)</f>
        <v>1000</v>
      </c>
      <c r="AX130" s="22"/>
      <c r="AY130" s="68">
        <v>0</v>
      </c>
      <c r="AZ130" s="326">
        <f t="shared" si="10"/>
        <v>0</v>
      </c>
      <c r="BA130" s="95" t="e">
        <f>VLOOKUP(AU130,CENY!$B$11:$M$2025,12,FALSE)</f>
        <v>#N/A</v>
      </c>
      <c r="BB130" s="95" t="e">
        <f t="shared" si="9"/>
        <v>#N/A</v>
      </c>
      <c r="BC130" s="86" t="s">
        <v>399</v>
      </c>
      <c r="BD130" s="319">
        <f>OBJ!B364</f>
        <v>9279197</v>
      </c>
      <c r="BE130" s="21" t="str">
        <f>VLOOKUP(BD130,CENY!$B$11:$G$1054,2,FALSE)</f>
        <v>Skrutka s polgul.hlavou M3,5x12mm</v>
      </c>
      <c r="BF130" s="22">
        <f>VLOOKUP(BD130,CENY!$B$11:$G$1054,3,FALSE)</f>
        <v>1000</v>
      </c>
      <c r="BG130" s="22"/>
      <c r="BH130" s="68">
        <f>AY130</f>
        <v>0</v>
      </c>
      <c r="BI130" s="326">
        <f>IF(BH130="","",IF($AW$4=0,BH130,0))</f>
        <v>0</v>
      </c>
      <c r="BJ130" s="95" t="e">
        <f>VLOOKUP(BD130,CENY!$B$11:$M$2025,12,FALSE)</f>
        <v>#N/A</v>
      </c>
      <c r="BK130" s="95" t="e">
        <f>IF(BJ130="","",BJ130*BH130)</f>
        <v>#N/A</v>
      </c>
    </row>
    <row r="131" spans="46:63">
      <c r="AT131" s="233"/>
      <c r="AU131" s="319">
        <f>OBJ!B365</f>
        <v>9137114</v>
      </c>
      <c r="AV131" s="21" t="str">
        <f>VLOOKUP(AU131,CENY!$B$11:$G$1054,2,FALSE)</f>
        <v>EURO-skrutka  6,0x14mm / niklovaná</v>
      </c>
      <c r="AW131" s="22">
        <f>VLOOKUP(AU131,CENY!$B$11:$G$1054,3,FALSE)</f>
        <v>200</v>
      </c>
      <c r="AX131" s="22"/>
      <c r="AY131" s="23">
        <f>SUMPRODUCT(AX25:AX74,AY25:AY74)</f>
        <v>0</v>
      </c>
      <c r="AZ131" s="326">
        <f t="shared" si="10"/>
        <v>0</v>
      </c>
      <c r="BA131" s="95">
        <f>VLOOKUP(AU131,CENY!$B$11:$M$2025,12,FALSE)</f>
        <v>7.7280000000000001E-2</v>
      </c>
      <c r="BB131" s="95">
        <f t="shared" si="9"/>
        <v>0</v>
      </c>
      <c r="BC131" s="86" t="s">
        <v>400</v>
      </c>
      <c r="BD131" s="319">
        <f>OBJ!B365</f>
        <v>9137114</v>
      </c>
      <c r="BE131" s="21" t="str">
        <f>VLOOKUP(BD131,CENY!$B$11:$G$1054,2,FALSE)</f>
        <v>EURO-skrutka  6,0x14mm / niklovaná</v>
      </c>
      <c r="BF131" s="22">
        <f>VLOOKUP(BD131,CENY!$B$11:$G$1054,3,FALSE)</f>
        <v>200</v>
      </c>
      <c r="BG131" s="22"/>
      <c r="BH131" s="23">
        <f>AY131</f>
        <v>0</v>
      </c>
      <c r="BI131" s="326">
        <f>IF(BH131="","",IF($AW$4=0,BH131,0))</f>
        <v>0</v>
      </c>
      <c r="BJ131" s="95">
        <f>VLOOKUP(BD131,CENY!$B$11:$M$2025,12,FALSE)</f>
        <v>7.7280000000000001E-2</v>
      </c>
      <c r="BK131" s="95">
        <f>IF(BJ131="","",BJ131*BH131)</f>
        <v>0</v>
      </c>
    </row>
    <row r="132" spans="46:63">
      <c r="AU132" s="20"/>
      <c r="AV132" s="21"/>
      <c r="AW132" s="22"/>
      <c r="AX132" s="22"/>
      <c r="AY132" s="23"/>
      <c r="AZ132" s="326" t="str">
        <f t="shared" si="10"/>
        <v/>
      </c>
      <c r="BA132" s="95"/>
      <c r="BB132" s="95" t="str">
        <f t="shared" si="9"/>
        <v/>
      </c>
      <c r="BD132" s="319"/>
      <c r="BE132" s="21"/>
      <c r="BF132" s="22"/>
      <c r="BG132" s="22"/>
      <c r="BH132" s="23"/>
      <c r="BI132" s="326" t="str">
        <f t="shared" si="6"/>
        <v/>
      </c>
      <c r="BJ132" s="95"/>
      <c r="BK132" s="95" t="str">
        <f t="shared" si="7"/>
        <v/>
      </c>
    </row>
    <row r="133" spans="46:63">
      <c r="AU133" s="20"/>
      <c r="AV133" s="21"/>
      <c r="AW133" s="22"/>
      <c r="AX133" s="22"/>
      <c r="AY133" s="23"/>
      <c r="AZ133" s="326" t="str">
        <f t="shared" si="10"/>
        <v/>
      </c>
      <c r="BA133" s="95"/>
      <c r="BB133" s="95" t="str">
        <f t="shared" si="9"/>
        <v/>
      </c>
      <c r="BD133" s="319"/>
      <c r="BE133" s="21"/>
      <c r="BF133" s="22"/>
      <c r="BG133" s="22"/>
      <c r="BH133" s="23"/>
      <c r="BI133" s="326" t="str">
        <f t="shared" si="6"/>
        <v/>
      </c>
      <c r="BJ133" s="95"/>
      <c r="BK133" s="95" t="str">
        <f t="shared" si="7"/>
        <v/>
      </c>
    </row>
    <row r="134" spans="46:63">
      <c r="BD134" s="319"/>
      <c r="BE134" s="21"/>
      <c r="BF134" s="22"/>
      <c r="BG134" s="22"/>
      <c r="BH134" s="23"/>
      <c r="BI134" s="326" t="str">
        <f>IF(BH134="","",IF($AW$4=0,BH134,0))</f>
        <v/>
      </c>
      <c r="BJ134" s="95"/>
      <c r="BK134" s="95" t="str">
        <f>IF(BJ134="","",BJ134*BH134)</f>
        <v/>
      </c>
    </row>
    <row r="135" spans="46:63">
      <c r="BD135" s="319"/>
      <c r="BE135" s="21"/>
      <c r="BF135" s="22"/>
      <c r="BG135" s="22"/>
      <c r="BH135" s="23"/>
      <c r="BI135" s="326" t="str">
        <f>IF(BH135="","",IF($AW$4=0,BH135,0))</f>
        <v/>
      </c>
      <c r="BJ135" s="95"/>
      <c r="BK135" s="95" t="str">
        <f>IF(BJ135="","",BJ135*BH135)</f>
        <v/>
      </c>
    </row>
  </sheetData>
  <sheetProtection algorithmName="SHA-512" hashValue="JQjizPkNzTo2zrGgtUBVKHVFt2Lrxi/jBuoV0TpZzoQmG5IOTY69q0a0Dp6zcaBqWlT69YnwIQ1WcMC459Fa8Q==" saltValue="nLvVwtkkIQXi9iAH377fTA==" spinCount="100000" sheet="1" objects="1" scenarios="1"/>
  <mergeCells count="112">
    <mergeCell ref="M30:N30"/>
    <mergeCell ref="O30:P30"/>
    <mergeCell ref="Q30:R30"/>
    <mergeCell ref="S30:T30"/>
    <mergeCell ref="U30:V30"/>
    <mergeCell ref="W30:X30"/>
    <mergeCell ref="B13:E13"/>
    <mergeCell ref="F13:I13"/>
    <mergeCell ref="J13:K13"/>
    <mergeCell ref="B30:G30"/>
    <mergeCell ref="H30:L30"/>
    <mergeCell ref="M19:N19"/>
    <mergeCell ref="O19:P19"/>
    <mergeCell ref="Q19:R19"/>
    <mergeCell ref="S19:T19"/>
    <mergeCell ref="O18:P18"/>
    <mergeCell ref="Q18:R18"/>
    <mergeCell ref="S18:T18"/>
    <mergeCell ref="B22:G22"/>
    <mergeCell ref="H22:L22"/>
    <mergeCell ref="M22:N22"/>
    <mergeCell ref="O22:P22"/>
    <mergeCell ref="Q22:R22"/>
    <mergeCell ref="B20:G20"/>
    <mergeCell ref="Y30:Z30"/>
    <mergeCell ref="U2:Y2"/>
    <mergeCell ref="AA2:AE2"/>
    <mergeCell ref="AI2:AM2"/>
    <mergeCell ref="AA18:AB18"/>
    <mergeCell ref="AE18:AF18"/>
    <mergeCell ref="AC18:AD18"/>
    <mergeCell ref="AA20:AB20"/>
    <mergeCell ref="W20:X20"/>
    <mergeCell ref="Y20:Z20"/>
    <mergeCell ref="AA30:AB30"/>
    <mergeCell ref="AC22:AD22"/>
    <mergeCell ref="AC20:AD20"/>
    <mergeCell ref="AC28:AD28"/>
    <mergeCell ref="U18:V18"/>
    <mergeCell ref="W18:X18"/>
    <mergeCell ref="Y18:Z18"/>
    <mergeCell ref="Y26:Z26"/>
    <mergeCell ref="AA26:AB26"/>
    <mergeCell ref="AC30:AD30"/>
    <mergeCell ref="AI26:AO26"/>
    <mergeCell ref="AI18:AO18"/>
    <mergeCell ref="AN27:AO27"/>
    <mergeCell ref="AN28:AO28"/>
    <mergeCell ref="B8:E8"/>
    <mergeCell ref="F8:K8"/>
    <mergeCell ref="B2:E2"/>
    <mergeCell ref="G2:K2"/>
    <mergeCell ref="B9:E9"/>
    <mergeCell ref="F9:K9"/>
    <mergeCell ref="AO2:AR2"/>
    <mergeCell ref="B6:E6"/>
    <mergeCell ref="F6:K6"/>
    <mergeCell ref="O2:S2"/>
    <mergeCell ref="B7:E7"/>
    <mergeCell ref="F7:K7"/>
    <mergeCell ref="B10:E10"/>
    <mergeCell ref="F10:K10"/>
    <mergeCell ref="B11:E11"/>
    <mergeCell ref="B12:E12"/>
    <mergeCell ref="F12:I12"/>
    <mergeCell ref="J12:K12"/>
    <mergeCell ref="F11:K11"/>
    <mergeCell ref="B19:G19"/>
    <mergeCell ref="H19:L19"/>
    <mergeCell ref="H20:L20"/>
    <mergeCell ref="M20:N20"/>
    <mergeCell ref="O20:P20"/>
    <mergeCell ref="Q20:R20"/>
    <mergeCell ref="O26:P26"/>
    <mergeCell ref="Q26:R26"/>
    <mergeCell ref="S26:T26"/>
    <mergeCell ref="U26:V26"/>
    <mergeCell ref="W26:X26"/>
    <mergeCell ref="S22:T22"/>
    <mergeCell ref="U20:V20"/>
    <mergeCell ref="S20:T20"/>
    <mergeCell ref="B28:G28"/>
    <mergeCell ref="H28:L28"/>
    <mergeCell ref="M28:N28"/>
    <mergeCell ref="O28:P28"/>
    <mergeCell ref="Q28:R28"/>
    <mergeCell ref="S28:T28"/>
    <mergeCell ref="B27:G27"/>
    <mergeCell ref="H27:L27"/>
    <mergeCell ref="M27:N27"/>
    <mergeCell ref="O27:P27"/>
    <mergeCell ref="Q27:R27"/>
    <mergeCell ref="S27:T27"/>
    <mergeCell ref="AN29:AO29"/>
    <mergeCell ref="AI25:AO25"/>
    <mergeCell ref="AC26:AD26"/>
    <mergeCell ref="O17:AF17"/>
    <mergeCell ref="AN20:AO20"/>
    <mergeCell ref="AN22:AO22"/>
    <mergeCell ref="AN19:AO19"/>
    <mergeCell ref="AN21:AO21"/>
    <mergeCell ref="AI17:AO17"/>
    <mergeCell ref="AE22:AF22"/>
    <mergeCell ref="AE20:AF20"/>
    <mergeCell ref="U22:V22"/>
    <mergeCell ref="W22:X22"/>
    <mergeCell ref="U28:V28"/>
    <mergeCell ref="W28:X28"/>
    <mergeCell ref="Y28:Z28"/>
    <mergeCell ref="AA28:AB28"/>
    <mergeCell ref="Y22:Z22"/>
    <mergeCell ref="AA22:AB22"/>
  </mergeCells>
  <conditionalFormatting sqref="BH26:BH85 AY5:AZ5 AY6:AY42 BH5:BI5 BH6:BH24 AZ6:AZ126 AZ132:AZ133">
    <cfRule type="cellIs" dxfId="953" priority="49" stopIfTrue="1" operator="equal">
      <formula>0</formula>
    </cfRule>
  </conditionalFormatting>
  <conditionalFormatting sqref="AY53:AY56 AY66:AY69 AY43:AY50">
    <cfRule type="cellIs" dxfId="952" priority="42" stopIfTrue="1" operator="equal">
      <formula>0</formula>
    </cfRule>
  </conditionalFormatting>
  <conditionalFormatting sqref="O17:AF17 O19:T19 O20:AD20 W22:AF22 O27:T27 O28:AD28 O30:AD30">
    <cfRule type="expression" dxfId="951" priority="44" stopIfTrue="1">
      <formula>$AW$4=0</formula>
    </cfRule>
  </conditionalFormatting>
  <conditionalFormatting sqref="AY76:AY77 AY79 AY81:AY83">
    <cfRule type="cellIs" dxfId="950" priority="39" stopIfTrue="1" operator="equal">
      <formula>0</formula>
    </cfRule>
  </conditionalFormatting>
  <conditionalFormatting sqref="AY84">
    <cfRule type="cellIs" dxfId="949" priority="38" stopIfTrue="1" operator="equal">
      <formula>0</formula>
    </cfRule>
  </conditionalFormatting>
  <conditionalFormatting sqref="AY88:AY97">
    <cfRule type="cellIs" dxfId="948" priority="36" stopIfTrue="1" operator="equal">
      <formula>0</formula>
    </cfRule>
  </conditionalFormatting>
  <conditionalFormatting sqref="BH25">
    <cfRule type="cellIs" dxfId="947" priority="34" stopIfTrue="1" operator="equal">
      <formula>0</formula>
    </cfRule>
  </conditionalFormatting>
  <conditionalFormatting sqref="AY51:AY52">
    <cfRule type="cellIs" dxfId="946" priority="33" stopIfTrue="1" operator="equal">
      <formula>0</formula>
    </cfRule>
  </conditionalFormatting>
  <conditionalFormatting sqref="AY57:AY63">
    <cfRule type="cellIs" dxfId="945" priority="32" stopIfTrue="1" operator="equal">
      <formula>0</formula>
    </cfRule>
  </conditionalFormatting>
  <conditionalFormatting sqref="AY70:AY73">
    <cfRule type="cellIs" dxfId="944" priority="31" stopIfTrue="1" operator="equal">
      <formula>0</formula>
    </cfRule>
  </conditionalFormatting>
  <conditionalFormatting sqref="AY74">
    <cfRule type="cellIs" dxfId="943" priority="30" stopIfTrue="1" operator="equal">
      <formula>0</formula>
    </cfRule>
  </conditionalFormatting>
  <conditionalFormatting sqref="AY75">
    <cfRule type="cellIs" dxfId="942" priority="29" stopIfTrue="1" operator="equal">
      <formula>0</formula>
    </cfRule>
  </conditionalFormatting>
  <conditionalFormatting sqref="AY78">
    <cfRule type="cellIs" dxfId="941" priority="28" stopIfTrue="1" operator="equal">
      <formula>0</formula>
    </cfRule>
  </conditionalFormatting>
  <conditionalFormatting sqref="AY85:AY87">
    <cfRule type="cellIs" dxfId="940" priority="27" stopIfTrue="1" operator="equal">
      <formula>0</formula>
    </cfRule>
  </conditionalFormatting>
  <conditionalFormatting sqref="BH101:BH106">
    <cfRule type="cellIs" dxfId="939" priority="25" stopIfTrue="1" operator="equal">
      <formula>0</formula>
    </cfRule>
  </conditionalFormatting>
  <conditionalFormatting sqref="BH122:BH124 BH126 BH132:BH135">
    <cfRule type="cellIs" dxfId="938" priority="24" stopIfTrue="1" operator="equal">
      <formula>0</formula>
    </cfRule>
  </conditionalFormatting>
  <conditionalFormatting sqref="AY98:AY126 AY132:AY133">
    <cfRule type="cellIs" dxfId="937" priority="23" stopIfTrue="1" operator="equal">
      <formula>0</formula>
    </cfRule>
  </conditionalFormatting>
  <conditionalFormatting sqref="AY64:AY65">
    <cfRule type="cellIs" dxfId="936" priority="22" stopIfTrue="1" operator="equal">
      <formula>0</formula>
    </cfRule>
  </conditionalFormatting>
  <conditionalFormatting sqref="BH86:BH100">
    <cfRule type="cellIs" dxfId="935" priority="21" stopIfTrue="1" operator="equal">
      <formula>0</formula>
    </cfRule>
  </conditionalFormatting>
  <conditionalFormatting sqref="BH107:BH121">
    <cfRule type="cellIs" dxfId="934" priority="20" stopIfTrue="1" operator="equal">
      <formula>0</formula>
    </cfRule>
  </conditionalFormatting>
  <conditionalFormatting sqref="AY80">
    <cfRule type="cellIs" dxfId="933" priority="18" stopIfTrue="1" operator="equal">
      <formula>0</formula>
    </cfRule>
  </conditionalFormatting>
  <conditionalFormatting sqref="BH125">
    <cfRule type="cellIs" dxfId="932" priority="17" stopIfTrue="1" operator="equal">
      <formula>0</formula>
    </cfRule>
  </conditionalFormatting>
  <conditionalFormatting sqref="F13:K13">
    <cfRule type="expression" dxfId="931" priority="16" stopIfTrue="1">
      <formula>$AW$4=1</formula>
    </cfRule>
  </conditionalFormatting>
  <conditionalFormatting sqref="BI6:BI126 BI132:BI135">
    <cfRule type="cellIs" dxfId="930" priority="9" stopIfTrue="1" operator="equal">
      <formula>0</formula>
    </cfRule>
  </conditionalFormatting>
  <conditionalFormatting sqref="AZ127:AZ131">
    <cfRule type="cellIs" dxfId="929" priority="8" stopIfTrue="1" operator="equal">
      <formula>0</formula>
    </cfRule>
  </conditionalFormatting>
  <conditionalFormatting sqref="AY127:AY131">
    <cfRule type="cellIs" dxfId="928" priority="7" stopIfTrue="1" operator="equal">
      <formula>0</formula>
    </cfRule>
  </conditionalFormatting>
  <conditionalFormatting sqref="BH127 BH130:BH131">
    <cfRule type="cellIs" dxfId="927" priority="6" stopIfTrue="1" operator="equal">
      <formula>0</formula>
    </cfRule>
  </conditionalFormatting>
  <conditionalFormatting sqref="BI127:BI131">
    <cfRule type="cellIs" dxfId="926" priority="5" stopIfTrue="1" operator="equal">
      <formula>0</formula>
    </cfRule>
  </conditionalFormatting>
  <conditionalFormatting sqref="BH128:BH129">
    <cfRule type="cellIs" dxfId="925" priority="4" stopIfTrue="1" operator="equal">
      <formula>0</formula>
    </cfRule>
  </conditionalFormatting>
  <conditionalFormatting sqref="AI17:AO17">
    <cfRule type="expression" dxfId="924" priority="3" stopIfTrue="1">
      <formula>$AW$4=0</formula>
    </cfRule>
  </conditionalFormatting>
  <conditionalFormatting sqref="AI25:AO25">
    <cfRule type="expression" dxfId="923" priority="1" stopIfTrue="1">
      <formula>$AW$4=0</formula>
    </cfRule>
  </conditionalFormatting>
  <hyperlinks>
    <hyperlink ref="M4" location="MENU!A1" display="MENU!A1" xr:uid="{00000000-0004-0000-0500-000000000000}"/>
    <hyperlink ref="M10" location="OBJ!A1" display="OBJ!A1" xr:uid="{00000000-0004-0000-0500-000001000000}"/>
    <hyperlink ref="M9" location="suhrn!A1" display="suhrn!A1" xr:uid="{00000000-0004-0000-0500-000002000000}"/>
    <hyperlink ref="O2:S2" location="MENU!A5" display="MENU!A5" xr:uid="{00000000-0004-0000-05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ignoredErrors>
    <ignoredError sqref="F13:K13" unlockedFormula="1"/>
  </ignoredError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49">
    <tabColor rgb="FFFFFF00"/>
  </sheetPr>
  <dimension ref="A1:BK135"/>
  <sheetViews>
    <sheetView showGridLines="0" showRowColHeaders="0" zoomScale="95" zoomScaleNormal="95" workbookViewId="0">
      <selection activeCell="O2" sqref="O2:S2"/>
    </sheetView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T1" s="86" t="s">
        <v>1301</v>
      </c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139"</f>
        <v>Zásuvka AVANTECH YOU  139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SUM(BB6:BB982)</f>
        <v>#N/A</v>
      </c>
      <c r="BD4" s="94" t="s">
        <v>34</v>
      </c>
      <c r="BK4" s="322" t="e">
        <f>SUM(BK7:BK985)</f>
        <v>#N/A</v>
      </c>
    </row>
    <row r="5" spans="1:63" ht="14.45" customHeight="1">
      <c r="AU5" s="319">
        <f>OBJ!B81</f>
        <v>9353344</v>
      </c>
      <c r="AV5" s="21" t="str">
        <f>VLOOKUP(AU5,CENY!$B$11:$G$1054,2,FALSE)</f>
        <v>AvanY-sólo oceľ.boky-NW 139/270mm/strieb.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31.07366</v>
      </c>
      <c r="BB5" s="95">
        <f t="shared" ref="BB5" si="0">IF(BA5="","",BA5*AY5)</f>
        <v>0</v>
      </c>
      <c r="BD5" s="319">
        <f>OBJ!B91</f>
        <v>9255026</v>
      </c>
      <c r="BE5" s="21" t="str">
        <f>VLOOKUP(BD5,CENY!$B$11:$G$1054,2,FALSE)</f>
        <v>AvanY-bok ľavý /v139/h270/ strieborná</v>
      </c>
      <c r="BF5" s="22">
        <f>VLOOKUP(BD5,CENY!$B$11:$G$1054,3,FALSE)</f>
        <v>20</v>
      </c>
      <c r="BG5" s="22"/>
      <c r="BH5" s="23">
        <f>AY5</f>
        <v>0</v>
      </c>
      <c r="BI5" s="326">
        <f>IF(BH5="","",IF($AW$4=0,BH5,0))</f>
        <v>0</v>
      </c>
      <c r="BJ5" s="95" t="e">
        <f>VLOOKUP(BD5,CENY!$B$11:$M$2025,12,FALSE)</f>
        <v>#N/A</v>
      </c>
      <c r="BK5" s="95" t="e">
        <f>IF(BJ5="","",BJ5*BH5)</f>
        <v>#N/A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327</v>
      </c>
      <c r="G6" s="566"/>
      <c r="H6" s="566"/>
      <c r="I6" s="566"/>
      <c r="J6" s="566"/>
      <c r="K6" s="566"/>
      <c r="AU6" s="319">
        <f>OBJ!B82</f>
        <v>9353345</v>
      </c>
      <c r="AV6" s="21" t="str">
        <f>VLOOKUP(AU6,CENY!$B$11:$G$1054,2,FALSE)</f>
        <v>AvanY-sólo oceľ.boky-NW 139/300mm/strieb.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>IF(AY6="","",IF($AW$4=1,AY6,0))</f>
        <v>0</v>
      </c>
      <c r="BA6" s="95">
        <f>VLOOKUP(AU6,CENY!$B$11:$M$2025,12,FALSE)</f>
        <v>31.29269</v>
      </c>
      <c r="BB6" s="95">
        <f t="shared" ref="BB6:BB76" si="1">IF(BA6="","",BA6*AY6)</f>
        <v>0</v>
      </c>
      <c r="BD6" s="319">
        <f>OBJ!B92</f>
        <v>9255027</v>
      </c>
      <c r="BE6" s="21" t="str">
        <f>VLOOKUP(BD6,CENY!$B$11:$G$1054,2,FALSE)</f>
        <v>AvanY-bok pravý /v139/h270/ strieborná</v>
      </c>
      <c r="BF6" s="22">
        <f>VLOOKUP(BD6,CENY!$B$11:$G$1054,3,FALSE)</f>
        <v>20</v>
      </c>
      <c r="BG6" s="22"/>
      <c r="BH6" s="23">
        <f>AY5</f>
        <v>0</v>
      </c>
      <c r="BI6" s="326">
        <f t="shared" ref="BI6" si="2">IF(BH6="","",IF($AW$4=0,BH6,0))</f>
        <v>0</v>
      </c>
      <c r="BJ6" s="95" t="e">
        <f>VLOOKUP(BD6,CENY!$B$11:$M$2025,12,FALSE)</f>
        <v>#N/A</v>
      </c>
      <c r="BK6" s="95" t="e">
        <f t="shared" ref="BK6" si="3">IF(BJ6="","",BJ6*BH6)</f>
        <v>#N/A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OBJ!B83</f>
        <v>9353346</v>
      </c>
      <c r="AV7" s="21" t="str">
        <f>VLOOKUP(AU7,CENY!$B$11:$G$1054,2,FALSE)</f>
        <v>AvanY-sólo oceľ.boky-NW 139/350mm/strieb.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ref="AZ7:AZ77" si="4">IF(AY7="","",IF($AW$4=1,AY7,0))</f>
        <v>0</v>
      </c>
      <c r="BA7" s="95">
        <f>VLOOKUP(AU7,CENY!$B$11:$M$2025,12,FALSE)</f>
        <v>31.74728</v>
      </c>
      <c r="BB7" s="95">
        <f t="shared" si="1"/>
        <v>0</v>
      </c>
      <c r="BD7" s="319">
        <f>OBJ!B93</f>
        <v>9255028</v>
      </c>
      <c r="BE7" s="21" t="str">
        <f>VLOOKUP(BD7,CENY!$B$11:$G$1054,2,FALSE)</f>
        <v>AvanY-bok ľavý /v139/h300/ strieborná</v>
      </c>
      <c r="BF7" s="22">
        <f>VLOOKUP(BD7,CENY!$B$11:$G$1054,3,FALSE)</f>
        <v>20</v>
      </c>
      <c r="BG7" s="22"/>
      <c r="BH7" s="23">
        <f>AY6</f>
        <v>0</v>
      </c>
      <c r="BI7" s="326">
        <f>IF(BH7="","",IF($AW$4=0,BH7,0))</f>
        <v>0</v>
      </c>
      <c r="BJ7" s="95">
        <f>VLOOKUP(BD7,CENY!$B$11:$M$2025,12,FALSE)</f>
        <v>12.895490000000001</v>
      </c>
      <c r="BK7" s="95">
        <f>IF(BJ7="","",BJ7*BH7)</f>
        <v>0</v>
      </c>
    </row>
    <row r="8" spans="1:63" ht="14.45" customHeigh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OBJ!B84</f>
        <v>9353347</v>
      </c>
      <c r="AV8" s="21" t="str">
        <f>VLOOKUP(AU8,CENY!$B$11:$G$1054,2,FALSE)</f>
        <v>AvanY-sólo oceľ.boky-NW 139/400mm/strieb.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4"/>
        <v>0</v>
      </c>
      <c r="BA8" s="95">
        <f>VLOOKUP(AU8,CENY!$B$11:$M$2025,12,FALSE)</f>
        <v>32.201650000000001</v>
      </c>
      <c r="BB8" s="95">
        <f t="shared" si="1"/>
        <v>0</v>
      </c>
      <c r="BD8" s="319">
        <f>OBJ!B94</f>
        <v>9255029</v>
      </c>
      <c r="BE8" s="21" t="str">
        <f>VLOOKUP(BD8,CENY!$B$11:$G$1054,2,FALSE)</f>
        <v>AvanY-bok pravý /v139/h300/ strieborná</v>
      </c>
      <c r="BF8" s="22">
        <f>VLOOKUP(BD8,CENY!$B$11:$G$1054,3,FALSE)</f>
        <v>20</v>
      </c>
      <c r="BG8" s="22"/>
      <c r="BH8" s="23">
        <f>AY6</f>
        <v>0</v>
      </c>
      <c r="BI8" s="326">
        <f t="shared" ref="BI8:BI83" si="5">IF(BH8="","",IF($AW$4=0,BH8,0))</f>
        <v>0</v>
      </c>
      <c r="BJ8" s="95">
        <f>VLOOKUP(BD8,CENY!$B$11:$M$2025,12,FALSE)</f>
        <v>12.895490000000001</v>
      </c>
      <c r="BK8" s="95">
        <f t="shared" ref="BK8:BK83" si="6">IF(BJ8="","",BJ8*BH8)</f>
        <v>0</v>
      </c>
    </row>
    <row r="9" spans="1:63" ht="14.45" customHeight="1">
      <c r="B9" s="551"/>
      <c r="C9" s="551"/>
      <c r="D9" s="551"/>
      <c r="E9" s="551"/>
      <c r="F9" s="566"/>
      <c r="G9" s="566"/>
      <c r="H9" s="566"/>
      <c r="I9" s="566"/>
      <c r="J9" s="566"/>
      <c r="K9" s="566"/>
      <c r="AU9" s="319">
        <f>OBJ!B85</f>
        <v>9353348</v>
      </c>
      <c r="AV9" s="21" t="str">
        <f>VLOOKUP(AU9,CENY!$B$11:$G$1054,2,FALSE)</f>
        <v>AvanY-sólo oceľ.boky-NW 139/450mm/strieb.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4"/>
        <v>0</v>
      </c>
      <c r="BA9" s="95">
        <f>VLOOKUP(AU9,CENY!$B$11:$M$2025,12,FALSE)</f>
        <v>31.101500000000001</v>
      </c>
      <c r="BB9" s="95">
        <f t="shared" si="1"/>
        <v>0</v>
      </c>
      <c r="BD9" s="319">
        <f>OBJ!B95</f>
        <v>9255030</v>
      </c>
      <c r="BE9" s="21" t="str">
        <f>VLOOKUP(BD9,CENY!$B$11:$G$1054,2,FALSE)</f>
        <v>AvanY-bok ľavý /v139/h350/ strieborná</v>
      </c>
      <c r="BF9" s="22">
        <f>VLOOKUP(BD9,CENY!$B$11:$G$1054,3,FALSE)</f>
        <v>20</v>
      </c>
      <c r="BG9" s="22"/>
      <c r="BH9" s="23">
        <f>AY7</f>
        <v>0</v>
      </c>
      <c r="BI9" s="326">
        <f t="shared" si="5"/>
        <v>0</v>
      </c>
      <c r="BJ9" s="95">
        <f>VLOOKUP(BD9,CENY!$B$11:$M$2025,12,FALSE)</f>
        <v>13.132899999999999</v>
      </c>
      <c r="BK9" s="95">
        <f t="shared" si="6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U10" s="319">
        <f>OBJ!B86</f>
        <v>9353349</v>
      </c>
      <c r="AV10" s="21" t="str">
        <f>VLOOKUP(AU10,CENY!$B$11:$G$1054,2,FALSE)</f>
        <v>AvanY-sólo oceľ.boky-NW 139/500mm/strieb.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4"/>
        <v>0</v>
      </c>
      <c r="BA10" s="95">
        <f>VLOOKUP(AU10,CENY!$B$11:$M$2025,12,FALSE)</f>
        <v>31.53424</v>
      </c>
      <c r="BB10" s="95">
        <f t="shared" si="1"/>
        <v>0</v>
      </c>
      <c r="BD10" s="319">
        <f>OBJ!B96</f>
        <v>9255031</v>
      </c>
      <c r="BE10" s="21" t="str">
        <f>VLOOKUP(BD10,CENY!$B$11:$G$1054,2,FALSE)</f>
        <v>AvanY-bok pravý /v139/h350/ strieborná</v>
      </c>
      <c r="BF10" s="22">
        <f>VLOOKUP(BD10,CENY!$B$11:$G$1054,3,FALSE)</f>
        <v>20</v>
      </c>
      <c r="BG10" s="22"/>
      <c r="BH10" s="23">
        <f>AY7</f>
        <v>0</v>
      </c>
      <c r="BI10" s="326">
        <f t="shared" si="5"/>
        <v>0</v>
      </c>
      <c r="BJ10" s="95">
        <f>VLOOKUP(BD10,CENY!$B$11:$M$2025,12,FALSE)</f>
        <v>13.132899999999999</v>
      </c>
      <c r="BK10" s="95">
        <f t="shared" si="6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OBJ!B87</f>
        <v>9353350</v>
      </c>
      <c r="AV11" s="21" t="str">
        <f>VLOOKUP(AU11,CENY!$B$11:$G$1054,2,FALSE)</f>
        <v>AvanY-sólo oceľ.boky-NW 139/550mm/strieb.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4"/>
        <v>0</v>
      </c>
      <c r="BA11" s="95">
        <f>VLOOKUP(AU11,CENY!$B$11:$M$2025,12,FALSE)</f>
        <v>33.565219999999997</v>
      </c>
      <c r="BB11" s="95">
        <f t="shared" si="1"/>
        <v>0</v>
      </c>
      <c r="BD11" s="319">
        <f>OBJ!B97</f>
        <v>9255032</v>
      </c>
      <c r="BE11" s="21" t="str">
        <f>VLOOKUP(BD11,CENY!$B$11:$G$1054,2,FALSE)</f>
        <v>AvanY-bok ľavý /v139/h400/ strieborná</v>
      </c>
      <c r="BF11" s="22">
        <f>VLOOKUP(BD11,CENY!$B$11:$G$1054,3,FALSE)</f>
        <v>20</v>
      </c>
      <c r="BG11" s="22"/>
      <c r="BH11" s="23">
        <f>AY8</f>
        <v>0</v>
      </c>
      <c r="BI11" s="326">
        <f t="shared" si="5"/>
        <v>0</v>
      </c>
      <c r="BJ11" s="95">
        <f>VLOOKUP(BD11,CENY!$B$11:$M$2025,12,FALSE)</f>
        <v>13.370430000000001</v>
      </c>
      <c r="BK11" s="95">
        <f t="shared" si="6"/>
        <v>0</v>
      </c>
    </row>
    <row r="12" spans="1:63" ht="14.45" customHeight="1" thickBot="1">
      <c r="B12" s="551"/>
      <c r="C12" s="551"/>
      <c r="D12" s="551"/>
      <c r="E12" s="552"/>
      <c r="F12" s="566"/>
      <c r="G12" s="566"/>
      <c r="H12" s="566"/>
      <c r="I12" s="566"/>
      <c r="J12" s="566"/>
      <c r="K12" s="566"/>
      <c r="AU12" s="319">
        <f>OBJ!B88</f>
        <v>9353351</v>
      </c>
      <c r="AV12" s="21" t="str">
        <f>VLOOKUP(AU12,CENY!$B$11:$G$1054,2,FALSE)</f>
        <v>AvanY-sólo oceľ.boky-NW 139/600mm/strieb.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4"/>
        <v>0</v>
      </c>
      <c r="BA12" s="95">
        <f>VLOOKUP(AU12,CENY!$B$11:$M$2025,12,FALSE)</f>
        <v>34.295520000000003</v>
      </c>
      <c r="BB12" s="95">
        <f t="shared" si="1"/>
        <v>0</v>
      </c>
      <c r="BD12" s="319">
        <f>OBJ!B98</f>
        <v>9255033</v>
      </c>
      <c r="BE12" s="21" t="str">
        <f>VLOOKUP(BD12,CENY!$B$11:$G$1054,2,FALSE)</f>
        <v>AvanY-bok pravý /v139/h400/ strieborná</v>
      </c>
      <c r="BF12" s="22">
        <f>VLOOKUP(BD12,CENY!$B$11:$G$1054,3,FALSE)</f>
        <v>20</v>
      </c>
      <c r="BG12" s="22"/>
      <c r="BH12" s="23">
        <f>AY8</f>
        <v>0</v>
      </c>
      <c r="BI12" s="326">
        <f t="shared" si="5"/>
        <v>0</v>
      </c>
      <c r="BJ12" s="95">
        <f>VLOOKUP(BD12,CENY!$B$11:$M$2025,12,FALSE)</f>
        <v>13.370430000000001</v>
      </c>
      <c r="BK12" s="95">
        <f t="shared" si="6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OBJ!B89</f>
        <v>9353352</v>
      </c>
      <c r="AV13" s="21" t="str">
        <f>VLOOKUP(AU13,CENY!$B$11:$G$1054,2,FALSE)</f>
        <v>AvanY-sólo oceľ.boky-NW 139/650mm/strieb.</v>
      </c>
      <c r="AW13" s="22">
        <f>VLOOKUP(AU13,CENY!$B$11:$G$1054,3,FALSE)</f>
        <v>1</v>
      </c>
      <c r="AX13" s="362">
        <v>10</v>
      </c>
      <c r="AY13" s="23">
        <f>AE22</f>
        <v>0</v>
      </c>
      <c r="AZ13" s="326">
        <f t="shared" ref="AZ13" si="7">IF(AY13="","",IF($AW$4=1,AY13,0))</f>
        <v>0</v>
      </c>
      <c r="BA13" s="95">
        <f>VLOOKUP(AU13,CENY!$B$11:$M$2025,12,FALSE)</f>
        <v>35.162860000000002</v>
      </c>
      <c r="BB13" s="95">
        <f t="shared" ref="BB13" si="8">IF(BA13="","",BA13*AY13)</f>
        <v>0</v>
      </c>
      <c r="BD13" s="319">
        <f>OBJ!B99</f>
        <v>9255034</v>
      </c>
      <c r="BE13" s="21" t="str">
        <f>VLOOKUP(BD13,CENY!$B$11:$G$1054,2,FALSE)</f>
        <v>AvanY-bok ľavý /v139/h450/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5"/>
        <v>0</v>
      </c>
      <c r="BJ13" s="95">
        <f>VLOOKUP(BD13,CENY!$B$11:$M$2025,12,FALSE)</f>
        <v>13.60773</v>
      </c>
      <c r="BK13" s="95">
        <f t="shared" si="6"/>
        <v>0</v>
      </c>
    </row>
    <row r="14" spans="1:63" ht="14.45" customHeight="1">
      <c r="AU14" s="319"/>
      <c r="AV14" s="21"/>
      <c r="AW14" s="22"/>
      <c r="AX14" s="22"/>
      <c r="AY14" s="23"/>
      <c r="AZ14" s="326"/>
      <c r="BA14" s="95"/>
      <c r="BB14" s="95"/>
      <c r="BD14" s="319">
        <f>OBJ!B100</f>
        <v>9255035</v>
      </c>
      <c r="BE14" s="21" t="str">
        <f>VLOOKUP(BD14,CENY!$B$11:$G$1054,2,FALSE)</f>
        <v>AvanY-bok pravý /v139/h450/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5"/>
        <v>0</v>
      </c>
      <c r="BJ14" s="95">
        <f>VLOOKUP(BD14,CENY!$B$11:$M$2025,12,FALSE)</f>
        <v>13.60773</v>
      </c>
      <c r="BK14" s="95">
        <f t="shared" si="6"/>
        <v>0</v>
      </c>
    </row>
    <row r="15" spans="1:63" ht="14.45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ref="AZ15" si="9">IF(AY15="","",IF($AW$4=1,AY15,0))</f>
        <v>0</v>
      </c>
      <c r="BA15" s="95">
        <f>VLOOKUP(AU15,CENY!$B$11:$M$2025,12,FALSE)</f>
        <v>0.95189000000000001</v>
      </c>
      <c r="BB15" s="95">
        <f t="shared" ref="BB15" si="10">IF(BA15="","",BA15*AY15)</f>
        <v>0</v>
      </c>
      <c r="BD15" s="319">
        <f>OBJ!B101</f>
        <v>9255036</v>
      </c>
      <c r="BE15" s="21" t="str">
        <f>VLOOKUP(BD15,CENY!$B$11:$G$1054,2,FALSE)</f>
        <v>AvanY-bok ľavý /v139/h500/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5"/>
        <v>0</v>
      </c>
      <c r="BJ15" s="95">
        <f>VLOOKUP(BD15,CENY!$B$11:$M$2025,12,FALSE)</f>
        <v>13.185700000000001</v>
      </c>
      <c r="BK15" s="95">
        <f t="shared" si="6"/>
        <v>0</v>
      </c>
    </row>
    <row r="16" spans="1:63" ht="14.45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4"/>
        <v>0</v>
      </c>
      <c r="BA16" s="95">
        <f>VLOOKUP(AU16,CENY!$B$11:$M$2025,12,FALSE)</f>
        <v>0.96240999999999999</v>
      </c>
      <c r="BB16" s="95">
        <f t="shared" si="1"/>
        <v>0</v>
      </c>
      <c r="BD16" s="319">
        <f>OBJ!B102</f>
        <v>9255037</v>
      </c>
      <c r="BE16" s="21" t="str">
        <f>VLOOKUP(BD16,CENY!$B$11:$G$1054,2,FALSE)</f>
        <v>AvanY-bok pravý /v139/h500/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5"/>
        <v>0</v>
      </c>
      <c r="BJ16" s="95">
        <f>VLOOKUP(BD16,CENY!$B$11:$M$2025,12,FALSE)</f>
        <v>13.185700000000001</v>
      </c>
      <c r="BK16" s="95">
        <f t="shared" si="6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I17" s="542" t="str">
        <f>verze!E198</f>
        <v>P2O Silent pre Actro</v>
      </c>
      <c r="AJ17" s="543"/>
      <c r="AK17" s="543"/>
      <c r="AL17" s="543"/>
      <c r="AM17" s="543"/>
      <c r="AN17" s="543"/>
      <c r="AO17" s="543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4"/>
        <v>0</v>
      </c>
      <c r="BA17" s="95">
        <f>VLOOKUP(AU17,CENY!$B$11:$M$2025,12,FALSE)</f>
        <v>0.98018000000000005</v>
      </c>
      <c r="BB17" s="95">
        <f t="shared" si="1"/>
        <v>0</v>
      </c>
      <c r="BD17" s="319">
        <f>OBJ!B103</f>
        <v>9255038</v>
      </c>
      <c r="BE17" s="21" t="str">
        <f>VLOOKUP(BD17,CENY!$B$11:$G$1054,2,FALSE)</f>
        <v>AvanY-bok ľavý /v139/h550/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5"/>
        <v>0</v>
      </c>
      <c r="BJ17" s="95">
        <f>VLOOKUP(BD17,CENY!$B$11:$M$2025,12,FALSE)</f>
        <v>14.08229</v>
      </c>
      <c r="BK17" s="95">
        <f t="shared" si="6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I18" s="545" t="s">
        <v>299</v>
      </c>
      <c r="AJ18" s="545"/>
      <c r="AK18" s="545"/>
      <c r="AL18" s="545"/>
      <c r="AM18" s="545"/>
      <c r="AN18" s="545"/>
      <c r="AO18" s="545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4"/>
        <v>0</v>
      </c>
      <c r="BA18" s="95">
        <f>VLOOKUP(AU18,CENY!$B$11:$M$2025,12,FALSE)</f>
        <v>0.99777000000000005</v>
      </c>
      <c r="BB18" s="95">
        <f t="shared" si="1"/>
        <v>0</v>
      </c>
      <c r="BD18" s="319">
        <f>OBJ!B104</f>
        <v>9255039</v>
      </c>
      <c r="BE18" s="21" t="str">
        <f>VLOOKUP(BD18,CENY!$B$11:$G$1054,2,FALSE)</f>
        <v>AvanY-bok pravý /v139/h550/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5"/>
        <v>0</v>
      </c>
      <c r="BJ18" s="95">
        <f>VLOOKUP(BD18,CENY!$B$11:$M$2025,12,FALSE)</f>
        <v>14.08229</v>
      </c>
      <c r="BK18" s="95">
        <f t="shared" si="6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69"/>
      <c r="P19" s="570"/>
      <c r="Q19" s="569"/>
      <c r="R19" s="570"/>
      <c r="S19" s="569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6"/>
      <c r="AO19" s="536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4"/>
        <v>0</v>
      </c>
      <c r="BA19" s="95">
        <f>VLOOKUP(AU19,CENY!$B$11:$M$2025,12,FALSE)</f>
        <v>1.01556</v>
      </c>
      <c r="BB19" s="95">
        <f t="shared" si="1"/>
        <v>0</v>
      </c>
      <c r="BD19" s="319">
        <f>OBJ!B105</f>
        <v>9255040</v>
      </c>
      <c r="BE19" s="21" t="str">
        <f>VLOOKUP(BD19,CENY!$B$11:$G$1054,2,FALSE)</f>
        <v>AvanY-bok ľavý /v139/h600/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5"/>
        <v>0</v>
      </c>
      <c r="BJ19" s="95">
        <f>VLOOKUP(BD19,CENY!$B$11:$M$2025,12,FALSE)</f>
        <v>14.44021</v>
      </c>
      <c r="BK19" s="95">
        <f t="shared" si="6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18"/>
      <c r="P20" s="519"/>
      <c r="Q20" s="518"/>
      <c r="R20" s="519"/>
      <c r="S20" s="518"/>
      <c r="T20" s="519"/>
      <c r="U20" s="518"/>
      <c r="V20" s="519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I20" s="287"/>
      <c r="AJ20" s="288"/>
      <c r="AK20" s="287"/>
      <c r="AL20" s="288"/>
      <c r="AM20" s="286" t="s">
        <v>294</v>
      </c>
      <c r="AN20" s="522"/>
      <c r="AO20" s="522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4"/>
        <v>0</v>
      </c>
      <c r="BA20" s="95">
        <f>VLOOKUP(AU20,CENY!$B$11:$M$2025,12,FALSE)</f>
        <v>1.0332399999999999</v>
      </c>
      <c r="BB20" s="95">
        <f t="shared" si="1"/>
        <v>0</v>
      </c>
      <c r="BD20" s="319">
        <f>OBJ!B106</f>
        <v>9255041</v>
      </c>
      <c r="BE20" s="21" t="str">
        <f>VLOOKUP(BD20,CENY!$B$11:$G$1054,2,FALSE)</f>
        <v>AvanY-bok pravý /v139/h600/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5"/>
        <v>0</v>
      </c>
      <c r="BJ20" s="95">
        <f>VLOOKUP(BD20,CENY!$B$11:$M$2025,12,FALSE)</f>
        <v>14.44021</v>
      </c>
      <c r="BK20" s="95">
        <f t="shared" si="6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4"/>
      <c r="AO21" s="544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4"/>
        <v>0</v>
      </c>
      <c r="BA21" s="95">
        <f>VLOOKUP(AU21,CENY!$B$11:$M$2025,12,FALSE)</f>
        <v>1.0508599999999999</v>
      </c>
      <c r="BB21" s="95">
        <f t="shared" si="1"/>
        <v>0</v>
      </c>
      <c r="BD21" s="319">
        <f>OBJ!B107</f>
        <v>9255042</v>
      </c>
      <c r="BE21" s="21" t="str">
        <f>VLOOKUP(BD21,CENY!$B$11:$G$1054,2,FALSE)</f>
        <v>AvanY-bok ľavý /v139/h650/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ref="BI21:BI22" si="11">IF(BH21="","",IF($AW$4=0,BH21,0))</f>
        <v>0</v>
      </c>
      <c r="BJ21" s="95">
        <f>VLOOKUP(BD21,CENY!$B$11:$M$2025,12,FALSE)</f>
        <v>14.822279999999999</v>
      </c>
      <c r="BK21" s="95">
        <f t="shared" ref="BK21:BK22" si="12">IF(BJ21="","",BJ21*BH21)</f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18"/>
      <c r="AF22" s="519"/>
      <c r="AI22" s="287"/>
      <c r="AJ22" s="288"/>
      <c r="AK22" s="287"/>
      <c r="AL22" s="288"/>
      <c r="AM22" s="286" t="s">
        <v>297</v>
      </c>
      <c r="AN22" s="541"/>
      <c r="AO22" s="541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4"/>
        <v>0</v>
      </c>
      <c r="BA22" s="95">
        <f>VLOOKUP(AU22,CENY!$B$11:$M$2025,12,FALSE)</f>
        <v>1.09639</v>
      </c>
      <c r="BB22" s="95">
        <f t="shared" si="1"/>
        <v>0</v>
      </c>
      <c r="BD22" s="319">
        <f>OBJ!B108</f>
        <v>9255043</v>
      </c>
      <c r="BE22" s="21" t="str">
        <f>VLOOKUP(BD22,CENY!$B$11:$G$1054,2,FALSE)</f>
        <v>AvanY-bok pravý /v139/h650/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11"/>
        <v>0</v>
      </c>
      <c r="BJ22" s="95">
        <f>VLOOKUP(BD22,CENY!$B$11:$M$2025,12,FALSE)</f>
        <v>14.822279999999999</v>
      </c>
      <c r="BK22" s="95">
        <f t="shared" si="12"/>
        <v>0</v>
      </c>
    </row>
    <row r="23" spans="2:63" ht="14.45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IF(FORM!AM18=FORM!AU16,0,2*AE22)</f>
        <v>0</v>
      </c>
      <c r="AZ23" s="326">
        <f t="shared" ref="AZ23" si="13">IF(AY23="","",IF($AW$4=1,AY23,0))</f>
        <v>0</v>
      </c>
      <c r="BA23" s="95">
        <f>VLOOKUP(AU23,CENY!$B$11:$M$2025,12,FALSE)</f>
        <v>1.1824300000000001</v>
      </c>
      <c r="BB23" s="95">
        <f t="shared" ref="BB23" si="14">IF(BA23="","",BA23*AY23)</f>
        <v>0</v>
      </c>
      <c r="BD23" s="319"/>
      <c r="BE23" s="21"/>
      <c r="BF23" s="22"/>
      <c r="BG23" s="22"/>
      <c r="BH23" s="23"/>
      <c r="BI23" s="326" t="str">
        <f t="shared" si="5"/>
        <v/>
      </c>
      <c r="BJ23" s="95"/>
      <c r="BK23" s="95" t="str">
        <f t="shared" si="6"/>
        <v/>
      </c>
    </row>
    <row r="24" spans="2:63" ht="14.45" customHeight="1">
      <c r="AU24" s="319"/>
      <c r="AV24" s="21"/>
      <c r="AW24" s="22"/>
      <c r="AX24" s="22"/>
      <c r="AY24" s="23"/>
      <c r="AZ24" s="326"/>
      <c r="BA24" s="95"/>
      <c r="BB24" s="95"/>
      <c r="BD24" s="319">
        <f>OBJ!B110</f>
        <v>9257884</v>
      </c>
      <c r="BE24" s="21" t="str">
        <f>VLOOKUP(BD24,CENY!$B$11:$G$1054,2,FALSE)</f>
        <v>AvanY-príchytka čela k naskrutk./ v139</v>
      </c>
      <c r="BF24" s="22">
        <f>VLOOKUP(BD24,CENY!$B$11:$G$1054,3,FALSE)</f>
        <v>200</v>
      </c>
      <c r="BG24" s="22"/>
      <c r="BH24" s="23">
        <f>2*(SUM(Q19:T19)+SUM(Q20:AD20)+SUM(W22:AD22)+SUM(Q27:T27)+SUM(Q28:AD28)+SUM(Q30:AD30))</f>
        <v>0</v>
      </c>
      <c r="BI24" s="326">
        <f t="shared" si="5"/>
        <v>0</v>
      </c>
      <c r="BJ24" s="95">
        <f>VLOOKUP(BD24,CENY!$B$11:$M$2025,12,FALSE)</f>
        <v>1.5494000000000001</v>
      </c>
      <c r="BK24" s="95">
        <f t="shared" si="6"/>
        <v>0</v>
      </c>
    </row>
    <row r="25" spans="2:63" ht="14.45" customHeight="1" thickBot="1">
      <c r="B25" s="2" t="s">
        <v>285</v>
      </c>
      <c r="AI25" s="542" t="str">
        <f>verze!E199</f>
        <v>P2O Silent pre Quadro</v>
      </c>
      <c r="AJ25" s="543"/>
      <c r="AK25" s="543"/>
      <c r="AL25" s="543"/>
      <c r="AM25" s="543"/>
      <c r="AN25" s="543"/>
      <c r="AO25" s="543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si="4"/>
        <v>0</v>
      </c>
      <c r="BA25" s="95">
        <f>VLOOKUP(AU25,CENY!$B$11:$M$2025,12,FALSE)</f>
        <v>31.62575</v>
      </c>
      <c r="BB25" s="95">
        <f t="shared" ref="BB25" si="15">IF(BA25="","",BA25*AY25)</f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2*(SUM(Q19:T19)+SUM(Q20:AD20)+SUM(W22:AD22)+SUM(Q27:T27)+SUM(Q28:AD28)+SUM(Q30:AD30))</f>
        <v>0</v>
      </c>
      <c r="BI25" s="326">
        <f t="shared" si="5"/>
        <v>0</v>
      </c>
      <c r="BJ25" s="95">
        <f>VLOOKUP(BD25,CENY!$B$11:$M$2025,12,FALSE)</f>
        <v>0.74794000000000005</v>
      </c>
      <c r="BK25" s="95">
        <f t="shared" si="6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I26" s="545" t="s">
        <v>299</v>
      </c>
      <c r="AJ26" s="545"/>
      <c r="AK26" s="545"/>
      <c r="AL26" s="545"/>
      <c r="AM26" s="545"/>
      <c r="AN26" s="545"/>
      <c r="AO26" s="545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4"/>
        <v>0</v>
      </c>
      <c r="BA26" s="95">
        <f>VLOOKUP(AU26,CENY!$B$11:$M$2025,12,FALSE)</f>
        <v>31.62575</v>
      </c>
      <c r="BB26" s="95">
        <f t="shared" si="1"/>
        <v>0</v>
      </c>
      <c r="BD26" s="319"/>
      <c r="BE26" s="21"/>
      <c r="BF26" s="22"/>
      <c r="BG26" s="22"/>
      <c r="BH26" s="23"/>
      <c r="BI26" s="326" t="str">
        <f t="shared" si="5"/>
        <v/>
      </c>
      <c r="BJ26" s="95"/>
      <c r="BK26" s="95" t="str">
        <f t="shared" si="6"/>
        <v/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69"/>
      <c r="P27" s="570"/>
      <c r="Q27" s="569"/>
      <c r="R27" s="570"/>
      <c r="S27" s="569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6"/>
      <c r="AO27" s="536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4"/>
        <v>0</v>
      </c>
      <c r="BA27" s="95">
        <f>VLOOKUP(AU27,CENY!$B$11:$M$2025,12,FALSE)</f>
        <v>31.62575</v>
      </c>
      <c r="BB27" s="95">
        <f t="shared" si="1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ref="BI27" si="16">IF(BH27="","",IF($AW$4=0,BH27,0))</f>
        <v>0</v>
      </c>
      <c r="BJ27" s="95">
        <f>VLOOKUP(BD27,CENY!$B$11:$M$2025,12,FALSE)</f>
        <v>0.95189000000000001</v>
      </c>
      <c r="BK27" s="95">
        <f t="shared" ref="BK27" si="17">IF(BJ27="","",BJ27*BH27)</f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18"/>
      <c r="P28" s="519"/>
      <c r="Q28" s="518"/>
      <c r="R28" s="519"/>
      <c r="S28" s="518"/>
      <c r="T28" s="519"/>
      <c r="U28" s="518"/>
      <c r="V28" s="519"/>
      <c r="W28" s="518"/>
      <c r="X28" s="519"/>
      <c r="Y28" s="518"/>
      <c r="Z28" s="519"/>
      <c r="AA28" s="518"/>
      <c r="AB28" s="519"/>
      <c r="AC28" s="518"/>
      <c r="AD28" s="519"/>
      <c r="AI28" s="287"/>
      <c r="AJ28" s="288"/>
      <c r="AK28" s="287"/>
      <c r="AL28" s="288"/>
      <c r="AM28" s="286" t="s">
        <v>294</v>
      </c>
      <c r="AN28" s="522"/>
      <c r="AO28" s="522"/>
      <c r="AU28" s="319"/>
      <c r="AV28" s="21"/>
      <c r="AW28" s="22"/>
      <c r="AX28" s="22"/>
      <c r="AY28" s="23"/>
      <c r="AZ28" s="326" t="str">
        <f t="shared" si="4"/>
        <v/>
      </c>
      <c r="BA28" s="95"/>
      <c r="BB28" s="95" t="str">
        <f t="shared" si="1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5"/>
        <v>0</v>
      </c>
      <c r="BJ28" s="95">
        <f>VLOOKUP(BD28,CENY!$B$11:$M$2025,12,FALSE)</f>
        <v>0.96240999999999999</v>
      </c>
      <c r="BK28" s="95">
        <f t="shared" si="6"/>
        <v>0</v>
      </c>
    </row>
    <row r="29" spans="2:63" ht="14.45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9"/>
      <c r="AO29" s="529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ref="AZ29" si="18">IF(AY29="","",IF($AW$4=1,AY29,0))</f>
        <v>0</v>
      </c>
      <c r="BA29" s="95">
        <f>VLOOKUP(AU29,CENY!$B$11:$M$2025,12,FALSE)</f>
        <v>31.62575</v>
      </c>
      <c r="BB29" s="95">
        <f t="shared" ref="BB29" si="19">IF(BA29="","",BA29*AY29)</f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5"/>
        <v>0</v>
      </c>
      <c r="BJ29" s="95">
        <f>VLOOKUP(BD29,CENY!$B$11:$M$2025,12,FALSE)</f>
        <v>0.98018000000000005</v>
      </c>
      <c r="BK29" s="95">
        <f t="shared" si="6"/>
        <v>0</v>
      </c>
    </row>
    <row r="30" spans="2:63" ht="14.45" customHeight="1" thickBot="1">
      <c r="B30" s="530" t="s">
        <v>373</v>
      </c>
      <c r="C30" s="530"/>
      <c r="D30" s="530"/>
      <c r="E30" s="530"/>
      <c r="F30" s="530"/>
      <c r="G30" s="530"/>
      <c r="H30" s="531" t="str">
        <f>verze!E18</f>
        <v>plnovýsuv</v>
      </c>
      <c r="I30" s="531"/>
      <c r="J30" s="531"/>
      <c r="K30" s="531"/>
      <c r="L30" s="531"/>
      <c r="M30" s="525" t="s">
        <v>1</v>
      </c>
      <c r="N30" s="526"/>
      <c r="O30" s="518"/>
      <c r="P30" s="519"/>
      <c r="Q30" s="518"/>
      <c r="R30" s="519"/>
      <c r="S30" s="518"/>
      <c r="T30" s="519"/>
      <c r="U30" s="518"/>
      <c r="V30" s="519"/>
      <c r="W30" s="518"/>
      <c r="X30" s="519"/>
      <c r="Y30" s="518"/>
      <c r="Z30" s="519"/>
      <c r="AA30" s="518"/>
      <c r="AB30" s="519"/>
      <c r="AC30" s="567"/>
      <c r="AD30" s="568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4"/>
        <v>0</v>
      </c>
      <c r="BA30" s="95">
        <f>VLOOKUP(AU30,CENY!$B$11:$M$2025,12,FALSE)</f>
        <v>31.62575</v>
      </c>
      <c r="BB30" s="95">
        <f t="shared" si="1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5"/>
        <v>0</v>
      </c>
      <c r="BJ30" s="95">
        <f>VLOOKUP(BD30,CENY!$B$11:$M$2025,12,FALSE)</f>
        <v>0.99777000000000005</v>
      </c>
      <c r="BK30" s="95">
        <f t="shared" si="6"/>
        <v>0</v>
      </c>
    </row>
    <row r="31" spans="2:63" ht="14.45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4"/>
        <v>0</v>
      </c>
      <c r="BA31" s="95">
        <f>VLOOKUP(AU31,CENY!$B$11:$M$2025,12,FALSE)</f>
        <v>31.62575</v>
      </c>
      <c r="BB31" s="95">
        <f t="shared" si="1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5"/>
        <v>0</v>
      </c>
      <c r="BJ31" s="95">
        <f>VLOOKUP(BD31,CENY!$B$11:$M$2025,12,FALSE)</f>
        <v>1.01556</v>
      </c>
      <c r="BK31" s="95">
        <f t="shared" si="6"/>
        <v>0</v>
      </c>
    </row>
    <row r="32" spans="2:63" ht="14.45" customHeight="1">
      <c r="B32" s="366" t="str">
        <f>verze!E201</f>
        <v>SiSy = tlmenie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4"/>
        <v>0</v>
      </c>
      <c r="BA32" s="95">
        <f>VLOOKUP(AU32,CENY!$B$11:$M$2025,12,FALSE)</f>
        <v>31.976389999999999</v>
      </c>
      <c r="BB32" s="95">
        <f t="shared" si="1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5"/>
        <v>0</v>
      </c>
      <c r="BJ32" s="95">
        <f>VLOOKUP(BD32,CENY!$B$11:$M$2025,12,FALSE)</f>
        <v>1.0332399999999999</v>
      </c>
      <c r="BK32" s="95">
        <f t="shared" si="6"/>
        <v>0</v>
      </c>
    </row>
    <row r="33" spans="2:63" ht="14.45" customHeight="1">
      <c r="B33" s="366" t="str">
        <f>verze!E204</f>
        <v>P2O = otváranie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4"/>
        <v>0</v>
      </c>
      <c r="BA33" s="95">
        <f>VLOOKUP(AU33,CENY!$B$11:$M$2025,12,FALSE)</f>
        <v>32.324420000000003</v>
      </c>
      <c r="BB33" s="95">
        <f t="shared" si="1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5"/>
        <v>0</v>
      </c>
      <c r="BJ33" s="95">
        <f>VLOOKUP(BD33,CENY!$B$11:$M$2025,12,FALSE)</f>
        <v>1.0508599999999999</v>
      </c>
      <c r="BK33" s="95">
        <f t="shared" si="6"/>
        <v>0</v>
      </c>
    </row>
    <row r="34" spans="2:63" ht="14.45" customHeight="1">
      <c r="B34" s="366" t="str">
        <f>verze!E203</f>
        <v>P2O Silent = tlmenie s otváraním bez úchytky Push to open Silent</v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4"/>
        <v>0</v>
      </c>
      <c r="BA34" s="95">
        <f>VLOOKUP(AU34,CENY!$B$11:$M$2025,12,FALSE)</f>
        <v>6.5957299999999996</v>
      </c>
      <c r="BB34" s="95">
        <f t="shared" si="1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5"/>
        <v>0</v>
      </c>
      <c r="BJ34" s="95">
        <f>VLOOKUP(BD34,CENY!$B$11:$M$2025,12,FALSE)</f>
        <v>1.09639</v>
      </c>
      <c r="BK34" s="95">
        <f t="shared" si="6"/>
        <v>0</v>
      </c>
    </row>
    <row r="35" spans="2:63" ht="14.45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4"/>
        <v>0</v>
      </c>
      <c r="BA35" s="95">
        <f>VLOOKUP(AU35,CENY!$B$11:$M$2025,12,FALSE)</f>
        <v>6.9728000000000003</v>
      </c>
      <c r="BB35" s="95">
        <f t="shared" si="1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2*(AE22)</f>
        <v>0</v>
      </c>
      <c r="BI35" s="326">
        <f t="shared" ref="BI35" si="20">IF(BH35="","",IF($AW$4=0,BH35,0))</f>
        <v>0</v>
      </c>
      <c r="BJ35" s="95">
        <f>VLOOKUP(BD35,CENY!$B$11:$M$2025,12,FALSE)</f>
        <v>1.1824300000000001</v>
      </c>
      <c r="BK35" s="95">
        <f t="shared" ref="BK35" si="21">IF(BJ35="","",BJ35*BH35)</f>
        <v>0</v>
      </c>
    </row>
    <row r="36" spans="2:63" ht="14.45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4"/>
        <v>0</v>
      </c>
      <c r="BA36" s="95">
        <f>VLOOKUP(AU36,CENY!$B$11:$M$2025,12,FALSE)</f>
        <v>34.956960000000002</v>
      </c>
      <c r="BB36" s="95">
        <f t="shared" si="1"/>
        <v>0</v>
      </c>
      <c r="BD36" s="319"/>
      <c r="BE36" s="21"/>
      <c r="BF36" s="22"/>
      <c r="BG36" s="22"/>
      <c r="BH36" s="23"/>
      <c r="BI36" s="326"/>
      <c r="BJ36" s="95"/>
      <c r="BK36" s="95"/>
    </row>
    <row r="37" spans="2:63" ht="14.45" customHeight="1">
      <c r="AU37" s="319"/>
      <c r="AV37" s="21"/>
      <c r="AW37" s="22"/>
      <c r="AX37" s="22"/>
      <c r="AY37" s="23"/>
      <c r="AZ37" s="326" t="str">
        <f t="shared" si="4"/>
        <v/>
      </c>
      <c r="BA37" s="95"/>
      <c r="BB37" s="95" t="str">
        <f t="shared" si="1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ref="BI37:BI38" si="22">IF(BH37="","",IF($AW$4=0,BH37,0))</f>
        <v>0</v>
      </c>
      <c r="BJ37" s="95" t="e">
        <f>VLOOKUP(BD37,CENY!$B$11:$M$2025,12,FALSE)</f>
        <v>#N/A</v>
      </c>
      <c r="BK37" s="95" t="e">
        <f t="shared" ref="BK37:BK38" si="23">IF(BJ37="","",BJ37*BH37)</f>
        <v>#N/A</v>
      </c>
    </row>
    <row r="38" spans="2:63" ht="14.45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4"/>
        <v>0</v>
      </c>
      <c r="BA38" s="95">
        <f>VLOOKUP(AU38,CENY!$B$11:$M$2025,12,FALSE)</f>
        <v>7.9265800000000004</v>
      </c>
      <c r="BB38" s="95">
        <f t="shared" si="1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2"/>
        <v>0</v>
      </c>
      <c r="BJ38" s="95" t="e">
        <f>VLOOKUP(BD38,CENY!$B$11:$M$2025,12,FALSE)</f>
        <v>#N/A</v>
      </c>
      <c r="BK38" s="95" t="e">
        <f t="shared" si="23"/>
        <v>#N/A</v>
      </c>
    </row>
    <row r="39" spans="2:63" ht="14.45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4"/>
        <v>0</v>
      </c>
      <c r="BA39" s="95">
        <f>VLOOKUP(AU39,CENY!$B$11:$M$2025,12,FALSE)</f>
        <v>39.622210000000003</v>
      </c>
      <c r="BB39" s="95">
        <f t="shared" si="1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5"/>
        <v>0</v>
      </c>
      <c r="BJ39" s="95" t="e">
        <f>VLOOKUP(BD39,CENY!$B$11:$M$2025,12,FALSE)</f>
        <v>#N/A</v>
      </c>
      <c r="BK39" s="95" t="e">
        <f t="shared" si="6"/>
        <v>#N/A</v>
      </c>
    </row>
    <row r="40" spans="2:63" ht="14.45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4"/>
        <v>0</v>
      </c>
      <c r="BA40" s="95">
        <f>VLOOKUP(AU40,CENY!$B$11:$M$2025,12,FALSE)</f>
        <v>41.504899999999999</v>
      </c>
      <c r="BB40" s="95">
        <f t="shared" si="1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5"/>
        <v>0</v>
      </c>
      <c r="BJ40" s="95" t="e">
        <f>VLOOKUP(BD40,CENY!$B$11:$M$2025,12,FALSE)</f>
        <v>#N/A</v>
      </c>
      <c r="BK40" s="95" t="e">
        <f t="shared" si="6"/>
        <v>#N/A</v>
      </c>
    </row>
    <row r="41" spans="2:63" ht="14.45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4"/>
        <v>0</v>
      </c>
      <c r="BA41" s="95">
        <f>VLOOKUP(AU41,CENY!$B$11:$M$2025,12,FALSE)</f>
        <v>45.308109999999999</v>
      </c>
      <c r="BB41" s="95">
        <f t="shared" si="1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5"/>
        <v>0</v>
      </c>
      <c r="BJ41" s="95">
        <f>VLOOKUP(BD41,CENY!$B$11:$M$2025,12,FALSE)</f>
        <v>14.37729</v>
      </c>
      <c r="BK41" s="95">
        <f t="shared" si="6"/>
        <v>0</v>
      </c>
    </row>
    <row r="42" spans="2:63" ht="14.45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ref="AZ42" si="24">IF(AY42="","",IF($AW$4=1,AY42,0))</f>
        <v>0</v>
      </c>
      <c r="BA42" s="95">
        <f>VLOOKUP(AU42,CENY!$B$11:$M$2025,12,FALSE)</f>
        <v>47.02431</v>
      </c>
      <c r="BB42" s="95">
        <f t="shared" ref="BB42" si="25">IF(BA42="","",BA42*AY42)</f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5"/>
        <v>0</v>
      </c>
      <c r="BJ42" s="95">
        <f>VLOOKUP(BD42,CENY!$B$11:$M$2025,12,FALSE)</f>
        <v>14.37729</v>
      </c>
      <c r="BK42" s="95">
        <f t="shared" si="6"/>
        <v>0</v>
      </c>
    </row>
    <row r="43" spans="2:63" ht="14.45" customHeight="1">
      <c r="AU43" s="319"/>
      <c r="AV43" s="21"/>
      <c r="AW43" s="22"/>
      <c r="AX43" s="22"/>
      <c r="AY43" s="23"/>
      <c r="AZ43" s="326" t="str">
        <f t="shared" si="4"/>
        <v/>
      </c>
      <c r="BA43" s="95"/>
      <c r="BB43" s="95" t="str">
        <f t="shared" si="1"/>
        <v/>
      </c>
      <c r="BD43" s="319"/>
      <c r="BE43" s="21"/>
      <c r="BF43" s="22"/>
      <c r="BG43" s="22"/>
      <c r="BH43" s="23"/>
      <c r="BI43" s="326" t="str">
        <f t="shared" si="5"/>
        <v/>
      </c>
      <c r="BJ43" s="95"/>
      <c r="BK43" s="95" t="str">
        <f t="shared" si="6"/>
        <v/>
      </c>
    </row>
    <row r="44" spans="2:63" ht="14.45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4"/>
        <v>0</v>
      </c>
      <c r="BA44" s="95">
        <f>VLOOKUP(AU44,CENY!$B$11:$M$2025,12,FALSE)</f>
        <v>23.177009999999999</v>
      </c>
      <c r="BB44" s="95">
        <f t="shared" si="1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ref="BI44:BI45" si="26">IF(BH44="","",IF($AW$4=0,BH44,0))</f>
        <v>0</v>
      </c>
      <c r="BJ44" s="95" t="e">
        <f>VLOOKUP(BD44,CENY!$B$11:$M$2025,12,FALSE)</f>
        <v>#N/A</v>
      </c>
      <c r="BK44" s="95" t="e">
        <f t="shared" ref="BK44:BK45" si="27">IF(BJ44="","",BJ44*BH44)</f>
        <v>#N/A</v>
      </c>
    </row>
    <row r="45" spans="2:63" ht="14.45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4"/>
        <v>0</v>
      </c>
      <c r="BA45" s="95">
        <f>VLOOKUP(AU45,CENY!$B$11:$M$2025,12,FALSE)</f>
        <v>23.177009999999999</v>
      </c>
      <c r="BB45" s="95">
        <f t="shared" si="1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6"/>
        <v>0</v>
      </c>
      <c r="BJ45" s="95" t="e">
        <f>VLOOKUP(BD45,CENY!$B$11:$M$2025,12,FALSE)</f>
        <v>#N/A</v>
      </c>
      <c r="BK45" s="95" t="e">
        <f t="shared" si="27"/>
        <v>#N/A</v>
      </c>
    </row>
    <row r="46" spans="2:63" ht="14.45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4"/>
        <v>0</v>
      </c>
      <c r="BA46" s="95">
        <f>VLOOKUP(AU46,CENY!$B$11:$M$2025,12,FALSE)</f>
        <v>23.177009999999999</v>
      </c>
      <c r="BB46" s="95">
        <f t="shared" si="1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5"/>
        <v>0</v>
      </c>
      <c r="BJ46" s="95">
        <f>VLOOKUP(BD46,CENY!$B$11:$M$2025,12,FALSE)</f>
        <v>14.37729</v>
      </c>
      <c r="BK46" s="95">
        <f t="shared" si="6"/>
        <v>0</v>
      </c>
    </row>
    <row r="47" spans="2:63" ht="14.45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4"/>
        <v>0</v>
      </c>
      <c r="BA47" s="95">
        <f>VLOOKUP(AU47,CENY!$B$11:$M$2025,12,FALSE)</f>
        <v>23.177009999999999</v>
      </c>
      <c r="BB47" s="95">
        <f t="shared" si="1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5"/>
        <v>0</v>
      </c>
      <c r="BJ47" s="95">
        <f>VLOOKUP(BD47,CENY!$B$11:$M$2025,12,FALSE)</f>
        <v>14.37729</v>
      </c>
      <c r="BK47" s="95">
        <f t="shared" si="6"/>
        <v>0</v>
      </c>
    </row>
    <row r="48" spans="2:63" ht="14.45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SUM(AN19:AO22)+SUM(AN27:AO29)+SUM(O30:AD30)</f>
        <v>0</v>
      </c>
      <c r="AZ48" s="326">
        <f t="shared" si="4"/>
        <v>0</v>
      </c>
      <c r="BA48" s="95">
        <f>VLOOKUP(AU48,CENY!$B$11:$M$2025,12,FALSE)</f>
        <v>8.7567500000000003</v>
      </c>
      <c r="BB48" s="95">
        <f t="shared" si="1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5"/>
        <v>0</v>
      </c>
      <c r="BJ48" s="95">
        <f>VLOOKUP(BD48,CENY!$B$11:$M$2025,12,FALSE)</f>
        <v>14.37729</v>
      </c>
      <c r="BK48" s="95">
        <f t="shared" si="6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4"/>
        <v/>
      </c>
      <c r="BA49" s="95"/>
      <c r="BB49" s="95" t="str">
        <f t="shared" si="1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5"/>
        <v>0</v>
      </c>
      <c r="BJ49" s="95" t="e">
        <f>VLOOKUP(BD49,CENY!$B$11:$M$2025,12,FALSE)</f>
        <v>#N/A</v>
      </c>
      <c r="BK49" s="95" t="e">
        <f t="shared" si="6"/>
        <v>#N/A</v>
      </c>
    </row>
    <row r="50" spans="47:63" ht="14.45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ref="AZ50" si="28">IF(AY50="","",IF($AW$4=1,AY50,0))</f>
        <v>0</v>
      </c>
      <c r="BA50" s="95">
        <f>VLOOKUP(AU50,CENY!$B$11:$M$2025,12,FALSE)</f>
        <v>23.022449999999999</v>
      </c>
      <c r="BB50" s="95">
        <f t="shared" ref="BB50" si="29">IF(BA50="","",BA50*AY50)</f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5"/>
        <v>0</v>
      </c>
      <c r="BJ50" s="95">
        <f>VLOOKUP(BD50,CENY!$B$11:$M$2025,12,FALSE)</f>
        <v>14.56085</v>
      </c>
      <c r="BK50" s="95">
        <f t="shared" si="6"/>
        <v>0</v>
      </c>
    </row>
    <row r="51" spans="47:63" ht="14.45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4"/>
        <v>0</v>
      </c>
      <c r="BA51" s="95">
        <f>VLOOKUP(AU51,CENY!$B$11:$M$2025,12,FALSE)</f>
        <v>23.069210000000002</v>
      </c>
      <c r="BB51" s="95">
        <f t="shared" si="1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5"/>
        <v>0</v>
      </c>
      <c r="BJ51" s="95">
        <f>VLOOKUP(BD51,CENY!$B$11:$M$2025,12,FALSE)</f>
        <v>14.56085</v>
      </c>
      <c r="BK51" s="95">
        <f t="shared" si="6"/>
        <v>0</v>
      </c>
    </row>
    <row r="52" spans="47:63" ht="14.45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4"/>
        <v>0</v>
      </c>
      <c r="BA52" s="95">
        <f>VLOOKUP(AU52,CENY!$B$11:$M$2025,12,FALSE)</f>
        <v>23.536069999999999</v>
      </c>
      <c r="BB52" s="95">
        <f t="shared" si="1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5"/>
        <v>0</v>
      </c>
      <c r="BJ52" s="95" t="e">
        <f>VLOOKUP(BD52,CENY!$B$11:$M$2025,12,FALSE)</f>
        <v>#N/A</v>
      </c>
      <c r="BK52" s="95" t="e">
        <f t="shared" si="6"/>
        <v>#N/A</v>
      </c>
    </row>
    <row r="53" spans="47:63" ht="14.45" customHeight="1">
      <c r="AU53" s="319"/>
      <c r="AV53" s="21"/>
      <c r="AW53" s="22"/>
      <c r="AX53" s="22"/>
      <c r="AY53" s="23"/>
      <c r="AZ53" s="326" t="str">
        <f t="shared" si="4"/>
        <v/>
      </c>
      <c r="BA53" s="95"/>
      <c r="BB53" s="95" t="str">
        <f t="shared" si="1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5"/>
        <v>0</v>
      </c>
      <c r="BJ53" s="95">
        <f>VLOOKUP(BD53,CENY!$B$11:$M$2025,12,FALSE)</f>
        <v>14.040839999999999</v>
      </c>
      <c r="BK53" s="95">
        <f t="shared" si="6"/>
        <v>0</v>
      </c>
    </row>
    <row r="54" spans="47:63" ht="14.45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ref="AZ54" si="30">IF(AY54="","",IF($AW$4=1,AY54,0))</f>
        <v>0</v>
      </c>
      <c r="BA54" s="95">
        <f>VLOOKUP(AU54,CENY!$B$11:$M$2025,12,FALSE)</f>
        <v>23.022449999999999</v>
      </c>
      <c r="BB54" s="95">
        <f t="shared" ref="BB54" si="31">IF(BA54="","",BA54*AY54)</f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5"/>
        <v>0</v>
      </c>
      <c r="BJ54" s="95">
        <f>VLOOKUP(BD54,CENY!$B$11:$M$2025,12,FALSE)</f>
        <v>13.931559999999999</v>
      </c>
      <c r="BK54" s="95">
        <f t="shared" si="6"/>
        <v>0</v>
      </c>
    </row>
    <row r="55" spans="47:63" ht="14.45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4"/>
        <v>0</v>
      </c>
      <c r="BA55" s="95">
        <f>VLOOKUP(AU55,CENY!$B$11:$M$2025,12,FALSE)</f>
        <v>23.069210000000002</v>
      </c>
      <c r="BB55" s="95">
        <f t="shared" si="1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5"/>
        <v>0</v>
      </c>
      <c r="BJ55" s="95">
        <f>VLOOKUP(BD55,CENY!$B$11:$M$2025,12,FALSE)</f>
        <v>13.931559999999999</v>
      </c>
      <c r="BK55" s="95">
        <f t="shared" si="6"/>
        <v>0</v>
      </c>
    </row>
    <row r="56" spans="47:63" ht="14.45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4"/>
        <v>0</v>
      </c>
      <c r="BA56" s="95" t="e">
        <f>VLOOKUP(AU56,CENY!$B$11:$M$2025,12,FALSE)</f>
        <v>#N/A</v>
      </c>
      <c r="BB56" s="95" t="e">
        <f t="shared" si="1"/>
        <v>#N/A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5"/>
        <v>0</v>
      </c>
      <c r="BJ56" s="95">
        <f>VLOOKUP(BD56,CENY!$B$11:$M$2025,12,FALSE)</f>
        <v>15.147040000000001</v>
      </c>
      <c r="BK56" s="95">
        <f t="shared" si="6"/>
        <v>0</v>
      </c>
    </row>
    <row r="57" spans="47:63" ht="14.45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4"/>
        <v>0</v>
      </c>
      <c r="BA57" s="95">
        <f>VLOOKUP(AU57,CENY!$B$11:$M$2025,12,FALSE)</f>
        <v>24.002659999999999</v>
      </c>
      <c r="BB57" s="95">
        <f t="shared" si="1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5"/>
        <v>0</v>
      </c>
      <c r="BJ57" s="95">
        <f>VLOOKUP(BD57,CENY!$B$11:$M$2025,12,FALSE)</f>
        <v>15.147040000000001</v>
      </c>
      <c r="BK57" s="95">
        <f t="shared" si="6"/>
        <v>0</v>
      </c>
    </row>
    <row r="58" spans="47:63" ht="14.45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4"/>
        <v>0</v>
      </c>
      <c r="BA58" s="95">
        <f>VLOOKUP(AU58,CENY!$B$11:$M$2025,12,FALSE)</f>
        <v>4.9393000000000002</v>
      </c>
      <c r="BB58" s="95">
        <f t="shared" si="1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5"/>
        <v>0</v>
      </c>
      <c r="BJ58" s="95">
        <f>VLOOKUP(BD58,CENY!$B$11:$M$2025,12,FALSE)</f>
        <v>15.35308</v>
      </c>
      <c r="BK58" s="95">
        <f t="shared" si="6"/>
        <v>0</v>
      </c>
    </row>
    <row r="59" spans="47:63" ht="14.45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4"/>
        <v>0</v>
      </c>
      <c r="BA59" s="95">
        <f>VLOOKUP(AU59,CENY!$B$11:$M$2025,12,FALSE)</f>
        <v>23.748699999999999</v>
      </c>
      <c r="BB59" s="95">
        <f t="shared" si="1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5"/>
        <v>0</v>
      </c>
      <c r="BJ59" s="95" t="e">
        <f>VLOOKUP(BD59,CENY!$B$11:$M$2025,12,FALSE)</f>
        <v>#N/A</v>
      </c>
      <c r="BK59" s="95" t="e">
        <f t="shared" si="6"/>
        <v>#N/A</v>
      </c>
    </row>
    <row r="60" spans="47:63" ht="14.45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4"/>
        <v>0</v>
      </c>
      <c r="BA60" s="95">
        <f>VLOOKUP(AU60,CENY!$B$11:$M$2025,12,FALSE)</f>
        <v>5.1277499999999998</v>
      </c>
      <c r="BB60" s="95">
        <f t="shared" si="1"/>
        <v>0</v>
      </c>
      <c r="BD60" s="319"/>
      <c r="BE60" s="21"/>
      <c r="BF60" s="22"/>
      <c r="BG60" s="22"/>
      <c r="BH60" s="23"/>
      <c r="BI60" s="326" t="str">
        <f t="shared" si="5"/>
        <v/>
      </c>
      <c r="BJ60" s="95"/>
      <c r="BK60" s="95" t="str">
        <f t="shared" si="6"/>
        <v/>
      </c>
    </row>
    <row r="61" spans="47:63" ht="14.45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4"/>
        <v>0</v>
      </c>
      <c r="BA61" s="95">
        <f>VLOOKUP(AU61,CENY!$B$11:$M$2025,12,FALSE)</f>
        <v>25.86984</v>
      </c>
      <c r="BB61" s="95">
        <f t="shared" si="1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5"/>
        <v>0</v>
      </c>
      <c r="BJ61" s="95" t="e">
        <f>VLOOKUP(BD61,CENY!$B$11:$M$2025,12,FALSE)</f>
        <v>#N/A</v>
      </c>
      <c r="BK61" s="95" t="e">
        <f t="shared" si="6"/>
        <v>#N/A</v>
      </c>
    </row>
    <row r="62" spans="47:63" ht="14.45" customHeight="1">
      <c r="AU62" s="319"/>
      <c r="AV62" s="21"/>
      <c r="AW62" s="22"/>
      <c r="AX62" s="22"/>
      <c r="AY62" s="23"/>
      <c r="AZ62" s="326" t="str">
        <f t="shared" si="4"/>
        <v/>
      </c>
      <c r="BA62" s="95"/>
      <c r="BB62" s="95" t="str">
        <f t="shared" si="1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5"/>
        <v>0</v>
      </c>
      <c r="BJ62" s="95" t="e">
        <f>VLOOKUP(BD62,CENY!$B$11:$M$2025,12,FALSE)</f>
        <v>#N/A</v>
      </c>
      <c r="BK62" s="95" t="e">
        <f t="shared" si="6"/>
        <v>#N/A</v>
      </c>
    </row>
    <row r="63" spans="47:63" ht="14.45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4"/>
        <v>0</v>
      </c>
      <c r="BA63" s="95">
        <f>VLOOKUP(AU63,CENY!$B$11:$M$2025,12,FALSE)</f>
        <v>23.114239999999999</v>
      </c>
      <c r="BB63" s="95">
        <f t="shared" si="1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5"/>
        <v>0</v>
      </c>
      <c r="BJ63" s="95">
        <f>VLOOKUP(BD63,CENY!$B$11:$M$2025,12,FALSE)</f>
        <v>17.52394</v>
      </c>
      <c r="BK63" s="95">
        <f t="shared" si="6"/>
        <v>0</v>
      </c>
    </row>
    <row r="64" spans="47:63" ht="14.45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4"/>
        <v>0</v>
      </c>
      <c r="BA64" s="95">
        <f>VLOOKUP(AU64,CENY!$B$11:$M$2025,12,FALSE)</f>
        <v>23.114239999999999</v>
      </c>
      <c r="BB64" s="95">
        <f t="shared" si="1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5"/>
        <v>0</v>
      </c>
      <c r="BJ64" s="95">
        <f>VLOOKUP(BD64,CENY!$B$11:$M$2025,12,FALSE)</f>
        <v>17.52394</v>
      </c>
      <c r="BK64" s="95">
        <f t="shared" si="6"/>
        <v>0</v>
      </c>
    </row>
    <row r="65" spans="47:63" ht="14.45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4"/>
        <v>0</v>
      </c>
      <c r="BA65" s="95">
        <f>VLOOKUP(AU65,CENY!$B$11:$M$2025,12,FALSE)</f>
        <v>23.114239999999999</v>
      </c>
      <c r="BB65" s="95">
        <f t="shared" si="1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5"/>
        <v>0</v>
      </c>
      <c r="BJ65" s="95">
        <f>VLOOKUP(BD65,CENY!$B$11:$M$2025,12,FALSE)</f>
        <v>18.45496</v>
      </c>
      <c r="BK65" s="95">
        <f t="shared" si="6"/>
        <v>0</v>
      </c>
    </row>
    <row r="66" spans="47:63" ht="14.45" customHeight="1">
      <c r="AU66" s="319"/>
      <c r="AV66" s="21"/>
      <c r="AW66" s="22"/>
      <c r="AX66" s="22"/>
      <c r="AY66" s="23"/>
      <c r="AZ66" s="326" t="str">
        <f t="shared" si="4"/>
        <v/>
      </c>
      <c r="BA66" s="95"/>
      <c r="BB66" s="95" t="str">
        <f t="shared" si="1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5"/>
        <v>0</v>
      </c>
      <c r="BJ66" s="95">
        <f>VLOOKUP(BD66,CENY!$B$11:$M$2025,12,FALSE)</f>
        <v>18.45496</v>
      </c>
      <c r="BK66" s="95">
        <f t="shared" si="6"/>
        <v>0</v>
      </c>
    </row>
    <row r="67" spans="47:63" ht="14.45" customHeight="1"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ref="AZ67" si="32">IF(AY67="","",IF($AW$4=1,AY67,0))</f>
        <v>0</v>
      </c>
      <c r="BA67" s="95">
        <f>VLOOKUP(AU67,CENY!$B$11:$M$2025,12,FALSE)</f>
        <v>25.824369999999998</v>
      </c>
      <c r="BB67" s="95">
        <f t="shared" ref="BB67" si="33">IF(BA67="","",BA67*AY67)</f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5"/>
        <v>0</v>
      </c>
      <c r="BJ67" s="95">
        <f>VLOOKUP(BD67,CENY!$B$11:$M$2025,12,FALSE)</f>
        <v>21.352720000000001</v>
      </c>
      <c r="BK67" s="95">
        <f t="shared" si="6"/>
        <v>0</v>
      </c>
    </row>
    <row r="68" spans="47:63" ht="14.45" customHeight="1"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si="4"/>
        <v>0</v>
      </c>
      <c r="BA68" s="95">
        <f>VLOOKUP(AU68,CENY!$B$11:$M$2025,12,FALSE)</f>
        <v>25.86984</v>
      </c>
      <c r="BB68" s="95">
        <f t="shared" si="1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5"/>
        <v>0</v>
      </c>
      <c r="BJ68" s="95">
        <f>VLOOKUP(BD68,CENY!$B$11:$M$2025,12,FALSE)</f>
        <v>21.352720000000001</v>
      </c>
      <c r="BK68" s="95">
        <f t="shared" si="6"/>
        <v>0</v>
      </c>
    </row>
    <row r="69" spans="47:63" ht="14.45" customHeight="1"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4"/>
        <v>0</v>
      </c>
      <c r="BA69" s="95">
        <f>VLOOKUP(AU69,CENY!$B$11:$M$2025,12,FALSE)</f>
        <v>26.336690000000001</v>
      </c>
      <c r="BB69" s="95">
        <f t="shared" si="1"/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ref="BI69:BI70" si="34">IF(BH69="","",IF($AW$4=0,BH69,0))</f>
        <v>0</v>
      </c>
      <c r="BJ69" s="95">
        <f>VLOOKUP(BD69,CENY!$B$11:$M$2025,12,FALSE)</f>
        <v>22.243659999999998</v>
      </c>
      <c r="BK69" s="95">
        <f t="shared" ref="BK69:BK70" si="35">IF(BJ69="","",BJ69*BH69)</f>
        <v>0</v>
      </c>
    </row>
    <row r="70" spans="47:63" ht="14.45" customHeight="1"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si="4"/>
        <v>0</v>
      </c>
      <c r="BA70" s="95">
        <f>VLOOKUP(AU70,CENY!$B$11:$M$2025,12,FALSE)</f>
        <v>26.80339</v>
      </c>
      <c r="BB70" s="95">
        <f t="shared" si="1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si="34"/>
        <v>0</v>
      </c>
      <c r="BJ70" s="95">
        <f>VLOOKUP(BD70,CENY!$B$11:$M$2025,12,FALSE)</f>
        <v>22.243659999999998</v>
      </c>
      <c r="BK70" s="95">
        <f t="shared" si="35"/>
        <v>0</v>
      </c>
    </row>
    <row r="71" spans="47:63" ht="14.45" customHeight="1"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4"/>
        <v>0</v>
      </c>
      <c r="BA71" s="95">
        <f>VLOOKUP(AU71,CENY!$B$11:$M$2025,12,FALSE)</f>
        <v>27.270389999999999</v>
      </c>
      <c r="BB71" s="95">
        <f t="shared" si="1"/>
        <v>0</v>
      </c>
      <c r="BD71" s="319"/>
      <c r="BE71" s="21"/>
      <c r="BF71" s="22"/>
      <c r="BG71" s="22"/>
      <c r="BH71" s="23"/>
      <c r="BI71" s="326" t="str">
        <f t="shared" si="5"/>
        <v/>
      </c>
      <c r="BJ71" s="95"/>
      <c r="BK71" s="95" t="str">
        <f t="shared" si="6"/>
        <v/>
      </c>
    </row>
    <row r="72" spans="47:63" ht="14.45" customHeight="1"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4"/>
        <v>0</v>
      </c>
      <c r="BA72" s="95">
        <f>VLOOKUP(AU72,CENY!$B$11:$M$2025,12,FALSE)</f>
        <v>5.5988800000000003</v>
      </c>
      <c r="BB72" s="95">
        <f t="shared" si="1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5"/>
        <v>0</v>
      </c>
      <c r="BJ72" s="95">
        <f>VLOOKUP(BD72,CENY!$B$11:$M$2025,12,FALSE)</f>
        <v>23.177009999999999</v>
      </c>
      <c r="BK72" s="95">
        <f t="shared" si="6"/>
        <v>0</v>
      </c>
    </row>
    <row r="73" spans="47:63" ht="14.45" customHeight="1"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4"/>
        <v>0</v>
      </c>
      <c r="BA73" s="95">
        <f>VLOOKUP(AU73,CENY!$B$11:$M$2025,12,FALSE)</f>
        <v>28.20382</v>
      </c>
      <c r="BB73" s="95">
        <f t="shared" si="1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5"/>
        <v>0</v>
      </c>
      <c r="BJ73" s="95">
        <f>VLOOKUP(BD73,CENY!$B$11:$M$2025,12,FALSE)</f>
        <v>23.177009999999999</v>
      </c>
      <c r="BK73" s="95">
        <f t="shared" si="6"/>
        <v>0</v>
      </c>
    </row>
    <row r="74" spans="47:63" ht="14.45" customHeight="1"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4"/>
        <v>0</v>
      </c>
      <c r="BA74" s="95">
        <f>VLOOKUP(AU74,CENY!$B$11:$M$2025,12,FALSE)</f>
        <v>28.670570000000001</v>
      </c>
      <c r="BB74" s="95">
        <f t="shared" si="1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5"/>
        <v>0</v>
      </c>
      <c r="BJ74" s="95">
        <f>VLOOKUP(BD74,CENY!$B$11:$M$2025,12,FALSE)</f>
        <v>23.177009999999999</v>
      </c>
      <c r="BK74" s="95">
        <f t="shared" si="6"/>
        <v>0</v>
      </c>
    </row>
    <row r="75" spans="47:63" ht="14.45" customHeight="1">
      <c r="AU75" s="319"/>
      <c r="AV75" s="21"/>
      <c r="AW75" s="22"/>
      <c r="AX75" s="22"/>
      <c r="AY75" s="23"/>
      <c r="AZ75" s="326" t="str">
        <f t="shared" si="4"/>
        <v/>
      </c>
      <c r="BA75" s="95"/>
      <c r="BB75" s="95" t="str">
        <f t="shared" si="1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5"/>
        <v>0</v>
      </c>
      <c r="BJ75" s="95">
        <f>VLOOKUP(BD75,CENY!$B$11:$M$2025,12,FALSE)</f>
        <v>23.177009999999999</v>
      </c>
      <c r="BK75" s="95">
        <f t="shared" si="6"/>
        <v>0</v>
      </c>
    </row>
    <row r="76" spans="47:63" ht="14.45" customHeight="1"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4"/>
        <v>0</v>
      </c>
      <c r="BA76" s="95">
        <f>VLOOKUP(AU76,CENY!$B$11:$M$2025,12,FALSE)</f>
        <v>0.79318999999999995</v>
      </c>
      <c r="BB76" s="95">
        <f t="shared" si="1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5"/>
        <v>0</v>
      </c>
      <c r="BJ76" s="95">
        <f>VLOOKUP(BD76,CENY!$B$11:$M$2025,12,FALSE)</f>
        <v>8.7567500000000003</v>
      </c>
      <c r="BK76" s="95">
        <f t="shared" si="6"/>
        <v>0</v>
      </c>
    </row>
    <row r="77" spans="47:63" ht="14.45" customHeight="1">
      <c r="AU77" s="319"/>
      <c r="AV77" s="21"/>
      <c r="AW77" s="22"/>
      <c r="AX77" s="22"/>
      <c r="AY77" s="23"/>
      <c r="AZ77" s="326" t="str">
        <f t="shared" si="4"/>
        <v/>
      </c>
      <c r="BA77" s="95"/>
      <c r="BB77" s="95" t="str">
        <f t="shared" ref="BB77:BB122" si="36">IF(BA77="","",BA77*AY77)</f>
        <v/>
      </c>
      <c r="BD77" s="319"/>
      <c r="BE77" s="21"/>
      <c r="BF77" s="22"/>
      <c r="BG77" s="22"/>
      <c r="BH77" s="23"/>
      <c r="BI77" s="326" t="str">
        <f t="shared" si="5"/>
        <v/>
      </c>
      <c r="BJ77" s="95"/>
      <c r="BK77" s="95" t="str">
        <f t="shared" si="6"/>
        <v/>
      </c>
    </row>
    <row r="78" spans="47:63" ht="14.45" customHeight="1">
      <c r="AU78" s="442">
        <f>OBJ!B110</f>
        <v>9257884</v>
      </c>
      <c r="AV78" s="443" t="str">
        <f>VLOOKUP(AU78,CENY!$B$11:$G$1054,2,FALSE)</f>
        <v>AvanY-príchytka čela k naskrutk./ v139</v>
      </c>
      <c r="AW78" s="22">
        <f>VLOOKUP(AU78,CENY!$B$11:$G$1054,3,FALSE)</f>
        <v>200</v>
      </c>
      <c r="AX78" s="22"/>
      <c r="AY78" s="68">
        <f>2*(SUM(O19:T19)+SUM(O20:AD20)+SUM(W22:AF22)+SUM(O27:T27)+SUM(O28:AD28)+SUM(O30:AD30))</f>
        <v>0</v>
      </c>
      <c r="AZ78" s="326">
        <f t="shared" ref="AZ78:AZ123" si="37">IF(AY78="","",IF($AW$4=1,AY78,0))</f>
        <v>0</v>
      </c>
      <c r="BA78" s="95">
        <f>VLOOKUP(AU78,CENY!$B$11:$M$2025,12,FALSE)</f>
        <v>1.5494000000000001</v>
      </c>
      <c r="BB78" s="95">
        <f t="shared" si="36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ref="BI78:BI79" si="38">IF(BH78="","",IF($AW$4=0,BH78,0))</f>
        <v>0</v>
      </c>
      <c r="BJ78" s="95">
        <f>VLOOKUP(BD78,CENY!$B$11:$M$2025,12,FALSE)</f>
        <v>10.7646</v>
      </c>
      <c r="BK78" s="95">
        <f t="shared" ref="BK78:BK79" si="39">IF(BJ78="","",BJ78*BH78)</f>
        <v>0</v>
      </c>
    </row>
    <row r="79" spans="47:63" ht="14.45" customHeight="1">
      <c r="AU79" s="319"/>
      <c r="AV79" s="21"/>
      <c r="AW79" s="22"/>
      <c r="AX79" s="22"/>
      <c r="AY79" s="23"/>
      <c r="AZ79" s="326" t="str">
        <f t="shared" si="37"/>
        <v/>
      </c>
      <c r="BA79" s="95"/>
      <c r="BB79" s="95" t="str">
        <f t="shared" si="36"/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38"/>
        <v>0</v>
      </c>
      <c r="BJ79" s="95">
        <f>VLOOKUP(BD79,CENY!$B$11:$M$2025,12,FALSE)</f>
        <v>10.7646</v>
      </c>
      <c r="BK79" s="95">
        <f t="shared" si="39"/>
        <v>0</v>
      </c>
    </row>
    <row r="80" spans="47:63" ht="14.45" customHeight="1">
      <c r="AU80" s="320">
        <f>OBJ!B214</f>
        <v>0</v>
      </c>
      <c r="AV80" s="3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si="37"/>
        <v>0</v>
      </c>
      <c r="BA80" s="324" t="str">
        <f>IF(AU80=0,"",VLOOKUP(AU80,CENY!$B$11:$M$2025,12,FALSE))</f>
        <v/>
      </c>
      <c r="BB80" s="95" t="str">
        <f t="shared" si="36"/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5"/>
        <v>0</v>
      </c>
      <c r="BJ80" s="95">
        <f>VLOOKUP(BD80,CENY!$B$11:$M$2025,12,FALSE)</f>
        <v>10.787739999999999</v>
      </c>
      <c r="BK80" s="95">
        <f t="shared" si="6"/>
        <v>0</v>
      </c>
    </row>
    <row r="81" spans="47:63" ht="14.45" customHeight="1">
      <c r="AU81" s="319"/>
      <c r="AV81" s="21"/>
      <c r="AW81" s="22"/>
      <c r="AX81" s="22"/>
      <c r="AY81" s="23"/>
      <c r="AZ81" s="326" t="str">
        <f t="shared" si="37"/>
        <v/>
      </c>
      <c r="BA81" s="95"/>
      <c r="BB81" s="95" t="str">
        <f t="shared" si="36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5"/>
        <v>0</v>
      </c>
      <c r="BJ81" s="95">
        <f>VLOOKUP(BD81,CENY!$B$11:$M$2025,12,FALSE)</f>
        <v>10.787739999999999</v>
      </c>
      <c r="BK81" s="95">
        <f t="shared" si="6"/>
        <v>0</v>
      </c>
    </row>
    <row r="82" spans="47:63" ht="14.45" customHeight="1">
      <c r="AU82" s="319"/>
      <c r="AV82" s="21"/>
      <c r="AW82" s="22"/>
      <c r="AX82" s="22"/>
      <c r="AY82" s="23"/>
      <c r="AZ82" s="326" t="str">
        <f t="shared" si="37"/>
        <v/>
      </c>
      <c r="BA82" s="95"/>
      <c r="BB82" s="95" t="str">
        <f t="shared" si="36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5"/>
        <v>0</v>
      </c>
      <c r="BJ82" s="95">
        <f>VLOOKUP(BD82,CENY!$B$11:$M$2025,12,FALSE)</f>
        <v>11.02122</v>
      </c>
      <c r="BK82" s="95">
        <f t="shared" si="6"/>
        <v>0</v>
      </c>
    </row>
    <row r="83" spans="47:63" ht="14.45" customHeight="1">
      <c r="AU83" s="319"/>
      <c r="AV83" s="21"/>
      <c r="AW83" s="22"/>
      <c r="AX83" s="22"/>
      <c r="AY83" s="23"/>
      <c r="AZ83" s="326" t="str">
        <f t="shared" si="37"/>
        <v/>
      </c>
      <c r="BA83" s="95"/>
      <c r="BB83" s="95" t="str">
        <f t="shared" si="36"/>
        <v/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5"/>
        <v>0</v>
      </c>
      <c r="BJ83" s="95">
        <f>VLOOKUP(BD83,CENY!$B$11:$M$2025,12,FALSE)</f>
        <v>11.02122</v>
      </c>
      <c r="BK83" s="95">
        <f t="shared" si="6"/>
        <v>0</v>
      </c>
    </row>
    <row r="84" spans="47:63" ht="14.45" customHeight="1">
      <c r="AU84" s="319"/>
      <c r="AV84" s="21"/>
      <c r="AW84" s="22"/>
      <c r="AX84" s="22"/>
      <c r="AY84" s="23"/>
      <c r="AZ84" s="326" t="str">
        <f t="shared" si="37"/>
        <v/>
      </c>
      <c r="BA84" s="95"/>
      <c r="BB84" s="95" t="str">
        <f t="shared" si="36"/>
        <v/>
      </c>
      <c r="BD84" s="319"/>
      <c r="BE84" s="21"/>
      <c r="BF84" s="22"/>
      <c r="BG84" s="22"/>
      <c r="BH84" s="23"/>
      <c r="BI84" s="326" t="str">
        <f t="shared" ref="BI84:BI133" si="40">IF(BH84="","",IF($AW$4=0,BH84,0))</f>
        <v/>
      </c>
      <c r="BJ84" s="95"/>
      <c r="BK84" s="95" t="str">
        <f t="shared" ref="BK84:BK133" si="41">IF(BJ84="","",BJ84*BH84)</f>
        <v/>
      </c>
    </row>
    <row r="85" spans="47:63" ht="14.45" customHeight="1">
      <c r="AU85" s="319"/>
      <c r="AV85" s="21"/>
      <c r="AW85" s="22"/>
      <c r="AX85" s="22"/>
      <c r="AY85" s="23"/>
      <c r="AZ85" s="326" t="str">
        <f t="shared" si="37"/>
        <v/>
      </c>
      <c r="BA85" s="95"/>
      <c r="BB85" s="95" t="str">
        <f t="shared" si="36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ref="BI85:BI86" si="42">IF(BH85="","",IF($AW$4=0,BH85,0))</f>
        <v>0</v>
      </c>
      <c r="BJ85" s="95">
        <f>VLOOKUP(BD85,CENY!$B$11:$M$2025,12,FALSE)</f>
        <v>10.7646</v>
      </c>
      <c r="BK85" s="95">
        <f t="shared" ref="BK85:BK86" si="43">IF(BJ85="","",BJ85*BH85)</f>
        <v>0</v>
      </c>
    </row>
    <row r="86" spans="47:63" ht="14.45" customHeight="1">
      <c r="AU86" s="319"/>
      <c r="AV86" s="21"/>
      <c r="AW86" s="22"/>
      <c r="AX86" s="22"/>
      <c r="AY86" s="23"/>
      <c r="AZ86" s="326" t="str">
        <f t="shared" si="37"/>
        <v/>
      </c>
      <c r="BA86" s="95"/>
      <c r="BB86" s="95" t="str">
        <f t="shared" si="36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42"/>
        <v>0</v>
      </c>
      <c r="BJ86" s="95">
        <f>VLOOKUP(BD86,CENY!$B$11:$M$2025,12,FALSE)</f>
        <v>10.7646</v>
      </c>
      <c r="BK86" s="95">
        <f t="shared" si="43"/>
        <v>0</v>
      </c>
    </row>
    <row r="87" spans="47:63" ht="14.45" customHeight="1">
      <c r="AU87" s="319"/>
      <c r="AV87" s="21"/>
      <c r="AW87" s="22"/>
      <c r="AX87" s="22"/>
      <c r="AY87" s="23"/>
      <c r="AZ87" s="326" t="str">
        <f t="shared" si="37"/>
        <v/>
      </c>
      <c r="BA87" s="95"/>
      <c r="BB87" s="95" t="str">
        <f t="shared" si="36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40"/>
        <v>0</v>
      </c>
      <c r="BJ87" s="95">
        <f>VLOOKUP(BD87,CENY!$B$11:$M$2025,12,FALSE)</f>
        <v>10.787739999999999</v>
      </c>
      <c r="BK87" s="95">
        <f t="shared" si="41"/>
        <v>0</v>
      </c>
    </row>
    <row r="88" spans="47:63" ht="14.45" customHeight="1">
      <c r="AU88" s="319"/>
      <c r="AV88" s="21"/>
      <c r="AW88" s="22"/>
      <c r="AX88" s="22"/>
      <c r="AY88" s="23"/>
      <c r="AZ88" s="326" t="str">
        <f t="shared" si="37"/>
        <v/>
      </c>
      <c r="BA88" s="95"/>
      <c r="BB88" s="95" t="str">
        <f t="shared" si="36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40"/>
        <v>0</v>
      </c>
      <c r="BJ88" s="95">
        <f>VLOOKUP(BD88,CENY!$B$11:$M$2025,12,FALSE)</f>
        <v>10.787739999999999</v>
      </c>
      <c r="BK88" s="95">
        <f t="shared" si="41"/>
        <v>0</v>
      </c>
    </row>
    <row r="89" spans="47:63" ht="14.45" customHeight="1">
      <c r="AU89" s="319"/>
      <c r="AV89" s="21"/>
      <c r="AW89" s="22"/>
      <c r="AX89" s="22"/>
      <c r="AY89" s="23"/>
      <c r="AZ89" s="326" t="str">
        <f t="shared" si="37"/>
        <v/>
      </c>
      <c r="BA89" s="95"/>
      <c r="BB89" s="95" t="str">
        <f t="shared" si="36"/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40"/>
        <v>0</v>
      </c>
      <c r="BJ89" s="95">
        <f>VLOOKUP(BD89,CENY!$B$11:$M$2025,12,FALSE)</f>
        <v>11.02122</v>
      </c>
      <c r="BK89" s="95">
        <f t="shared" si="41"/>
        <v>0</v>
      </c>
    </row>
    <row r="90" spans="47:63" ht="14.45" customHeight="1">
      <c r="AU90" s="319"/>
      <c r="AV90" s="21"/>
      <c r="AW90" s="22"/>
      <c r="AX90" s="22"/>
      <c r="AY90" s="23"/>
      <c r="AZ90" s="326" t="str">
        <f t="shared" si="37"/>
        <v/>
      </c>
      <c r="BA90" s="95"/>
      <c r="BB90" s="95" t="str">
        <f t="shared" si="36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40"/>
        <v>0</v>
      </c>
      <c r="BJ90" s="95">
        <f>VLOOKUP(BD90,CENY!$B$11:$M$2025,12,FALSE)</f>
        <v>11.02122</v>
      </c>
      <c r="BK90" s="95">
        <f t="shared" si="41"/>
        <v>0</v>
      </c>
    </row>
    <row r="91" spans="47:63" ht="14.45" customHeight="1">
      <c r="AU91" s="319"/>
      <c r="AV91" s="21"/>
      <c r="AW91" s="22"/>
      <c r="AX91" s="22"/>
      <c r="AY91" s="23"/>
      <c r="AZ91" s="326" t="str">
        <f t="shared" si="37"/>
        <v/>
      </c>
      <c r="BA91" s="95"/>
      <c r="BB91" s="95" t="str">
        <f t="shared" si="36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40"/>
        <v>0</v>
      </c>
      <c r="BJ91" s="95">
        <f>VLOOKUP(BD91,CENY!$B$11:$M$2025,12,FALSE)</f>
        <v>11.25459</v>
      </c>
      <c r="BK91" s="95">
        <f t="shared" si="41"/>
        <v>0</v>
      </c>
    </row>
    <row r="92" spans="47:63" ht="14.45" customHeight="1">
      <c r="AU92" s="319"/>
      <c r="AV92" s="21"/>
      <c r="AW92" s="22"/>
      <c r="AX92" s="22"/>
      <c r="AY92" s="23"/>
      <c r="AZ92" s="326" t="str">
        <f t="shared" si="37"/>
        <v/>
      </c>
      <c r="BA92" s="95"/>
      <c r="BB92" s="95" t="str">
        <f t="shared" si="36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40"/>
        <v>0</v>
      </c>
      <c r="BJ92" s="95">
        <f>VLOOKUP(BD92,CENY!$B$11:$M$2025,12,FALSE)</f>
        <v>11.25459</v>
      </c>
      <c r="BK92" s="95">
        <f t="shared" si="41"/>
        <v>0</v>
      </c>
    </row>
    <row r="93" spans="47:63" ht="14.45" customHeight="1">
      <c r="AU93" s="319"/>
      <c r="AV93" s="21"/>
      <c r="AW93" s="22"/>
      <c r="AX93" s="22"/>
      <c r="AY93" s="23"/>
      <c r="AZ93" s="326" t="str">
        <f t="shared" si="37"/>
        <v/>
      </c>
      <c r="BA93" s="95"/>
      <c r="BB93" s="95" t="str">
        <f t="shared" si="36"/>
        <v/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40"/>
        <v>0</v>
      </c>
      <c r="BJ93" s="95">
        <f>VLOOKUP(BD93,CENY!$B$11:$M$2025,12,FALSE)</f>
        <v>11.487740000000001</v>
      </c>
      <c r="BK93" s="95">
        <f t="shared" si="41"/>
        <v>0</v>
      </c>
    </row>
    <row r="94" spans="47:63" ht="14.45" customHeight="1">
      <c r="AU94" s="319"/>
      <c r="AV94" s="21"/>
      <c r="AW94" s="22"/>
      <c r="AX94" s="22"/>
      <c r="AY94" s="23"/>
      <c r="AZ94" s="326" t="str">
        <f t="shared" si="37"/>
        <v/>
      </c>
      <c r="BA94" s="95"/>
      <c r="BB94" s="95" t="str">
        <f t="shared" si="36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40"/>
        <v>0</v>
      </c>
      <c r="BJ94" s="95">
        <f>VLOOKUP(BD94,CENY!$B$11:$M$2025,12,FALSE)</f>
        <v>11.487740000000001</v>
      </c>
      <c r="BK94" s="95">
        <f t="shared" si="41"/>
        <v>0</v>
      </c>
    </row>
    <row r="95" spans="47:63" ht="14.45" customHeight="1">
      <c r="AU95" s="319"/>
      <c r="AV95" s="21"/>
      <c r="AW95" s="22"/>
      <c r="AX95" s="22"/>
      <c r="AY95" s="23"/>
      <c r="AZ95" s="326" t="str">
        <f t="shared" si="37"/>
        <v/>
      </c>
      <c r="BA95" s="95"/>
      <c r="BB95" s="95" t="str">
        <f t="shared" si="36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40"/>
        <v>0</v>
      </c>
      <c r="BJ95" s="95">
        <f>VLOOKUP(BD95,CENY!$B$11:$M$2025,12,FALSE)</f>
        <v>11.163180000000001</v>
      </c>
      <c r="BK95" s="95">
        <f t="shared" si="41"/>
        <v>0</v>
      </c>
    </row>
    <row r="96" spans="47:63" ht="14.45" customHeight="1">
      <c r="AU96" s="319"/>
      <c r="AV96" s="21"/>
      <c r="AW96" s="22"/>
      <c r="AX96" s="22"/>
      <c r="AY96" s="23"/>
      <c r="AZ96" s="326" t="str">
        <f t="shared" si="37"/>
        <v/>
      </c>
      <c r="BA96" s="95"/>
      <c r="BB96" s="95" t="str">
        <f t="shared" si="36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40"/>
        <v>0</v>
      </c>
      <c r="BJ96" s="95">
        <f>VLOOKUP(BD96,CENY!$B$11:$M$2025,12,FALSE)</f>
        <v>11.163180000000001</v>
      </c>
      <c r="BK96" s="95">
        <f t="shared" si="41"/>
        <v>0</v>
      </c>
    </row>
    <row r="97" spans="47:63" ht="14.45" customHeight="1">
      <c r="AU97" s="319"/>
      <c r="AV97" s="21"/>
      <c r="AW97" s="22"/>
      <c r="AX97" s="22"/>
      <c r="AY97" s="23"/>
      <c r="AZ97" s="326" t="str">
        <f t="shared" si="37"/>
        <v/>
      </c>
      <c r="BA97" s="95"/>
      <c r="BB97" s="95" t="str">
        <f t="shared" si="36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40"/>
        <v>0</v>
      </c>
      <c r="BJ97" s="95">
        <f>VLOOKUP(BD97,CENY!$B$11:$M$2025,12,FALSE)</f>
        <v>11.38542</v>
      </c>
      <c r="BK97" s="95">
        <f t="shared" si="41"/>
        <v>0</v>
      </c>
    </row>
    <row r="98" spans="47:63" ht="14.45" customHeight="1">
      <c r="AU98" s="20"/>
      <c r="AV98" s="21"/>
      <c r="AW98" s="22"/>
      <c r="AX98" s="22"/>
      <c r="AY98" s="23"/>
      <c r="AZ98" s="326" t="str">
        <f t="shared" si="37"/>
        <v/>
      </c>
      <c r="BA98" s="95"/>
      <c r="BB98" s="95" t="str">
        <f t="shared" si="36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40"/>
        <v>0</v>
      </c>
      <c r="BJ98" s="95">
        <f>VLOOKUP(BD98,CENY!$B$11:$M$2025,12,FALSE)</f>
        <v>11.954689999999999</v>
      </c>
      <c r="BK98" s="95">
        <f t="shared" si="41"/>
        <v>0</v>
      </c>
    </row>
    <row r="99" spans="47:63" ht="14.45" customHeight="1">
      <c r="AU99" s="20"/>
      <c r="AV99" s="21"/>
      <c r="AW99" s="22"/>
      <c r="AX99" s="22"/>
      <c r="AY99" s="23"/>
      <c r="AZ99" s="326" t="str">
        <f t="shared" si="37"/>
        <v/>
      </c>
      <c r="BA99" s="95"/>
      <c r="BB99" s="95" t="str">
        <f t="shared" si="36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40"/>
        <v>0</v>
      </c>
      <c r="BJ99" s="95">
        <f>VLOOKUP(BD99,CENY!$B$11:$M$2025,12,FALSE)</f>
        <v>12.187939999999999</v>
      </c>
      <c r="BK99" s="95">
        <f t="shared" si="41"/>
        <v>0</v>
      </c>
    </row>
    <row r="100" spans="47:63" ht="14.45" customHeight="1">
      <c r="AU100" s="20"/>
      <c r="AV100" s="21"/>
      <c r="AW100" s="22"/>
      <c r="AX100" s="22"/>
      <c r="AY100" s="23"/>
      <c r="AZ100" s="326" t="str">
        <f t="shared" si="37"/>
        <v/>
      </c>
      <c r="BA100" s="95"/>
      <c r="BB100" s="95" t="str">
        <f t="shared" si="36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40"/>
        <v>0</v>
      </c>
      <c r="BJ100" s="95">
        <f>VLOOKUP(BD100,CENY!$B$11:$M$2025,12,FALSE)</f>
        <v>12.187939999999999</v>
      </c>
      <c r="BK100" s="95">
        <f t="shared" si="41"/>
        <v>0</v>
      </c>
    </row>
    <row r="101" spans="47:63">
      <c r="AU101" s="20"/>
      <c r="AV101" s="21"/>
      <c r="AW101" s="22"/>
      <c r="AX101" s="22"/>
      <c r="AY101" s="23"/>
      <c r="AZ101" s="326" t="str">
        <f t="shared" si="37"/>
        <v/>
      </c>
      <c r="BA101" s="95"/>
      <c r="BB101" s="95" t="str">
        <f t="shared" si="36"/>
        <v/>
      </c>
      <c r="BD101" s="319"/>
      <c r="BE101" s="21"/>
      <c r="BF101" s="22"/>
      <c r="BG101" s="22"/>
      <c r="BH101" s="23"/>
      <c r="BI101" s="326" t="str">
        <f t="shared" si="40"/>
        <v/>
      </c>
      <c r="BJ101" s="95"/>
      <c r="BK101" s="95" t="str">
        <f t="shared" si="41"/>
        <v/>
      </c>
    </row>
    <row r="102" spans="47:63">
      <c r="AU102" s="20"/>
      <c r="AV102" s="21"/>
      <c r="AW102" s="22"/>
      <c r="AX102" s="22"/>
      <c r="AY102" s="23"/>
      <c r="AZ102" s="326" t="str">
        <f t="shared" si="37"/>
        <v/>
      </c>
      <c r="BA102" s="95"/>
      <c r="BB102" s="95" t="str">
        <f t="shared" si="36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40"/>
        <v>0</v>
      </c>
      <c r="BJ102" s="95">
        <f>VLOOKUP(BD102,CENY!$B$11:$M$2025,12,FALSE)</f>
        <v>23.114239999999999</v>
      </c>
      <c r="BK102" s="95">
        <f t="shared" si="41"/>
        <v>0</v>
      </c>
    </row>
    <row r="103" spans="47:63">
      <c r="AU103" s="20"/>
      <c r="AV103" s="21"/>
      <c r="AW103" s="22"/>
      <c r="AX103" s="22"/>
      <c r="AY103" s="23"/>
      <c r="AZ103" s="326" t="str">
        <f t="shared" si="37"/>
        <v/>
      </c>
      <c r="BA103" s="95"/>
      <c r="BB103" s="95" t="str">
        <f t="shared" si="36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40"/>
        <v>0</v>
      </c>
      <c r="BJ103" s="95">
        <f>VLOOKUP(BD103,CENY!$B$11:$M$2025,12,FALSE)</f>
        <v>23.114239999999999</v>
      </c>
      <c r="BK103" s="95">
        <f t="shared" si="41"/>
        <v>0</v>
      </c>
    </row>
    <row r="104" spans="47:63">
      <c r="AU104" s="20"/>
      <c r="AV104" s="21"/>
      <c r="AW104" s="22"/>
      <c r="AX104" s="22"/>
      <c r="AY104" s="23"/>
      <c r="AZ104" s="326" t="str">
        <f t="shared" si="37"/>
        <v/>
      </c>
      <c r="BA104" s="95"/>
      <c r="BB104" s="95" t="str">
        <f t="shared" si="36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40"/>
        <v>0</v>
      </c>
      <c r="BJ104" s="95">
        <f>VLOOKUP(BD104,CENY!$B$11:$M$2025,12,FALSE)</f>
        <v>23.114239999999999</v>
      </c>
      <c r="BK104" s="95">
        <f t="shared" si="41"/>
        <v>0</v>
      </c>
    </row>
    <row r="105" spans="47:63">
      <c r="AU105" s="20"/>
      <c r="AV105" s="21"/>
      <c r="AW105" s="22"/>
      <c r="AX105" s="22"/>
      <c r="AY105" s="23"/>
      <c r="AZ105" s="326" t="str">
        <f t="shared" si="37"/>
        <v/>
      </c>
      <c r="BA105" s="95"/>
      <c r="BB105" s="95" t="str">
        <f t="shared" si="36"/>
        <v/>
      </c>
      <c r="BD105" s="319"/>
      <c r="BE105" s="21"/>
      <c r="BF105" s="22"/>
      <c r="BG105" s="22"/>
      <c r="BH105" s="23"/>
      <c r="BI105" s="326" t="str">
        <f t="shared" si="40"/>
        <v/>
      </c>
      <c r="BJ105" s="95"/>
      <c r="BK105" s="95" t="str">
        <f t="shared" si="41"/>
        <v/>
      </c>
    </row>
    <row r="106" spans="47:63">
      <c r="AU106" s="20"/>
      <c r="AV106" s="21"/>
      <c r="AW106" s="22"/>
      <c r="AX106" s="22"/>
      <c r="AY106" s="23"/>
      <c r="AZ106" s="326" t="str">
        <f t="shared" si="37"/>
        <v/>
      </c>
      <c r="BA106" s="95"/>
      <c r="BB106" s="95" t="str">
        <f t="shared" si="36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ref="BI106:BI107" si="44">IF(BH106="","",IF($AW$4=0,BH106,0))</f>
        <v>0</v>
      </c>
      <c r="BJ106" s="95">
        <f>VLOOKUP(BD106,CENY!$B$11:$M$2025,12,FALSE)</f>
        <v>12.16503</v>
      </c>
      <c r="BK106" s="95">
        <f t="shared" ref="BK106:BK107" si="45">IF(BJ106="","",BJ106*BH106)</f>
        <v>0</v>
      </c>
    </row>
    <row r="107" spans="47:63">
      <c r="AU107" s="20"/>
      <c r="AV107" s="21"/>
      <c r="AW107" s="22"/>
      <c r="AX107" s="22"/>
      <c r="AY107" s="23"/>
      <c r="AZ107" s="326" t="str">
        <f t="shared" si="37"/>
        <v/>
      </c>
      <c r="BA107" s="95"/>
      <c r="BB107" s="95" t="str">
        <f t="shared" si="36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44"/>
        <v>0</v>
      </c>
      <c r="BJ107" s="95">
        <f>VLOOKUP(BD107,CENY!$B$11:$M$2025,12,FALSE)</f>
        <v>12.16503</v>
      </c>
      <c r="BK107" s="95">
        <f t="shared" si="45"/>
        <v>0</v>
      </c>
    </row>
    <row r="108" spans="47:63">
      <c r="AU108" s="20"/>
      <c r="AV108" s="21"/>
      <c r="AW108" s="22"/>
      <c r="AX108" s="22"/>
      <c r="AY108" s="23"/>
      <c r="AZ108" s="326" t="str">
        <f t="shared" si="37"/>
        <v/>
      </c>
      <c r="BA108" s="95"/>
      <c r="BB108" s="95" t="str">
        <f t="shared" si="36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40"/>
        <v>0</v>
      </c>
      <c r="BJ108" s="95">
        <f>VLOOKUP(BD108,CENY!$B$11:$M$2025,12,FALSE)</f>
        <v>12.187939999999999</v>
      </c>
      <c r="BK108" s="95">
        <f t="shared" si="41"/>
        <v>0</v>
      </c>
    </row>
    <row r="109" spans="47:63">
      <c r="AU109" s="20"/>
      <c r="AV109" s="21"/>
      <c r="AW109" s="22"/>
      <c r="AX109" s="22"/>
      <c r="AY109" s="23"/>
      <c r="AZ109" s="326" t="str">
        <f t="shared" si="37"/>
        <v/>
      </c>
      <c r="BA109" s="95"/>
      <c r="BB109" s="95" t="str">
        <f t="shared" si="36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40"/>
        <v>0</v>
      </c>
      <c r="BJ109" s="95">
        <f>VLOOKUP(BD109,CENY!$B$11:$M$2025,12,FALSE)</f>
        <v>12.187939999999999</v>
      </c>
      <c r="BK109" s="95">
        <f t="shared" si="41"/>
        <v>0</v>
      </c>
    </row>
    <row r="110" spans="47:63">
      <c r="AU110" s="20"/>
      <c r="AV110" s="21"/>
      <c r="AW110" s="22"/>
      <c r="AX110" s="22"/>
      <c r="AY110" s="23"/>
      <c r="AZ110" s="326" t="str">
        <f t="shared" si="37"/>
        <v/>
      </c>
      <c r="BA110" s="95"/>
      <c r="BB110" s="95" t="str">
        <f t="shared" si="36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40"/>
        <v>0</v>
      </c>
      <c r="BJ110" s="95">
        <f>VLOOKUP(BD110,CENY!$B$11:$M$2025,12,FALSE)</f>
        <v>12.42154</v>
      </c>
      <c r="BK110" s="95">
        <f t="shared" si="41"/>
        <v>0</v>
      </c>
    </row>
    <row r="111" spans="47:63">
      <c r="AU111" s="20"/>
      <c r="AV111" s="21"/>
      <c r="AW111" s="22"/>
      <c r="AX111" s="22"/>
      <c r="AY111" s="23"/>
      <c r="AZ111" s="326" t="str">
        <f t="shared" si="37"/>
        <v/>
      </c>
      <c r="BA111" s="95"/>
      <c r="BB111" s="95" t="str">
        <f t="shared" si="36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40"/>
        <v>0</v>
      </c>
      <c r="BJ111" s="95">
        <f>VLOOKUP(BD111,CENY!$B$11:$M$2025,12,FALSE)</f>
        <v>12.42154</v>
      </c>
      <c r="BK111" s="95">
        <f t="shared" si="41"/>
        <v>0</v>
      </c>
    </row>
    <row r="112" spans="47:63">
      <c r="AU112" s="20"/>
      <c r="AV112" s="21"/>
      <c r="AW112" s="22"/>
      <c r="AX112" s="22"/>
      <c r="AY112" s="23"/>
      <c r="AZ112" s="326" t="str">
        <f t="shared" si="37"/>
        <v/>
      </c>
      <c r="BA112" s="95"/>
      <c r="BB112" s="95" t="str">
        <f t="shared" si="36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40"/>
        <v>0</v>
      </c>
      <c r="BJ112" s="95">
        <f>VLOOKUP(BD112,CENY!$B$11:$M$2025,12,FALSE)</f>
        <v>12.654769999999999</v>
      </c>
      <c r="BK112" s="95">
        <f t="shared" si="41"/>
        <v>0</v>
      </c>
    </row>
    <row r="113" spans="47:63">
      <c r="AU113" s="20"/>
      <c r="AV113" s="21"/>
      <c r="AW113" s="22"/>
      <c r="AX113" s="22"/>
      <c r="AY113" s="23"/>
      <c r="AZ113" s="326" t="str">
        <f t="shared" si="37"/>
        <v/>
      </c>
      <c r="BA113" s="95"/>
      <c r="BB113" s="95" t="str">
        <f t="shared" si="36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40"/>
        <v>0</v>
      </c>
      <c r="BJ113" s="95">
        <f>VLOOKUP(BD113,CENY!$B$11:$M$2025,12,FALSE)</f>
        <v>12.654769999999999</v>
      </c>
      <c r="BK113" s="95">
        <f t="shared" si="41"/>
        <v>0</v>
      </c>
    </row>
    <row r="114" spans="47:63">
      <c r="AU114" s="20"/>
      <c r="AV114" s="21"/>
      <c r="AW114" s="22"/>
      <c r="AX114" s="22"/>
      <c r="AY114" s="23"/>
      <c r="AZ114" s="326" t="str">
        <f t="shared" si="37"/>
        <v/>
      </c>
      <c r="BA114" s="95"/>
      <c r="BB114" s="95" t="str">
        <f t="shared" si="36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40"/>
        <v>0</v>
      </c>
      <c r="BJ114" s="95">
        <f>VLOOKUP(BD114,CENY!$B$11:$M$2025,12,FALSE)</f>
        <v>12.888019999999999</v>
      </c>
      <c r="BK114" s="95">
        <f t="shared" si="41"/>
        <v>0</v>
      </c>
    </row>
    <row r="115" spans="47:63">
      <c r="AU115" s="20"/>
      <c r="AV115" s="21"/>
      <c r="AW115" s="22"/>
      <c r="AX115" s="22"/>
      <c r="AY115" s="23"/>
      <c r="AZ115" s="326" t="str">
        <f t="shared" si="37"/>
        <v/>
      </c>
      <c r="BA115" s="95"/>
      <c r="BB115" s="95" t="str">
        <f t="shared" si="36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40"/>
        <v>0</v>
      </c>
      <c r="BJ115" s="95">
        <f>VLOOKUP(BD115,CENY!$B$11:$M$2025,12,FALSE)</f>
        <v>12.888019999999999</v>
      </c>
      <c r="BK115" s="95">
        <f t="shared" si="41"/>
        <v>0</v>
      </c>
    </row>
    <row r="116" spans="47:63">
      <c r="AU116" s="20"/>
      <c r="AV116" s="21"/>
      <c r="AW116" s="22"/>
      <c r="AX116" s="22"/>
      <c r="AY116" s="23"/>
      <c r="AZ116" s="326" t="str">
        <f t="shared" si="37"/>
        <v/>
      </c>
      <c r="BA116" s="95"/>
      <c r="BB116" s="95" t="str">
        <f t="shared" si="36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40"/>
        <v>0</v>
      </c>
      <c r="BJ116" s="95">
        <f>VLOOKUP(BD116,CENY!$B$11:$M$2025,12,FALSE)</f>
        <v>12.496779999999999</v>
      </c>
      <c r="BK116" s="95">
        <f t="shared" si="41"/>
        <v>0</v>
      </c>
    </row>
    <row r="117" spans="47:63">
      <c r="AU117" s="20"/>
      <c r="AV117" s="21"/>
      <c r="AW117" s="22"/>
      <c r="AX117" s="22"/>
      <c r="AY117" s="23"/>
      <c r="AZ117" s="326" t="str">
        <f t="shared" si="37"/>
        <v/>
      </c>
      <c r="BA117" s="95"/>
      <c r="BB117" s="95" t="str">
        <f t="shared" si="36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40"/>
        <v>0</v>
      </c>
      <c r="BJ117" s="95">
        <f>VLOOKUP(BD117,CENY!$B$11:$M$2025,12,FALSE)</f>
        <v>12.496779999999999</v>
      </c>
      <c r="BK117" s="95">
        <f t="shared" si="41"/>
        <v>0</v>
      </c>
    </row>
    <row r="118" spans="47:63">
      <c r="AU118" s="20"/>
      <c r="AV118" s="21"/>
      <c r="AW118" s="22"/>
      <c r="AX118" s="22"/>
      <c r="AY118" s="23"/>
      <c r="AZ118" s="326" t="str">
        <f t="shared" si="37"/>
        <v/>
      </c>
      <c r="BA118" s="95"/>
      <c r="BB118" s="95" t="str">
        <f t="shared" si="36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40"/>
        <v>0</v>
      </c>
      <c r="BJ118" s="95">
        <f>VLOOKUP(BD118,CENY!$B$11:$M$2025,12,FALSE)</f>
        <v>12.718019999999999</v>
      </c>
      <c r="BK118" s="95">
        <f t="shared" si="41"/>
        <v>0</v>
      </c>
    </row>
    <row r="119" spans="47:63">
      <c r="AU119" s="319">
        <f>OBJ!B361</f>
        <v>45167</v>
      </c>
      <c r="AV119" s="21" t="str">
        <f>VLOOKUP(AU119,CENY!$B$11:$G$1054,2,FALSE)</f>
        <v>Skrutka s polgul.hlavou 3,5x12mm</v>
      </c>
      <c r="AW119" s="22">
        <f>VLOOKUP(AU119,CENY!$B$11:$G$1054,3,FALSE)</f>
        <v>200</v>
      </c>
      <c r="AX119" s="22"/>
      <c r="AY119" s="23">
        <f>SUMPRODUCT(AX5:AX13,AY5:AY13)</f>
        <v>0</v>
      </c>
      <c r="AZ119" s="326">
        <f t="shared" si="37"/>
        <v>0</v>
      </c>
      <c r="BA119" s="95">
        <f>VLOOKUP(AU119,CENY!$B$11:$M$2025,12,FALSE)</f>
        <v>3.4759999999999999E-2</v>
      </c>
      <c r="BB119" s="95">
        <f t="shared" si="36"/>
        <v>0</v>
      </c>
      <c r="BC119" s="86" t="s">
        <v>396</v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40"/>
        <v>0</v>
      </c>
      <c r="BJ119" s="95">
        <f>VLOOKUP(BD119,CENY!$B$11:$M$2025,12,FALSE)</f>
        <v>13.35392</v>
      </c>
      <c r="BK119" s="95">
        <f t="shared" si="41"/>
        <v>0</v>
      </c>
    </row>
    <row r="120" spans="47:63">
      <c r="AU120" s="319">
        <f>OBJ!B362</f>
        <v>45168</v>
      </c>
      <c r="AV120" s="21" t="str">
        <f>VLOOKUP(AU120,CENY!$B$11:$G$1054,2,FALSE)</f>
        <v>Skrutka s polgul.hlavou 3,5x20mm</v>
      </c>
      <c r="AW120" s="22">
        <f>VLOOKUP(AU120,CENY!$B$11:$G$1054,3,FALSE)</f>
        <v>200</v>
      </c>
      <c r="AX120" s="22"/>
      <c r="AY120" s="360">
        <v>0</v>
      </c>
      <c r="AZ120" s="326">
        <f t="shared" si="37"/>
        <v>0</v>
      </c>
      <c r="BA120" s="95">
        <f>VLOOKUP(AU120,CENY!$B$11:$M$2025,12,FALSE)</f>
        <v>4.9860000000000002E-2</v>
      </c>
      <c r="BB120" s="95">
        <f t="shared" si="36"/>
        <v>0</v>
      </c>
      <c r="BC120" s="86" t="s">
        <v>397</v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40"/>
        <v>0</v>
      </c>
      <c r="BJ120" s="95">
        <f>VLOOKUP(BD120,CENY!$B$11:$M$2025,12,FALSE)</f>
        <v>13.58704</v>
      </c>
      <c r="BK120" s="95">
        <f t="shared" si="41"/>
        <v>0</v>
      </c>
    </row>
    <row r="121" spans="47:63">
      <c r="AU121" s="319">
        <f>OBJ!B363</f>
        <v>9278224</v>
      </c>
      <c r="AV121" s="21" t="str">
        <f>VLOOKUP(AU121,CENY!$B$11:$G$1054,2,FALSE)</f>
        <v>Skrutka s polgul.hlavou 3,5x30mm</v>
      </c>
      <c r="AW121" s="22">
        <f>VLOOKUP(AU121,CENY!$B$11:$G$1054,3,FALSE)</f>
        <v>200</v>
      </c>
      <c r="AX121" s="22"/>
      <c r="AY121" s="360">
        <v>0</v>
      </c>
      <c r="AZ121" s="326">
        <f t="shared" si="37"/>
        <v>0</v>
      </c>
      <c r="BA121" s="95">
        <f>VLOOKUP(AU121,CENY!$B$11:$M$2025,12,FALSE)</f>
        <v>4.299E-2</v>
      </c>
      <c r="BB121" s="95">
        <f t="shared" si="36"/>
        <v>0</v>
      </c>
      <c r="BC121" s="86" t="s">
        <v>398</v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40"/>
        <v>0</v>
      </c>
      <c r="BJ121" s="95">
        <f>VLOOKUP(BD121,CENY!$B$11:$M$2025,12,FALSE)</f>
        <v>13.58704</v>
      </c>
      <c r="BK121" s="95">
        <f t="shared" si="41"/>
        <v>0</v>
      </c>
    </row>
    <row r="122" spans="47:63">
      <c r="AU122" s="319">
        <f>OBJ!B364</f>
        <v>9279197</v>
      </c>
      <c r="AV122" s="21" t="str">
        <f>VLOOKUP(AU122,CENY!$B$11:$G$1054,2,FALSE)</f>
        <v>Skrutka s polgul.hlavou M3,5x12mm</v>
      </c>
      <c r="AW122" s="22">
        <f>VLOOKUP(AU122,CENY!$B$11:$G$1054,3,FALSE)</f>
        <v>1000</v>
      </c>
      <c r="AX122" s="22"/>
      <c r="AY122" s="68">
        <v>0</v>
      </c>
      <c r="AZ122" s="326">
        <f t="shared" si="37"/>
        <v>0</v>
      </c>
      <c r="BA122" s="95" t="e">
        <f>VLOOKUP(AU122,CENY!$B$11:$M$2025,12,FALSE)</f>
        <v>#N/A</v>
      </c>
      <c r="BB122" s="95" t="e">
        <f t="shared" si="36"/>
        <v>#N/A</v>
      </c>
      <c r="BC122" s="86" t="s">
        <v>399</v>
      </c>
      <c r="BD122" s="319" t="s">
        <v>47</v>
      </c>
      <c r="BE122" s="21"/>
      <c r="BF122" s="22"/>
      <c r="BG122" s="22"/>
      <c r="BH122" s="23"/>
      <c r="BI122" s="326" t="str">
        <f t="shared" si="40"/>
        <v/>
      </c>
      <c r="BJ122" s="95"/>
      <c r="BK122" s="95" t="str">
        <f t="shared" si="41"/>
        <v/>
      </c>
    </row>
    <row r="123" spans="47:63">
      <c r="AU123" s="319">
        <f>OBJ!B365</f>
        <v>9137114</v>
      </c>
      <c r="AV123" s="21" t="str">
        <f>VLOOKUP(AU123,CENY!$B$11:$G$1054,2,FALSE)</f>
        <v>EURO-skrutka  6,0x14mm / niklovaná</v>
      </c>
      <c r="AW123" s="22">
        <f>VLOOKUP(AU123,CENY!$B$11:$G$1054,3,FALSE)</f>
        <v>200</v>
      </c>
      <c r="AX123" s="22"/>
      <c r="AY123" s="23">
        <f>SUMPRODUCT(AX25:AX74,AY25:AY74)</f>
        <v>0</v>
      </c>
      <c r="AZ123" s="326">
        <f t="shared" si="37"/>
        <v>0</v>
      </c>
      <c r="BA123" s="95">
        <f>VLOOKUP(AU123,CENY!$B$11:$M$2025,12,FALSE)</f>
        <v>7.7280000000000001E-2</v>
      </c>
      <c r="BB123" s="95">
        <f>IF(BA123="","",BA123*AY123)</f>
        <v>0</v>
      </c>
      <c r="BC123" s="86" t="s">
        <v>400</v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40"/>
        <v>0</v>
      </c>
      <c r="BJ123" s="95">
        <f>VLOOKUP(BD123,CENY!$B$11:$M$2025,12,FALSE)</f>
        <v>0.79318999999999995</v>
      </c>
      <c r="BK123" s="95">
        <f t="shared" si="41"/>
        <v>0</v>
      </c>
    </row>
    <row r="124" spans="47:63">
      <c r="AU124" s="20"/>
      <c r="AV124" s="21"/>
      <c r="AW124" s="22"/>
      <c r="AX124" s="22"/>
      <c r="AY124" s="23"/>
      <c r="AZ124" s="326" t="str">
        <f>IF(AY124="","",IF($AW$4=1,AY124,0))</f>
        <v/>
      </c>
      <c r="BA124" s="95"/>
      <c r="BB124" s="95" t="str">
        <f>IF(BA124="","",BA124*AY124)</f>
        <v/>
      </c>
      <c r="BD124" s="319"/>
      <c r="BE124" s="21"/>
      <c r="BF124" s="22"/>
      <c r="BG124" s="22"/>
      <c r="BH124" s="23"/>
      <c r="BI124" s="326" t="str">
        <f t="shared" si="40"/>
        <v/>
      </c>
      <c r="BJ124" s="95"/>
      <c r="BK124" s="95" t="str">
        <f t="shared" si="41"/>
        <v/>
      </c>
    </row>
    <row r="125" spans="47:63">
      <c r="AU125" s="20"/>
      <c r="AV125" s="21"/>
      <c r="AW125" s="22"/>
      <c r="AX125" s="22"/>
      <c r="AY125" s="23"/>
      <c r="AZ125" s="326" t="str">
        <f>IF(AY125="","",IF($AW$4=1,AY125,0))</f>
        <v/>
      </c>
      <c r="BA125" s="95"/>
      <c r="BB125" s="95" t="str">
        <f>IF(BA125="","",BA125*AY125)</f>
        <v/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40"/>
        <v>0</v>
      </c>
      <c r="BJ125" s="324" t="str">
        <f>IF(BD125=0,"",VLOOKUP(BD125,CENY!$B$11:$M$2025,12,FALSE))</f>
        <v/>
      </c>
      <c r="BK125" s="95" t="str">
        <f t="shared" si="41"/>
        <v/>
      </c>
    </row>
    <row r="126" spans="47:63">
      <c r="BD126" s="319"/>
      <c r="BE126" s="21"/>
      <c r="BF126" s="22"/>
      <c r="BG126" s="22"/>
      <c r="BH126" s="23"/>
      <c r="BI126" s="326" t="str">
        <f t="shared" si="40"/>
        <v/>
      </c>
      <c r="BJ126" s="95"/>
      <c r="BK126" s="95" t="str">
        <f t="shared" si="41"/>
        <v/>
      </c>
    </row>
    <row r="127" spans="47:63">
      <c r="BD127" s="319">
        <f>OBJ!B361</f>
        <v>45167</v>
      </c>
      <c r="BE127" s="21" t="str">
        <f>VLOOKUP(BD127,CENY!$B$11:$G$1054,2,FALSE)</f>
        <v>Skrutka s polgul.hlavou 3,5x12mm</v>
      </c>
      <c r="BF127" s="22">
        <f>VLOOKUP(BD127,CENY!$B$11:$G$1054,3,FALSE)</f>
        <v>200</v>
      </c>
      <c r="BG127" s="22"/>
      <c r="BH127" s="23">
        <f>AY119+BH25*2</f>
        <v>0</v>
      </c>
      <c r="BI127" s="326">
        <f>IF(BH127="","",IF($AW$4=0,BH127,0))</f>
        <v>0</v>
      </c>
      <c r="BJ127" s="95">
        <f>VLOOKUP(BD127,CENY!$B$11:$M$2025,12,FALSE)</f>
        <v>3.4759999999999999E-2</v>
      </c>
      <c r="BK127" s="95">
        <f>IF(BJ127="","",BJ127*BH127)</f>
        <v>0</v>
      </c>
    </row>
    <row r="128" spans="47:63">
      <c r="BD128" s="319">
        <f>OBJ!B362</f>
        <v>45168</v>
      </c>
      <c r="BE128" s="21" t="str">
        <f>VLOOKUP(BD128,CENY!$B$11:$G$1054,2,FALSE)</f>
        <v>Skrutka s polgul.hlavou 3,5x20mm</v>
      </c>
      <c r="BF128" s="22">
        <f>VLOOKUP(BD128,CENY!$B$11:$G$1054,3,FALSE)</f>
        <v>200</v>
      </c>
      <c r="BG128" s="22"/>
      <c r="BH128" s="360">
        <f>IF(FORM!$AM$8=FORM!$AU$10,BH24*3,0)</f>
        <v>0</v>
      </c>
      <c r="BI128" s="326">
        <f>IF(BH128="","",IF($AW$4=0,BH128,0))</f>
        <v>0</v>
      </c>
      <c r="BJ128" s="95">
        <f>VLOOKUP(BD128,CENY!$B$11:$M$2025,12,FALSE)</f>
        <v>4.9860000000000002E-2</v>
      </c>
      <c r="BK128" s="95">
        <f>IF(BJ128="","",BJ128*BH128)</f>
        <v>0</v>
      </c>
    </row>
    <row r="129" spans="56:63">
      <c r="BD129" s="319">
        <f>OBJ!B363</f>
        <v>9278224</v>
      </c>
      <c r="BE129" s="21" t="str">
        <f>VLOOKUP(BD129,CENY!$B$11:$G$1054,2,FALSE)</f>
        <v>Skrutka s polgul.hlavou 3,5x30mm</v>
      </c>
      <c r="BF129" s="22">
        <f>VLOOKUP(BD129,CENY!$B$11:$G$1054,3,FALSE)</f>
        <v>200</v>
      </c>
      <c r="BG129" s="22"/>
      <c r="BH129" s="360">
        <f>2*SUM(BH5:BH22)</f>
        <v>0</v>
      </c>
      <c r="BI129" s="326">
        <f>IF(BH129="","",IF($AW$4=0,BH129,0))</f>
        <v>0</v>
      </c>
      <c r="BJ129" s="95">
        <f>VLOOKUP(BD129,CENY!$B$11:$M$2025,12,FALSE)</f>
        <v>4.299E-2</v>
      </c>
      <c r="BK129" s="95">
        <f>IF(BJ129="","",BJ129*BH129)</f>
        <v>0</v>
      </c>
    </row>
    <row r="130" spans="56:63">
      <c r="BD130" s="319">
        <f>OBJ!B364</f>
        <v>9279197</v>
      </c>
      <c r="BE130" s="21" t="str">
        <f>VLOOKUP(BD130,CENY!$B$11:$G$1054,2,FALSE)</f>
        <v>Skrutka s polgul.hlavou M3,5x12mm</v>
      </c>
      <c r="BF130" s="22">
        <f>VLOOKUP(BD130,CENY!$B$11:$G$1054,3,FALSE)</f>
        <v>1000</v>
      </c>
      <c r="BG130" s="22"/>
      <c r="BH130" s="68">
        <f>AY122</f>
        <v>0</v>
      </c>
      <c r="BI130" s="326">
        <f>IF(BH130="","",IF($AW$4=0,BH130,0))</f>
        <v>0</v>
      </c>
      <c r="BJ130" s="95" t="e">
        <f>VLOOKUP(BD130,CENY!$B$11:$M$2025,12,FALSE)</f>
        <v>#N/A</v>
      </c>
      <c r="BK130" s="95" t="e">
        <f>IF(BJ130="","",BJ130*BH130)</f>
        <v>#N/A</v>
      </c>
    </row>
    <row r="131" spans="56:63">
      <c r="BD131" s="319">
        <f>OBJ!B365</f>
        <v>9137114</v>
      </c>
      <c r="BE131" s="21" t="str">
        <f>VLOOKUP(BD131,CENY!$B$11:$G$1054,2,FALSE)</f>
        <v>EURO-skrutka  6,0x14mm / niklovaná</v>
      </c>
      <c r="BF131" s="22">
        <f>VLOOKUP(BD131,CENY!$B$11:$G$1054,3,FALSE)</f>
        <v>200</v>
      </c>
      <c r="BG131" s="22"/>
      <c r="BH131" s="23">
        <f>AY123</f>
        <v>0</v>
      </c>
      <c r="BI131" s="326">
        <f>IF(BH131="","",IF($AW$4=0,BH131,0))</f>
        <v>0</v>
      </c>
      <c r="BJ131" s="95">
        <f>VLOOKUP(BD131,CENY!$B$11:$M$2025,12,FALSE)</f>
        <v>7.7280000000000001E-2</v>
      </c>
      <c r="BK131" s="95">
        <f>IF(BJ131="","",BJ131*BH131)</f>
        <v>0</v>
      </c>
    </row>
    <row r="132" spans="56:63">
      <c r="BD132" s="319"/>
      <c r="BE132" s="21"/>
      <c r="BF132" s="22"/>
      <c r="BG132" s="22"/>
      <c r="BH132" s="23"/>
      <c r="BI132" s="326" t="str">
        <f t="shared" si="40"/>
        <v/>
      </c>
      <c r="BJ132" s="95"/>
      <c r="BK132" s="95" t="str">
        <f t="shared" si="41"/>
        <v/>
      </c>
    </row>
    <row r="133" spans="56:63">
      <c r="BD133" s="319"/>
      <c r="BE133" s="21"/>
      <c r="BF133" s="22"/>
      <c r="BG133" s="22"/>
      <c r="BH133" s="23"/>
      <c r="BI133" s="326" t="str">
        <f t="shared" si="40"/>
        <v/>
      </c>
      <c r="BJ133" s="95"/>
      <c r="BK133" s="95" t="str">
        <f t="shared" si="41"/>
        <v/>
      </c>
    </row>
    <row r="134" spans="56:63">
      <c r="BD134" s="319"/>
      <c r="BE134" s="21"/>
      <c r="BF134" s="22"/>
      <c r="BG134" s="22"/>
      <c r="BH134" s="23"/>
      <c r="BI134" s="326" t="str">
        <f>IF(BH134="","",IF($AW$4=0,BH134,0))</f>
        <v/>
      </c>
      <c r="BJ134" s="95"/>
      <c r="BK134" s="95" t="str">
        <f>IF(BJ134="","",BJ134*BH134)</f>
        <v/>
      </c>
    </row>
    <row r="135" spans="56:63">
      <c r="BD135" s="319"/>
      <c r="BE135" s="21"/>
      <c r="BF135" s="22"/>
      <c r="BG135" s="22"/>
      <c r="BH135" s="23"/>
      <c r="BI135" s="326" t="str">
        <f>IF(BH135="","",IF($AW$4=0,BH135,0))</f>
        <v/>
      </c>
      <c r="BJ135" s="95"/>
      <c r="BK135" s="95" t="str">
        <f>IF(BJ135="","",BJ135*BH135)</f>
        <v/>
      </c>
    </row>
  </sheetData>
  <sheetProtection algorithmName="SHA-512" hashValue="rCoJZI0cS3V8tG97h3wRIKqL0VweWHtG4mBJGSZCV+fZDDVRuwBraYBBVsxOknKdiKeC21X/RPERJ8dei9h4xA==" saltValue="JaPMN2v1+TjBoUwKBA1IQg==" spinCount="100000" sheet="1" objects="1" scenarios="1"/>
  <mergeCells count="111">
    <mergeCell ref="B13:E13"/>
    <mergeCell ref="F13:I13"/>
    <mergeCell ref="J13:K13"/>
    <mergeCell ref="F11:K11"/>
    <mergeCell ref="F12:K12"/>
    <mergeCell ref="U28:V28"/>
    <mergeCell ref="W28:X28"/>
    <mergeCell ref="Y28:Z28"/>
    <mergeCell ref="AA28:AB28"/>
    <mergeCell ref="B27:G27"/>
    <mergeCell ref="H27:L27"/>
    <mergeCell ref="M27:N27"/>
    <mergeCell ref="Q27:R27"/>
    <mergeCell ref="S27:T27"/>
    <mergeCell ref="B19:G19"/>
    <mergeCell ref="H19:L19"/>
    <mergeCell ref="M19:N19"/>
    <mergeCell ref="Q19:R19"/>
    <mergeCell ref="S19:T19"/>
    <mergeCell ref="O17:AF17"/>
    <mergeCell ref="O19:P19"/>
    <mergeCell ref="O20:P20"/>
    <mergeCell ref="O27:P27"/>
    <mergeCell ref="O28:P28"/>
    <mergeCell ref="AN29:AO29"/>
    <mergeCell ref="B30:G30"/>
    <mergeCell ref="H30:L30"/>
    <mergeCell ref="M30:N30"/>
    <mergeCell ref="Q30:R30"/>
    <mergeCell ref="S30:T30"/>
    <mergeCell ref="U30:V30"/>
    <mergeCell ref="W30:X30"/>
    <mergeCell ref="Y30:Z30"/>
    <mergeCell ref="AA30:AB30"/>
    <mergeCell ref="AC30:AD30"/>
    <mergeCell ref="O30:P30"/>
    <mergeCell ref="AN27:AO27"/>
    <mergeCell ref="AC28:AD28"/>
    <mergeCell ref="AN28:AO28"/>
    <mergeCell ref="B28:G28"/>
    <mergeCell ref="H28:L28"/>
    <mergeCell ref="M28:N28"/>
    <mergeCell ref="Q28:R28"/>
    <mergeCell ref="S28:T28"/>
    <mergeCell ref="AI25:AO25"/>
    <mergeCell ref="O26:P26"/>
    <mergeCell ref="Q26:R26"/>
    <mergeCell ref="S26:T26"/>
    <mergeCell ref="U26:V26"/>
    <mergeCell ref="W26:X26"/>
    <mergeCell ref="Y26:Z26"/>
    <mergeCell ref="AA26:AB26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AN19:AO19"/>
    <mergeCell ref="B20:G20"/>
    <mergeCell ref="H20:L20"/>
    <mergeCell ref="M20:N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I18:AO18"/>
    <mergeCell ref="B10:E10"/>
    <mergeCell ref="F10:K10"/>
    <mergeCell ref="B11:E11"/>
    <mergeCell ref="AO2:AR2"/>
    <mergeCell ref="B6:E6"/>
    <mergeCell ref="F6:K6"/>
    <mergeCell ref="B7:E7"/>
    <mergeCell ref="F7:K7"/>
    <mergeCell ref="B12:E12"/>
    <mergeCell ref="AA2:AE2"/>
    <mergeCell ref="AI2:AM2"/>
    <mergeCell ref="B8:E8"/>
    <mergeCell ref="F8:K8"/>
    <mergeCell ref="B2:E2"/>
    <mergeCell ref="G2:K2"/>
    <mergeCell ref="O2:S2"/>
    <mergeCell ref="U2:Y2"/>
    <mergeCell ref="B9:E9"/>
    <mergeCell ref="F9:K9"/>
  </mergeCells>
  <conditionalFormatting sqref="AY28 AY45:AY49 BH43 BH47:BH52 BH88:BH92 BH94:BH99 AZ124:AZ125 AY108:AY118 BH126 AY5:AY12 AY18:AY22 AZ7:AZ12 AY31:AY41 AY52:AY53 AY66 BI6 BI8:BI20 BH5:BH20 AY16 AZ16:AZ22 AY13:AZ15 AY24 AY23:AZ23 AZ24:AZ41 AY43 AY42:AZ42 AZ43:AZ53 AZ55:AZ66 AY55:AY57 AY54:AZ54 AZ68:AZ118 AY68:AY71 AY67:AZ67 BH21:BI26 BH36:BI36 BH54:BH68 BH77 BH101:BH105 BI27:BI35 BH45 BI37:BI68 BI71:BI77 BH71 BH69:BI70 BH78:BI84 BH86 BI85:BI105 BI108:BI126 BH108:BH118 BH106:BI107">
    <cfRule type="cellIs" dxfId="922" priority="67" stopIfTrue="1" operator="equal">
      <formula>0</formula>
    </cfRule>
  </conditionalFormatting>
  <conditionalFormatting sqref="AY62:AY65 AY77 AY59 AY79">
    <cfRule type="cellIs" dxfId="921" priority="64" stopIfTrue="1" operator="equal">
      <formula>0</formula>
    </cfRule>
  </conditionalFormatting>
  <conditionalFormatting sqref="O17:AF17 Q19:T19 Q20:AD20 Q27:T27 Q28:AD28 O19:P20 W22:AF22 O27:P28 O30:AD30">
    <cfRule type="expression" dxfId="920" priority="66" stopIfTrue="1">
      <formula>$AW$4=0</formula>
    </cfRule>
  </conditionalFormatting>
  <conditionalFormatting sqref="AY50:AY51">
    <cfRule type="cellIs" dxfId="919" priority="37" stopIfTrue="1" operator="equal">
      <formula>0</formula>
    </cfRule>
  </conditionalFormatting>
  <conditionalFormatting sqref="AY86 AY92:AY93">
    <cfRule type="cellIs" dxfId="918" priority="63" stopIfTrue="1" operator="equal">
      <formula>0</formula>
    </cfRule>
  </conditionalFormatting>
  <conditionalFormatting sqref="AY94">
    <cfRule type="cellIs" dxfId="917" priority="62" stopIfTrue="1" operator="equal">
      <formula>0</formula>
    </cfRule>
  </conditionalFormatting>
  <conditionalFormatting sqref="AY98:AY107">
    <cfRule type="cellIs" dxfId="916" priority="61" stopIfTrue="1" operator="equal">
      <formula>0</formula>
    </cfRule>
  </conditionalFormatting>
  <conditionalFormatting sqref="AY60:AY61">
    <cfRule type="cellIs" dxfId="915" priority="59" stopIfTrue="1" operator="equal">
      <formula>0</formula>
    </cfRule>
  </conditionalFormatting>
  <conditionalFormatting sqref="AY73">
    <cfRule type="cellIs" dxfId="914" priority="58" stopIfTrue="1" operator="equal">
      <formula>0</formula>
    </cfRule>
  </conditionalFormatting>
  <conditionalFormatting sqref="AY81:AY83">
    <cfRule type="cellIs" dxfId="913" priority="57" stopIfTrue="1" operator="equal">
      <formula>0</formula>
    </cfRule>
  </conditionalFormatting>
  <conditionalFormatting sqref="AY84">
    <cfRule type="cellIs" dxfId="912" priority="56" stopIfTrue="1" operator="equal">
      <formula>0</formula>
    </cfRule>
  </conditionalFormatting>
  <conditionalFormatting sqref="AY85">
    <cfRule type="cellIs" dxfId="911" priority="55" stopIfTrue="1" operator="equal">
      <formula>0</formula>
    </cfRule>
  </conditionalFormatting>
  <conditionalFormatting sqref="AY95:AY97">
    <cfRule type="cellIs" dxfId="910" priority="53" stopIfTrue="1" operator="equal">
      <formula>0</formula>
    </cfRule>
  </conditionalFormatting>
  <conditionalFormatting sqref="BH120:BH122 BH124">
    <cfRule type="cellIs" dxfId="909" priority="52" stopIfTrue="1" operator="equal">
      <formula>0</formula>
    </cfRule>
  </conditionalFormatting>
  <conditionalFormatting sqref="BH132:BH135">
    <cfRule type="cellIs" dxfId="908" priority="51" stopIfTrue="1" operator="equal">
      <formula>0</formula>
    </cfRule>
  </conditionalFormatting>
  <conditionalFormatting sqref="AY124:AY125">
    <cfRule type="cellIs" dxfId="907" priority="50" stopIfTrue="1" operator="equal">
      <formula>0</formula>
    </cfRule>
  </conditionalFormatting>
  <conditionalFormatting sqref="AY74:AY75">
    <cfRule type="cellIs" dxfId="906" priority="49" stopIfTrue="1" operator="equal">
      <formula>0</formula>
    </cfRule>
  </conditionalFormatting>
  <conditionalFormatting sqref="BH125">
    <cfRule type="cellIs" dxfId="905" priority="47" stopIfTrue="1" operator="equal">
      <formula>0</formula>
    </cfRule>
  </conditionalFormatting>
  <conditionalFormatting sqref="BH32">
    <cfRule type="cellIs" dxfId="904" priority="28" stopIfTrue="1" operator="equal">
      <formula>0</formula>
    </cfRule>
  </conditionalFormatting>
  <conditionalFormatting sqref="AY17">
    <cfRule type="cellIs" dxfId="903" priority="41" stopIfTrue="1" operator="equal">
      <formula>0</formula>
    </cfRule>
  </conditionalFormatting>
  <conditionalFormatting sqref="AY25:AY27">
    <cfRule type="cellIs" dxfId="902" priority="40" stopIfTrue="1" operator="equal">
      <formula>0</formula>
    </cfRule>
  </conditionalFormatting>
  <conditionalFormatting sqref="AY29:AY30">
    <cfRule type="cellIs" dxfId="901" priority="39" stopIfTrue="1" operator="equal">
      <formula>0</formula>
    </cfRule>
  </conditionalFormatting>
  <conditionalFormatting sqref="AY44">
    <cfRule type="cellIs" dxfId="900" priority="38" stopIfTrue="1" operator="equal">
      <formula>0</formula>
    </cfRule>
  </conditionalFormatting>
  <conditionalFormatting sqref="AY58">
    <cfRule type="cellIs" dxfId="899" priority="36" stopIfTrue="1" operator="equal">
      <formula>0</formula>
    </cfRule>
  </conditionalFormatting>
  <conditionalFormatting sqref="AY72">
    <cfRule type="cellIs" dxfId="898" priority="35" stopIfTrue="1" operator="equal">
      <formula>0</formula>
    </cfRule>
  </conditionalFormatting>
  <conditionalFormatting sqref="AY76">
    <cfRule type="cellIs" dxfId="897" priority="34" stopIfTrue="1" operator="equal">
      <formula>0</formula>
    </cfRule>
  </conditionalFormatting>
  <conditionalFormatting sqref="AY78">
    <cfRule type="cellIs" dxfId="896" priority="33" stopIfTrue="1" operator="equal">
      <formula>0</formula>
    </cfRule>
  </conditionalFormatting>
  <conditionalFormatting sqref="AY80">
    <cfRule type="cellIs" dxfId="895" priority="32" stopIfTrue="1" operator="equal">
      <formula>0</formula>
    </cfRule>
  </conditionalFormatting>
  <conditionalFormatting sqref="AY87:AY91">
    <cfRule type="cellIs" dxfId="894" priority="31" stopIfTrue="1" operator="equal">
      <formula>0</formula>
    </cfRule>
  </conditionalFormatting>
  <conditionalFormatting sqref="F13:K13">
    <cfRule type="expression" dxfId="893" priority="30" stopIfTrue="1">
      <formula>$AW$4=1</formula>
    </cfRule>
  </conditionalFormatting>
  <conditionalFormatting sqref="BH27:BH31">
    <cfRule type="cellIs" dxfId="892" priority="29" stopIfTrue="1" operator="equal">
      <formula>0</formula>
    </cfRule>
  </conditionalFormatting>
  <conditionalFormatting sqref="BH33">
    <cfRule type="cellIs" dxfId="891" priority="27" stopIfTrue="1" operator="equal">
      <formula>0</formula>
    </cfRule>
  </conditionalFormatting>
  <conditionalFormatting sqref="BH34:BH35">
    <cfRule type="cellIs" dxfId="890" priority="26" stopIfTrue="1" operator="equal">
      <formula>0</formula>
    </cfRule>
  </conditionalFormatting>
  <conditionalFormatting sqref="BH37:BH42">
    <cfRule type="cellIs" dxfId="889" priority="25" stopIfTrue="1" operator="equal">
      <formula>0</formula>
    </cfRule>
  </conditionalFormatting>
  <conditionalFormatting sqref="BH46">
    <cfRule type="cellIs" dxfId="888" priority="24" stopIfTrue="1" operator="equal">
      <formula>0</formula>
    </cfRule>
  </conditionalFormatting>
  <conditionalFormatting sqref="BH53">
    <cfRule type="cellIs" dxfId="887" priority="23" stopIfTrue="1" operator="equal">
      <formula>0</formula>
    </cfRule>
  </conditionalFormatting>
  <conditionalFormatting sqref="BH72">
    <cfRule type="cellIs" dxfId="886" priority="22" stopIfTrue="1" operator="equal">
      <formula>0</formula>
    </cfRule>
  </conditionalFormatting>
  <conditionalFormatting sqref="BH73:BH76">
    <cfRule type="cellIs" dxfId="885" priority="21" stopIfTrue="1" operator="equal">
      <formula>0</formula>
    </cfRule>
  </conditionalFormatting>
  <conditionalFormatting sqref="BH87">
    <cfRule type="cellIs" dxfId="884" priority="20" stopIfTrue="1" operator="equal">
      <formula>0</formula>
    </cfRule>
  </conditionalFormatting>
  <conditionalFormatting sqref="BH93">
    <cfRule type="cellIs" dxfId="883" priority="19" stopIfTrue="1" operator="equal">
      <formula>0</formula>
    </cfRule>
  </conditionalFormatting>
  <conditionalFormatting sqref="BH100">
    <cfRule type="cellIs" dxfId="882" priority="18" stopIfTrue="1" operator="equal">
      <formula>0</formula>
    </cfRule>
  </conditionalFormatting>
  <conditionalFormatting sqref="BH119">
    <cfRule type="cellIs" dxfId="881" priority="17" stopIfTrue="1" operator="equal">
      <formula>0</formula>
    </cfRule>
  </conditionalFormatting>
  <conditionalFormatting sqref="BH123">
    <cfRule type="cellIs" dxfId="880" priority="16" stopIfTrue="1" operator="equal">
      <formula>0</formula>
    </cfRule>
  </conditionalFormatting>
  <conditionalFormatting sqref="AZ5:AZ6">
    <cfRule type="cellIs" dxfId="879" priority="14" stopIfTrue="1" operator="equal">
      <formula>0</formula>
    </cfRule>
  </conditionalFormatting>
  <conditionalFormatting sqref="BI7">
    <cfRule type="cellIs" dxfId="878" priority="13" stopIfTrue="1" operator="equal">
      <formula>0</formula>
    </cfRule>
  </conditionalFormatting>
  <conditionalFormatting sqref="BI132:BI135">
    <cfRule type="cellIs" dxfId="877" priority="11" stopIfTrue="1" operator="equal">
      <formula>0</formula>
    </cfRule>
  </conditionalFormatting>
  <conditionalFormatting sqref="AZ119:AZ123">
    <cfRule type="cellIs" dxfId="876" priority="10" stopIfTrue="1" operator="equal">
      <formula>0</formula>
    </cfRule>
  </conditionalFormatting>
  <conditionalFormatting sqref="AY119:AY123">
    <cfRule type="cellIs" dxfId="875" priority="9" stopIfTrue="1" operator="equal">
      <formula>0</formula>
    </cfRule>
  </conditionalFormatting>
  <conditionalFormatting sqref="BH127 BH130:BH131">
    <cfRule type="cellIs" dxfId="874" priority="8" stopIfTrue="1" operator="equal">
      <formula>0</formula>
    </cfRule>
  </conditionalFormatting>
  <conditionalFormatting sqref="BI127:BI131">
    <cfRule type="cellIs" dxfId="873" priority="7" stopIfTrue="1" operator="equal">
      <formula>0</formula>
    </cfRule>
  </conditionalFormatting>
  <conditionalFormatting sqref="BH128:BH129">
    <cfRule type="cellIs" dxfId="872" priority="6" stopIfTrue="1" operator="equal">
      <formula>0</formula>
    </cfRule>
  </conditionalFormatting>
  <conditionalFormatting sqref="AI17:AO17">
    <cfRule type="expression" dxfId="871" priority="5" stopIfTrue="1">
      <formula>$AW$4=0</formula>
    </cfRule>
  </conditionalFormatting>
  <conditionalFormatting sqref="AI25:AO25">
    <cfRule type="expression" dxfId="870" priority="4" stopIfTrue="1">
      <formula>$AW$4=0</formula>
    </cfRule>
  </conditionalFormatting>
  <conditionalFormatting sqref="BI5">
    <cfRule type="cellIs" dxfId="869" priority="3" stopIfTrue="1" operator="equal">
      <formula>0</formula>
    </cfRule>
  </conditionalFormatting>
  <conditionalFormatting sqref="BH44">
    <cfRule type="cellIs" dxfId="868" priority="2" stopIfTrue="1" operator="equal">
      <formula>0</formula>
    </cfRule>
  </conditionalFormatting>
  <conditionalFormatting sqref="BH85">
    <cfRule type="cellIs" dxfId="867" priority="1" stopIfTrue="1" operator="equal">
      <formula>0</formula>
    </cfRule>
  </conditionalFormatting>
  <hyperlinks>
    <hyperlink ref="M4" location="MENU!A1" display="MENU!A1" xr:uid="{00000000-0004-0000-0600-000000000000}"/>
    <hyperlink ref="M10" location="OBJ!A1" display="OBJ!A1" xr:uid="{00000000-0004-0000-0600-000001000000}"/>
    <hyperlink ref="M9" location="suhrn!A1" display="suhrn!A1" xr:uid="{00000000-0004-0000-0600-000002000000}"/>
    <hyperlink ref="O2:S2" location="MENU!A5" display="MENU!A5" xr:uid="{00000000-0004-0000-06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ignoredErrors>
    <ignoredError sqref="F13:K13" unlockedFormula="1"/>
  </ignoredError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50">
    <tabColor rgb="FFFFFF00"/>
  </sheetPr>
  <dimension ref="A1:BK135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187"</f>
        <v>Zásuvka AVANTECH YOU 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SUM(BB5:BB990)</f>
        <v>#N/A</v>
      </c>
      <c r="BD4" s="94" t="s">
        <v>34</v>
      </c>
      <c r="BK4" s="322" t="e">
        <f>SUM(BK5:BK985)</f>
        <v>#N/A</v>
      </c>
    </row>
    <row r="5" spans="1:63" ht="14.45" customHeight="1">
      <c r="AU5" s="319">
        <f>OBJ!B112</f>
        <v>9353353</v>
      </c>
      <c r="AV5" s="21" t="str">
        <f>VLOOKUP(AU5,CENY!$B$11:$G$1054,2,FALSE)</f>
        <v>AvanY-sólo oceľ.boky-NW 187/270mm/strieb.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37.606110000000001</v>
      </c>
      <c r="BB5" s="95">
        <f t="shared" ref="BB5:BB66" si="0">IF(BA5="","",BA5*AY5)</f>
        <v>0</v>
      </c>
      <c r="BD5" s="319">
        <f>OBJ!B122</f>
        <v>9255044</v>
      </c>
      <c r="BE5" s="21" t="str">
        <f>VLOOKUP(BD5,CENY!$B$11:$G$1054,2,FALSE)</f>
        <v>AvanY-bok ľavý /v187/h270/ strieborná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16.540590000000002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328</v>
      </c>
      <c r="G6" s="566"/>
      <c r="H6" s="566"/>
      <c r="I6" s="566"/>
      <c r="J6" s="566"/>
      <c r="K6" s="566"/>
      <c r="AU6" s="319">
        <f>OBJ!B113</f>
        <v>9353354</v>
      </c>
      <c r="AV6" s="21" t="str">
        <f>VLOOKUP(AU6,CENY!$B$11:$G$1054,2,FALSE)</f>
        <v>AvanY-sólo oceľ.boky-NW 187/300mm/strieb.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 t="shared" ref="AZ6:AZ67" si="1">IF(AY6="","",IF($AW$4=1,AY6,0))</f>
        <v>0</v>
      </c>
      <c r="BA6" s="95">
        <f>VLOOKUP(AU6,CENY!$B$11:$M$2025,12,FALSE)</f>
        <v>37.95196</v>
      </c>
      <c r="BB6" s="95">
        <f t="shared" si="0"/>
        <v>0</v>
      </c>
      <c r="BD6" s="319">
        <f>OBJ!B123</f>
        <v>9255045</v>
      </c>
      <c r="BE6" s="21" t="str">
        <f>VLOOKUP(BD6,CENY!$B$11:$G$1054,2,FALSE)</f>
        <v>AvanY-bok pravý /v187/h270/ strieborná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16.540590000000002</v>
      </c>
      <c r="BK6" s="95">
        <f t="shared" ref="BK6:BK69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OBJ!B114</f>
        <v>9353355</v>
      </c>
      <c r="AV7" s="21" t="str">
        <f>VLOOKUP(AU7,CENY!$B$11:$G$1054,2,FALSE)</f>
        <v>AvanY-sólo oceľ.boky-NW 187/350mm/strieb.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si="1"/>
        <v>0</v>
      </c>
      <c r="BA7" s="95">
        <f>VLOOKUP(AU7,CENY!$B$11:$M$2025,12,FALSE)</f>
        <v>38.529060000000001</v>
      </c>
      <c r="BB7" s="95">
        <f t="shared" si="0"/>
        <v>0</v>
      </c>
      <c r="BD7" s="319">
        <f>OBJ!B124</f>
        <v>9255046</v>
      </c>
      <c r="BE7" s="21" t="str">
        <f>VLOOKUP(BD7,CENY!$B$11:$G$1054,2,FALSE)</f>
        <v>AvanY-bok ľavý /v187/h300/ strieborná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16.72522</v>
      </c>
      <c r="BK7" s="95">
        <f t="shared" si="3"/>
        <v>0</v>
      </c>
    </row>
    <row r="8" spans="1:63" ht="14.45" customHeigh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OBJ!B115</f>
        <v>9353356</v>
      </c>
      <c r="AV8" s="21" t="str">
        <f>VLOOKUP(AU8,CENY!$B$11:$G$1054,2,FALSE)</f>
        <v>AvanY-sólo oceľ.boky-NW 187/400mm/strieb.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1"/>
        <v>0</v>
      </c>
      <c r="BA8" s="95">
        <f>VLOOKUP(AU8,CENY!$B$11:$M$2025,12,FALSE)</f>
        <v>39.106140000000003</v>
      </c>
      <c r="BB8" s="95">
        <f t="shared" si="0"/>
        <v>0</v>
      </c>
      <c r="BD8" s="319">
        <f>OBJ!B125</f>
        <v>9255047</v>
      </c>
      <c r="BE8" s="21" t="str">
        <f>VLOOKUP(BD8,CENY!$B$11:$G$1054,2,FALSE)</f>
        <v>AvanY-bok pravý /v187/h300/ strieborná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16.72522</v>
      </c>
      <c r="BK8" s="95">
        <f t="shared" si="3"/>
        <v>0</v>
      </c>
    </row>
    <row r="9" spans="1:63" ht="14.45" customHeight="1">
      <c r="B9" s="552"/>
      <c r="C9" s="560"/>
      <c r="D9" s="560"/>
      <c r="E9" s="561"/>
      <c r="F9" s="562"/>
      <c r="G9" s="563"/>
      <c r="H9" s="563"/>
      <c r="I9" s="563"/>
      <c r="J9" s="563"/>
      <c r="K9" s="564"/>
      <c r="AU9" s="319">
        <f>OBJ!B116</f>
        <v>9353357</v>
      </c>
      <c r="AV9" s="21" t="str">
        <f>VLOOKUP(AU9,CENY!$B$11:$G$1054,2,FALSE)</f>
        <v>AvanY-sólo oceľ.boky-NW 187/450mm/strieb.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1"/>
        <v>0</v>
      </c>
      <c r="BA9" s="95">
        <f>VLOOKUP(AU9,CENY!$B$11:$M$2025,12,FALSE)</f>
        <v>37.79374</v>
      </c>
      <c r="BB9" s="95">
        <f t="shared" si="0"/>
        <v>0</v>
      </c>
      <c r="BD9" s="319">
        <f>OBJ!B126</f>
        <v>9255048</v>
      </c>
      <c r="BE9" s="21" t="str">
        <f>VLOOKUP(BD9,CENY!$B$11:$G$1054,2,FALSE)</f>
        <v>AvanY-bok ľavý /v187/h350/ strieborná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17.033180000000002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U10" s="319">
        <f>OBJ!B117</f>
        <v>9353358</v>
      </c>
      <c r="AV10" s="21" t="str">
        <f>VLOOKUP(AU10,CENY!$B$11:$G$1054,2,FALSE)</f>
        <v>AvanY-sólo oceľ.boky-NW 187/500mm/strieb.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1"/>
        <v>0</v>
      </c>
      <c r="BA10" s="95">
        <f>VLOOKUP(AU10,CENY!$B$11:$M$2025,12,FALSE)</f>
        <v>38.343159999999997</v>
      </c>
      <c r="BB10" s="95">
        <f t="shared" si="0"/>
        <v>0</v>
      </c>
      <c r="BD10" s="319">
        <f>OBJ!B127</f>
        <v>9255049</v>
      </c>
      <c r="BE10" s="21" t="str">
        <f>VLOOKUP(BD10,CENY!$B$11:$G$1054,2,FALSE)</f>
        <v>AvanY-bok pravý /v187/h350/ strieborná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17.033180000000002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OBJ!B118</f>
        <v>9353359</v>
      </c>
      <c r="AV11" s="21" t="str">
        <f>VLOOKUP(AU11,CENY!$B$11:$G$1054,2,FALSE)</f>
        <v>AvanY-sólo oceľ.boky-NW 187/550mm/strieb.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1"/>
        <v>0</v>
      </c>
      <c r="BA11" s="95">
        <f>VLOOKUP(AU11,CENY!$B$11:$M$2025,12,FALSE)</f>
        <v>40.83719</v>
      </c>
      <c r="BB11" s="95">
        <f t="shared" si="0"/>
        <v>0</v>
      </c>
      <c r="BD11" s="319">
        <f>OBJ!B128</f>
        <v>9255050</v>
      </c>
      <c r="BE11" s="21" t="str">
        <f>VLOOKUP(BD11,CENY!$B$11:$G$1054,2,FALSE)</f>
        <v>AvanY-bok ľavý /v187/h400/ strieborná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17.340789999999998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OBJ!B119</f>
        <v>9353360</v>
      </c>
      <c r="AV12" s="21" t="str">
        <f>VLOOKUP(AU12,CENY!$B$11:$G$1054,2,FALSE)</f>
        <v>AvanY-sólo oceľ.boky-NW 187/600mm/strieb.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1"/>
        <v>0</v>
      </c>
      <c r="BA12" s="95">
        <f>VLOOKUP(AU12,CENY!$B$11:$M$2025,12,FALSE)</f>
        <v>41.752409999999998</v>
      </c>
      <c r="BB12" s="95">
        <f t="shared" si="0"/>
        <v>0</v>
      </c>
      <c r="BD12" s="319">
        <f>OBJ!B129</f>
        <v>9255051</v>
      </c>
      <c r="BE12" s="21" t="str">
        <f>VLOOKUP(BD12,CENY!$B$11:$G$1054,2,FALSE)</f>
        <v>AvanY-bok pravý /v187/h400/ strieborná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17.340789999999998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OBJ!B120</f>
        <v>9353371</v>
      </c>
      <c r="AV13" s="21" t="str">
        <f>VLOOKUP(AU13,CENY!$B$11:$G$1054,2,FALSE)</f>
        <v>AvanY-sólo oceľ.boky-NW 187/650mm/strieb.</v>
      </c>
      <c r="AW13" s="22">
        <f>VLOOKUP(AU13,CENY!$B$11:$G$1054,3,FALSE)</f>
        <v>1</v>
      </c>
      <c r="AX13" s="362">
        <v>10</v>
      </c>
      <c r="AY13" s="23">
        <f>AE22</f>
        <v>0</v>
      </c>
      <c r="AZ13" s="326">
        <f t="shared" si="1"/>
        <v>0</v>
      </c>
      <c r="BA13" s="95">
        <f>VLOOKUP(AU13,CENY!$B$11:$M$2025,12,FALSE)</f>
        <v>43.053130000000003</v>
      </c>
      <c r="BB13" s="95">
        <f t="shared" si="0"/>
        <v>0</v>
      </c>
      <c r="BD13" s="319">
        <f>OBJ!B130</f>
        <v>9255052</v>
      </c>
      <c r="BE13" s="21" t="str">
        <f>VLOOKUP(BD13,CENY!$B$11:$G$1054,2,FALSE)</f>
        <v>AvanY-bok ľavý /v187/h450/ strieborná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16.80836</v>
      </c>
      <c r="BK13" s="95">
        <f t="shared" si="3"/>
        <v>0</v>
      </c>
    </row>
    <row r="14" spans="1:63" ht="14.45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OBJ!B131</f>
        <v>9255053</v>
      </c>
      <c r="BE14" s="21" t="str">
        <f>VLOOKUP(BD14,CENY!$B$11:$G$1054,2,FALSE)</f>
        <v>AvanY-bok pravý /v187/h450/ strieborná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16.80836</v>
      </c>
      <c r="BK14" s="95">
        <f t="shared" si="3"/>
        <v>0</v>
      </c>
    </row>
    <row r="15" spans="1:63" ht="14.45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si="1"/>
        <v>0</v>
      </c>
      <c r="BA15" s="95">
        <f>VLOOKUP(AU15,CENY!$B$11:$M$2025,12,FALSE)</f>
        <v>0.95189000000000001</v>
      </c>
      <c r="BB15" s="95">
        <f t="shared" si="0"/>
        <v>0</v>
      </c>
      <c r="BD15" s="319">
        <f>OBJ!B132</f>
        <v>9255054</v>
      </c>
      <c r="BE15" s="21" t="str">
        <f>VLOOKUP(BD15,CENY!$B$11:$G$1054,2,FALSE)</f>
        <v>AvanY-bok ľavý /v187/h500/ strieborná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17.10154</v>
      </c>
      <c r="BK15" s="95">
        <f t="shared" si="3"/>
        <v>0</v>
      </c>
    </row>
    <row r="16" spans="1:63" ht="14.45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1"/>
        <v>0</v>
      </c>
      <c r="BA16" s="95">
        <f>VLOOKUP(AU16,CENY!$B$11:$M$2025,12,FALSE)</f>
        <v>0.96240999999999999</v>
      </c>
      <c r="BB16" s="95">
        <f t="shared" si="0"/>
        <v>0</v>
      </c>
      <c r="BD16" s="319">
        <f>OBJ!B133</f>
        <v>9255055</v>
      </c>
      <c r="BE16" s="21" t="str">
        <f>VLOOKUP(BD16,CENY!$B$11:$G$1054,2,FALSE)</f>
        <v>AvanY-bok pravý /v187/h500/ strieborná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17.10154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I17" s="542" t="str">
        <f>verze!E198</f>
        <v>P2O Silent pre Actro</v>
      </c>
      <c r="AJ17" s="543"/>
      <c r="AK17" s="543"/>
      <c r="AL17" s="543"/>
      <c r="AM17" s="543"/>
      <c r="AN17" s="543"/>
      <c r="AO17" s="543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1"/>
        <v>0</v>
      </c>
      <c r="BA17" s="95">
        <f>VLOOKUP(AU17,CENY!$B$11:$M$2025,12,FALSE)</f>
        <v>0.98018000000000005</v>
      </c>
      <c r="BB17" s="95">
        <f t="shared" si="0"/>
        <v>0</v>
      </c>
      <c r="BD17" s="319">
        <f>OBJ!B134</f>
        <v>9255056</v>
      </c>
      <c r="BE17" s="21" t="str">
        <f>VLOOKUP(BD17,CENY!$B$11:$G$1054,2,FALSE)</f>
        <v>AvanY-bok ľavý /v187/h550/ strieborná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18.264230000000001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I18" s="545" t="s">
        <v>299</v>
      </c>
      <c r="AJ18" s="545"/>
      <c r="AK18" s="545"/>
      <c r="AL18" s="545"/>
      <c r="AM18" s="545"/>
      <c r="AN18" s="545"/>
      <c r="AO18" s="545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1"/>
        <v>0</v>
      </c>
      <c r="BA18" s="95">
        <f>VLOOKUP(AU18,CENY!$B$11:$M$2025,12,FALSE)</f>
        <v>0.99777000000000005</v>
      </c>
      <c r="BB18" s="95">
        <f t="shared" si="0"/>
        <v>0</v>
      </c>
      <c r="BD18" s="319">
        <f>OBJ!B135</f>
        <v>9255057</v>
      </c>
      <c r="BE18" s="21" t="str">
        <f>VLOOKUP(BD18,CENY!$B$11:$G$1054,2,FALSE)</f>
        <v>AvanY-bok pravý /v187/h550/ strieborná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18.264230000000001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69"/>
      <c r="P19" s="570"/>
      <c r="Q19" s="569"/>
      <c r="R19" s="570"/>
      <c r="S19" s="569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6"/>
      <c r="AO19" s="536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1"/>
        <v>0</v>
      </c>
      <c r="BA19" s="95">
        <f>VLOOKUP(AU19,CENY!$B$11:$M$2025,12,FALSE)</f>
        <v>1.01556</v>
      </c>
      <c r="BB19" s="95">
        <f t="shared" si="0"/>
        <v>0</v>
      </c>
      <c r="BD19" s="319">
        <f>OBJ!B136</f>
        <v>9255058</v>
      </c>
      <c r="BE19" s="21" t="str">
        <f>VLOOKUP(BD19,CENY!$B$11:$G$1054,2,FALSE)</f>
        <v>AvanY-bok ľavý /v187/h600/ strieborná</v>
      </c>
      <c r="BF19" s="22">
        <f>VLOOKUP(BD19,CENY!$B$11:$G$1054,3,FALSE)</f>
        <v>10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18.728680000000001</v>
      </c>
      <c r="BK19" s="95">
        <f t="shared" si="3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18"/>
      <c r="P20" s="519"/>
      <c r="Q20" s="518"/>
      <c r="R20" s="519"/>
      <c r="S20" s="518"/>
      <c r="T20" s="519"/>
      <c r="U20" s="518"/>
      <c r="V20" s="519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I20" s="287"/>
      <c r="AJ20" s="288"/>
      <c r="AK20" s="287"/>
      <c r="AL20" s="288"/>
      <c r="AM20" s="286" t="s">
        <v>294</v>
      </c>
      <c r="AN20" s="522"/>
      <c r="AO20" s="522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1"/>
        <v>0</v>
      </c>
      <c r="BA20" s="95">
        <f>VLOOKUP(AU20,CENY!$B$11:$M$2025,12,FALSE)</f>
        <v>1.0332399999999999</v>
      </c>
      <c r="BB20" s="95">
        <f t="shared" si="0"/>
        <v>0</v>
      </c>
      <c r="BD20" s="319">
        <f>OBJ!B137</f>
        <v>9255059</v>
      </c>
      <c r="BE20" s="21" t="str">
        <f>VLOOKUP(BD20,CENY!$B$11:$G$1054,2,FALSE)</f>
        <v>AvanY-bok pravý /v187/h600/ strieborná</v>
      </c>
      <c r="BF20" s="22">
        <f>VLOOKUP(BD20,CENY!$B$11:$G$1054,3,FALSE)</f>
        <v>10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18.728680000000001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4"/>
      <c r="AO21" s="544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1"/>
        <v>0</v>
      </c>
      <c r="BA21" s="95">
        <f>VLOOKUP(AU21,CENY!$B$11:$M$2025,12,FALSE)</f>
        <v>1.0508599999999999</v>
      </c>
      <c r="BB21" s="95">
        <f t="shared" si="0"/>
        <v>0</v>
      </c>
      <c r="BD21" s="319">
        <f>OBJ!B138</f>
        <v>9255060</v>
      </c>
      <c r="BE21" s="21" t="str">
        <f>VLOOKUP(BD21,CENY!$B$11:$G$1054,2,FALSE)</f>
        <v>AvanY-bok ľavý /v187/h650/ strieborná</v>
      </c>
      <c r="BF21" s="22">
        <f>VLOOKUP(BD21,CENY!$B$11:$G$1054,3,FALSE)</f>
        <v>10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19.35998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67"/>
      <c r="AF22" s="568"/>
      <c r="AI22" s="287"/>
      <c r="AJ22" s="288"/>
      <c r="AK22" s="287"/>
      <c r="AL22" s="288"/>
      <c r="AM22" s="286" t="s">
        <v>297</v>
      </c>
      <c r="AN22" s="541"/>
      <c r="AO22" s="541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1"/>
        <v>0</v>
      </c>
      <c r="BA22" s="95">
        <f>VLOOKUP(AU22,CENY!$B$11:$M$2025,12,FALSE)</f>
        <v>1.09639</v>
      </c>
      <c r="BB22" s="95">
        <f t="shared" si="0"/>
        <v>0</v>
      </c>
      <c r="BD22" s="319">
        <f>OBJ!B139</f>
        <v>9255061</v>
      </c>
      <c r="BE22" s="21" t="str">
        <f>VLOOKUP(BD22,CENY!$B$11:$G$1054,2,FALSE)</f>
        <v>AvanY-bok pravý /v187/h650/ strieborná</v>
      </c>
      <c r="BF22" s="22">
        <f>VLOOKUP(BD22,CENY!$B$11:$G$1054,3,FALSE)</f>
        <v>10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19.35998</v>
      </c>
      <c r="BK22" s="95">
        <f t="shared" si="3"/>
        <v>0</v>
      </c>
    </row>
    <row r="23" spans="2:63" ht="14.45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IF(FORM!AM18=FORM!AU16,0,2*AE22)</f>
        <v>0</v>
      </c>
      <c r="AZ23" s="326">
        <f t="shared" si="1"/>
        <v>0</v>
      </c>
      <c r="BA23" s="95">
        <f>VLOOKUP(AU23,CENY!$B$11:$M$2025,12,FALSE)</f>
        <v>1.1824300000000001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5" customHeight="1"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19">
        <f>OBJ!B141</f>
        <v>9255838</v>
      </c>
      <c r="BE24" s="21" t="str">
        <f>VLOOKUP(BD24,CENY!$B$11:$G$1054,2,FALSE)</f>
        <v>AvanY-prích.čela k naskrutk./ v187-251</v>
      </c>
      <c r="BF24" s="22">
        <f>VLOOKUP(BD24,CENY!$B$11:$G$1054,3,FALSE)</f>
        <v>200</v>
      </c>
      <c r="BG24" s="22"/>
      <c r="BH24" s="23">
        <f>2*(SUM(O19:T19)+SUM(O20:AD20)+SUM(W22:AF22)+SUM(O27:T27)+SUM(O28:AD28)+SUM(O30:AD30))</f>
        <v>0</v>
      </c>
      <c r="BI24" s="326">
        <f t="shared" si="2"/>
        <v>0</v>
      </c>
      <c r="BJ24" s="95">
        <f>VLOOKUP(BD24,CENY!$B$11:$M$2025,12,FALSE)</f>
        <v>2.32422</v>
      </c>
      <c r="BK24" s="95">
        <f t="shared" si="3"/>
        <v>0</v>
      </c>
    </row>
    <row r="25" spans="2:63" ht="14.45" customHeight="1" thickBot="1">
      <c r="B25" s="2" t="s">
        <v>285</v>
      </c>
      <c r="AI25" s="542" t="str">
        <f>verze!E199</f>
        <v>P2O Silent pre Quadro</v>
      </c>
      <c r="AJ25" s="543"/>
      <c r="AK25" s="543"/>
      <c r="AL25" s="543"/>
      <c r="AM25" s="543"/>
      <c r="AN25" s="543"/>
      <c r="AO25" s="543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si="1"/>
        <v>0</v>
      </c>
      <c r="BA25" s="95">
        <f>VLOOKUP(AU25,CENY!$B$11:$M$2025,12,FALSE)</f>
        <v>31.62575</v>
      </c>
      <c r="BB25" s="95">
        <f t="shared" si="0"/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2*(SUM(O19:T19)+SUM(O20:AD20)+SUM(W22:AF22)+SUM(O27:T27)+SUM(O28:AD28)+SUM(O30:AD30))</f>
        <v>0</v>
      </c>
      <c r="BI25" s="326">
        <f t="shared" si="2"/>
        <v>0</v>
      </c>
      <c r="BJ25" s="95">
        <f>VLOOKUP(BD25,CENY!$B$11:$M$2025,12,FALSE)</f>
        <v>0.74794000000000005</v>
      </c>
      <c r="BK25" s="95">
        <f t="shared" si="3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I26" s="545" t="s">
        <v>299</v>
      </c>
      <c r="AJ26" s="545"/>
      <c r="AK26" s="545"/>
      <c r="AL26" s="545"/>
      <c r="AM26" s="545"/>
      <c r="AN26" s="545"/>
      <c r="AO26" s="545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1"/>
        <v>0</v>
      </c>
      <c r="BA26" s="95">
        <f>VLOOKUP(AU26,CENY!$B$11:$M$2025,12,FALSE)</f>
        <v>31.62575</v>
      </c>
      <c r="BB26" s="95">
        <f t="shared" si="0"/>
        <v>0</v>
      </c>
      <c r="BD26" s="20"/>
      <c r="BE26" s="21"/>
      <c r="BF26" s="22"/>
      <c r="BG26" s="22"/>
      <c r="BH26" s="23"/>
      <c r="BI26" s="326" t="str">
        <f t="shared" si="2"/>
        <v/>
      </c>
      <c r="BJ26" s="95"/>
      <c r="BK26" s="95" t="str">
        <f t="shared" si="3"/>
        <v/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69"/>
      <c r="P27" s="570"/>
      <c r="Q27" s="569"/>
      <c r="R27" s="570"/>
      <c r="S27" s="569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6"/>
      <c r="AO27" s="536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1"/>
        <v>0</v>
      </c>
      <c r="BA27" s="95">
        <f>VLOOKUP(AU27,CENY!$B$11:$M$2025,12,FALSE)</f>
        <v>31.62575</v>
      </c>
      <c r="BB27" s="95">
        <f t="shared" si="0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si="2"/>
        <v>0</v>
      </c>
      <c r="BJ27" s="95">
        <f>VLOOKUP(BD27,CENY!$B$11:$M$2025,12,FALSE)</f>
        <v>0.95189000000000001</v>
      </c>
      <c r="BK27" s="95">
        <f t="shared" si="3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18"/>
      <c r="P28" s="519"/>
      <c r="Q28" s="518"/>
      <c r="R28" s="519"/>
      <c r="S28" s="518"/>
      <c r="T28" s="519"/>
      <c r="U28" s="518"/>
      <c r="V28" s="519"/>
      <c r="W28" s="518"/>
      <c r="X28" s="519"/>
      <c r="Y28" s="518"/>
      <c r="Z28" s="519"/>
      <c r="AA28" s="518"/>
      <c r="AB28" s="519"/>
      <c r="AC28" s="518"/>
      <c r="AD28" s="519"/>
      <c r="AI28" s="287"/>
      <c r="AJ28" s="288"/>
      <c r="AK28" s="287"/>
      <c r="AL28" s="288"/>
      <c r="AM28" s="286" t="s">
        <v>294</v>
      </c>
      <c r="AN28" s="522"/>
      <c r="AO28" s="522"/>
      <c r="AU28" s="20"/>
      <c r="AV28" s="21"/>
      <c r="AW28" s="22"/>
      <c r="AX28" s="22"/>
      <c r="AY28" s="23"/>
      <c r="AZ28" s="326" t="str">
        <f t="shared" si="1"/>
        <v/>
      </c>
      <c r="BA28" s="95"/>
      <c r="BB28" s="95" t="str">
        <f t="shared" si="0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2"/>
        <v>0</v>
      </c>
      <c r="BJ28" s="95">
        <f>VLOOKUP(BD28,CENY!$B$11:$M$2025,12,FALSE)</f>
        <v>0.96240999999999999</v>
      </c>
      <c r="BK28" s="95">
        <f t="shared" si="3"/>
        <v>0</v>
      </c>
    </row>
    <row r="29" spans="2:63" ht="14.45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9"/>
      <c r="AO29" s="529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si="1"/>
        <v>0</v>
      </c>
      <c r="BA29" s="95">
        <f>VLOOKUP(AU29,CENY!$B$11:$M$2025,12,FALSE)</f>
        <v>31.62575</v>
      </c>
      <c r="BB29" s="95">
        <f t="shared" si="0"/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2"/>
        <v>0</v>
      </c>
      <c r="BJ29" s="95">
        <f>VLOOKUP(BD29,CENY!$B$11:$M$2025,12,FALSE)</f>
        <v>0.98018000000000005</v>
      </c>
      <c r="BK29" s="95">
        <f t="shared" si="3"/>
        <v>0</v>
      </c>
    </row>
    <row r="30" spans="2:63" ht="14.45" customHeight="1" thickBot="1">
      <c r="B30" s="530" t="s">
        <v>373</v>
      </c>
      <c r="C30" s="530"/>
      <c r="D30" s="530"/>
      <c r="E30" s="530"/>
      <c r="F30" s="530"/>
      <c r="G30" s="530"/>
      <c r="H30" s="531" t="str">
        <f>verze!E18</f>
        <v>plnovýsuv</v>
      </c>
      <c r="I30" s="531"/>
      <c r="J30" s="531"/>
      <c r="K30" s="531"/>
      <c r="L30" s="531"/>
      <c r="M30" s="525" t="s">
        <v>1</v>
      </c>
      <c r="N30" s="526"/>
      <c r="O30" s="518"/>
      <c r="P30" s="519"/>
      <c r="Q30" s="518"/>
      <c r="R30" s="519"/>
      <c r="S30" s="518"/>
      <c r="T30" s="519"/>
      <c r="U30" s="518"/>
      <c r="V30" s="519"/>
      <c r="W30" s="518"/>
      <c r="X30" s="519"/>
      <c r="Y30" s="518"/>
      <c r="Z30" s="519"/>
      <c r="AA30" s="518"/>
      <c r="AB30" s="519"/>
      <c r="AC30" s="567"/>
      <c r="AD30" s="568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1"/>
        <v>0</v>
      </c>
      <c r="BA30" s="95">
        <f>VLOOKUP(AU30,CENY!$B$11:$M$2025,12,FALSE)</f>
        <v>31.62575</v>
      </c>
      <c r="BB30" s="95">
        <f t="shared" si="0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2"/>
        <v>0</v>
      </c>
      <c r="BJ30" s="95">
        <f>VLOOKUP(BD30,CENY!$B$11:$M$2025,12,FALSE)</f>
        <v>0.99777000000000005</v>
      </c>
      <c r="BK30" s="95">
        <f t="shared" si="3"/>
        <v>0</v>
      </c>
    </row>
    <row r="31" spans="2:63" ht="14.45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1"/>
        <v>0</v>
      </c>
      <c r="BA31" s="95">
        <f>VLOOKUP(AU31,CENY!$B$11:$M$2025,12,FALSE)</f>
        <v>31.62575</v>
      </c>
      <c r="BB31" s="95">
        <f t="shared" si="0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2"/>
        <v>0</v>
      </c>
      <c r="BJ31" s="95">
        <f>VLOOKUP(BD31,CENY!$B$11:$M$2025,12,FALSE)</f>
        <v>1.01556</v>
      </c>
      <c r="BK31" s="95">
        <f t="shared" si="3"/>
        <v>0</v>
      </c>
    </row>
    <row r="32" spans="2:63" ht="14.45" customHeight="1">
      <c r="B32" s="366" t="str">
        <f>verze!E201</f>
        <v>SiSy = tlmenie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1"/>
        <v>0</v>
      </c>
      <c r="BA32" s="95">
        <f>VLOOKUP(AU32,CENY!$B$11:$M$2025,12,FALSE)</f>
        <v>31.976389999999999</v>
      </c>
      <c r="BB32" s="95">
        <f t="shared" si="0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2"/>
        <v>0</v>
      </c>
      <c r="BJ32" s="95">
        <f>VLOOKUP(BD32,CENY!$B$11:$M$2025,12,FALSE)</f>
        <v>1.0332399999999999</v>
      </c>
      <c r="BK32" s="95">
        <f t="shared" si="3"/>
        <v>0</v>
      </c>
    </row>
    <row r="33" spans="2:63" ht="14.45" customHeight="1">
      <c r="B33" s="366" t="str">
        <f>verze!E204</f>
        <v>P2O = otváranie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1"/>
        <v>0</v>
      </c>
      <c r="BA33" s="95">
        <f>VLOOKUP(AU33,CENY!$B$11:$M$2025,12,FALSE)</f>
        <v>32.324420000000003</v>
      </c>
      <c r="BB33" s="95">
        <f t="shared" si="0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2"/>
        <v>0</v>
      </c>
      <c r="BJ33" s="95">
        <f>VLOOKUP(BD33,CENY!$B$11:$M$2025,12,FALSE)</f>
        <v>1.0508599999999999</v>
      </c>
      <c r="BK33" s="95">
        <f t="shared" si="3"/>
        <v>0</v>
      </c>
    </row>
    <row r="34" spans="2:63" ht="14.45" customHeight="1">
      <c r="B34" s="366" t="str">
        <f>verze!E203</f>
        <v>P2O Silent = tlmenie s otváraním bez úchytky Push to open Silent</v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1"/>
        <v>0</v>
      </c>
      <c r="BA34" s="95">
        <f>VLOOKUP(AU34,CENY!$B$11:$M$2025,12,FALSE)</f>
        <v>6.5957299999999996</v>
      </c>
      <c r="BB34" s="95">
        <f t="shared" si="0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2"/>
        <v>0</v>
      </c>
      <c r="BJ34" s="95">
        <f>VLOOKUP(BD34,CENY!$B$11:$M$2025,12,FALSE)</f>
        <v>1.09639</v>
      </c>
      <c r="BK34" s="95">
        <f t="shared" si="3"/>
        <v>0</v>
      </c>
    </row>
    <row r="35" spans="2:63" ht="14.45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1"/>
        <v>0</v>
      </c>
      <c r="BA35" s="95">
        <f>VLOOKUP(AU35,CENY!$B$11:$M$2025,12,FALSE)</f>
        <v>6.9728000000000003</v>
      </c>
      <c r="BB35" s="95">
        <f t="shared" si="0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2*AE22</f>
        <v>0</v>
      </c>
      <c r="BI35" s="326">
        <f t="shared" si="2"/>
        <v>0</v>
      </c>
      <c r="BJ35" s="95">
        <f>VLOOKUP(BD35,CENY!$B$11:$M$2025,12,FALSE)</f>
        <v>1.1824300000000001</v>
      </c>
      <c r="BK35" s="95">
        <f t="shared" si="3"/>
        <v>0</v>
      </c>
    </row>
    <row r="36" spans="2:63" ht="14.45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1"/>
        <v>0</v>
      </c>
      <c r="BA36" s="95">
        <f>VLOOKUP(AU36,CENY!$B$11:$M$2025,12,FALSE)</f>
        <v>34.956960000000002</v>
      </c>
      <c r="BB36" s="95">
        <f t="shared" si="0"/>
        <v>0</v>
      </c>
      <c r="BD36" s="319"/>
      <c r="BE36" s="21"/>
      <c r="BF36" s="22"/>
      <c r="BG36" s="22"/>
      <c r="BH36" s="23"/>
      <c r="BI36" s="326" t="str">
        <f t="shared" si="2"/>
        <v/>
      </c>
      <c r="BJ36" s="95"/>
      <c r="BK36" s="95" t="str">
        <f t="shared" si="3"/>
        <v/>
      </c>
    </row>
    <row r="37" spans="2:63" ht="14.45" customHeight="1">
      <c r="AU37" s="319"/>
      <c r="AV37" s="21"/>
      <c r="AW37" s="22"/>
      <c r="AX37" s="22"/>
      <c r="AY37" s="23"/>
      <c r="AZ37" s="326" t="str">
        <f t="shared" si="1"/>
        <v/>
      </c>
      <c r="BA37" s="95"/>
      <c r="BB37" s="95" t="str">
        <f t="shared" si="0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si="2"/>
        <v>0</v>
      </c>
      <c r="BJ37" s="95" t="e">
        <f>VLOOKUP(BD37,CENY!$B$11:$M$2025,12,FALSE)</f>
        <v>#N/A</v>
      </c>
      <c r="BK37" s="95" t="e">
        <f t="shared" si="3"/>
        <v>#N/A</v>
      </c>
    </row>
    <row r="38" spans="2:63" ht="14.45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1"/>
        <v>0</v>
      </c>
      <c r="BA38" s="95">
        <f>VLOOKUP(AU38,CENY!$B$11:$M$2025,12,FALSE)</f>
        <v>7.9265800000000004</v>
      </c>
      <c r="BB38" s="95">
        <f t="shared" si="0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 t="e">
        <f>VLOOKUP(BD38,CENY!$B$11:$M$2025,12,FALSE)</f>
        <v>#N/A</v>
      </c>
      <c r="BK38" s="95" t="e">
        <f t="shared" si="3"/>
        <v>#N/A</v>
      </c>
    </row>
    <row r="39" spans="2:63" ht="14.45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1"/>
        <v>0</v>
      </c>
      <c r="BA39" s="95">
        <f>VLOOKUP(AU39,CENY!$B$11:$M$2025,12,FALSE)</f>
        <v>39.622210000000003</v>
      </c>
      <c r="BB39" s="95">
        <f t="shared" si="0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2"/>
        <v>0</v>
      </c>
      <c r="BJ39" s="95" t="e">
        <f>VLOOKUP(BD39,CENY!$B$11:$M$2025,12,FALSE)</f>
        <v>#N/A</v>
      </c>
      <c r="BK39" s="95" t="e">
        <f t="shared" si="3"/>
        <v>#N/A</v>
      </c>
    </row>
    <row r="40" spans="2:63" ht="14.45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1"/>
        <v>0</v>
      </c>
      <c r="BA40" s="95">
        <f>VLOOKUP(AU40,CENY!$B$11:$M$2025,12,FALSE)</f>
        <v>41.504899999999999</v>
      </c>
      <c r="BB40" s="95">
        <f t="shared" si="0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 t="e">
        <f>VLOOKUP(BD40,CENY!$B$11:$M$2025,12,FALSE)</f>
        <v>#N/A</v>
      </c>
      <c r="BK40" s="95" t="e">
        <f t="shared" si="3"/>
        <v>#N/A</v>
      </c>
    </row>
    <row r="41" spans="2:63" ht="14.45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1"/>
        <v>0</v>
      </c>
      <c r="BA41" s="95">
        <f>VLOOKUP(AU41,CENY!$B$11:$M$2025,12,FALSE)</f>
        <v>45.308109999999999</v>
      </c>
      <c r="BB41" s="95">
        <f t="shared" si="0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14.37729</v>
      </c>
      <c r="BK41" s="95">
        <f t="shared" si="3"/>
        <v>0</v>
      </c>
    </row>
    <row r="42" spans="2:63" ht="14.45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si="1"/>
        <v>0</v>
      </c>
      <c r="BA42" s="95">
        <f>VLOOKUP(AU42,CENY!$B$11:$M$2025,12,FALSE)</f>
        <v>47.02431</v>
      </c>
      <c r="BB42" s="95">
        <f t="shared" si="0"/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14.37729</v>
      </c>
      <c r="BK42" s="95">
        <f t="shared" si="3"/>
        <v>0</v>
      </c>
    </row>
    <row r="43" spans="2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3"/>
        <v/>
      </c>
    </row>
    <row r="44" spans="2:63" ht="14.45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1"/>
        <v>0</v>
      </c>
      <c r="BA44" s="95">
        <f>VLOOKUP(AU44,CENY!$B$11:$M$2025,12,FALSE)</f>
        <v>23.177009999999999</v>
      </c>
      <c r="BB44" s="95">
        <f t="shared" si="0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si="2"/>
        <v>0</v>
      </c>
      <c r="BJ44" s="95" t="e">
        <f>VLOOKUP(BD44,CENY!$B$11:$M$2025,12,FALSE)</f>
        <v>#N/A</v>
      </c>
      <c r="BK44" s="95" t="e">
        <f t="shared" si="3"/>
        <v>#N/A</v>
      </c>
    </row>
    <row r="45" spans="2:63" ht="14.45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1"/>
        <v>0</v>
      </c>
      <c r="BA45" s="95">
        <f>VLOOKUP(AU45,CENY!$B$11:$M$2025,12,FALSE)</f>
        <v>23.177009999999999</v>
      </c>
      <c r="BB45" s="95">
        <f t="shared" si="0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"/>
        <v>0</v>
      </c>
      <c r="BJ45" s="95" t="e">
        <f>VLOOKUP(BD45,CENY!$B$11:$M$2025,12,FALSE)</f>
        <v>#N/A</v>
      </c>
      <c r="BK45" s="95" t="e">
        <f t="shared" si="3"/>
        <v>#N/A</v>
      </c>
    </row>
    <row r="46" spans="2:63" ht="14.45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1"/>
        <v>0</v>
      </c>
      <c r="BA46" s="95">
        <f>VLOOKUP(AU46,CENY!$B$11:$M$2025,12,FALSE)</f>
        <v>23.177009999999999</v>
      </c>
      <c r="BB46" s="95">
        <f t="shared" si="0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2"/>
        <v>0</v>
      </c>
      <c r="BJ46" s="95">
        <f>VLOOKUP(BD46,CENY!$B$11:$M$2025,12,FALSE)</f>
        <v>14.37729</v>
      </c>
      <c r="BK46" s="95">
        <f t="shared" si="3"/>
        <v>0</v>
      </c>
    </row>
    <row r="47" spans="2:63" ht="14.45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1"/>
        <v>0</v>
      </c>
      <c r="BA47" s="95">
        <f>VLOOKUP(AU47,CENY!$B$11:$M$2025,12,FALSE)</f>
        <v>23.177009999999999</v>
      </c>
      <c r="BB47" s="95">
        <f t="shared" si="0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14.37729</v>
      </c>
      <c r="BK47" s="95">
        <f t="shared" si="3"/>
        <v>0</v>
      </c>
    </row>
    <row r="48" spans="2:63" ht="14.45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SUM(AN19:AO22)+SUM(AN27:AO29)+SUM(O30:AD30)</f>
        <v>0</v>
      </c>
      <c r="AZ48" s="326">
        <f t="shared" si="1"/>
        <v>0</v>
      </c>
      <c r="BA48" s="95">
        <f>VLOOKUP(AU48,CENY!$B$11:$M$2025,12,FALSE)</f>
        <v>8.7567500000000003</v>
      </c>
      <c r="BB48" s="95">
        <f t="shared" si="0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2"/>
        <v>0</v>
      </c>
      <c r="BJ48" s="95">
        <f>VLOOKUP(BD48,CENY!$B$11:$M$2025,12,FALSE)</f>
        <v>14.37729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 t="e">
        <f>VLOOKUP(BD49,CENY!$B$11:$M$2025,12,FALSE)</f>
        <v>#N/A</v>
      </c>
      <c r="BK49" s="95" t="e">
        <f t="shared" si="3"/>
        <v>#N/A</v>
      </c>
    </row>
    <row r="50" spans="47:63" ht="14.45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si="1"/>
        <v>0</v>
      </c>
      <c r="BA50" s="95">
        <f>VLOOKUP(AU50,CENY!$B$11:$M$2025,12,FALSE)</f>
        <v>23.022449999999999</v>
      </c>
      <c r="BB50" s="95">
        <f t="shared" si="0"/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2"/>
        <v>0</v>
      </c>
      <c r="BJ50" s="95">
        <f>VLOOKUP(BD50,CENY!$B$11:$M$2025,12,FALSE)</f>
        <v>14.56085</v>
      </c>
      <c r="BK50" s="95">
        <f t="shared" si="3"/>
        <v>0</v>
      </c>
    </row>
    <row r="51" spans="47:63" ht="14.45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1"/>
        <v>0</v>
      </c>
      <c r="BA51" s="95">
        <f>VLOOKUP(AU51,CENY!$B$11:$M$2025,12,FALSE)</f>
        <v>23.069210000000002</v>
      </c>
      <c r="BB51" s="95">
        <f t="shared" si="0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14.56085</v>
      </c>
      <c r="BK51" s="95">
        <f t="shared" si="3"/>
        <v>0</v>
      </c>
    </row>
    <row r="52" spans="47:63" ht="14.45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1"/>
        <v>0</v>
      </c>
      <c r="BA52" s="95">
        <f>VLOOKUP(AU52,CENY!$B$11:$M$2025,12,FALSE)</f>
        <v>23.536069999999999</v>
      </c>
      <c r="BB52" s="95">
        <f t="shared" si="0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2"/>
        <v>0</v>
      </c>
      <c r="BJ52" s="95" t="e">
        <f>VLOOKUP(BD52,CENY!$B$11:$M$2025,12,FALSE)</f>
        <v>#N/A</v>
      </c>
      <c r="BK52" s="95" t="e">
        <f t="shared" si="3"/>
        <v>#N/A</v>
      </c>
    </row>
    <row r="53" spans="47:63" ht="14.45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0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14.040839999999999</v>
      </c>
      <c r="BK53" s="95">
        <f t="shared" si="3"/>
        <v>0</v>
      </c>
    </row>
    <row r="54" spans="47:63" ht="14.45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si="1"/>
        <v>0</v>
      </c>
      <c r="BA54" s="95">
        <f>VLOOKUP(AU54,CENY!$B$11:$M$2025,12,FALSE)</f>
        <v>23.022449999999999</v>
      </c>
      <c r="BB54" s="95">
        <f t="shared" si="0"/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2"/>
        <v>0</v>
      </c>
      <c r="BJ54" s="95">
        <f>VLOOKUP(BD54,CENY!$B$11:$M$2025,12,FALSE)</f>
        <v>13.931559999999999</v>
      </c>
      <c r="BK54" s="95">
        <f t="shared" si="3"/>
        <v>0</v>
      </c>
    </row>
    <row r="55" spans="47:63" ht="14.45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1"/>
        <v>0</v>
      </c>
      <c r="BA55" s="95">
        <f>VLOOKUP(AU55,CENY!$B$11:$M$2025,12,FALSE)</f>
        <v>23.069210000000002</v>
      </c>
      <c r="BB55" s="95">
        <f t="shared" si="0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13.931559999999999</v>
      </c>
      <c r="BK55" s="95">
        <f t="shared" si="3"/>
        <v>0</v>
      </c>
    </row>
    <row r="56" spans="47:63" ht="14.45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1"/>
        <v>0</v>
      </c>
      <c r="BA56" s="95" t="e">
        <f>VLOOKUP(AU56,CENY!$B$11:$M$2025,12,FALSE)</f>
        <v>#N/A</v>
      </c>
      <c r="BB56" s="95" t="e">
        <f t="shared" si="0"/>
        <v>#N/A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2"/>
        <v>0</v>
      </c>
      <c r="BJ56" s="95">
        <f>VLOOKUP(BD56,CENY!$B$11:$M$2025,12,FALSE)</f>
        <v>15.147040000000001</v>
      </c>
      <c r="BK56" s="95">
        <f t="shared" si="3"/>
        <v>0</v>
      </c>
    </row>
    <row r="57" spans="47:63" ht="14.45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1"/>
        <v>0</v>
      </c>
      <c r="BA57" s="95">
        <f>VLOOKUP(AU57,CENY!$B$11:$M$2025,12,FALSE)</f>
        <v>24.002659999999999</v>
      </c>
      <c r="BB57" s="95">
        <f t="shared" si="0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15.147040000000001</v>
      </c>
      <c r="BK57" s="95">
        <f t="shared" si="3"/>
        <v>0</v>
      </c>
    </row>
    <row r="58" spans="47:63" ht="14.45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1"/>
        <v>0</v>
      </c>
      <c r="BA58" s="95">
        <f>VLOOKUP(AU58,CENY!$B$11:$M$2025,12,FALSE)</f>
        <v>4.9393000000000002</v>
      </c>
      <c r="BB58" s="95">
        <f t="shared" si="0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15.35308</v>
      </c>
      <c r="BK58" s="95">
        <f t="shared" si="3"/>
        <v>0</v>
      </c>
    </row>
    <row r="59" spans="47:63" ht="14.45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1"/>
        <v>0</v>
      </c>
      <c r="BA59" s="95">
        <f>VLOOKUP(AU59,CENY!$B$11:$M$2025,12,FALSE)</f>
        <v>23.748699999999999</v>
      </c>
      <c r="BB59" s="95">
        <f t="shared" si="0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 t="e">
        <f>VLOOKUP(BD59,CENY!$B$11:$M$2025,12,FALSE)</f>
        <v>#N/A</v>
      </c>
      <c r="BK59" s="95" t="e">
        <f t="shared" si="3"/>
        <v>#N/A</v>
      </c>
    </row>
    <row r="60" spans="47:63" ht="14.45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1"/>
        <v>0</v>
      </c>
      <c r="BA60" s="95">
        <f>VLOOKUP(AU60,CENY!$B$11:$M$2025,12,FALSE)</f>
        <v>5.1277499999999998</v>
      </c>
      <c r="BB60" s="95">
        <f t="shared" si="0"/>
        <v>0</v>
      </c>
      <c r="BD60" s="319"/>
      <c r="BE60" s="21"/>
      <c r="BF60" s="22"/>
      <c r="BG60" s="22"/>
      <c r="BH60" s="23"/>
      <c r="BI60" s="326" t="str">
        <f t="shared" si="2"/>
        <v/>
      </c>
      <c r="BJ60" s="95"/>
      <c r="BK60" s="95" t="str">
        <f t="shared" si="3"/>
        <v/>
      </c>
    </row>
    <row r="61" spans="47:63" ht="14.45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1"/>
        <v>0</v>
      </c>
      <c r="BA61" s="95">
        <f>VLOOKUP(AU61,CENY!$B$11:$M$2025,12,FALSE)</f>
        <v>25.86984</v>
      </c>
      <c r="BB61" s="95">
        <f t="shared" si="0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2"/>
        <v>0</v>
      </c>
      <c r="BJ61" s="95" t="e">
        <f>VLOOKUP(BD61,CENY!$B$11:$M$2025,12,FALSE)</f>
        <v>#N/A</v>
      </c>
      <c r="BK61" s="95" t="e">
        <f t="shared" si="3"/>
        <v>#N/A</v>
      </c>
    </row>
    <row r="62" spans="47:63" ht="14.45" customHeight="1">
      <c r="AU62" s="319"/>
      <c r="AV62" s="21"/>
      <c r="AW62" s="22"/>
      <c r="AX62" s="22"/>
      <c r="AY62" s="23"/>
      <c r="AZ62" s="326" t="str">
        <f t="shared" si="1"/>
        <v/>
      </c>
      <c r="BA62" s="95"/>
      <c r="BB62" s="95" t="str">
        <f t="shared" si="0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2"/>
        <v>0</v>
      </c>
      <c r="BJ62" s="95" t="e">
        <f>VLOOKUP(BD62,CENY!$B$11:$M$2025,12,FALSE)</f>
        <v>#N/A</v>
      </c>
      <c r="BK62" s="95" t="e">
        <f t="shared" si="3"/>
        <v>#N/A</v>
      </c>
    </row>
    <row r="63" spans="47:63" ht="14.45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1"/>
        <v>0</v>
      </c>
      <c r="BA63" s="95">
        <f>VLOOKUP(AU63,CENY!$B$11:$M$2025,12,FALSE)</f>
        <v>23.114239999999999</v>
      </c>
      <c r="BB63" s="95">
        <f t="shared" si="0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2"/>
        <v>0</v>
      </c>
      <c r="BJ63" s="95">
        <f>VLOOKUP(BD63,CENY!$B$11:$M$2025,12,FALSE)</f>
        <v>17.52394</v>
      </c>
      <c r="BK63" s="95">
        <f t="shared" si="3"/>
        <v>0</v>
      </c>
    </row>
    <row r="64" spans="47:63" ht="14.45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1"/>
        <v>0</v>
      </c>
      <c r="BA64" s="95">
        <f>VLOOKUP(AU64,CENY!$B$11:$M$2025,12,FALSE)</f>
        <v>23.114239999999999</v>
      </c>
      <c r="BB64" s="95">
        <f t="shared" si="0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2"/>
        <v>0</v>
      </c>
      <c r="BJ64" s="95">
        <f>VLOOKUP(BD64,CENY!$B$11:$M$2025,12,FALSE)</f>
        <v>17.52394</v>
      </c>
      <c r="BK64" s="95">
        <f t="shared" si="3"/>
        <v>0</v>
      </c>
    </row>
    <row r="65" spans="47:63" ht="14.45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1"/>
        <v>0</v>
      </c>
      <c r="BA65" s="95">
        <f>VLOOKUP(AU65,CENY!$B$11:$M$2025,12,FALSE)</f>
        <v>23.114239999999999</v>
      </c>
      <c r="BB65" s="95">
        <f t="shared" si="0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2"/>
        <v>0</v>
      </c>
      <c r="BJ65" s="95">
        <f>VLOOKUP(BD65,CENY!$B$11:$M$2025,12,FALSE)</f>
        <v>18.45496</v>
      </c>
      <c r="BK65" s="95">
        <f t="shared" si="3"/>
        <v>0</v>
      </c>
    </row>
    <row r="66" spans="47:63" ht="14.45" customHeight="1">
      <c r="AU66" s="319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0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2"/>
        <v>0</v>
      </c>
      <c r="BJ66" s="95">
        <f>VLOOKUP(BD66,CENY!$B$11:$M$2025,12,FALSE)</f>
        <v>18.45496</v>
      </c>
      <c r="BK66" s="95">
        <f t="shared" si="3"/>
        <v>0</v>
      </c>
    </row>
    <row r="67" spans="47:63" ht="14.45" customHeight="1"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si="1"/>
        <v>0</v>
      </c>
      <c r="BA67" s="95">
        <f>VLOOKUP(AU67,CENY!$B$11:$M$2025,12,FALSE)</f>
        <v>25.824369999999998</v>
      </c>
      <c r="BB67" s="95">
        <f t="shared" ref="BB67:BB130" si="4">IF(BA67="","",BA67*AY67)</f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2"/>
        <v>0</v>
      </c>
      <c r="BJ67" s="95">
        <f>VLOOKUP(BD67,CENY!$B$11:$M$2025,12,FALSE)</f>
        <v>21.352720000000001</v>
      </c>
      <c r="BK67" s="95">
        <f t="shared" si="3"/>
        <v>0</v>
      </c>
    </row>
    <row r="68" spans="47:63" ht="14.45" customHeight="1"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ref="AZ68:AZ131" si="5">IF(AY68="","",IF($AW$4=1,AY68,0))</f>
        <v>0</v>
      </c>
      <c r="BA68" s="95">
        <f>VLOOKUP(AU68,CENY!$B$11:$M$2025,12,FALSE)</f>
        <v>25.86984</v>
      </c>
      <c r="BB68" s="95">
        <f t="shared" si="4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2"/>
        <v>0</v>
      </c>
      <c r="BJ68" s="95">
        <f>VLOOKUP(BD68,CENY!$B$11:$M$2025,12,FALSE)</f>
        <v>21.352720000000001</v>
      </c>
      <c r="BK68" s="95">
        <f t="shared" si="3"/>
        <v>0</v>
      </c>
    </row>
    <row r="69" spans="47:63" ht="14.45" customHeight="1"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5"/>
        <v>0</v>
      </c>
      <c r="BA69" s="95">
        <f>VLOOKUP(AU69,CENY!$B$11:$M$2025,12,FALSE)</f>
        <v>26.336690000000001</v>
      </c>
      <c r="BB69" s="95">
        <f t="shared" si="4"/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si="2"/>
        <v>0</v>
      </c>
      <c r="BJ69" s="95">
        <f>VLOOKUP(BD69,CENY!$B$11:$M$2025,12,FALSE)</f>
        <v>22.243659999999998</v>
      </c>
      <c r="BK69" s="95">
        <f t="shared" si="3"/>
        <v>0</v>
      </c>
    </row>
    <row r="70" spans="47:63" ht="14.45" customHeight="1"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si="5"/>
        <v>0</v>
      </c>
      <c r="BA70" s="95">
        <f>VLOOKUP(AU70,CENY!$B$11:$M$2025,12,FALSE)</f>
        <v>26.80339</v>
      </c>
      <c r="BB70" s="95">
        <f t="shared" si="4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ref="BI70:BI133" si="6">IF(BH70="","",IF($AW$4=0,BH70,0))</f>
        <v>0</v>
      </c>
      <c r="BJ70" s="95">
        <f>VLOOKUP(BD70,CENY!$B$11:$M$2025,12,FALSE)</f>
        <v>22.243659999999998</v>
      </c>
      <c r="BK70" s="95">
        <f t="shared" ref="BK70:BK133" si="7">IF(BJ70="","",BJ70*BH70)</f>
        <v>0</v>
      </c>
    </row>
    <row r="71" spans="47:63" ht="14.45" customHeight="1"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5"/>
        <v>0</v>
      </c>
      <c r="BA71" s="95">
        <f>VLOOKUP(AU71,CENY!$B$11:$M$2025,12,FALSE)</f>
        <v>27.270389999999999</v>
      </c>
      <c r="BB71" s="95">
        <f t="shared" si="4"/>
        <v>0</v>
      </c>
      <c r="BD71" s="319"/>
      <c r="BE71" s="21"/>
      <c r="BF71" s="22"/>
      <c r="BG71" s="22"/>
      <c r="BH71" s="23"/>
      <c r="BI71" s="326" t="str">
        <f t="shared" si="6"/>
        <v/>
      </c>
      <c r="BJ71" s="95"/>
      <c r="BK71" s="95" t="str">
        <f t="shared" si="7"/>
        <v/>
      </c>
    </row>
    <row r="72" spans="47:63" ht="14.45" customHeight="1"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5"/>
        <v>0</v>
      </c>
      <c r="BA72" s="95">
        <f>VLOOKUP(AU72,CENY!$B$11:$M$2025,12,FALSE)</f>
        <v>5.5988800000000003</v>
      </c>
      <c r="BB72" s="95">
        <f t="shared" si="4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6"/>
        <v>0</v>
      </c>
      <c r="BJ72" s="95">
        <f>VLOOKUP(BD72,CENY!$B$11:$M$2025,12,FALSE)</f>
        <v>23.177009999999999</v>
      </c>
      <c r="BK72" s="95">
        <f t="shared" si="7"/>
        <v>0</v>
      </c>
    </row>
    <row r="73" spans="47:63" ht="14.45" customHeight="1"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5"/>
        <v>0</v>
      </c>
      <c r="BA73" s="95">
        <f>VLOOKUP(AU73,CENY!$B$11:$M$2025,12,FALSE)</f>
        <v>28.20382</v>
      </c>
      <c r="BB73" s="95">
        <f t="shared" si="4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6"/>
        <v>0</v>
      </c>
      <c r="BJ73" s="95">
        <f>VLOOKUP(BD73,CENY!$B$11:$M$2025,12,FALSE)</f>
        <v>23.177009999999999</v>
      </c>
      <c r="BK73" s="95">
        <f t="shared" si="7"/>
        <v>0</v>
      </c>
    </row>
    <row r="74" spans="47:63" ht="14.45" customHeight="1"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5"/>
        <v>0</v>
      </c>
      <c r="BA74" s="95">
        <f>VLOOKUP(AU74,CENY!$B$11:$M$2025,12,FALSE)</f>
        <v>28.670570000000001</v>
      </c>
      <c r="BB74" s="95">
        <f t="shared" si="4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6"/>
        <v>0</v>
      </c>
      <c r="BJ74" s="95">
        <f>VLOOKUP(BD74,CENY!$B$11:$M$2025,12,FALSE)</f>
        <v>23.177009999999999</v>
      </c>
      <c r="BK74" s="95">
        <f t="shared" si="7"/>
        <v>0</v>
      </c>
    </row>
    <row r="75" spans="47:63" ht="14.45" customHeight="1"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6"/>
        <v>0</v>
      </c>
      <c r="BJ75" s="95">
        <f>VLOOKUP(BD75,CENY!$B$11:$M$2025,12,FALSE)</f>
        <v>23.177009999999999</v>
      </c>
      <c r="BK75" s="95">
        <f t="shared" si="7"/>
        <v>0</v>
      </c>
    </row>
    <row r="76" spans="47:63" ht="14.45" customHeight="1"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5"/>
        <v>0</v>
      </c>
      <c r="BA76" s="95">
        <f>VLOOKUP(AU76,CENY!$B$11:$M$2025,12,FALSE)</f>
        <v>0.79318999999999995</v>
      </c>
      <c r="BB76" s="95">
        <f t="shared" si="4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8.7567500000000003</v>
      </c>
      <c r="BK76" s="95">
        <f t="shared" si="7"/>
        <v>0</v>
      </c>
    </row>
    <row r="77" spans="47:63" ht="14.45" customHeight="1"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/>
      <c r="BE77" s="21"/>
      <c r="BF77" s="22"/>
      <c r="BG77" s="22"/>
      <c r="BH77" s="23"/>
      <c r="BI77" s="326" t="str">
        <f t="shared" si="6"/>
        <v/>
      </c>
      <c r="BJ77" s="95"/>
      <c r="BK77" s="95" t="str">
        <f t="shared" si="7"/>
        <v/>
      </c>
    </row>
    <row r="78" spans="47:63" ht="14.45" customHeight="1">
      <c r="AU78" s="442">
        <f>OBJ!B141</f>
        <v>9255838</v>
      </c>
      <c r="AV78" s="443" t="str">
        <f>VLOOKUP(AU78,CENY!$B$11:$G$1054,2,FALSE)</f>
        <v>AvanY-prích.čela k naskrutk./ v187-251</v>
      </c>
      <c r="AW78" s="22">
        <f>VLOOKUP(AU78,CENY!$B$11:$G$1054,3,FALSE)</f>
        <v>200</v>
      </c>
      <c r="AX78" s="22"/>
      <c r="AY78" s="68">
        <f>2*(SUM(O19:T19)+SUM(O20:AD20)+SUM(W22:AF22)+SUM(O27:T27)+SUM(O28:AD28)+SUM(O30:AD30))</f>
        <v>0</v>
      </c>
      <c r="AZ78" s="326">
        <f t="shared" si="5"/>
        <v>0</v>
      </c>
      <c r="BA78" s="95">
        <f>VLOOKUP(AU78,CENY!$B$11:$M$2025,12,FALSE)</f>
        <v>2.32422</v>
      </c>
      <c r="BB78" s="95">
        <f t="shared" si="4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si="6"/>
        <v>0</v>
      </c>
      <c r="BJ78" s="95">
        <f>VLOOKUP(BD78,CENY!$B$11:$M$2025,12,FALSE)</f>
        <v>10.7646</v>
      </c>
      <c r="BK78" s="95">
        <f t="shared" si="7"/>
        <v>0</v>
      </c>
    </row>
    <row r="79" spans="47:63" ht="14.45" customHeight="1"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6"/>
        <v>0</v>
      </c>
      <c r="BJ79" s="95">
        <f>VLOOKUP(BD79,CENY!$B$11:$M$2025,12,FALSE)</f>
        <v>10.7646</v>
      </c>
      <c r="BK79" s="95">
        <f t="shared" si="7"/>
        <v>0</v>
      </c>
    </row>
    <row r="80" spans="47:63" ht="14.45" customHeight="1">
      <c r="AU80" s="320">
        <f>OBJ!B214</f>
        <v>0</v>
      </c>
      <c r="AV80" s="3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si="5"/>
        <v>0</v>
      </c>
      <c r="BA80" s="324" t="str">
        <f>IF(AU80=0,"",VLOOKUP(AU80,CENY!$B$11:$M$2025,12,FALSE))</f>
        <v/>
      </c>
      <c r="BB80" s="95" t="str">
        <f t="shared" si="4"/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10.787739999999999</v>
      </c>
      <c r="BK80" s="95">
        <f t="shared" si="7"/>
        <v>0</v>
      </c>
    </row>
    <row r="81" spans="47:63" ht="14.45" customHeight="1"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6"/>
        <v>0</v>
      </c>
      <c r="BJ81" s="95">
        <f>VLOOKUP(BD81,CENY!$B$11:$M$2025,12,FALSE)</f>
        <v>10.787739999999999</v>
      </c>
      <c r="BK81" s="95">
        <f t="shared" si="7"/>
        <v>0</v>
      </c>
    </row>
    <row r="82" spans="47:63" ht="14.45" customHeight="1"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6"/>
        <v>0</v>
      </c>
      <c r="BJ82" s="95">
        <f>VLOOKUP(BD82,CENY!$B$11:$M$2025,12,FALSE)</f>
        <v>11.02122</v>
      </c>
      <c r="BK82" s="95">
        <f t="shared" si="7"/>
        <v>0</v>
      </c>
    </row>
    <row r="83" spans="47:63" ht="14.45" customHeight="1">
      <c r="AU83" s="319"/>
      <c r="AV83" s="21"/>
      <c r="AW83" s="22"/>
      <c r="AX83" s="22"/>
      <c r="AY83" s="23"/>
      <c r="AZ83" s="326" t="str">
        <f t="shared" si="5"/>
        <v/>
      </c>
      <c r="BA83" s="95"/>
      <c r="BB83" s="95" t="str">
        <f t="shared" si="4"/>
        <v/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6"/>
        <v>0</v>
      </c>
      <c r="BJ83" s="95">
        <f>VLOOKUP(BD83,CENY!$B$11:$M$2025,12,FALSE)</f>
        <v>11.02122</v>
      </c>
      <c r="BK83" s="95">
        <f t="shared" si="7"/>
        <v>0</v>
      </c>
    </row>
    <row r="84" spans="47:63" ht="14.45" customHeight="1">
      <c r="AU84" s="319"/>
      <c r="AV84" s="21"/>
      <c r="AW84" s="22"/>
      <c r="AX84" s="22"/>
      <c r="AY84" s="23"/>
      <c r="AZ84" s="326" t="str">
        <f t="shared" si="5"/>
        <v/>
      </c>
      <c r="BA84" s="95"/>
      <c r="BB84" s="95" t="str">
        <f t="shared" si="4"/>
        <v/>
      </c>
      <c r="BD84" s="319"/>
      <c r="BE84" s="21"/>
      <c r="BF84" s="22"/>
      <c r="BG84" s="22"/>
      <c r="BH84" s="23"/>
      <c r="BI84" s="326" t="str">
        <f t="shared" si="6"/>
        <v/>
      </c>
      <c r="BJ84" s="95"/>
      <c r="BK84" s="95" t="str">
        <f t="shared" si="7"/>
        <v/>
      </c>
    </row>
    <row r="85" spans="47:63" ht="14.45" customHeight="1">
      <c r="AU85" s="319"/>
      <c r="AV85" s="21"/>
      <c r="AW85" s="22"/>
      <c r="AX85" s="22"/>
      <c r="AY85" s="23"/>
      <c r="AZ85" s="326" t="str">
        <f t="shared" si="5"/>
        <v/>
      </c>
      <c r="BA85" s="95"/>
      <c r="BB85" s="95" t="str">
        <f t="shared" si="4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si="6"/>
        <v>0</v>
      </c>
      <c r="BJ85" s="95">
        <f>VLOOKUP(BD85,CENY!$B$11:$M$2025,12,FALSE)</f>
        <v>10.7646</v>
      </c>
      <c r="BK85" s="95">
        <f t="shared" si="7"/>
        <v>0</v>
      </c>
    </row>
    <row r="86" spans="47:63" ht="14.45" customHeight="1">
      <c r="AU86" s="319"/>
      <c r="AV86" s="21"/>
      <c r="AW86" s="22"/>
      <c r="AX86" s="22"/>
      <c r="AY86" s="23"/>
      <c r="AZ86" s="326" t="str">
        <f t="shared" si="5"/>
        <v/>
      </c>
      <c r="BA86" s="95"/>
      <c r="BB86" s="95" t="str">
        <f t="shared" si="4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6"/>
        <v>0</v>
      </c>
      <c r="BJ86" s="95">
        <f>VLOOKUP(BD86,CENY!$B$11:$M$2025,12,FALSE)</f>
        <v>10.7646</v>
      </c>
      <c r="BK86" s="95">
        <f t="shared" si="7"/>
        <v>0</v>
      </c>
    </row>
    <row r="87" spans="47:63" ht="14.45" customHeight="1">
      <c r="AU87" s="319"/>
      <c r="AV87" s="21"/>
      <c r="AW87" s="22"/>
      <c r="AX87" s="22"/>
      <c r="AY87" s="23"/>
      <c r="AZ87" s="326" t="str">
        <f t="shared" si="5"/>
        <v/>
      </c>
      <c r="BA87" s="95"/>
      <c r="BB87" s="95" t="str">
        <f t="shared" si="4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6"/>
        <v>0</v>
      </c>
      <c r="BJ87" s="95">
        <f>VLOOKUP(BD87,CENY!$B$11:$M$2025,12,FALSE)</f>
        <v>10.787739999999999</v>
      </c>
      <c r="BK87" s="95">
        <f t="shared" si="7"/>
        <v>0</v>
      </c>
    </row>
    <row r="88" spans="47:63" ht="14.45" customHeight="1">
      <c r="AU88" s="20"/>
      <c r="AV88" s="21"/>
      <c r="AW88" s="22"/>
      <c r="AX88" s="22"/>
      <c r="AY88" s="23"/>
      <c r="AZ88" s="326" t="str">
        <f t="shared" si="5"/>
        <v/>
      </c>
      <c r="BA88" s="95"/>
      <c r="BB88" s="95" t="str">
        <f t="shared" si="4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6"/>
        <v>0</v>
      </c>
      <c r="BJ88" s="95">
        <f>VLOOKUP(BD88,CENY!$B$11:$M$2025,12,FALSE)</f>
        <v>10.787739999999999</v>
      </c>
      <c r="BK88" s="95">
        <f t="shared" si="7"/>
        <v>0</v>
      </c>
    </row>
    <row r="89" spans="47:63" ht="14.45" customHeight="1">
      <c r="AU89" s="20"/>
      <c r="AV89" s="21"/>
      <c r="AW89" s="22"/>
      <c r="AX89" s="22"/>
      <c r="AY89" s="23"/>
      <c r="AZ89" s="326" t="str">
        <f t="shared" si="5"/>
        <v/>
      </c>
      <c r="BA89" s="95"/>
      <c r="BB89" s="95" t="str">
        <f t="shared" si="4"/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6"/>
        <v>0</v>
      </c>
      <c r="BJ89" s="95">
        <f>VLOOKUP(BD89,CENY!$B$11:$M$2025,12,FALSE)</f>
        <v>11.02122</v>
      </c>
      <c r="BK89" s="95">
        <f t="shared" si="7"/>
        <v>0</v>
      </c>
    </row>
    <row r="90" spans="47:63" ht="14.45" customHeight="1">
      <c r="AU90" s="20"/>
      <c r="AV90" s="21"/>
      <c r="AW90" s="22"/>
      <c r="AX90" s="22"/>
      <c r="AY90" s="23"/>
      <c r="AZ90" s="326" t="str">
        <f t="shared" si="5"/>
        <v/>
      </c>
      <c r="BA90" s="95"/>
      <c r="BB90" s="95" t="str">
        <f t="shared" si="4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6"/>
        <v>0</v>
      </c>
      <c r="BJ90" s="95">
        <f>VLOOKUP(BD90,CENY!$B$11:$M$2025,12,FALSE)</f>
        <v>11.02122</v>
      </c>
      <c r="BK90" s="95">
        <f t="shared" si="7"/>
        <v>0</v>
      </c>
    </row>
    <row r="91" spans="47:63" ht="14.45" customHeight="1">
      <c r="AU91" s="20"/>
      <c r="AV91" s="21"/>
      <c r="AW91" s="22"/>
      <c r="AX91" s="22"/>
      <c r="AY91" s="23"/>
      <c r="AZ91" s="326" t="str">
        <f t="shared" si="5"/>
        <v/>
      </c>
      <c r="BA91" s="95"/>
      <c r="BB91" s="95" t="str">
        <f t="shared" si="4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6"/>
        <v>0</v>
      </c>
      <c r="BJ91" s="95">
        <f>VLOOKUP(BD91,CENY!$B$11:$M$2025,12,FALSE)</f>
        <v>11.25459</v>
      </c>
      <c r="BK91" s="95">
        <f t="shared" si="7"/>
        <v>0</v>
      </c>
    </row>
    <row r="92" spans="47:63" ht="14.45" customHeight="1">
      <c r="AU92" s="20"/>
      <c r="AV92" s="21"/>
      <c r="AW92" s="22"/>
      <c r="AX92" s="22"/>
      <c r="AY92" s="23"/>
      <c r="AZ92" s="326" t="str">
        <f t="shared" si="5"/>
        <v/>
      </c>
      <c r="BA92" s="95"/>
      <c r="BB92" s="95" t="str">
        <f t="shared" si="4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6"/>
        <v>0</v>
      </c>
      <c r="BJ92" s="95">
        <f>VLOOKUP(BD92,CENY!$B$11:$M$2025,12,FALSE)</f>
        <v>11.25459</v>
      </c>
      <c r="BK92" s="95">
        <f t="shared" si="7"/>
        <v>0</v>
      </c>
    </row>
    <row r="93" spans="47:63" ht="14.45" customHeight="1">
      <c r="AU93" s="20"/>
      <c r="AV93" s="21"/>
      <c r="AW93" s="22"/>
      <c r="AX93" s="22"/>
      <c r="AY93" s="23"/>
      <c r="AZ93" s="326" t="str">
        <f t="shared" si="5"/>
        <v/>
      </c>
      <c r="BA93" s="95"/>
      <c r="BB93" s="95" t="str">
        <f t="shared" si="4"/>
        <v/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6"/>
        <v>0</v>
      </c>
      <c r="BJ93" s="95">
        <f>VLOOKUP(BD93,CENY!$B$11:$M$2025,12,FALSE)</f>
        <v>11.487740000000001</v>
      </c>
      <c r="BK93" s="95">
        <f t="shared" si="7"/>
        <v>0</v>
      </c>
    </row>
    <row r="94" spans="47:63" ht="14.45" customHeight="1">
      <c r="AU94" s="20"/>
      <c r="AV94" s="21"/>
      <c r="AW94" s="22"/>
      <c r="AX94" s="22"/>
      <c r="AY94" s="23"/>
      <c r="AZ94" s="326" t="str">
        <f t="shared" si="5"/>
        <v/>
      </c>
      <c r="BA94" s="95"/>
      <c r="BB94" s="95" t="str">
        <f t="shared" si="4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6"/>
        <v>0</v>
      </c>
      <c r="BJ94" s="95">
        <f>VLOOKUP(BD94,CENY!$B$11:$M$2025,12,FALSE)</f>
        <v>11.487740000000001</v>
      </c>
      <c r="BK94" s="95">
        <f t="shared" si="7"/>
        <v>0</v>
      </c>
    </row>
    <row r="95" spans="47:63" ht="14.45" customHeight="1">
      <c r="AU95" s="20"/>
      <c r="AV95" s="21"/>
      <c r="AW95" s="22"/>
      <c r="AX95" s="22"/>
      <c r="AY95" s="23"/>
      <c r="AZ95" s="326" t="str">
        <f t="shared" si="5"/>
        <v/>
      </c>
      <c r="BA95" s="95"/>
      <c r="BB95" s="95" t="str">
        <f t="shared" si="4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6"/>
        <v>0</v>
      </c>
      <c r="BJ95" s="95">
        <f>VLOOKUP(BD95,CENY!$B$11:$M$2025,12,FALSE)</f>
        <v>11.163180000000001</v>
      </c>
      <c r="BK95" s="95">
        <f t="shared" si="7"/>
        <v>0</v>
      </c>
    </row>
    <row r="96" spans="47:63" ht="14.45" customHeight="1"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6"/>
        <v>0</v>
      </c>
      <c r="BJ96" s="95">
        <f>VLOOKUP(BD96,CENY!$B$11:$M$2025,12,FALSE)</f>
        <v>11.163180000000001</v>
      </c>
      <c r="BK96" s="95">
        <f t="shared" si="7"/>
        <v>0</v>
      </c>
    </row>
    <row r="97" spans="47:63" ht="14.45" customHeight="1">
      <c r="AU97" s="20"/>
      <c r="AV97" s="21"/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6"/>
        <v>0</v>
      </c>
      <c r="BJ97" s="95">
        <f>VLOOKUP(BD97,CENY!$B$11:$M$2025,12,FALSE)</f>
        <v>11.38542</v>
      </c>
      <c r="BK97" s="95">
        <f t="shared" si="7"/>
        <v>0</v>
      </c>
    </row>
    <row r="98" spans="47:63" ht="14.45" customHeight="1">
      <c r="AU98" s="20"/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6"/>
        <v>0</v>
      </c>
      <c r="BJ98" s="95">
        <f>VLOOKUP(BD98,CENY!$B$11:$M$2025,12,FALSE)</f>
        <v>11.954689999999999</v>
      </c>
      <c r="BK98" s="95">
        <f t="shared" si="7"/>
        <v>0</v>
      </c>
    </row>
    <row r="99" spans="47:63" ht="14.45" customHeight="1">
      <c r="AU99" s="20"/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6"/>
        <v>0</v>
      </c>
      <c r="BJ99" s="95">
        <f>VLOOKUP(BD99,CENY!$B$11:$M$2025,12,FALSE)</f>
        <v>12.187939999999999</v>
      </c>
      <c r="BK99" s="95">
        <f t="shared" si="7"/>
        <v>0</v>
      </c>
    </row>
    <row r="100" spans="47:63" ht="14.45" customHeight="1"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6"/>
        <v>0</v>
      </c>
      <c r="BJ100" s="95">
        <f>VLOOKUP(BD100,CENY!$B$11:$M$2025,12,FALSE)</f>
        <v>12.187939999999999</v>
      </c>
      <c r="BK100" s="95">
        <f t="shared" si="7"/>
        <v>0</v>
      </c>
    </row>
    <row r="101" spans="47:63">
      <c r="AU101" s="20"/>
      <c r="AV101" s="21"/>
      <c r="AW101" s="22"/>
      <c r="AX101" s="22"/>
      <c r="AY101" s="23"/>
      <c r="AZ101" s="326" t="str">
        <f t="shared" si="5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47:63"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4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6"/>
        <v>0</v>
      </c>
      <c r="BJ102" s="95">
        <f>VLOOKUP(BD102,CENY!$B$11:$M$2025,12,FALSE)</f>
        <v>23.114239999999999</v>
      </c>
      <c r="BK102" s="95">
        <f t="shared" si="7"/>
        <v>0</v>
      </c>
    </row>
    <row r="103" spans="47:63">
      <c r="AU103" s="20"/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4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6"/>
        <v>0</v>
      </c>
      <c r="BJ103" s="95">
        <f>VLOOKUP(BD103,CENY!$B$11:$M$2025,12,FALSE)</f>
        <v>23.114239999999999</v>
      </c>
      <c r="BK103" s="95">
        <f t="shared" si="7"/>
        <v>0</v>
      </c>
    </row>
    <row r="104" spans="47:63">
      <c r="AU104" s="20"/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4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6"/>
        <v>0</v>
      </c>
      <c r="BJ104" s="95">
        <f>VLOOKUP(BD104,CENY!$B$11:$M$2025,12,FALSE)</f>
        <v>23.114239999999999</v>
      </c>
      <c r="BK104" s="95">
        <f t="shared" si="7"/>
        <v>0</v>
      </c>
    </row>
    <row r="105" spans="47:63"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4"/>
        <v/>
      </c>
      <c r="BD105" s="319"/>
      <c r="BE105" s="21"/>
      <c r="BF105" s="22"/>
      <c r="BG105" s="22"/>
      <c r="BH105" s="23"/>
      <c r="BI105" s="326" t="str">
        <f t="shared" si="6"/>
        <v/>
      </c>
      <c r="BJ105" s="95"/>
      <c r="BK105" s="95" t="str">
        <f t="shared" si="7"/>
        <v/>
      </c>
    </row>
    <row r="106" spans="47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4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si="6"/>
        <v>0</v>
      </c>
      <c r="BJ106" s="95">
        <f>VLOOKUP(BD106,CENY!$B$11:$M$2025,12,FALSE)</f>
        <v>12.16503</v>
      </c>
      <c r="BK106" s="95">
        <f t="shared" si="7"/>
        <v>0</v>
      </c>
    </row>
    <row r="107" spans="47:63">
      <c r="AU107" s="20"/>
      <c r="AV107" s="21"/>
      <c r="AW107" s="22"/>
      <c r="AX107" s="22"/>
      <c r="AY107" s="23"/>
      <c r="AZ107" s="326" t="str">
        <f t="shared" si="5"/>
        <v/>
      </c>
      <c r="BA107" s="95"/>
      <c r="BB107" s="95" t="str">
        <f t="shared" si="4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6"/>
        <v>0</v>
      </c>
      <c r="BJ107" s="95">
        <f>VLOOKUP(BD107,CENY!$B$11:$M$2025,12,FALSE)</f>
        <v>12.16503</v>
      </c>
      <c r="BK107" s="95">
        <f t="shared" si="7"/>
        <v>0</v>
      </c>
    </row>
    <row r="108" spans="47:63">
      <c r="AU108" s="20"/>
      <c r="AV108" s="21"/>
      <c r="AW108" s="22"/>
      <c r="AX108" s="22"/>
      <c r="AY108" s="23"/>
      <c r="AZ108" s="326" t="str">
        <f t="shared" si="5"/>
        <v/>
      </c>
      <c r="BA108" s="95"/>
      <c r="BB108" s="95" t="str">
        <f t="shared" si="4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6"/>
        <v>0</v>
      </c>
      <c r="BJ108" s="95">
        <f>VLOOKUP(BD108,CENY!$B$11:$M$2025,12,FALSE)</f>
        <v>12.187939999999999</v>
      </c>
      <c r="BK108" s="95">
        <f t="shared" si="7"/>
        <v>0</v>
      </c>
    </row>
    <row r="109" spans="47:63">
      <c r="AU109" s="20"/>
      <c r="AV109" s="21"/>
      <c r="AW109" s="22"/>
      <c r="AX109" s="22"/>
      <c r="AY109" s="23"/>
      <c r="AZ109" s="326" t="str">
        <f t="shared" si="5"/>
        <v/>
      </c>
      <c r="BA109" s="95"/>
      <c r="BB109" s="95" t="str">
        <f t="shared" si="4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6"/>
        <v>0</v>
      </c>
      <c r="BJ109" s="95">
        <f>VLOOKUP(BD109,CENY!$B$11:$M$2025,12,FALSE)</f>
        <v>12.187939999999999</v>
      </c>
      <c r="BK109" s="95">
        <f t="shared" si="7"/>
        <v>0</v>
      </c>
    </row>
    <row r="110" spans="47:63">
      <c r="AU110" s="20"/>
      <c r="AV110" s="21"/>
      <c r="AW110" s="22"/>
      <c r="AX110" s="22"/>
      <c r="AY110" s="23"/>
      <c r="AZ110" s="326" t="str">
        <f t="shared" si="5"/>
        <v/>
      </c>
      <c r="BA110" s="95"/>
      <c r="BB110" s="95" t="str">
        <f t="shared" si="4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6"/>
        <v>0</v>
      </c>
      <c r="BJ110" s="95">
        <f>VLOOKUP(BD110,CENY!$B$11:$M$2025,12,FALSE)</f>
        <v>12.42154</v>
      </c>
      <c r="BK110" s="95">
        <f t="shared" si="7"/>
        <v>0</v>
      </c>
    </row>
    <row r="111" spans="47:63">
      <c r="AU111" s="20"/>
      <c r="AV111" s="21"/>
      <c r="AW111" s="22"/>
      <c r="AX111" s="22"/>
      <c r="AY111" s="23"/>
      <c r="AZ111" s="326" t="str">
        <f t="shared" si="5"/>
        <v/>
      </c>
      <c r="BA111" s="95"/>
      <c r="BB111" s="95" t="str">
        <f t="shared" si="4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6"/>
        <v>0</v>
      </c>
      <c r="BJ111" s="95">
        <f>VLOOKUP(BD111,CENY!$B$11:$M$2025,12,FALSE)</f>
        <v>12.42154</v>
      </c>
      <c r="BK111" s="95">
        <f t="shared" si="7"/>
        <v>0</v>
      </c>
    </row>
    <row r="112" spans="47:63">
      <c r="AU112" s="20"/>
      <c r="AV112" s="21"/>
      <c r="AW112" s="22"/>
      <c r="AX112" s="22"/>
      <c r="AY112" s="23"/>
      <c r="AZ112" s="326" t="str">
        <f t="shared" si="5"/>
        <v/>
      </c>
      <c r="BA112" s="95"/>
      <c r="BB112" s="95" t="str">
        <f t="shared" si="4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6"/>
        <v>0</v>
      </c>
      <c r="BJ112" s="95">
        <f>VLOOKUP(BD112,CENY!$B$11:$M$2025,12,FALSE)</f>
        <v>12.654769999999999</v>
      </c>
      <c r="BK112" s="95">
        <f t="shared" si="7"/>
        <v>0</v>
      </c>
    </row>
    <row r="113" spans="47:63">
      <c r="AU113" s="20"/>
      <c r="AV113" s="21"/>
      <c r="AW113" s="22"/>
      <c r="AX113" s="22"/>
      <c r="AY113" s="23"/>
      <c r="AZ113" s="326" t="str">
        <f t="shared" si="5"/>
        <v/>
      </c>
      <c r="BA113" s="95"/>
      <c r="BB113" s="95" t="str">
        <f t="shared" si="4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6"/>
        <v>0</v>
      </c>
      <c r="BJ113" s="95">
        <f>VLOOKUP(BD113,CENY!$B$11:$M$2025,12,FALSE)</f>
        <v>12.654769999999999</v>
      </c>
      <c r="BK113" s="95">
        <f t="shared" si="7"/>
        <v>0</v>
      </c>
    </row>
    <row r="114" spans="47:63">
      <c r="AU114" s="20"/>
      <c r="AV114" s="21"/>
      <c r="AW114" s="22"/>
      <c r="AX114" s="22"/>
      <c r="AY114" s="23"/>
      <c r="AZ114" s="326" t="str">
        <f t="shared" si="5"/>
        <v/>
      </c>
      <c r="BA114" s="95"/>
      <c r="BB114" s="95" t="str">
        <f t="shared" si="4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6"/>
        <v>0</v>
      </c>
      <c r="BJ114" s="95">
        <f>VLOOKUP(BD114,CENY!$B$11:$M$2025,12,FALSE)</f>
        <v>12.888019999999999</v>
      </c>
      <c r="BK114" s="95">
        <f t="shared" si="7"/>
        <v>0</v>
      </c>
    </row>
    <row r="115" spans="47:63">
      <c r="AU115" s="20"/>
      <c r="AV115" s="21"/>
      <c r="AW115" s="22"/>
      <c r="AX115" s="22"/>
      <c r="AY115" s="23"/>
      <c r="AZ115" s="326" t="str">
        <f t="shared" si="5"/>
        <v/>
      </c>
      <c r="BA115" s="95"/>
      <c r="BB115" s="95" t="str">
        <f t="shared" si="4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6"/>
        <v>0</v>
      </c>
      <c r="BJ115" s="95">
        <f>VLOOKUP(BD115,CENY!$B$11:$M$2025,12,FALSE)</f>
        <v>12.888019999999999</v>
      </c>
      <c r="BK115" s="95">
        <f t="shared" si="7"/>
        <v>0</v>
      </c>
    </row>
    <row r="116" spans="47:63">
      <c r="AU116" s="20"/>
      <c r="AV116" s="21"/>
      <c r="AW116" s="22"/>
      <c r="AX116" s="22"/>
      <c r="AY116" s="23"/>
      <c r="AZ116" s="326" t="str">
        <f t="shared" si="5"/>
        <v/>
      </c>
      <c r="BA116" s="95"/>
      <c r="BB116" s="95" t="str">
        <f t="shared" si="4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6"/>
        <v>0</v>
      </c>
      <c r="BJ116" s="95">
        <f>VLOOKUP(BD116,CENY!$B$11:$M$2025,12,FALSE)</f>
        <v>12.496779999999999</v>
      </c>
      <c r="BK116" s="95">
        <f t="shared" si="7"/>
        <v>0</v>
      </c>
    </row>
    <row r="117" spans="47:63">
      <c r="AU117" s="20"/>
      <c r="AV117" s="21"/>
      <c r="AW117" s="22"/>
      <c r="AX117" s="22"/>
      <c r="AY117" s="23"/>
      <c r="AZ117" s="326" t="str">
        <f t="shared" si="5"/>
        <v/>
      </c>
      <c r="BA117" s="95"/>
      <c r="BB117" s="95" t="str">
        <f t="shared" si="4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6"/>
        <v>0</v>
      </c>
      <c r="BJ117" s="95">
        <f>VLOOKUP(BD117,CENY!$B$11:$M$2025,12,FALSE)</f>
        <v>12.496779999999999</v>
      </c>
      <c r="BK117" s="95">
        <f t="shared" si="7"/>
        <v>0</v>
      </c>
    </row>
    <row r="118" spans="47:63">
      <c r="AU118" s="20"/>
      <c r="AV118" s="21"/>
      <c r="AW118" s="22"/>
      <c r="AX118" s="22"/>
      <c r="AY118" s="23"/>
      <c r="AZ118" s="326" t="str">
        <f t="shared" si="5"/>
        <v/>
      </c>
      <c r="BA118" s="95"/>
      <c r="BB118" s="95" t="str">
        <f t="shared" si="4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6"/>
        <v>0</v>
      </c>
      <c r="BJ118" s="95">
        <f>VLOOKUP(BD118,CENY!$B$11:$M$2025,12,FALSE)</f>
        <v>12.718019999999999</v>
      </c>
      <c r="BK118" s="95">
        <f t="shared" si="7"/>
        <v>0</v>
      </c>
    </row>
    <row r="119" spans="47:63">
      <c r="AU119" s="20"/>
      <c r="AV119" s="21"/>
      <c r="AW119" s="22"/>
      <c r="AX119" s="22"/>
      <c r="AY119" s="23"/>
      <c r="AZ119" s="326" t="str">
        <f t="shared" si="5"/>
        <v/>
      </c>
      <c r="BA119" s="95"/>
      <c r="BB119" s="95" t="str">
        <f t="shared" si="4"/>
        <v/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6"/>
        <v>0</v>
      </c>
      <c r="BJ119" s="95">
        <f>VLOOKUP(BD119,CENY!$B$11:$M$2025,12,FALSE)</f>
        <v>13.35392</v>
      </c>
      <c r="BK119" s="95">
        <f t="shared" si="7"/>
        <v>0</v>
      </c>
    </row>
    <row r="120" spans="47:63">
      <c r="AU120" s="20"/>
      <c r="AV120" s="21"/>
      <c r="AW120" s="22"/>
      <c r="AX120" s="22"/>
      <c r="AY120" s="23"/>
      <c r="AZ120" s="326" t="str">
        <f t="shared" si="5"/>
        <v/>
      </c>
      <c r="BA120" s="95"/>
      <c r="BB120" s="95" t="str">
        <f t="shared" si="4"/>
        <v/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6"/>
        <v>0</v>
      </c>
      <c r="BJ120" s="95">
        <f>VLOOKUP(BD120,CENY!$B$11:$M$2025,12,FALSE)</f>
        <v>13.58704</v>
      </c>
      <c r="BK120" s="95">
        <f t="shared" si="7"/>
        <v>0</v>
      </c>
    </row>
    <row r="121" spans="47:63">
      <c r="AU121" s="20"/>
      <c r="AV121" s="21"/>
      <c r="AW121" s="22"/>
      <c r="AX121" s="22"/>
      <c r="AY121" s="23"/>
      <c r="AZ121" s="326" t="str">
        <f t="shared" si="5"/>
        <v/>
      </c>
      <c r="BA121" s="95"/>
      <c r="BB121" s="95" t="str">
        <f t="shared" si="4"/>
        <v/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6"/>
        <v>0</v>
      </c>
      <c r="BJ121" s="95">
        <f>VLOOKUP(BD121,CENY!$B$11:$M$2025,12,FALSE)</f>
        <v>13.58704</v>
      </c>
      <c r="BK121" s="95">
        <f t="shared" si="7"/>
        <v>0</v>
      </c>
    </row>
    <row r="122" spans="47:63">
      <c r="AU122" s="20"/>
      <c r="AV122" s="21"/>
      <c r="AW122" s="22"/>
      <c r="AX122" s="22"/>
      <c r="AY122" s="23"/>
      <c r="AZ122" s="326" t="str">
        <f t="shared" si="5"/>
        <v/>
      </c>
      <c r="BA122" s="95"/>
      <c r="BB122" s="95" t="str">
        <f t="shared" si="4"/>
        <v/>
      </c>
      <c r="BD122" s="319"/>
      <c r="BE122" s="21"/>
      <c r="BF122" s="22"/>
      <c r="BG122" s="22"/>
      <c r="BH122" s="23"/>
      <c r="BI122" s="326" t="str">
        <f t="shared" si="6"/>
        <v/>
      </c>
      <c r="BJ122" s="95"/>
      <c r="BK122" s="95" t="str">
        <f t="shared" si="7"/>
        <v/>
      </c>
    </row>
    <row r="123" spans="47:63">
      <c r="AU123" s="20"/>
      <c r="AV123" s="21"/>
      <c r="AW123" s="22"/>
      <c r="AX123" s="22"/>
      <c r="AY123" s="23"/>
      <c r="AZ123" s="326" t="str">
        <f t="shared" si="5"/>
        <v/>
      </c>
      <c r="BA123" s="95"/>
      <c r="BB123" s="95" t="str">
        <f t="shared" si="4"/>
        <v/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6"/>
        <v>0</v>
      </c>
      <c r="BJ123" s="95">
        <f>VLOOKUP(BD123,CENY!$B$11:$M$2025,12,FALSE)</f>
        <v>0.79318999999999995</v>
      </c>
      <c r="BK123" s="95">
        <f t="shared" si="7"/>
        <v>0</v>
      </c>
    </row>
    <row r="124" spans="47:63">
      <c r="AU124" s="20"/>
      <c r="AV124" s="21"/>
      <c r="AW124" s="22"/>
      <c r="AX124" s="22"/>
      <c r="AY124" s="23"/>
      <c r="AZ124" s="326" t="str">
        <f t="shared" si="5"/>
        <v/>
      </c>
      <c r="BA124" s="95"/>
      <c r="BB124" s="95" t="str">
        <f t="shared" si="4"/>
        <v/>
      </c>
      <c r="BD124" s="319"/>
      <c r="BE124" s="21"/>
      <c r="BF124" s="22"/>
      <c r="BG124" s="22"/>
      <c r="BH124" s="23"/>
      <c r="BI124" s="326" t="str">
        <f t="shared" si="6"/>
        <v/>
      </c>
      <c r="BJ124" s="95"/>
      <c r="BK124" s="95" t="str">
        <f t="shared" si="7"/>
        <v/>
      </c>
    </row>
    <row r="125" spans="47:63">
      <c r="AU125" s="20"/>
      <c r="AV125" s="21"/>
      <c r="AW125" s="22"/>
      <c r="AX125" s="22"/>
      <c r="AY125" s="23"/>
      <c r="AZ125" s="326" t="str">
        <f t="shared" si="5"/>
        <v/>
      </c>
      <c r="BA125" s="95"/>
      <c r="BB125" s="95" t="str">
        <f t="shared" si="4"/>
        <v/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6"/>
        <v>0</v>
      </c>
      <c r="BJ125" s="324" t="str">
        <f>IF(BD125=0,"",VLOOKUP(BD125,CENY!$B$11:$M$2025,12,FALSE))</f>
        <v/>
      </c>
      <c r="BK125" s="95" t="str">
        <f t="shared" si="7"/>
        <v/>
      </c>
    </row>
    <row r="126" spans="47:63">
      <c r="AU126" s="20"/>
      <c r="AV126" s="21"/>
      <c r="AW126" s="22"/>
      <c r="AX126" s="22"/>
      <c r="AY126" s="23"/>
      <c r="AZ126" s="326" t="str">
        <f t="shared" si="5"/>
        <v/>
      </c>
      <c r="BA126" s="95"/>
      <c r="BB126" s="95" t="str">
        <f t="shared" si="4"/>
        <v/>
      </c>
      <c r="BD126" s="319"/>
      <c r="BE126" s="21"/>
      <c r="BF126" s="22"/>
      <c r="BG126" s="22"/>
      <c r="BH126" s="23"/>
      <c r="BI126" s="326" t="str">
        <f t="shared" si="6"/>
        <v/>
      </c>
      <c r="BJ126" s="95"/>
      <c r="BK126" s="95" t="str">
        <f t="shared" si="7"/>
        <v/>
      </c>
    </row>
    <row r="127" spans="47:63">
      <c r="AU127" s="319">
        <f>OBJ!B361</f>
        <v>45167</v>
      </c>
      <c r="AV127" s="21" t="str">
        <f>VLOOKUP(AU127,CENY!$B$11:$G$1054,2,FALSE)</f>
        <v>Skrutka s polgul.hlavou 3,5x12mm</v>
      </c>
      <c r="AW127" s="22">
        <f>VLOOKUP(AU127,CENY!$B$11:$G$1054,3,FALSE)</f>
        <v>200</v>
      </c>
      <c r="AX127" s="22"/>
      <c r="AY127" s="23">
        <f>SUMPRODUCT(AX5:AX13,AY5:AY13)</f>
        <v>0</v>
      </c>
      <c r="AZ127" s="326">
        <f t="shared" si="5"/>
        <v>0</v>
      </c>
      <c r="BA127" s="95">
        <f>VLOOKUP(AU127,CENY!$B$11:$M$2025,12,FALSE)</f>
        <v>3.4759999999999999E-2</v>
      </c>
      <c r="BB127" s="95">
        <f t="shared" si="4"/>
        <v>0</v>
      </c>
      <c r="BC127" s="86" t="s">
        <v>396</v>
      </c>
      <c r="BD127" s="319">
        <f>OBJ!B361</f>
        <v>45167</v>
      </c>
      <c r="BE127" s="21" t="str">
        <f>VLOOKUP(BD127,CENY!$B$11:$G$1054,2,FALSE)</f>
        <v>Skrutka s polgul.hlavou 3,5x12mm</v>
      </c>
      <c r="BF127" s="22">
        <f>VLOOKUP(BD127,CENY!$B$11:$G$1054,3,FALSE)</f>
        <v>200</v>
      </c>
      <c r="BG127" s="22"/>
      <c r="BH127" s="23">
        <f>AY127+BH25*2</f>
        <v>0</v>
      </c>
      <c r="BI127" s="326">
        <f>IF(BH127="","",IF($AW$4=0,BH127,0))</f>
        <v>0</v>
      </c>
      <c r="BJ127" s="95">
        <f>VLOOKUP(BD127,CENY!$B$11:$M$2025,12,FALSE)</f>
        <v>3.4759999999999999E-2</v>
      </c>
      <c r="BK127" s="95">
        <f>IF(BJ127="","",BJ127*BH127)</f>
        <v>0</v>
      </c>
    </row>
    <row r="128" spans="47:63">
      <c r="AU128" s="319">
        <f>OBJ!B362</f>
        <v>45168</v>
      </c>
      <c r="AV128" s="21" t="str">
        <f>VLOOKUP(AU128,CENY!$B$11:$G$1054,2,FALSE)</f>
        <v>Skrutka s polgul.hlavou 3,5x20mm</v>
      </c>
      <c r="AW128" s="22">
        <f>VLOOKUP(AU128,CENY!$B$11:$G$1054,3,FALSE)</f>
        <v>200</v>
      </c>
      <c r="AX128" s="22"/>
      <c r="AY128" s="360">
        <v>0</v>
      </c>
      <c r="AZ128" s="326">
        <f t="shared" si="5"/>
        <v>0</v>
      </c>
      <c r="BA128" s="95">
        <f>VLOOKUP(AU128,CENY!$B$11:$M$2025,12,FALSE)</f>
        <v>4.9860000000000002E-2</v>
      </c>
      <c r="BB128" s="95">
        <f t="shared" si="4"/>
        <v>0</v>
      </c>
      <c r="BC128" s="86" t="s">
        <v>397</v>
      </c>
      <c r="BD128" s="319">
        <f>OBJ!B362</f>
        <v>45168</v>
      </c>
      <c r="BE128" s="21" t="str">
        <f>VLOOKUP(BD128,CENY!$B$11:$G$1054,2,FALSE)</f>
        <v>Skrutka s polgul.hlavou 3,5x20mm</v>
      </c>
      <c r="BF128" s="22">
        <f>VLOOKUP(BD128,CENY!$B$11:$G$1054,3,FALSE)</f>
        <v>200</v>
      </c>
      <c r="BG128" s="22"/>
      <c r="BH128" s="360">
        <f>IF(FORM!$AM$8=FORM!$AU$10,BH24*4,0)</f>
        <v>0</v>
      </c>
      <c r="BI128" s="326">
        <f>IF(BH128="","",IF($AW$4=0,BH128,0))</f>
        <v>0</v>
      </c>
      <c r="BJ128" s="95">
        <f>VLOOKUP(BD128,CENY!$B$11:$M$2025,12,FALSE)</f>
        <v>4.9860000000000002E-2</v>
      </c>
      <c r="BK128" s="95">
        <f>IF(BJ128="","",BJ128*BH128)</f>
        <v>0</v>
      </c>
    </row>
    <row r="129" spans="47:63">
      <c r="AU129" s="319">
        <f>OBJ!B363</f>
        <v>9278224</v>
      </c>
      <c r="AV129" s="21" t="str">
        <f>VLOOKUP(AU129,CENY!$B$11:$G$1054,2,FALSE)</f>
        <v>Skrutka s polgul.hlavou 3,5x30mm</v>
      </c>
      <c r="AW129" s="22">
        <f>VLOOKUP(AU129,CENY!$B$11:$G$1054,3,FALSE)</f>
        <v>200</v>
      </c>
      <c r="AX129" s="22"/>
      <c r="AY129" s="360">
        <v>0</v>
      </c>
      <c r="AZ129" s="326">
        <f t="shared" si="5"/>
        <v>0</v>
      </c>
      <c r="BA129" s="95">
        <f>VLOOKUP(AU129,CENY!$B$11:$M$2025,12,FALSE)</f>
        <v>4.299E-2</v>
      </c>
      <c r="BB129" s="95">
        <f t="shared" si="4"/>
        <v>0</v>
      </c>
      <c r="BC129" s="86" t="s">
        <v>398</v>
      </c>
      <c r="BD129" s="319">
        <f>OBJ!B363</f>
        <v>9278224</v>
      </c>
      <c r="BE129" s="21" t="str">
        <f>VLOOKUP(BD129,CENY!$B$11:$G$1054,2,FALSE)</f>
        <v>Skrutka s polgul.hlavou 3,5x30mm</v>
      </c>
      <c r="BF129" s="22">
        <f>VLOOKUP(BD129,CENY!$B$11:$G$1054,3,FALSE)</f>
        <v>200</v>
      </c>
      <c r="BG129" s="22"/>
      <c r="BH129" s="360">
        <f>2*SUM(BH5:BH22)</f>
        <v>0</v>
      </c>
      <c r="BI129" s="326">
        <f>IF(BH129="","",IF($AW$4=0,BH129,0))</f>
        <v>0</v>
      </c>
      <c r="BJ129" s="95">
        <f>VLOOKUP(BD129,CENY!$B$11:$M$2025,12,FALSE)</f>
        <v>4.299E-2</v>
      </c>
      <c r="BK129" s="95">
        <f>IF(BJ129="","",BJ129*BH129)</f>
        <v>0</v>
      </c>
    </row>
    <row r="130" spans="47:63">
      <c r="AU130" s="319">
        <f>OBJ!B364</f>
        <v>9279197</v>
      </c>
      <c r="AV130" s="21" t="str">
        <f>VLOOKUP(AU130,CENY!$B$11:$G$1054,2,FALSE)</f>
        <v>Skrutka s polgul.hlavou M3,5x12mm</v>
      </c>
      <c r="AW130" s="22">
        <f>VLOOKUP(AU130,CENY!$B$11:$G$1054,3,FALSE)</f>
        <v>1000</v>
      </c>
      <c r="AX130" s="22"/>
      <c r="AY130" s="68">
        <v>0</v>
      </c>
      <c r="AZ130" s="326">
        <f t="shared" si="5"/>
        <v>0</v>
      </c>
      <c r="BA130" s="95" t="e">
        <f>VLOOKUP(AU130,CENY!$B$11:$M$2025,12,FALSE)</f>
        <v>#N/A</v>
      </c>
      <c r="BB130" s="95" t="e">
        <f t="shared" si="4"/>
        <v>#N/A</v>
      </c>
      <c r="BC130" s="86" t="s">
        <v>399</v>
      </c>
      <c r="BD130" s="319">
        <f>OBJ!B364</f>
        <v>9279197</v>
      </c>
      <c r="BE130" s="21" t="str">
        <f>VLOOKUP(BD130,CENY!$B$11:$G$1054,2,FALSE)</f>
        <v>Skrutka s polgul.hlavou M3,5x12mm</v>
      </c>
      <c r="BF130" s="22">
        <f>VLOOKUP(BD130,CENY!$B$11:$G$1054,3,FALSE)</f>
        <v>1000</v>
      </c>
      <c r="BG130" s="22"/>
      <c r="BH130" s="68">
        <f>AY130</f>
        <v>0</v>
      </c>
      <c r="BI130" s="326">
        <f>IF(BH130="","",IF($AW$4=0,BH130,0))</f>
        <v>0</v>
      </c>
      <c r="BJ130" s="95" t="e">
        <f>VLOOKUP(BD130,CENY!$B$11:$M$2025,12,FALSE)</f>
        <v>#N/A</v>
      </c>
      <c r="BK130" s="95" t="e">
        <f>IF(BJ130="","",BJ130*BH130)</f>
        <v>#N/A</v>
      </c>
    </row>
    <row r="131" spans="47:63">
      <c r="AU131" s="319">
        <f>OBJ!B365</f>
        <v>9137114</v>
      </c>
      <c r="AV131" s="21" t="str">
        <f>VLOOKUP(AU131,CENY!$B$11:$G$1054,2,FALSE)</f>
        <v>EURO-skrutka  6,0x14mm / niklovaná</v>
      </c>
      <c r="AW131" s="22">
        <f>VLOOKUP(AU131,CENY!$B$11:$G$1054,3,FALSE)</f>
        <v>200</v>
      </c>
      <c r="AX131" s="22"/>
      <c r="AY131" s="23">
        <f>SUMPRODUCT(AX25:AX74,AY25:AY74)</f>
        <v>0</v>
      </c>
      <c r="AZ131" s="326">
        <f t="shared" si="5"/>
        <v>0</v>
      </c>
      <c r="BA131" s="95">
        <f>VLOOKUP(AU131,CENY!$B$11:$M$2025,12,FALSE)</f>
        <v>7.7280000000000001E-2</v>
      </c>
      <c r="BB131" s="95">
        <f>IF(BA131="","",BA131*AY131)</f>
        <v>0</v>
      </c>
      <c r="BC131" s="86" t="s">
        <v>400</v>
      </c>
      <c r="BD131" s="319">
        <f>OBJ!B365</f>
        <v>9137114</v>
      </c>
      <c r="BE131" s="21" t="str">
        <f>VLOOKUP(BD131,CENY!$B$11:$G$1054,2,FALSE)</f>
        <v>EURO-skrutka  6,0x14mm / niklovaná</v>
      </c>
      <c r="BF131" s="22">
        <f>VLOOKUP(BD131,CENY!$B$11:$G$1054,3,FALSE)</f>
        <v>200</v>
      </c>
      <c r="BG131" s="22"/>
      <c r="BH131" s="23">
        <f>AY131</f>
        <v>0</v>
      </c>
      <c r="BI131" s="326">
        <f>IF(BH131="","",IF($AW$4=0,BH131,0))</f>
        <v>0</v>
      </c>
      <c r="BJ131" s="95">
        <f>VLOOKUP(BD131,CENY!$B$11:$M$2025,12,FALSE)</f>
        <v>7.7280000000000001E-2</v>
      </c>
      <c r="BK131" s="95">
        <f>IF(BJ131="","",BJ131*BH131)</f>
        <v>0</v>
      </c>
    </row>
    <row r="132" spans="47:63">
      <c r="AU132" s="20"/>
      <c r="AV132" s="21"/>
      <c r="AW132" s="22"/>
      <c r="AX132" s="22"/>
      <c r="AY132" s="23"/>
      <c r="AZ132" s="326" t="str">
        <f>IF(AY132="","",IF($AW$4=1,AY132,0))</f>
        <v/>
      </c>
      <c r="BA132" s="95"/>
      <c r="BB132" s="95" t="str">
        <f>IF(BA132="","",BA132*AY132)</f>
        <v/>
      </c>
      <c r="BD132" s="319"/>
      <c r="BE132" s="21"/>
      <c r="BF132" s="22"/>
      <c r="BG132" s="22"/>
      <c r="BH132" s="23"/>
      <c r="BI132" s="326" t="str">
        <f t="shared" si="6"/>
        <v/>
      </c>
      <c r="BJ132" s="95"/>
      <c r="BK132" s="95" t="str">
        <f t="shared" si="7"/>
        <v/>
      </c>
    </row>
    <row r="133" spans="47:63">
      <c r="AU133" s="20"/>
      <c r="AV133" s="21"/>
      <c r="AW133" s="22"/>
      <c r="AX133" s="22"/>
      <c r="AY133" s="23"/>
      <c r="AZ133" s="326" t="str">
        <f>IF(AY133="","",IF($AW$4=1,AY133,0))</f>
        <v/>
      </c>
      <c r="BA133" s="95"/>
      <c r="BB133" s="95" t="str">
        <f>IF(BA133="","",BA133*AY133)</f>
        <v/>
      </c>
      <c r="BD133" s="319"/>
      <c r="BE133" s="21"/>
      <c r="BF133" s="22"/>
      <c r="BG133" s="22"/>
      <c r="BH133" s="23"/>
      <c r="BI133" s="326" t="str">
        <f t="shared" si="6"/>
        <v/>
      </c>
      <c r="BJ133" s="95"/>
      <c r="BK133" s="95" t="str">
        <f t="shared" si="7"/>
        <v/>
      </c>
    </row>
    <row r="134" spans="47:63">
      <c r="BD134" s="319"/>
      <c r="BE134" s="21"/>
      <c r="BF134" s="22"/>
      <c r="BG134" s="22"/>
      <c r="BH134" s="23"/>
      <c r="BI134" s="326" t="str">
        <f>IF(BH134="","",IF($AW$4=0,BH134,0))</f>
        <v/>
      </c>
      <c r="BJ134" s="95"/>
      <c r="BK134" s="95" t="str">
        <f>IF(BJ134="","",BJ134*BH134)</f>
        <v/>
      </c>
    </row>
    <row r="135" spans="47:63">
      <c r="BD135" s="319"/>
      <c r="BE135" s="21"/>
      <c r="BF135" s="22"/>
      <c r="BG135" s="22"/>
      <c r="BH135" s="23"/>
      <c r="BI135" s="326" t="str">
        <f>IF(BH135="","",IF($AW$4=0,BH135,0))</f>
        <v/>
      </c>
      <c r="BJ135" s="95"/>
      <c r="BK135" s="95" t="str">
        <f>IF(BJ135="","",BJ135*BH135)</f>
        <v/>
      </c>
    </row>
  </sheetData>
  <sheetProtection algorithmName="SHA-512" hashValue="PETXBjZEssSYEDP6E7pG17nc+npJrcHjEl4GTSlGcmVz0Y9jqEikESnEP1QYdEbxEd7ftAa2U5i9fCR6nepeZw==" saltValue="qV+Xj7nMk+sMdsPbzeHI0A==" spinCount="100000" sheet="1" objects="1" scenarios="1"/>
  <mergeCells count="112">
    <mergeCell ref="Y30:Z30"/>
    <mergeCell ref="U28:V28"/>
    <mergeCell ref="W28:X28"/>
    <mergeCell ref="Y28:Z28"/>
    <mergeCell ref="AA28:AB28"/>
    <mergeCell ref="AA30:AB30"/>
    <mergeCell ref="AC30:AD30"/>
    <mergeCell ref="AN29:AO29"/>
    <mergeCell ref="B30:G30"/>
    <mergeCell ref="H30:L30"/>
    <mergeCell ref="M30:N30"/>
    <mergeCell ref="O30:P30"/>
    <mergeCell ref="Q30:R30"/>
    <mergeCell ref="S30:T30"/>
    <mergeCell ref="U30:V30"/>
    <mergeCell ref="W30:X30"/>
    <mergeCell ref="B27:G27"/>
    <mergeCell ref="H27:L27"/>
    <mergeCell ref="M27:N27"/>
    <mergeCell ref="O27:P27"/>
    <mergeCell ref="Q27:R27"/>
    <mergeCell ref="S27:T27"/>
    <mergeCell ref="AN27:AO27"/>
    <mergeCell ref="AC28:AD28"/>
    <mergeCell ref="AN28:AO28"/>
    <mergeCell ref="B28:G28"/>
    <mergeCell ref="H28:L28"/>
    <mergeCell ref="M28:N28"/>
    <mergeCell ref="O28:P28"/>
    <mergeCell ref="Q28:R28"/>
    <mergeCell ref="S28:T28"/>
    <mergeCell ref="AI25:AO25"/>
    <mergeCell ref="O26:P26"/>
    <mergeCell ref="Q26:R26"/>
    <mergeCell ref="S26:T26"/>
    <mergeCell ref="U26:V26"/>
    <mergeCell ref="W26:X26"/>
    <mergeCell ref="Y26:Z26"/>
    <mergeCell ref="AA26:AB26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B19:G19"/>
    <mergeCell ref="H19:L19"/>
    <mergeCell ref="M19:N19"/>
    <mergeCell ref="O19:P19"/>
    <mergeCell ref="Q19:R19"/>
    <mergeCell ref="S19:T19"/>
    <mergeCell ref="AN19:AO19"/>
    <mergeCell ref="B20:G20"/>
    <mergeCell ref="H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B12:E12"/>
    <mergeCell ref="F12:I12"/>
    <mergeCell ref="J12:K12"/>
    <mergeCell ref="B13:E13"/>
    <mergeCell ref="F13:I13"/>
    <mergeCell ref="J13:K13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I18:AO18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U2:Y2"/>
    <mergeCell ref="AA2:AE2"/>
    <mergeCell ref="AI2:AM2"/>
    <mergeCell ref="AO2:AR2"/>
    <mergeCell ref="B6:E6"/>
    <mergeCell ref="F6:K6"/>
    <mergeCell ref="O2:S2"/>
    <mergeCell ref="B7:E7"/>
    <mergeCell ref="F7:K7"/>
  </mergeCells>
  <conditionalFormatting sqref="BH26:BH85 AY5:AY42 BH5:BH24 AZ6:AZ126 AZ132:AZ133">
    <cfRule type="cellIs" dxfId="866" priority="35" stopIfTrue="1" operator="equal">
      <formula>0</formula>
    </cfRule>
  </conditionalFormatting>
  <conditionalFormatting sqref="AY53:AY56 AY66:AY69 AY43:AY50">
    <cfRule type="cellIs" dxfId="865" priority="32" stopIfTrue="1" operator="equal">
      <formula>0</formula>
    </cfRule>
  </conditionalFormatting>
  <conditionalFormatting sqref="O17:AF17 O19:T19 O20:AD20 W22:AF22 O27:T27 O28:AD28 O30:AD30">
    <cfRule type="expression" dxfId="864" priority="34" stopIfTrue="1">
      <formula>$AW$4=0</formula>
    </cfRule>
  </conditionalFormatting>
  <conditionalFormatting sqref="AY76:AY77 AY79 AY81:AY83">
    <cfRule type="cellIs" dxfId="863" priority="31" stopIfTrue="1" operator="equal">
      <formula>0</formula>
    </cfRule>
  </conditionalFormatting>
  <conditionalFormatting sqref="AY84">
    <cfRule type="cellIs" dxfId="862" priority="30" stopIfTrue="1" operator="equal">
      <formula>0</formula>
    </cfRule>
  </conditionalFormatting>
  <conditionalFormatting sqref="AY88:AY97">
    <cfRule type="cellIs" dxfId="861" priority="29" stopIfTrue="1" operator="equal">
      <formula>0</formula>
    </cfRule>
  </conditionalFormatting>
  <conditionalFormatting sqref="BH25">
    <cfRule type="cellIs" dxfId="860" priority="28" stopIfTrue="1" operator="equal">
      <formula>0</formula>
    </cfRule>
  </conditionalFormatting>
  <conditionalFormatting sqref="AY51:AY52">
    <cfRule type="cellIs" dxfId="859" priority="27" stopIfTrue="1" operator="equal">
      <formula>0</formula>
    </cfRule>
  </conditionalFormatting>
  <conditionalFormatting sqref="AY57:AY63">
    <cfRule type="cellIs" dxfId="858" priority="26" stopIfTrue="1" operator="equal">
      <formula>0</formula>
    </cfRule>
  </conditionalFormatting>
  <conditionalFormatting sqref="AY70:AY73">
    <cfRule type="cellIs" dxfId="857" priority="25" stopIfTrue="1" operator="equal">
      <formula>0</formula>
    </cfRule>
  </conditionalFormatting>
  <conditionalFormatting sqref="AY74">
    <cfRule type="cellIs" dxfId="856" priority="24" stopIfTrue="1" operator="equal">
      <formula>0</formula>
    </cfRule>
  </conditionalFormatting>
  <conditionalFormatting sqref="AY75">
    <cfRule type="cellIs" dxfId="855" priority="23" stopIfTrue="1" operator="equal">
      <formula>0</formula>
    </cfRule>
  </conditionalFormatting>
  <conditionalFormatting sqref="AY78">
    <cfRule type="cellIs" dxfId="854" priority="22" stopIfTrue="1" operator="equal">
      <formula>0</formula>
    </cfRule>
  </conditionalFormatting>
  <conditionalFormatting sqref="AY85:AY87">
    <cfRule type="cellIs" dxfId="853" priority="21" stopIfTrue="1" operator="equal">
      <formula>0</formula>
    </cfRule>
  </conditionalFormatting>
  <conditionalFormatting sqref="BH101:BH106">
    <cfRule type="cellIs" dxfId="852" priority="20" stopIfTrue="1" operator="equal">
      <formula>0</formula>
    </cfRule>
  </conditionalFormatting>
  <conditionalFormatting sqref="BH122:BH124 BH126 BH132:BH135">
    <cfRule type="cellIs" dxfId="851" priority="19" stopIfTrue="1" operator="equal">
      <formula>0</formula>
    </cfRule>
  </conditionalFormatting>
  <conditionalFormatting sqref="AY98:AY126 AY132:AY133">
    <cfRule type="cellIs" dxfId="850" priority="18" stopIfTrue="1" operator="equal">
      <formula>0</formula>
    </cfRule>
  </conditionalFormatting>
  <conditionalFormatting sqref="AY64:AY65">
    <cfRule type="cellIs" dxfId="849" priority="17" stopIfTrue="1" operator="equal">
      <formula>0</formula>
    </cfRule>
  </conditionalFormatting>
  <conditionalFormatting sqref="BH86:BH100">
    <cfRule type="cellIs" dxfId="848" priority="16" stopIfTrue="1" operator="equal">
      <formula>0</formula>
    </cfRule>
  </conditionalFormatting>
  <conditionalFormatting sqref="BH107:BH121">
    <cfRule type="cellIs" dxfId="847" priority="15" stopIfTrue="1" operator="equal">
      <formula>0</formula>
    </cfRule>
  </conditionalFormatting>
  <conditionalFormatting sqref="AY80">
    <cfRule type="cellIs" dxfId="846" priority="14" stopIfTrue="1" operator="equal">
      <formula>0</formula>
    </cfRule>
  </conditionalFormatting>
  <conditionalFormatting sqref="BH125">
    <cfRule type="cellIs" dxfId="845" priority="13" stopIfTrue="1" operator="equal">
      <formula>0</formula>
    </cfRule>
  </conditionalFormatting>
  <conditionalFormatting sqref="F13:K13">
    <cfRule type="expression" dxfId="844" priority="12" stopIfTrue="1">
      <formula>$AW$4=1</formula>
    </cfRule>
  </conditionalFormatting>
  <conditionalFormatting sqref="AZ5">
    <cfRule type="cellIs" dxfId="843" priority="11" stopIfTrue="1" operator="equal">
      <formula>0</formula>
    </cfRule>
  </conditionalFormatting>
  <conditionalFormatting sqref="BI5">
    <cfRule type="cellIs" dxfId="842" priority="10" stopIfTrue="1" operator="equal">
      <formula>0</formula>
    </cfRule>
  </conditionalFormatting>
  <conditionalFormatting sqref="BI6:BI126 BI132:BI135">
    <cfRule type="cellIs" dxfId="841" priority="8" stopIfTrue="1" operator="equal">
      <formula>0</formula>
    </cfRule>
  </conditionalFormatting>
  <conditionalFormatting sqref="AZ127:AZ131">
    <cfRule type="cellIs" dxfId="840" priority="7" stopIfTrue="1" operator="equal">
      <formula>0</formula>
    </cfRule>
  </conditionalFormatting>
  <conditionalFormatting sqref="AY127:AY131">
    <cfRule type="cellIs" dxfId="839" priority="6" stopIfTrue="1" operator="equal">
      <formula>0</formula>
    </cfRule>
  </conditionalFormatting>
  <conditionalFormatting sqref="BH127 BH130:BH131">
    <cfRule type="cellIs" dxfId="838" priority="5" stopIfTrue="1" operator="equal">
      <formula>0</formula>
    </cfRule>
  </conditionalFormatting>
  <conditionalFormatting sqref="BI127:BI131">
    <cfRule type="cellIs" dxfId="837" priority="4" stopIfTrue="1" operator="equal">
      <formula>0</formula>
    </cfRule>
  </conditionalFormatting>
  <conditionalFormatting sqref="BH128:BH129">
    <cfRule type="cellIs" dxfId="836" priority="3" stopIfTrue="1" operator="equal">
      <formula>0</formula>
    </cfRule>
  </conditionalFormatting>
  <conditionalFormatting sqref="AI17:AO17">
    <cfRule type="expression" dxfId="835" priority="2" stopIfTrue="1">
      <formula>$AW$4=0</formula>
    </cfRule>
  </conditionalFormatting>
  <conditionalFormatting sqref="AI25:AO25">
    <cfRule type="expression" dxfId="834" priority="1" stopIfTrue="1">
      <formula>$AW$4=0</formula>
    </cfRule>
  </conditionalFormatting>
  <hyperlinks>
    <hyperlink ref="M4" location="MENU!A1" display="MENU!A1" xr:uid="{00000000-0004-0000-0700-000000000000}"/>
    <hyperlink ref="M10" location="OBJ!A1" display="OBJ!A1" xr:uid="{00000000-0004-0000-0700-000001000000}"/>
    <hyperlink ref="M9" location="suhrn!A1" display="suhrn!A1" xr:uid="{00000000-0004-0000-0700-000002000000}"/>
    <hyperlink ref="O2:S2" location="MENU!A5" display="MENU!A5" xr:uid="{00000000-0004-0000-07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51">
    <tabColor rgb="FFFFFF00"/>
  </sheetPr>
  <dimension ref="A1:BK107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251"</f>
        <v>Zásuvka AVANTECH YOU  251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SUM(BB5:BB962)</f>
        <v>#N/A</v>
      </c>
      <c r="BD4" s="94" t="s">
        <v>34</v>
      </c>
      <c r="BK4" s="322" t="e">
        <f>SUM(BK5:BK953)</f>
        <v>#N/A</v>
      </c>
    </row>
    <row r="5" spans="1:63" ht="14.45" customHeight="1">
      <c r="AU5" s="319">
        <f>OBJ!B143</f>
        <v>9353372</v>
      </c>
      <c r="AV5" s="21" t="str">
        <f>VLOOKUP(AU5,CENY!$B$11:$G$1054,2,FALSE)</f>
        <v>AvanY-sólo oceľ.boky-NW 251/350mm/strieb.</v>
      </c>
      <c r="AW5" s="22">
        <f>VLOOKUP(AU5,CENY!$B$11:$G$1054,3,FALSE)</f>
        <v>1</v>
      </c>
      <c r="AX5" s="362">
        <v>6</v>
      </c>
      <c r="AY5" s="23">
        <f>S19+S20+S27+S28+S30</f>
        <v>0</v>
      </c>
      <c r="AZ5" s="326">
        <f>IF(AY5="","",IF($AW$4=1,AY5,0))</f>
        <v>0</v>
      </c>
      <c r="BA5" s="95">
        <f>VLOOKUP(AU5,CENY!$B$11:$M$2025,12,FALSE)</f>
        <v>55.514530000000001</v>
      </c>
      <c r="BB5" s="95">
        <f t="shared" ref="BB5:BB62" si="0">IF(BA5="","",BA5*AY5)</f>
        <v>0</v>
      </c>
      <c r="BD5" s="319">
        <f>OBJ!B152</f>
        <v>9255066</v>
      </c>
      <c r="BE5" s="21" t="str">
        <f>VLOOKUP(BD5,CENY!$B$11:$G$1054,2,FALSE)</f>
        <v>AvanY-bok ľavý /v251/h350/ strieborná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26.814820000000001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342</v>
      </c>
      <c r="G6" s="566"/>
      <c r="H6" s="566"/>
      <c r="I6" s="566"/>
      <c r="J6" s="566"/>
      <c r="K6" s="566"/>
      <c r="AU6" s="319">
        <f>OBJ!B144</f>
        <v>9353373</v>
      </c>
      <c r="AV6" s="21" t="str">
        <f>VLOOKUP(AU6,CENY!$B$11:$G$1054,2,FALSE)</f>
        <v>AvanY-sólo oceľ.boky-NW 251/400mm/strieb.</v>
      </c>
      <c r="AW6" s="22">
        <f>VLOOKUP(AU6,CENY!$B$11:$G$1054,3,FALSE)</f>
        <v>1</v>
      </c>
      <c r="AX6" s="362">
        <v>6</v>
      </c>
      <c r="AY6" s="23">
        <f>U20+U28+U30</f>
        <v>0</v>
      </c>
      <c r="AZ6" s="326">
        <f t="shared" ref="AZ6:AZ67" si="1">IF(AY6="","",IF($AW$4=1,AY6,0))</f>
        <v>0</v>
      </c>
      <c r="BA6" s="95">
        <f>VLOOKUP(AU6,CENY!$B$11:$M$2025,12,FALSE)</f>
        <v>56.399320000000003</v>
      </c>
      <c r="BB6" s="95">
        <f t="shared" si="0"/>
        <v>0</v>
      </c>
      <c r="BD6" s="319">
        <f>OBJ!B153</f>
        <v>9255067</v>
      </c>
      <c r="BE6" s="21" t="str">
        <f>VLOOKUP(BD6,CENY!$B$11:$G$1054,2,FALSE)</f>
        <v>AvanY-bok pravý /v251/h350/ strieborná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26.814820000000001</v>
      </c>
      <c r="BK6" s="95">
        <f t="shared" ref="BK6:BK66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OBJ!B145</f>
        <v>9353374</v>
      </c>
      <c r="AV7" s="21" t="str">
        <f>VLOOKUP(AU7,CENY!$B$11:$G$1054,2,FALSE)</f>
        <v>AvanY-sólo oceľ.boky-NW 251/450mm/strieb.</v>
      </c>
      <c r="AW7" s="22">
        <f>VLOOKUP(AU7,CENY!$B$11:$G$1054,3,FALSE)</f>
        <v>1</v>
      </c>
      <c r="AX7" s="362">
        <v>6</v>
      </c>
      <c r="AY7" s="23">
        <f>W20+W22+W28+W30</f>
        <v>0</v>
      </c>
      <c r="AZ7" s="326">
        <f t="shared" si="1"/>
        <v>0</v>
      </c>
      <c r="BA7" s="95">
        <f>VLOOKUP(AU7,CENY!$B$11:$M$2025,12,FALSE)</f>
        <v>54.555819999999997</v>
      </c>
      <c r="BB7" s="95">
        <f t="shared" si="0"/>
        <v>0</v>
      </c>
      <c r="BD7" s="319">
        <f>OBJ!B154</f>
        <v>9255068</v>
      </c>
      <c r="BE7" s="21" t="str">
        <f>VLOOKUP(BD7,CENY!$B$11:$G$1054,2,FALSE)</f>
        <v>AvanY-bok ľavý /v251/h400/ strieborná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27.299520000000001</v>
      </c>
      <c r="BK7" s="95">
        <f t="shared" si="3"/>
        <v>0</v>
      </c>
    </row>
    <row r="8" spans="1:63" ht="14.45" customHeigh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OBJ!B146</f>
        <v>9353375</v>
      </c>
      <c r="AV8" s="21" t="str">
        <f>VLOOKUP(AU8,CENY!$B$11:$G$1054,2,FALSE)</f>
        <v>AvanY-sólo oceľ.boky-NW 251/500mm/strieb.</v>
      </c>
      <c r="AW8" s="22">
        <f>VLOOKUP(AU8,CENY!$B$11:$G$1054,3,FALSE)</f>
        <v>1</v>
      </c>
      <c r="AX8" s="362">
        <v>8</v>
      </c>
      <c r="AY8" s="23">
        <f>Y20+Y22+Y28+Y30</f>
        <v>0</v>
      </c>
      <c r="AZ8" s="326">
        <f t="shared" si="1"/>
        <v>0</v>
      </c>
      <c r="BA8" s="95">
        <f>VLOOKUP(AU8,CENY!$B$11:$M$2025,12,FALSE)</f>
        <v>55.398299999999999</v>
      </c>
      <c r="BB8" s="95">
        <f t="shared" si="0"/>
        <v>0</v>
      </c>
      <c r="BD8" s="319">
        <f>OBJ!B155</f>
        <v>9255069</v>
      </c>
      <c r="BE8" s="21" t="str">
        <f>VLOOKUP(BD8,CENY!$B$11:$G$1054,2,FALSE)</f>
        <v>AvanY-bok pravý /v251/h400/ strieborná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27.299520000000001</v>
      </c>
      <c r="BK8" s="95">
        <f t="shared" si="3"/>
        <v>0</v>
      </c>
    </row>
    <row r="9" spans="1:63" ht="14.45" customHeight="1">
      <c r="B9" s="551"/>
      <c r="C9" s="551"/>
      <c r="D9" s="551"/>
      <c r="E9" s="551"/>
      <c r="F9" s="566"/>
      <c r="G9" s="566"/>
      <c r="H9" s="566"/>
      <c r="I9" s="566"/>
      <c r="J9" s="566"/>
      <c r="K9" s="566"/>
      <c r="AU9" s="319">
        <f>OBJ!B147</f>
        <v>9353376</v>
      </c>
      <c r="AV9" s="21" t="str">
        <f>VLOOKUP(AU9,CENY!$B$11:$G$1054,2,FALSE)</f>
        <v>AvanY-sólo oceľ.boky-NW 251/550mm/strieb.</v>
      </c>
      <c r="AW9" s="22">
        <f>VLOOKUP(AU9,CENY!$B$11:$G$1054,3,FALSE)</f>
        <v>1</v>
      </c>
      <c r="AX9" s="362">
        <v>8</v>
      </c>
      <c r="AY9" s="23">
        <f>AA20+AA22+AA28+AA30</f>
        <v>0</v>
      </c>
      <c r="AZ9" s="326">
        <f t="shared" si="1"/>
        <v>0</v>
      </c>
      <c r="BA9" s="95">
        <f>VLOOKUP(AU9,CENY!$B$11:$M$2025,12,FALSE)</f>
        <v>59.052610000000001</v>
      </c>
      <c r="BB9" s="95">
        <f t="shared" si="0"/>
        <v>0</v>
      </c>
      <c r="BD9" s="319">
        <f>OBJ!B156</f>
        <v>9255070</v>
      </c>
      <c r="BE9" s="21" t="str">
        <f>VLOOKUP(BD9,CENY!$B$11:$G$1054,2,FALSE)</f>
        <v>AvanY-bok ľavý /v251/h450/ strieborná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27.784199999999998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U10" s="319">
        <f>OBJ!B148</f>
        <v>9353377</v>
      </c>
      <c r="AV10" s="21" t="str">
        <f>VLOOKUP(AU10,CENY!$B$11:$G$1054,2,FALSE)</f>
        <v>AvanY-sólo oceľ.boky-NW 251/600mm/strieb.</v>
      </c>
      <c r="AW10" s="22">
        <f>VLOOKUP(AU10,CENY!$B$11:$G$1054,3,FALSE)</f>
        <v>1</v>
      </c>
      <c r="AX10" s="362">
        <v>8</v>
      </c>
      <c r="AY10" s="23">
        <f>AC20+AC22+AC28+AC30</f>
        <v>0</v>
      </c>
      <c r="AZ10" s="326">
        <f t="shared" si="1"/>
        <v>0</v>
      </c>
      <c r="BA10" s="95">
        <f>VLOOKUP(AU10,CENY!$B$11:$M$2025,12,FALSE)</f>
        <v>60.374200000000002</v>
      </c>
      <c r="BB10" s="95">
        <f t="shared" si="0"/>
        <v>0</v>
      </c>
      <c r="BD10" s="319">
        <f>OBJ!B157</f>
        <v>9255071</v>
      </c>
      <c r="BE10" s="21" t="str">
        <f>VLOOKUP(BD10,CENY!$B$11:$G$1054,2,FALSE)</f>
        <v>AvanY-bok pravý /v251/h450/ strieborná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27.784199999999998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OBJ!B149</f>
        <v>9353378</v>
      </c>
      <c r="AV11" s="21" t="str">
        <f>VLOOKUP(AU11,CENY!$B$11:$G$1054,2,FALSE)</f>
        <v>AvanY-sólo oceľ.boky-NW 251/650mm/strieb.</v>
      </c>
      <c r="AW11" s="22">
        <f>VLOOKUP(AU11,CENY!$B$11:$G$1054,3,FALSE)</f>
        <v>1</v>
      </c>
      <c r="AX11" s="362">
        <v>10</v>
      </c>
      <c r="AY11" s="23">
        <f>AE22</f>
        <v>0</v>
      </c>
      <c r="AZ11" s="326">
        <f t="shared" si="1"/>
        <v>0</v>
      </c>
      <c r="BA11" s="95">
        <f>VLOOKUP(AU11,CENY!$B$11:$M$2025,12,FALSE)</f>
        <v>62.219180000000001</v>
      </c>
      <c r="BB11" s="95">
        <f t="shared" si="0"/>
        <v>0</v>
      </c>
      <c r="BD11" s="319">
        <f>OBJ!B158</f>
        <v>9255072</v>
      </c>
      <c r="BE11" s="21" t="str">
        <f>VLOOKUP(BD11,CENY!$B$11:$G$1054,2,FALSE)</f>
        <v>AvanY-bok ľavý /v251/h500/ strieborná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26.922619999999998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66"/>
      <c r="G12" s="566"/>
      <c r="H12" s="566"/>
      <c r="I12" s="566"/>
      <c r="J12" s="566"/>
      <c r="K12" s="566"/>
      <c r="AU12" s="319"/>
      <c r="AV12" s="21"/>
      <c r="AW12" s="22"/>
      <c r="AX12" s="22"/>
      <c r="AY12" s="23"/>
      <c r="AZ12" s="326" t="str">
        <f t="shared" si="1"/>
        <v/>
      </c>
      <c r="BA12" s="95"/>
      <c r="BB12" s="95" t="str">
        <f t="shared" si="0"/>
        <v/>
      </c>
      <c r="BD12" s="319">
        <f>OBJ!B159</f>
        <v>9255073</v>
      </c>
      <c r="BE12" s="21" t="str">
        <f>VLOOKUP(BD12,CENY!$B$11:$G$1054,2,FALSE)</f>
        <v>AvanY-bok pravý /v251/h500/ strieborná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26.922619999999998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OBJ!B73</f>
        <v>9347504</v>
      </c>
      <c r="AV13" s="21" t="str">
        <f>VLOOKUP(AU13,CENY!$B$11:$G$1054,2,FALSE)</f>
        <v>AvanY-design ALprofil Hybrid na bok 350/ strieb.</v>
      </c>
      <c r="AW13" s="22">
        <f>VLOOKUP(AU13,CENY!$B$11:$G$1054,3,FALSE)</f>
        <v>200</v>
      </c>
      <c r="AX13" s="22"/>
      <c r="AY13" s="23">
        <f>IF(FORM!AM18=FORM!AU16,0,2*(S19+S20+S27+S28+S30))</f>
        <v>0</v>
      </c>
      <c r="AZ13" s="326">
        <f t="shared" si="1"/>
        <v>0</v>
      </c>
      <c r="BA13" s="95">
        <f>VLOOKUP(AU13,CENY!$B$11:$M$2025,12,FALSE)</f>
        <v>0.98018000000000005</v>
      </c>
      <c r="BB13" s="95">
        <f t="shared" si="0"/>
        <v>0</v>
      </c>
      <c r="BD13" s="319">
        <f>OBJ!B160</f>
        <v>9255074</v>
      </c>
      <c r="BE13" s="21" t="str">
        <f>VLOOKUP(BD13,CENY!$B$11:$G$1054,2,FALSE)</f>
        <v>AvanY-bok ľavý /v251/h550/ strieborná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28.753450000000001</v>
      </c>
      <c r="BK13" s="95">
        <f t="shared" si="3"/>
        <v>0</v>
      </c>
    </row>
    <row r="14" spans="1:63" ht="14.45" customHeight="1">
      <c r="AU14" s="319">
        <f>OBJ!B74</f>
        <v>9347505</v>
      </c>
      <c r="AV14" s="21" t="str">
        <f>VLOOKUP(AU14,CENY!$B$11:$G$1054,2,FALSE)</f>
        <v>AvanY-design ALprofil Hybrid na bok 400/ strieb.</v>
      </c>
      <c r="AW14" s="22">
        <f>VLOOKUP(AU14,CENY!$B$11:$G$1054,3,FALSE)</f>
        <v>200</v>
      </c>
      <c r="AX14" s="22"/>
      <c r="AY14" s="23">
        <f>IF(FORM!AM18=FORM!AU16,0,2*(U20+U28+U30))</f>
        <v>0</v>
      </c>
      <c r="AZ14" s="326">
        <f t="shared" si="1"/>
        <v>0</v>
      </c>
      <c r="BA14" s="95">
        <f>VLOOKUP(AU14,CENY!$B$11:$M$2025,12,FALSE)</f>
        <v>0.99777000000000005</v>
      </c>
      <c r="BB14" s="95">
        <f t="shared" si="0"/>
        <v>0</v>
      </c>
      <c r="BD14" s="319">
        <f>OBJ!B161</f>
        <v>9255075</v>
      </c>
      <c r="BE14" s="21" t="str">
        <f>VLOOKUP(BD14,CENY!$B$11:$G$1054,2,FALSE)</f>
        <v>AvanY-bok pravý /v251/h550/ strieborná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28.753450000000001</v>
      </c>
      <c r="BK14" s="95">
        <f t="shared" si="3"/>
        <v>0</v>
      </c>
    </row>
    <row r="15" spans="1:63" ht="14.45" customHeight="1">
      <c r="AU15" s="319">
        <f>OBJ!B75</f>
        <v>9347506</v>
      </c>
      <c r="AV15" s="21" t="str">
        <f>VLOOKUP(AU15,CENY!$B$11:$G$1054,2,FALSE)</f>
        <v>AvanY-design ALprofil Hybrid na bok 450/ strieb.</v>
      </c>
      <c r="AW15" s="22">
        <f>VLOOKUP(AU15,CENY!$B$11:$G$1054,3,FALSE)</f>
        <v>200</v>
      </c>
      <c r="AX15" s="22"/>
      <c r="AY15" s="23">
        <f>IF(FORM!AM18=FORM!AU16,0,2*(W20+W22+W28+W30))</f>
        <v>0</v>
      </c>
      <c r="AZ15" s="326">
        <f t="shared" si="1"/>
        <v>0</v>
      </c>
      <c r="BA15" s="95">
        <f>VLOOKUP(AU15,CENY!$B$11:$M$2025,12,FALSE)</f>
        <v>1.01556</v>
      </c>
      <c r="BB15" s="95">
        <f t="shared" si="0"/>
        <v>0</v>
      </c>
      <c r="BD15" s="319">
        <f>OBJ!B162</f>
        <v>9255076</v>
      </c>
      <c r="BE15" s="21" t="str">
        <f>VLOOKUP(BD15,CENY!$B$11:$G$1054,2,FALSE)</f>
        <v>AvanY-bok ľavý /v251/h600/ strieborná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29.484570000000001</v>
      </c>
      <c r="BK15" s="95">
        <f t="shared" si="3"/>
        <v>0</v>
      </c>
    </row>
    <row r="16" spans="1:63" ht="14.45" customHeight="1">
      <c r="AU16" s="319">
        <f>OBJ!B76</f>
        <v>9347507</v>
      </c>
      <c r="AV16" s="21" t="str">
        <f>VLOOKUP(AU16,CENY!$B$11:$G$1054,2,FALSE)</f>
        <v>AvanY-design ALprofil Hybrid na bok 500/ strieb.</v>
      </c>
      <c r="AW16" s="22">
        <f>VLOOKUP(AU16,CENY!$B$11:$G$1054,3,FALSE)</f>
        <v>200</v>
      </c>
      <c r="AX16" s="22"/>
      <c r="AY16" s="23">
        <f>IF(FORM!AM18=FORM!AU16,0,2*(Y20+Y22+Y28+Y30))</f>
        <v>0</v>
      </c>
      <c r="AZ16" s="326">
        <f t="shared" si="1"/>
        <v>0</v>
      </c>
      <c r="BA16" s="95">
        <f>VLOOKUP(AU16,CENY!$B$11:$M$2025,12,FALSE)</f>
        <v>1.0332399999999999</v>
      </c>
      <c r="BB16" s="95">
        <f t="shared" si="0"/>
        <v>0</v>
      </c>
      <c r="BD16" s="319">
        <f>OBJ!B163</f>
        <v>9255077</v>
      </c>
      <c r="BE16" s="21" t="str">
        <f>VLOOKUP(BD16,CENY!$B$11:$G$1054,2,FALSE)</f>
        <v>AvanY-bok pravý /v251/h600/ strieborná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29.484570000000001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I17" s="542" t="str">
        <f>verze!E198</f>
        <v>P2O Silent pre Actro</v>
      </c>
      <c r="AJ17" s="543"/>
      <c r="AK17" s="543"/>
      <c r="AL17" s="543"/>
      <c r="AM17" s="543"/>
      <c r="AN17" s="543"/>
      <c r="AO17" s="543"/>
      <c r="AU17" s="319">
        <f>OBJ!B77</f>
        <v>9347508</v>
      </c>
      <c r="AV17" s="21" t="str">
        <f>VLOOKUP(AU17,CENY!$B$11:$G$1054,2,FALSE)</f>
        <v>AvanY-design ALprofil Hybrid na bok 550/ strieb.</v>
      </c>
      <c r="AW17" s="22">
        <f>VLOOKUP(AU17,CENY!$B$11:$G$1054,3,FALSE)</f>
        <v>200</v>
      </c>
      <c r="AX17" s="22"/>
      <c r="AY17" s="23">
        <f>IF(FORM!AM18=FORM!AU16,0,2*(AA20+AA22+AA28+AA30))</f>
        <v>0</v>
      </c>
      <c r="AZ17" s="326">
        <f t="shared" si="1"/>
        <v>0</v>
      </c>
      <c r="BA17" s="95">
        <f>VLOOKUP(AU17,CENY!$B$11:$M$2025,12,FALSE)</f>
        <v>1.0508599999999999</v>
      </c>
      <c r="BB17" s="95">
        <f t="shared" si="0"/>
        <v>0</v>
      </c>
      <c r="BD17" s="319">
        <f>OBJ!B164</f>
        <v>9255078</v>
      </c>
      <c r="BE17" s="21" t="str">
        <f>VLOOKUP(BD17,CENY!$B$11:$G$1054,2,FALSE)</f>
        <v>AvanY-bok ľavý /v251/h650/ strieborná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30.47831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I18" s="545" t="s">
        <v>299</v>
      </c>
      <c r="AJ18" s="545"/>
      <c r="AK18" s="545"/>
      <c r="AL18" s="545"/>
      <c r="AM18" s="545"/>
      <c r="AN18" s="545"/>
      <c r="AO18" s="545"/>
      <c r="AU18" s="319">
        <f>OBJ!B78</f>
        <v>9347509</v>
      </c>
      <c r="AV18" s="21" t="str">
        <f>VLOOKUP(AU18,CENY!$B$11:$G$1054,2,FALSE)</f>
        <v>AvanY-design ALprofil Hybrid na bok 600/ strieb.</v>
      </c>
      <c r="AW18" s="22">
        <f>VLOOKUP(AU18,CENY!$B$11:$G$1054,3,FALSE)</f>
        <v>200</v>
      </c>
      <c r="AX18" s="22"/>
      <c r="AY18" s="23">
        <f>IF(FORM!AM18=FORM!AU16,0,2*(AC20+AC22+AC28+AC30))</f>
        <v>0</v>
      </c>
      <c r="AZ18" s="326">
        <f t="shared" si="1"/>
        <v>0</v>
      </c>
      <c r="BA18" s="95">
        <f>VLOOKUP(AU18,CENY!$B$11:$M$2025,12,FALSE)</f>
        <v>1.09639</v>
      </c>
      <c r="BB18" s="95">
        <f t="shared" si="0"/>
        <v>0</v>
      </c>
      <c r="BD18" s="319">
        <f>OBJ!B165</f>
        <v>9255079</v>
      </c>
      <c r="BE18" s="21" t="str">
        <f>VLOOKUP(BD18,CENY!$B$11:$G$1054,2,FALSE)</f>
        <v>AvanY-bok pravý /v251/h650/ strieborná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30.47831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71"/>
      <c r="P19" s="572"/>
      <c r="Q19" s="571"/>
      <c r="R19" s="572"/>
      <c r="S19" s="569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6"/>
      <c r="AO19" s="536"/>
      <c r="AU19" s="319">
        <f>OBJ!B79</f>
        <v>9347510</v>
      </c>
      <c r="AV19" s="21" t="str">
        <f>VLOOKUP(AU19,CENY!$B$11:$G$1054,2,FALSE)</f>
        <v>AvanY-design ALprofil Hybrid na bok 650/ strieb.</v>
      </c>
      <c r="AW19" s="22">
        <f>VLOOKUP(AU19,CENY!$B$11:$G$1054,3,FALSE)</f>
        <v>200</v>
      </c>
      <c r="AX19" s="22"/>
      <c r="AY19" s="23">
        <f>IF(FORM!AM18=FORM!AU16,0,2*(AE22))</f>
        <v>0</v>
      </c>
      <c r="AZ19" s="326">
        <f t="shared" si="1"/>
        <v>0</v>
      </c>
      <c r="BA19" s="95">
        <f>VLOOKUP(AU19,CENY!$B$11:$M$2025,12,FALSE)</f>
        <v>1.1824300000000001</v>
      </c>
      <c r="BB19" s="95">
        <f t="shared" si="0"/>
        <v>0</v>
      </c>
      <c r="BD19" s="319"/>
      <c r="BE19" s="21"/>
      <c r="BF19" s="22"/>
      <c r="BG19" s="22"/>
      <c r="BH19" s="23"/>
      <c r="BI19" s="326" t="str">
        <f t="shared" si="2"/>
        <v/>
      </c>
      <c r="BJ19" s="95"/>
      <c r="BK19" s="95" t="str">
        <f t="shared" si="3"/>
        <v/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20"/>
      <c r="P20" s="521"/>
      <c r="Q20" s="520"/>
      <c r="R20" s="521"/>
      <c r="S20" s="518"/>
      <c r="T20" s="519"/>
      <c r="U20" s="518"/>
      <c r="V20" s="519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I20" s="287"/>
      <c r="AJ20" s="288"/>
      <c r="AK20" s="287"/>
      <c r="AL20" s="288"/>
      <c r="AM20" s="286" t="s">
        <v>294</v>
      </c>
      <c r="AN20" s="522"/>
      <c r="AO20" s="522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OBJ!B141</f>
        <v>9255838</v>
      </c>
      <c r="BE20" s="21" t="str">
        <f>VLOOKUP(BD20,CENY!$B$11:$G$1054,2,FALSE)</f>
        <v>AvanY-prích.čela k naskrutk./ v187-251</v>
      </c>
      <c r="BF20" s="22">
        <f>VLOOKUP(BD20,CENY!$B$11:$G$1054,3,FALSE)</f>
        <v>200</v>
      </c>
      <c r="BG20" s="22"/>
      <c r="BH20" s="23">
        <f>2*(SUM(S19)+SUM(S20:AD20)+SUM(W22:AF22)+SUM(S27)+SUM(S28:AD28)+SUM(S30:AD30))</f>
        <v>0</v>
      </c>
      <c r="BI20" s="326">
        <f t="shared" si="2"/>
        <v>0</v>
      </c>
      <c r="BJ20" s="95">
        <f>VLOOKUP(BD20,CENY!$B$11:$M$2025,12,FALSE)</f>
        <v>2.32422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4"/>
      <c r="AO21" s="544"/>
      <c r="AU21" s="319">
        <f>OBJ!B235</f>
        <v>9318160</v>
      </c>
      <c r="AV21" s="21" t="str">
        <f>VLOOKUP(AU21,CENY!$B$11:$G$1054,2,FALSE)</f>
        <v>Actro You(S) 350/SiSy 10kg; EB21</v>
      </c>
      <c r="AW21" s="22">
        <f>VLOOKUP(AU21,CENY!$B$11:$G$1054,3,FALSE)</f>
        <v>1</v>
      </c>
      <c r="AX21" s="362">
        <v>4</v>
      </c>
      <c r="AY21" s="23">
        <f>S19</f>
        <v>0</v>
      </c>
      <c r="AZ21" s="326">
        <f t="shared" si="1"/>
        <v>0</v>
      </c>
      <c r="BA21" s="95">
        <f>VLOOKUP(AU21,CENY!$B$11:$M$2025,12,FALSE)</f>
        <v>31.62575</v>
      </c>
      <c r="BB21" s="95">
        <f t="shared" si="0"/>
        <v>0</v>
      </c>
      <c r="BD21" s="319">
        <f>OBJ!B166</f>
        <v>9257887</v>
      </c>
      <c r="BE21" s="21" t="str">
        <f>VLOOKUP(BD21,CENY!$B$11:$G$1054,2,FALSE)</f>
        <v>AvanY-stabiliz.čela k naskrutk./ v251</v>
      </c>
      <c r="BF21" s="22">
        <f>VLOOKUP(BD21,CENY!$B$11:$G$1054,3,FALSE)</f>
        <v>200</v>
      </c>
      <c r="BG21" s="22"/>
      <c r="BH21" s="23">
        <f>BH20</f>
        <v>0</v>
      </c>
      <c r="BI21" s="326">
        <f t="shared" si="2"/>
        <v>0</v>
      </c>
      <c r="BJ21" s="95">
        <f>VLOOKUP(BD21,CENY!$B$11:$M$2025,12,FALSE)</f>
        <v>0.49959999999999999</v>
      </c>
      <c r="BK21" s="95">
        <f>IF(BJ21="","",BJ21*BH21)</f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18"/>
      <c r="AF22" s="519"/>
      <c r="AI22" s="287"/>
      <c r="AJ22" s="288"/>
      <c r="AK22" s="287"/>
      <c r="AL22" s="288"/>
      <c r="AM22" s="286" t="s">
        <v>297</v>
      </c>
      <c r="AN22" s="541"/>
      <c r="AO22" s="541"/>
      <c r="AU22" s="319"/>
      <c r="AV22" s="21"/>
      <c r="AW22" s="22"/>
      <c r="AX22" s="22"/>
      <c r="AY22" s="23"/>
      <c r="AZ22" s="326" t="str">
        <f t="shared" si="1"/>
        <v/>
      </c>
      <c r="BA22" s="95"/>
      <c r="BB22" s="95" t="str">
        <f t="shared" si="0"/>
        <v/>
      </c>
      <c r="BD22" s="319">
        <f>OBJ!B48</f>
        <v>9257702</v>
      </c>
      <c r="BE22" s="21" t="str">
        <f>VLOOKUP(BD22,CENY!$B$11:$G$1054,2,FALSE)</f>
        <v>AvanY-stabilizátor chrbáta</v>
      </c>
      <c r="BF22" s="22">
        <f>VLOOKUP(BD22,CENY!$B$11:$G$1054,3,FALSE)</f>
        <v>200</v>
      </c>
      <c r="BG22" s="22"/>
      <c r="BH22" s="23">
        <f>2*(SUM(S19)+SUM(S20:AD20)+SUM(W22:AF22)+SUM(S27)+SUM(S28:AD28)+SUM(S30:AD30))</f>
        <v>0</v>
      </c>
      <c r="BI22" s="326">
        <f t="shared" si="2"/>
        <v>0</v>
      </c>
      <c r="BJ22" s="95">
        <f>VLOOKUP(BD22,CENY!$B$11:$M$2025,12,FALSE)</f>
        <v>0.74794000000000005</v>
      </c>
      <c r="BK22" s="95">
        <f t="shared" si="3"/>
        <v>0</v>
      </c>
    </row>
    <row r="23" spans="2:63" ht="14.45" customHeight="1">
      <c r="O23" s="4"/>
      <c r="P23" s="4"/>
      <c r="AU23" s="319">
        <f>OBJ!B245</f>
        <v>9318188</v>
      </c>
      <c r="AV23" s="21" t="str">
        <f>VLOOKUP(AU23,CENY!$B$11:$G$1054,2,FALSE)</f>
        <v>Actro You(L) 350/SiSy 40kg; EB21</v>
      </c>
      <c r="AW23" s="22">
        <f>VLOOKUP(AU23,CENY!$B$11:$G$1054,3,FALSE)</f>
        <v>1</v>
      </c>
      <c r="AX23" s="362">
        <v>8</v>
      </c>
      <c r="AY23" s="23">
        <f>S20</f>
        <v>0</v>
      </c>
      <c r="AZ23" s="326">
        <f t="shared" si="1"/>
        <v>0</v>
      </c>
      <c r="BA23" s="95">
        <f>VLOOKUP(AU23,CENY!$B$11:$M$2025,12,FALSE)</f>
        <v>31.62575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5" customHeight="1">
      <c r="AU24" s="319">
        <f>OBJ!B246</f>
        <v>9318190</v>
      </c>
      <c r="AV24" s="21" t="str">
        <f>VLOOKUP(AU24,CENY!$B$11:$G$1054,2,FALSE)</f>
        <v>Actro You(L) 400/SiSy 40kg; EB21</v>
      </c>
      <c r="AW24" s="22">
        <f>VLOOKUP(AU24,CENY!$B$11:$G$1054,3,FALSE)</f>
        <v>1</v>
      </c>
      <c r="AX24" s="362">
        <v>8</v>
      </c>
      <c r="AY24" s="23">
        <f>U20</f>
        <v>0</v>
      </c>
      <c r="AZ24" s="326">
        <f t="shared" si="1"/>
        <v>0</v>
      </c>
      <c r="BA24" s="95">
        <f>VLOOKUP(AU24,CENY!$B$11:$M$2025,12,FALSE)</f>
        <v>31.976389999999999</v>
      </c>
      <c r="BB24" s="95">
        <f t="shared" si="0"/>
        <v>0</v>
      </c>
      <c r="BD24" s="319">
        <f>OBJ!B73</f>
        <v>9347504</v>
      </c>
      <c r="BE24" s="21" t="str">
        <f>VLOOKUP(BD24,CENY!$B$11:$G$1054,2,FALSE)</f>
        <v>AvanY-design ALprofil Hybrid na bok 350/ strieb.</v>
      </c>
      <c r="BF24" s="22">
        <f>VLOOKUP(BD24,CENY!$B$11:$G$1054,3,FALSE)</f>
        <v>200</v>
      </c>
      <c r="BG24" s="22"/>
      <c r="BH24" s="23">
        <f>2*(S19+S20+S27+S28+S30)</f>
        <v>0</v>
      </c>
      <c r="BI24" s="326">
        <f t="shared" si="2"/>
        <v>0</v>
      </c>
      <c r="BJ24" s="95">
        <f>VLOOKUP(BD24,CENY!$B$11:$M$2025,12,FALSE)</f>
        <v>0.98018000000000005</v>
      </c>
      <c r="BK24" s="95">
        <f t="shared" si="3"/>
        <v>0</v>
      </c>
    </row>
    <row r="25" spans="2:63" ht="14.45" customHeight="1" thickBot="1">
      <c r="B25" s="2" t="s">
        <v>285</v>
      </c>
      <c r="AI25" s="542" t="str">
        <f>verze!E199</f>
        <v>P2O Silent pre Quadro</v>
      </c>
      <c r="AJ25" s="543"/>
      <c r="AK25" s="543"/>
      <c r="AL25" s="543"/>
      <c r="AM25" s="543"/>
      <c r="AN25" s="543"/>
      <c r="AO25" s="543"/>
      <c r="AU25" s="319">
        <f>OBJ!B247</f>
        <v>9318191</v>
      </c>
      <c r="AV25" s="21" t="str">
        <f>VLOOKUP(AU25,CENY!$B$11:$G$1054,2,FALSE)</f>
        <v>Actro You(L) 450/SiSy 40kg; EB21</v>
      </c>
      <c r="AW25" s="22">
        <f>VLOOKUP(AU25,CENY!$B$11:$G$1054,3,FALSE)</f>
        <v>1</v>
      </c>
      <c r="AX25" s="362">
        <v>10</v>
      </c>
      <c r="AY25" s="23">
        <f>W20</f>
        <v>0</v>
      </c>
      <c r="AZ25" s="326">
        <f t="shared" si="1"/>
        <v>0</v>
      </c>
      <c r="BA25" s="95">
        <f>VLOOKUP(AU25,CENY!$B$11:$M$2025,12,FALSE)</f>
        <v>32.324420000000003</v>
      </c>
      <c r="BB25" s="95">
        <f t="shared" si="0"/>
        <v>0</v>
      </c>
      <c r="BD25" s="319">
        <f>OBJ!B74</f>
        <v>9347505</v>
      </c>
      <c r="BE25" s="21" t="str">
        <f>VLOOKUP(BD25,CENY!$B$11:$G$1054,2,FALSE)</f>
        <v>AvanY-design ALprofil Hybrid na bok 400/ strieb.</v>
      </c>
      <c r="BF25" s="22">
        <f>VLOOKUP(BD25,CENY!$B$11:$G$1054,3,FALSE)</f>
        <v>200</v>
      </c>
      <c r="BG25" s="22"/>
      <c r="BH25" s="23">
        <f>2*(U20+U28+U30)</f>
        <v>0</v>
      </c>
      <c r="BI25" s="326">
        <f t="shared" si="2"/>
        <v>0</v>
      </c>
      <c r="BJ25" s="95">
        <f>VLOOKUP(BD25,CENY!$B$11:$M$2025,12,FALSE)</f>
        <v>0.99777000000000005</v>
      </c>
      <c r="BK25" s="95">
        <f t="shared" si="3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I26" s="545" t="s">
        <v>299</v>
      </c>
      <c r="AJ26" s="545"/>
      <c r="AK26" s="545"/>
      <c r="AL26" s="545"/>
      <c r="AM26" s="545"/>
      <c r="AN26" s="545"/>
      <c r="AO26" s="545"/>
      <c r="AU26" s="319">
        <f>OBJ!B248</f>
        <v>9318192</v>
      </c>
      <c r="AV26" s="21" t="str">
        <f>VLOOKUP(AU26,CENY!$B$11:$G$1054,2,FALSE)</f>
        <v>Actro You(L) 500/SiSy 40kg; EB21</v>
      </c>
      <c r="AW26" s="22">
        <f>VLOOKUP(AU26,CENY!$B$11:$G$1054,3,FALSE)</f>
        <v>1</v>
      </c>
      <c r="AX26" s="362">
        <v>10</v>
      </c>
      <c r="AY26" s="23">
        <f>Y20</f>
        <v>0</v>
      </c>
      <c r="AZ26" s="326">
        <f t="shared" si="1"/>
        <v>0</v>
      </c>
      <c r="BA26" s="95">
        <f>VLOOKUP(AU26,CENY!$B$11:$M$2025,12,FALSE)</f>
        <v>6.5957299999999996</v>
      </c>
      <c r="BB26" s="95">
        <f t="shared" si="0"/>
        <v>0</v>
      </c>
      <c r="BD26" s="319">
        <f>OBJ!B75</f>
        <v>9347506</v>
      </c>
      <c r="BE26" s="21" t="str">
        <f>VLOOKUP(BD26,CENY!$B$11:$G$1054,2,FALSE)</f>
        <v>AvanY-design ALprofil Hybrid na bok 450/ strieb.</v>
      </c>
      <c r="BF26" s="22">
        <f>VLOOKUP(BD26,CENY!$B$11:$G$1054,3,FALSE)</f>
        <v>200</v>
      </c>
      <c r="BG26" s="22"/>
      <c r="BH26" s="23">
        <f>2*(W20+W22+W28+W30)</f>
        <v>0</v>
      </c>
      <c r="BI26" s="326">
        <f t="shared" si="2"/>
        <v>0</v>
      </c>
      <c r="BJ26" s="95">
        <f>VLOOKUP(BD26,CENY!$B$11:$M$2025,12,FALSE)</f>
        <v>1.01556</v>
      </c>
      <c r="BK26" s="95">
        <f t="shared" si="3"/>
        <v>0</v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75"/>
      <c r="P27" s="576"/>
      <c r="Q27" s="575"/>
      <c r="R27" s="576"/>
      <c r="S27" s="569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6"/>
      <c r="AO27" s="536"/>
      <c r="AU27" s="319">
        <f>OBJ!B249</f>
        <v>9318194</v>
      </c>
      <c r="AV27" s="21" t="str">
        <f>VLOOKUP(AU27,CENY!$B$11:$G$1054,2,FALSE)</f>
        <v>Actro You(L) 550/SiSy 40kg; EB21</v>
      </c>
      <c r="AW27" s="22">
        <f>VLOOKUP(AU27,CENY!$B$11:$G$1054,3,FALSE)</f>
        <v>1</v>
      </c>
      <c r="AX27" s="362">
        <v>10</v>
      </c>
      <c r="AY27" s="23">
        <f>AA20</f>
        <v>0</v>
      </c>
      <c r="AZ27" s="326">
        <f t="shared" si="1"/>
        <v>0</v>
      </c>
      <c r="BA27" s="95">
        <f>VLOOKUP(AU27,CENY!$B$11:$M$2025,12,FALSE)</f>
        <v>6.9728000000000003</v>
      </c>
      <c r="BB27" s="95">
        <f t="shared" si="0"/>
        <v>0</v>
      </c>
      <c r="BD27" s="319">
        <f>OBJ!B76</f>
        <v>9347507</v>
      </c>
      <c r="BE27" s="21" t="str">
        <f>VLOOKUP(BD27,CENY!$B$11:$G$1054,2,FALSE)</f>
        <v>AvanY-design ALprofil Hybrid na bok 500/ strieb.</v>
      </c>
      <c r="BF27" s="22">
        <f>VLOOKUP(BD27,CENY!$B$11:$G$1054,3,FALSE)</f>
        <v>200</v>
      </c>
      <c r="BG27" s="22"/>
      <c r="BH27" s="23">
        <f>2*(Y20+Y22+Y28+Y30)</f>
        <v>0</v>
      </c>
      <c r="BI27" s="326">
        <f t="shared" si="2"/>
        <v>0</v>
      </c>
      <c r="BJ27" s="95">
        <f>VLOOKUP(BD27,CENY!$B$11:$M$2025,12,FALSE)</f>
        <v>1.0332399999999999</v>
      </c>
      <c r="BK27" s="95">
        <f t="shared" si="3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73"/>
      <c r="P28" s="574"/>
      <c r="Q28" s="573"/>
      <c r="R28" s="574"/>
      <c r="S28" s="518"/>
      <c r="T28" s="519"/>
      <c r="U28" s="518"/>
      <c r="V28" s="519"/>
      <c r="W28" s="518"/>
      <c r="X28" s="519"/>
      <c r="Y28" s="518"/>
      <c r="Z28" s="519"/>
      <c r="AA28" s="518"/>
      <c r="AB28" s="519"/>
      <c r="AC28" s="518"/>
      <c r="AD28" s="519"/>
      <c r="AI28" s="287"/>
      <c r="AJ28" s="288"/>
      <c r="AK28" s="287"/>
      <c r="AL28" s="288"/>
      <c r="AM28" s="286" t="s">
        <v>294</v>
      </c>
      <c r="AN28" s="522"/>
      <c r="AO28" s="522"/>
      <c r="AU28" s="319">
        <f>OBJ!B250</f>
        <v>9318196</v>
      </c>
      <c r="AV28" s="21" t="str">
        <f>VLOOKUP(AU28,CENY!$B$11:$G$1054,2,FALSE)</f>
        <v>Actro You(L) 600/SiSy 40kg; EB21</v>
      </c>
      <c r="AW28" s="22">
        <f>VLOOKUP(AU28,CENY!$B$11:$G$1054,3,FALSE)</f>
        <v>1</v>
      </c>
      <c r="AX28" s="362">
        <v>10</v>
      </c>
      <c r="AY28" s="23">
        <f>AC20</f>
        <v>0</v>
      </c>
      <c r="AZ28" s="326">
        <f t="shared" si="1"/>
        <v>0</v>
      </c>
      <c r="BA28" s="95">
        <f>VLOOKUP(AU28,CENY!$B$11:$M$2025,12,FALSE)</f>
        <v>34.956960000000002</v>
      </c>
      <c r="BB28" s="95">
        <f t="shared" si="0"/>
        <v>0</v>
      </c>
      <c r="BD28" s="319">
        <f>OBJ!B77</f>
        <v>9347508</v>
      </c>
      <c r="BE28" s="21" t="str">
        <f>VLOOKUP(BD28,CENY!$B$11:$G$1054,2,FALSE)</f>
        <v>AvanY-design ALprofil Hybrid na bok 550/ strieb.</v>
      </c>
      <c r="BF28" s="22">
        <f>VLOOKUP(BD28,CENY!$B$11:$G$1054,3,FALSE)</f>
        <v>200</v>
      </c>
      <c r="BG28" s="22"/>
      <c r="BH28" s="23">
        <f>2*(AA20+AA22+AA28+AA30)</f>
        <v>0</v>
      </c>
      <c r="BI28" s="326">
        <f t="shared" si="2"/>
        <v>0</v>
      </c>
      <c r="BJ28" s="95">
        <f>VLOOKUP(BD28,CENY!$B$11:$M$2025,12,FALSE)</f>
        <v>1.0508599999999999</v>
      </c>
      <c r="BK28" s="95">
        <f t="shared" si="3"/>
        <v>0</v>
      </c>
    </row>
    <row r="29" spans="2:63" ht="14.45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9"/>
      <c r="AO29" s="529"/>
      <c r="AU29" s="319"/>
      <c r="AV29" s="21"/>
      <c r="AW29" s="22"/>
      <c r="AX29" s="22"/>
      <c r="AY29" s="23"/>
      <c r="AZ29" s="326" t="str">
        <f t="shared" si="1"/>
        <v/>
      </c>
      <c r="BA29" s="95"/>
      <c r="BB29" s="95" t="str">
        <f t="shared" si="0"/>
        <v/>
      </c>
      <c r="BD29" s="319">
        <f>OBJ!B78</f>
        <v>9347509</v>
      </c>
      <c r="BE29" s="21" t="str">
        <f>VLOOKUP(BD29,CENY!$B$11:$G$1054,2,FALSE)</f>
        <v>AvanY-design ALprofil Hybrid na bok 600/ strieb.</v>
      </c>
      <c r="BF29" s="22">
        <f>VLOOKUP(BD29,CENY!$B$11:$G$1054,3,FALSE)</f>
        <v>200</v>
      </c>
      <c r="BG29" s="22"/>
      <c r="BH29" s="23">
        <f>2*(AC20+AC22+AC28+AC30)</f>
        <v>0</v>
      </c>
      <c r="BI29" s="326">
        <f t="shared" si="2"/>
        <v>0</v>
      </c>
      <c r="BJ29" s="95">
        <f>VLOOKUP(BD29,CENY!$B$11:$M$2025,12,FALSE)</f>
        <v>1.09639</v>
      </c>
      <c r="BK29" s="95">
        <f t="shared" si="3"/>
        <v>0</v>
      </c>
    </row>
    <row r="30" spans="2:63" ht="14.45" customHeight="1" thickBot="1">
      <c r="B30" s="530" t="s">
        <v>373</v>
      </c>
      <c r="C30" s="530"/>
      <c r="D30" s="530"/>
      <c r="E30" s="530"/>
      <c r="F30" s="530"/>
      <c r="G30" s="530"/>
      <c r="H30" s="531" t="str">
        <f>verze!E18</f>
        <v>plnovýsuv</v>
      </c>
      <c r="I30" s="531"/>
      <c r="J30" s="531"/>
      <c r="K30" s="531"/>
      <c r="L30" s="531"/>
      <c r="M30" s="525" t="s">
        <v>1</v>
      </c>
      <c r="N30" s="526"/>
      <c r="O30" s="283"/>
      <c r="P30" s="284"/>
      <c r="Q30" s="283"/>
      <c r="R30" s="284"/>
      <c r="S30" s="518"/>
      <c r="T30" s="519"/>
      <c r="U30" s="518"/>
      <c r="V30" s="519"/>
      <c r="W30" s="518"/>
      <c r="X30" s="519"/>
      <c r="Y30" s="518"/>
      <c r="Z30" s="519"/>
      <c r="AA30" s="518"/>
      <c r="AB30" s="519"/>
      <c r="AC30" s="567"/>
      <c r="AD30" s="568"/>
      <c r="AU30" s="319">
        <f>OBJ!B268</f>
        <v>9318215</v>
      </c>
      <c r="AV30" s="21" t="str">
        <f>VLOOKUP(AU30,CENY!$B$11:$G$1054,2,FALSE)</f>
        <v>Actro You(XL) 450/SiSy 70kg; EB21</v>
      </c>
      <c r="AW30" s="22">
        <f>VLOOKUP(AU30,CENY!$B$11:$G$1054,3,FALSE)</f>
        <v>1</v>
      </c>
      <c r="AX30" s="362">
        <v>10</v>
      </c>
      <c r="AY30" s="23">
        <f>W22</f>
        <v>0</v>
      </c>
      <c r="AZ30" s="326">
        <f t="shared" si="1"/>
        <v>0</v>
      </c>
      <c r="BA30" s="95">
        <f>VLOOKUP(AU30,CENY!$B$11:$M$2025,12,FALSE)</f>
        <v>7.9265800000000004</v>
      </c>
      <c r="BB30" s="95">
        <f t="shared" si="0"/>
        <v>0</v>
      </c>
      <c r="BD30" s="319">
        <f>OBJ!B79</f>
        <v>9347510</v>
      </c>
      <c r="BE30" s="21" t="str">
        <f>VLOOKUP(BD30,CENY!$B$11:$G$1054,2,FALSE)</f>
        <v>AvanY-design ALprofil Hybrid na bok 650/ strieb.</v>
      </c>
      <c r="BF30" s="22">
        <f>VLOOKUP(BD30,CENY!$B$11:$G$1054,3,FALSE)</f>
        <v>200</v>
      </c>
      <c r="BG30" s="22"/>
      <c r="BH30" s="23">
        <f>2*(AE22)</f>
        <v>0</v>
      </c>
      <c r="BI30" s="326">
        <f t="shared" si="2"/>
        <v>0</v>
      </c>
      <c r="BJ30" s="95">
        <f>VLOOKUP(BD30,CENY!$B$11:$M$2025,12,FALSE)</f>
        <v>1.1824300000000001</v>
      </c>
      <c r="BK30" s="95">
        <f t="shared" si="3"/>
        <v>0</v>
      </c>
    </row>
    <row r="31" spans="2:63" ht="14.45" customHeight="1">
      <c r="AU31" s="319">
        <f>OBJ!B269</f>
        <v>9318216</v>
      </c>
      <c r="AV31" s="21" t="str">
        <f>VLOOKUP(AU31,CENY!$B$11:$G$1054,2,FALSE)</f>
        <v>Actro You(XL) 500/SiSy 70kg; EB21</v>
      </c>
      <c r="AW31" s="22">
        <f>VLOOKUP(AU31,CENY!$B$11:$G$1054,3,FALSE)</f>
        <v>1</v>
      </c>
      <c r="AX31" s="362">
        <v>10</v>
      </c>
      <c r="AY31" s="23">
        <f>Y22</f>
        <v>0</v>
      </c>
      <c r="AZ31" s="326">
        <f t="shared" si="1"/>
        <v>0</v>
      </c>
      <c r="BA31" s="95">
        <f>VLOOKUP(AU31,CENY!$B$11:$M$2025,12,FALSE)</f>
        <v>39.622210000000003</v>
      </c>
      <c r="BB31" s="95">
        <f t="shared" si="0"/>
        <v>0</v>
      </c>
      <c r="BD31" s="319"/>
      <c r="BE31" s="21"/>
      <c r="BF31" s="22"/>
      <c r="BG31" s="22"/>
      <c r="BH31" s="23"/>
      <c r="BI31" s="326" t="str">
        <f t="shared" si="2"/>
        <v/>
      </c>
      <c r="BJ31" s="95"/>
      <c r="BK31" s="95" t="str">
        <f t="shared" si="3"/>
        <v/>
      </c>
    </row>
    <row r="32" spans="2:63" ht="14.45" customHeight="1">
      <c r="B32" s="366" t="str">
        <f>verze!E201</f>
        <v>SiSy = tlmenie Silent System</v>
      </c>
      <c r="AU32" s="319">
        <f>OBJ!B270</f>
        <v>9318217</v>
      </c>
      <c r="AV32" s="21" t="str">
        <f>VLOOKUP(AU32,CENY!$B$11:$G$1054,2,FALSE)</f>
        <v>Actro You(XL) 550/SiSy 70kg; EB21</v>
      </c>
      <c r="AW32" s="22">
        <f>VLOOKUP(AU32,CENY!$B$11:$G$1054,3,FALSE)</f>
        <v>1</v>
      </c>
      <c r="AX32" s="362">
        <v>10</v>
      </c>
      <c r="AY32" s="23">
        <f>AA22</f>
        <v>0</v>
      </c>
      <c r="AZ32" s="326">
        <f t="shared" si="1"/>
        <v>0</v>
      </c>
      <c r="BA32" s="95">
        <f>VLOOKUP(AU32,CENY!$B$11:$M$2025,12,FALSE)</f>
        <v>41.504899999999999</v>
      </c>
      <c r="BB32" s="95">
        <f t="shared" si="0"/>
        <v>0</v>
      </c>
      <c r="BD32" s="319">
        <f>OBJ!B240</f>
        <v>9318149</v>
      </c>
      <c r="BE32" s="21" t="str">
        <f>VLOOKUP(BD32,CENY!$B$11:$G$1054,2,FALSE)</f>
        <v>Actro You(S) 350/SiSy 10kg; EB21; ľavý</v>
      </c>
      <c r="BF32" s="22">
        <f>VLOOKUP(BD32,CENY!$B$11:$G$1054,3,FALSE)</f>
        <v>10</v>
      </c>
      <c r="BG32" s="22"/>
      <c r="BH32" s="23">
        <f>AY21</f>
        <v>0</v>
      </c>
      <c r="BI32" s="326">
        <f t="shared" si="2"/>
        <v>0</v>
      </c>
      <c r="BJ32" s="95">
        <f>VLOOKUP(BD32,CENY!$B$11:$M$2025,12,FALSE)</f>
        <v>14.37729</v>
      </c>
      <c r="BK32" s="95">
        <f t="shared" si="3"/>
        <v>0</v>
      </c>
    </row>
    <row r="33" spans="2:63" ht="14.45" customHeight="1">
      <c r="B33" s="366" t="str">
        <f>verze!E204</f>
        <v>P2O = otváranie bez úchytky Push to open</v>
      </c>
      <c r="AU33" s="319">
        <f>OBJ!B271</f>
        <v>9318218</v>
      </c>
      <c r="AV33" s="21" t="str">
        <f>VLOOKUP(AU33,CENY!$B$11:$G$1054,2,FALSE)</f>
        <v>Actro You(XL) 600/SiSy 70kg; EB21</v>
      </c>
      <c r="AW33" s="22">
        <f>VLOOKUP(AU33,CENY!$B$11:$G$1054,3,FALSE)</f>
        <v>1</v>
      </c>
      <c r="AX33" s="362">
        <v>10</v>
      </c>
      <c r="AY33" s="23">
        <f>AC22</f>
        <v>0</v>
      </c>
      <c r="AZ33" s="326">
        <f t="shared" si="1"/>
        <v>0</v>
      </c>
      <c r="BA33" s="95">
        <f>VLOOKUP(AU33,CENY!$B$11:$M$2025,12,FALSE)</f>
        <v>45.308109999999999</v>
      </c>
      <c r="BB33" s="95">
        <f t="shared" si="0"/>
        <v>0</v>
      </c>
      <c r="BD33" s="319">
        <f>OBJ!B241</f>
        <v>9318150</v>
      </c>
      <c r="BE33" s="21" t="str">
        <f>VLOOKUP(BD33,CENY!$B$11:$G$1054,2,FALSE)</f>
        <v>Actro You(S) 350/SiSy 10kg; EB21; pravý</v>
      </c>
      <c r="BF33" s="22">
        <f>VLOOKUP(BD33,CENY!$B$11:$G$1054,3,FALSE)</f>
        <v>10</v>
      </c>
      <c r="BG33" s="22"/>
      <c r="BH33" s="23">
        <f>AY21</f>
        <v>0</v>
      </c>
      <c r="BI33" s="326">
        <f t="shared" si="2"/>
        <v>0</v>
      </c>
      <c r="BJ33" s="95">
        <f>VLOOKUP(BD33,CENY!$B$11:$M$2025,12,FALSE)</f>
        <v>14.37729</v>
      </c>
      <c r="BK33" s="95">
        <f t="shared" si="3"/>
        <v>0</v>
      </c>
    </row>
    <row r="34" spans="2:63" ht="14.45" customHeight="1">
      <c r="B34" s="366" t="str">
        <f>verze!E203</f>
        <v>P2O Silent = tlmenie s otváraním bez úchytky Push to open Silent</v>
      </c>
      <c r="AU34" s="319">
        <f>OBJ!B272</f>
        <v>9318219</v>
      </c>
      <c r="AV34" s="21" t="str">
        <f>VLOOKUP(AU34,CENY!$B$11:$G$1054,2,FALSE)</f>
        <v>Actro You(XL) 650/SiSy 70kg; EB21</v>
      </c>
      <c r="AW34" s="22">
        <f>VLOOKUP(AU34,CENY!$B$11:$G$1054,3,FALSE)</f>
        <v>1</v>
      </c>
      <c r="AX34" s="362">
        <v>10</v>
      </c>
      <c r="AY34" s="23">
        <f>AE22</f>
        <v>0</v>
      </c>
      <c r="AZ34" s="326">
        <f t="shared" si="1"/>
        <v>0</v>
      </c>
      <c r="BA34" s="95">
        <f>VLOOKUP(AU34,CENY!$B$11:$M$2025,12,FALSE)</f>
        <v>47.02431</v>
      </c>
      <c r="BB34" s="95">
        <f t="shared" si="0"/>
        <v>0</v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2:63" ht="14.45" customHeight="1">
      <c r="AU35" s="319"/>
      <c r="AV35" s="21"/>
      <c r="AW35" s="22"/>
      <c r="AX35" s="22"/>
      <c r="AY35" s="23"/>
      <c r="AZ35" s="326" t="str">
        <f t="shared" si="1"/>
        <v/>
      </c>
      <c r="BA35" s="95"/>
      <c r="BB35" s="95" t="str">
        <f t="shared" si="0"/>
        <v/>
      </c>
      <c r="BD35" s="319">
        <f>OBJ!B255</f>
        <v>9318173</v>
      </c>
      <c r="BE35" s="21" t="str">
        <f>VLOOKUP(BD35,CENY!$B$11:$G$1054,2,FALSE)</f>
        <v>Actro You(L) 350/SiSy 40kg; EB21; ľavý</v>
      </c>
      <c r="BF35" s="22">
        <f>VLOOKUP(BD35,CENY!$B$11:$G$1054,3,FALSE)</f>
        <v>10</v>
      </c>
      <c r="BG35" s="22"/>
      <c r="BH35" s="23">
        <f>AY23</f>
        <v>0</v>
      </c>
      <c r="BI35" s="326">
        <f t="shared" si="2"/>
        <v>0</v>
      </c>
      <c r="BJ35" s="95">
        <f>VLOOKUP(BD35,CENY!$B$11:$M$2025,12,FALSE)</f>
        <v>14.37729</v>
      </c>
      <c r="BK35" s="95">
        <f t="shared" si="3"/>
        <v>0</v>
      </c>
    </row>
    <row r="36" spans="2:63" ht="14.45" customHeight="1">
      <c r="AU36" s="319">
        <f>OBJ!B284</f>
        <v>9257890</v>
      </c>
      <c r="AV36" s="21" t="str">
        <f>VLOOKUP(AU36,CENY!$B$11:$G$1054,2,FALSE)</f>
        <v>Actro You - Push to open Silent; &lt;10kg</v>
      </c>
      <c r="AW36" s="22">
        <f>VLOOKUP(AU36,CENY!$B$11:$G$1054,3,FALSE)</f>
        <v>1</v>
      </c>
      <c r="AX36" s="22"/>
      <c r="AY36" s="23">
        <f>AN19</f>
        <v>0</v>
      </c>
      <c r="AZ36" s="326">
        <f t="shared" si="1"/>
        <v>0</v>
      </c>
      <c r="BA36" s="95">
        <f>VLOOKUP(AU36,CENY!$B$11:$M$2025,12,FALSE)</f>
        <v>23.177009999999999</v>
      </c>
      <c r="BB36" s="95">
        <f t="shared" si="0"/>
        <v>0</v>
      </c>
      <c r="BD36" s="319">
        <f>OBJ!B256</f>
        <v>9318174</v>
      </c>
      <c r="BE36" s="21" t="str">
        <f>VLOOKUP(BD36,CENY!$B$11:$G$1054,2,FALSE)</f>
        <v>Actro You(L) 350/SiSy 40kg; EB21; pravý</v>
      </c>
      <c r="BF36" s="22">
        <f>VLOOKUP(BD36,CENY!$B$11:$G$1054,3,FALSE)</f>
        <v>10</v>
      </c>
      <c r="BG36" s="22"/>
      <c r="BH36" s="23">
        <f>AY23</f>
        <v>0</v>
      </c>
      <c r="BI36" s="326">
        <f t="shared" si="2"/>
        <v>0</v>
      </c>
      <c r="BJ36" s="95" t="e">
        <f>VLOOKUP(BD36,CENY!$B$11:$M$2025,12,FALSE)</f>
        <v>#N/A</v>
      </c>
      <c r="BK36" s="95" t="e">
        <f t="shared" si="3"/>
        <v>#N/A</v>
      </c>
    </row>
    <row r="37" spans="2:63" ht="14.45" customHeight="1">
      <c r="AU37" s="319">
        <f>OBJ!B285</f>
        <v>9257891</v>
      </c>
      <c r="AV37" s="21" t="str">
        <f>VLOOKUP(AU37,CENY!$B$11:$G$1054,2,FALSE)</f>
        <v>Actro You - Push to open Silent; 8-20kg</v>
      </c>
      <c r="AW37" s="22">
        <f>VLOOKUP(AU37,CENY!$B$11:$G$1054,3,FALSE)</f>
        <v>1</v>
      </c>
      <c r="AX37" s="22"/>
      <c r="AY37" s="23">
        <f>AN20</f>
        <v>0</v>
      </c>
      <c r="AZ37" s="326">
        <f t="shared" si="1"/>
        <v>0</v>
      </c>
      <c r="BA37" s="95">
        <f>VLOOKUP(AU37,CENY!$B$11:$M$2025,12,FALSE)</f>
        <v>23.177009999999999</v>
      </c>
      <c r="BB37" s="95">
        <f t="shared" si="0"/>
        <v>0</v>
      </c>
      <c r="BD37" s="319">
        <f>OBJ!B257</f>
        <v>9318175</v>
      </c>
      <c r="BE37" s="21" t="str">
        <f>VLOOKUP(BD37,CENY!$B$11:$G$1054,2,FALSE)</f>
        <v>Actro You(L) 400/SiSy 40kg; EB21; ľavý</v>
      </c>
      <c r="BF37" s="22">
        <f>VLOOKUP(BD37,CENY!$B$11:$G$1054,3,FALSE)</f>
        <v>10</v>
      </c>
      <c r="BG37" s="22"/>
      <c r="BH37" s="23">
        <f>AY24</f>
        <v>0</v>
      </c>
      <c r="BI37" s="326">
        <f t="shared" si="2"/>
        <v>0</v>
      </c>
      <c r="BJ37" s="95">
        <f>VLOOKUP(BD37,CENY!$B$11:$M$2025,12,FALSE)</f>
        <v>14.56085</v>
      </c>
      <c r="BK37" s="95">
        <f t="shared" si="3"/>
        <v>0</v>
      </c>
    </row>
    <row r="38" spans="2:63" ht="14.45" customHeight="1">
      <c r="AU38" s="319">
        <f>OBJ!B286</f>
        <v>9257892</v>
      </c>
      <c r="AV38" s="21" t="str">
        <f>VLOOKUP(AU38,CENY!$B$11:$G$1054,2,FALSE)</f>
        <v>Actro You - Push to open Silent; 10-40kg</v>
      </c>
      <c r="AW38" s="22">
        <f>VLOOKUP(AU38,CENY!$B$11:$G$1054,3,FALSE)</f>
        <v>1</v>
      </c>
      <c r="AX38" s="22"/>
      <c r="AY38" s="23">
        <f>AN21</f>
        <v>0</v>
      </c>
      <c r="AZ38" s="326">
        <f t="shared" si="1"/>
        <v>0</v>
      </c>
      <c r="BA38" s="95">
        <f>VLOOKUP(AU38,CENY!$B$11:$M$2025,12,FALSE)</f>
        <v>23.177009999999999</v>
      </c>
      <c r="BB38" s="95">
        <f t="shared" si="0"/>
        <v>0</v>
      </c>
      <c r="BD38" s="319">
        <f>OBJ!B258</f>
        <v>9318176</v>
      </c>
      <c r="BE38" s="21" t="str">
        <f>VLOOKUP(BD38,CENY!$B$11:$G$1054,2,FALSE)</f>
        <v>Actro You(L) 400/SiSy 40kg; EB21; pravý</v>
      </c>
      <c r="BF38" s="22">
        <f>VLOOKUP(BD38,CENY!$B$11:$G$1054,3,FALSE)</f>
        <v>10</v>
      </c>
      <c r="BG38" s="22"/>
      <c r="BH38" s="23">
        <f>AY24</f>
        <v>0</v>
      </c>
      <c r="BI38" s="326">
        <f t="shared" si="2"/>
        <v>0</v>
      </c>
      <c r="BJ38" s="95">
        <f>VLOOKUP(BD38,CENY!$B$11:$M$2025,12,FALSE)</f>
        <v>14.56085</v>
      </c>
      <c r="BK38" s="95">
        <f t="shared" si="3"/>
        <v>0</v>
      </c>
    </row>
    <row r="39" spans="2:63" ht="14.45" customHeight="1">
      <c r="AU39" s="319">
        <f>OBJ!B287</f>
        <v>9257893</v>
      </c>
      <c r="AV39" s="21" t="str">
        <f>VLOOKUP(AU39,CENY!$B$11:$G$1054,2,FALSE)</f>
        <v>Actro You - Push to open Silent; 20-70kg</v>
      </c>
      <c r="AW39" s="22">
        <f>VLOOKUP(AU39,CENY!$B$11:$G$1054,3,FALSE)</f>
        <v>1</v>
      </c>
      <c r="AX39" s="22"/>
      <c r="AY39" s="23">
        <f>AN22</f>
        <v>0</v>
      </c>
      <c r="AZ39" s="326">
        <f t="shared" si="1"/>
        <v>0</v>
      </c>
      <c r="BA39" s="95">
        <f>VLOOKUP(AU39,CENY!$B$11:$M$2025,12,FALSE)</f>
        <v>23.177009999999999</v>
      </c>
      <c r="BB39" s="95">
        <f t="shared" si="0"/>
        <v>0</v>
      </c>
      <c r="BD39" s="319">
        <f>OBJ!B259</f>
        <v>9318177</v>
      </c>
      <c r="BE39" s="21" t="str">
        <f>VLOOKUP(BD39,CENY!$B$11:$G$1054,2,FALSE)</f>
        <v>Actro You(L) 450/SiSy 40kg; EB21; ľavý</v>
      </c>
      <c r="BF39" s="22">
        <f>VLOOKUP(BD39,CENY!$B$11:$G$1054,3,FALSE)</f>
        <v>10</v>
      </c>
      <c r="BG39" s="22"/>
      <c r="BH39" s="23">
        <f>AY25</f>
        <v>0</v>
      </c>
      <c r="BI39" s="326">
        <f t="shared" si="2"/>
        <v>0</v>
      </c>
      <c r="BJ39" s="95" t="e">
        <f>VLOOKUP(BD39,CENY!$B$11:$M$2025,12,FALSE)</f>
        <v>#N/A</v>
      </c>
      <c r="BK39" s="95" t="e">
        <f t="shared" si="3"/>
        <v>#N/A</v>
      </c>
    </row>
    <row r="40" spans="2:63" ht="14.45" customHeight="1">
      <c r="AU40" s="319">
        <f>OBJ!B288</f>
        <v>9236718</v>
      </c>
      <c r="AV40" s="21" t="str">
        <f>VLOOKUP(AU40,CENY!$B$11:$G$1054,2,FALSE)</f>
        <v>Push to open Synchro / tyč 2.000 mm</v>
      </c>
      <c r="AW40" s="22">
        <f>VLOOKUP(AU40,CENY!$B$11:$G$1054,3,FALSE)</f>
        <v>100</v>
      </c>
      <c r="AX40" s="22"/>
      <c r="AY40" s="23">
        <f>SUM(AN19:AO22)+SUM(AN27:AO29)+SUM(S30:AD30)</f>
        <v>0</v>
      </c>
      <c r="AZ40" s="326">
        <f t="shared" si="1"/>
        <v>0</v>
      </c>
      <c r="BA40" s="95">
        <f>VLOOKUP(AU40,CENY!$B$11:$M$2025,12,FALSE)</f>
        <v>8.7567500000000003</v>
      </c>
      <c r="BB40" s="95">
        <f t="shared" si="0"/>
        <v>0</v>
      </c>
      <c r="BD40" s="319">
        <f>OBJ!B260</f>
        <v>9318178</v>
      </c>
      <c r="BE40" s="21" t="str">
        <f>VLOOKUP(BD40,CENY!$B$11:$G$1054,2,FALSE)</f>
        <v>Actro You(L) 450/SiSy 40kg; EB21; pravý</v>
      </c>
      <c r="BF40" s="22">
        <f>VLOOKUP(BD40,CENY!$B$11:$G$1054,3,FALSE)</f>
        <v>10</v>
      </c>
      <c r="BG40" s="22"/>
      <c r="BH40" s="23">
        <f>AY25</f>
        <v>0</v>
      </c>
      <c r="BI40" s="326">
        <f t="shared" si="2"/>
        <v>0</v>
      </c>
      <c r="BJ40" s="95">
        <f>VLOOKUP(BD40,CENY!$B$11:$M$2025,12,FALSE)</f>
        <v>14.040839999999999</v>
      </c>
      <c r="BK40" s="95">
        <f t="shared" si="3"/>
        <v>0</v>
      </c>
    </row>
    <row r="41" spans="2:63" ht="14.45" customHeight="1">
      <c r="AU41" s="319"/>
      <c r="AV41" s="21"/>
      <c r="AW41" s="22"/>
      <c r="AX41" s="22"/>
      <c r="AY41" s="23"/>
      <c r="AZ41" s="326" t="str">
        <f t="shared" si="1"/>
        <v/>
      </c>
      <c r="BA41" s="95"/>
      <c r="BB41" s="95" t="str">
        <f t="shared" si="0"/>
        <v/>
      </c>
      <c r="BD41" s="319">
        <f>OBJ!B261</f>
        <v>9318179</v>
      </c>
      <c r="BE41" s="21" t="str">
        <f>VLOOKUP(BD41,CENY!$B$11:$G$1054,2,FALSE)</f>
        <v>Actro You(L) 500/SiSy 40kg; EB21; ľavý</v>
      </c>
      <c r="BF41" s="22">
        <f>VLOOKUP(BD41,CENY!$B$11:$G$1054,3,FALSE)</f>
        <v>10</v>
      </c>
      <c r="BG41" s="22"/>
      <c r="BH41" s="23">
        <f>AY26</f>
        <v>0</v>
      </c>
      <c r="BI41" s="326">
        <f t="shared" si="2"/>
        <v>0</v>
      </c>
      <c r="BJ41" s="95">
        <f>VLOOKUP(BD41,CENY!$B$11:$M$2025,12,FALSE)</f>
        <v>13.931559999999999</v>
      </c>
      <c r="BK41" s="95">
        <f t="shared" si="3"/>
        <v>0</v>
      </c>
    </row>
    <row r="42" spans="2:63" ht="14.45" customHeight="1">
      <c r="AU42" s="319">
        <f>OBJ!B296</f>
        <v>9256956</v>
      </c>
      <c r="AV42" s="21" t="str">
        <f>VLOOKUP(AU42,CENY!$B$11:$G$1054,2,FALSE)</f>
        <v>Quadro You(S) 350/SiSy 10kg; EB21</v>
      </c>
      <c r="AW42" s="22">
        <f>VLOOKUP(AU42,CENY!$B$11:$G$1054,3,FALSE)</f>
        <v>1</v>
      </c>
      <c r="AX42" s="362">
        <v>4</v>
      </c>
      <c r="AY42" s="23">
        <f>S27</f>
        <v>0</v>
      </c>
      <c r="AZ42" s="326">
        <f t="shared" si="1"/>
        <v>0</v>
      </c>
      <c r="BA42" s="95">
        <f>VLOOKUP(AU42,CENY!$B$11:$M$2025,12,FALSE)</f>
        <v>23.536069999999999</v>
      </c>
      <c r="BB42" s="95">
        <f t="shared" si="0"/>
        <v>0</v>
      </c>
      <c r="BD42" s="319">
        <f>OBJ!B262</f>
        <v>9318180</v>
      </c>
      <c r="BE42" s="21" t="str">
        <f>VLOOKUP(BD42,CENY!$B$11:$G$1054,2,FALSE)</f>
        <v>Actro You(L) 500/SiSy 40kg; EB21; pravý</v>
      </c>
      <c r="BF42" s="22">
        <f>VLOOKUP(BD42,CENY!$B$11:$G$1054,3,FALSE)</f>
        <v>10</v>
      </c>
      <c r="BG42" s="22"/>
      <c r="BH42" s="23">
        <f>AY26</f>
        <v>0</v>
      </c>
      <c r="BI42" s="326">
        <f t="shared" si="2"/>
        <v>0</v>
      </c>
      <c r="BJ42" s="95">
        <f>VLOOKUP(BD42,CENY!$B$11:$M$2025,12,FALSE)</f>
        <v>13.931559999999999</v>
      </c>
      <c r="BK42" s="95">
        <f t="shared" si="3"/>
        <v>0</v>
      </c>
    </row>
    <row r="43" spans="2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OBJ!B263</f>
        <v>9318181</v>
      </c>
      <c r="BE43" s="21" t="str">
        <f>VLOOKUP(BD43,CENY!$B$11:$G$1054,2,FALSE)</f>
        <v>Actro You(L) 550/SiSy 40kg; EB21; ľavý</v>
      </c>
      <c r="BF43" s="22">
        <f>VLOOKUP(BD43,CENY!$B$11:$G$1054,3,FALSE)</f>
        <v>10</v>
      </c>
      <c r="BG43" s="22"/>
      <c r="BH43" s="23">
        <f>AY27</f>
        <v>0</v>
      </c>
      <c r="BI43" s="326">
        <f t="shared" si="2"/>
        <v>0</v>
      </c>
      <c r="BJ43" s="95">
        <f>VLOOKUP(BD43,CENY!$B$11:$M$2025,12,FALSE)</f>
        <v>15.147040000000001</v>
      </c>
      <c r="BK43" s="95">
        <f t="shared" si="3"/>
        <v>0</v>
      </c>
    </row>
    <row r="44" spans="2:63" ht="14.45" customHeight="1">
      <c r="AU44" s="319">
        <f>OBJ!B306</f>
        <v>9256886</v>
      </c>
      <c r="AV44" s="21" t="str">
        <f>VLOOKUP(AU44,CENY!$B$11:$G$1054,2,FALSE)</f>
        <v>Quadro You(M) 350/SiSy 25kg; EB21</v>
      </c>
      <c r="AW44" s="22">
        <f>VLOOKUP(AU44,CENY!$B$11:$G$1054,3,FALSE)</f>
        <v>1</v>
      </c>
      <c r="AX44" s="362">
        <v>8</v>
      </c>
      <c r="AY44" s="23">
        <f>S28</f>
        <v>0</v>
      </c>
      <c r="AZ44" s="326">
        <f t="shared" si="1"/>
        <v>0</v>
      </c>
      <c r="BA44" s="95" t="e">
        <f>VLOOKUP(AU44,CENY!$B$11:$M$2025,12,FALSE)</f>
        <v>#N/A</v>
      </c>
      <c r="BB44" s="95" t="e">
        <f t="shared" si="0"/>
        <v>#N/A</v>
      </c>
      <c r="BD44" s="319">
        <f>OBJ!B264</f>
        <v>9318182</v>
      </c>
      <c r="BE44" s="21" t="str">
        <f>VLOOKUP(BD44,CENY!$B$11:$G$1054,2,FALSE)</f>
        <v>Actro You(L) 550/SiSy 40kg; EB21; pravý</v>
      </c>
      <c r="BF44" s="22">
        <f>VLOOKUP(BD44,CENY!$B$11:$G$1054,3,FALSE)</f>
        <v>10</v>
      </c>
      <c r="BG44" s="22"/>
      <c r="BH44" s="23">
        <f>AY27</f>
        <v>0</v>
      </c>
      <c r="BI44" s="326">
        <f t="shared" si="2"/>
        <v>0</v>
      </c>
      <c r="BJ44" s="95">
        <f>VLOOKUP(BD44,CENY!$B$11:$M$2025,12,FALSE)</f>
        <v>15.147040000000001</v>
      </c>
      <c r="BK44" s="95">
        <f t="shared" si="3"/>
        <v>0</v>
      </c>
    </row>
    <row r="45" spans="2:63" ht="14.45" customHeight="1">
      <c r="AU45" s="319">
        <f>OBJ!B307</f>
        <v>9256888</v>
      </c>
      <c r="AV45" s="21" t="str">
        <f>VLOOKUP(AU45,CENY!$B$11:$G$1054,2,FALSE)</f>
        <v>Quadro You(M) 400/SiSy 30kg; EB21</v>
      </c>
      <c r="AW45" s="22">
        <f>VLOOKUP(AU45,CENY!$B$11:$G$1054,3,FALSE)</f>
        <v>1</v>
      </c>
      <c r="AX45" s="362">
        <v>8</v>
      </c>
      <c r="AY45" s="23">
        <f>U28</f>
        <v>0</v>
      </c>
      <c r="AZ45" s="326">
        <f t="shared" si="1"/>
        <v>0</v>
      </c>
      <c r="BA45" s="95">
        <f>VLOOKUP(AU45,CENY!$B$11:$M$2025,12,FALSE)</f>
        <v>24.002659999999999</v>
      </c>
      <c r="BB45" s="95">
        <f t="shared" si="0"/>
        <v>0</v>
      </c>
      <c r="BD45" s="319">
        <f>OBJ!B265</f>
        <v>9318183</v>
      </c>
      <c r="BE45" s="21" t="str">
        <f>VLOOKUP(BD45,CENY!$B$11:$G$1054,2,FALSE)</f>
        <v>Actro You(L) 600/SiSy 40kg; EB21; ľavý</v>
      </c>
      <c r="BF45" s="22">
        <f>VLOOKUP(BD45,CENY!$B$11:$G$1054,3,FALSE)</f>
        <v>10</v>
      </c>
      <c r="BG45" s="22"/>
      <c r="BH45" s="23">
        <f>AY28</f>
        <v>0</v>
      </c>
      <c r="BI45" s="326">
        <f t="shared" si="2"/>
        <v>0</v>
      </c>
      <c r="BJ45" s="95">
        <f>VLOOKUP(BD45,CENY!$B$11:$M$2025,12,FALSE)</f>
        <v>15.35308</v>
      </c>
      <c r="BK45" s="95">
        <f t="shared" si="3"/>
        <v>0</v>
      </c>
    </row>
    <row r="46" spans="2:63" ht="14.45" customHeight="1">
      <c r="AU46" s="319">
        <f>OBJ!B308</f>
        <v>9256890</v>
      </c>
      <c r="AV46" s="21" t="str">
        <f>VLOOKUP(AU46,CENY!$B$11:$G$1054,2,FALSE)</f>
        <v>Quadro You(M) 450/SiSy 30kg; EB21</v>
      </c>
      <c r="AW46" s="22">
        <f>VLOOKUP(AU46,CENY!$B$11:$G$1054,3,FALSE)</f>
        <v>1</v>
      </c>
      <c r="AX46" s="362">
        <v>8</v>
      </c>
      <c r="AY46" s="23">
        <f>W28</f>
        <v>0</v>
      </c>
      <c r="AZ46" s="326">
        <f t="shared" si="1"/>
        <v>0</v>
      </c>
      <c r="BA46" s="95">
        <f>VLOOKUP(AU46,CENY!$B$11:$M$2025,12,FALSE)</f>
        <v>4.9393000000000002</v>
      </c>
      <c r="BB46" s="95">
        <f t="shared" si="0"/>
        <v>0</v>
      </c>
      <c r="BD46" s="319">
        <f>OBJ!B266</f>
        <v>9318184</v>
      </c>
      <c r="BE46" s="21" t="str">
        <f>VLOOKUP(BD46,CENY!$B$11:$G$1054,2,FALSE)</f>
        <v>Actro You(L) 600/SiSy 40kg; EB21; pravý</v>
      </c>
      <c r="BF46" s="22">
        <f>VLOOKUP(BD46,CENY!$B$11:$G$1054,3,FALSE)</f>
        <v>10</v>
      </c>
      <c r="BG46" s="22"/>
      <c r="BH46" s="23">
        <f>AY28</f>
        <v>0</v>
      </c>
      <c r="BI46" s="326">
        <f t="shared" si="2"/>
        <v>0</v>
      </c>
      <c r="BJ46" s="95" t="e">
        <f>VLOOKUP(BD46,CENY!$B$11:$M$2025,12,FALSE)</f>
        <v>#N/A</v>
      </c>
      <c r="BK46" s="95" t="e">
        <f t="shared" si="3"/>
        <v>#N/A</v>
      </c>
    </row>
    <row r="47" spans="2:63" ht="14.45" customHeight="1">
      <c r="AU47" s="319">
        <f>OBJ!B309</f>
        <v>9256892</v>
      </c>
      <c r="AV47" s="21" t="str">
        <f>VLOOKUP(AU47,CENY!$B$11:$G$1054,2,FALSE)</f>
        <v>Quadro You(M) 500/SiSy 30kg; EB21</v>
      </c>
      <c r="AW47" s="22">
        <f>VLOOKUP(AU47,CENY!$B$11:$G$1054,3,FALSE)</f>
        <v>1</v>
      </c>
      <c r="AX47" s="362">
        <v>8</v>
      </c>
      <c r="AY47" s="23">
        <f>Y28</f>
        <v>0</v>
      </c>
      <c r="AZ47" s="326">
        <f t="shared" si="1"/>
        <v>0</v>
      </c>
      <c r="BA47" s="95">
        <f>VLOOKUP(AU47,CENY!$B$11:$M$2025,12,FALSE)</f>
        <v>23.748699999999999</v>
      </c>
      <c r="BB47" s="95">
        <f t="shared" si="0"/>
        <v>0</v>
      </c>
      <c r="BD47" s="319"/>
      <c r="BE47" s="21"/>
      <c r="BF47" s="22"/>
      <c r="BG47" s="22"/>
      <c r="BH47" s="23"/>
      <c r="BI47" s="326" t="str">
        <f t="shared" si="2"/>
        <v/>
      </c>
      <c r="BJ47" s="95"/>
      <c r="BK47" s="95" t="str">
        <f t="shared" si="3"/>
        <v/>
      </c>
    </row>
    <row r="48" spans="2:63" ht="14.45" customHeight="1">
      <c r="AU48" s="319">
        <f>OBJ!B310</f>
        <v>9256894</v>
      </c>
      <c r="AV48" s="21" t="str">
        <f>VLOOKUP(AU48,CENY!$B$11:$G$1054,2,FALSE)</f>
        <v>Quadro You(M) 550/SiSy 30kg; EB21</v>
      </c>
      <c r="AW48" s="22">
        <f>VLOOKUP(AU48,CENY!$B$11:$G$1054,3,FALSE)</f>
        <v>1</v>
      </c>
      <c r="AX48" s="362">
        <v>8</v>
      </c>
      <c r="AY48" s="23">
        <f>AA28</f>
        <v>0</v>
      </c>
      <c r="AZ48" s="326">
        <f t="shared" si="1"/>
        <v>0</v>
      </c>
      <c r="BA48" s="95">
        <f>VLOOKUP(AU48,CENY!$B$11:$M$2025,12,FALSE)</f>
        <v>5.1277499999999998</v>
      </c>
      <c r="BB48" s="95">
        <f t="shared" si="0"/>
        <v>0</v>
      </c>
      <c r="BD48" s="319">
        <f>OBJ!B273</f>
        <v>9318198</v>
      </c>
      <c r="BE48" s="21" t="str">
        <f>VLOOKUP(BD48,CENY!$B$11:$G$1054,2,FALSE)</f>
        <v>Actro You(XL) 450/SiSy 70kg; EB21; ľavý</v>
      </c>
      <c r="BF48" s="22">
        <f>VLOOKUP(BD48,CENY!$B$11:$G$1054,3,FALSE)</f>
        <v>10</v>
      </c>
      <c r="BG48" s="22"/>
      <c r="BH48" s="23">
        <f>AY30</f>
        <v>0</v>
      </c>
      <c r="BI48" s="326">
        <f t="shared" si="2"/>
        <v>0</v>
      </c>
      <c r="BJ48" s="95" t="e">
        <f>VLOOKUP(BD48,CENY!$B$11:$M$2025,12,FALSE)</f>
        <v>#N/A</v>
      </c>
      <c r="BK48" s="95" t="e">
        <f t="shared" si="3"/>
        <v>#N/A</v>
      </c>
    </row>
    <row r="49" spans="47:63" ht="14.45" customHeight="1">
      <c r="AU49" s="319">
        <f>OBJ!B311</f>
        <v>9256896</v>
      </c>
      <c r="AV49" s="21" t="str">
        <f>VLOOKUP(AU49,CENY!$B$11:$G$1054,2,FALSE)</f>
        <v>Quadro You(M) 600/SiSy 25kg; EB21</v>
      </c>
      <c r="AW49" s="22">
        <f>VLOOKUP(AU49,CENY!$B$11:$G$1054,3,FALSE)</f>
        <v>1</v>
      </c>
      <c r="AX49" s="362">
        <v>8</v>
      </c>
      <c r="AY49" s="23">
        <f>AC28</f>
        <v>0</v>
      </c>
      <c r="AZ49" s="326">
        <f t="shared" si="1"/>
        <v>0</v>
      </c>
      <c r="BA49" s="95">
        <f>VLOOKUP(AU49,CENY!$B$11:$M$2025,12,FALSE)</f>
        <v>25.86984</v>
      </c>
      <c r="BB49" s="95">
        <f t="shared" si="0"/>
        <v>0</v>
      </c>
      <c r="BD49" s="319">
        <f>OBJ!B274</f>
        <v>9318199</v>
      </c>
      <c r="BE49" s="21" t="str">
        <f>VLOOKUP(BD49,CENY!$B$11:$G$1054,2,FALSE)</f>
        <v>Actro You(XL) 450/SiSy 70kg; EB21; pravý</v>
      </c>
      <c r="BF49" s="22">
        <f>VLOOKUP(BD49,CENY!$B$11:$G$1054,3,FALSE)</f>
        <v>10</v>
      </c>
      <c r="BG49" s="22"/>
      <c r="BH49" s="23">
        <f>AY30</f>
        <v>0</v>
      </c>
      <c r="BI49" s="326">
        <f t="shared" si="2"/>
        <v>0</v>
      </c>
      <c r="BJ49" s="95" t="e">
        <f>VLOOKUP(BD49,CENY!$B$11:$M$2025,12,FALSE)</f>
        <v>#N/A</v>
      </c>
      <c r="BK49" s="95" t="e">
        <f t="shared" si="3"/>
        <v>#N/A</v>
      </c>
    </row>
    <row r="50" spans="47:63" ht="14.45" customHeight="1">
      <c r="AU50" s="319"/>
      <c r="AV50" s="21"/>
      <c r="AW50" s="22"/>
      <c r="AX50" s="22"/>
      <c r="AY50" s="23"/>
      <c r="AZ50" s="326" t="str">
        <f t="shared" si="1"/>
        <v/>
      </c>
      <c r="BA50" s="95"/>
      <c r="BB50" s="95" t="str">
        <f t="shared" si="0"/>
        <v/>
      </c>
      <c r="BD50" s="319">
        <f>OBJ!B275</f>
        <v>9318201</v>
      </c>
      <c r="BE50" s="21" t="str">
        <f>VLOOKUP(BD50,CENY!$B$11:$G$1054,2,FALSE)</f>
        <v>Actro You(XL) 500/SiSy 70kg; EB21; ľavý</v>
      </c>
      <c r="BF50" s="22">
        <f>VLOOKUP(BD50,CENY!$B$11:$G$1054,3,FALSE)</f>
        <v>10</v>
      </c>
      <c r="BG50" s="22"/>
      <c r="BH50" s="23">
        <f>AY31</f>
        <v>0</v>
      </c>
      <c r="BI50" s="326">
        <f t="shared" si="2"/>
        <v>0</v>
      </c>
      <c r="BJ50" s="95">
        <f>VLOOKUP(BD50,CENY!$B$11:$M$2025,12,FALSE)</f>
        <v>17.52394</v>
      </c>
      <c r="BK50" s="95">
        <f t="shared" si="3"/>
        <v>0</v>
      </c>
    </row>
    <row r="51" spans="47:63" ht="14.45" customHeight="1">
      <c r="AU51" s="319">
        <f>OBJ!B329</f>
        <v>9257894</v>
      </c>
      <c r="AV51" s="21" t="str">
        <f>VLOOKUP(AU51,CENY!$B$11:$G$1054,2,FALSE)</f>
        <v>Quadro You - Push to open Silent; &lt;10kg</v>
      </c>
      <c r="AW51" s="22">
        <f>VLOOKUP(AU51,CENY!$B$11:$G$1054,3,FALSE)</f>
        <v>1</v>
      </c>
      <c r="AX51" s="22"/>
      <c r="AY51" s="23">
        <f>AN27</f>
        <v>0</v>
      </c>
      <c r="AZ51" s="326">
        <f t="shared" si="1"/>
        <v>0</v>
      </c>
      <c r="BA51" s="95">
        <f>VLOOKUP(AU51,CENY!$B$11:$M$2025,12,FALSE)</f>
        <v>23.114239999999999</v>
      </c>
      <c r="BB51" s="95">
        <f t="shared" si="0"/>
        <v>0</v>
      </c>
      <c r="BD51" s="319">
        <f>OBJ!B276</f>
        <v>9318203</v>
      </c>
      <c r="BE51" s="21" t="str">
        <f>VLOOKUP(BD51,CENY!$B$11:$G$1054,2,FALSE)</f>
        <v>Actro You(XL) 500/SiSy 70kg; EB21; pravý</v>
      </c>
      <c r="BF51" s="22">
        <f>VLOOKUP(BD51,CENY!$B$11:$G$1054,3,FALSE)</f>
        <v>10</v>
      </c>
      <c r="BG51" s="22"/>
      <c r="BH51" s="23">
        <f>AY31</f>
        <v>0</v>
      </c>
      <c r="BI51" s="326">
        <f t="shared" si="2"/>
        <v>0</v>
      </c>
      <c r="BJ51" s="95">
        <f>VLOOKUP(BD51,CENY!$B$11:$M$2025,12,FALSE)</f>
        <v>17.52394</v>
      </c>
      <c r="BK51" s="95">
        <f t="shared" si="3"/>
        <v>0</v>
      </c>
    </row>
    <row r="52" spans="47:63" ht="14.45" customHeight="1">
      <c r="AU52" s="319">
        <f>OBJ!B330</f>
        <v>9257895</v>
      </c>
      <c r="AV52" s="21" t="str">
        <f>VLOOKUP(AU52,CENY!$B$11:$G$1054,2,FALSE)</f>
        <v>Quadro You - Push to open Silent; 8-20kg</v>
      </c>
      <c r="AW52" s="22">
        <f>VLOOKUP(AU52,CENY!$B$11:$G$1054,3,FALSE)</f>
        <v>1</v>
      </c>
      <c r="AX52" s="22"/>
      <c r="AY52" s="23">
        <f>AN28</f>
        <v>0</v>
      </c>
      <c r="AZ52" s="326">
        <f t="shared" si="1"/>
        <v>0</v>
      </c>
      <c r="BA52" s="95">
        <f>VLOOKUP(AU52,CENY!$B$11:$M$2025,12,FALSE)</f>
        <v>23.114239999999999</v>
      </c>
      <c r="BB52" s="95">
        <f t="shared" si="0"/>
        <v>0</v>
      </c>
      <c r="BD52" s="319">
        <f>OBJ!B277</f>
        <v>9318208</v>
      </c>
      <c r="BE52" s="21" t="str">
        <f>VLOOKUP(BD52,CENY!$B$11:$G$1054,2,FALSE)</f>
        <v>Actro You(XL) 550/SiSy 70kg; EB21; ľavý</v>
      </c>
      <c r="BF52" s="22">
        <f>VLOOKUP(BD52,CENY!$B$11:$G$1054,3,FALSE)</f>
        <v>10</v>
      </c>
      <c r="BG52" s="22"/>
      <c r="BH52" s="23">
        <f>AY32</f>
        <v>0</v>
      </c>
      <c r="BI52" s="326">
        <f t="shared" si="2"/>
        <v>0</v>
      </c>
      <c r="BJ52" s="95">
        <f>VLOOKUP(BD52,CENY!$B$11:$M$2025,12,FALSE)</f>
        <v>18.45496</v>
      </c>
      <c r="BK52" s="95">
        <f t="shared" si="3"/>
        <v>0</v>
      </c>
    </row>
    <row r="53" spans="47:63" ht="14.45" customHeight="1">
      <c r="AU53" s="319">
        <f>OBJ!B331</f>
        <v>9257896</v>
      </c>
      <c r="AV53" s="21" t="str">
        <f>VLOOKUP(AU53,CENY!$B$11:$G$1054,2,FALSE)</f>
        <v>Quadro You - Push to open Silent; 10-30kg</v>
      </c>
      <c r="AW53" s="22">
        <f>VLOOKUP(AU53,CENY!$B$11:$G$1054,3,FALSE)</f>
        <v>1</v>
      </c>
      <c r="AX53" s="22"/>
      <c r="AY53" s="23">
        <f>AN29</f>
        <v>0</v>
      </c>
      <c r="AZ53" s="326">
        <f t="shared" si="1"/>
        <v>0</v>
      </c>
      <c r="BA53" s="95">
        <f>VLOOKUP(AU53,CENY!$B$11:$M$2025,12,FALSE)</f>
        <v>23.114239999999999</v>
      </c>
      <c r="BB53" s="95">
        <f t="shared" si="0"/>
        <v>0</v>
      </c>
      <c r="BD53" s="319">
        <f>OBJ!B278</f>
        <v>9318209</v>
      </c>
      <c r="BE53" s="21" t="str">
        <f>VLOOKUP(BD53,CENY!$B$11:$G$1054,2,FALSE)</f>
        <v>Actro You(XL) 550/SiSy 70kg; EB21; pravý</v>
      </c>
      <c r="BF53" s="22">
        <f>VLOOKUP(BD53,CENY!$B$11:$G$1054,3,FALSE)</f>
        <v>10</v>
      </c>
      <c r="BG53" s="22"/>
      <c r="BH53" s="23">
        <f>AY32</f>
        <v>0</v>
      </c>
      <c r="BI53" s="326">
        <f t="shared" si="2"/>
        <v>0</v>
      </c>
      <c r="BJ53" s="95">
        <f>VLOOKUP(BD53,CENY!$B$11:$M$2025,12,FALSE)</f>
        <v>18.45496</v>
      </c>
      <c r="BK53" s="95">
        <f t="shared" si="3"/>
        <v>0</v>
      </c>
    </row>
    <row r="54" spans="47:63" ht="14.45" customHeight="1">
      <c r="AU54" s="319"/>
      <c r="AV54" s="21"/>
      <c r="AW54" s="22"/>
      <c r="AX54" s="22"/>
      <c r="AY54" s="23"/>
      <c r="AZ54" s="326" t="str">
        <f t="shared" si="1"/>
        <v/>
      </c>
      <c r="BA54" s="95"/>
      <c r="BB54" s="95" t="str">
        <f t="shared" si="0"/>
        <v/>
      </c>
      <c r="BD54" s="319">
        <f>OBJ!B279</f>
        <v>9318211</v>
      </c>
      <c r="BE54" s="21" t="str">
        <f>VLOOKUP(BD54,CENY!$B$11:$G$1054,2,FALSE)</f>
        <v>Actro You(XL) 600/SiSy 70kg; EB21; ľavý</v>
      </c>
      <c r="BF54" s="22">
        <f>VLOOKUP(BD54,CENY!$B$11:$G$1054,3,FALSE)</f>
        <v>10</v>
      </c>
      <c r="BG54" s="22"/>
      <c r="BH54" s="23">
        <f>AY33</f>
        <v>0</v>
      </c>
      <c r="BI54" s="326">
        <f t="shared" si="2"/>
        <v>0</v>
      </c>
      <c r="BJ54" s="95">
        <f>VLOOKUP(BD54,CENY!$B$11:$M$2025,12,FALSE)</f>
        <v>21.352720000000001</v>
      </c>
      <c r="BK54" s="95">
        <f t="shared" si="3"/>
        <v>0</v>
      </c>
    </row>
    <row r="55" spans="47:63" ht="14.45" customHeight="1">
      <c r="AU55" s="319">
        <f>OBJ!B335</f>
        <v>9256931</v>
      </c>
      <c r="AV55" s="21" t="str">
        <f>VLOOKUP(AU55,CENY!$B$11:$G$1054,2,FALSE)</f>
        <v>Quadro You(M) 350/P2O 25kg; EB21</v>
      </c>
      <c r="AW55" s="22">
        <f>VLOOKUP(AU55,CENY!$B$11:$G$1054,3,FALSE)</f>
        <v>1</v>
      </c>
      <c r="AX55" s="362">
        <v>8</v>
      </c>
      <c r="AY55" s="23">
        <f>S30</f>
        <v>0</v>
      </c>
      <c r="AZ55" s="326">
        <f t="shared" si="1"/>
        <v>0</v>
      </c>
      <c r="BA55" s="95">
        <f>VLOOKUP(AU55,CENY!$B$11:$M$2025,12,FALSE)</f>
        <v>26.336690000000001</v>
      </c>
      <c r="BB55" s="95">
        <f t="shared" si="0"/>
        <v>0</v>
      </c>
      <c r="BD55" s="319">
        <f>OBJ!B280</f>
        <v>9318212</v>
      </c>
      <c r="BE55" s="21" t="str">
        <f>VLOOKUP(BD55,CENY!$B$11:$G$1054,2,FALSE)</f>
        <v>Actro You(XL) 600/SiSy 70kg; EB21; pravý</v>
      </c>
      <c r="BF55" s="22">
        <f>VLOOKUP(BD55,CENY!$B$11:$G$1054,3,FALSE)</f>
        <v>10</v>
      </c>
      <c r="BG55" s="22"/>
      <c r="BH55" s="23">
        <f>AY33</f>
        <v>0</v>
      </c>
      <c r="BI55" s="326">
        <f t="shared" si="2"/>
        <v>0</v>
      </c>
      <c r="BJ55" s="95">
        <f>VLOOKUP(BD55,CENY!$B$11:$M$2025,12,FALSE)</f>
        <v>21.352720000000001</v>
      </c>
      <c r="BK55" s="95">
        <f t="shared" si="3"/>
        <v>0</v>
      </c>
    </row>
    <row r="56" spans="47:63" ht="14.45" customHeight="1">
      <c r="AU56" s="319">
        <f>OBJ!B336</f>
        <v>9256933</v>
      </c>
      <c r="AV56" s="21" t="str">
        <f>VLOOKUP(AU56,CENY!$B$11:$G$1054,2,FALSE)</f>
        <v>Quadro You(M) 400/P2O 30kg; EB21</v>
      </c>
      <c r="AW56" s="22">
        <f>VLOOKUP(AU56,CENY!$B$11:$G$1054,3,FALSE)</f>
        <v>1</v>
      </c>
      <c r="AX56" s="362">
        <v>8</v>
      </c>
      <c r="AY56" s="23">
        <f>U30</f>
        <v>0</v>
      </c>
      <c r="AZ56" s="326">
        <f t="shared" si="1"/>
        <v>0</v>
      </c>
      <c r="BA56" s="95">
        <f>VLOOKUP(AU56,CENY!$B$11:$M$2025,12,FALSE)</f>
        <v>26.80339</v>
      </c>
      <c r="BB56" s="95">
        <f t="shared" si="0"/>
        <v>0</v>
      </c>
      <c r="BD56" s="319">
        <f>OBJ!B281</f>
        <v>9318213</v>
      </c>
      <c r="BE56" s="21" t="str">
        <f>VLOOKUP(BD56,CENY!$B$11:$G$1054,2,FALSE)</f>
        <v>Actro You(XL) 650/SiSy 70kg; EB21; ľavý</v>
      </c>
      <c r="BF56" s="22">
        <f>VLOOKUP(BD56,CENY!$B$11:$G$1054,3,FALSE)</f>
        <v>5</v>
      </c>
      <c r="BG56" s="22"/>
      <c r="BH56" s="23">
        <f>AY34</f>
        <v>0</v>
      </c>
      <c r="BI56" s="326">
        <f t="shared" si="2"/>
        <v>0</v>
      </c>
      <c r="BJ56" s="95">
        <f>VLOOKUP(BD56,CENY!$B$11:$M$2025,12,FALSE)</f>
        <v>22.243659999999998</v>
      </c>
      <c r="BK56" s="95">
        <f t="shared" si="3"/>
        <v>0</v>
      </c>
    </row>
    <row r="57" spans="47:63" ht="14.45" customHeight="1">
      <c r="AU57" s="319">
        <f>OBJ!B337</f>
        <v>9256935</v>
      </c>
      <c r="AV57" s="21" t="str">
        <f>VLOOKUP(AU57,CENY!$B$11:$G$1054,2,FALSE)</f>
        <v>Quadro You(M) 450/P2O 30kg; EB21</v>
      </c>
      <c r="AW57" s="22">
        <f>VLOOKUP(AU57,CENY!$B$11:$G$1054,3,FALSE)</f>
        <v>1</v>
      </c>
      <c r="AX57" s="362">
        <v>8</v>
      </c>
      <c r="AY57" s="23">
        <f>W30</f>
        <v>0</v>
      </c>
      <c r="AZ57" s="326">
        <f t="shared" si="1"/>
        <v>0</v>
      </c>
      <c r="BA57" s="95">
        <f>VLOOKUP(AU57,CENY!$B$11:$M$2025,12,FALSE)</f>
        <v>27.270389999999999</v>
      </c>
      <c r="BB57" s="95">
        <f t="shared" si="0"/>
        <v>0</v>
      </c>
      <c r="BD57" s="319">
        <f>OBJ!B282</f>
        <v>9318214</v>
      </c>
      <c r="BE57" s="21" t="str">
        <f>VLOOKUP(BD57,CENY!$B$11:$G$1054,2,FALSE)</f>
        <v>Actro You(XL) 650/SiSy 70kg; EB21; pravý</v>
      </c>
      <c r="BF57" s="22">
        <f>VLOOKUP(BD57,CENY!$B$11:$G$1054,3,FALSE)</f>
        <v>5</v>
      </c>
      <c r="BG57" s="22"/>
      <c r="BH57" s="23">
        <f>AY34</f>
        <v>0</v>
      </c>
      <c r="BI57" s="326">
        <f t="shared" si="2"/>
        <v>0</v>
      </c>
      <c r="BJ57" s="95">
        <f>VLOOKUP(BD57,CENY!$B$11:$M$2025,12,FALSE)</f>
        <v>22.243659999999998</v>
      </c>
      <c r="BK57" s="95">
        <f t="shared" si="3"/>
        <v>0</v>
      </c>
    </row>
    <row r="58" spans="47:63" ht="14.45" customHeight="1">
      <c r="AU58" s="319">
        <f>OBJ!B338</f>
        <v>9256937</v>
      </c>
      <c r="AV58" s="21" t="str">
        <f>VLOOKUP(AU58,CENY!$B$11:$G$1054,2,FALSE)</f>
        <v>Quadro You(M) 500/P2O 30kg; EB21</v>
      </c>
      <c r="AW58" s="22">
        <f>VLOOKUP(AU58,CENY!$B$11:$G$1054,3,FALSE)</f>
        <v>1</v>
      </c>
      <c r="AX58" s="362">
        <v>8</v>
      </c>
      <c r="AY58" s="23">
        <f>Y30</f>
        <v>0</v>
      </c>
      <c r="AZ58" s="326">
        <f t="shared" si="1"/>
        <v>0</v>
      </c>
      <c r="BA58" s="95">
        <f>VLOOKUP(AU58,CENY!$B$11:$M$2025,12,FALSE)</f>
        <v>5.5988800000000003</v>
      </c>
      <c r="BB58" s="95">
        <f t="shared" si="0"/>
        <v>0</v>
      </c>
      <c r="BD58" s="319"/>
      <c r="BE58" s="21"/>
      <c r="BF58" s="22"/>
      <c r="BG58" s="22"/>
      <c r="BH58" s="23"/>
      <c r="BI58" s="326" t="str">
        <f t="shared" si="2"/>
        <v/>
      </c>
      <c r="BJ58" s="95"/>
      <c r="BK58" s="95" t="str">
        <f t="shared" si="3"/>
        <v/>
      </c>
    </row>
    <row r="59" spans="47:63" ht="14.45" customHeight="1">
      <c r="AU59" s="319">
        <f>OBJ!B339</f>
        <v>9256939</v>
      </c>
      <c r="AV59" s="21" t="str">
        <f>VLOOKUP(AU59,CENY!$B$11:$G$1054,2,FALSE)</f>
        <v>Quadro You(M) 550/P2O 30kg; EB21</v>
      </c>
      <c r="AW59" s="22">
        <f>VLOOKUP(AU59,CENY!$B$11:$G$1054,3,FALSE)</f>
        <v>1</v>
      </c>
      <c r="AX59" s="362">
        <v>8</v>
      </c>
      <c r="AY59" s="23">
        <f>AA30</f>
        <v>0</v>
      </c>
      <c r="AZ59" s="326">
        <f t="shared" si="1"/>
        <v>0</v>
      </c>
      <c r="BA59" s="95">
        <f>VLOOKUP(AU59,CENY!$B$11:$M$2025,12,FALSE)</f>
        <v>28.20382</v>
      </c>
      <c r="BB59" s="95">
        <f t="shared" si="0"/>
        <v>0</v>
      </c>
      <c r="BD59" s="319">
        <f>OBJ!B284</f>
        <v>9257890</v>
      </c>
      <c r="BE59" s="21" t="str">
        <f>VLOOKUP(BD59,CENY!$B$11:$G$1054,2,FALSE)</f>
        <v>Actro You - Push to open Silent; &lt;10kg</v>
      </c>
      <c r="BF59" s="22">
        <f>VLOOKUP(BD59,CENY!$B$11:$G$1054,3,FALSE)</f>
        <v>1</v>
      </c>
      <c r="BG59" s="22"/>
      <c r="BH59" s="23">
        <f>AY36</f>
        <v>0</v>
      </c>
      <c r="BI59" s="326">
        <f t="shared" si="2"/>
        <v>0</v>
      </c>
      <c r="BJ59" s="95">
        <f>VLOOKUP(BD59,CENY!$B$11:$M$2025,12,FALSE)</f>
        <v>23.177009999999999</v>
      </c>
      <c r="BK59" s="95">
        <f t="shared" si="3"/>
        <v>0</v>
      </c>
    </row>
    <row r="60" spans="47:63" ht="14.45" customHeight="1">
      <c r="AU60" s="319">
        <f>OBJ!B340</f>
        <v>9256941</v>
      </c>
      <c r="AV60" s="21" t="str">
        <f>VLOOKUP(AU60,CENY!$B$11:$G$1054,2,FALSE)</f>
        <v>Quadro You(M) 600/P2O 25kg; EB21</v>
      </c>
      <c r="AW60" s="22">
        <f>VLOOKUP(AU60,CENY!$B$11:$G$1054,3,FALSE)</f>
        <v>1</v>
      </c>
      <c r="AX60" s="362">
        <v>8</v>
      </c>
      <c r="AY60" s="23">
        <f>AC30</f>
        <v>0</v>
      </c>
      <c r="AZ60" s="326">
        <f t="shared" si="1"/>
        <v>0</v>
      </c>
      <c r="BA60" s="95">
        <f>VLOOKUP(AU60,CENY!$B$11:$M$2025,12,FALSE)</f>
        <v>28.670570000000001</v>
      </c>
      <c r="BB60" s="95">
        <f t="shared" si="0"/>
        <v>0</v>
      </c>
      <c r="BD60" s="319">
        <f>OBJ!B285</f>
        <v>9257891</v>
      </c>
      <c r="BE60" s="21" t="str">
        <f>VLOOKUP(BD60,CENY!$B$11:$G$1054,2,FALSE)</f>
        <v>Actro You - Push to open Silent; 8-20kg</v>
      </c>
      <c r="BF60" s="22">
        <f>VLOOKUP(BD60,CENY!$B$11:$G$1054,3,FALSE)</f>
        <v>1</v>
      </c>
      <c r="BG60" s="22"/>
      <c r="BH60" s="23">
        <f>AY37</f>
        <v>0</v>
      </c>
      <c r="BI60" s="326">
        <f t="shared" si="2"/>
        <v>0</v>
      </c>
      <c r="BJ60" s="95">
        <f>VLOOKUP(BD60,CENY!$B$11:$M$2025,12,FALSE)</f>
        <v>23.177009999999999</v>
      </c>
      <c r="BK60" s="95">
        <f t="shared" si="3"/>
        <v>0</v>
      </c>
    </row>
    <row r="61" spans="47:63" ht="14.45" customHeight="1">
      <c r="AU61" s="319"/>
      <c r="AV61" s="21"/>
      <c r="AW61" s="22"/>
      <c r="AX61" s="22"/>
      <c r="AY61" s="23"/>
      <c r="AZ61" s="326" t="str">
        <f t="shared" si="1"/>
        <v/>
      </c>
      <c r="BA61" s="95"/>
      <c r="BB61" s="95" t="str">
        <f t="shared" si="0"/>
        <v/>
      </c>
      <c r="BD61" s="319">
        <f>OBJ!B286</f>
        <v>9257892</v>
      </c>
      <c r="BE61" s="21" t="str">
        <f>VLOOKUP(BD61,CENY!$B$11:$G$1054,2,FALSE)</f>
        <v>Actro You - Push to open Silent; 10-40kg</v>
      </c>
      <c r="BF61" s="22">
        <f>VLOOKUP(BD61,CENY!$B$11:$G$1054,3,FALSE)</f>
        <v>1</v>
      </c>
      <c r="BG61" s="22"/>
      <c r="BH61" s="23">
        <f>AY38</f>
        <v>0</v>
      </c>
      <c r="BI61" s="326">
        <f t="shared" si="2"/>
        <v>0</v>
      </c>
      <c r="BJ61" s="95">
        <f>VLOOKUP(BD61,CENY!$B$11:$M$2025,12,FALSE)</f>
        <v>23.177009999999999</v>
      </c>
      <c r="BK61" s="95">
        <f t="shared" si="3"/>
        <v>0</v>
      </c>
    </row>
    <row r="62" spans="47:63" ht="14.45" customHeight="1">
      <c r="AU62" s="319">
        <f>OBJ!B358</f>
        <v>9219966</v>
      </c>
      <c r="AV62" s="21" t="str">
        <f>VLOOKUP(AU62,CENY!$B$11:$G$1054,2,FALSE)</f>
        <v>Push to open Synchro / adaptér typ A</v>
      </c>
      <c r="AW62" s="22">
        <f>VLOOKUP(AU62,CENY!$B$11:$G$1054,3,FALSE)</f>
        <v>200</v>
      </c>
      <c r="AX62" s="22"/>
      <c r="AY62" s="23">
        <f>2*SUM(Q30:AD30)</f>
        <v>0</v>
      </c>
      <c r="AZ62" s="326">
        <f t="shared" si="1"/>
        <v>0</v>
      </c>
      <c r="BA62" s="95">
        <f>VLOOKUP(AU62,CENY!$B$11:$M$2025,12,FALSE)</f>
        <v>0.79318999999999995</v>
      </c>
      <c r="BB62" s="95">
        <f t="shared" si="0"/>
        <v>0</v>
      </c>
      <c r="BD62" s="319">
        <f>OBJ!B287</f>
        <v>9257893</v>
      </c>
      <c r="BE62" s="21" t="str">
        <f>VLOOKUP(BD62,CENY!$B$11:$G$1054,2,FALSE)</f>
        <v>Actro You - Push to open Silent; 20-70kg</v>
      </c>
      <c r="BF62" s="22">
        <f>VLOOKUP(BD62,CENY!$B$11:$G$1054,3,FALSE)</f>
        <v>1</v>
      </c>
      <c r="BG62" s="22"/>
      <c r="BH62" s="23">
        <f>AY39</f>
        <v>0</v>
      </c>
      <c r="BI62" s="326">
        <f t="shared" si="2"/>
        <v>0</v>
      </c>
      <c r="BJ62" s="95">
        <f>VLOOKUP(BD62,CENY!$B$11:$M$2025,12,FALSE)</f>
        <v>23.177009999999999</v>
      </c>
      <c r="BK62" s="95">
        <f t="shared" si="3"/>
        <v>0</v>
      </c>
    </row>
    <row r="63" spans="47:63" ht="14.45" customHeight="1">
      <c r="AU63" s="319"/>
      <c r="AV63" s="21"/>
      <c r="AW63" s="22"/>
      <c r="AX63" s="22"/>
      <c r="AY63" s="23"/>
      <c r="AZ63" s="326" t="str">
        <f t="shared" si="1"/>
        <v/>
      </c>
      <c r="BA63" s="95"/>
      <c r="BB63" s="95" t="str">
        <f t="shared" ref="BB63:BB102" si="4">IF(BA63="","",BA63*AY63)</f>
        <v/>
      </c>
      <c r="BD63" s="319">
        <f>OBJ!B288</f>
        <v>9236718</v>
      </c>
      <c r="BE63" s="21" t="str">
        <f>VLOOKUP(BD63,CENY!$B$11:$G$1054,2,FALSE)</f>
        <v>Push to open Synchro / tyč 2.000 mm</v>
      </c>
      <c r="BF63" s="22">
        <f>VLOOKUP(BD63,CENY!$B$11:$G$1054,3,FALSE)</f>
        <v>100</v>
      </c>
      <c r="BG63" s="22"/>
      <c r="BH63" s="23">
        <f>AY40</f>
        <v>0</v>
      </c>
      <c r="BI63" s="326">
        <f t="shared" si="2"/>
        <v>0</v>
      </c>
      <c r="BJ63" s="95">
        <f>VLOOKUP(BD63,CENY!$B$11:$M$2025,12,FALSE)</f>
        <v>8.7567500000000003</v>
      </c>
      <c r="BK63" s="95">
        <f t="shared" si="3"/>
        <v>0</v>
      </c>
    </row>
    <row r="64" spans="47:63" ht="14.45" customHeight="1">
      <c r="AU64" s="442">
        <f>OBJ!B150</f>
        <v>9359507</v>
      </c>
      <c r="AV64" s="443" t="str">
        <f>VLOOKUP(AU64,CENY!$B$11:$G$1054,2,FALSE)</f>
        <v>AvanY-prích.čela k naskrutk./ v251 (kompl)</v>
      </c>
      <c r="AW64" s="22">
        <f>VLOOKUP(AU64,CENY!$B$11:$G$1054,3,FALSE)</f>
        <v>1</v>
      </c>
      <c r="AX64" s="22"/>
      <c r="AY64" s="68">
        <f>1*(SUM(S19)+SUM(S20:AD20)+SUM(W22:AF22)+SUM(S27)+SUM(S28:AD28)+SUM(S30:AD30))</f>
        <v>0</v>
      </c>
      <c r="AZ64" s="326">
        <f t="shared" si="1"/>
        <v>0</v>
      </c>
      <c r="BA64" s="95">
        <f>VLOOKUP(AU64,CENY!$B$11:$M$2025,12,FALSE)</f>
        <v>1.1493500000000001</v>
      </c>
      <c r="BB64" s="95">
        <f t="shared" si="4"/>
        <v>0</v>
      </c>
      <c r="BD64" s="319"/>
      <c r="BE64" s="21"/>
      <c r="BF64" s="22"/>
      <c r="BG64" s="22"/>
      <c r="BH64" s="23"/>
      <c r="BI64" s="326" t="str">
        <f t="shared" si="2"/>
        <v/>
      </c>
      <c r="BJ64" s="95"/>
      <c r="BK64" s="95" t="str">
        <f t="shared" si="3"/>
        <v/>
      </c>
    </row>
    <row r="65" spans="47:63" ht="14.45" customHeight="1">
      <c r="AU65" s="454">
        <v>9257888</v>
      </c>
      <c r="AV65" s="455" t="str">
        <f>VLOOKUP(AU65,CENY!$B$11:$G$1054,2,FALSE)</f>
        <v>AvanY-stabiliz.čela s rozp.púzdrom/ v251</v>
      </c>
      <c r="AW65" s="456">
        <f>VLOOKUP(AU65,CENY!$B$11:$G$1054,3,FALSE)</f>
        <v>200</v>
      </c>
      <c r="AX65" s="456"/>
      <c r="AY65" s="457"/>
      <c r="AZ65" s="458" t="str">
        <f t="shared" si="1"/>
        <v/>
      </c>
      <c r="BA65" s="459">
        <f>VLOOKUP(AU65,CENY!$B$11:$M$2025,12,FALSE)</f>
        <v>0.53683999999999998</v>
      </c>
      <c r="BB65" s="459">
        <f>IF(BA65="","",BA65*AY65)</f>
        <v>0</v>
      </c>
      <c r="BD65" s="319">
        <f>OBJ!B301</f>
        <v>9256950</v>
      </c>
      <c r="BE65" s="21" t="str">
        <f>VLOOKUP(BD65,CENY!$B$11:$G$1054,2,FALSE)</f>
        <v>Quadro You(S) 350/SiSy 10kg; EB21; ľavý</v>
      </c>
      <c r="BF65" s="22">
        <f>VLOOKUP(BD65,CENY!$B$11:$G$1054,3,FALSE)</f>
        <v>20</v>
      </c>
      <c r="BG65" s="22"/>
      <c r="BH65" s="23">
        <f>AY42</f>
        <v>0</v>
      </c>
      <c r="BI65" s="326">
        <f t="shared" si="2"/>
        <v>0</v>
      </c>
      <c r="BJ65" s="95">
        <f>VLOOKUP(BD65,CENY!$B$11:$M$2025,12,FALSE)</f>
        <v>11.02122</v>
      </c>
      <c r="BK65" s="95">
        <f t="shared" si="3"/>
        <v>0</v>
      </c>
    </row>
    <row r="66" spans="47:63" ht="14.45" customHeight="1">
      <c r="AU66" s="319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4"/>
        <v/>
      </c>
      <c r="BD66" s="319">
        <f>OBJ!B302</f>
        <v>9256951</v>
      </c>
      <c r="BE66" s="21" t="str">
        <f>VLOOKUP(BD66,CENY!$B$11:$G$1054,2,FALSE)</f>
        <v>Quadro You(S) 350/SiSy 10kg; EB21; pravý</v>
      </c>
      <c r="BF66" s="22">
        <f>VLOOKUP(BD66,CENY!$B$11:$G$1054,3,FALSE)</f>
        <v>20</v>
      </c>
      <c r="BG66" s="22"/>
      <c r="BH66" s="23">
        <f>AY42</f>
        <v>0</v>
      </c>
      <c r="BI66" s="326">
        <f t="shared" si="2"/>
        <v>0</v>
      </c>
      <c r="BJ66" s="95">
        <f>VLOOKUP(BD66,CENY!$B$11:$M$2025,12,FALSE)</f>
        <v>11.02122</v>
      </c>
      <c r="BK66" s="95">
        <f t="shared" si="3"/>
        <v>0</v>
      </c>
    </row>
    <row r="67" spans="47:63" ht="14.45" customHeight="1">
      <c r="AU67" s="320">
        <f>OBJ!B214</f>
        <v>0</v>
      </c>
      <c r="AV67" s="321" t="e">
        <f>VLOOKUP(AU67,CENY!$B$11:$G$1054,2,FALSE)</f>
        <v>#N/A</v>
      </c>
      <c r="AW67" s="22" t="e">
        <f>VLOOKUP(AU67,CENY!$B$11:$G$1054,3,FALSE)</f>
        <v>#N/A</v>
      </c>
      <c r="AX67" s="22"/>
      <c r="AY67" s="68">
        <f>IF(FORM!AM21&lt;&gt;FORM!AW16,(2*(+SUM(O19:T19)+SUM(O20:AD20)+SUM(W22:AF22)+SUM(O27:T27)+SUM(O28:AD28)+SUM(O30:AD30))),0)</f>
        <v>0</v>
      </c>
      <c r="AZ67" s="326">
        <f t="shared" si="1"/>
        <v>0</v>
      </c>
      <c r="BA67" s="324" t="str">
        <f>IF(AU67=0,"",VLOOKUP(AU67,CENY!$B$11:$M$2025,12,FALSE))</f>
        <v/>
      </c>
      <c r="BB67" s="95" t="str">
        <f t="shared" si="4"/>
        <v/>
      </c>
      <c r="BD67" s="319"/>
      <c r="BE67" s="21"/>
      <c r="BF67" s="22"/>
      <c r="BG67" s="22"/>
      <c r="BH67" s="23"/>
      <c r="BI67" s="326" t="str">
        <f t="shared" si="2"/>
        <v/>
      </c>
      <c r="BJ67" s="95"/>
      <c r="BK67" s="95" t="str">
        <f t="shared" ref="BK67:BK101" si="5">IF(BJ67="","",BJ67*BH67)</f>
        <v/>
      </c>
    </row>
    <row r="68" spans="47:63" ht="14.45" customHeight="1">
      <c r="AU68" s="319"/>
      <c r="AV68" s="21"/>
      <c r="AW68" s="22"/>
      <c r="AX68" s="22"/>
      <c r="AY68" s="23"/>
      <c r="AZ68" s="326" t="str">
        <f t="shared" ref="AZ68:AZ106" si="6">IF(AY68="","",IF($AW$4=1,AY68,0))</f>
        <v/>
      </c>
      <c r="BA68" s="95"/>
      <c r="BB68" s="95" t="str">
        <f t="shared" si="4"/>
        <v/>
      </c>
      <c r="BD68" s="319">
        <f>OBJ!B316</f>
        <v>9256860</v>
      </c>
      <c r="BE68" s="21" t="str">
        <f>VLOOKUP(BD68,CENY!$B$11:$G$1054,2,FALSE)</f>
        <v>Quadro You(M) 350/SiSy 25kg; EB21; ľavý</v>
      </c>
      <c r="BF68" s="22">
        <f>VLOOKUP(BD68,CENY!$B$11:$G$1054,3,FALSE)</f>
        <v>20</v>
      </c>
      <c r="BG68" s="22"/>
      <c r="BH68" s="23">
        <f>AY44</f>
        <v>0</v>
      </c>
      <c r="BI68" s="326">
        <f t="shared" si="2"/>
        <v>0</v>
      </c>
      <c r="BJ68" s="95">
        <f>VLOOKUP(BD68,CENY!$B$11:$M$2025,12,FALSE)</f>
        <v>11.02122</v>
      </c>
      <c r="BK68" s="95">
        <f t="shared" si="5"/>
        <v>0</v>
      </c>
    </row>
    <row r="69" spans="47:63" ht="14.45" customHeight="1">
      <c r="AU69" s="319"/>
      <c r="AV69" s="21"/>
      <c r="AW69" s="22"/>
      <c r="AX69" s="22"/>
      <c r="AY69" s="23"/>
      <c r="AZ69" s="326" t="str">
        <f t="shared" si="6"/>
        <v/>
      </c>
      <c r="BA69" s="95"/>
      <c r="BB69" s="95" t="str">
        <f t="shared" si="4"/>
        <v/>
      </c>
      <c r="BD69" s="319">
        <f>OBJ!B317</f>
        <v>9256861</v>
      </c>
      <c r="BE69" s="21" t="str">
        <f>VLOOKUP(BD69,CENY!$B$11:$G$1054,2,FALSE)</f>
        <v>Quadro You(M) 350/SiSy 25kg; EB21; pravý</v>
      </c>
      <c r="BF69" s="22">
        <f>VLOOKUP(BD69,CENY!$B$11:$G$1054,3,FALSE)</f>
        <v>20</v>
      </c>
      <c r="BG69" s="22"/>
      <c r="BH69" s="23">
        <f>AY44</f>
        <v>0</v>
      </c>
      <c r="BI69" s="326">
        <f t="shared" si="2"/>
        <v>0</v>
      </c>
      <c r="BJ69" s="95">
        <f>VLOOKUP(BD69,CENY!$B$11:$M$2025,12,FALSE)</f>
        <v>11.02122</v>
      </c>
      <c r="BK69" s="95">
        <f t="shared" si="5"/>
        <v>0</v>
      </c>
    </row>
    <row r="70" spans="47:63" ht="14.45" customHeight="1">
      <c r="AU70" s="319"/>
      <c r="AV70" s="21"/>
      <c r="AW70" s="22"/>
      <c r="AX70" s="22"/>
      <c r="AY70" s="23"/>
      <c r="AZ70" s="326" t="str">
        <f t="shared" si="6"/>
        <v/>
      </c>
      <c r="BA70" s="95"/>
      <c r="BB70" s="95" t="str">
        <f t="shared" si="4"/>
        <v/>
      </c>
      <c r="BD70" s="319">
        <f>OBJ!B318</f>
        <v>9256864</v>
      </c>
      <c r="BE70" s="21" t="str">
        <f>VLOOKUP(BD70,CENY!$B$11:$G$1054,2,FALSE)</f>
        <v>Quadro You(M) 400/SiSy 30kg; EB21; ľavý</v>
      </c>
      <c r="BF70" s="22">
        <f>VLOOKUP(BD70,CENY!$B$11:$G$1054,3,FALSE)</f>
        <v>20</v>
      </c>
      <c r="BG70" s="22"/>
      <c r="BH70" s="23">
        <f>AY45</f>
        <v>0</v>
      </c>
      <c r="BI70" s="326">
        <f t="shared" ref="BI70:BI107" si="7">IF(BH70="","",IF($AW$4=0,BH70,0))</f>
        <v>0</v>
      </c>
      <c r="BJ70" s="95">
        <f>VLOOKUP(BD70,CENY!$B$11:$M$2025,12,FALSE)</f>
        <v>11.25459</v>
      </c>
      <c r="BK70" s="95">
        <f t="shared" si="5"/>
        <v>0</v>
      </c>
    </row>
    <row r="71" spans="47:63" ht="14.45" customHeight="1">
      <c r="AU71" s="319"/>
      <c r="AV71" s="21"/>
      <c r="AW71" s="22"/>
      <c r="AX71" s="22"/>
      <c r="AY71" s="23"/>
      <c r="AZ71" s="326" t="str">
        <f t="shared" si="6"/>
        <v/>
      </c>
      <c r="BA71" s="95"/>
      <c r="BB71" s="95" t="str">
        <f t="shared" si="4"/>
        <v/>
      </c>
      <c r="BD71" s="319">
        <f>OBJ!B319</f>
        <v>9256865</v>
      </c>
      <c r="BE71" s="21" t="str">
        <f>VLOOKUP(BD71,CENY!$B$11:$G$1054,2,FALSE)</f>
        <v>Quadro You(M) 400/SiSy 30kg; EB21; pravý</v>
      </c>
      <c r="BF71" s="22">
        <f>VLOOKUP(BD71,CENY!$B$11:$G$1054,3,FALSE)</f>
        <v>20</v>
      </c>
      <c r="BG71" s="22"/>
      <c r="BH71" s="23">
        <f>AY45</f>
        <v>0</v>
      </c>
      <c r="BI71" s="326">
        <f t="shared" si="7"/>
        <v>0</v>
      </c>
      <c r="BJ71" s="95">
        <f>VLOOKUP(BD71,CENY!$B$11:$M$2025,12,FALSE)</f>
        <v>11.25459</v>
      </c>
      <c r="BK71" s="95">
        <f t="shared" si="5"/>
        <v>0</v>
      </c>
    </row>
    <row r="72" spans="47:63" ht="14.45" customHeight="1">
      <c r="AU72" s="319"/>
      <c r="AV72" s="21"/>
      <c r="AW72" s="22"/>
      <c r="AX72" s="22"/>
      <c r="AY72" s="23"/>
      <c r="AZ72" s="326" t="str">
        <f t="shared" si="6"/>
        <v/>
      </c>
      <c r="BA72" s="95"/>
      <c r="BB72" s="95" t="str">
        <f t="shared" si="4"/>
        <v/>
      </c>
      <c r="BD72" s="319">
        <f>OBJ!B320</f>
        <v>9256868</v>
      </c>
      <c r="BE72" s="21" t="str">
        <f>VLOOKUP(BD72,CENY!$B$11:$G$1054,2,FALSE)</f>
        <v>Quadro You(M) 450/SiSy 30kg; EB21; ľavý</v>
      </c>
      <c r="BF72" s="22">
        <f>VLOOKUP(BD72,CENY!$B$11:$G$1054,3,FALSE)</f>
        <v>20</v>
      </c>
      <c r="BG72" s="22"/>
      <c r="BH72" s="23">
        <f>AY46</f>
        <v>0</v>
      </c>
      <c r="BI72" s="326">
        <f t="shared" si="7"/>
        <v>0</v>
      </c>
      <c r="BJ72" s="95">
        <f>VLOOKUP(BD72,CENY!$B$11:$M$2025,12,FALSE)</f>
        <v>11.487740000000001</v>
      </c>
      <c r="BK72" s="95">
        <f t="shared" si="5"/>
        <v>0</v>
      </c>
    </row>
    <row r="73" spans="47:63" ht="14.45" customHeight="1">
      <c r="AU73" s="319"/>
      <c r="AV73" s="21"/>
      <c r="AW73" s="22"/>
      <c r="AX73" s="22"/>
      <c r="AY73" s="23"/>
      <c r="AZ73" s="326" t="str">
        <f t="shared" si="6"/>
        <v/>
      </c>
      <c r="BA73" s="95"/>
      <c r="BB73" s="95" t="str">
        <f t="shared" si="4"/>
        <v/>
      </c>
      <c r="BD73" s="319">
        <f>OBJ!B321</f>
        <v>9256869</v>
      </c>
      <c r="BE73" s="21" t="str">
        <f>VLOOKUP(BD73,CENY!$B$11:$G$1054,2,FALSE)</f>
        <v>Quadro You(M) 450/SiSy 30kg; EB21; pravý</v>
      </c>
      <c r="BF73" s="22">
        <f>VLOOKUP(BD73,CENY!$B$11:$G$1054,3,FALSE)</f>
        <v>20</v>
      </c>
      <c r="BG73" s="22"/>
      <c r="BH73" s="23">
        <f>AY46</f>
        <v>0</v>
      </c>
      <c r="BI73" s="326">
        <f t="shared" si="7"/>
        <v>0</v>
      </c>
      <c r="BJ73" s="95">
        <f>VLOOKUP(BD73,CENY!$B$11:$M$2025,12,FALSE)</f>
        <v>11.487740000000001</v>
      </c>
      <c r="BK73" s="95">
        <f t="shared" si="5"/>
        <v>0</v>
      </c>
    </row>
    <row r="74" spans="47:63" ht="14.45" customHeight="1">
      <c r="AU74" s="319"/>
      <c r="AV74" s="21"/>
      <c r="AW74" s="22"/>
      <c r="AX74" s="22"/>
      <c r="AY74" s="23"/>
      <c r="AZ74" s="326" t="str">
        <f t="shared" si="6"/>
        <v/>
      </c>
      <c r="BA74" s="95"/>
      <c r="BB74" s="95" t="str">
        <f t="shared" si="4"/>
        <v/>
      </c>
      <c r="BD74" s="319">
        <f>OBJ!B322</f>
        <v>9256872</v>
      </c>
      <c r="BE74" s="21" t="str">
        <f>VLOOKUP(BD74,CENY!$B$11:$G$1054,2,FALSE)</f>
        <v>Quadro You(M) 500/SiSy 30kg; EB21; ľavý</v>
      </c>
      <c r="BF74" s="22">
        <f>VLOOKUP(BD74,CENY!$B$11:$G$1054,3,FALSE)</f>
        <v>20</v>
      </c>
      <c r="BG74" s="22"/>
      <c r="BH74" s="23">
        <f>AY47</f>
        <v>0</v>
      </c>
      <c r="BI74" s="326">
        <f t="shared" si="7"/>
        <v>0</v>
      </c>
      <c r="BJ74" s="95">
        <f>VLOOKUP(BD74,CENY!$B$11:$M$2025,12,FALSE)</f>
        <v>11.163180000000001</v>
      </c>
      <c r="BK74" s="95">
        <f t="shared" si="5"/>
        <v>0</v>
      </c>
    </row>
    <row r="75" spans="47:63" ht="14.45" customHeight="1">
      <c r="AU75" s="319"/>
      <c r="AV75" s="21"/>
      <c r="AW75" s="22"/>
      <c r="AX75" s="22"/>
      <c r="AY75" s="23"/>
      <c r="AZ75" s="326" t="str">
        <f t="shared" si="6"/>
        <v/>
      </c>
      <c r="BA75" s="95"/>
      <c r="BB75" s="95" t="str">
        <f t="shared" si="4"/>
        <v/>
      </c>
      <c r="BD75" s="319">
        <f>OBJ!B323</f>
        <v>9256873</v>
      </c>
      <c r="BE75" s="21" t="str">
        <f>VLOOKUP(BD75,CENY!$B$11:$G$1054,2,FALSE)</f>
        <v>Quadro You(M) 500/SiSy 30kg; EB21; pravý</v>
      </c>
      <c r="BF75" s="22">
        <f>VLOOKUP(BD75,CENY!$B$11:$G$1054,3,FALSE)</f>
        <v>20</v>
      </c>
      <c r="BG75" s="22"/>
      <c r="BH75" s="23">
        <f>AY47</f>
        <v>0</v>
      </c>
      <c r="BI75" s="326">
        <f t="shared" si="7"/>
        <v>0</v>
      </c>
      <c r="BJ75" s="95">
        <f>VLOOKUP(BD75,CENY!$B$11:$M$2025,12,FALSE)</f>
        <v>11.163180000000001</v>
      </c>
      <c r="BK75" s="95">
        <f t="shared" si="5"/>
        <v>0</v>
      </c>
    </row>
    <row r="76" spans="47:63" ht="14.45" customHeight="1">
      <c r="AU76" s="319"/>
      <c r="AV76" s="21"/>
      <c r="AW76" s="22"/>
      <c r="AX76" s="22"/>
      <c r="AY76" s="23"/>
      <c r="AZ76" s="326" t="str">
        <f t="shared" si="6"/>
        <v/>
      </c>
      <c r="BA76" s="95"/>
      <c r="BB76" s="95" t="str">
        <f t="shared" si="4"/>
        <v/>
      </c>
      <c r="BD76" s="319">
        <f>OBJ!B324</f>
        <v>9256876</v>
      </c>
      <c r="BE76" s="21" t="str">
        <f>VLOOKUP(BD76,CENY!$B$11:$G$1054,2,FALSE)</f>
        <v>Quadro You(M) 550/SiSy 30kg; EB21; ľavý</v>
      </c>
      <c r="BF76" s="22">
        <f>VLOOKUP(BD76,CENY!$B$11:$G$1054,3,FALSE)</f>
        <v>20</v>
      </c>
      <c r="BG76" s="22"/>
      <c r="BH76" s="23">
        <f>AY48</f>
        <v>0</v>
      </c>
      <c r="BI76" s="326">
        <f t="shared" si="7"/>
        <v>0</v>
      </c>
      <c r="BJ76" s="95">
        <f>VLOOKUP(BD76,CENY!$B$11:$M$2025,12,FALSE)</f>
        <v>11.38542</v>
      </c>
      <c r="BK76" s="95">
        <f t="shared" si="5"/>
        <v>0</v>
      </c>
    </row>
    <row r="77" spans="47:63" ht="14.45" customHeight="1">
      <c r="AU77" s="319"/>
      <c r="AV77" s="21"/>
      <c r="AW77" s="22"/>
      <c r="AX77" s="22"/>
      <c r="AY77" s="23"/>
      <c r="AZ77" s="326" t="str">
        <f t="shared" si="6"/>
        <v/>
      </c>
      <c r="BA77" s="95"/>
      <c r="BB77" s="95" t="str">
        <f t="shared" si="4"/>
        <v/>
      </c>
      <c r="BD77" s="319">
        <f>OBJ!B325</f>
        <v>9256877</v>
      </c>
      <c r="BE77" s="21" t="str">
        <f>VLOOKUP(BD77,CENY!$B$11:$G$1054,2,FALSE)</f>
        <v>Quadro You(M) 550/SiSy 30kg; EB21; pravý</v>
      </c>
      <c r="BF77" s="22">
        <f>VLOOKUP(BD77,CENY!$B$11:$G$1054,3,FALSE)</f>
        <v>20</v>
      </c>
      <c r="BG77" s="22"/>
      <c r="BH77" s="23">
        <f>AY48</f>
        <v>0</v>
      </c>
      <c r="BI77" s="326">
        <f t="shared" si="7"/>
        <v>0</v>
      </c>
      <c r="BJ77" s="95">
        <f>VLOOKUP(BD77,CENY!$B$11:$M$2025,12,FALSE)</f>
        <v>11.954689999999999</v>
      </c>
      <c r="BK77" s="95">
        <f t="shared" si="5"/>
        <v>0</v>
      </c>
    </row>
    <row r="78" spans="47:63" ht="14.45" customHeight="1">
      <c r="AU78" s="319"/>
      <c r="AV78" s="21"/>
      <c r="AW78" s="22"/>
      <c r="AX78" s="22"/>
      <c r="AY78" s="23"/>
      <c r="AZ78" s="326" t="str">
        <f t="shared" si="6"/>
        <v/>
      </c>
      <c r="BA78" s="95"/>
      <c r="BB78" s="95" t="str">
        <f t="shared" si="4"/>
        <v/>
      </c>
      <c r="BD78" s="319">
        <f>OBJ!B326</f>
        <v>9256880</v>
      </c>
      <c r="BE78" s="21" t="str">
        <f>VLOOKUP(BD78,CENY!$B$11:$G$1054,2,FALSE)</f>
        <v>Quadro You(M) 600/SiSy 25kg; EB21; ľavý</v>
      </c>
      <c r="BF78" s="22">
        <f>VLOOKUP(BD78,CENY!$B$11:$G$1054,3,FALSE)</f>
        <v>20</v>
      </c>
      <c r="BG78" s="22"/>
      <c r="BH78" s="23">
        <f>AY49</f>
        <v>0</v>
      </c>
      <c r="BI78" s="326">
        <f t="shared" si="7"/>
        <v>0</v>
      </c>
      <c r="BJ78" s="95">
        <f>VLOOKUP(BD78,CENY!$B$11:$M$2025,12,FALSE)</f>
        <v>12.187939999999999</v>
      </c>
      <c r="BK78" s="95">
        <f t="shared" si="5"/>
        <v>0</v>
      </c>
    </row>
    <row r="79" spans="47:63" ht="14.45" customHeight="1">
      <c r="AU79" s="319"/>
      <c r="AV79" s="21"/>
      <c r="AW79" s="22"/>
      <c r="AX79" s="22"/>
      <c r="AY79" s="23"/>
      <c r="AZ79" s="326" t="str">
        <f t="shared" si="6"/>
        <v/>
      </c>
      <c r="BA79" s="95"/>
      <c r="BB79" s="95" t="str">
        <f t="shared" si="4"/>
        <v/>
      </c>
      <c r="BD79" s="319">
        <f>OBJ!B327</f>
        <v>9256881</v>
      </c>
      <c r="BE79" s="21" t="str">
        <f>VLOOKUP(BD79,CENY!$B$11:$G$1054,2,FALSE)</f>
        <v>Quadro You(M) 600/SiSy 25kg; EB21; pravý</v>
      </c>
      <c r="BF79" s="22">
        <f>VLOOKUP(BD79,CENY!$B$11:$G$1054,3,FALSE)</f>
        <v>20</v>
      </c>
      <c r="BG79" s="22"/>
      <c r="BH79" s="23">
        <f>AY49</f>
        <v>0</v>
      </c>
      <c r="BI79" s="326">
        <f t="shared" si="7"/>
        <v>0</v>
      </c>
      <c r="BJ79" s="95">
        <f>VLOOKUP(BD79,CENY!$B$11:$M$2025,12,FALSE)</f>
        <v>12.187939999999999</v>
      </c>
      <c r="BK79" s="95">
        <f t="shared" si="5"/>
        <v>0</v>
      </c>
    </row>
    <row r="80" spans="47:63" ht="14.45" customHeight="1">
      <c r="AU80" s="319"/>
      <c r="AV80" s="21"/>
      <c r="AW80" s="22"/>
      <c r="AX80" s="22"/>
      <c r="AY80" s="23"/>
      <c r="AZ80" s="326" t="str">
        <f t="shared" si="6"/>
        <v/>
      </c>
      <c r="BA80" s="95"/>
      <c r="BB80" s="95" t="str">
        <f t="shared" si="4"/>
        <v/>
      </c>
      <c r="BD80" s="319"/>
      <c r="BE80" s="21"/>
      <c r="BF80" s="22"/>
      <c r="BG80" s="22"/>
      <c r="BH80" s="23"/>
      <c r="BI80" s="326" t="str">
        <f t="shared" si="7"/>
        <v/>
      </c>
      <c r="BJ80" s="95"/>
      <c r="BK80" s="95" t="str">
        <f t="shared" si="5"/>
        <v/>
      </c>
    </row>
    <row r="81" spans="47:63" ht="14.45" customHeight="1">
      <c r="AU81" s="319"/>
      <c r="AV81" s="21"/>
      <c r="AW81" s="22"/>
      <c r="AX81" s="22"/>
      <c r="AY81" s="23"/>
      <c r="AZ81" s="326" t="str">
        <f t="shared" si="6"/>
        <v/>
      </c>
      <c r="BA81" s="95"/>
      <c r="BB81" s="95" t="str">
        <f t="shared" si="4"/>
        <v/>
      </c>
      <c r="BD81" s="319">
        <f>OBJ!B329</f>
        <v>9257894</v>
      </c>
      <c r="BE81" s="21" t="str">
        <f>VLOOKUP(BD81,CENY!$B$11:$G$1054,2,FALSE)</f>
        <v>Quadro You - Push to open Silent; &lt;10kg</v>
      </c>
      <c r="BF81" s="22">
        <f>VLOOKUP(BD81,CENY!$B$11:$G$1054,3,FALSE)</f>
        <v>1</v>
      </c>
      <c r="BG81" s="22"/>
      <c r="BH81" s="23">
        <f>AY51</f>
        <v>0</v>
      </c>
      <c r="BI81" s="326">
        <f t="shared" si="7"/>
        <v>0</v>
      </c>
      <c r="BJ81" s="95">
        <f>VLOOKUP(BD81,CENY!$B$11:$M$2025,12,FALSE)</f>
        <v>23.114239999999999</v>
      </c>
      <c r="BK81" s="95">
        <f t="shared" si="5"/>
        <v>0</v>
      </c>
    </row>
    <row r="82" spans="47:63" ht="14.45" customHeight="1">
      <c r="AU82" s="319"/>
      <c r="AV82" s="21"/>
      <c r="AW82" s="22"/>
      <c r="AX82" s="22"/>
      <c r="AY82" s="23"/>
      <c r="AZ82" s="326" t="str">
        <f t="shared" si="6"/>
        <v/>
      </c>
      <c r="BA82" s="95"/>
      <c r="BB82" s="95" t="str">
        <f t="shared" si="4"/>
        <v/>
      </c>
      <c r="BD82" s="319">
        <f>OBJ!B330</f>
        <v>9257895</v>
      </c>
      <c r="BE82" s="21" t="str">
        <f>VLOOKUP(BD82,CENY!$B$11:$G$1054,2,FALSE)</f>
        <v>Quadro You - Push to open Silent; 8-20kg</v>
      </c>
      <c r="BF82" s="22">
        <f>VLOOKUP(BD82,CENY!$B$11:$G$1054,3,FALSE)</f>
        <v>1</v>
      </c>
      <c r="BG82" s="22"/>
      <c r="BH82" s="23">
        <f>AY52</f>
        <v>0</v>
      </c>
      <c r="BI82" s="326">
        <f t="shared" si="7"/>
        <v>0</v>
      </c>
      <c r="BJ82" s="95">
        <f>VLOOKUP(BD82,CENY!$B$11:$M$2025,12,FALSE)</f>
        <v>23.114239999999999</v>
      </c>
      <c r="BK82" s="95">
        <f t="shared" si="5"/>
        <v>0</v>
      </c>
    </row>
    <row r="83" spans="47:63" ht="14.45" customHeight="1">
      <c r="AU83" s="319"/>
      <c r="AV83" s="21"/>
      <c r="AW83" s="22"/>
      <c r="AX83" s="22"/>
      <c r="AY83" s="23"/>
      <c r="AZ83" s="326" t="str">
        <f t="shared" si="6"/>
        <v/>
      </c>
      <c r="BA83" s="95"/>
      <c r="BB83" s="95" t="str">
        <f t="shared" si="4"/>
        <v/>
      </c>
      <c r="BD83" s="319">
        <f>OBJ!B331</f>
        <v>9257896</v>
      </c>
      <c r="BE83" s="21" t="str">
        <f>VLOOKUP(BD83,CENY!$B$11:$G$1054,2,FALSE)</f>
        <v>Quadro You - Push to open Silent; 10-30kg</v>
      </c>
      <c r="BF83" s="22">
        <f>VLOOKUP(BD83,CENY!$B$11:$G$1054,3,FALSE)</f>
        <v>1</v>
      </c>
      <c r="BG83" s="22"/>
      <c r="BH83" s="23">
        <f>AY53</f>
        <v>0</v>
      </c>
      <c r="BI83" s="326">
        <f t="shared" si="7"/>
        <v>0</v>
      </c>
      <c r="BJ83" s="95">
        <f>VLOOKUP(BD83,CENY!$B$11:$M$2025,12,FALSE)</f>
        <v>23.114239999999999</v>
      </c>
      <c r="BK83" s="95">
        <f t="shared" si="5"/>
        <v>0</v>
      </c>
    </row>
    <row r="84" spans="47:63" ht="14.45" customHeight="1">
      <c r="AU84" s="319"/>
      <c r="AV84" s="21"/>
      <c r="AW84" s="22"/>
      <c r="AX84" s="22"/>
      <c r="AY84" s="23"/>
      <c r="AZ84" s="326" t="str">
        <f t="shared" si="6"/>
        <v/>
      </c>
      <c r="BA84" s="95"/>
      <c r="BB84" s="95" t="str">
        <f t="shared" si="4"/>
        <v/>
      </c>
      <c r="BD84" s="319"/>
      <c r="BE84" s="21"/>
      <c r="BF84" s="22"/>
      <c r="BG84" s="22"/>
      <c r="BH84" s="23"/>
      <c r="BI84" s="326" t="str">
        <f t="shared" si="7"/>
        <v/>
      </c>
      <c r="BJ84" s="95"/>
      <c r="BK84" s="95" t="str">
        <f t="shared" si="5"/>
        <v/>
      </c>
    </row>
    <row r="85" spans="47:63" ht="14.45" customHeight="1">
      <c r="AU85" s="20"/>
      <c r="AV85" s="21"/>
      <c r="AW85" s="22"/>
      <c r="AX85" s="22"/>
      <c r="AY85" s="23"/>
      <c r="AZ85" s="326" t="str">
        <f t="shared" si="6"/>
        <v/>
      </c>
      <c r="BA85" s="95"/>
      <c r="BB85" s="95" t="str">
        <f t="shared" si="4"/>
        <v/>
      </c>
      <c r="BD85" s="319">
        <f>OBJ!B345</f>
        <v>9256905</v>
      </c>
      <c r="BE85" s="21" t="str">
        <f>VLOOKUP(BD85,CENY!$B$11:$G$1054,2,FALSE)</f>
        <v>Quadro You(M) 350/P2O 25kg; EB21; ľavý</v>
      </c>
      <c r="BF85" s="22">
        <f>VLOOKUP(BD85,CENY!$B$11:$G$1054,3,FALSE)</f>
        <v>20</v>
      </c>
      <c r="BG85" s="22"/>
      <c r="BH85" s="23">
        <f>AY55</f>
        <v>0</v>
      </c>
      <c r="BI85" s="326">
        <f t="shared" si="7"/>
        <v>0</v>
      </c>
      <c r="BJ85" s="95">
        <f>VLOOKUP(BD85,CENY!$B$11:$M$2025,12,FALSE)</f>
        <v>12.42154</v>
      </c>
      <c r="BK85" s="95">
        <f t="shared" si="5"/>
        <v>0</v>
      </c>
    </row>
    <row r="86" spans="47:63" ht="14.45" customHeight="1">
      <c r="AU86" s="20"/>
      <c r="AV86" s="21"/>
      <c r="AW86" s="22"/>
      <c r="AX86" s="22"/>
      <c r="AY86" s="23"/>
      <c r="AZ86" s="326" t="str">
        <f t="shared" si="6"/>
        <v/>
      </c>
      <c r="BA86" s="95"/>
      <c r="BB86" s="95" t="str">
        <f t="shared" si="4"/>
        <v/>
      </c>
      <c r="BD86" s="319">
        <f>OBJ!B346</f>
        <v>9256906</v>
      </c>
      <c r="BE86" s="21" t="str">
        <f>VLOOKUP(BD86,CENY!$B$11:$G$1054,2,FALSE)</f>
        <v>Quadro You(M) 350/P2O 25kg; EB21; pravý</v>
      </c>
      <c r="BF86" s="22">
        <f>VLOOKUP(BD86,CENY!$B$11:$G$1054,3,FALSE)</f>
        <v>20</v>
      </c>
      <c r="BG86" s="22"/>
      <c r="BH86" s="23">
        <f>AY55</f>
        <v>0</v>
      </c>
      <c r="BI86" s="326">
        <f t="shared" si="7"/>
        <v>0</v>
      </c>
      <c r="BJ86" s="95">
        <f>VLOOKUP(BD86,CENY!$B$11:$M$2025,12,FALSE)</f>
        <v>12.42154</v>
      </c>
      <c r="BK86" s="95">
        <f t="shared" si="5"/>
        <v>0</v>
      </c>
    </row>
    <row r="87" spans="47:63" ht="14.45" customHeight="1">
      <c r="AU87" s="20"/>
      <c r="AV87" s="21"/>
      <c r="AW87" s="22"/>
      <c r="AX87" s="22"/>
      <c r="AY87" s="23"/>
      <c r="AZ87" s="326" t="str">
        <f t="shared" si="6"/>
        <v/>
      </c>
      <c r="BA87" s="95"/>
      <c r="BB87" s="95" t="str">
        <f t="shared" si="4"/>
        <v/>
      </c>
      <c r="BD87" s="319">
        <f>OBJ!B347</f>
        <v>9256909</v>
      </c>
      <c r="BE87" s="21" t="str">
        <f>VLOOKUP(BD87,CENY!$B$11:$G$1054,2,FALSE)</f>
        <v>Quadro You(M) 400/P2O 30kg; EB21; ľavý</v>
      </c>
      <c r="BF87" s="22">
        <f>VLOOKUP(BD87,CENY!$B$11:$G$1054,3,FALSE)</f>
        <v>20</v>
      </c>
      <c r="BG87" s="22"/>
      <c r="BH87" s="23">
        <f>AY56</f>
        <v>0</v>
      </c>
      <c r="BI87" s="326">
        <f t="shared" si="7"/>
        <v>0</v>
      </c>
      <c r="BJ87" s="95">
        <f>VLOOKUP(BD87,CENY!$B$11:$M$2025,12,FALSE)</f>
        <v>12.654769999999999</v>
      </c>
      <c r="BK87" s="95">
        <f t="shared" si="5"/>
        <v>0</v>
      </c>
    </row>
    <row r="88" spans="47:63" ht="14.45" customHeight="1">
      <c r="AU88" s="20"/>
      <c r="AV88" s="21"/>
      <c r="AW88" s="22"/>
      <c r="AX88" s="22"/>
      <c r="AY88" s="23"/>
      <c r="AZ88" s="326" t="str">
        <f t="shared" si="6"/>
        <v/>
      </c>
      <c r="BA88" s="95"/>
      <c r="BB88" s="95" t="str">
        <f t="shared" si="4"/>
        <v/>
      </c>
      <c r="BD88" s="319">
        <f>OBJ!B348</f>
        <v>9256910</v>
      </c>
      <c r="BE88" s="21" t="str">
        <f>VLOOKUP(BD88,CENY!$B$11:$G$1054,2,FALSE)</f>
        <v>Quadro You(M) 400/P2O 30kg; EB21; pravý</v>
      </c>
      <c r="BF88" s="22">
        <f>VLOOKUP(BD88,CENY!$B$11:$G$1054,3,FALSE)</f>
        <v>20</v>
      </c>
      <c r="BG88" s="22"/>
      <c r="BH88" s="23">
        <f>AY56</f>
        <v>0</v>
      </c>
      <c r="BI88" s="326">
        <f t="shared" si="7"/>
        <v>0</v>
      </c>
      <c r="BJ88" s="95">
        <f>VLOOKUP(BD88,CENY!$B$11:$M$2025,12,FALSE)</f>
        <v>12.654769999999999</v>
      </c>
      <c r="BK88" s="95">
        <f t="shared" si="5"/>
        <v>0</v>
      </c>
    </row>
    <row r="89" spans="47:63" ht="14.45" customHeight="1">
      <c r="AU89" s="20"/>
      <c r="AV89" s="21"/>
      <c r="AW89" s="22"/>
      <c r="AX89" s="22"/>
      <c r="AY89" s="23"/>
      <c r="AZ89" s="326" t="str">
        <f t="shared" si="6"/>
        <v/>
      </c>
      <c r="BA89" s="95"/>
      <c r="BB89" s="95" t="str">
        <f t="shared" si="4"/>
        <v/>
      </c>
      <c r="BD89" s="319">
        <f>OBJ!B349</f>
        <v>9256913</v>
      </c>
      <c r="BE89" s="21" t="str">
        <f>VLOOKUP(BD89,CENY!$B$11:$G$1054,2,FALSE)</f>
        <v>Quadro You(M) 450/P2O 30kg; EB21; ľavý</v>
      </c>
      <c r="BF89" s="22">
        <f>VLOOKUP(BD89,CENY!$B$11:$G$1054,3,FALSE)</f>
        <v>20</v>
      </c>
      <c r="BG89" s="22"/>
      <c r="BH89" s="23">
        <f>AY57</f>
        <v>0</v>
      </c>
      <c r="BI89" s="326">
        <f t="shared" si="7"/>
        <v>0</v>
      </c>
      <c r="BJ89" s="95">
        <f>VLOOKUP(BD89,CENY!$B$11:$M$2025,12,FALSE)</f>
        <v>12.888019999999999</v>
      </c>
      <c r="BK89" s="95">
        <f t="shared" si="5"/>
        <v>0</v>
      </c>
    </row>
    <row r="90" spans="47:63" ht="14.45" customHeight="1">
      <c r="AU90" s="20"/>
      <c r="AV90" s="21"/>
      <c r="AW90" s="22"/>
      <c r="AX90" s="22"/>
      <c r="AY90" s="23"/>
      <c r="AZ90" s="326" t="str">
        <f t="shared" si="6"/>
        <v/>
      </c>
      <c r="BA90" s="95"/>
      <c r="BB90" s="95" t="str">
        <f t="shared" si="4"/>
        <v/>
      </c>
      <c r="BD90" s="319">
        <f>OBJ!B350</f>
        <v>9256914</v>
      </c>
      <c r="BE90" s="21" t="str">
        <f>VLOOKUP(BD90,CENY!$B$11:$G$1054,2,FALSE)</f>
        <v>Quadro You(M) 450/P2O 30kg; EB21; pravý</v>
      </c>
      <c r="BF90" s="22">
        <f>VLOOKUP(BD90,CENY!$B$11:$G$1054,3,FALSE)</f>
        <v>20</v>
      </c>
      <c r="BG90" s="22"/>
      <c r="BH90" s="23">
        <f>AY57</f>
        <v>0</v>
      </c>
      <c r="BI90" s="326">
        <f t="shared" si="7"/>
        <v>0</v>
      </c>
      <c r="BJ90" s="95">
        <f>VLOOKUP(BD90,CENY!$B$11:$M$2025,12,FALSE)</f>
        <v>12.888019999999999</v>
      </c>
      <c r="BK90" s="95">
        <f t="shared" si="5"/>
        <v>0</v>
      </c>
    </row>
    <row r="91" spans="47:63" ht="14.45" customHeight="1">
      <c r="AU91" s="20"/>
      <c r="AV91" s="21"/>
      <c r="AW91" s="22"/>
      <c r="AX91" s="22"/>
      <c r="AY91" s="23"/>
      <c r="AZ91" s="326" t="str">
        <f t="shared" si="6"/>
        <v/>
      </c>
      <c r="BA91" s="95"/>
      <c r="BB91" s="95" t="str">
        <f t="shared" si="4"/>
        <v/>
      </c>
      <c r="BD91" s="319">
        <f>OBJ!B351</f>
        <v>9256917</v>
      </c>
      <c r="BE91" s="21" t="str">
        <f>VLOOKUP(BD91,CENY!$B$11:$G$1054,2,FALSE)</f>
        <v>Quadro You(M) 500/P2O 30kg; EB21; ľavý</v>
      </c>
      <c r="BF91" s="22">
        <f>VLOOKUP(BD91,CENY!$B$11:$G$1054,3,FALSE)</f>
        <v>20</v>
      </c>
      <c r="BG91" s="22"/>
      <c r="BH91" s="23">
        <f>AY58</f>
        <v>0</v>
      </c>
      <c r="BI91" s="326">
        <f t="shared" si="7"/>
        <v>0</v>
      </c>
      <c r="BJ91" s="95">
        <f>VLOOKUP(BD91,CENY!$B$11:$M$2025,12,FALSE)</f>
        <v>12.496779999999999</v>
      </c>
      <c r="BK91" s="95">
        <f t="shared" si="5"/>
        <v>0</v>
      </c>
    </row>
    <row r="92" spans="47:63" ht="14.45" customHeight="1">
      <c r="AU92" s="20"/>
      <c r="AV92" s="21"/>
      <c r="AW92" s="22"/>
      <c r="AX92" s="22"/>
      <c r="AY92" s="23"/>
      <c r="AZ92" s="326" t="str">
        <f t="shared" si="6"/>
        <v/>
      </c>
      <c r="BA92" s="95"/>
      <c r="BB92" s="95" t="str">
        <f t="shared" si="4"/>
        <v/>
      </c>
      <c r="BD92" s="319">
        <f>OBJ!B352</f>
        <v>9256918</v>
      </c>
      <c r="BE92" s="21" t="str">
        <f>VLOOKUP(BD92,CENY!$B$11:$G$1054,2,FALSE)</f>
        <v>Quadro You(M) 500/P2O 30kg; EB21; pravý</v>
      </c>
      <c r="BF92" s="22">
        <f>VLOOKUP(BD92,CENY!$B$11:$G$1054,3,FALSE)</f>
        <v>20</v>
      </c>
      <c r="BG92" s="22"/>
      <c r="BH92" s="23">
        <f>AY58</f>
        <v>0</v>
      </c>
      <c r="BI92" s="326">
        <f t="shared" si="7"/>
        <v>0</v>
      </c>
      <c r="BJ92" s="95">
        <f>VLOOKUP(BD92,CENY!$B$11:$M$2025,12,FALSE)</f>
        <v>12.496779999999999</v>
      </c>
      <c r="BK92" s="95">
        <f t="shared" si="5"/>
        <v>0</v>
      </c>
    </row>
    <row r="93" spans="47:63" ht="14.45" customHeight="1">
      <c r="AU93" s="20"/>
      <c r="AV93" s="21"/>
      <c r="AW93" s="22"/>
      <c r="AX93" s="22"/>
      <c r="AY93" s="23"/>
      <c r="AZ93" s="326" t="str">
        <f t="shared" si="6"/>
        <v/>
      </c>
      <c r="BA93" s="95"/>
      <c r="BB93" s="95" t="str">
        <f t="shared" si="4"/>
        <v/>
      </c>
      <c r="BD93" s="319">
        <f>OBJ!B353</f>
        <v>9256921</v>
      </c>
      <c r="BE93" s="21" t="str">
        <f>VLOOKUP(BD93,CENY!$B$11:$G$1054,2,FALSE)</f>
        <v>Quadro You(M) 550/P2O 30kg; EB21; ľavý</v>
      </c>
      <c r="BF93" s="22">
        <f>VLOOKUP(BD93,CENY!$B$11:$G$1054,3,FALSE)</f>
        <v>20</v>
      </c>
      <c r="BG93" s="22"/>
      <c r="BH93" s="23">
        <f>AY59</f>
        <v>0</v>
      </c>
      <c r="BI93" s="326">
        <f t="shared" si="7"/>
        <v>0</v>
      </c>
      <c r="BJ93" s="95">
        <f>VLOOKUP(BD93,CENY!$B$11:$M$2025,12,FALSE)</f>
        <v>12.718019999999999</v>
      </c>
      <c r="BK93" s="95">
        <f t="shared" si="5"/>
        <v>0</v>
      </c>
    </row>
    <row r="94" spans="47:63" ht="14.45" customHeight="1">
      <c r="AU94" s="20"/>
      <c r="AV94" s="21"/>
      <c r="AW94" s="22"/>
      <c r="AX94" s="22"/>
      <c r="AY94" s="23"/>
      <c r="AZ94" s="326" t="str">
        <f t="shared" si="6"/>
        <v/>
      </c>
      <c r="BA94" s="95"/>
      <c r="BB94" s="95" t="str">
        <f t="shared" si="4"/>
        <v/>
      </c>
      <c r="BD94" s="319">
        <f>OBJ!B354</f>
        <v>9256922</v>
      </c>
      <c r="BE94" s="21" t="str">
        <f>VLOOKUP(BD94,CENY!$B$11:$G$1054,2,FALSE)</f>
        <v>Quadro You(M) 550/P2O 30kg; EB21; pravý</v>
      </c>
      <c r="BF94" s="22">
        <f>VLOOKUP(BD94,CENY!$B$11:$G$1054,3,FALSE)</f>
        <v>20</v>
      </c>
      <c r="BG94" s="22"/>
      <c r="BH94" s="23">
        <f>AY59</f>
        <v>0</v>
      </c>
      <c r="BI94" s="326">
        <f t="shared" si="7"/>
        <v>0</v>
      </c>
      <c r="BJ94" s="95">
        <f>VLOOKUP(BD94,CENY!$B$11:$M$2025,12,FALSE)</f>
        <v>13.35392</v>
      </c>
      <c r="BK94" s="95">
        <f t="shared" si="5"/>
        <v>0</v>
      </c>
    </row>
    <row r="95" spans="47:63" ht="14.45" customHeight="1">
      <c r="AU95" s="20"/>
      <c r="AV95" s="21"/>
      <c r="AW95" s="22"/>
      <c r="AX95" s="22"/>
      <c r="AY95" s="23"/>
      <c r="AZ95" s="326" t="str">
        <f t="shared" si="6"/>
        <v/>
      </c>
      <c r="BA95" s="95"/>
      <c r="BB95" s="95" t="str">
        <f t="shared" si="4"/>
        <v/>
      </c>
      <c r="BD95" s="319">
        <f>OBJ!B355</f>
        <v>9256925</v>
      </c>
      <c r="BE95" s="21" t="str">
        <f>VLOOKUP(BD95,CENY!$B$11:$G$1054,2,FALSE)</f>
        <v>Quadro You(M) 600/P2O 25kg; EB21; ľavý</v>
      </c>
      <c r="BF95" s="22">
        <f>VLOOKUP(BD95,CENY!$B$11:$G$1054,3,FALSE)</f>
        <v>20</v>
      </c>
      <c r="BG95" s="22"/>
      <c r="BH95" s="23">
        <f>AY60</f>
        <v>0</v>
      </c>
      <c r="BI95" s="326">
        <f t="shared" si="7"/>
        <v>0</v>
      </c>
      <c r="BJ95" s="95">
        <f>VLOOKUP(BD95,CENY!$B$11:$M$2025,12,FALSE)</f>
        <v>13.58704</v>
      </c>
      <c r="BK95" s="95">
        <f t="shared" si="5"/>
        <v>0</v>
      </c>
    </row>
    <row r="96" spans="47:63" ht="14.45" customHeight="1">
      <c r="AU96" s="20"/>
      <c r="AV96" s="21"/>
      <c r="AW96" s="22"/>
      <c r="AX96" s="22"/>
      <c r="AY96" s="23"/>
      <c r="AZ96" s="326" t="str">
        <f t="shared" si="6"/>
        <v/>
      </c>
      <c r="BA96" s="95"/>
      <c r="BB96" s="95" t="str">
        <f t="shared" si="4"/>
        <v/>
      </c>
      <c r="BD96" s="319">
        <f>OBJ!B356</f>
        <v>9256926</v>
      </c>
      <c r="BE96" s="21" t="str">
        <f>VLOOKUP(BD96,CENY!$B$11:$G$1054,2,FALSE)</f>
        <v>Quadro You(M) 600/P2O 25kg; EB21; pravý</v>
      </c>
      <c r="BF96" s="22">
        <f>VLOOKUP(BD96,CENY!$B$11:$G$1054,3,FALSE)</f>
        <v>20</v>
      </c>
      <c r="BG96" s="22"/>
      <c r="BH96" s="23">
        <f>AY60</f>
        <v>0</v>
      </c>
      <c r="BI96" s="326">
        <f t="shared" si="7"/>
        <v>0</v>
      </c>
      <c r="BJ96" s="95">
        <f>VLOOKUP(BD96,CENY!$B$11:$M$2025,12,FALSE)</f>
        <v>13.58704</v>
      </c>
      <c r="BK96" s="95">
        <f t="shared" si="5"/>
        <v>0</v>
      </c>
    </row>
    <row r="97" spans="47:63" ht="14.45" customHeight="1">
      <c r="AU97" s="20"/>
      <c r="AV97" s="21"/>
      <c r="AW97" s="22"/>
      <c r="AX97" s="22"/>
      <c r="AY97" s="23"/>
      <c r="AZ97" s="326" t="str">
        <f t="shared" si="6"/>
        <v/>
      </c>
      <c r="BA97" s="95"/>
      <c r="BB97" s="95" t="str">
        <f t="shared" si="4"/>
        <v/>
      </c>
      <c r="BD97" s="319"/>
      <c r="BE97" s="21"/>
      <c r="BF97" s="22"/>
      <c r="BG97" s="22"/>
      <c r="BH97" s="23"/>
      <c r="BI97" s="326" t="str">
        <f t="shared" si="7"/>
        <v/>
      </c>
      <c r="BJ97" s="95"/>
      <c r="BK97" s="95" t="str">
        <f t="shared" si="5"/>
        <v/>
      </c>
    </row>
    <row r="98" spans="47:63" ht="14.45" customHeight="1">
      <c r="AU98" s="20"/>
      <c r="AV98" s="21"/>
      <c r="AW98" s="22"/>
      <c r="AX98" s="22"/>
      <c r="AY98" s="23"/>
      <c r="AZ98" s="326" t="str">
        <f t="shared" si="6"/>
        <v/>
      </c>
      <c r="BA98" s="95"/>
      <c r="BB98" s="95" t="str">
        <f t="shared" si="4"/>
        <v/>
      </c>
      <c r="BD98" s="319">
        <f>OBJ!B358</f>
        <v>9219966</v>
      </c>
      <c r="BE98" s="21" t="str">
        <f>VLOOKUP(BD98,CENY!$B$11:$G$1054,2,FALSE)</f>
        <v>Push to open Synchro / adaptér typ A</v>
      </c>
      <c r="BF98" s="22">
        <f>VLOOKUP(BD98,CENY!$B$11:$G$1054,3,FALSE)</f>
        <v>200</v>
      </c>
      <c r="BG98" s="22"/>
      <c r="BH98" s="23">
        <f>AY62</f>
        <v>0</v>
      </c>
      <c r="BI98" s="326">
        <f t="shared" si="7"/>
        <v>0</v>
      </c>
      <c r="BJ98" s="95">
        <f>VLOOKUP(BD98,CENY!$B$11:$M$2025,12,FALSE)</f>
        <v>0.79318999999999995</v>
      </c>
      <c r="BK98" s="95">
        <f t="shared" si="5"/>
        <v>0</v>
      </c>
    </row>
    <row r="99" spans="47:63" ht="14.45" customHeight="1">
      <c r="AU99" s="20"/>
      <c r="AV99" s="21"/>
      <c r="AW99" s="22"/>
      <c r="AX99" s="22"/>
      <c r="AY99" s="23"/>
      <c r="AZ99" s="326" t="str">
        <f t="shared" si="6"/>
        <v/>
      </c>
      <c r="BA99" s="95"/>
      <c r="BB99" s="95" t="str">
        <f t="shared" si="4"/>
        <v/>
      </c>
      <c r="BD99" s="319"/>
      <c r="BE99" s="21"/>
      <c r="BF99" s="22"/>
      <c r="BG99" s="22"/>
      <c r="BH99" s="23"/>
      <c r="BI99" s="326" t="str">
        <f t="shared" si="7"/>
        <v/>
      </c>
      <c r="BJ99" s="95"/>
      <c r="BK99" s="95" t="str">
        <f t="shared" si="5"/>
        <v/>
      </c>
    </row>
    <row r="100" spans="47:63" ht="14.45" customHeight="1">
      <c r="AU100" s="20"/>
      <c r="AV100" s="21"/>
      <c r="AW100" s="22"/>
      <c r="AX100" s="22"/>
      <c r="AY100" s="23"/>
      <c r="AZ100" s="326" t="str">
        <f t="shared" si="6"/>
        <v/>
      </c>
      <c r="BA100" s="95"/>
      <c r="BB100" s="95" t="str">
        <f t="shared" si="4"/>
        <v/>
      </c>
      <c r="BD100" s="319">
        <f>OBJ!B214</f>
        <v>0</v>
      </c>
      <c r="BE100" s="21" t="e">
        <f>VLOOKUP(BD100,CENY!$B$11:$G$1054,2,FALSE)</f>
        <v>#N/A</v>
      </c>
      <c r="BF100" s="22" t="e">
        <f>VLOOKUP(BD100,CENY!$B$11:$G$1054,3,FALSE)</f>
        <v>#N/A</v>
      </c>
      <c r="BG100" s="22"/>
      <c r="BH100" s="23">
        <f>AY67</f>
        <v>0</v>
      </c>
      <c r="BI100" s="326">
        <f t="shared" si="7"/>
        <v>0</v>
      </c>
      <c r="BJ100" s="324" t="str">
        <f>IF(BD100=0,"",VLOOKUP(BD100,CENY!$B$11:$M$2025,12,FALSE))</f>
        <v/>
      </c>
      <c r="BK100" s="95" t="str">
        <f t="shared" si="5"/>
        <v/>
      </c>
    </row>
    <row r="101" spans="47:63">
      <c r="AU101" s="20"/>
      <c r="AV101" s="21"/>
      <c r="AW101" s="22"/>
      <c r="AX101" s="22"/>
      <c r="AY101" s="23"/>
      <c r="AZ101" s="326" t="str">
        <f t="shared" si="6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7"/>
        <v/>
      </c>
      <c r="BJ101" s="95"/>
      <c r="BK101" s="95" t="str">
        <f t="shared" si="5"/>
        <v/>
      </c>
    </row>
    <row r="102" spans="47:63">
      <c r="AU102" s="319">
        <f>OBJ!B361</f>
        <v>45167</v>
      </c>
      <c r="AV102" s="21" t="str">
        <f>VLOOKUP(AU102,CENY!$B$11:$G$1054,2,FALSE)</f>
        <v>Skrutka s polgul.hlavou 3,5x12mm</v>
      </c>
      <c r="AW102" s="22">
        <f>VLOOKUP(AU102,CENY!$B$11:$G$1054,3,FALSE)</f>
        <v>200</v>
      </c>
      <c r="AX102" s="22"/>
      <c r="AY102" s="23">
        <f>SUMPRODUCT(AX5:AX11,AY5:AY11)</f>
        <v>0</v>
      </c>
      <c r="AZ102" s="326">
        <f t="shared" si="6"/>
        <v>0</v>
      </c>
      <c r="BA102" s="95">
        <f>VLOOKUP(AU102,CENY!$B$11:$M$2025,12,FALSE)</f>
        <v>3.4759999999999999E-2</v>
      </c>
      <c r="BB102" s="95">
        <f t="shared" si="4"/>
        <v>0</v>
      </c>
      <c r="BC102" s="86" t="s">
        <v>396</v>
      </c>
      <c r="BD102" s="319">
        <f>OBJ!B361</f>
        <v>45167</v>
      </c>
      <c r="BE102" s="21" t="str">
        <f>VLOOKUP(BD102,CENY!$B$11:$G$1054,2,FALSE)</f>
        <v>Skrutka s polgul.hlavou 3,5x12mm</v>
      </c>
      <c r="BF102" s="22">
        <f>VLOOKUP(BD102,CENY!$B$11:$G$1054,3,FALSE)</f>
        <v>200</v>
      </c>
      <c r="BG102" s="22"/>
      <c r="BH102" s="23">
        <f>AY102+BH22*2</f>
        <v>0</v>
      </c>
      <c r="BI102" s="326">
        <f>IF(BH102="","",IF($AW$4=0,BH102,0))</f>
        <v>0</v>
      </c>
      <c r="BJ102" s="95">
        <f>VLOOKUP(BD102,CENY!$B$11:$M$2025,12,FALSE)</f>
        <v>3.4759999999999999E-2</v>
      </c>
      <c r="BK102" s="95">
        <f t="shared" ref="BK102:BK107" si="8">IF(BJ102="","",BJ102*BH102)</f>
        <v>0</v>
      </c>
    </row>
    <row r="103" spans="47:63">
      <c r="AU103" s="319">
        <f>OBJ!B362</f>
        <v>45168</v>
      </c>
      <c r="AV103" s="21" t="str">
        <f>VLOOKUP(AU103,CENY!$B$11:$G$1054,2,FALSE)</f>
        <v>Skrutka s polgul.hlavou 3,5x20mm</v>
      </c>
      <c r="AW103" s="22">
        <f>VLOOKUP(AU103,CENY!$B$11:$G$1054,3,FALSE)</f>
        <v>200</v>
      </c>
      <c r="AX103" s="22"/>
      <c r="AY103" s="360">
        <v>0</v>
      </c>
      <c r="AZ103" s="326">
        <f t="shared" si="6"/>
        <v>0</v>
      </c>
      <c r="BA103" s="95">
        <f>VLOOKUP(AU103,CENY!$B$11:$M$2025,12,FALSE)</f>
        <v>4.9860000000000002E-2</v>
      </c>
      <c r="BB103" s="95">
        <f>IF(BA103="","",BA103*AY103)</f>
        <v>0</v>
      </c>
      <c r="BC103" s="86" t="s">
        <v>397</v>
      </c>
      <c r="BD103" s="319">
        <f>OBJ!B362</f>
        <v>45168</v>
      </c>
      <c r="BE103" s="21" t="str">
        <f>VLOOKUP(BD103,CENY!$B$11:$G$1054,2,FALSE)</f>
        <v>Skrutka s polgul.hlavou 3,5x20mm</v>
      </c>
      <c r="BF103" s="22">
        <f>VLOOKUP(BD103,CENY!$B$11:$G$1054,3,FALSE)</f>
        <v>200</v>
      </c>
      <c r="BG103" s="22"/>
      <c r="BH103" s="360">
        <f>IF(FORM!$AM$8=FORM!$AU$10,(BH20*4+BH21*2),0)</f>
        <v>0</v>
      </c>
      <c r="BI103" s="326">
        <f>IF(BH103="","",IF($AW$4=0,BH103,0))</f>
        <v>0</v>
      </c>
      <c r="BJ103" s="95">
        <f>VLOOKUP(BD103,CENY!$B$11:$M$2025,12,FALSE)</f>
        <v>4.9860000000000002E-2</v>
      </c>
      <c r="BK103" s="95">
        <f t="shared" si="8"/>
        <v>0</v>
      </c>
    </row>
    <row r="104" spans="47:63">
      <c r="AU104" s="319">
        <f>OBJ!B363</f>
        <v>9278224</v>
      </c>
      <c r="AV104" s="21" t="str">
        <f>VLOOKUP(AU104,CENY!$B$11:$G$1054,2,FALSE)</f>
        <v>Skrutka s polgul.hlavou 3,5x30mm</v>
      </c>
      <c r="AW104" s="22">
        <f>VLOOKUP(AU104,CENY!$B$11:$G$1054,3,FALSE)</f>
        <v>200</v>
      </c>
      <c r="AX104" s="22"/>
      <c r="AY104" s="360">
        <v>0</v>
      </c>
      <c r="AZ104" s="326">
        <f t="shared" si="6"/>
        <v>0</v>
      </c>
      <c r="BA104" s="95">
        <f>VLOOKUP(AU104,CENY!$B$11:$M$2025,12,FALSE)</f>
        <v>4.299E-2</v>
      </c>
      <c r="BB104" s="95">
        <f>IF(BA104="","",BA104*AY104)</f>
        <v>0</v>
      </c>
      <c r="BC104" s="86" t="s">
        <v>398</v>
      </c>
      <c r="BD104" s="319">
        <f>OBJ!B363</f>
        <v>9278224</v>
      </c>
      <c r="BE104" s="21" t="str">
        <f>VLOOKUP(BD104,CENY!$B$11:$G$1054,2,FALSE)</f>
        <v>Skrutka s polgul.hlavou 3,5x30mm</v>
      </c>
      <c r="BF104" s="22">
        <f>VLOOKUP(BD104,CENY!$B$11:$G$1054,3,FALSE)</f>
        <v>200</v>
      </c>
      <c r="BG104" s="22"/>
      <c r="BH104" s="360">
        <f>3*SUM(BH5:BH18)</f>
        <v>0</v>
      </c>
      <c r="BI104" s="326">
        <f>IF(BH104="","",IF($AW$4=0,BH104,0))</f>
        <v>0</v>
      </c>
      <c r="BJ104" s="95">
        <f>VLOOKUP(BD104,CENY!$B$11:$M$2025,12,FALSE)</f>
        <v>4.299E-2</v>
      </c>
      <c r="BK104" s="95">
        <f t="shared" si="8"/>
        <v>0</v>
      </c>
    </row>
    <row r="105" spans="47:63">
      <c r="AU105" s="319">
        <f>OBJ!B364</f>
        <v>9279197</v>
      </c>
      <c r="AV105" s="21" t="str">
        <f>VLOOKUP(AU105,CENY!$B$11:$G$1054,2,FALSE)</f>
        <v>Skrutka s polgul.hlavou M3,5x12mm</v>
      </c>
      <c r="AW105" s="22">
        <f>VLOOKUP(AU105,CENY!$B$11:$G$1054,3,FALSE)</f>
        <v>1000</v>
      </c>
      <c r="AX105" s="22"/>
      <c r="AY105" s="68">
        <v>0</v>
      </c>
      <c r="AZ105" s="326">
        <f t="shared" si="6"/>
        <v>0</v>
      </c>
      <c r="BA105" s="95" t="e">
        <f>VLOOKUP(AU105,CENY!$B$11:$M$2025,12,FALSE)</f>
        <v>#N/A</v>
      </c>
      <c r="BB105" s="95" t="e">
        <f>IF(BA105="","",BA105*AY105)</f>
        <v>#N/A</v>
      </c>
      <c r="BC105" s="86" t="s">
        <v>399</v>
      </c>
      <c r="BD105" s="319">
        <f>OBJ!B364</f>
        <v>9279197</v>
      </c>
      <c r="BE105" s="21" t="str">
        <f>VLOOKUP(BD105,CENY!$B$11:$G$1054,2,FALSE)</f>
        <v>Skrutka s polgul.hlavou M3,5x12mm</v>
      </c>
      <c r="BF105" s="22">
        <f>VLOOKUP(BD105,CENY!$B$11:$G$1054,3,FALSE)</f>
        <v>1000</v>
      </c>
      <c r="BG105" s="22"/>
      <c r="BH105" s="68">
        <f>AY105</f>
        <v>0</v>
      </c>
      <c r="BI105" s="326">
        <f>IF(BH105="","",IF($AW$4=0,BH105,0))</f>
        <v>0</v>
      </c>
      <c r="BJ105" s="95" t="e">
        <f>VLOOKUP(BD105,CENY!$B$11:$M$2025,12,FALSE)</f>
        <v>#N/A</v>
      </c>
      <c r="BK105" s="95" t="e">
        <f t="shared" si="8"/>
        <v>#N/A</v>
      </c>
    </row>
    <row r="106" spans="47:63">
      <c r="AU106" s="319">
        <f>OBJ!B365</f>
        <v>9137114</v>
      </c>
      <c r="AV106" s="21" t="str">
        <f>VLOOKUP(AU106,CENY!$B$11:$G$1054,2,FALSE)</f>
        <v>EURO-skrutka  6,0x14mm / niklovaná</v>
      </c>
      <c r="AW106" s="22">
        <f>VLOOKUP(AU106,CENY!$B$11:$G$1054,3,FALSE)</f>
        <v>200</v>
      </c>
      <c r="AX106" s="22"/>
      <c r="AY106" s="23">
        <f>SUMPRODUCT(AX21:AX60,AY21:AY60)</f>
        <v>0</v>
      </c>
      <c r="AZ106" s="326">
        <f t="shared" si="6"/>
        <v>0</v>
      </c>
      <c r="BA106" s="95">
        <f>VLOOKUP(AU106,CENY!$B$11:$M$2025,12,FALSE)</f>
        <v>7.7280000000000001E-2</v>
      </c>
      <c r="BB106" s="95">
        <f>IF(BA106="","",BA106*AY106)</f>
        <v>0</v>
      </c>
      <c r="BC106" s="86" t="s">
        <v>400</v>
      </c>
      <c r="BD106" s="319">
        <f>OBJ!B365</f>
        <v>9137114</v>
      </c>
      <c r="BE106" s="21" t="str">
        <f>VLOOKUP(BD106,CENY!$B$11:$G$1054,2,FALSE)</f>
        <v>EURO-skrutka  6,0x14mm / niklovaná</v>
      </c>
      <c r="BF106" s="22">
        <f>VLOOKUP(BD106,CENY!$B$11:$G$1054,3,FALSE)</f>
        <v>200</v>
      </c>
      <c r="BG106" s="22"/>
      <c r="BH106" s="23">
        <f>AY106</f>
        <v>0</v>
      </c>
      <c r="BI106" s="326">
        <f>IF(BH106="","",IF($AW$4=0,BH106,0))</f>
        <v>0</v>
      </c>
      <c r="BJ106" s="95">
        <f>VLOOKUP(BD106,CENY!$B$11:$M$2025,12,FALSE)</f>
        <v>7.7280000000000001E-2</v>
      </c>
      <c r="BK106" s="95">
        <f t="shared" si="8"/>
        <v>0</v>
      </c>
    </row>
    <row r="107" spans="47:63">
      <c r="AU107" s="20"/>
      <c r="AV107" s="21"/>
      <c r="AW107" s="22"/>
      <c r="AX107" s="22"/>
      <c r="AY107" s="23"/>
      <c r="AZ107" s="326" t="str">
        <f>IF(AY107="","",IF($AW$4=1,AY107,0))</f>
        <v/>
      </c>
      <c r="BA107" s="95"/>
      <c r="BB107" s="95" t="str">
        <f>IF(BA107="","",BA107*AY107)</f>
        <v/>
      </c>
      <c r="BD107" s="319"/>
      <c r="BE107" s="21"/>
      <c r="BF107" s="22"/>
      <c r="BG107" s="22"/>
      <c r="BH107" s="23"/>
      <c r="BI107" s="326" t="str">
        <f t="shared" si="7"/>
        <v/>
      </c>
      <c r="BJ107" s="95"/>
      <c r="BK107" s="95" t="str">
        <f t="shared" si="8"/>
        <v/>
      </c>
    </row>
  </sheetData>
  <sheetProtection algorithmName="SHA-512" hashValue="eS9SWww+LvHC23jn5FVtw+AVa3tJjN4ZuC3jZJj1GI7radRBJwLb6sbGTyMO8o754Bm24svqWCOuYDr2ehfdQg==" saltValue="/S9Q7yGqNL41M4G9pnfhcQ==" spinCount="100000" sheet="1" objects="1" scenarios="1"/>
  <mergeCells count="109">
    <mergeCell ref="AC30:AD30"/>
    <mergeCell ref="O20:P20"/>
    <mergeCell ref="O19:P19"/>
    <mergeCell ref="O27:P27"/>
    <mergeCell ref="O28:P28"/>
    <mergeCell ref="Y28:Z28"/>
    <mergeCell ref="AA28:AB28"/>
    <mergeCell ref="AC28:AD28"/>
    <mergeCell ref="B30:G30"/>
    <mergeCell ref="H30:L30"/>
    <mergeCell ref="M30:N30"/>
    <mergeCell ref="S30:T30"/>
    <mergeCell ref="U30:V30"/>
    <mergeCell ref="W28:X28"/>
    <mergeCell ref="W30:X30"/>
    <mergeCell ref="Y30:Z30"/>
    <mergeCell ref="AA30:AB30"/>
    <mergeCell ref="B27:G27"/>
    <mergeCell ref="H27:L27"/>
    <mergeCell ref="M27:N27"/>
    <mergeCell ref="Q27:R27"/>
    <mergeCell ref="S27:T27"/>
    <mergeCell ref="B19:G19"/>
    <mergeCell ref="H19:L19"/>
    <mergeCell ref="AN27:AO27"/>
    <mergeCell ref="AN28:AO28"/>
    <mergeCell ref="AN29:AO29"/>
    <mergeCell ref="B28:G28"/>
    <mergeCell ref="H28:L28"/>
    <mergeCell ref="M28:N28"/>
    <mergeCell ref="Q28:R28"/>
    <mergeCell ref="S28:T28"/>
    <mergeCell ref="U28:V28"/>
    <mergeCell ref="AI25:AO25"/>
    <mergeCell ref="O26:P26"/>
    <mergeCell ref="Q26:R26"/>
    <mergeCell ref="S26:T26"/>
    <mergeCell ref="U26:V26"/>
    <mergeCell ref="W26:X26"/>
    <mergeCell ref="Y26:Z26"/>
    <mergeCell ref="AA26:AB26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M19:N19"/>
    <mergeCell ref="Q19:R19"/>
    <mergeCell ref="S19:T19"/>
    <mergeCell ref="AN19:AO19"/>
    <mergeCell ref="B20:G20"/>
    <mergeCell ref="H20:L20"/>
    <mergeCell ref="M20:N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B12:E12"/>
    <mergeCell ref="F12:K12"/>
    <mergeCell ref="B13:E13"/>
    <mergeCell ref="F13:I13"/>
    <mergeCell ref="J13:K13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I18:AO18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U2:Y2"/>
    <mergeCell ref="AA2:AE2"/>
    <mergeCell ref="AI2:AM2"/>
    <mergeCell ref="AO2:AR2"/>
    <mergeCell ref="B6:E6"/>
    <mergeCell ref="F6:K6"/>
    <mergeCell ref="O2:S2"/>
    <mergeCell ref="B7:E7"/>
    <mergeCell ref="F7:K7"/>
  </mergeCells>
  <conditionalFormatting sqref="AY24:AY29 AY37:AY40 BH36:BH41 BH43:BH48 BH73:BH78 BH22:BH23 AY31:AY35 BH50:BH58 AY15:AY22 AY54:AY57 BH31:BH34 BH64:BH71 BH80:BH93 BH5:BH20 AY5:AY13 AZ6:AZ101">
    <cfRule type="cellIs" dxfId="833" priority="67" stopIfTrue="1" operator="equal">
      <formula>0</formula>
    </cfRule>
  </conditionalFormatting>
  <conditionalFormatting sqref="AY50:AY53 AY63 AY42:AY43 AY47 AY66 AY45">
    <cfRule type="cellIs" dxfId="832" priority="65" stopIfTrue="1" operator="equal">
      <formula>0</formula>
    </cfRule>
  </conditionalFormatting>
  <conditionalFormatting sqref="O17:AF17 S19:T19 S20:AD20 W22:AD22 S27:T27 S28:AD28 S30:AD30">
    <cfRule type="expression" dxfId="831" priority="66" stopIfTrue="1">
      <formula>$AW$4=0</formula>
    </cfRule>
  </conditionalFormatting>
  <conditionalFormatting sqref="AY73 AY79:AY80">
    <cfRule type="cellIs" dxfId="830" priority="64" stopIfTrue="1" operator="equal">
      <formula>0</formula>
    </cfRule>
  </conditionalFormatting>
  <conditionalFormatting sqref="AY81">
    <cfRule type="cellIs" dxfId="829" priority="63" stopIfTrue="1" operator="equal">
      <formula>0</formula>
    </cfRule>
  </conditionalFormatting>
  <conditionalFormatting sqref="AY85:AY94">
    <cfRule type="cellIs" dxfId="828" priority="62" stopIfTrue="1" operator="equal">
      <formula>0</formula>
    </cfRule>
  </conditionalFormatting>
  <conditionalFormatting sqref="AY48:AY49">
    <cfRule type="cellIs" dxfId="827" priority="61" stopIfTrue="1" operator="equal">
      <formula>0</formula>
    </cfRule>
  </conditionalFormatting>
  <conditionalFormatting sqref="AY59">
    <cfRule type="cellIs" dxfId="826" priority="60" stopIfTrue="1" operator="equal">
      <formula>0</formula>
    </cfRule>
  </conditionalFormatting>
  <conditionalFormatting sqref="AY68:AY70">
    <cfRule type="cellIs" dxfId="825" priority="59" stopIfTrue="1" operator="equal">
      <formula>0</formula>
    </cfRule>
  </conditionalFormatting>
  <conditionalFormatting sqref="AY71">
    <cfRule type="cellIs" dxfId="824" priority="58" stopIfTrue="1" operator="equal">
      <formula>0</formula>
    </cfRule>
  </conditionalFormatting>
  <conditionalFormatting sqref="AY72">
    <cfRule type="cellIs" dxfId="823" priority="57" stopIfTrue="1" operator="equal">
      <formula>0</formula>
    </cfRule>
  </conditionalFormatting>
  <conditionalFormatting sqref="AY82:AY84">
    <cfRule type="cellIs" dxfId="822" priority="56" stopIfTrue="1" operator="equal">
      <formula>0</formula>
    </cfRule>
  </conditionalFormatting>
  <conditionalFormatting sqref="BH95:BH97 BH99">
    <cfRule type="cellIs" dxfId="821" priority="55" stopIfTrue="1" operator="equal">
      <formula>0</formula>
    </cfRule>
  </conditionalFormatting>
  <conditionalFormatting sqref="AY95:AY101">
    <cfRule type="cellIs" dxfId="820" priority="53" stopIfTrue="1" operator="equal">
      <formula>0</formula>
    </cfRule>
  </conditionalFormatting>
  <conditionalFormatting sqref="AY60:AY61">
    <cfRule type="cellIs" dxfId="819" priority="52" stopIfTrue="1" operator="equal">
      <formula>0</formula>
    </cfRule>
  </conditionalFormatting>
  <conditionalFormatting sqref="BH100:BH101">
    <cfRule type="cellIs" dxfId="818" priority="50" stopIfTrue="1" operator="equal">
      <formula>0</formula>
    </cfRule>
  </conditionalFormatting>
  <conditionalFormatting sqref="AY14">
    <cfRule type="cellIs" dxfId="817" priority="48" stopIfTrue="1" operator="equal">
      <formula>0</formula>
    </cfRule>
  </conditionalFormatting>
  <conditionalFormatting sqref="AY23">
    <cfRule type="cellIs" dxfId="816" priority="46" stopIfTrue="1" operator="equal">
      <formula>0</formula>
    </cfRule>
  </conditionalFormatting>
  <conditionalFormatting sqref="AY36">
    <cfRule type="cellIs" dxfId="815" priority="45" stopIfTrue="1" operator="equal">
      <formula>0</formula>
    </cfRule>
  </conditionalFormatting>
  <conditionalFormatting sqref="AY41">
    <cfRule type="cellIs" dxfId="814" priority="44" stopIfTrue="1" operator="equal">
      <formula>0</formula>
    </cfRule>
  </conditionalFormatting>
  <conditionalFormatting sqref="AY46">
    <cfRule type="cellIs" dxfId="813" priority="43" stopIfTrue="1" operator="equal">
      <formula>0</formula>
    </cfRule>
  </conditionalFormatting>
  <conditionalFormatting sqref="AY58">
    <cfRule type="cellIs" dxfId="812" priority="42" stopIfTrue="1" operator="equal">
      <formula>0</formula>
    </cfRule>
  </conditionalFormatting>
  <conditionalFormatting sqref="AY62">
    <cfRule type="cellIs" dxfId="811" priority="41" stopIfTrue="1" operator="equal">
      <formula>0</formula>
    </cfRule>
  </conditionalFormatting>
  <conditionalFormatting sqref="AY64">
    <cfRule type="cellIs" dxfId="810" priority="40" stopIfTrue="1" operator="equal">
      <formula>0</formula>
    </cfRule>
  </conditionalFormatting>
  <conditionalFormatting sqref="AY67">
    <cfRule type="cellIs" dxfId="809" priority="39" stopIfTrue="1" operator="equal">
      <formula>0</formula>
    </cfRule>
  </conditionalFormatting>
  <conditionalFormatting sqref="AY74:AY78">
    <cfRule type="cellIs" dxfId="808" priority="38" stopIfTrue="1" operator="equal">
      <formula>0</formula>
    </cfRule>
  </conditionalFormatting>
  <conditionalFormatting sqref="F13:K13">
    <cfRule type="expression" dxfId="807" priority="37" stopIfTrue="1">
      <formula>$AW$4=1</formula>
    </cfRule>
  </conditionalFormatting>
  <conditionalFormatting sqref="BH24:BH27">
    <cfRule type="cellIs" dxfId="806" priority="36" stopIfTrue="1" operator="equal">
      <formula>0</formula>
    </cfRule>
  </conditionalFormatting>
  <conditionalFormatting sqref="BH28">
    <cfRule type="cellIs" dxfId="805" priority="35" stopIfTrue="1" operator="equal">
      <formula>0</formula>
    </cfRule>
  </conditionalFormatting>
  <conditionalFormatting sqref="BH29">
    <cfRule type="cellIs" dxfId="804" priority="34" stopIfTrue="1" operator="equal">
      <formula>0</formula>
    </cfRule>
  </conditionalFormatting>
  <conditionalFormatting sqref="BH30">
    <cfRule type="cellIs" dxfId="803" priority="33" stopIfTrue="1" operator="equal">
      <formula>0</formula>
    </cfRule>
  </conditionalFormatting>
  <conditionalFormatting sqref="BH35">
    <cfRule type="cellIs" dxfId="802" priority="31" stopIfTrue="1" operator="equal">
      <formula>0</formula>
    </cfRule>
  </conditionalFormatting>
  <conditionalFormatting sqref="BH42">
    <cfRule type="cellIs" dxfId="801" priority="30" stopIfTrue="1" operator="equal">
      <formula>0</formula>
    </cfRule>
  </conditionalFormatting>
  <conditionalFormatting sqref="BH59">
    <cfRule type="cellIs" dxfId="800" priority="29" stopIfTrue="1" operator="equal">
      <formula>0</formula>
    </cfRule>
  </conditionalFormatting>
  <conditionalFormatting sqref="BH60:BH63">
    <cfRule type="cellIs" dxfId="799" priority="28" stopIfTrue="1" operator="equal">
      <formula>0</formula>
    </cfRule>
  </conditionalFormatting>
  <conditionalFormatting sqref="BH72">
    <cfRule type="cellIs" dxfId="798" priority="26" stopIfTrue="1" operator="equal">
      <formula>0</formula>
    </cfRule>
  </conditionalFormatting>
  <conditionalFormatting sqref="BH79">
    <cfRule type="cellIs" dxfId="797" priority="25" stopIfTrue="1" operator="equal">
      <formula>0</formula>
    </cfRule>
  </conditionalFormatting>
  <conditionalFormatting sqref="BH94">
    <cfRule type="cellIs" dxfId="796" priority="24" stopIfTrue="1" operator="equal">
      <formula>0</formula>
    </cfRule>
  </conditionalFormatting>
  <conditionalFormatting sqref="BH98">
    <cfRule type="cellIs" dxfId="795" priority="23" stopIfTrue="1" operator="equal">
      <formula>0</formula>
    </cfRule>
  </conditionalFormatting>
  <conditionalFormatting sqref="AE22:AF22">
    <cfRule type="expression" dxfId="794" priority="21" stopIfTrue="1">
      <formula>$AW$4=0</formula>
    </cfRule>
  </conditionalFormatting>
  <conditionalFormatting sqref="BH21">
    <cfRule type="cellIs" dxfId="793" priority="20" stopIfTrue="1" operator="equal">
      <formula>0</formula>
    </cfRule>
  </conditionalFormatting>
  <conditionalFormatting sqref="AY65">
    <cfRule type="cellIs" dxfId="792" priority="19" stopIfTrue="1" operator="equal">
      <formula>0</formula>
    </cfRule>
  </conditionalFormatting>
  <conditionalFormatting sqref="AY44">
    <cfRule type="cellIs" dxfId="791" priority="16" stopIfTrue="1" operator="equal">
      <formula>0</formula>
    </cfRule>
  </conditionalFormatting>
  <conditionalFormatting sqref="AY30">
    <cfRule type="cellIs" dxfId="790" priority="18" stopIfTrue="1" operator="equal">
      <formula>0</formula>
    </cfRule>
  </conditionalFormatting>
  <conditionalFormatting sqref="BH49">
    <cfRule type="cellIs" dxfId="789" priority="17" stopIfTrue="1" operator="equal">
      <formula>0</formula>
    </cfRule>
  </conditionalFormatting>
  <conditionalFormatting sqref="AZ5">
    <cfRule type="cellIs" dxfId="788" priority="15" stopIfTrue="1" operator="equal">
      <formula>0</formula>
    </cfRule>
  </conditionalFormatting>
  <conditionalFormatting sqref="BI5">
    <cfRule type="cellIs" dxfId="787" priority="14" stopIfTrue="1" operator="equal">
      <formula>0</formula>
    </cfRule>
  </conditionalFormatting>
  <conditionalFormatting sqref="BI6:BI101">
    <cfRule type="cellIs" dxfId="786" priority="12" stopIfTrue="1" operator="equal">
      <formula>0</formula>
    </cfRule>
  </conditionalFormatting>
  <conditionalFormatting sqref="BH107">
    <cfRule type="cellIs" dxfId="785" priority="11" stopIfTrue="1" operator="equal">
      <formula>0</formula>
    </cfRule>
  </conditionalFormatting>
  <conditionalFormatting sqref="BI107">
    <cfRule type="cellIs" dxfId="784" priority="10" stopIfTrue="1" operator="equal">
      <formula>0</formula>
    </cfRule>
  </conditionalFormatting>
  <conditionalFormatting sqref="AZ102:AZ106">
    <cfRule type="cellIs" dxfId="783" priority="9" stopIfTrue="1" operator="equal">
      <formula>0</formula>
    </cfRule>
  </conditionalFormatting>
  <conditionalFormatting sqref="AY102:AY106">
    <cfRule type="cellIs" dxfId="782" priority="8" stopIfTrue="1" operator="equal">
      <formula>0</formula>
    </cfRule>
  </conditionalFormatting>
  <conditionalFormatting sqref="BH102 BH105:BH106">
    <cfRule type="cellIs" dxfId="781" priority="7" stopIfTrue="1" operator="equal">
      <formula>0</formula>
    </cfRule>
  </conditionalFormatting>
  <conditionalFormatting sqref="BI102:BI106">
    <cfRule type="cellIs" dxfId="780" priority="6" stopIfTrue="1" operator="equal">
      <formula>0</formula>
    </cfRule>
  </conditionalFormatting>
  <conditionalFormatting sqref="BH103:BH104">
    <cfRule type="cellIs" dxfId="779" priority="5" stopIfTrue="1" operator="equal">
      <formula>0</formula>
    </cfRule>
  </conditionalFormatting>
  <conditionalFormatting sqref="AZ107">
    <cfRule type="cellIs" dxfId="778" priority="4" stopIfTrue="1" operator="equal">
      <formula>0</formula>
    </cfRule>
  </conditionalFormatting>
  <conditionalFormatting sqref="AY107">
    <cfRule type="cellIs" dxfId="777" priority="3" stopIfTrue="1" operator="equal">
      <formula>0</formula>
    </cfRule>
  </conditionalFormatting>
  <conditionalFormatting sqref="AI17:AO17">
    <cfRule type="expression" dxfId="776" priority="2" stopIfTrue="1">
      <formula>$AW$4=0</formula>
    </cfRule>
  </conditionalFormatting>
  <conditionalFormatting sqref="AI25:AO25">
    <cfRule type="expression" dxfId="775" priority="1" stopIfTrue="1">
      <formula>$AW$4=0</formula>
    </cfRule>
  </conditionalFormatting>
  <hyperlinks>
    <hyperlink ref="M4" location="MENU!A1" display="MENU!A1" xr:uid="{00000000-0004-0000-0800-000000000000}"/>
    <hyperlink ref="M10" location="OBJ!A1" display="OBJ!A1" xr:uid="{00000000-0004-0000-0800-000001000000}"/>
    <hyperlink ref="M9" location="suhrn!A1" display="suhrn!A1" xr:uid="{00000000-0004-0000-0800-000002000000}"/>
    <hyperlink ref="O2:S2" location="MENU!A5" display="MENU!A5" xr:uid="{00000000-0004-0000-08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52">
    <tabColor theme="3" tint="0.39997558519241921"/>
  </sheetPr>
  <dimension ref="A1:BK108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187 Inlay"</f>
        <v>Zásuvka AVANTECH YOU 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SUM(BB5:BB963)</f>
        <v>#N/A</v>
      </c>
      <c r="BD4" s="94" t="s">
        <v>34</v>
      </c>
      <c r="BK4" s="322" t="e">
        <f>SUM(BK5:BK954)</f>
        <v>#N/A</v>
      </c>
    </row>
    <row r="5" spans="1:63" ht="14.45" customHeight="1">
      <c r="AU5" s="319">
        <f>OBJ!B168</f>
        <v>9353283</v>
      </c>
      <c r="AV5" s="21" t="str">
        <f>VLOOKUP(AU5,CENY!$B$11:$G$1054,2,FALSE)</f>
        <v>AvanY-sólo boky Inlay-NW 187/350mm/strieb.</v>
      </c>
      <c r="AW5" s="22">
        <f>VLOOKUP(AU5,CENY!$B$11:$G$1054,3,FALSE)</f>
        <v>1</v>
      </c>
      <c r="AX5" s="362">
        <v>6</v>
      </c>
      <c r="AY5" s="23">
        <f>S19+S20+S27+S28+S30</f>
        <v>0</v>
      </c>
      <c r="AZ5" s="326">
        <f>IF(AY5="","",IF($AW$4=1,AY5,0))</f>
        <v>0</v>
      </c>
      <c r="BA5" s="95">
        <f>VLOOKUP(AU5,CENY!$B$11:$M$2025,12,FALSE)</f>
        <v>40.415970000000002</v>
      </c>
      <c r="BB5" s="95">
        <f t="shared" ref="BB5:BB67" si="0">IF(BA5="","",BA5*AY5)</f>
        <v>0</v>
      </c>
      <c r="BD5" s="319">
        <f>OBJ!B176</f>
        <v>9257131</v>
      </c>
      <c r="BE5" s="21" t="str">
        <f>VLOOKUP(BD5,CENY!$B$11:$G$1054,2,FALSE)</f>
        <v>AvanY-bok Inlay ľavý /v187/h350/ strieb.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18.284949999999998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343</v>
      </c>
      <c r="G6" s="566"/>
      <c r="H6" s="566"/>
      <c r="I6" s="566"/>
      <c r="J6" s="566"/>
      <c r="K6" s="566"/>
      <c r="AU6" s="319">
        <f>OBJ!B169</f>
        <v>9353284</v>
      </c>
      <c r="AV6" s="21" t="str">
        <f>VLOOKUP(AU6,CENY!$B$11:$G$1054,2,FALSE)</f>
        <v>AvanY-sólo boky Inlay-NW 187/400mm/strieb.</v>
      </c>
      <c r="AW6" s="22">
        <f>VLOOKUP(AU6,CENY!$B$11:$G$1054,3,FALSE)</f>
        <v>1</v>
      </c>
      <c r="AX6" s="362">
        <v>6</v>
      </c>
      <c r="AY6" s="23">
        <f>U20+U28+U30</f>
        <v>0</v>
      </c>
      <c r="AZ6" s="326">
        <f t="shared" ref="AZ6:AZ68" si="1">IF(AY6="","",IF($AW$4=1,AY6,0))</f>
        <v>0</v>
      </c>
      <c r="BA6" s="95">
        <f>VLOOKUP(AU6,CENY!$B$11:$M$2025,12,FALSE)</f>
        <v>40.990609999999997</v>
      </c>
      <c r="BB6" s="95">
        <f t="shared" si="0"/>
        <v>0</v>
      </c>
      <c r="BD6" s="319">
        <f>OBJ!B177</f>
        <v>9257132</v>
      </c>
      <c r="BE6" s="21" t="str">
        <f>VLOOKUP(BD6,CENY!$B$11:$G$1054,2,FALSE)</f>
        <v>AvanY-bok Inlay pravý /v187/h350/ strieb.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8" si="2">IF(BH6="","",IF($AW$4=0,BH6,0))</f>
        <v>0</v>
      </c>
      <c r="BJ6" s="95">
        <f>VLOOKUP(BD6,CENY!$B$11:$M$2025,12,FALSE)</f>
        <v>18.284949999999998</v>
      </c>
      <c r="BK6" s="95">
        <f t="shared" ref="BK6:BK68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OBJ!B170</f>
        <v>9353285</v>
      </c>
      <c r="AV7" s="21" t="str">
        <f>VLOOKUP(AU7,CENY!$B$11:$G$1054,2,FALSE)</f>
        <v>AvanY-sólo boky Inlay-NW 187/450mm/strieb.</v>
      </c>
      <c r="AW7" s="22">
        <f>VLOOKUP(AU7,CENY!$B$11:$G$1054,3,FALSE)</f>
        <v>1</v>
      </c>
      <c r="AX7" s="362">
        <v>6</v>
      </c>
      <c r="AY7" s="23">
        <f>W20+W22+W28+W30</f>
        <v>0</v>
      </c>
      <c r="AZ7" s="326">
        <f t="shared" si="1"/>
        <v>0</v>
      </c>
      <c r="BA7" s="95">
        <f>VLOOKUP(AU7,CENY!$B$11:$M$2025,12,FALSE)</f>
        <v>39.585979999999999</v>
      </c>
      <c r="BB7" s="95">
        <f t="shared" si="0"/>
        <v>0</v>
      </c>
      <c r="BD7" s="319">
        <f>OBJ!B178</f>
        <v>9257133</v>
      </c>
      <c r="BE7" s="21" t="str">
        <f>VLOOKUP(BD7,CENY!$B$11:$G$1054,2,FALSE)</f>
        <v>AvanY-bok Inlay ľavý /v187/h400/ strieb.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18.615220000000001</v>
      </c>
      <c r="BK7" s="95">
        <f t="shared" si="3"/>
        <v>0</v>
      </c>
    </row>
    <row r="8" spans="1:63" ht="14.45" customHeigh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OBJ!B171</f>
        <v>9353286</v>
      </c>
      <c r="AV8" s="21" t="str">
        <f>VLOOKUP(AU8,CENY!$B$11:$G$1054,2,FALSE)</f>
        <v>AvanY-sólo boky Inlay-NW 187/500mm/strieb.</v>
      </c>
      <c r="AW8" s="22">
        <f>VLOOKUP(AU8,CENY!$B$11:$G$1054,3,FALSE)</f>
        <v>1</v>
      </c>
      <c r="AX8" s="362">
        <v>8</v>
      </c>
      <c r="AY8" s="23">
        <f>Y20+Y22+Y28+Y30</f>
        <v>0</v>
      </c>
      <c r="AZ8" s="326">
        <f t="shared" si="1"/>
        <v>0</v>
      </c>
      <c r="BA8" s="95">
        <f>VLOOKUP(AU8,CENY!$B$11:$M$2025,12,FALSE)</f>
        <v>40.13326</v>
      </c>
      <c r="BB8" s="95">
        <f t="shared" si="0"/>
        <v>0</v>
      </c>
      <c r="BD8" s="319">
        <f>OBJ!B179</f>
        <v>9257134</v>
      </c>
      <c r="BE8" s="21" t="str">
        <f>VLOOKUP(BD8,CENY!$B$11:$G$1054,2,FALSE)</f>
        <v>AvanY-bok Inlay pravý /v187/h400/ strieb.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18.615220000000001</v>
      </c>
      <c r="BK8" s="95">
        <f t="shared" si="3"/>
        <v>0</v>
      </c>
    </row>
    <row r="9" spans="1:63" ht="14.45" customHeight="1">
      <c r="B9" s="551"/>
      <c r="C9" s="551"/>
      <c r="D9" s="551"/>
      <c r="E9" s="551"/>
      <c r="F9" s="566"/>
      <c r="G9" s="566"/>
      <c r="H9" s="566"/>
      <c r="I9" s="566"/>
      <c r="J9" s="566"/>
      <c r="K9" s="566"/>
      <c r="AU9" s="319">
        <f>OBJ!B172</f>
        <v>9353287</v>
      </c>
      <c r="AV9" s="21" t="str">
        <f>VLOOKUP(AU9,CENY!$B$11:$G$1054,2,FALSE)</f>
        <v>AvanY-sólo boky Inlay-NW 187/550mm/strieb.</v>
      </c>
      <c r="AW9" s="22">
        <f>VLOOKUP(AU9,CENY!$B$11:$G$1054,3,FALSE)</f>
        <v>1</v>
      </c>
      <c r="AX9" s="362">
        <v>8</v>
      </c>
      <c r="AY9" s="23">
        <f>AA20+AA22+AA28+AA30</f>
        <v>0</v>
      </c>
      <c r="AZ9" s="326">
        <f t="shared" si="1"/>
        <v>0</v>
      </c>
      <c r="BA9" s="95">
        <f>VLOOKUP(AU9,CENY!$B$11:$M$2025,12,FALSE)</f>
        <v>42.714669999999998</v>
      </c>
      <c r="BB9" s="95">
        <f t="shared" si="0"/>
        <v>0</v>
      </c>
      <c r="BD9" s="319">
        <f>OBJ!B180</f>
        <v>9257135</v>
      </c>
      <c r="BE9" s="21" t="str">
        <f>VLOOKUP(BD9,CENY!$B$11:$G$1054,2,FALSE)</f>
        <v>AvanY-bok Inlay ľavý /v187/h450/ strieb.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18.945989999999998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U10" s="319">
        <f>OBJ!B173</f>
        <v>9353288</v>
      </c>
      <c r="AV10" s="21" t="str">
        <f>VLOOKUP(AU10,CENY!$B$11:$G$1054,2,FALSE)</f>
        <v>AvanY-sólo boky Inlay-NW 187/600mm/strieb.</v>
      </c>
      <c r="AW10" s="22">
        <f>VLOOKUP(AU10,CENY!$B$11:$G$1054,3,FALSE)</f>
        <v>1</v>
      </c>
      <c r="AX10" s="362">
        <v>8</v>
      </c>
      <c r="AY10" s="23">
        <f>AC20+AC22+AC28+AC30</f>
        <v>0</v>
      </c>
      <c r="AZ10" s="326">
        <f t="shared" si="1"/>
        <v>0</v>
      </c>
      <c r="BA10" s="95">
        <f>VLOOKUP(AU10,CENY!$B$11:$M$2025,12,FALSE)</f>
        <v>43.581359999999997</v>
      </c>
      <c r="BB10" s="95">
        <f t="shared" si="0"/>
        <v>0</v>
      </c>
      <c r="BD10" s="319">
        <f>OBJ!B181</f>
        <v>9257136</v>
      </c>
      <c r="BE10" s="21" t="str">
        <f>VLOOKUP(BD10,CENY!$B$11:$G$1054,2,FALSE)</f>
        <v>AvanY-bok Inlay pravý /v187/h450/ strieb.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18.945989999999998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OBJ!B174</f>
        <v>9353289</v>
      </c>
      <c r="AV11" s="21" t="str">
        <f>VLOOKUP(AU11,CENY!$B$11:$G$1054,2,FALSE)</f>
        <v>AvanY-sólo boky Inlay-NW 187/650mm/strieb.</v>
      </c>
      <c r="AW11" s="22">
        <f>VLOOKUP(AU11,CENY!$B$11:$G$1054,3,FALSE)</f>
        <v>1</v>
      </c>
      <c r="AX11" s="362">
        <v>10</v>
      </c>
      <c r="AY11" s="23">
        <f>AE22</f>
        <v>0</v>
      </c>
      <c r="AZ11" s="326">
        <f t="shared" si="1"/>
        <v>0</v>
      </c>
      <c r="BA11" s="95">
        <f>VLOOKUP(AU11,CENY!$B$11:$M$2025,12,FALSE)</f>
        <v>44.76003</v>
      </c>
      <c r="BB11" s="95">
        <f t="shared" si="0"/>
        <v>0</v>
      </c>
      <c r="BD11" s="319">
        <f>OBJ!B182</f>
        <v>9257137</v>
      </c>
      <c r="BE11" s="21" t="str">
        <f>VLOOKUP(BD11,CENY!$B$11:$G$1054,2,FALSE)</f>
        <v>AvanY-bok Inlay ľavý /v187/h500/ strieb.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18.358360000000001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66"/>
      <c r="G12" s="566"/>
      <c r="H12" s="566"/>
      <c r="I12" s="566"/>
      <c r="J12" s="566"/>
      <c r="K12" s="566"/>
      <c r="AU12" s="319"/>
      <c r="AV12" s="21"/>
      <c r="AW12" s="22"/>
      <c r="AX12" s="22"/>
      <c r="AY12" s="23"/>
      <c r="AZ12" s="326" t="str">
        <f t="shared" si="1"/>
        <v/>
      </c>
      <c r="BA12" s="95"/>
      <c r="BB12" s="95" t="str">
        <f t="shared" si="0"/>
        <v/>
      </c>
      <c r="BD12" s="319">
        <f>OBJ!B183</f>
        <v>9257138</v>
      </c>
      <c r="BE12" s="21" t="str">
        <f>VLOOKUP(BD12,CENY!$B$11:$G$1054,2,FALSE)</f>
        <v>AvanY-bok Inlay pravý /v187/h500/ strieb.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18.358360000000001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OBJ!B216</f>
        <v>9283178</v>
      </c>
      <c r="AV13" s="21" t="str">
        <f>VLOOKUP(AU13,CENY!$B$11:$G$1054,2,FALSE)</f>
        <v>AvanY-Inlay sklenené boky 350mm; 2 x sklo</v>
      </c>
      <c r="AW13" s="22">
        <f>VLOOKUP(AU13,CENY!$B$11:$G$1054,3,FALSE)</f>
        <v>1</v>
      </c>
      <c r="AX13" s="22"/>
      <c r="AY13" s="23">
        <f>1*(S19+S20+S27+S28+S30)</f>
        <v>0</v>
      </c>
      <c r="AZ13" s="326">
        <f t="shared" si="1"/>
        <v>0</v>
      </c>
      <c r="BA13" s="95">
        <f>VLOOKUP(AU13,CENY!$B$11:$M$2025,12,FALSE)</f>
        <v>39.701169999999998</v>
      </c>
      <c r="BB13" s="95">
        <f t="shared" si="0"/>
        <v>0</v>
      </c>
      <c r="BD13" s="319">
        <f>OBJ!B184</f>
        <v>9257139</v>
      </c>
      <c r="BE13" s="21" t="str">
        <f>VLOOKUP(BD13,CENY!$B$11:$G$1054,2,FALSE)</f>
        <v>AvanY-bok Inlay ľavý /v187/h550/ strieb.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19.60652</v>
      </c>
      <c r="BK13" s="95">
        <f t="shared" si="3"/>
        <v>0</v>
      </c>
    </row>
    <row r="14" spans="1:63" ht="14.45" customHeight="1">
      <c r="AU14" s="319">
        <f>OBJ!B217</f>
        <v>9283179</v>
      </c>
      <c r="AV14" s="21" t="str">
        <f>VLOOKUP(AU14,CENY!$B$11:$G$1054,2,FALSE)</f>
        <v>AvanY-Inlay sklenené boky 400mm; 2 x sklo</v>
      </c>
      <c r="AW14" s="22">
        <f>VLOOKUP(AU14,CENY!$B$11:$G$1054,3,FALSE)</f>
        <v>1</v>
      </c>
      <c r="AX14" s="22"/>
      <c r="AY14" s="23">
        <f>1*(U20+U28+U30)</f>
        <v>0</v>
      </c>
      <c r="AZ14" s="326">
        <f t="shared" si="1"/>
        <v>0</v>
      </c>
      <c r="BA14" s="95">
        <f>VLOOKUP(AU14,CENY!$B$11:$M$2025,12,FALSE)</f>
        <v>41.949010000000001</v>
      </c>
      <c r="BB14" s="95">
        <f t="shared" si="0"/>
        <v>0</v>
      </c>
      <c r="BD14" s="319">
        <f>OBJ!B185</f>
        <v>9257140</v>
      </c>
      <c r="BE14" s="21" t="str">
        <f>VLOOKUP(BD14,CENY!$B$11:$G$1054,2,FALSE)</f>
        <v>AvanY-bok Inlay pravý /v187/h550/ strieb.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19.60652</v>
      </c>
      <c r="BK14" s="95">
        <f t="shared" si="3"/>
        <v>0</v>
      </c>
    </row>
    <row r="15" spans="1:63" ht="14.45" customHeight="1">
      <c r="AU15" s="319">
        <f>OBJ!B218</f>
        <v>9283180</v>
      </c>
      <c r="AV15" s="21" t="str">
        <f>VLOOKUP(AU15,CENY!$B$11:$G$1054,2,FALSE)</f>
        <v>AvanY-Inlay sklenené boky 450mm; 2 x sklo</v>
      </c>
      <c r="AW15" s="22">
        <f>VLOOKUP(AU15,CENY!$B$11:$G$1054,3,FALSE)</f>
        <v>1</v>
      </c>
      <c r="AX15" s="22"/>
      <c r="AY15" s="23">
        <f>1*(W20+W22+W28+W30)</f>
        <v>0</v>
      </c>
      <c r="AZ15" s="326">
        <f t="shared" si="1"/>
        <v>0</v>
      </c>
      <c r="BA15" s="95">
        <f>VLOOKUP(AU15,CENY!$B$11:$M$2025,12,FALSE)</f>
        <v>44.197099999999999</v>
      </c>
      <c r="BB15" s="95">
        <f t="shared" si="0"/>
        <v>0</v>
      </c>
      <c r="BD15" s="319">
        <f>OBJ!B186</f>
        <v>9257141</v>
      </c>
      <c r="BE15" s="21" t="str">
        <f>VLOOKUP(BD15,CENY!$B$11:$G$1054,2,FALSE)</f>
        <v>AvanY-bok Inlay ľavý /v187/h600/ strieb.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20.105229999999999</v>
      </c>
      <c r="BK15" s="95">
        <f t="shared" si="3"/>
        <v>0</v>
      </c>
    </row>
    <row r="16" spans="1:63" ht="14.45" customHeight="1">
      <c r="AU16" s="319">
        <f>OBJ!B219</f>
        <v>9283181</v>
      </c>
      <c r="AV16" s="21" t="str">
        <f>VLOOKUP(AU16,CENY!$B$11:$G$1054,2,FALSE)</f>
        <v>AvanY-Inlay sklenené boky 500mm; 2 x sklo</v>
      </c>
      <c r="AW16" s="22">
        <f>VLOOKUP(AU16,CENY!$B$11:$G$1054,3,FALSE)</f>
        <v>1</v>
      </c>
      <c r="AX16" s="22"/>
      <c r="AY16" s="23">
        <f>1*(Y20+Y22+Y28+Y30)</f>
        <v>0</v>
      </c>
      <c r="AZ16" s="326">
        <f t="shared" si="1"/>
        <v>0</v>
      </c>
      <c r="BA16" s="95">
        <f>VLOOKUP(AU16,CENY!$B$11:$M$2025,12,FALSE)</f>
        <v>46.445340000000002</v>
      </c>
      <c r="BB16" s="95">
        <f t="shared" si="0"/>
        <v>0</v>
      </c>
      <c r="BD16" s="319">
        <f>OBJ!B187</f>
        <v>9257142</v>
      </c>
      <c r="BE16" s="21" t="str">
        <f>VLOOKUP(BD16,CENY!$B$11:$G$1054,2,FALSE)</f>
        <v>AvanY-bok Inlay pravý /v187/h600/ strieb.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20.105229999999999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I17" s="542" t="str">
        <f>verze!E198</f>
        <v>P2O Silent pre Actro</v>
      </c>
      <c r="AJ17" s="543"/>
      <c r="AK17" s="543"/>
      <c r="AL17" s="543"/>
      <c r="AM17" s="543"/>
      <c r="AN17" s="543"/>
      <c r="AO17" s="543"/>
      <c r="AU17" s="319">
        <f>OBJ!B220</f>
        <v>9283182</v>
      </c>
      <c r="AV17" s="21" t="str">
        <f>VLOOKUP(AU17,CENY!$B$11:$G$1054,2,FALSE)</f>
        <v>AvanY-Inlay sklenené boky 550mm; 2 x sklo</v>
      </c>
      <c r="AW17" s="22">
        <f>VLOOKUP(AU17,CENY!$B$11:$G$1054,3,FALSE)</f>
        <v>1</v>
      </c>
      <c r="AX17" s="22"/>
      <c r="AY17" s="23">
        <f>1*(AA20+AA22+AA28+AA30)</f>
        <v>0</v>
      </c>
      <c r="AZ17" s="326">
        <f t="shared" si="1"/>
        <v>0</v>
      </c>
      <c r="BA17" s="95">
        <f>VLOOKUP(AU17,CENY!$B$11:$M$2025,12,FALSE)</f>
        <v>50.939869999999999</v>
      </c>
      <c r="BB17" s="95">
        <f t="shared" si="0"/>
        <v>0</v>
      </c>
      <c r="BD17" s="319">
        <f>OBJ!B188</f>
        <v>9257143</v>
      </c>
      <c r="BE17" s="21" t="str">
        <f>VLOOKUP(BD17,CENY!$B$11:$G$1054,2,FALSE)</f>
        <v>AvanY-bok Inlay ľavý /v187/h650/ strieb.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20.782730000000001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I18" s="545" t="s">
        <v>299</v>
      </c>
      <c r="AJ18" s="545"/>
      <c r="AK18" s="545"/>
      <c r="AL18" s="545"/>
      <c r="AM18" s="545"/>
      <c r="AN18" s="545"/>
      <c r="AO18" s="545"/>
      <c r="AU18" s="319">
        <f>OBJ!B221</f>
        <v>9283183</v>
      </c>
      <c r="AV18" s="21" t="str">
        <f>VLOOKUP(AU18,CENY!$B$11:$G$1054,2,FALSE)</f>
        <v>AvanY-Inlay sklenené boky 600mm; 2 x sklo</v>
      </c>
      <c r="AW18" s="22">
        <f>VLOOKUP(AU18,CENY!$B$11:$G$1054,3,FALSE)</f>
        <v>1</v>
      </c>
      <c r="AX18" s="22"/>
      <c r="AY18" s="23">
        <f>1*(AC20+AC22+AC28+AC30)</f>
        <v>0</v>
      </c>
      <c r="AZ18" s="326">
        <f t="shared" si="1"/>
        <v>0</v>
      </c>
      <c r="BA18" s="95">
        <f>VLOOKUP(AU18,CENY!$B$11:$M$2025,12,FALSE)</f>
        <v>55.43441</v>
      </c>
      <c r="BB18" s="95">
        <f t="shared" si="0"/>
        <v>0</v>
      </c>
      <c r="BD18" s="319">
        <f>OBJ!B189</f>
        <v>9257144</v>
      </c>
      <c r="BE18" s="21" t="str">
        <f>VLOOKUP(BD18,CENY!$B$11:$G$1054,2,FALSE)</f>
        <v>AvanY-bok Inlay pravý /v187/h650/ strieb.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20.782730000000001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71"/>
      <c r="P19" s="572"/>
      <c r="Q19" s="571"/>
      <c r="R19" s="572"/>
      <c r="S19" s="569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6"/>
      <c r="AO19" s="536"/>
      <c r="AU19" s="319">
        <f>OBJ!B222</f>
        <v>9283184</v>
      </c>
      <c r="AV19" s="21" t="str">
        <f>VLOOKUP(AU19,CENY!$B$11:$G$1054,2,FALSE)</f>
        <v>AvanY-Inlay sklenené boky 650mm; 2 x sklo</v>
      </c>
      <c r="AW19" s="22">
        <f>VLOOKUP(AU19,CENY!$B$11:$G$1054,3,FALSE)</f>
        <v>1</v>
      </c>
      <c r="AX19" s="22"/>
      <c r="AY19" s="23">
        <f>1*(AE22)</f>
        <v>0</v>
      </c>
      <c r="AZ19" s="326">
        <f t="shared" si="1"/>
        <v>0</v>
      </c>
      <c r="BA19" s="95">
        <f>VLOOKUP(AU19,CENY!$B$11:$M$2025,12,FALSE)</f>
        <v>59.929090000000002</v>
      </c>
      <c r="BB19" s="95">
        <f t="shared" si="0"/>
        <v>0</v>
      </c>
      <c r="BD19" s="319"/>
      <c r="BE19" s="21"/>
      <c r="BF19" s="22"/>
      <c r="BG19" s="22"/>
      <c r="BH19" s="23"/>
      <c r="BI19" s="326" t="str">
        <f t="shared" si="2"/>
        <v/>
      </c>
      <c r="BJ19" s="95"/>
      <c r="BK19" s="95" t="str">
        <f t="shared" si="3"/>
        <v/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20"/>
      <c r="P20" s="521"/>
      <c r="Q20" s="520"/>
      <c r="R20" s="521"/>
      <c r="S20" s="518"/>
      <c r="T20" s="519"/>
      <c r="U20" s="518"/>
      <c r="V20" s="519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I20" s="287"/>
      <c r="AJ20" s="288"/>
      <c r="AK20" s="287"/>
      <c r="AL20" s="288"/>
      <c r="AM20" s="286" t="s">
        <v>294</v>
      </c>
      <c r="AN20" s="522"/>
      <c r="AO20" s="522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OBJ!B191</f>
        <v>9257257</v>
      </c>
      <c r="BE20" s="21" t="str">
        <f>VLOOKUP(BD20,CENY!$B$11:$G$1054,2,FALSE)</f>
        <v>AvanY-prích.čela Inlay k naskrutk./ v187</v>
      </c>
      <c r="BF20" s="22">
        <f>VLOOKUP(BD20,CENY!$B$11:$G$1054,3,FALSE)</f>
        <v>100</v>
      </c>
      <c r="BG20" s="22"/>
      <c r="BH20" s="23">
        <f>2*(SUM(S19)+SUM(S20:AD20)+SUM(W22:AF22)+SUM(S27)+SUM(S28:AD28)+SUM(S30:AD30))</f>
        <v>0</v>
      </c>
      <c r="BI20" s="326">
        <f t="shared" si="2"/>
        <v>0</v>
      </c>
      <c r="BJ20" s="95">
        <f>VLOOKUP(BD20,CENY!$B$11:$M$2025,12,FALSE)</f>
        <v>2.4404300000000001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4"/>
      <c r="AO21" s="544"/>
      <c r="AU21" s="319">
        <f>OBJ!B235</f>
        <v>9318160</v>
      </c>
      <c r="AV21" s="21" t="str">
        <f>VLOOKUP(AU21,CENY!$B$11:$G$1054,2,FALSE)</f>
        <v>Actro You(S) 350/SiSy 10kg; EB21</v>
      </c>
      <c r="AW21" s="22">
        <f>VLOOKUP(AU21,CENY!$B$11:$G$1054,3,FALSE)</f>
        <v>1</v>
      </c>
      <c r="AX21" s="362">
        <v>4</v>
      </c>
      <c r="AY21" s="23">
        <f>S19</f>
        <v>0</v>
      </c>
      <c r="AZ21" s="326">
        <f t="shared" si="1"/>
        <v>0</v>
      </c>
      <c r="BA21" s="95">
        <f>VLOOKUP(AU21,CENY!$B$11:$M$2025,12,FALSE)</f>
        <v>31.62575</v>
      </c>
      <c r="BB21" s="95">
        <f t="shared" si="0"/>
        <v>0</v>
      </c>
      <c r="BD21" s="319">
        <f>OBJ!B48</f>
        <v>9257702</v>
      </c>
      <c r="BE21" s="21" t="str">
        <f>VLOOKUP(BD21,CENY!$B$11:$G$1054,2,FALSE)</f>
        <v>AvanY-stabilizátor chrbáta</v>
      </c>
      <c r="BF21" s="22">
        <f>VLOOKUP(BD21,CENY!$B$11:$G$1054,3,FALSE)</f>
        <v>200</v>
      </c>
      <c r="BG21" s="22"/>
      <c r="BH21" s="23">
        <f>2*(SUM(S19)+SUM(S20:AD20)+SUM(W22:AF22)+SUM(S27)+SUM(S28:AD28)+SUM(S30:AD30))</f>
        <v>0</v>
      </c>
      <c r="BI21" s="326">
        <f t="shared" si="2"/>
        <v>0</v>
      </c>
      <c r="BJ21" s="95">
        <f>VLOOKUP(BD21,CENY!$B$11:$M$2025,12,FALSE)</f>
        <v>0.74794000000000005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18"/>
      <c r="AF22" s="519"/>
      <c r="AI22" s="287"/>
      <c r="AJ22" s="288"/>
      <c r="AK22" s="287"/>
      <c r="AL22" s="288"/>
      <c r="AM22" s="286" t="s">
        <v>297</v>
      </c>
      <c r="AN22" s="541"/>
      <c r="AO22" s="541"/>
      <c r="AU22" s="319"/>
      <c r="AV22" s="21"/>
      <c r="AW22" s="22"/>
      <c r="AX22" s="22"/>
      <c r="AY22" s="23"/>
      <c r="AZ22" s="326" t="str">
        <f t="shared" si="1"/>
        <v/>
      </c>
      <c r="BA22" s="95"/>
      <c r="BB22" s="95" t="str">
        <f t="shared" si="0"/>
        <v/>
      </c>
      <c r="BD22" s="319"/>
      <c r="BE22" s="21"/>
      <c r="BF22" s="22"/>
      <c r="BG22" s="22"/>
      <c r="BH22" s="23"/>
      <c r="BI22" s="326" t="str">
        <f t="shared" si="2"/>
        <v/>
      </c>
      <c r="BJ22" s="95"/>
      <c r="BK22" s="95" t="str">
        <f t="shared" si="3"/>
        <v/>
      </c>
    </row>
    <row r="23" spans="2:63" ht="14.45" customHeight="1">
      <c r="O23" s="4"/>
      <c r="P23" s="4"/>
      <c r="AU23" s="319">
        <f>OBJ!B245</f>
        <v>9318188</v>
      </c>
      <c r="AV23" s="21" t="str">
        <f>VLOOKUP(AU23,CENY!$B$11:$G$1054,2,FALSE)</f>
        <v>Actro You(L) 350/SiSy 40kg; EB21</v>
      </c>
      <c r="AW23" s="22">
        <f>VLOOKUP(AU23,CENY!$B$11:$G$1054,3,FALSE)</f>
        <v>1</v>
      </c>
      <c r="AX23" s="362">
        <v>8</v>
      </c>
      <c r="AY23" s="23">
        <f>S20</f>
        <v>0</v>
      </c>
      <c r="AZ23" s="326">
        <f t="shared" si="1"/>
        <v>0</v>
      </c>
      <c r="BA23" s="95">
        <f>VLOOKUP(AU23,CENY!$B$11:$M$2025,12,FALSE)</f>
        <v>31.62575</v>
      </c>
      <c r="BB23" s="95">
        <f t="shared" si="0"/>
        <v>0</v>
      </c>
      <c r="BD23" s="319">
        <f>OBJ!B216</f>
        <v>9283178</v>
      </c>
      <c r="BE23" s="21" t="str">
        <f>VLOOKUP(BD23,CENY!$B$11:$G$1054,2,FALSE)</f>
        <v>AvanY-Inlay sklenené boky 350mm; 2 x sklo</v>
      </c>
      <c r="BF23" s="22">
        <f>VLOOKUP(BD23,CENY!$B$11:$G$1054,3,FALSE)</f>
        <v>1</v>
      </c>
      <c r="BG23" s="22"/>
      <c r="BH23" s="23">
        <f>1*(S19+S20+S27+S28+S30)</f>
        <v>0</v>
      </c>
      <c r="BI23" s="326">
        <f t="shared" si="2"/>
        <v>0</v>
      </c>
      <c r="BJ23" s="95">
        <f>VLOOKUP(BD23,CENY!$B$11:$M$2025,12,FALSE)</f>
        <v>39.701169999999998</v>
      </c>
      <c r="BK23" s="95">
        <f t="shared" si="3"/>
        <v>0</v>
      </c>
    </row>
    <row r="24" spans="2:63" ht="14.45" customHeight="1">
      <c r="AU24" s="319">
        <f>OBJ!B246</f>
        <v>9318190</v>
      </c>
      <c r="AV24" s="21" t="str">
        <f>VLOOKUP(AU24,CENY!$B$11:$G$1054,2,FALSE)</f>
        <v>Actro You(L) 400/SiSy 40kg; EB21</v>
      </c>
      <c r="AW24" s="22">
        <f>VLOOKUP(AU24,CENY!$B$11:$G$1054,3,FALSE)</f>
        <v>1</v>
      </c>
      <c r="AX24" s="362">
        <v>8</v>
      </c>
      <c r="AY24" s="23">
        <f>U20</f>
        <v>0</v>
      </c>
      <c r="AZ24" s="326">
        <f t="shared" si="1"/>
        <v>0</v>
      </c>
      <c r="BA24" s="95">
        <f>VLOOKUP(AU24,CENY!$B$11:$M$2025,12,FALSE)</f>
        <v>31.976389999999999</v>
      </c>
      <c r="BB24" s="95">
        <f t="shared" si="0"/>
        <v>0</v>
      </c>
      <c r="BD24" s="319">
        <f>OBJ!B217</f>
        <v>9283179</v>
      </c>
      <c r="BE24" s="21" t="str">
        <f>VLOOKUP(BD24,CENY!$B$11:$G$1054,2,FALSE)</f>
        <v>AvanY-Inlay sklenené boky 400mm; 2 x sklo</v>
      </c>
      <c r="BF24" s="22">
        <f>VLOOKUP(BD24,CENY!$B$11:$G$1054,3,FALSE)</f>
        <v>1</v>
      </c>
      <c r="BG24" s="22"/>
      <c r="BH24" s="23">
        <f>1*(U20+U28+U30)</f>
        <v>0</v>
      </c>
      <c r="BI24" s="326">
        <f t="shared" si="2"/>
        <v>0</v>
      </c>
      <c r="BJ24" s="95">
        <f>VLOOKUP(BD24,CENY!$B$11:$M$2025,12,FALSE)</f>
        <v>41.949010000000001</v>
      </c>
      <c r="BK24" s="95">
        <f t="shared" si="3"/>
        <v>0</v>
      </c>
    </row>
    <row r="25" spans="2:63" ht="14.45" customHeight="1" thickBot="1">
      <c r="B25" s="2" t="s">
        <v>285</v>
      </c>
      <c r="AI25" s="542" t="str">
        <f>verze!E199</f>
        <v>P2O Silent pre Quadro</v>
      </c>
      <c r="AJ25" s="543"/>
      <c r="AK25" s="543"/>
      <c r="AL25" s="543"/>
      <c r="AM25" s="543"/>
      <c r="AN25" s="543"/>
      <c r="AO25" s="543"/>
      <c r="AU25" s="319">
        <f>OBJ!B247</f>
        <v>9318191</v>
      </c>
      <c r="AV25" s="21" t="str">
        <f>VLOOKUP(AU25,CENY!$B$11:$G$1054,2,FALSE)</f>
        <v>Actro You(L) 450/SiSy 40kg; EB21</v>
      </c>
      <c r="AW25" s="22">
        <f>VLOOKUP(AU25,CENY!$B$11:$G$1054,3,FALSE)</f>
        <v>1</v>
      </c>
      <c r="AX25" s="362">
        <v>10</v>
      </c>
      <c r="AY25" s="23">
        <f>W20</f>
        <v>0</v>
      </c>
      <c r="AZ25" s="326">
        <f t="shared" si="1"/>
        <v>0</v>
      </c>
      <c r="BA25" s="95">
        <f>VLOOKUP(AU25,CENY!$B$11:$M$2025,12,FALSE)</f>
        <v>32.324420000000003</v>
      </c>
      <c r="BB25" s="95">
        <f t="shared" si="0"/>
        <v>0</v>
      </c>
      <c r="BD25" s="319">
        <f>OBJ!B218</f>
        <v>9283180</v>
      </c>
      <c r="BE25" s="21" t="str">
        <f>VLOOKUP(BD25,CENY!$B$11:$G$1054,2,FALSE)</f>
        <v>AvanY-Inlay sklenené boky 450mm; 2 x sklo</v>
      </c>
      <c r="BF25" s="22">
        <f>VLOOKUP(BD25,CENY!$B$11:$G$1054,3,FALSE)</f>
        <v>1</v>
      </c>
      <c r="BG25" s="22"/>
      <c r="BH25" s="23">
        <f>1*(W20+W22+W28+W30)</f>
        <v>0</v>
      </c>
      <c r="BI25" s="326">
        <f t="shared" si="2"/>
        <v>0</v>
      </c>
      <c r="BJ25" s="95">
        <f>VLOOKUP(BD25,CENY!$B$11:$M$2025,12,FALSE)</f>
        <v>44.197099999999999</v>
      </c>
      <c r="BK25" s="95">
        <f t="shared" si="3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I26" s="545" t="s">
        <v>299</v>
      </c>
      <c r="AJ26" s="545"/>
      <c r="AK26" s="545"/>
      <c r="AL26" s="545"/>
      <c r="AM26" s="545"/>
      <c r="AN26" s="545"/>
      <c r="AO26" s="545"/>
      <c r="AU26" s="319">
        <f>OBJ!B248</f>
        <v>9318192</v>
      </c>
      <c r="AV26" s="21" t="str">
        <f>VLOOKUP(AU26,CENY!$B$11:$G$1054,2,FALSE)</f>
        <v>Actro You(L) 500/SiSy 40kg; EB21</v>
      </c>
      <c r="AW26" s="22">
        <f>VLOOKUP(AU26,CENY!$B$11:$G$1054,3,FALSE)</f>
        <v>1</v>
      </c>
      <c r="AX26" s="362">
        <v>10</v>
      </c>
      <c r="AY26" s="23">
        <f>Y20</f>
        <v>0</v>
      </c>
      <c r="AZ26" s="326">
        <f t="shared" si="1"/>
        <v>0</v>
      </c>
      <c r="BA26" s="95">
        <f>VLOOKUP(AU26,CENY!$B$11:$M$2025,12,FALSE)</f>
        <v>6.5957299999999996</v>
      </c>
      <c r="BB26" s="95">
        <f t="shared" si="0"/>
        <v>0</v>
      </c>
      <c r="BD26" s="319">
        <f>OBJ!B219</f>
        <v>9283181</v>
      </c>
      <c r="BE26" s="21" t="str">
        <f>VLOOKUP(BD26,CENY!$B$11:$G$1054,2,FALSE)</f>
        <v>AvanY-Inlay sklenené boky 500mm; 2 x sklo</v>
      </c>
      <c r="BF26" s="22">
        <f>VLOOKUP(BD26,CENY!$B$11:$G$1054,3,FALSE)</f>
        <v>1</v>
      </c>
      <c r="BG26" s="22"/>
      <c r="BH26" s="23">
        <f>1*(Y20+Y22+Y28+Y30)</f>
        <v>0</v>
      </c>
      <c r="BI26" s="326">
        <f t="shared" si="2"/>
        <v>0</v>
      </c>
      <c r="BJ26" s="95">
        <f>VLOOKUP(BD26,CENY!$B$11:$M$2025,12,FALSE)</f>
        <v>46.445340000000002</v>
      </c>
      <c r="BK26" s="95">
        <f t="shared" si="3"/>
        <v>0</v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75"/>
      <c r="P27" s="576"/>
      <c r="Q27" s="575"/>
      <c r="R27" s="576"/>
      <c r="S27" s="569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6"/>
      <c r="AO27" s="536"/>
      <c r="AU27" s="319">
        <f>OBJ!B249</f>
        <v>9318194</v>
      </c>
      <c r="AV27" s="21" t="str">
        <f>VLOOKUP(AU27,CENY!$B$11:$G$1054,2,FALSE)</f>
        <v>Actro You(L) 550/SiSy 40kg; EB21</v>
      </c>
      <c r="AW27" s="22">
        <f>VLOOKUP(AU27,CENY!$B$11:$G$1054,3,FALSE)</f>
        <v>1</v>
      </c>
      <c r="AX27" s="362">
        <v>10</v>
      </c>
      <c r="AY27" s="23">
        <f>AA20</f>
        <v>0</v>
      </c>
      <c r="AZ27" s="326">
        <f t="shared" si="1"/>
        <v>0</v>
      </c>
      <c r="BA27" s="95">
        <f>VLOOKUP(AU27,CENY!$B$11:$M$2025,12,FALSE)</f>
        <v>6.9728000000000003</v>
      </c>
      <c r="BB27" s="95">
        <f t="shared" si="0"/>
        <v>0</v>
      </c>
      <c r="BD27" s="319">
        <f>OBJ!B220</f>
        <v>9283182</v>
      </c>
      <c r="BE27" s="21" t="str">
        <f>VLOOKUP(BD27,CENY!$B$11:$G$1054,2,FALSE)</f>
        <v>AvanY-Inlay sklenené boky 550mm; 2 x sklo</v>
      </c>
      <c r="BF27" s="22">
        <f>VLOOKUP(BD27,CENY!$B$11:$G$1054,3,FALSE)</f>
        <v>1</v>
      </c>
      <c r="BG27" s="22"/>
      <c r="BH27" s="23">
        <f>1*(AA20+AA22+AA28+AA30)</f>
        <v>0</v>
      </c>
      <c r="BI27" s="326">
        <f t="shared" si="2"/>
        <v>0</v>
      </c>
      <c r="BJ27" s="95">
        <f>VLOOKUP(BD27,CENY!$B$11:$M$2025,12,FALSE)</f>
        <v>50.939869999999999</v>
      </c>
      <c r="BK27" s="95">
        <f t="shared" si="3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73"/>
      <c r="P28" s="574"/>
      <c r="Q28" s="573"/>
      <c r="R28" s="574"/>
      <c r="S28" s="518"/>
      <c r="T28" s="519"/>
      <c r="U28" s="518"/>
      <c r="V28" s="519"/>
      <c r="W28" s="518"/>
      <c r="X28" s="519"/>
      <c r="Y28" s="518"/>
      <c r="Z28" s="519"/>
      <c r="AA28" s="518"/>
      <c r="AB28" s="519"/>
      <c r="AC28" s="518"/>
      <c r="AD28" s="519"/>
      <c r="AI28" s="287"/>
      <c r="AJ28" s="288"/>
      <c r="AK28" s="287"/>
      <c r="AL28" s="288"/>
      <c r="AM28" s="286" t="s">
        <v>294</v>
      </c>
      <c r="AN28" s="522"/>
      <c r="AO28" s="522"/>
      <c r="AU28" s="319">
        <f>OBJ!B250</f>
        <v>9318196</v>
      </c>
      <c r="AV28" s="21" t="str">
        <f>VLOOKUP(AU28,CENY!$B$11:$G$1054,2,FALSE)</f>
        <v>Actro You(L) 600/SiSy 40kg; EB21</v>
      </c>
      <c r="AW28" s="22">
        <f>VLOOKUP(AU28,CENY!$B$11:$G$1054,3,FALSE)</f>
        <v>1</v>
      </c>
      <c r="AX28" s="362">
        <v>10</v>
      </c>
      <c r="AY28" s="23">
        <f>AC20</f>
        <v>0</v>
      </c>
      <c r="AZ28" s="326">
        <f t="shared" si="1"/>
        <v>0</v>
      </c>
      <c r="BA28" s="95">
        <f>VLOOKUP(AU28,CENY!$B$11:$M$2025,12,FALSE)</f>
        <v>34.956960000000002</v>
      </c>
      <c r="BB28" s="95">
        <f t="shared" si="0"/>
        <v>0</v>
      </c>
      <c r="BD28" s="319">
        <f>OBJ!B221</f>
        <v>9283183</v>
      </c>
      <c r="BE28" s="21" t="str">
        <f>VLOOKUP(BD28,CENY!$B$11:$G$1054,2,FALSE)</f>
        <v>AvanY-Inlay sklenené boky 600mm; 2 x sklo</v>
      </c>
      <c r="BF28" s="22">
        <f>VLOOKUP(BD28,CENY!$B$11:$G$1054,3,FALSE)</f>
        <v>1</v>
      </c>
      <c r="BG28" s="22"/>
      <c r="BH28" s="23">
        <f>1*(AC20+AC22+AC28+AC30)</f>
        <v>0</v>
      </c>
      <c r="BI28" s="326">
        <f t="shared" si="2"/>
        <v>0</v>
      </c>
      <c r="BJ28" s="95">
        <f>VLOOKUP(BD28,CENY!$B$11:$M$2025,12,FALSE)</f>
        <v>55.43441</v>
      </c>
      <c r="BK28" s="95">
        <f t="shared" si="3"/>
        <v>0</v>
      </c>
    </row>
    <row r="29" spans="2:63" ht="14.45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9"/>
      <c r="AO29" s="529"/>
      <c r="AU29" s="319"/>
      <c r="AV29" s="21"/>
      <c r="AW29" s="22"/>
      <c r="AX29" s="22"/>
      <c r="AY29" s="23"/>
      <c r="AZ29" s="326" t="str">
        <f t="shared" si="1"/>
        <v/>
      </c>
      <c r="BA29" s="95"/>
      <c r="BB29" s="95" t="str">
        <f t="shared" si="0"/>
        <v/>
      </c>
      <c r="BD29" s="319">
        <f>OBJ!B222</f>
        <v>9283184</v>
      </c>
      <c r="BE29" s="21" t="str">
        <f>VLOOKUP(BD29,CENY!$B$11:$G$1054,2,FALSE)</f>
        <v>AvanY-Inlay sklenené boky 650mm; 2 x sklo</v>
      </c>
      <c r="BF29" s="22">
        <f>VLOOKUP(BD29,CENY!$B$11:$G$1054,3,FALSE)</f>
        <v>1</v>
      </c>
      <c r="BG29" s="22"/>
      <c r="BH29" s="23">
        <f>1*(AE22)</f>
        <v>0</v>
      </c>
      <c r="BI29" s="326">
        <f t="shared" si="2"/>
        <v>0</v>
      </c>
      <c r="BJ29" s="95">
        <f>VLOOKUP(BD29,CENY!$B$11:$M$2025,12,FALSE)</f>
        <v>59.929090000000002</v>
      </c>
      <c r="BK29" s="95">
        <f t="shared" si="3"/>
        <v>0</v>
      </c>
    </row>
    <row r="30" spans="2:63" ht="14.45" customHeight="1" thickBot="1">
      <c r="B30" s="530" t="s">
        <v>373</v>
      </c>
      <c r="C30" s="530"/>
      <c r="D30" s="530"/>
      <c r="E30" s="530"/>
      <c r="F30" s="530"/>
      <c r="G30" s="530"/>
      <c r="H30" s="531" t="str">
        <f>verze!E18</f>
        <v>plnovýsuv</v>
      </c>
      <c r="I30" s="531"/>
      <c r="J30" s="531"/>
      <c r="K30" s="531"/>
      <c r="L30" s="531"/>
      <c r="M30" s="525" t="s">
        <v>1</v>
      </c>
      <c r="N30" s="526"/>
      <c r="O30" s="283"/>
      <c r="P30" s="284"/>
      <c r="Q30" s="283"/>
      <c r="R30" s="284"/>
      <c r="S30" s="518"/>
      <c r="T30" s="519"/>
      <c r="U30" s="518"/>
      <c r="V30" s="519"/>
      <c r="W30" s="518"/>
      <c r="X30" s="519"/>
      <c r="Y30" s="518"/>
      <c r="Z30" s="519"/>
      <c r="AA30" s="518"/>
      <c r="AB30" s="519"/>
      <c r="AC30" s="567"/>
      <c r="AD30" s="568"/>
      <c r="AU30" s="319">
        <f>OBJ!B268</f>
        <v>9318215</v>
      </c>
      <c r="AV30" s="21" t="str">
        <f>VLOOKUP(AU30,CENY!$B$11:$G$1054,2,FALSE)</f>
        <v>Actro You(XL) 450/SiSy 70kg; EB21</v>
      </c>
      <c r="AW30" s="22">
        <f>VLOOKUP(AU30,CENY!$B$11:$G$1054,3,FALSE)</f>
        <v>1</v>
      </c>
      <c r="AX30" s="362">
        <v>10</v>
      </c>
      <c r="AY30" s="23">
        <f>W22</f>
        <v>0</v>
      </c>
      <c r="AZ30" s="326">
        <f t="shared" si="1"/>
        <v>0</v>
      </c>
      <c r="BA30" s="95">
        <f>VLOOKUP(AU30,CENY!$B$11:$M$2025,12,FALSE)</f>
        <v>7.9265800000000004</v>
      </c>
      <c r="BB30" s="95">
        <f t="shared" si="0"/>
        <v>0</v>
      </c>
      <c r="BD30" s="319"/>
      <c r="BE30" s="21"/>
      <c r="BF30" s="22"/>
      <c r="BG30" s="22"/>
      <c r="BH30" s="23"/>
      <c r="BI30" s="326" t="str">
        <f t="shared" si="2"/>
        <v/>
      </c>
      <c r="BJ30" s="95"/>
      <c r="BK30" s="95" t="str">
        <f t="shared" si="3"/>
        <v/>
      </c>
    </row>
    <row r="31" spans="2:63" ht="14.45" customHeight="1">
      <c r="AU31" s="319">
        <f>OBJ!B269</f>
        <v>9318216</v>
      </c>
      <c r="AV31" s="21" t="str">
        <f>VLOOKUP(AU31,CENY!$B$11:$G$1054,2,FALSE)</f>
        <v>Actro You(XL) 500/SiSy 70kg; EB21</v>
      </c>
      <c r="AW31" s="22">
        <f>VLOOKUP(AU31,CENY!$B$11:$G$1054,3,FALSE)</f>
        <v>1</v>
      </c>
      <c r="AX31" s="362">
        <v>10</v>
      </c>
      <c r="AY31" s="23">
        <f>Y22</f>
        <v>0</v>
      </c>
      <c r="AZ31" s="326">
        <f t="shared" si="1"/>
        <v>0</v>
      </c>
      <c r="BA31" s="95">
        <f>VLOOKUP(AU31,CENY!$B$11:$M$2025,12,FALSE)</f>
        <v>39.622210000000003</v>
      </c>
      <c r="BB31" s="95">
        <f t="shared" si="0"/>
        <v>0</v>
      </c>
      <c r="BD31" s="319">
        <f>OBJ!B240</f>
        <v>9318149</v>
      </c>
      <c r="BE31" s="21" t="str">
        <f>VLOOKUP(BD31,CENY!$B$11:$G$1054,2,FALSE)</f>
        <v>Actro You(S) 350/SiSy 10kg; EB21; ľavý</v>
      </c>
      <c r="BF31" s="22">
        <f>VLOOKUP(BD31,CENY!$B$11:$G$1054,3,FALSE)</f>
        <v>10</v>
      </c>
      <c r="BG31" s="22"/>
      <c r="BH31" s="23">
        <f>AY21</f>
        <v>0</v>
      </c>
      <c r="BI31" s="326">
        <f t="shared" si="2"/>
        <v>0</v>
      </c>
      <c r="BJ31" s="95">
        <f>VLOOKUP(BD31,CENY!$B$11:$M$2025,12,FALSE)</f>
        <v>14.37729</v>
      </c>
      <c r="BK31" s="95">
        <f t="shared" si="3"/>
        <v>0</v>
      </c>
    </row>
    <row r="32" spans="2:63" ht="14.45" customHeight="1">
      <c r="B32" s="366" t="str">
        <f>verze!E201</f>
        <v>SiSy = tlmenie Silent System</v>
      </c>
      <c r="AU32" s="319">
        <f>OBJ!B270</f>
        <v>9318217</v>
      </c>
      <c r="AV32" s="21" t="str">
        <f>VLOOKUP(AU32,CENY!$B$11:$G$1054,2,FALSE)</f>
        <v>Actro You(XL) 550/SiSy 70kg; EB21</v>
      </c>
      <c r="AW32" s="22">
        <f>VLOOKUP(AU32,CENY!$B$11:$G$1054,3,FALSE)</f>
        <v>1</v>
      </c>
      <c r="AX32" s="362">
        <v>10</v>
      </c>
      <c r="AY32" s="23">
        <f>AA22</f>
        <v>0</v>
      </c>
      <c r="AZ32" s="326">
        <f t="shared" si="1"/>
        <v>0</v>
      </c>
      <c r="BA32" s="95">
        <f>VLOOKUP(AU32,CENY!$B$11:$M$2025,12,FALSE)</f>
        <v>41.504899999999999</v>
      </c>
      <c r="BB32" s="95">
        <f t="shared" si="0"/>
        <v>0</v>
      </c>
      <c r="BD32" s="319">
        <f>OBJ!B241</f>
        <v>9318150</v>
      </c>
      <c r="BE32" s="21" t="str">
        <f>VLOOKUP(BD32,CENY!$B$11:$G$1054,2,FALSE)</f>
        <v>Actro You(S) 350/SiSy 10kg; EB21; pravý</v>
      </c>
      <c r="BF32" s="22">
        <f>VLOOKUP(BD32,CENY!$B$11:$G$1054,3,FALSE)</f>
        <v>10</v>
      </c>
      <c r="BG32" s="22"/>
      <c r="BH32" s="23">
        <f>AY21</f>
        <v>0</v>
      </c>
      <c r="BI32" s="326">
        <f t="shared" si="2"/>
        <v>0</v>
      </c>
      <c r="BJ32" s="95">
        <f>VLOOKUP(BD32,CENY!$B$11:$M$2025,12,FALSE)</f>
        <v>14.37729</v>
      </c>
      <c r="BK32" s="95">
        <f t="shared" si="3"/>
        <v>0</v>
      </c>
    </row>
    <row r="33" spans="2:63" ht="14.45" customHeight="1">
      <c r="B33" s="366" t="str">
        <f>verze!E204</f>
        <v>P2O = otváranie bez úchytky Push to open</v>
      </c>
      <c r="AU33" s="319">
        <f>OBJ!B271</f>
        <v>9318218</v>
      </c>
      <c r="AV33" s="21" t="str">
        <f>VLOOKUP(AU33,CENY!$B$11:$G$1054,2,FALSE)</f>
        <v>Actro You(XL) 600/SiSy 70kg; EB21</v>
      </c>
      <c r="AW33" s="22">
        <f>VLOOKUP(AU33,CENY!$B$11:$G$1054,3,FALSE)</f>
        <v>1</v>
      </c>
      <c r="AX33" s="362">
        <v>10</v>
      </c>
      <c r="AY33" s="23">
        <f>AC22</f>
        <v>0</v>
      </c>
      <c r="AZ33" s="326">
        <f t="shared" si="1"/>
        <v>0</v>
      </c>
      <c r="BA33" s="95">
        <f>VLOOKUP(AU33,CENY!$B$11:$M$2025,12,FALSE)</f>
        <v>45.308109999999999</v>
      </c>
      <c r="BB33" s="95">
        <f t="shared" si="0"/>
        <v>0</v>
      </c>
      <c r="BD33" s="319"/>
      <c r="BE33" s="21"/>
      <c r="BF33" s="22"/>
      <c r="BG33" s="22"/>
      <c r="BH33" s="23"/>
      <c r="BI33" s="326" t="str">
        <f t="shared" si="2"/>
        <v/>
      </c>
      <c r="BJ33" s="95"/>
      <c r="BK33" s="95" t="str">
        <f t="shared" si="3"/>
        <v/>
      </c>
    </row>
    <row r="34" spans="2:63" ht="14.45" customHeight="1">
      <c r="B34" s="366" t="str">
        <f>verze!E203</f>
        <v>P2O Silent = tlmenie s otváraním bez úchytky Push to open Silent</v>
      </c>
      <c r="AU34" s="319">
        <f>OBJ!B272</f>
        <v>9318219</v>
      </c>
      <c r="AV34" s="21" t="str">
        <f>VLOOKUP(AU34,CENY!$B$11:$G$1054,2,FALSE)</f>
        <v>Actro You(XL) 650/SiSy 70kg; EB21</v>
      </c>
      <c r="AW34" s="22">
        <f>VLOOKUP(AU34,CENY!$B$11:$G$1054,3,FALSE)</f>
        <v>1</v>
      </c>
      <c r="AX34" s="362">
        <v>10</v>
      </c>
      <c r="AY34" s="23">
        <f>AE22</f>
        <v>0</v>
      </c>
      <c r="AZ34" s="326">
        <f t="shared" si="1"/>
        <v>0</v>
      </c>
      <c r="BA34" s="95">
        <f>VLOOKUP(AU34,CENY!$B$11:$M$2025,12,FALSE)</f>
        <v>47.02431</v>
      </c>
      <c r="BB34" s="95">
        <f t="shared" si="0"/>
        <v>0</v>
      </c>
      <c r="BD34" s="319">
        <f>OBJ!B255</f>
        <v>9318173</v>
      </c>
      <c r="BE34" s="21" t="str">
        <f>VLOOKUP(BD34,CENY!$B$11:$G$1054,2,FALSE)</f>
        <v>Actro You(L) 350/SiSy 40kg; EB21; ľavý</v>
      </c>
      <c r="BF34" s="22">
        <f>VLOOKUP(BD34,CENY!$B$11:$G$1054,3,FALSE)</f>
        <v>10</v>
      </c>
      <c r="BG34" s="22"/>
      <c r="BH34" s="23">
        <f>AY23</f>
        <v>0</v>
      </c>
      <c r="BI34" s="326">
        <f t="shared" si="2"/>
        <v>0</v>
      </c>
      <c r="BJ34" s="95">
        <f>VLOOKUP(BD34,CENY!$B$11:$M$2025,12,FALSE)</f>
        <v>14.37729</v>
      </c>
      <c r="BK34" s="95">
        <f t="shared" si="3"/>
        <v>0</v>
      </c>
    </row>
    <row r="35" spans="2:63" ht="14.45" customHeight="1">
      <c r="AU35" s="319"/>
      <c r="AV35" s="21"/>
      <c r="AW35" s="22"/>
      <c r="AX35" s="22"/>
      <c r="AY35" s="23"/>
      <c r="AZ35" s="326" t="str">
        <f t="shared" si="1"/>
        <v/>
      </c>
      <c r="BA35" s="95"/>
      <c r="BB35" s="95" t="str">
        <f t="shared" si="0"/>
        <v/>
      </c>
      <c r="BD35" s="319">
        <f>OBJ!B256</f>
        <v>9318174</v>
      </c>
      <c r="BE35" s="21" t="str">
        <f>VLOOKUP(BD35,CENY!$B$11:$G$1054,2,FALSE)</f>
        <v>Actro You(L) 350/SiSy 40kg; EB21; pravý</v>
      </c>
      <c r="BF35" s="22">
        <f>VLOOKUP(BD35,CENY!$B$11:$G$1054,3,FALSE)</f>
        <v>10</v>
      </c>
      <c r="BG35" s="22"/>
      <c r="BH35" s="23">
        <f>AY23</f>
        <v>0</v>
      </c>
      <c r="BI35" s="326">
        <f t="shared" si="2"/>
        <v>0</v>
      </c>
      <c r="BJ35" s="95" t="e">
        <f>VLOOKUP(BD35,CENY!$B$11:$M$2025,12,FALSE)</f>
        <v>#N/A</v>
      </c>
      <c r="BK35" s="95" t="e">
        <f t="shared" si="3"/>
        <v>#N/A</v>
      </c>
    </row>
    <row r="36" spans="2:63" ht="14.45" customHeight="1">
      <c r="AU36" s="319">
        <f>OBJ!B284</f>
        <v>9257890</v>
      </c>
      <c r="AV36" s="21" t="str">
        <f>VLOOKUP(AU36,CENY!$B$11:$G$1054,2,FALSE)</f>
        <v>Actro You - Push to open Silent; &lt;10kg</v>
      </c>
      <c r="AW36" s="22">
        <f>VLOOKUP(AU36,CENY!$B$11:$G$1054,3,FALSE)</f>
        <v>1</v>
      </c>
      <c r="AX36" s="22"/>
      <c r="AY36" s="23">
        <f>AN19</f>
        <v>0</v>
      </c>
      <c r="AZ36" s="326">
        <f t="shared" si="1"/>
        <v>0</v>
      </c>
      <c r="BA36" s="95">
        <f>VLOOKUP(AU36,CENY!$B$11:$M$2025,12,FALSE)</f>
        <v>23.177009999999999</v>
      </c>
      <c r="BB36" s="95">
        <f t="shared" si="0"/>
        <v>0</v>
      </c>
      <c r="BD36" s="319">
        <f>OBJ!B257</f>
        <v>9318175</v>
      </c>
      <c r="BE36" s="21" t="str">
        <f>VLOOKUP(BD36,CENY!$B$11:$G$1054,2,FALSE)</f>
        <v>Actro You(L) 400/SiSy 40kg; EB21; ľavý</v>
      </c>
      <c r="BF36" s="22">
        <f>VLOOKUP(BD36,CENY!$B$11:$G$1054,3,FALSE)</f>
        <v>10</v>
      </c>
      <c r="BG36" s="22"/>
      <c r="BH36" s="23">
        <f>AY24</f>
        <v>0</v>
      </c>
      <c r="BI36" s="326">
        <f t="shared" si="2"/>
        <v>0</v>
      </c>
      <c r="BJ36" s="95">
        <f>VLOOKUP(BD36,CENY!$B$11:$M$2025,12,FALSE)</f>
        <v>14.56085</v>
      </c>
      <c r="BK36" s="95">
        <f t="shared" si="3"/>
        <v>0</v>
      </c>
    </row>
    <row r="37" spans="2:63" ht="14.45" customHeight="1">
      <c r="AU37" s="319">
        <f>OBJ!B285</f>
        <v>9257891</v>
      </c>
      <c r="AV37" s="21" t="str">
        <f>VLOOKUP(AU37,CENY!$B$11:$G$1054,2,FALSE)</f>
        <v>Actro You - Push to open Silent; 8-20kg</v>
      </c>
      <c r="AW37" s="22">
        <f>VLOOKUP(AU37,CENY!$B$11:$G$1054,3,FALSE)</f>
        <v>1</v>
      </c>
      <c r="AX37" s="22"/>
      <c r="AY37" s="23">
        <f>AN20</f>
        <v>0</v>
      </c>
      <c r="AZ37" s="326">
        <f t="shared" si="1"/>
        <v>0</v>
      </c>
      <c r="BA37" s="95">
        <f>VLOOKUP(AU37,CENY!$B$11:$M$2025,12,FALSE)</f>
        <v>23.177009999999999</v>
      </c>
      <c r="BB37" s="95">
        <f t="shared" si="0"/>
        <v>0</v>
      </c>
      <c r="BD37" s="319">
        <f>OBJ!B258</f>
        <v>9318176</v>
      </c>
      <c r="BE37" s="21" t="str">
        <f>VLOOKUP(BD37,CENY!$B$11:$G$1054,2,FALSE)</f>
        <v>Actro You(L) 400/SiSy 40kg; EB21; pravý</v>
      </c>
      <c r="BF37" s="22">
        <f>VLOOKUP(BD37,CENY!$B$11:$G$1054,3,FALSE)</f>
        <v>10</v>
      </c>
      <c r="BG37" s="22"/>
      <c r="BH37" s="23">
        <f>AY24</f>
        <v>0</v>
      </c>
      <c r="BI37" s="326">
        <f t="shared" si="2"/>
        <v>0</v>
      </c>
      <c r="BJ37" s="95">
        <f>VLOOKUP(BD37,CENY!$B$11:$M$2025,12,FALSE)</f>
        <v>14.56085</v>
      </c>
      <c r="BK37" s="95">
        <f t="shared" si="3"/>
        <v>0</v>
      </c>
    </row>
    <row r="38" spans="2:63" ht="14.45" customHeight="1">
      <c r="AU38" s="319">
        <f>OBJ!B286</f>
        <v>9257892</v>
      </c>
      <c r="AV38" s="21" t="str">
        <f>VLOOKUP(AU38,CENY!$B$11:$G$1054,2,FALSE)</f>
        <v>Actro You - Push to open Silent; 10-40kg</v>
      </c>
      <c r="AW38" s="22">
        <f>VLOOKUP(AU38,CENY!$B$11:$G$1054,3,FALSE)</f>
        <v>1</v>
      </c>
      <c r="AX38" s="22"/>
      <c r="AY38" s="23">
        <f>AN21</f>
        <v>0</v>
      </c>
      <c r="AZ38" s="326">
        <f t="shared" si="1"/>
        <v>0</v>
      </c>
      <c r="BA38" s="95">
        <f>VLOOKUP(AU38,CENY!$B$11:$M$2025,12,FALSE)</f>
        <v>23.177009999999999</v>
      </c>
      <c r="BB38" s="95">
        <f t="shared" si="0"/>
        <v>0</v>
      </c>
      <c r="BD38" s="319">
        <f>OBJ!B259</f>
        <v>9318177</v>
      </c>
      <c r="BE38" s="21" t="str">
        <f>VLOOKUP(BD38,CENY!$B$11:$G$1054,2,FALSE)</f>
        <v>Actro You(L) 450/SiSy 40kg; EB21; ľavý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 t="e">
        <f>VLOOKUP(BD38,CENY!$B$11:$M$2025,12,FALSE)</f>
        <v>#N/A</v>
      </c>
      <c r="BK38" s="95" t="e">
        <f t="shared" si="3"/>
        <v>#N/A</v>
      </c>
    </row>
    <row r="39" spans="2:63" ht="14.45" customHeight="1">
      <c r="AU39" s="319">
        <f>OBJ!B287</f>
        <v>9257893</v>
      </c>
      <c r="AV39" s="21" t="str">
        <f>VLOOKUP(AU39,CENY!$B$11:$G$1054,2,FALSE)</f>
        <v>Actro You - Push to open Silent; 20-70kg</v>
      </c>
      <c r="AW39" s="22">
        <f>VLOOKUP(AU39,CENY!$B$11:$G$1054,3,FALSE)</f>
        <v>1</v>
      </c>
      <c r="AX39" s="22"/>
      <c r="AY39" s="23">
        <f>AN22</f>
        <v>0</v>
      </c>
      <c r="AZ39" s="326">
        <f t="shared" si="1"/>
        <v>0</v>
      </c>
      <c r="BA39" s="95">
        <f>VLOOKUP(AU39,CENY!$B$11:$M$2025,12,FALSE)</f>
        <v>23.177009999999999</v>
      </c>
      <c r="BB39" s="95">
        <f t="shared" si="0"/>
        <v>0</v>
      </c>
      <c r="BD39" s="319">
        <f>OBJ!B260</f>
        <v>9318178</v>
      </c>
      <c r="BE39" s="21" t="str">
        <f>VLOOKUP(BD39,CENY!$B$11:$G$1054,2,FALSE)</f>
        <v>Actro You(L) 450/SiSy 40kg; EB21; pravý</v>
      </c>
      <c r="BF39" s="22">
        <f>VLOOKUP(BD39,CENY!$B$11:$G$1054,3,FALSE)</f>
        <v>10</v>
      </c>
      <c r="BG39" s="22"/>
      <c r="BH39" s="23">
        <f>AY25</f>
        <v>0</v>
      </c>
      <c r="BI39" s="326">
        <f t="shared" si="2"/>
        <v>0</v>
      </c>
      <c r="BJ39" s="95">
        <f>VLOOKUP(BD39,CENY!$B$11:$M$2025,12,FALSE)</f>
        <v>14.040839999999999</v>
      </c>
      <c r="BK39" s="95">
        <f t="shared" si="3"/>
        <v>0</v>
      </c>
    </row>
    <row r="40" spans="2:63" ht="14.45" customHeight="1">
      <c r="AU40" s="319">
        <f>OBJ!B288</f>
        <v>9236718</v>
      </c>
      <c r="AV40" s="21" t="str">
        <f>VLOOKUP(AU40,CENY!$B$11:$G$1054,2,FALSE)</f>
        <v>Push to open Synchro / tyč 2.000 mm</v>
      </c>
      <c r="AW40" s="22">
        <f>VLOOKUP(AU40,CENY!$B$11:$G$1054,3,FALSE)</f>
        <v>100</v>
      </c>
      <c r="AX40" s="22"/>
      <c r="AY40" s="23">
        <f>SUM(AN19:AO22)+SUM(AN27:AO29)+SUM(S30:AD30)</f>
        <v>0</v>
      </c>
      <c r="AZ40" s="326">
        <f t="shared" si="1"/>
        <v>0</v>
      </c>
      <c r="BA40" s="95">
        <f>VLOOKUP(AU40,CENY!$B$11:$M$2025,12,FALSE)</f>
        <v>8.7567500000000003</v>
      </c>
      <c r="BB40" s="95">
        <f t="shared" si="0"/>
        <v>0</v>
      </c>
      <c r="BD40" s="319">
        <f>OBJ!B261</f>
        <v>9318179</v>
      </c>
      <c r="BE40" s="21" t="str">
        <f>VLOOKUP(BD40,CENY!$B$11:$G$1054,2,FALSE)</f>
        <v>Actro You(L) 500/SiSy 40kg; EB21; ľavý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13.931559999999999</v>
      </c>
      <c r="BK40" s="95">
        <f t="shared" si="3"/>
        <v>0</v>
      </c>
    </row>
    <row r="41" spans="2:63" ht="14.45" customHeight="1">
      <c r="AU41" s="319"/>
      <c r="AV41" s="21"/>
      <c r="AW41" s="22"/>
      <c r="AX41" s="22"/>
      <c r="AY41" s="23"/>
      <c r="AZ41" s="326" t="str">
        <f t="shared" si="1"/>
        <v/>
      </c>
      <c r="BA41" s="95"/>
      <c r="BB41" s="95" t="str">
        <f t="shared" si="0"/>
        <v/>
      </c>
      <c r="BD41" s="319">
        <f>OBJ!B262</f>
        <v>9318180</v>
      </c>
      <c r="BE41" s="21" t="str">
        <f>VLOOKUP(BD41,CENY!$B$11:$G$1054,2,FALSE)</f>
        <v>Actro You(L) 500/SiSy 40kg; EB21; pravý</v>
      </c>
      <c r="BF41" s="22">
        <f>VLOOKUP(BD41,CENY!$B$11:$G$1054,3,FALSE)</f>
        <v>10</v>
      </c>
      <c r="BG41" s="22"/>
      <c r="BH41" s="23">
        <f>AY26</f>
        <v>0</v>
      </c>
      <c r="BI41" s="326">
        <f t="shared" si="2"/>
        <v>0</v>
      </c>
      <c r="BJ41" s="95">
        <f>VLOOKUP(BD41,CENY!$B$11:$M$2025,12,FALSE)</f>
        <v>13.931559999999999</v>
      </c>
      <c r="BK41" s="95">
        <f t="shared" si="3"/>
        <v>0</v>
      </c>
    </row>
    <row r="42" spans="2:63" ht="14.45" customHeight="1">
      <c r="AU42" s="319">
        <f>OBJ!B296</f>
        <v>9256956</v>
      </c>
      <c r="AV42" s="21" t="str">
        <f>VLOOKUP(AU42,CENY!$B$11:$G$1054,2,FALSE)</f>
        <v>Quadro You(S) 350/SiSy 10kg; EB21</v>
      </c>
      <c r="AW42" s="22">
        <f>VLOOKUP(AU42,CENY!$B$11:$G$1054,3,FALSE)</f>
        <v>1</v>
      </c>
      <c r="AX42" s="362">
        <v>4</v>
      </c>
      <c r="AY42" s="23">
        <f>S27</f>
        <v>0</v>
      </c>
      <c r="AZ42" s="326">
        <f t="shared" si="1"/>
        <v>0</v>
      </c>
      <c r="BA42" s="95">
        <f>VLOOKUP(AU42,CENY!$B$11:$M$2025,12,FALSE)</f>
        <v>23.536069999999999</v>
      </c>
      <c r="BB42" s="95">
        <f t="shared" si="0"/>
        <v>0</v>
      </c>
      <c r="BD42" s="319">
        <f>OBJ!B263</f>
        <v>9318181</v>
      </c>
      <c r="BE42" s="21" t="str">
        <f>VLOOKUP(BD42,CENY!$B$11:$G$1054,2,FALSE)</f>
        <v>Actro You(L) 550/SiSy 40kg; EB21; ľavý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15.147040000000001</v>
      </c>
      <c r="BK42" s="95">
        <f t="shared" si="3"/>
        <v>0</v>
      </c>
    </row>
    <row r="43" spans="2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OBJ!B264</f>
        <v>9318182</v>
      </c>
      <c r="BE43" s="21" t="str">
        <f>VLOOKUP(BD43,CENY!$B$11:$G$1054,2,FALSE)</f>
        <v>Actro You(L) 550/SiSy 40kg; EB21; pravý</v>
      </c>
      <c r="BF43" s="22">
        <f>VLOOKUP(BD43,CENY!$B$11:$G$1054,3,FALSE)</f>
        <v>10</v>
      </c>
      <c r="BG43" s="22"/>
      <c r="BH43" s="23">
        <f>AY27</f>
        <v>0</v>
      </c>
      <c r="BI43" s="326">
        <f t="shared" si="2"/>
        <v>0</v>
      </c>
      <c r="BJ43" s="95">
        <f>VLOOKUP(BD43,CENY!$B$11:$M$2025,12,FALSE)</f>
        <v>15.147040000000001</v>
      </c>
      <c r="BK43" s="95">
        <f t="shared" si="3"/>
        <v>0</v>
      </c>
    </row>
    <row r="44" spans="2:63" ht="14.45" customHeight="1">
      <c r="AU44" s="319">
        <f>OBJ!B306</f>
        <v>9256886</v>
      </c>
      <c r="AV44" s="21" t="str">
        <f>VLOOKUP(AU44,CENY!$B$11:$G$1054,2,FALSE)</f>
        <v>Quadro You(M) 350/SiSy 25kg; EB21</v>
      </c>
      <c r="AW44" s="22">
        <f>VLOOKUP(AU44,CENY!$B$11:$G$1054,3,FALSE)</f>
        <v>1</v>
      </c>
      <c r="AX44" s="362">
        <v>8</v>
      </c>
      <c r="AY44" s="23">
        <f>S28</f>
        <v>0</v>
      </c>
      <c r="AZ44" s="326">
        <f t="shared" si="1"/>
        <v>0</v>
      </c>
      <c r="BA44" s="95" t="e">
        <f>VLOOKUP(AU44,CENY!$B$11:$M$2025,12,FALSE)</f>
        <v>#N/A</v>
      </c>
      <c r="BB44" s="95" t="e">
        <f t="shared" si="0"/>
        <v>#N/A</v>
      </c>
      <c r="BD44" s="319">
        <f>OBJ!B265</f>
        <v>9318183</v>
      </c>
      <c r="BE44" s="21" t="str">
        <f>VLOOKUP(BD44,CENY!$B$11:$G$1054,2,FALSE)</f>
        <v>Actro You(L) 600/SiSy 40kg; EB21; ľavý</v>
      </c>
      <c r="BF44" s="22">
        <f>VLOOKUP(BD44,CENY!$B$11:$G$1054,3,FALSE)</f>
        <v>10</v>
      </c>
      <c r="BG44" s="22"/>
      <c r="BH44" s="23">
        <f>AY28</f>
        <v>0</v>
      </c>
      <c r="BI44" s="326">
        <f t="shared" si="2"/>
        <v>0</v>
      </c>
      <c r="BJ44" s="95">
        <f>VLOOKUP(BD44,CENY!$B$11:$M$2025,12,FALSE)</f>
        <v>15.35308</v>
      </c>
      <c r="BK44" s="95">
        <f t="shared" si="3"/>
        <v>0</v>
      </c>
    </row>
    <row r="45" spans="2:63" ht="14.45" customHeight="1">
      <c r="AU45" s="319">
        <f>OBJ!B307</f>
        <v>9256888</v>
      </c>
      <c r="AV45" s="21" t="str">
        <f>VLOOKUP(AU45,CENY!$B$11:$G$1054,2,FALSE)</f>
        <v>Quadro You(M) 400/SiSy 30kg; EB21</v>
      </c>
      <c r="AW45" s="22">
        <f>VLOOKUP(AU45,CENY!$B$11:$G$1054,3,FALSE)</f>
        <v>1</v>
      </c>
      <c r="AX45" s="362">
        <v>8</v>
      </c>
      <c r="AY45" s="23">
        <f>U28</f>
        <v>0</v>
      </c>
      <c r="AZ45" s="326">
        <f t="shared" si="1"/>
        <v>0</v>
      </c>
      <c r="BA45" s="95">
        <f>VLOOKUP(AU45,CENY!$B$11:$M$2025,12,FALSE)</f>
        <v>24.002659999999999</v>
      </c>
      <c r="BB45" s="95">
        <f t="shared" si="0"/>
        <v>0</v>
      </c>
      <c r="BD45" s="319">
        <f>OBJ!B266</f>
        <v>9318184</v>
      </c>
      <c r="BE45" s="21" t="str">
        <f>VLOOKUP(BD45,CENY!$B$11:$G$1054,2,FALSE)</f>
        <v>Actro You(L) 600/SiSy 40kg; EB21; pravý</v>
      </c>
      <c r="BF45" s="22">
        <f>VLOOKUP(BD45,CENY!$B$11:$G$1054,3,FALSE)</f>
        <v>10</v>
      </c>
      <c r="BG45" s="22"/>
      <c r="BH45" s="23">
        <f>AY28</f>
        <v>0</v>
      </c>
      <c r="BI45" s="326">
        <f t="shared" si="2"/>
        <v>0</v>
      </c>
      <c r="BJ45" s="95" t="e">
        <f>VLOOKUP(BD45,CENY!$B$11:$M$2025,12,FALSE)</f>
        <v>#N/A</v>
      </c>
      <c r="BK45" s="95" t="e">
        <f t="shared" si="3"/>
        <v>#N/A</v>
      </c>
    </row>
    <row r="46" spans="2:63" ht="14.45" customHeight="1">
      <c r="AU46" s="319">
        <f>OBJ!B308</f>
        <v>9256890</v>
      </c>
      <c r="AV46" s="21" t="str">
        <f>VLOOKUP(AU46,CENY!$B$11:$G$1054,2,FALSE)</f>
        <v>Quadro You(M) 450/SiSy 30kg; EB21</v>
      </c>
      <c r="AW46" s="22">
        <f>VLOOKUP(AU46,CENY!$B$11:$G$1054,3,FALSE)</f>
        <v>1</v>
      </c>
      <c r="AX46" s="362">
        <v>8</v>
      </c>
      <c r="AY46" s="23">
        <f>W28</f>
        <v>0</v>
      </c>
      <c r="AZ46" s="326">
        <f t="shared" si="1"/>
        <v>0</v>
      </c>
      <c r="BA46" s="95">
        <f>VLOOKUP(AU46,CENY!$B$11:$M$2025,12,FALSE)</f>
        <v>4.9393000000000002</v>
      </c>
      <c r="BB46" s="95">
        <f t="shared" si="0"/>
        <v>0</v>
      </c>
      <c r="BD46" s="319"/>
      <c r="BE46" s="21"/>
      <c r="BF46" s="22"/>
      <c r="BG46" s="22"/>
      <c r="BH46" s="23"/>
      <c r="BI46" s="326" t="str">
        <f t="shared" si="2"/>
        <v/>
      </c>
      <c r="BJ46" s="95"/>
      <c r="BK46" s="95" t="str">
        <f t="shared" si="3"/>
        <v/>
      </c>
    </row>
    <row r="47" spans="2:63" ht="14.45" customHeight="1">
      <c r="AU47" s="319">
        <f>OBJ!B309</f>
        <v>9256892</v>
      </c>
      <c r="AV47" s="21" t="str">
        <f>VLOOKUP(AU47,CENY!$B$11:$G$1054,2,FALSE)</f>
        <v>Quadro You(M) 500/SiSy 30kg; EB21</v>
      </c>
      <c r="AW47" s="22">
        <f>VLOOKUP(AU47,CENY!$B$11:$G$1054,3,FALSE)</f>
        <v>1</v>
      </c>
      <c r="AX47" s="362">
        <v>8</v>
      </c>
      <c r="AY47" s="23">
        <f>Y28</f>
        <v>0</v>
      </c>
      <c r="AZ47" s="326">
        <f t="shared" si="1"/>
        <v>0</v>
      </c>
      <c r="BA47" s="95">
        <f>VLOOKUP(AU47,CENY!$B$11:$M$2025,12,FALSE)</f>
        <v>23.748699999999999</v>
      </c>
      <c r="BB47" s="95">
        <f t="shared" si="0"/>
        <v>0</v>
      </c>
      <c r="BD47" s="319">
        <f>OBJ!B273</f>
        <v>9318198</v>
      </c>
      <c r="BE47" s="21" t="str">
        <f>VLOOKUP(BD47,CENY!$B$11:$G$1054,2,FALSE)</f>
        <v>Actro You(XL) 450/SiSy 70kg; EB21; ľavý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 t="e">
        <f>VLOOKUP(BD47,CENY!$B$11:$M$2025,12,FALSE)</f>
        <v>#N/A</v>
      </c>
      <c r="BK47" s="95" t="e">
        <f t="shared" si="3"/>
        <v>#N/A</v>
      </c>
    </row>
    <row r="48" spans="2:63" ht="14.45" customHeight="1">
      <c r="AU48" s="319">
        <f>OBJ!B310</f>
        <v>9256894</v>
      </c>
      <c r="AV48" s="21" t="str">
        <f>VLOOKUP(AU48,CENY!$B$11:$G$1054,2,FALSE)</f>
        <v>Quadro You(M) 550/SiSy 30kg; EB21</v>
      </c>
      <c r="AW48" s="22">
        <f>VLOOKUP(AU48,CENY!$B$11:$G$1054,3,FALSE)</f>
        <v>1</v>
      </c>
      <c r="AX48" s="362">
        <v>8</v>
      </c>
      <c r="AY48" s="23">
        <f>AA28</f>
        <v>0</v>
      </c>
      <c r="AZ48" s="326">
        <f t="shared" si="1"/>
        <v>0</v>
      </c>
      <c r="BA48" s="95">
        <f>VLOOKUP(AU48,CENY!$B$11:$M$2025,12,FALSE)</f>
        <v>5.1277499999999998</v>
      </c>
      <c r="BB48" s="95">
        <f t="shared" si="0"/>
        <v>0</v>
      </c>
      <c r="BD48" s="319">
        <f>OBJ!B274</f>
        <v>9318199</v>
      </c>
      <c r="BE48" s="21" t="str">
        <f>VLOOKUP(BD48,CENY!$B$11:$G$1054,2,FALSE)</f>
        <v>Actro You(XL) 450/SiSy 70kg; EB21; pravý</v>
      </c>
      <c r="BF48" s="22">
        <f>VLOOKUP(BD48,CENY!$B$11:$G$1054,3,FALSE)</f>
        <v>10</v>
      </c>
      <c r="BG48" s="22"/>
      <c r="BH48" s="23">
        <f>AY30</f>
        <v>0</v>
      </c>
      <c r="BI48" s="326">
        <f t="shared" si="2"/>
        <v>0</v>
      </c>
      <c r="BJ48" s="95" t="e">
        <f>VLOOKUP(BD48,CENY!$B$11:$M$2025,12,FALSE)</f>
        <v>#N/A</v>
      </c>
      <c r="BK48" s="95" t="e">
        <f t="shared" si="3"/>
        <v>#N/A</v>
      </c>
    </row>
    <row r="49" spans="47:63" ht="14.45" customHeight="1">
      <c r="AU49" s="319">
        <f>OBJ!B311</f>
        <v>9256896</v>
      </c>
      <c r="AV49" s="21" t="str">
        <f>VLOOKUP(AU49,CENY!$B$11:$G$1054,2,FALSE)</f>
        <v>Quadro You(M) 600/SiSy 25kg; EB21</v>
      </c>
      <c r="AW49" s="22">
        <f>VLOOKUP(AU49,CENY!$B$11:$G$1054,3,FALSE)</f>
        <v>1</v>
      </c>
      <c r="AX49" s="362">
        <v>8</v>
      </c>
      <c r="AY49" s="23">
        <f>AC28</f>
        <v>0</v>
      </c>
      <c r="AZ49" s="326">
        <f t="shared" si="1"/>
        <v>0</v>
      </c>
      <c r="BA49" s="95">
        <f>VLOOKUP(AU49,CENY!$B$11:$M$2025,12,FALSE)</f>
        <v>25.86984</v>
      </c>
      <c r="BB49" s="95">
        <f t="shared" si="0"/>
        <v>0</v>
      </c>
      <c r="BD49" s="319">
        <f>OBJ!B275</f>
        <v>9318201</v>
      </c>
      <c r="BE49" s="21" t="str">
        <f>VLOOKUP(BD49,CENY!$B$11:$G$1054,2,FALSE)</f>
        <v>Actro You(XL) 500/SiSy 70kg; EB21; ľavý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17.52394</v>
      </c>
      <c r="BK49" s="95">
        <f t="shared" si="3"/>
        <v>0</v>
      </c>
    </row>
    <row r="50" spans="47:63" ht="14.45" customHeight="1">
      <c r="AU50" s="319"/>
      <c r="AV50" s="21"/>
      <c r="AW50" s="22"/>
      <c r="AX50" s="22"/>
      <c r="AY50" s="23"/>
      <c r="AZ50" s="326" t="str">
        <f t="shared" si="1"/>
        <v/>
      </c>
      <c r="BA50" s="95"/>
      <c r="BB50" s="95" t="str">
        <f t="shared" si="0"/>
        <v/>
      </c>
      <c r="BD50" s="319">
        <f>OBJ!B276</f>
        <v>9318203</v>
      </c>
      <c r="BE50" s="21" t="str">
        <f>VLOOKUP(BD50,CENY!$B$11:$G$1054,2,FALSE)</f>
        <v>Actro You(XL) 500/SiSy 70kg; EB21; pravý</v>
      </c>
      <c r="BF50" s="22">
        <f>VLOOKUP(BD50,CENY!$B$11:$G$1054,3,FALSE)</f>
        <v>10</v>
      </c>
      <c r="BG50" s="22"/>
      <c r="BH50" s="23">
        <f>AY31</f>
        <v>0</v>
      </c>
      <c r="BI50" s="326">
        <f t="shared" si="2"/>
        <v>0</v>
      </c>
      <c r="BJ50" s="95">
        <f>VLOOKUP(BD50,CENY!$B$11:$M$2025,12,FALSE)</f>
        <v>17.52394</v>
      </c>
      <c r="BK50" s="95">
        <f t="shared" si="3"/>
        <v>0</v>
      </c>
    </row>
    <row r="51" spans="47:63" ht="14.45" customHeight="1">
      <c r="AU51" s="319">
        <f>OBJ!B329</f>
        <v>9257894</v>
      </c>
      <c r="AV51" s="21" t="str">
        <f>VLOOKUP(AU51,CENY!$B$11:$G$1054,2,FALSE)</f>
        <v>Quadro You - Push to open Silent; &lt;10kg</v>
      </c>
      <c r="AW51" s="22">
        <f>VLOOKUP(AU51,CENY!$B$11:$G$1054,3,FALSE)</f>
        <v>1</v>
      </c>
      <c r="AX51" s="22"/>
      <c r="AY51" s="23">
        <f>AN27</f>
        <v>0</v>
      </c>
      <c r="AZ51" s="326">
        <f t="shared" si="1"/>
        <v>0</v>
      </c>
      <c r="BA51" s="95">
        <f>VLOOKUP(AU51,CENY!$B$11:$M$2025,12,FALSE)</f>
        <v>23.114239999999999</v>
      </c>
      <c r="BB51" s="95">
        <f t="shared" si="0"/>
        <v>0</v>
      </c>
      <c r="BD51" s="319">
        <f>OBJ!B277</f>
        <v>9318208</v>
      </c>
      <c r="BE51" s="21" t="str">
        <f>VLOOKUP(BD51,CENY!$B$11:$G$1054,2,FALSE)</f>
        <v>Actro You(XL) 550/SiSy 70kg; EB21; ľavý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18.45496</v>
      </c>
      <c r="BK51" s="95">
        <f t="shared" si="3"/>
        <v>0</v>
      </c>
    </row>
    <row r="52" spans="47:63" ht="14.45" customHeight="1">
      <c r="AU52" s="319">
        <f>OBJ!B330</f>
        <v>9257895</v>
      </c>
      <c r="AV52" s="21" t="str">
        <f>VLOOKUP(AU52,CENY!$B$11:$G$1054,2,FALSE)</f>
        <v>Quadro You - Push to open Silent; 8-20kg</v>
      </c>
      <c r="AW52" s="22">
        <f>VLOOKUP(AU52,CENY!$B$11:$G$1054,3,FALSE)</f>
        <v>1</v>
      </c>
      <c r="AX52" s="22"/>
      <c r="AY52" s="23">
        <f>AN28</f>
        <v>0</v>
      </c>
      <c r="AZ52" s="326">
        <f t="shared" si="1"/>
        <v>0</v>
      </c>
      <c r="BA52" s="95">
        <f>VLOOKUP(AU52,CENY!$B$11:$M$2025,12,FALSE)</f>
        <v>23.114239999999999</v>
      </c>
      <c r="BB52" s="95">
        <f t="shared" si="0"/>
        <v>0</v>
      </c>
      <c r="BD52" s="319">
        <f>OBJ!B278</f>
        <v>9318209</v>
      </c>
      <c r="BE52" s="21" t="str">
        <f>VLOOKUP(BD52,CENY!$B$11:$G$1054,2,FALSE)</f>
        <v>Actro You(XL) 550/SiSy 70kg; EB21; pravý</v>
      </c>
      <c r="BF52" s="22">
        <f>VLOOKUP(BD52,CENY!$B$11:$G$1054,3,FALSE)</f>
        <v>10</v>
      </c>
      <c r="BG52" s="22"/>
      <c r="BH52" s="23">
        <f>AY32</f>
        <v>0</v>
      </c>
      <c r="BI52" s="326">
        <f t="shared" si="2"/>
        <v>0</v>
      </c>
      <c r="BJ52" s="95">
        <f>VLOOKUP(BD52,CENY!$B$11:$M$2025,12,FALSE)</f>
        <v>18.45496</v>
      </c>
      <c r="BK52" s="95">
        <f t="shared" si="3"/>
        <v>0</v>
      </c>
    </row>
    <row r="53" spans="47:63" ht="14.45" customHeight="1">
      <c r="AU53" s="319">
        <f>OBJ!B331</f>
        <v>9257896</v>
      </c>
      <c r="AV53" s="21" t="str">
        <f>VLOOKUP(AU53,CENY!$B$11:$G$1054,2,FALSE)</f>
        <v>Quadro You - Push to open Silent; 10-30kg</v>
      </c>
      <c r="AW53" s="22">
        <f>VLOOKUP(AU53,CENY!$B$11:$G$1054,3,FALSE)</f>
        <v>1</v>
      </c>
      <c r="AX53" s="22"/>
      <c r="AY53" s="23">
        <f>AN29</f>
        <v>0</v>
      </c>
      <c r="AZ53" s="326">
        <f t="shared" si="1"/>
        <v>0</v>
      </c>
      <c r="BA53" s="95">
        <f>VLOOKUP(AU53,CENY!$B$11:$M$2025,12,FALSE)</f>
        <v>23.114239999999999</v>
      </c>
      <c r="BB53" s="95">
        <f t="shared" si="0"/>
        <v>0</v>
      </c>
      <c r="BD53" s="319">
        <f>OBJ!B279</f>
        <v>9318211</v>
      </c>
      <c r="BE53" s="21" t="str">
        <f>VLOOKUP(BD53,CENY!$B$11:$G$1054,2,FALSE)</f>
        <v>Actro You(XL) 600/SiSy 70kg; EB21; ľavý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21.352720000000001</v>
      </c>
      <c r="BK53" s="95">
        <f t="shared" si="3"/>
        <v>0</v>
      </c>
    </row>
    <row r="54" spans="47:63" ht="14.45" customHeight="1">
      <c r="AU54" s="319"/>
      <c r="AV54" s="21"/>
      <c r="AW54" s="22"/>
      <c r="AX54" s="22"/>
      <c r="AY54" s="23"/>
      <c r="AZ54" s="326" t="str">
        <f t="shared" si="1"/>
        <v/>
      </c>
      <c r="BA54" s="95"/>
      <c r="BB54" s="95" t="str">
        <f t="shared" si="0"/>
        <v/>
      </c>
      <c r="BD54" s="319">
        <f>OBJ!B280</f>
        <v>9318212</v>
      </c>
      <c r="BE54" s="21" t="str">
        <f>VLOOKUP(BD54,CENY!$B$11:$G$1054,2,FALSE)</f>
        <v>Actro You(XL) 600/SiSy 70kg; EB21; pravý</v>
      </c>
      <c r="BF54" s="22">
        <f>VLOOKUP(BD54,CENY!$B$11:$G$1054,3,FALSE)</f>
        <v>10</v>
      </c>
      <c r="BG54" s="22"/>
      <c r="BH54" s="23">
        <f>AY33</f>
        <v>0</v>
      </c>
      <c r="BI54" s="326">
        <f t="shared" si="2"/>
        <v>0</v>
      </c>
      <c r="BJ54" s="95">
        <f>VLOOKUP(BD54,CENY!$B$11:$M$2025,12,FALSE)</f>
        <v>21.352720000000001</v>
      </c>
      <c r="BK54" s="95">
        <f t="shared" si="3"/>
        <v>0</v>
      </c>
    </row>
    <row r="55" spans="47:63" ht="14.45" customHeight="1">
      <c r="AU55" s="319">
        <f>OBJ!B335</f>
        <v>9256931</v>
      </c>
      <c r="AV55" s="21" t="str">
        <f>VLOOKUP(AU55,CENY!$B$11:$G$1054,2,FALSE)</f>
        <v>Quadro You(M) 350/P2O 25kg; EB21</v>
      </c>
      <c r="AW55" s="22">
        <f>VLOOKUP(AU55,CENY!$B$11:$G$1054,3,FALSE)</f>
        <v>1</v>
      </c>
      <c r="AX55" s="362">
        <v>8</v>
      </c>
      <c r="AY55" s="23">
        <f>S30</f>
        <v>0</v>
      </c>
      <c r="AZ55" s="326">
        <f t="shared" si="1"/>
        <v>0</v>
      </c>
      <c r="BA55" s="95">
        <f>VLOOKUP(AU55,CENY!$B$11:$M$2025,12,FALSE)</f>
        <v>26.336690000000001</v>
      </c>
      <c r="BB55" s="95">
        <f t="shared" si="0"/>
        <v>0</v>
      </c>
      <c r="BD55" s="319">
        <f>OBJ!B281</f>
        <v>9318213</v>
      </c>
      <c r="BE55" s="21" t="str">
        <f>VLOOKUP(BD55,CENY!$B$11:$G$1054,2,FALSE)</f>
        <v>Actro You(XL) 650/SiSy 70kg; EB21; ľavý</v>
      </c>
      <c r="BF55" s="22">
        <f>VLOOKUP(BD55,CENY!$B$11:$G$1054,3,FALSE)</f>
        <v>5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22.243659999999998</v>
      </c>
      <c r="BK55" s="95">
        <f t="shared" si="3"/>
        <v>0</v>
      </c>
    </row>
    <row r="56" spans="47:63" ht="14.45" customHeight="1">
      <c r="AU56" s="319">
        <f>OBJ!B336</f>
        <v>9256933</v>
      </c>
      <c r="AV56" s="21" t="str">
        <f>VLOOKUP(AU56,CENY!$B$11:$G$1054,2,FALSE)</f>
        <v>Quadro You(M) 400/P2O 30kg; EB21</v>
      </c>
      <c r="AW56" s="22">
        <f>VLOOKUP(AU56,CENY!$B$11:$G$1054,3,FALSE)</f>
        <v>1</v>
      </c>
      <c r="AX56" s="362">
        <v>8</v>
      </c>
      <c r="AY56" s="23">
        <f>U30</f>
        <v>0</v>
      </c>
      <c r="AZ56" s="326">
        <f t="shared" si="1"/>
        <v>0</v>
      </c>
      <c r="BA56" s="95">
        <f>VLOOKUP(AU56,CENY!$B$11:$M$2025,12,FALSE)</f>
        <v>26.80339</v>
      </c>
      <c r="BB56" s="95">
        <f t="shared" si="0"/>
        <v>0</v>
      </c>
      <c r="BD56" s="319">
        <f>OBJ!B282</f>
        <v>9318214</v>
      </c>
      <c r="BE56" s="21" t="str">
        <f>VLOOKUP(BD56,CENY!$B$11:$G$1054,2,FALSE)</f>
        <v>Actro You(XL) 650/SiSy 70kg; EB21; pravý</v>
      </c>
      <c r="BF56" s="22">
        <f>VLOOKUP(BD56,CENY!$B$11:$G$1054,3,FALSE)</f>
        <v>5</v>
      </c>
      <c r="BG56" s="22"/>
      <c r="BH56" s="23">
        <f>AY34</f>
        <v>0</v>
      </c>
      <c r="BI56" s="326">
        <f t="shared" si="2"/>
        <v>0</v>
      </c>
      <c r="BJ56" s="95">
        <f>VLOOKUP(BD56,CENY!$B$11:$M$2025,12,FALSE)</f>
        <v>22.243659999999998</v>
      </c>
      <c r="BK56" s="95">
        <f t="shared" si="3"/>
        <v>0</v>
      </c>
    </row>
    <row r="57" spans="47:63" ht="14.45" customHeight="1">
      <c r="AU57" s="319">
        <f>OBJ!B337</f>
        <v>9256935</v>
      </c>
      <c r="AV57" s="21" t="str">
        <f>VLOOKUP(AU57,CENY!$B$11:$G$1054,2,FALSE)</f>
        <v>Quadro You(M) 450/P2O 30kg; EB21</v>
      </c>
      <c r="AW57" s="22">
        <f>VLOOKUP(AU57,CENY!$B$11:$G$1054,3,FALSE)</f>
        <v>1</v>
      </c>
      <c r="AX57" s="362">
        <v>8</v>
      </c>
      <c r="AY57" s="23">
        <f>W30</f>
        <v>0</v>
      </c>
      <c r="AZ57" s="326">
        <f t="shared" si="1"/>
        <v>0</v>
      </c>
      <c r="BA57" s="95">
        <f>VLOOKUP(AU57,CENY!$B$11:$M$2025,12,FALSE)</f>
        <v>27.270389999999999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5" customHeight="1">
      <c r="AU58" s="319">
        <f>OBJ!B338</f>
        <v>9256937</v>
      </c>
      <c r="AV58" s="21" t="str">
        <f>VLOOKUP(AU58,CENY!$B$11:$G$1054,2,FALSE)</f>
        <v>Quadro You(M) 500/P2O 30kg; EB21</v>
      </c>
      <c r="AW58" s="22">
        <f>VLOOKUP(AU58,CENY!$B$11:$G$1054,3,FALSE)</f>
        <v>1</v>
      </c>
      <c r="AX58" s="362">
        <v>8</v>
      </c>
      <c r="AY58" s="23">
        <f>Y30</f>
        <v>0</v>
      </c>
      <c r="AZ58" s="326">
        <f t="shared" si="1"/>
        <v>0</v>
      </c>
      <c r="BA58" s="95">
        <f>VLOOKUP(AU58,CENY!$B$11:$M$2025,12,FALSE)</f>
        <v>5.5988800000000003</v>
      </c>
      <c r="BB58" s="95">
        <f t="shared" si="0"/>
        <v>0</v>
      </c>
      <c r="BD58" s="319">
        <f>OBJ!B284</f>
        <v>9257890</v>
      </c>
      <c r="BE58" s="21" t="str">
        <f>VLOOKUP(BD58,CENY!$B$11:$G$1054,2,FALSE)</f>
        <v>Actro You - Push to open Silent; &lt;10kg</v>
      </c>
      <c r="BF58" s="22">
        <f>VLOOKUP(BD58,CENY!$B$11:$G$1054,3,FALSE)</f>
        <v>1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23.177009999999999</v>
      </c>
      <c r="BK58" s="95">
        <f t="shared" si="3"/>
        <v>0</v>
      </c>
    </row>
    <row r="59" spans="47:63" ht="14.45" customHeight="1">
      <c r="AU59" s="319">
        <f>OBJ!B339</f>
        <v>9256939</v>
      </c>
      <c r="AV59" s="21" t="str">
        <f>VLOOKUP(AU59,CENY!$B$11:$G$1054,2,FALSE)</f>
        <v>Quadro You(M) 550/P2O 30kg; EB21</v>
      </c>
      <c r="AW59" s="22">
        <f>VLOOKUP(AU59,CENY!$B$11:$G$1054,3,FALSE)</f>
        <v>1</v>
      </c>
      <c r="AX59" s="362">
        <v>8</v>
      </c>
      <c r="AY59" s="23">
        <f>AA30</f>
        <v>0</v>
      </c>
      <c r="AZ59" s="326">
        <f t="shared" si="1"/>
        <v>0</v>
      </c>
      <c r="BA59" s="95">
        <f>VLOOKUP(AU59,CENY!$B$11:$M$2025,12,FALSE)</f>
        <v>28.20382</v>
      </c>
      <c r="BB59" s="95">
        <f t="shared" si="0"/>
        <v>0</v>
      </c>
      <c r="BD59" s="319">
        <f>OBJ!B285</f>
        <v>9257891</v>
      </c>
      <c r="BE59" s="21" t="str">
        <f>VLOOKUP(BD59,CENY!$B$11:$G$1054,2,FALSE)</f>
        <v>Actro You - Push to open Silent; 8-20kg</v>
      </c>
      <c r="BF59" s="22">
        <f>VLOOKUP(BD59,CENY!$B$11:$G$1054,3,FALSE)</f>
        <v>1</v>
      </c>
      <c r="BG59" s="22"/>
      <c r="BH59" s="23">
        <f>AY37</f>
        <v>0</v>
      </c>
      <c r="BI59" s="326">
        <f t="shared" si="2"/>
        <v>0</v>
      </c>
      <c r="BJ59" s="95">
        <f>VLOOKUP(BD59,CENY!$B$11:$M$2025,12,FALSE)</f>
        <v>23.177009999999999</v>
      </c>
      <c r="BK59" s="95">
        <f t="shared" si="3"/>
        <v>0</v>
      </c>
    </row>
    <row r="60" spans="47:63" ht="14.45" customHeight="1">
      <c r="AU60" s="319">
        <f>OBJ!B340</f>
        <v>9256941</v>
      </c>
      <c r="AV60" s="21" t="str">
        <f>VLOOKUP(AU60,CENY!$B$11:$G$1054,2,FALSE)</f>
        <v>Quadro You(M) 600/P2O 25kg; EB21</v>
      </c>
      <c r="AW60" s="22">
        <f>VLOOKUP(AU60,CENY!$B$11:$G$1054,3,FALSE)</f>
        <v>1</v>
      </c>
      <c r="AX60" s="362">
        <v>8</v>
      </c>
      <c r="AY60" s="23">
        <f>AC30</f>
        <v>0</v>
      </c>
      <c r="AZ60" s="326">
        <f t="shared" si="1"/>
        <v>0</v>
      </c>
      <c r="BA60" s="95">
        <f>VLOOKUP(AU60,CENY!$B$11:$M$2025,12,FALSE)</f>
        <v>28.670570000000001</v>
      </c>
      <c r="BB60" s="95">
        <f t="shared" si="0"/>
        <v>0</v>
      </c>
      <c r="BD60" s="319">
        <f>OBJ!B286</f>
        <v>9257892</v>
      </c>
      <c r="BE60" s="21" t="str">
        <f>VLOOKUP(BD60,CENY!$B$11:$G$1054,2,FALSE)</f>
        <v>Actro You - Push to open Silent; 10-40kg</v>
      </c>
      <c r="BF60" s="22">
        <f>VLOOKUP(BD60,CENY!$B$11:$G$1054,3,FALSE)</f>
        <v>1</v>
      </c>
      <c r="BG60" s="22"/>
      <c r="BH60" s="23">
        <f>AY38</f>
        <v>0</v>
      </c>
      <c r="BI60" s="326">
        <f t="shared" si="2"/>
        <v>0</v>
      </c>
      <c r="BJ60" s="95">
        <f>VLOOKUP(BD60,CENY!$B$11:$M$2025,12,FALSE)</f>
        <v>23.177009999999999</v>
      </c>
      <c r="BK60" s="95">
        <f t="shared" si="3"/>
        <v>0</v>
      </c>
    </row>
    <row r="61" spans="47:63" ht="14.45" customHeight="1">
      <c r="AU61" s="319"/>
      <c r="AV61" s="21"/>
      <c r="AW61" s="22"/>
      <c r="AX61" s="22"/>
      <c r="AY61" s="23"/>
      <c r="AZ61" s="326" t="str">
        <f t="shared" si="1"/>
        <v/>
      </c>
      <c r="BA61" s="95"/>
      <c r="BB61" s="95" t="str">
        <f t="shared" si="0"/>
        <v/>
      </c>
      <c r="BD61" s="319">
        <f>OBJ!B287</f>
        <v>9257893</v>
      </c>
      <c r="BE61" s="21" t="str">
        <f>VLOOKUP(BD61,CENY!$B$11:$G$1054,2,FALSE)</f>
        <v>Actro You - Push to open Silent; 20-70kg</v>
      </c>
      <c r="BF61" s="22">
        <f>VLOOKUP(BD61,CENY!$B$11:$G$1054,3,FALSE)</f>
        <v>1</v>
      </c>
      <c r="BG61" s="22"/>
      <c r="BH61" s="23">
        <f>AY39</f>
        <v>0</v>
      </c>
      <c r="BI61" s="326">
        <f t="shared" si="2"/>
        <v>0</v>
      </c>
      <c r="BJ61" s="95">
        <f>VLOOKUP(BD61,CENY!$B$11:$M$2025,12,FALSE)</f>
        <v>23.177009999999999</v>
      </c>
      <c r="BK61" s="95">
        <f t="shared" si="3"/>
        <v>0</v>
      </c>
    </row>
    <row r="62" spans="47:63" ht="14.45" customHeight="1">
      <c r="AU62" s="319">
        <f>OBJ!B358</f>
        <v>9219966</v>
      </c>
      <c r="AV62" s="21" t="str">
        <f>VLOOKUP(AU62,CENY!$B$11:$G$1054,2,FALSE)</f>
        <v>Push to open Synchro / adaptér typ A</v>
      </c>
      <c r="AW62" s="22">
        <f>VLOOKUP(AU62,CENY!$B$11:$G$1054,3,FALSE)</f>
        <v>200</v>
      </c>
      <c r="AX62" s="22"/>
      <c r="AY62" s="23">
        <f>2*SUM(Q30:AD30)</f>
        <v>0</v>
      </c>
      <c r="AZ62" s="326">
        <f t="shared" si="1"/>
        <v>0</v>
      </c>
      <c r="BA62" s="95">
        <f>VLOOKUP(AU62,CENY!$B$11:$M$2025,12,FALSE)</f>
        <v>0.79318999999999995</v>
      </c>
      <c r="BB62" s="95">
        <f t="shared" si="0"/>
        <v>0</v>
      </c>
      <c r="BD62" s="319">
        <f>OBJ!B288</f>
        <v>9236718</v>
      </c>
      <c r="BE62" s="21" t="str">
        <f>VLOOKUP(BD62,CENY!$B$11:$G$1054,2,FALSE)</f>
        <v>Push to open Synchro / tyč 2.000 mm</v>
      </c>
      <c r="BF62" s="22">
        <f>VLOOKUP(BD62,CENY!$B$11:$G$1054,3,FALSE)</f>
        <v>100</v>
      </c>
      <c r="BG62" s="22"/>
      <c r="BH62" s="23">
        <f>AY40</f>
        <v>0</v>
      </c>
      <c r="BI62" s="326">
        <f t="shared" si="2"/>
        <v>0</v>
      </c>
      <c r="BJ62" s="95">
        <f>VLOOKUP(BD62,CENY!$B$11:$M$2025,12,FALSE)</f>
        <v>8.7567500000000003</v>
      </c>
      <c r="BK62" s="95">
        <f t="shared" si="3"/>
        <v>0</v>
      </c>
    </row>
    <row r="63" spans="47:63" ht="14.45" customHeight="1">
      <c r="AU63" s="319"/>
      <c r="AV63" s="21"/>
      <c r="AW63" s="22"/>
      <c r="AX63" s="22"/>
      <c r="AY63" s="23"/>
      <c r="AZ63" s="326" t="str">
        <f t="shared" si="1"/>
        <v/>
      </c>
      <c r="BA63" s="95"/>
      <c r="BB63" s="95" t="str">
        <f t="shared" si="0"/>
        <v/>
      </c>
      <c r="BD63" s="319"/>
      <c r="BE63" s="21"/>
      <c r="BF63" s="22"/>
      <c r="BG63" s="22"/>
      <c r="BH63" s="23"/>
      <c r="BI63" s="326" t="str">
        <f t="shared" si="2"/>
        <v/>
      </c>
      <c r="BJ63" s="95"/>
      <c r="BK63" s="95" t="str">
        <f t="shared" si="3"/>
        <v/>
      </c>
    </row>
    <row r="64" spans="47:63" ht="14.45" customHeight="1">
      <c r="AU64" s="442">
        <f>OBJ!B191</f>
        <v>9257257</v>
      </c>
      <c r="AV64" s="443" t="str">
        <f>VLOOKUP(AU64,CENY!$B$11:$G$1054,2,FALSE)</f>
        <v>AvanY-prích.čela Inlay k naskrutk./ v187</v>
      </c>
      <c r="AW64" s="22">
        <f>VLOOKUP(AU64,CENY!$B$11:$G$1054,3,FALSE)</f>
        <v>100</v>
      </c>
      <c r="AX64" s="22"/>
      <c r="AY64" s="68">
        <f>2*(SUM(S19)+SUM(S20:AD20)+SUM(W22:AF22)+SUM(S27)+SUM(S28:AD28)+SUM(S30:AD30))</f>
        <v>0</v>
      </c>
      <c r="AZ64" s="326">
        <f t="shared" si="1"/>
        <v>0</v>
      </c>
      <c r="BA64" s="95">
        <f>VLOOKUP(AU64,CENY!$B$11:$M$2025,12,FALSE)</f>
        <v>2.4404300000000001</v>
      </c>
      <c r="BB64" s="95">
        <f t="shared" si="0"/>
        <v>0</v>
      </c>
      <c r="BD64" s="319">
        <f>OBJ!B301</f>
        <v>9256950</v>
      </c>
      <c r="BE64" s="21" t="str">
        <f>VLOOKUP(BD64,CENY!$B$11:$G$1054,2,FALSE)</f>
        <v>Quadro You(S) 350/SiSy 10kg; EB21; ľavý</v>
      </c>
      <c r="BF64" s="22">
        <f>VLOOKUP(BD64,CENY!$B$11:$G$1054,3,FALSE)</f>
        <v>20</v>
      </c>
      <c r="BG64" s="22"/>
      <c r="BH64" s="23">
        <f>AY42</f>
        <v>0</v>
      </c>
      <c r="BI64" s="326">
        <f t="shared" si="2"/>
        <v>0</v>
      </c>
      <c r="BJ64" s="95">
        <f>VLOOKUP(BD64,CENY!$B$11:$M$2025,12,FALSE)</f>
        <v>11.02122</v>
      </c>
      <c r="BK64" s="95">
        <f t="shared" si="3"/>
        <v>0</v>
      </c>
    </row>
    <row r="65" spans="47:63" ht="14.45" customHeight="1">
      <c r="AU65" s="319"/>
      <c r="AV65" s="21"/>
      <c r="AW65" s="22"/>
      <c r="AX65" s="22"/>
      <c r="AY65" s="23"/>
      <c r="AZ65" s="326" t="str">
        <f t="shared" si="1"/>
        <v/>
      </c>
      <c r="BA65" s="95"/>
      <c r="BB65" s="95" t="str">
        <f t="shared" si="0"/>
        <v/>
      </c>
      <c r="BD65" s="319">
        <f>OBJ!B302</f>
        <v>9256951</v>
      </c>
      <c r="BE65" s="21" t="str">
        <f>VLOOKUP(BD65,CENY!$B$11:$G$1054,2,FALSE)</f>
        <v>Quadro You(S) 350/SiSy 10kg; EB21; pravý</v>
      </c>
      <c r="BF65" s="22">
        <f>VLOOKUP(BD65,CENY!$B$11:$G$1054,3,FALSE)</f>
        <v>20</v>
      </c>
      <c r="BG65" s="22"/>
      <c r="BH65" s="23">
        <f>AY42</f>
        <v>0</v>
      </c>
      <c r="BI65" s="326">
        <f t="shared" si="2"/>
        <v>0</v>
      </c>
      <c r="BJ65" s="95">
        <f>VLOOKUP(BD65,CENY!$B$11:$M$2025,12,FALSE)</f>
        <v>11.02122</v>
      </c>
      <c r="BK65" s="95">
        <f t="shared" si="3"/>
        <v>0</v>
      </c>
    </row>
    <row r="66" spans="47:63" ht="14.45" customHeight="1">
      <c r="AU66" s="320">
        <f>OBJ!B214</f>
        <v>0</v>
      </c>
      <c r="AV66" s="321" t="e">
        <f>VLOOKUP(AU66,CENY!$B$11:$G$1054,2,FALSE)</f>
        <v>#N/A</v>
      </c>
      <c r="AW66" s="22" t="e">
        <f>VLOOKUP(AU66,CENY!$B$11:$G$1054,3,FALSE)</f>
        <v>#N/A</v>
      </c>
      <c r="AX66" s="22"/>
      <c r="AY66" s="68">
        <f>IF(FORM!AM21&lt;&gt;FORM!AW16,(2*(+SUM(O19:T19)+SUM(O20:AD20)+SUM(W22:AF22)+SUM(O27:T27)+SUM(O28:AD28)+SUM(O30:AD30))),0)</f>
        <v>0</v>
      </c>
      <c r="AZ66" s="326">
        <f t="shared" si="1"/>
        <v>0</v>
      </c>
      <c r="BA66" s="324" t="str">
        <f>IF(AU66=0,"",VLOOKUP(AU66,CENY!$B$11:$M$2025,12,FALSE))</f>
        <v/>
      </c>
      <c r="BB66" s="95" t="str">
        <f t="shared" si="0"/>
        <v/>
      </c>
      <c r="BD66" s="319"/>
      <c r="BE66" s="21"/>
      <c r="BF66" s="22"/>
      <c r="BG66" s="22"/>
      <c r="BH66" s="23"/>
      <c r="BI66" s="326" t="str">
        <f t="shared" si="2"/>
        <v/>
      </c>
      <c r="BJ66" s="95"/>
      <c r="BK66" s="95" t="str">
        <f t="shared" si="3"/>
        <v/>
      </c>
    </row>
    <row r="67" spans="47:63" ht="14.45" customHeight="1">
      <c r="AU67" s="319"/>
      <c r="AV67" s="21"/>
      <c r="AW67" s="22"/>
      <c r="AX67" s="22"/>
      <c r="AY67" s="23"/>
      <c r="AZ67" s="326" t="str">
        <f t="shared" si="1"/>
        <v/>
      </c>
      <c r="BA67" s="95"/>
      <c r="BB67" s="95" t="str">
        <f t="shared" si="0"/>
        <v/>
      </c>
      <c r="BD67" s="319">
        <f>OBJ!B316</f>
        <v>9256860</v>
      </c>
      <c r="BE67" s="21" t="str">
        <f>VLOOKUP(BD67,CENY!$B$11:$G$1054,2,FALSE)</f>
        <v>Quadro You(M) 350/SiSy 25kg; EB21; ľavý</v>
      </c>
      <c r="BF67" s="22">
        <f>VLOOKUP(BD67,CENY!$B$11:$G$1054,3,FALSE)</f>
        <v>20</v>
      </c>
      <c r="BG67" s="22"/>
      <c r="BH67" s="23">
        <f>AY44</f>
        <v>0</v>
      </c>
      <c r="BI67" s="326">
        <f t="shared" si="2"/>
        <v>0</v>
      </c>
      <c r="BJ67" s="95">
        <f>VLOOKUP(BD67,CENY!$B$11:$M$2025,12,FALSE)</f>
        <v>11.02122</v>
      </c>
      <c r="BK67" s="95">
        <f t="shared" si="3"/>
        <v>0</v>
      </c>
    </row>
    <row r="68" spans="47:63" ht="14.45" customHeight="1"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ref="BB68:BB105" si="4">IF(BA68="","",BA68*AY68)</f>
        <v/>
      </c>
      <c r="BD68" s="319">
        <f>OBJ!B317</f>
        <v>9256861</v>
      </c>
      <c r="BE68" s="21" t="str">
        <f>VLOOKUP(BD68,CENY!$B$11:$G$1054,2,FALSE)</f>
        <v>Quadro You(M) 350/SiSy 25kg; EB21; pravý</v>
      </c>
      <c r="BF68" s="22">
        <f>VLOOKUP(BD68,CENY!$B$11:$G$1054,3,FALSE)</f>
        <v>20</v>
      </c>
      <c r="BG68" s="22"/>
      <c r="BH68" s="23">
        <f>AY44</f>
        <v>0</v>
      </c>
      <c r="BI68" s="326">
        <f t="shared" si="2"/>
        <v>0</v>
      </c>
      <c r="BJ68" s="95">
        <f>VLOOKUP(BD68,CENY!$B$11:$M$2025,12,FALSE)</f>
        <v>11.02122</v>
      </c>
      <c r="BK68" s="95">
        <f t="shared" si="3"/>
        <v>0</v>
      </c>
    </row>
    <row r="69" spans="47:63" ht="14.45" customHeight="1">
      <c r="AU69" s="319"/>
      <c r="AV69" s="21"/>
      <c r="AW69" s="22"/>
      <c r="AX69" s="22"/>
      <c r="AY69" s="23"/>
      <c r="AZ69" s="326" t="str">
        <f t="shared" ref="AZ69:AZ106" si="5">IF(AY69="","",IF($AW$4=1,AY69,0))</f>
        <v/>
      </c>
      <c r="BA69" s="95"/>
      <c r="BB69" s="95" t="str">
        <f t="shared" si="4"/>
        <v/>
      </c>
      <c r="BD69" s="319">
        <f>OBJ!B318</f>
        <v>9256864</v>
      </c>
      <c r="BE69" s="21" t="str">
        <f>VLOOKUP(BD69,CENY!$B$11:$G$1054,2,FALSE)</f>
        <v>Quadro You(M) 400/SiSy 30kg; EB21; ľavý</v>
      </c>
      <c r="BF69" s="22">
        <f>VLOOKUP(BD69,CENY!$B$11:$G$1054,3,FALSE)</f>
        <v>20</v>
      </c>
      <c r="BG69" s="22"/>
      <c r="BH69" s="23">
        <f>AY45</f>
        <v>0</v>
      </c>
      <c r="BI69" s="326">
        <f t="shared" ref="BI69:BI108" si="6">IF(BH69="","",IF($AW$4=0,BH69,0))</f>
        <v>0</v>
      </c>
      <c r="BJ69" s="95">
        <f>VLOOKUP(BD69,CENY!$B$11:$M$2025,12,FALSE)</f>
        <v>11.25459</v>
      </c>
      <c r="BK69" s="95">
        <f t="shared" ref="BK69:BK108" si="7">IF(BJ69="","",BJ69*BH69)</f>
        <v>0</v>
      </c>
    </row>
    <row r="70" spans="47:63" ht="14.45" customHeight="1">
      <c r="AU70" s="319"/>
      <c r="AV70" s="21"/>
      <c r="AW70" s="22"/>
      <c r="AX70" s="22"/>
      <c r="AY70" s="23"/>
      <c r="AZ70" s="326" t="str">
        <f t="shared" si="5"/>
        <v/>
      </c>
      <c r="BA70" s="95"/>
      <c r="BB70" s="95" t="str">
        <f t="shared" si="4"/>
        <v/>
      </c>
      <c r="BD70" s="319">
        <f>OBJ!B319</f>
        <v>9256865</v>
      </c>
      <c r="BE70" s="21" t="str">
        <f>VLOOKUP(BD70,CENY!$B$11:$G$1054,2,FALSE)</f>
        <v>Quadro You(M) 400/SiSy 30kg; EB21; pravý</v>
      </c>
      <c r="BF70" s="22">
        <f>VLOOKUP(BD70,CENY!$B$11:$G$1054,3,FALSE)</f>
        <v>20</v>
      </c>
      <c r="BG70" s="22"/>
      <c r="BH70" s="23">
        <f>AY45</f>
        <v>0</v>
      </c>
      <c r="BI70" s="326">
        <f t="shared" si="6"/>
        <v>0</v>
      </c>
      <c r="BJ70" s="95">
        <f>VLOOKUP(BD70,CENY!$B$11:$M$2025,12,FALSE)</f>
        <v>11.25459</v>
      </c>
      <c r="BK70" s="95">
        <f t="shared" si="7"/>
        <v>0</v>
      </c>
    </row>
    <row r="71" spans="47:63" ht="14.45" customHeight="1">
      <c r="AU71" s="319"/>
      <c r="AV71" s="21"/>
      <c r="AW71" s="22"/>
      <c r="AX71" s="22"/>
      <c r="AY71" s="23"/>
      <c r="AZ71" s="326" t="str">
        <f t="shared" si="5"/>
        <v/>
      </c>
      <c r="BA71" s="95"/>
      <c r="BB71" s="95" t="str">
        <f t="shared" si="4"/>
        <v/>
      </c>
      <c r="BD71" s="319">
        <f>OBJ!B320</f>
        <v>9256868</v>
      </c>
      <c r="BE71" s="21" t="str">
        <f>VLOOKUP(BD71,CENY!$B$11:$G$1054,2,FALSE)</f>
        <v>Quadro You(M) 450/SiSy 30kg; EB21; ľavý</v>
      </c>
      <c r="BF71" s="22">
        <f>VLOOKUP(BD71,CENY!$B$11:$G$1054,3,FALSE)</f>
        <v>20</v>
      </c>
      <c r="BG71" s="22"/>
      <c r="BH71" s="23">
        <f>AY46</f>
        <v>0</v>
      </c>
      <c r="BI71" s="326">
        <f t="shared" si="6"/>
        <v>0</v>
      </c>
      <c r="BJ71" s="95">
        <f>VLOOKUP(BD71,CENY!$B$11:$M$2025,12,FALSE)</f>
        <v>11.487740000000001</v>
      </c>
      <c r="BK71" s="95">
        <f t="shared" si="7"/>
        <v>0</v>
      </c>
    </row>
    <row r="72" spans="47:63" ht="14.45" customHeight="1">
      <c r="AU72" s="319"/>
      <c r="AV72" s="21"/>
      <c r="AW72" s="22"/>
      <c r="AX72" s="22"/>
      <c r="AY72" s="23"/>
      <c r="AZ72" s="326" t="str">
        <f t="shared" si="5"/>
        <v/>
      </c>
      <c r="BA72" s="95"/>
      <c r="BB72" s="95" t="str">
        <f t="shared" si="4"/>
        <v/>
      </c>
      <c r="BD72" s="319">
        <f>OBJ!B321</f>
        <v>9256869</v>
      </c>
      <c r="BE72" s="21" t="str">
        <f>VLOOKUP(BD72,CENY!$B$11:$G$1054,2,FALSE)</f>
        <v>Quadro You(M) 450/SiSy 30kg; EB21; pravý</v>
      </c>
      <c r="BF72" s="22">
        <f>VLOOKUP(BD72,CENY!$B$11:$G$1054,3,FALSE)</f>
        <v>20</v>
      </c>
      <c r="BG72" s="22"/>
      <c r="BH72" s="23">
        <f>AY46</f>
        <v>0</v>
      </c>
      <c r="BI72" s="326">
        <f t="shared" si="6"/>
        <v>0</v>
      </c>
      <c r="BJ72" s="95">
        <f>VLOOKUP(BD72,CENY!$B$11:$M$2025,12,FALSE)</f>
        <v>11.487740000000001</v>
      </c>
      <c r="BK72" s="95">
        <f t="shared" si="7"/>
        <v>0</v>
      </c>
    </row>
    <row r="73" spans="47:63" ht="14.45" customHeight="1">
      <c r="AU73" s="319"/>
      <c r="AV73" s="21"/>
      <c r="AW73" s="22"/>
      <c r="AX73" s="22"/>
      <c r="AY73" s="23"/>
      <c r="AZ73" s="326" t="str">
        <f t="shared" si="5"/>
        <v/>
      </c>
      <c r="BA73" s="95"/>
      <c r="BB73" s="95" t="str">
        <f t="shared" si="4"/>
        <v/>
      </c>
      <c r="BD73" s="319">
        <f>OBJ!B322</f>
        <v>9256872</v>
      </c>
      <c r="BE73" s="21" t="str">
        <f>VLOOKUP(BD73,CENY!$B$11:$G$1054,2,FALSE)</f>
        <v>Quadro You(M) 500/SiSy 30kg; EB21; ľavý</v>
      </c>
      <c r="BF73" s="22">
        <f>VLOOKUP(BD73,CENY!$B$11:$G$1054,3,FALSE)</f>
        <v>20</v>
      </c>
      <c r="BG73" s="22"/>
      <c r="BH73" s="23">
        <f>AY47</f>
        <v>0</v>
      </c>
      <c r="BI73" s="326">
        <f t="shared" si="6"/>
        <v>0</v>
      </c>
      <c r="BJ73" s="95">
        <f>VLOOKUP(BD73,CENY!$B$11:$M$2025,12,FALSE)</f>
        <v>11.163180000000001</v>
      </c>
      <c r="BK73" s="95">
        <f t="shared" si="7"/>
        <v>0</v>
      </c>
    </row>
    <row r="74" spans="47:63" ht="14.45" customHeight="1">
      <c r="AU74" s="319"/>
      <c r="AV74" s="21"/>
      <c r="AW74" s="22"/>
      <c r="AX74" s="22"/>
      <c r="AY74" s="23"/>
      <c r="AZ74" s="326" t="str">
        <f t="shared" si="5"/>
        <v/>
      </c>
      <c r="BA74" s="95"/>
      <c r="BB74" s="95" t="str">
        <f t="shared" si="4"/>
        <v/>
      </c>
      <c r="BD74" s="319">
        <f>OBJ!B323</f>
        <v>9256873</v>
      </c>
      <c r="BE74" s="21" t="str">
        <f>VLOOKUP(BD74,CENY!$B$11:$G$1054,2,FALSE)</f>
        <v>Quadro You(M) 500/SiSy 30kg; EB21; pravý</v>
      </c>
      <c r="BF74" s="22">
        <f>VLOOKUP(BD74,CENY!$B$11:$G$1054,3,FALSE)</f>
        <v>20</v>
      </c>
      <c r="BG74" s="22"/>
      <c r="BH74" s="23">
        <f>AY47</f>
        <v>0</v>
      </c>
      <c r="BI74" s="326">
        <f t="shared" si="6"/>
        <v>0</v>
      </c>
      <c r="BJ74" s="95">
        <f>VLOOKUP(BD74,CENY!$B$11:$M$2025,12,FALSE)</f>
        <v>11.163180000000001</v>
      </c>
      <c r="BK74" s="95">
        <f t="shared" si="7"/>
        <v>0</v>
      </c>
    </row>
    <row r="75" spans="47:63" ht="14.45" customHeight="1"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OBJ!B324</f>
        <v>9256876</v>
      </c>
      <c r="BE75" s="21" t="str">
        <f>VLOOKUP(BD75,CENY!$B$11:$G$1054,2,FALSE)</f>
        <v>Quadro You(M) 550/SiSy 30kg; EB21; ľavý</v>
      </c>
      <c r="BF75" s="22">
        <f>VLOOKUP(BD75,CENY!$B$11:$G$1054,3,FALSE)</f>
        <v>20</v>
      </c>
      <c r="BG75" s="22"/>
      <c r="BH75" s="23">
        <f>AY48</f>
        <v>0</v>
      </c>
      <c r="BI75" s="326">
        <f t="shared" si="6"/>
        <v>0</v>
      </c>
      <c r="BJ75" s="95">
        <f>VLOOKUP(BD75,CENY!$B$11:$M$2025,12,FALSE)</f>
        <v>11.38542</v>
      </c>
      <c r="BK75" s="95">
        <f t="shared" si="7"/>
        <v>0</v>
      </c>
    </row>
    <row r="76" spans="47:63" ht="14.45" customHeight="1">
      <c r="AU76" s="319"/>
      <c r="AV76" s="21"/>
      <c r="AW76" s="22"/>
      <c r="AX76" s="22"/>
      <c r="AY76" s="23"/>
      <c r="AZ76" s="326" t="str">
        <f t="shared" si="5"/>
        <v/>
      </c>
      <c r="BA76" s="95"/>
      <c r="BB76" s="95" t="str">
        <f t="shared" si="4"/>
        <v/>
      </c>
      <c r="BD76" s="319">
        <f>OBJ!B325</f>
        <v>9256877</v>
      </c>
      <c r="BE76" s="21" t="str">
        <f>VLOOKUP(BD76,CENY!$B$11:$G$1054,2,FALSE)</f>
        <v>Quadro You(M) 550/SiSy 30kg; EB21; pravý</v>
      </c>
      <c r="BF76" s="22">
        <f>VLOOKUP(BD76,CENY!$B$11:$G$1054,3,FALSE)</f>
        <v>20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11.954689999999999</v>
      </c>
      <c r="BK76" s="95">
        <f t="shared" si="7"/>
        <v>0</v>
      </c>
    </row>
    <row r="77" spans="47:63" ht="14.45" customHeight="1"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>
        <f>OBJ!B326</f>
        <v>9256880</v>
      </c>
      <c r="BE77" s="21" t="str">
        <f>VLOOKUP(BD77,CENY!$B$11:$G$1054,2,FALSE)</f>
        <v>Quadro You(M) 600/SiSy 25kg; EB21; ľavý</v>
      </c>
      <c r="BF77" s="22">
        <f>VLOOKUP(BD77,CENY!$B$11:$G$1054,3,FALSE)</f>
        <v>20</v>
      </c>
      <c r="BG77" s="22"/>
      <c r="BH77" s="23">
        <f>AY49</f>
        <v>0</v>
      </c>
      <c r="BI77" s="326">
        <f t="shared" si="6"/>
        <v>0</v>
      </c>
      <c r="BJ77" s="95">
        <f>VLOOKUP(BD77,CENY!$B$11:$M$2025,12,FALSE)</f>
        <v>12.187939999999999</v>
      </c>
      <c r="BK77" s="95">
        <f t="shared" si="7"/>
        <v>0</v>
      </c>
    </row>
    <row r="78" spans="47:63" ht="14.45" customHeight="1">
      <c r="AU78" s="319"/>
      <c r="AV78" s="21"/>
      <c r="AW78" s="22"/>
      <c r="AX78" s="22"/>
      <c r="AY78" s="23"/>
      <c r="AZ78" s="326" t="str">
        <f t="shared" si="5"/>
        <v/>
      </c>
      <c r="BA78" s="95"/>
      <c r="BB78" s="95" t="str">
        <f t="shared" si="4"/>
        <v/>
      </c>
      <c r="BD78" s="319">
        <f>OBJ!B327</f>
        <v>9256881</v>
      </c>
      <c r="BE78" s="21" t="str">
        <f>VLOOKUP(BD78,CENY!$B$11:$G$1054,2,FALSE)</f>
        <v>Quadro You(M) 600/SiSy 25kg; EB21; pravý</v>
      </c>
      <c r="BF78" s="22">
        <f>VLOOKUP(BD78,CENY!$B$11:$G$1054,3,FALSE)</f>
        <v>20</v>
      </c>
      <c r="BG78" s="22"/>
      <c r="BH78" s="23">
        <f>AY49</f>
        <v>0</v>
      </c>
      <c r="BI78" s="326">
        <f t="shared" si="6"/>
        <v>0</v>
      </c>
      <c r="BJ78" s="95">
        <f>VLOOKUP(BD78,CENY!$B$11:$M$2025,12,FALSE)</f>
        <v>12.187939999999999</v>
      </c>
      <c r="BK78" s="95">
        <f t="shared" si="7"/>
        <v>0</v>
      </c>
    </row>
    <row r="79" spans="47:63" ht="14.45" customHeight="1"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/>
      <c r="BE79" s="21"/>
      <c r="BF79" s="22"/>
      <c r="BG79" s="22"/>
      <c r="BH79" s="23"/>
      <c r="BI79" s="326" t="str">
        <f t="shared" si="6"/>
        <v/>
      </c>
      <c r="BJ79" s="95"/>
      <c r="BK79" s="95" t="str">
        <f t="shared" si="7"/>
        <v/>
      </c>
    </row>
    <row r="80" spans="47:63" ht="14.45" customHeight="1">
      <c r="AU80" s="319"/>
      <c r="AV80" s="21"/>
      <c r="AW80" s="22"/>
      <c r="AX80" s="22"/>
      <c r="AY80" s="23"/>
      <c r="AZ80" s="326" t="str">
        <f t="shared" si="5"/>
        <v/>
      </c>
      <c r="BA80" s="95"/>
      <c r="BB80" s="95" t="str">
        <f t="shared" si="4"/>
        <v/>
      </c>
      <c r="BD80" s="319">
        <f>OBJ!B329</f>
        <v>9257894</v>
      </c>
      <c r="BE80" s="21" t="str">
        <f>VLOOKUP(BD80,CENY!$B$11:$G$1054,2,FALSE)</f>
        <v>Quadro You - Push to open Silent; &lt;10kg</v>
      </c>
      <c r="BF80" s="22">
        <f>VLOOKUP(BD80,CENY!$B$11:$G$1054,3,FALSE)</f>
        <v>1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23.114239999999999</v>
      </c>
      <c r="BK80" s="95">
        <f t="shared" si="7"/>
        <v>0</v>
      </c>
    </row>
    <row r="81" spans="47:63" ht="14.45" customHeight="1"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OBJ!B330</f>
        <v>9257895</v>
      </c>
      <c r="BE81" s="21" t="str">
        <f>VLOOKUP(BD81,CENY!$B$11:$G$1054,2,FALSE)</f>
        <v>Quadro You - Push to open Silent; 8-20kg</v>
      </c>
      <c r="BF81" s="22">
        <f>VLOOKUP(BD81,CENY!$B$11:$G$1054,3,FALSE)</f>
        <v>1</v>
      </c>
      <c r="BG81" s="22"/>
      <c r="BH81" s="23">
        <f>AY52</f>
        <v>0</v>
      </c>
      <c r="BI81" s="326">
        <f t="shared" si="6"/>
        <v>0</v>
      </c>
      <c r="BJ81" s="95">
        <f>VLOOKUP(BD81,CENY!$B$11:$M$2025,12,FALSE)</f>
        <v>23.114239999999999</v>
      </c>
      <c r="BK81" s="95">
        <f t="shared" si="7"/>
        <v>0</v>
      </c>
    </row>
    <row r="82" spans="47:63" ht="14.45" customHeight="1"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OBJ!B331</f>
        <v>9257896</v>
      </c>
      <c r="BE82" s="21" t="str">
        <f>VLOOKUP(BD82,CENY!$B$11:$G$1054,2,FALSE)</f>
        <v>Quadro You - Push to open Silent; 10-30kg</v>
      </c>
      <c r="BF82" s="22">
        <f>VLOOKUP(BD82,CENY!$B$11:$G$1054,3,FALSE)</f>
        <v>1</v>
      </c>
      <c r="BG82" s="22"/>
      <c r="BH82" s="23">
        <f>AY53</f>
        <v>0</v>
      </c>
      <c r="BI82" s="326">
        <f t="shared" si="6"/>
        <v>0</v>
      </c>
      <c r="BJ82" s="95">
        <f>VLOOKUP(BD82,CENY!$B$11:$M$2025,12,FALSE)</f>
        <v>23.114239999999999</v>
      </c>
      <c r="BK82" s="95">
        <f t="shared" si="7"/>
        <v>0</v>
      </c>
    </row>
    <row r="83" spans="47:63" ht="14.45" customHeight="1">
      <c r="AU83" s="319"/>
      <c r="AV83" s="21"/>
      <c r="AW83" s="22"/>
      <c r="AX83" s="22"/>
      <c r="AY83" s="23"/>
      <c r="AZ83" s="326" t="str">
        <f t="shared" si="5"/>
        <v/>
      </c>
      <c r="BA83" s="95"/>
      <c r="BB83" s="95" t="str">
        <f t="shared" si="4"/>
        <v/>
      </c>
      <c r="BD83" s="319"/>
      <c r="BE83" s="21"/>
      <c r="BF83" s="22"/>
      <c r="BG83" s="22"/>
      <c r="BH83" s="23"/>
      <c r="BI83" s="326" t="str">
        <f t="shared" si="6"/>
        <v/>
      </c>
      <c r="BJ83" s="95"/>
      <c r="BK83" s="95" t="str">
        <f t="shared" si="7"/>
        <v/>
      </c>
    </row>
    <row r="84" spans="47:63" ht="14.45" customHeight="1">
      <c r="AU84" s="20"/>
      <c r="AV84" s="21"/>
      <c r="AW84" s="22"/>
      <c r="AX84" s="22"/>
      <c r="AY84" s="23"/>
      <c r="AZ84" s="326" t="str">
        <f t="shared" si="5"/>
        <v/>
      </c>
      <c r="BA84" s="95"/>
      <c r="BB84" s="95" t="str">
        <f t="shared" si="4"/>
        <v/>
      </c>
      <c r="BD84" s="319">
        <f>OBJ!B345</f>
        <v>9256905</v>
      </c>
      <c r="BE84" s="21" t="str">
        <f>VLOOKUP(BD84,CENY!$B$11:$G$1054,2,FALSE)</f>
        <v>Quadro You(M) 350/P2O 25kg; EB21; ľavý</v>
      </c>
      <c r="BF84" s="22">
        <f>VLOOKUP(BD84,CENY!$B$11:$G$1054,3,FALSE)</f>
        <v>20</v>
      </c>
      <c r="BG84" s="22"/>
      <c r="BH84" s="23">
        <f>AY55</f>
        <v>0</v>
      </c>
      <c r="BI84" s="326">
        <f t="shared" si="6"/>
        <v>0</v>
      </c>
      <c r="BJ84" s="95">
        <f>VLOOKUP(BD84,CENY!$B$11:$M$2025,12,FALSE)</f>
        <v>12.42154</v>
      </c>
      <c r="BK84" s="95">
        <f t="shared" si="7"/>
        <v>0</v>
      </c>
    </row>
    <row r="85" spans="47:63" ht="14.45" customHeight="1">
      <c r="AU85" s="20"/>
      <c r="AV85" s="21"/>
      <c r="AW85" s="22"/>
      <c r="AX85" s="22"/>
      <c r="AY85" s="23"/>
      <c r="AZ85" s="326" t="str">
        <f t="shared" si="5"/>
        <v/>
      </c>
      <c r="BA85" s="95"/>
      <c r="BB85" s="95" t="str">
        <f t="shared" si="4"/>
        <v/>
      </c>
      <c r="BD85" s="319">
        <f>OBJ!B346</f>
        <v>9256906</v>
      </c>
      <c r="BE85" s="21" t="str">
        <f>VLOOKUP(BD85,CENY!$B$11:$G$1054,2,FALSE)</f>
        <v>Quadro You(M) 350/P2O 25kg; EB21; pravý</v>
      </c>
      <c r="BF85" s="22">
        <f>VLOOKUP(BD85,CENY!$B$11:$G$1054,3,FALSE)</f>
        <v>20</v>
      </c>
      <c r="BG85" s="22"/>
      <c r="BH85" s="23">
        <f>AY55</f>
        <v>0</v>
      </c>
      <c r="BI85" s="326">
        <f t="shared" si="6"/>
        <v>0</v>
      </c>
      <c r="BJ85" s="95">
        <f>VLOOKUP(BD85,CENY!$B$11:$M$2025,12,FALSE)</f>
        <v>12.42154</v>
      </c>
      <c r="BK85" s="95">
        <f t="shared" si="7"/>
        <v>0</v>
      </c>
    </row>
    <row r="86" spans="47:63" ht="14.45" customHeight="1">
      <c r="AU86" s="20"/>
      <c r="AV86" s="21"/>
      <c r="AW86" s="22"/>
      <c r="AX86" s="22"/>
      <c r="AY86" s="23"/>
      <c r="AZ86" s="326" t="str">
        <f t="shared" si="5"/>
        <v/>
      </c>
      <c r="BA86" s="95"/>
      <c r="BB86" s="95" t="str">
        <f t="shared" si="4"/>
        <v/>
      </c>
      <c r="BD86" s="319">
        <f>OBJ!B347</f>
        <v>9256909</v>
      </c>
      <c r="BE86" s="21" t="str">
        <f>VLOOKUP(BD86,CENY!$B$11:$G$1054,2,FALSE)</f>
        <v>Quadro You(M) 400/P2O 30kg; EB21; ľavý</v>
      </c>
      <c r="BF86" s="22">
        <f>VLOOKUP(BD86,CENY!$B$11:$G$1054,3,FALSE)</f>
        <v>20</v>
      </c>
      <c r="BG86" s="22"/>
      <c r="BH86" s="23">
        <f>AY56</f>
        <v>0</v>
      </c>
      <c r="BI86" s="326">
        <f t="shared" si="6"/>
        <v>0</v>
      </c>
      <c r="BJ86" s="95">
        <f>VLOOKUP(BD86,CENY!$B$11:$M$2025,12,FALSE)</f>
        <v>12.654769999999999</v>
      </c>
      <c r="BK86" s="95">
        <f t="shared" si="7"/>
        <v>0</v>
      </c>
    </row>
    <row r="87" spans="47:63" ht="14.45" customHeight="1">
      <c r="AU87" s="20"/>
      <c r="AV87" s="21"/>
      <c r="AW87" s="22"/>
      <c r="AX87" s="22"/>
      <c r="AY87" s="23"/>
      <c r="AZ87" s="326" t="str">
        <f t="shared" si="5"/>
        <v/>
      </c>
      <c r="BA87" s="95"/>
      <c r="BB87" s="95" t="str">
        <f t="shared" si="4"/>
        <v/>
      </c>
      <c r="BD87" s="319">
        <f>OBJ!B348</f>
        <v>9256910</v>
      </c>
      <c r="BE87" s="21" t="str">
        <f>VLOOKUP(BD87,CENY!$B$11:$G$1054,2,FALSE)</f>
        <v>Quadro You(M) 400/P2O 30kg; EB21; pravý</v>
      </c>
      <c r="BF87" s="22">
        <f>VLOOKUP(BD87,CENY!$B$11:$G$1054,3,FALSE)</f>
        <v>20</v>
      </c>
      <c r="BG87" s="22"/>
      <c r="BH87" s="23">
        <f>AY56</f>
        <v>0</v>
      </c>
      <c r="BI87" s="326">
        <f t="shared" si="6"/>
        <v>0</v>
      </c>
      <c r="BJ87" s="95">
        <f>VLOOKUP(BD87,CENY!$B$11:$M$2025,12,FALSE)</f>
        <v>12.654769999999999</v>
      </c>
      <c r="BK87" s="95">
        <f t="shared" si="7"/>
        <v>0</v>
      </c>
    </row>
    <row r="88" spans="47:63" ht="14.45" customHeight="1">
      <c r="AU88" s="20"/>
      <c r="AV88" s="21"/>
      <c r="AW88" s="22"/>
      <c r="AX88" s="22"/>
      <c r="AY88" s="23"/>
      <c r="AZ88" s="326" t="str">
        <f t="shared" si="5"/>
        <v/>
      </c>
      <c r="BA88" s="95"/>
      <c r="BB88" s="95" t="str">
        <f t="shared" si="4"/>
        <v/>
      </c>
      <c r="BD88" s="319">
        <f>OBJ!B349</f>
        <v>9256913</v>
      </c>
      <c r="BE88" s="21" t="str">
        <f>VLOOKUP(BD88,CENY!$B$11:$G$1054,2,FALSE)</f>
        <v>Quadro You(M) 450/P2O 30kg; EB21; ľavý</v>
      </c>
      <c r="BF88" s="22">
        <f>VLOOKUP(BD88,CENY!$B$11:$G$1054,3,FALSE)</f>
        <v>20</v>
      </c>
      <c r="BG88" s="22"/>
      <c r="BH88" s="23">
        <f>AY57</f>
        <v>0</v>
      </c>
      <c r="BI88" s="326">
        <f t="shared" si="6"/>
        <v>0</v>
      </c>
      <c r="BJ88" s="95">
        <f>VLOOKUP(BD88,CENY!$B$11:$M$2025,12,FALSE)</f>
        <v>12.888019999999999</v>
      </c>
      <c r="BK88" s="95">
        <f t="shared" si="7"/>
        <v>0</v>
      </c>
    </row>
    <row r="89" spans="47:63" ht="14.45" customHeight="1">
      <c r="AU89" s="20"/>
      <c r="AV89" s="21"/>
      <c r="AW89" s="22"/>
      <c r="AX89" s="22"/>
      <c r="AY89" s="23"/>
      <c r="AZ89" s="326" t="str">
        <f t="shared" si="5"/>
        <v/>
      </c>
      <c r="BA89" s="95"/>
      <c r="BB89" s="95" t="str">
        <f t="shared" si="4"/>
        <v/>
      </c>
      <c r="BD89" s="319">
        <f>OBJ!B350</f>
        <v>9256914</v>
      </c>
      <c r="BE89" s="21" t="str">
        <f>VLOOKUP(BD89,CENY!$B$11:$G$1054,2,FALSE)</f>
        <v>Quadro You(M) 450/P2O 30kg; EB21; pravý</v>
      </c>
      <c r="BF89" s="22">
        <f>VLOOKUP(BD89,CENY!$B$11:$G$1054,3,FALSE)</f>
        <v>20</v>
      </c>
      <c r="BG89" s="22"/>
      <c r="BH89" s="23">
        <f>AY57</f>
        <v>0</v>
      </c>
      <c r="BI89" s="326">
        <f t="shared" si="6"/>
        <v>0</v>
      </c>
      <c r="BJ89" s="95">
        <f>VLOOKUP(BD89,CENY!$B$11:$M$2025,12,FALSE)</f>
        <v>12.888019999999999</v>
      </c>
      <c r="BK89" s="95">
        <f t="shared" si="7"/>
        <v>0</v>
      </c>
    </row>
    <row r="90" spans="47:63" ht="14.45" customHeight="1">
      <c r="AU90" s="20"/>
      <c r="AV90" s="21"/>
      <c r="AW90" s="22"/>
      <c r="AX90" s="22"/>
      <c r="AY90" s="23"/>
      <c r="AZ90" s="326" t="str">
        <f t="shared" si="5"/>
        <v/>
      </c>
      <c r="BA90" s="95"/>
      <c r="BB90" s="95" t="str">
        <f t="shared" si="4"/>
        <v/>
      </c>
      <c r="BD90" s="319">
        <f>OBJ!B351</f>
        <v>9256917</v>
      </c>
      <c r="BE90" s="21" t="str">
        <f>VLOOKUP(BD90,CENY!$B$11:$G$1054,2,FALSE)</f>
        <v>Quadro You(M) 500/P2O 30kg; EB21; ľavý</v>
      </c>
      <c r="BF90" s="22">
        <f>VLOOKUP(BD90,CENY!$B$11:$G$1054,3,FALSE)</f>
        <v>20</v>
      </c>
      <c r="BG90" s="22"/>
      <c r="BH90" s="23">
        <f>AY58</f>
        <v>0</v>
      </c>
      <c r="BI90" s="326">
        <f t="shared" si="6"/>
        <v>0</v>
      </c>
      <c r="BJ90" s="95">
        <f>VLOOKUP(BD90,CENY!$B$11:$M$2025,12,FALSE)</f>
        <v>12.496779999999999</v>
      </c>
      <c r="BK90" s="95">
        <f t="shared" si="7"/>
        <v>0</v>
      </c>
    </row>
    <row r="91" spans="47:63" ht="14.45" customHeight="1">
      <c r="AU91" s="20"/>
      <c r="AV91" s="21"/>
      <c r="AW91" s="22"/>
      <c r="AX91" s="22"/>
      <c r="AY91" s="23"/>
      <c r="AZ91" s="326" t="str">
        <f t="shared" si="5"/>
        <v/>
      </c>
      <c r="BA91" s="95"/>
      <c r="BB91" s="95" t="str">
        <f t="shared" si="4"/>
        <v/>
      </c>
      <c r="BD91" s="319">
        <f>OBJ!B352</f>
        <v>9256918</v>
      </c>
      <c r="BE91" s="21" t="str">
        <f>VLOOKUP(BD91,CENY!$B$11:$G$1054,2,FALSE)</f>
        <v>Quadro You(M) 500/P2O 30kg; EB21; pravý</v>
      </c>
      <c r="BF91" s="22">
        <f>VLOOKUP(BD91,CENY!$B$11:$G$1054,3,FALSE)</f>
        <v>20</v>
      </c>
      <c r="BG91" s="22"/>
      <c r="BH91" s="23">
        <f>AY58</f>
        <v>0</v>
      </c>
      <c r="BI91" s="326">
        <f t="shared" si="6"/>
        <v>0</v>
      </c>
      <c r="BJ91" s="95">
        <f>VLOOKUP(BD91,CENY!$B$11:$M$2025,12,FALSE)</f>
        <v>12.496779999999999</v>
      </c>
      <c r="BK91" s="95">
        <f t="shared" si="7"/>
        <v>0</v>
      </c>
    </row>
    <row r="92" spans="47:63" ht="14.45" customHeight="1">
      <c r="AU92" s="20"/>
      <c r="AV92" s="21"/>
      <c r="AW92" s="22"/>
      <c r="AX92" s="22"/>
      <c r="AY92" s="23"/>
      <c r="AZ92" s="326" t="str">
        <f t="shared" si="5"/>
        <v/>
      </c>
      <c r="BA92" s="95"/>
      <c r="BB92" s="95" t="str">
        <f t="shared" si="4"/>
        <v/>
      </c>
      <c r="BD92" s="319">
        <f>OBJ!B353</f>
        <v>9256921</v>
      </c>
      <c r="BE92" s="21" t="str">
        <f>VLOOKUP(BD92,CENY!$B$11:$G$1054,2,FALSE)</f>
        <v>Quadro You(M) 550/P2O 30kg; EB21; ľavý</v>
      </c>
      <c r="BF92" s="22">
        <f>VLOOKUP(BD92,CENY!$B$11:$G$1054,3,FALSE)</f>
        <v>20</v>
      </c>
      <c r="BG92" s="22"/>
      <c r="BH92" s="23">
        <f>AY59</f>
        <v>0</v>
      </c>
      <c r="BI92" s="326">
        <f t="shared" si="6"/>
        <v>0</v>
      </c>
      <c r="BJ92" s="95">
        <f>VLOOKUP(BD92,CENY!$B$11:$M$2025,12,FALSE)</f>
        <v>12.718019999999999</v>
      </c>
      <c r="BK92" s="95">
        <f t="shared" si="7"/>
        <v>0</v>
      </c>
    </row>
    <row r="93" spans="47:63" ht="14.45" customHeight="1">
      <c r="AU93" s="20"/>
      <c r="AV93" s="21"/>
      <c r="AW93" s="22"/>
      <c r="AX93" s="22"/>
      <c r="AY93" s="23"/>
      <c r="AZ93" s="326" t="str">
        <f t="shared" si="5"/>
        <v/>
      </c>
      <c r="BA93" s="95"/>
      <c r="BB93" s="95" t="str">
        <f t="shared" si="4"/>
        <v/>
      </c>
      <c r="BD93" s="319">
        <f>OBJ!B354</f>
        <v>9256922</v>
      </c>
      <c r="BE93" s="21" t="str">
        <f>VLOOKUP(BD93,CENY!$B$11:$G$1054,2,FALSE)</f>
        <v>Quadro You(M) 550/P2O 30kg; EB21; pravý</v>
      </c>
      <c r="BF93" s="22">
        <f>VLOOKUP(BD93,CENY!$B$11:$G$1054,3,FALSE)</f>
        <v>20</v>
      </c>
      <c r="BG93" s="22"/>
      <c r="BH93" s="23">
        <f>AY59</f>
        <v>0</v>
      </c>
      <c r="BI93" s="326">
        <f t="shared" si="6"/>
        <v>0</v>
      </c>
      <c r="BJ93" s="95">
        <f>VLOOKUP(BD93,CENY!$B$11:$M$2025,12,FALSE)</f>
        <v>13.35392</v>
      </c>
      <c r="BK93" s="95">
        <f t="shared" si="7"/>
        <v>0</v>
      </c>
    </row>
    <row r="94" spans="47:63" ht="14.45" customHeight="1">
      <c r="AU94" s="20"/>
      <c r="AV94" s="21"/>
      <c r="AW94" s="22"/>
      <c r="AX94" s="22"/>
      <c r="AY94" s="23"/>
      <c r="AZ94" s="326" t="str">
        <f t="shared" si="5"/>
        <v/>
      </c>
      <c r="BA94" s="95"/>
      <c r="BB94" s="95" t="str">
        <f t="shared" si="4"/>
        <v/>
      </c>
      <c r="BD94" s="319">
        <f>OBJ!B355</f>
        <v>9256925</v>
      </c>
      <c r="BE94" s="21" t="str">
        <f>VLOOKUP(BD94,CENY!$B$11:$G$1054,2,FALSE)</f>
        <v>Quadro You(M) 600/P2O 25kg; EB21; ľavý</v>
      </c>
      <c r="BF94" s="22">
        <f>VLOOKUP(BD94,CENY!$B$11:$G$1054,3,FALSE)</f>
        <v>20</v>
      </c>
      <c r="BG94" s="22"/>
      <c r="BH94" s="23">
        <f>AY60</f>
        <v>0</v>
      </c>
      <c r="BI94" s="326">
        <f t="shared" si="6"/>
        <v>0</v>
      </c>
      <c r="BJ94" s="95">
        <f>VLOOKUP(BD94,CENY!$B$11:$M$2025,12,FALSE)</f>
        <v>13.58704</v>
      </c>
      <c r="BK94" s="95">
        <f t="shared" si="7"/>
        <v>0</v>
      </c>
    </row>
    <row r="95" spans="47:63" ht="14.45" customHeight="1">
      <c r="AU95" s="20"/>
      <c r="AV95" s="21"/>
      <c r="AW95" s="22"/>
      <c r="AX95" s="22"/>
      <c r="AY95" s="23"/>
      <c r="AZ95" s="326" t="str">
        <f t="shared" si="5"/>
        <v/>
      </c>
      <c r="BA95" s="95"/>
      <c r="BB95" s="95" t="str">
        <f t="shared" si="4"/>
        <v/>
      </c>
      <c r="BD95" s="319">
        <f>OBJ!B356</f>
        <v>9256926</v>
      </c>
      <c r="BE95" s="21" t="str">
        <f>VLOOKUP(BD95,CENY!$B$11:$G$1054,2,FALSE)</f>
        <v>Quadro You(M) 600/P2O 25kg; EB21; pravý</v>
      </c>
      <c r="BF95" s="22">
        <f>VLOOKUP(BD95,CENY!$B$11:$G$1054,3,FALSE)</f>
        <v>20</v>
      </c>
      <c r="BG95" s="22"/>
      <c r="BH95" s="23">
        <f>AY60</f>
        <v>0</v>
      </c>
      <c r="BI95" s="326">
        <f t="shared" si="6"/>
        <v>0</v>
      </c>
      <c r="BJ95" s="95">
        <f>VLOOKUP(BD95,CENY!$B$11:$M$2025,12,FALSE)</f>
        <v>13.58704</v>
      </c>
      <c r="BK95" s="95">
        <f t="shared" si="7"/>
        <v>0</v>
      </c>
    </row>
    <row r="96" spans="47:63" ht="14.45" customHeight="1"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/>
      <c r="BE96" s="21"/>
      <c r="BF96" s="22"/>
      <c r="BG96" s="22"/>
      <c r="BH96" s="23"/>
      <c r="BI96" s="326" t="str">
        <f t="shared" si="6"/>
        <v/>
      </c>
      <c r="BJ96" s="95"/>
      <c r="BK96" s="95" t="str">
        <f t="shared" si="7"/>
        <v/>
      </c>
    </row>
    <row r="97" spans="47:63" ht="14.45" customHeight="1">
      <c r="AU97" s="20"/>
      <c r="AV97" s="21"/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OBJ!B358</f>
        <v>9219966</v>
      </c>
      <c r="BE97" s="21" t="str">
        <f>VLOOKUP(BD97,CENY!$B$11:$G$1054,2,FALSE)</f>
        <v>Push to open Synchro / adaptér typ A</v>
      </c>
      <c r="BF97" s="22">
        <f>VLOOKUP(BD97,CENY!$B$11:$G$1054,3,FALSE)</f>
        <v>200</v>
      </c>
      <c r="BG97" s="22"/>
      <c r="BH97" s="23">
        <f>AY62</f>
        <v>0</v>
      </c>
      <c r="BI97" s="326">
        <f t="shared" si="6"/>
        <v>0</v>
      </c>
      <c r="BJ97" s="95">
        <f>VLOOKUP(BD97,CENY!$B$11:$M$2025,12,FALSE)</f>
        <v>0.79318999999999995</v>
      </c>
      <c r="BK97" s="95">
        <f t="shared" si="7"/>
        <v>0</v>
      </c>
    </row>
    <row r="98" spans="47:63" ht="14.45" customHeight="1">
      <c r="AU98" s="20"/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/>
      <c r="BE98" s="21"/>
      <c r="BF98" s="22"/>
      <c r="BG98" s="22"/>
      <c r="BH98" s="23"/>
      <c r="BI98" s="326" t="str">
        <f t="shared" si="6"/>
        <v/>
      </c>
      <c r="BJ98" s="95"/>
      <c r="BK98" s="95" t="str">
        <f t="shared" si="7"/>
        <v/>
      </c>
    </row>
    <row r="99" spans="47:63" ht="14.45" customHeight="1">
      <c r="AU99" s="20"/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OBJ!B214</f>
        <v>0</v>
      </c>
      <c r="BE99" s="21" t="e">
        <f>VLOOKUP(BD99,CENY!$B$11:$G$1054,2,FALSE)</f>
        <v>#N/A</v>
      </c>
      <c r="BF99" s="22" t="e">
        <f>VLOOKUP(BD99,CENY!$B$11:$G$1054,3,FALSE)</f>
        <v>#N/A</v>
      </c>
      <c r="BG99" s="22"/>
      <c r="BH99" s="23">
        <f>AY66</f>
        <v>0</v>
      </c>
      <c r="BI99" s="326">
        <f t="shared" si="6"/>
        <v>0</v>
      </c>
      <c r="BJ99" s="324" t="str">
        <f>IF(BD99=0,"",VLOOKUP(BD99,CENY!$B$11:$M$2025,12,FALSE))</f>
        <v/>
      </c>
      <c r="BK99" s="95" t="str">
        <f t="shared" si="7"/>
        <v/>
      </c>
    </row>
    <row r="100" spans="47:63" ht="14.45" customHeight="1"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/>
      <c r="BE100" s="21"/>
      <c r="BF100" s="22"/>
      <c r="BG100" s="22"/>
      <c r="BH100" s="23"/>
      <c r="BI100" s="326" t="str">
        <f t="shared" si="6"/>
        <v/>
      </c>
      <c r="BJ100" s="95"/>
      <c r="BK100" s="95" t="str">
        <f t="shared" si="7"/>
        <v/>
      </c>
    </row>
    <row r="101" spans="47:63">
      <c r="AU101" s="319">
        <f>OBJ!B361</f>
        <v>45167</v>
      </c>
      <c r="AV101" s="21" t="str">
        <f>VLOOKUP(AU101,CENY!$B$11:$G$1054,2,FALSE)</f>
        <v>Skrutka s polgul.hlavou 3,5x12mm</v>
      </c>
      <c r="AW101" s="22">
        <f>VLOOKUP(AU101,CENY!$B$11:$G$1054,3,FALSE)</f>
        <v>200</v>
      </c>
      <c r="AX101" s="22"/>
      <c r="AY101" s="23">
        <f>SUMPRODUCT(AX5:AX11,AY5:AY11)</f>
        <v>0</v>
      </c>
      <c r="AZ101" s="326">
        <f t="shared" si="5"/>
        <v>0</v>
      </c>
      <c r="BA101" s="95">
        <f>VLOOKUP(AU101,CENY!$B$11:$M$2025,12,FALSE)</f>
        <v>3.4759999999999999E-2</v>
      </c>
      <c r="BB101" s="95">
        <f t="shared" si="4"/>
        <v>0</v>
      </c>
      <c r="BC101" s="86" t="s">
        <v>396</v>
      </c>
      <c r="BD101" s="319">
        <f>OBJ!B361</f>
        <v>45167</v>
      </c>
      <c r="BE101" s="21" t="str">
        <f>VLOOKUP(BD101,CENY!$B$11:$G$1054,2,FALSE)</f>
        <v>Skrutka s polgul.hlavou 3,5x12mm</v>
      </c>
      <c r="BF101" s="22">
        <f>VLOOKUP(BD101,CENY!$B$11:$G$1054,3,FALSE)</f>
        <v>200</v>
      </c>
      <c r="BG101" s="22"/>
      <c r="BH101" s="23">
        <f>AY101+BH21*2</f>
        <v>0</v>
      </c>
      <c r="BI101" s="326">
        <f>IF(BH101="","",IF($AW$4=0,BH101,0))</f>
        <v>0</v>
      </c>
      <c r="BJ101" s="95">
        <f>VLOOKUP(BD101,CENY!$B$11:$M$2025,12,FALSE)</f>
        <v>3.4759999999999999E-2</v>
      </c>
      <c r="BK101" s="95">
        <f>IF(BJ101="","",BJ101*BH101)</f>
        <v>0</v>
      </c>
    </row>
    <row r="102" spans="47:63">
      <c r="AU102" s="319">
        <f>OBJ!B362</f>
        <v>45168</v>
      </c>
      <c r="AV102" s="21" t="str">
        <f>VLOOKUP(AU102,CENY!$B$11:$G$1054,2,FALSE)</f>
        <v>Skrutka s polgul.hlavou 3,5x20mm</v>
      </c>
      <c r="AW102" s="22">
        <f>VLOOKUP(AU102,CENY!$B$11:$G$1054,3,FALSE)</f>
        <v>200</v>
      </c>
      <c r="AX102" s="22"/>
      <c r="AY102" s="360">
        <v>0</v>
      </c>
      <c r="AZ102" s="326">
        <f t="shared" si="5"/>
        <v>0</v>
      </c>
      <c r="BA102" s="95">
        <f>VLOOKUP(AU102,CENY!$B$11:$M$2025,12,FALSE)</f>
        <v>4.9860000000000002E-2</v>
      </c>
      <c r="BB102" s="95">
        <f t="shared" si="4"/>
        <v>0</v>
      </c>
      <c r="BC102" s="86" t="s">
        <v>397</v>
      </c>
      <c r="BD102" s="319">
        <f>OBJ!B362</f>
        <v>45168</v>
      </c>
      <c r="BE102" s="21" t="str">
        <f>VLOOKUP(BD102,CENY!$B$11:$G$1054,2,FALSE)</f>
        <v>Skrutka s polgul.hlavou 3,5x20mm</v>
      </c>
      <c r="BF102" s="22">
        <f>VLOOKUP(BD102,CENY!$B$11:$G$1054,3,FALSE)</f>
        <v>200</v>
      </c>
      <c r="BG102" s="22"/>
      <c r="BH102" s="360">
        <f>IF(FORM!$AM$8=FORM!$AU$10,BH20*3,0)</f>
        <v>0</v>
      </c>
      <c r="BI102" s="326">
        <f>IF(BH102="","",IF($AW$4=0,BH102,0))</f>
        <v>0</v>
      </c>
      <c r="BJ102" s="95">
        <f>VLOOKUP(BD102,CENY!$B$11:$M$2025,12,FALSE)</f>
        <v>4.9860000000000002E-2</v>
      </c>
      <c r="BK102" s="95">
        <f>IF(BJ102="","",BJ102*BH102)</f>
        <v>0</v>
      </c>
    </row>
    <row r="103" spans="47:63">
      <c r="AU103" s="319">
        <f>OBJ!B363</f>
        <v>9278224</v>
      </c>
      <c r="AV103" s="21" t="str">
        <f>VLOOKUP(AU103,CENY!$B$11:$G$1054,2,FALSE)</f>
        <v>Skrutka s polgul.hlavou 3,5x30mm</v>
      </c>
      <c r="AW103" s="22">
        <f>VLOOKUP(AU103,CENY!$B$11:$G$1054,3,FALSE)</f>
        <v>200</v>
      </c>
      <c r="AX103" s="22"/>
      <c r="AY103" s="360">
        <v>0</v>
      </c>
      <c r="AZ103" s="326">
        <f t="shared" si="5"/>
        <v>0</v>
      </c>
      <c r="BA103" s="95">
        <f>VLOOKUP(AU103,CENY!$B$11:$M$2025,12,FALSE)</f>
        <v>4.299E-2</v>
      </c>
      <c r="BB103" s="95">
        <f t="shared" si="4"/>
        <v>0</v>
      </c>
      <c r="BC103" s="86" t="s">
        <v>398</v>
      </c>
      <c r="BD103" s="319">
        <f>OBJ!B363</f>
        <v>9278224</v>
      </c>
      <c r="BE103" s="21" t="str">
        <f>VLOOKUP(BD103,CENY!$B$11:$G$1054,2,FALSE)</f>
        <v>Skrutka s polgul.hlavou 3,5x30mm</v>
      </c>
      <c r="BF103" s="22">
        <f>VLOOKUP(BD103,CENY!$B$11:$G$1054,3,FALSE)</f>
        <v>200</v>
      </c>
      <c r="BG103" s="22"/>
      <c r="BH103" s="360">
        <f>2*SUM(BH5:BH18)</f>
        <v>0</v>
      </c>
      <c r="BI103" s="326">
        <f>IF(BH103="","",IF($AW$4=0,BH103,0))</f>
        <v>0</v>
      </c>
      <c r="BJ103" s="95">
        <f>VLOOKUP(BD103,CENY!$B$11:$M$2025,12,FALSE)</f>
        <v>4.299E-2</v>
      </c>
      <c r="BK103" s="95">
        <f>IF(BJ103="","",BJ103*BH103)</f>
        <v>0</v>
      </c>
    </row>
    <row r="104" spans="47:63">
      <c r="AU104" s="319">
        <f>OBJ!B364</f>
        <v>9279197</v>
      </c>
      <c r="AV104" s="21" t="str">
        <f>VLOOKUP(AU104,CENY!$B$11:$G$1054,2,FALSE)</f>
        <v>Skrutka s polgul.hlavou M3,5x12mm</v>
      </c>
      <c r="AW104" s="22">
        <f>VLOOKUP(AU104,CENY!$B$11:$G$1054,3,FALSE)</f>
        <v>1000</v>
      </c>
      <c r="AX104" s="22"/>
      <c r="AY104" s="68">
        <v>0</v>
      </c>
      <c r="AZ104" s="326">
        <f t="shared" si="5"/>
        <v>0</v>
      </c>
      <c r="BA104" s="95" t="e">
        <f>VLOOKUP(AU104,CENY!$B$11:$M$2025,12,FALSE)</f>
        <v>#N/A</v>
      </c>
      <c r="BB104" s="95" t="e">
        <f t="shared" si="4"/>
        <v>#N/A</v>
      </c>
      <c r="BC104" s="86" t="s">
        <v>399</v>
      </c>
      <c r="BD104" s="319">
        <f>OBJ!B364</f>
        <v>9279197</v>
      </c>
      <c r="BE104" s="21" t="str">
        <f>VLOOKUP(BD104,CENY!$B$11:$G$1054,2,FALSE)</f>
        <v>Skrutka s polgul.hlavou M3,5x12mm</v>
      </c>
      <c r="BF104" s="22">
        <f>VLOOKUP(BD104,CENY!$B$11:$G$1054,3,FALSE)</f>
        <v>1000</v>
      </c>
      <c r="BG104" s="22"/>
      <c r="BH104" s="68">
        <f>AY104</f>
        <v>0</v>
      </c>
      <c r="BI104" s="326">
        <f>IF(BH104="","",IF($AW$4=0,BH104,0))</f>
        <v>0</v>
      </c>
      <c r="BJ104" s="95" t="e">
        <f>VLOOKUP(BD104,CENY!$B$11:$M$2025,12,FALSE)</f>
        <v>#N/A</v>
      </c>
      <c r="BK104" s="95" t="e">
        <f>IF(BJ104="","",BJ104*BH104)</f>
        <v>#N/A</v>
      </c>
    </row>
    <row r="105" spans="47:63">
      <c r="AU105" s="319">
        <f>OBJ!B365</f>
        <v>9137114</v>
      </c>
      <c r="AV105" s="21" t="str">
        <f>VLOOKUP(AU105,CENY!$B$11:$G$1054,2,FALSE)</f>
        <v>EURO-skrutka  6,0x14mm / niklovaná</v>
      </c>
      <c r="AW105" s="22">
        <f>VLOOKUP(AU105,CENY!$B$11:$G$1054,3,FALSE)</f>
        <v>200</v>
      </c>
      <c r="AX105" s="22"/>
      <c r="AY105" s="23">
        <f>SUMPRODUCT(AX21:AX60,AY21:AY60)</f>
        <v>0</v>
      </c>
      <c r="AZ105" s="326">
        <f t="shared" si="5"/>
        <v>0</v>
      </c>
      <c r="BA105" s="95">
        <f>VLOOKUP(AU105,CENY!$B$11:$M$2025,12,FALSE)</f>
        <v>7.7280000000000001E-2</v>
      </c>
      <c r="BB105" s="95">
        <f t="shared" si="4"/>
        <v>0</v>
      </c>
      <c r="BC105" s="86" t="s">
        <v>400</v>
      </c>
      <c r="BD105" s="319">
        <f>OBJ!B365</f>
        <v>9137114</v>
      </c>
      <c r="BE105" s="21" t="str">
        <f>VLOOKUP(BD105,CENY!$B$11:$G$1054,2,FALSE)</f>
        <v>EURO-skrutka  6,0x14mm / niklovaná</v>
      </c>
      <c r="BF105" s="22">
        <f>VLOOKUP(BD105,CENY!$B$11:$G$1054,3,FALSE)</f>
        <v>200</v>
      </c>
      <c r="BG105" s="22"/>
      <c r="BH105" s="23">
        <f>AY105</f>
        <v>0</v>
      </c>
      <c r="BI105" s="326">
        <f>IF(BH105="","",IF($AW$4=0,BH105,0))</f>
        <v>0</v>
      </c>
      <c r="BJ105" s="95">
        <f>VLOOKUP(BD105,CENY!$B$11:$M$2025,12,FALSE)</f>
        <v>7.7280000000000001E-2</v>
      </c>
      <c r="BK105" s="95">
        <f>IF(BJ105="","",BJ105*BH105)</f>
        <v>0</v>
      </c>
    </row>
    <row r="106" spans="47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>IF(BA106="","",BA106*AY106)</f>
        <v/>
      </c>
      <c r="BD106" s="319"/>
      <c r="BE106" s="21"/>
      <c r="BF106" s="22"/>
      <c r="BG106" s="22"/>
      <c r="BH106" s="23"/>
      <c r="BI106" s="326" t="str">
        <f t="shared" si="6"/>
        <v/>
      </c>
      <c r="BJ106" s="95"/>
      <c r="BK106" s="95" t="str">
        <f t="shared" si="7"/>
        <v/>
      </c>
    </row>
    <row r="107" spans="47:63">
      <c r="BD107" s="319"/>
      <c r="BE107" s="21"/>
      <c r="BF107" s="22"/>
      <c r="BG107" s="22"/>
      <c r="BH107" s="23"/>
      <c r="BI107" s="326" t="str">
        <f t="shared" si="6"/>
        <v/>
      </c>
      <c r="BJ107" s="95"/>
      <c r="BK107" s="95" t="str">
        <f t="shared" si="7"/>
        <v/>
      </c>
    </row>
    <row r="108" spans="47:63">
      <c r="BD108" s="319"/>
      <c r="BE108" s="21"/>
      <c r="BF108" s="22"/>
      <c r="BG108" s="22"/>
      <c r="BH108" s="23"/>
      <c r="BI108" s="326" t="str">
        <f t="shared" si="6"/>
        <v/>
      </c>
      <c r="BJ108" s="95"/>
      <c r="BK108" s="95" t="str">
        <f t="shared" si="7"/>
        <v/>
      </c>
    </row>
  </sheetData>
  <sheetProtection algorithmName="SHA-512" hashValue="SPZ8qtVFFFp0SAO2xbB93VWADc++lx/XEnRlEpyYCDqZtVlW/uZswSSIF1C0ItJ8dfhM6LFy266l1KN1sxaazw==" saltValue="oUU/+b/6QkCdATtTVCHikg==" spinCount="100000" sheet="1" objects="1" scenarios="1"/>
  <mergeCells count="109">
    <mergeCell ref="AN29:AO29"/>
    <mergeCell ref="B30:G30"/>
    <mergeCell ref="H30:L30"/>
    <mergeCell ref="M30:N30"/>
    <mergeCell ref="S30:T30"/>
    <mergeCell ref="U30:V30"/>
    <mergeCell ref="W30:X30"/>
    <mergeCell ref="Y30:Z30"/>
    <mergeCell ref="AA30:AB30"/>
    <mergeCell ref="AC30:AD30"/>
    <mergeCell ref="B27:G27"/>
    <mergeCell ref="H27:L27"/>
    <mergeCell ref="M27:N27"/>
    <mergeCell ref="O27:P27"/>
    <mergeCell ref="Q27:R27"/>
    <mergeCell ref="S27:T27"/>
    <mergeCell ref="AN27:AO27"/>
    <mergeCell ref="B28:G28"/>
    <mergeCell ref="H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N28:AO28"/>
    <mergeCell ref="AI25:AO25"/>
    <mergeCell ref="O26:P26"/>
    <mergeCell ref="Q26:R26"/>
    <mergeCell ref="S26:T26"/>
    <mergeCell ref="U26:V26"/>
    <mergeCell ref="W26:X26"/>
    <mergeCell ref="Y26:Z26"/>
    <mergeCell ref="AA26:AB26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B19:G19"/>
    <mergeCell ref="H19:L19"/>
    <mergeCell ref="M19:N19"/>
    <mergeCell ref="O19:P19"/>
    <mergeCell ref="Q19:R19"/>
    <mergeCell ref="S19:T19"/>
    <mergeCell ref="AN19:AO19"/>
    <mergeCell ref="B20:G20"/>
    <mergeCell ref="H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B12:E12"/>
    <mergeCell ref="F12:K12"/>
    <mergeCell ref="B13:E13"/>
    <mergeCell ref="F13:I13"/>
    <mergeCell ref="J13:K13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I18:AO18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U2:Y2"/>
    <mergeCell ref="AA2:AE2"/>
    <mergeCell ref="AI2:AM2"/>
    <mergeCell ref="AO2:AR2"/>
    <mergeCell ref="B6:E6"/>
    <mergeCell ref="F6:K6"/>
    <mergeCell ref="O2:S2"/>
    <mergeCell ref="B7:E7"/>
    <mergeCell ref="F7:K7"/>
  </mergeCells>
  <conditionalFormatting sqref="AY24:AY29 AY37:AY40 BH35:BH40 BH42:BH47 BH72:BH77 AY31:AY35 BH49:BH57 AY15:AY22 AY54:AY57 BH30:BH33 BH63:BH70 BH79:BH92 BH5:BH22 AY5:AY13 BI6:BI100 AZ6:AZ100 AZ106">
    <cfRule type="cellIs" dxfId="774" priority="59" stopIfTrue="1" operator="equal">
      <formula>0</formula>
    </cfRule>
  </conditionalFormatting>
  <conditionalFormatting sqref="AY50:AY53 AY63 AY42:AY43 AY47 AY65 AY45">
    <cfRule type="cellIs" dxfId="773" priority="57" stopIfTrue="1" operator="equal">
      <formula>0</formula>
    </cfRule>
  </conditionalFormatting>
  <conditionalFormatting sqref="O17:AF17 S19:T19 S20:AD20 W22:AD22 S27:T27 S28:AD28 S30:AD30">
    <cfRule type="expression" dxfId="772" priority="58" stopIfTrue="1">
      <formula>$AW$4=0</formula>
    </cfRule>
  </conditionalFormatting>
  <conditionalFormatting sqref="AY72 AY78:AY79">
    <cfRule type="cellIs" dxfId="771" priority="56" stopIfTrue="1" operator="equal">
      <formula>0</formula>
    </cfRule>
  </conditionalFormatting>
  <conditionalFormatting sqref="AY80">
    <cfRule type="cellIs" dxfId="770" priority="55" stopIfTrue="1" operator="equal">
      <formula>0</formula>
    </cfRule>
  </conditionalFormatting>
  <conditionalFormatting sqref="AY84:AY93">
    <cfRule type="cellIs" dxfId="769" priority="54" stopIfTrue="1" operator="equal">
      <formula>0</formula>
    </cfRule>
  </conditionalFormatting>
  <conditionalFormatting sqref="AY48:AY49">
    <cfRule type="cellIs" dxfId="768" priority="53" stopIfTrue="1" operator="equal">
      <formula>0</formula>
    </cfRule>
  </conditionalFormatting>
  <conditionalFormatting sqref="AY59">
    <cfRule type="cellIs" dxfId="767" priority="52" stopIfTrue="1" operator="equal">
      <formula>0</formula>
    </cfRule>
  </conditionalFormatting>
  <conditionalFormatting sqref="AY67:AY69">
    <cfRule type="cellIs" dxfId="766" priority="51" stopIfTrue="1" operator="equal">
      <formula>0</formula>
    </cfRule>
  </conditionalFormatting>
  <conditionalFormatting sqref="AY70">
    <cfRule type="cellIs" dxfId="765" priority="50" stopIfTrue="1" operator="equal">
      <formula>0</formula>
    </cfRule>
  </conditionalFormatting>
  <conditionalFormatting sqref="AY71">
    <cfRule type="cellIs" dxfId="764" priority="49" stopIfTrue="1" operator="equal">
      <formula>0</formula>
    </cfRule>
  </conditionalFormatting>
  <conditionalFormatting sqref="AY81:AY83">
    <cfRule type="cellIs" dxfId="763" priority="48" stopIfTrue="1" operator="equal">
      <formula>0</formula>
    </cfRule>
  </conditionalFormatting>
  <conditionalFormatting sqref="BH94:BH96 BH98">
    <cfRule type="cellIs" dxfId="762" priority="47" stopIfTrue="1" operator="equal">
      <formula>0</formula>
    </cfRule>
  </conditionalFormatting>
  <conditionalFormatting sqref="AY94:AY100 AY106">
    <cfRule type="cellIs" dxfId="761" priority="45" stopIfTrue="1" operator="equal">
      <formula>0</formula>
    </cfRule>
  </conditionalFormatting>
  <conditionalFormatting sqref="AY60:AY61">
    <cfRule type="cellIs" dxfId="760" priority="44" stopIfTrue="1" operator="equal">
      <formula>0</formula>
    </cfRule>
  </conditionalFormatting>
  <conditionalFormatting sqref="BH99:BH100">
    <cfRule type="cellIs" dxfId="759" priority="43" stopIfTrue="1" operator="equal">
      <formula>0</formula>
    </cfRule>
  </conditionalFormatting>
  <conditionalFormatting sqref="AY14">
    <cfRule type="cellIs" dxfId="758" priority="42" stopIfTrue="1" operator="equal">
      <formula>0</formula>
    </cfRule>
  </conditionalFormatting>
  <conditionalFormatting sqref="AY23">
    <cfRule type="cellIs" dxfId="757" priority="41" stopIfTrue="1" operator="equal">
      <formula>0</formula>
    </cfRule>
  </conditionalFormatting>
  <conditionalFormatting sqref="AY36">
    <cfRule type="cellIs" dxfId="756" priority="40" stopIfTrue="1" operator="equal">
      <formula>0</formula>
    </cfRule>
  </conditionalFormatting>
  <conditionalFormatting sqref="AY41">
    <cfRule type="cellIs" dxfId="755" priority="39" stopIfTrue="1" operator="equal">
      <formula>0</formula>
    </cfRule>
  </conditionalFormatting>
  <conditionalFormatting sqref="AY46">
    <cfRule type="cellIs" dxfId="754" priority="38" stopIfTrue="1" operator="equal">
      <formula>0</formula>
    </cfRule>
  </conditionalFormatting>
  <conditionalFormatting sqref="AY58">
    <cfRule type="cellIs" dxfId="753" priority="37" stopIfTrue="1" operator="equal">
      <formula>0</formula>
    </cfRule>
  </conditionalFormatting>
  <conditionalFormatting sqref="AY62">
    <cfRule type="cellIs" dxfId="752" priority="36" stopIfTrue="1" operator="equal">
      <formula>0</formula>
    </cfRule>
  </conditionalFormatting>
  <conditionalFormatting sqref="AY64">
    <cfRule type="cellIs" dxfId="751" priority="35" stopIfTrue="1" operator="equal">
      <formula>0</formula>
    </cfRule>
  </conditionalFormatting>
  <conditionalFormatting sqref="AY66">
    <cfRule type="cellIs" dxfId="750" priority="34" stopIfTrue="1" operator="equal">
      <formula>0</formula>
    </cfRule>
  </conditionalFormatting>
  <conditionalFormatting sqref="AY73:AY77">
    <cfRule type="cellIs" dxfId="749" priority="33" stopIfTrue="1" operator="equal">
      <formula>0</formula>
    </cfRule>
  </conditionalFormatting>
  <conditionalFormatting sqref="F13:K13">
    <cfRule type="expression" dxfId="748" priority="32" stopIfTrue="1">
      <formula>$AW$4=1</formula>
    </cfRule>
  </conditionalFormatting>
  <conditionalFormatting sqref="BH23:BH26">
    <cfRule type="cellIs" dxfId="747" priority="31" stopIfTrue="1" operator="equal">
      <formula>0</formula>
    </cfRule>
  </conditionalFormatting>
  <conditionalFormatting sqref="BH27">
    <cfRule type="cellIs" dxfId="746" priority="30" stopIfTrue="1" operator="equal">
      <formula>0</formula>
    </cfRule>
  </conditionalFormatting>
  <conditionalFormatting sqref="BH28">
    <cfRule type="cellIs" dxfId="745" priority="29" stopIfTrue="1" operator="equal">
      <formula>0</formula>
    </cfRule>
  </conditionalFormatting>
  <conditionalFormatting sqref="BH29">
    <cfRule type="cellIs" dxfId="744" priority="28" stopIfTrue="1" operator="equal">
      <formula>0</formula>
    </cfRule>
  </conditionalFormatting>
  <conditionalFormatting sqref="BH34">
    <cfRule type="cellIs" dxfId="743" priority="27" stopIfTrue="1" operator="equal">
      <formula>0</formula>
    </cfRule>
  </conditionalFormatting>
  <conditionalFormatting sqref="BH41">
    <cfRule type="cellIs" dxfId="742" priority="26" stopIfTrue="1" operator="equal">
      <formula>0</formula>
    </cfRule>
  </conditionalFormatting>
  <conditionalFormatting sqref="BH58">
    <cfRule type="cellIs" dxfId="741" priority="25" stopIfTrue="1" operator="equal">
      <formula>0</formula>
    </cfRule>
  </conditionalFormatting>
  <conditionalFormatting sqref="BH59:BH62">
    <cfRule type="cellIs" dxfId="740" priority="24" stopIfTrue="1" operator="equal">
      <formula>0</formula>
    </cfRule>
  </conditionalFormatting>
  <conditionalFormatting sqref="BH71">
    <cfRule type="cellIs" dxfId="739" priority="23" stopIfTrue="1" operator="equal">
      <formula>0</formula>
    </cfRule>
  </conditionalFormatting>
  <conditionalFormatting sqref="BH78">
    <cfRule type="cellIs" dxfId="738" priority="22" stopIfTrue="1" operator="equal">
      <formula>0</formula>
    </cfRule>
  </conditionalFormatting>
  <conditionalFormatting sqref="BH93">
    <cfRule type="cellIs" dxfId="737" priority="21" stopIfTrue="1" operator="equal">
      <formula>0</formula>
    </cfRule>
  </conditionalFormatting>
  <conditionalFormatting sqref="BH97">
    <cfRule type="cellIs" dxfId="736" priority="20" stopIfTrue="1" operator="equal">
      <formula>0</formula>
    </cfRule>
  </conditionalFormatting>
  <conditionalFormatting sqref="AE22:AF22">
    <cfRule type="expression" dxfId="735" priority="18" stopIfTrue="1">
      <formula>$AW$4=0</formula>
    </cfRule>
  </conditionalFormatting>
  <conditionalFormatting sqref="AY44">
    <cfRule type="cellIs" dxfId="734" priority="13" stopIfTrue="1" operator="equal">
      <formula>0</formula>
    </cfRule>
  </conditionalFormatting>
  <conditionalFormatting sqref="AY30">
    <cfRule type="cellIs" dxfId="733" priority="15" stopIfTrue="1" operator="equal">
      <formula>0</formula>
    </cfRule>
  </conditionalFormatting>
  <conditionalFormatting sqref="BH48">
    <cfRule type="cellIs" dxfId="732" priority="14" stopIfTrue="1" operator="equal">
      <formula>0</formula>
    </cfRule>
  </conditionalFormatting>
  <conditionalFormatting sqref="AZ5">
    <cfRule type="cellIs" dxfId="731" priority="12" stopIfTrue="1" operator="equal">
      <formula>0</formula>
    </cfRule>
  </conditionalFormatting>
  <conditionalFormatting sqref="BI5">
    <cfRule type="cellIs" dxfId="730" priority="11" stopIfTrue="1" operator="equal">
      <formula>0</formula>
    </cfRule>
  </conditionalFormatting>
  <conditionalFormatting sqref="BH106:BH108">
    <cfRule type="cellIs" dxfId="729" priority="9" stopIfTrue="1" operator="equal">
      <formula>0</formula>
    </cfRule>
  </conditionalFormatting>
  <conditionalFormatting sqref="BI106:BI108">
    <cfRule type="cellIs" dxfId="728" priority="8" stopIfTrue="1" operator="equal">
      <formula>0</formula>
    </cfRule>
  </conditionalFormatting>
  <conditionalFormatting sqref="AZ101:AZ105">
    <cfRule type="cellIs" dxfId="727" priority="7" stopIfTrue="1" operator="equal">
      <formula>0</formula>
    </cfRule>
  </conditionalFormatting>
  <conditionalFormatting sqref="AY101:AY105">
    <cfRule type="cellIs" dxfId="726" priority="6" stopIfTrue="1" operator="equal">
      <formula>0</formula>
    </cfRule>
  </conditionalFormatting>
  <conditionalFormatting sqref="BH101 BH104:BH105">
    <cfRule type="cellIs" dxfId="725" priority="5" stopIfTrue="1" operator="equal">
      <formula>0</formula>
    </cfRule>
  </conditionalFormatting>
  <conditionalFormatting sqref="BI101:BI105">
    <cfRule type="cellIs" dxfId="724" priority="4" stopIfTrue="1" operator="equal">
      <formula>0</formula>
    </cfRule>
  </conditionalFormatting>
  <conditionalFormatting sqref="BH102:BH103">
    <cfRule type="cellIs" dxfId="723" priority="3" stopIfTrue="1" operator="equal">
      <formula>0</formula>
    </cfRule>
  </conditionalFormatting>
  <conditionalFormatting sqref="AI17:AO17">
    <cfRule type="expression" dxfId="722" priority="2" stopIfTrue="1">
      <formula>$AW$4=0</formula>
    </cfRule>
  </conditionalFormatting>
  <conditionalFormatting sqref="AI25:AO25">
    <cfRule type="expression" dxfId="721" priority="1" stopIfTrue="1">
      <formula>$AW$4=0</formula>
    </cfRule>
  </conditionalFormatting>
  <hyperlinks>
    <hyperlink ref="M4" location="MENU!A1" display="MENU!A1" xr:uid="{00000000-0004-0000-0900-000000000000}"/>
    <hyperlink ref="M10" location="OBJ!A1" display="OBJ!A1" xr:uid="{00000000-0004-0000-0900-000001000000}"/>
    <hyperlink ref="M9" location="suhrn!A1" display="suhrn!A1" xr:uid="{00000000-0004-0000-0900-000002000000}"/>
    <hyperlink ref="O2:S2" location="MENU!A5" display="MENU!A5" xr:uid="{00000000-0004-0000-09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53">
    <tabColor rgb="FFFF0000"/>
  </sheetPr>
  <dimension ref="A1:BK143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101"</f>
        <v>Zásuvka AVANTECH YOU  101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SUM(BB5:BB998)</f>
        <v>#N/A</v>
      </c>
      <c r="BD4" s="94" t="s">
        <v>34</v>
      </c>
      <c r="BK4" s="322" t="e">
        <f>SUM(BK5:BK993)</f>
        <v>#N/A</v>
      </c>
    </row>
    <row r="5" spans="1:63" ht="14.45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26.248429999999999</v>
      </c>
      <c r="BB5" s="95">
        <f t="shared" ref="BB5:BB68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10.00929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283</v>
      </c>
      <c r="G6" s="566"/>
      <c r="H6" s="566"/>
      <c r="I6" s="566"/>
      <c r="J6" s="566"/>
      <c r="K6" s="566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 t="shared" ref="AZ6:AZ69" si="1">IF(AY6="","",IF($AW$4=1,AY6,0))</f>
        <v>0</v>
      </c>
      <c r="BA6" s="95">
        <f>VLOOKUP(AU6,CENY!$B$11:$M$2025,12,FALSE)</f>
        <v>26.467459999999999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10.00929</v>
      </c>
      <c r="BK6" s="95">
        <f t="shared" ref="BK6:BK69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si="1"/>
        <v>0</v>
      </c>
      <c r="BA7" s="95">
        <f>VLOOKUP(AU7,CENY!$B$11:$M$2025,12,FALSE)</f>
        <v>26.833570000000002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10.12106</v>
      </c>
      <c r="BK7" s="95">
        <f t="shared" si="3"/>
        <v>0</v>
      </c>
    </row>
    <row r="8" spans="1:63" ht="14.45" customHeight="1" thickBo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1"/>
        <v>0</v>
      </c>
      <c r="BA8" s="95">
        <f>VLOOKUP(AU8,CENY!$B$11:$M$2025,12,FALSE)</f>
        <v>27.19903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10.12106</v>
      </c>
      <c r="BK8" s="95">
        <f t="shared" si="3"/>
        <v>0</v>
      </c>
    </row>
    <row r="9" spans="1:63" ht="14.45" customHeight="1" thickTop="1">
      <c r="B9" s="552"/>
      <c r="C9" s="560"/>
      <c r="D9" s="560"/>
      <c r="E9" s="561"/>
      <c r="F9" s="562"/>
      <c r="G9" s="563"/>
      <c r="H9" s="563"/>
      <c r="I9" s="563"/>
      <c r="J9" s="563"/>
      <c r="K9" s="564"/>
      <c r="AK9" s="587" t="str">
        <f>verze!E160</f>
        <v>Je nutné natypovať šírky čiel ?</v>
      </c>
      <c r="AL9" s="588"/>
      <c r="AM9" s="588"/>
      <c r="AN9" s="588"/>
      <c r="AO9" s="588"/>
      <c r="AP9" s="589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1"/>
        <v>0</v>
      </c>
      <c r="BA9" s="95">
        <f>VLOOKUP(AU9,CENY!$B$11:$M$2025,12,FALSE)</f>
        <v>26.252320000000001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10.307510000000001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K10" s="590"/>
      <c r="AL10" s="591"/>
      <c r="AM10" s="591"/>
      <c r="AN10" s="591"/>
      <c r="AO10" s="591"/>
      <c r="AP10" s="592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1"/>
        <v>0</v>
      </c>
      <c r="BA10" s="95">
        <f>VLOOKUP(AU10,CENY!$B$11:$M$2025,12,FALSE)</f>
        <v>26.6005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10.307510000000001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1"/>
        <v>0</v>
      </c>
      <c r="BA11" s="95">
        <f>VLOOKUP(AU11,CENY!$B$11:$M$2025,12,FALSE)</f>
        <v>28.296320000000001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10.49362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1"/>
        <v>0</v>
      </c>
      <c r="BA12" s="95">
        <f>VLOOKUP(AU12,CENY!$B$11:$M$2025,12,FALSE)</f>
        <v>28.89237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10.49362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AE22</f>
        <v>0</v>
      </c>
      <c r="AZ13" s="326">
        <f t="shared" si="1"/>
        <v>0</v>
      </c>
      <c r="BA13" s="95">
        <f>VLOOKUP(AU13,CENY!$B$11:$M$2025,12,FALSE)</f>
        <v>29.75958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10.680099999999999</v>
      </c>
      <c r="BK13" s="95">
        <f t="shared" si="3"/>
        <v>0</v>
      </c>
    </row>
    <row r="14" spans="1:63" ht="14.45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10.680099999999999</v>
      </c>
      <c r="BK14" s="95">
        <f t="shared" si="3"/>
        <v>0</v>
      </c>
    </row>
    <row r="15" spans="1:63" ht="14.45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si="1"/>
        <v>0</v>
      </c>
      <c r="BA15" s="95">
        <f>VLOOKUP(AU15,CENY!$B$11:$M$2025,12,FALSE)</f>
        <v>0.95189000000000001</v>
      </c>
      <c r="BB15" s="95">
        <f t="shared" si="0"/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10.348739999999999</v>
      </c>
      <c r="BK15" s="95">
        <f t="shared" si="3"/>
        <v>0</v>
      </c>
    </row>
    <row r="16" spans="1:63" ht="14.45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1"/>
        <v>0</v>
      </c>
      <c r="BA16" s="95">
        <f>VLOOKUP(AU16,CENY!$B$11:$M$2025,12,FALSE)</f>
        <v>0.96240999999999999</v>
      </c>
      <c r="BB16" s="95">
        <f t="shared" si="0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10.348739999999999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I17" s="542" t="str">
        <f>verze!E198</f>
        <v>P2O Silent pre Actro</v>
      </c>
      <c r="AJ17" s="543"/>
      <c r="AK17" s="543"/>
      <c r="AL17" s="543"/>
      <c r="AM17" s="543"/>
      <c r="AN17" s="543"/>
      <c r="AO17" s="543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1"/>
        <v>0</v>
      </c>
      <c r="BA17" s="95">
        <f>VLOOKUP(AU17,CENY!$B$11:$M$2025,12,FALSE)</f>
        <v>0.98018000000000005</v>
      </c>
      <c r="BB17" s="95">
        <f t="shared" si="0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11.052530000000001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I18" s="545" t="s">
        <v>299</v>
      </c>
      <c r="AJ18" s="545"/>
      <c r="AK18" s="545"/>
      <c r="AL18" s="545"/>
      <c r="AM18" s="545"/>
      <c r="AN18" s="545"/>
      <c r="AO18" s="545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1"/>
        <v>0</v>
      </c>
      <c r="BA18" s="95">
        <f>VLOOKUP(AU18,CENY!$B$11:$M$2025,12,FALSE)</f>
        <v>0.99777000000000005</v>
      </c>
      <c r="BB18" s="95">
        <f t="shared" si="0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11.052530000000001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69"/>
      <c r="P19" s="570"/>
      <c r="Q19" s="569"/>
      <c r="R19" s="570"/>
      <c r="S19" s="569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6"/>
      <c r="AO19" s="536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1"/>
        <v>0</v>
      </c>
      <c r="BA19" s="95">
        <f>VLOOKUP(AU19,CENY!$B$11:$M$2025,12,FALSE)</f>
        <v>1.01556</v>
      </c>
      <c r="BB19" s="95">
        <f t="shared" si="0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11.33343</v>
      </c>
      <c r="BK19" s="95">
        <f t="shared" si="3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18"/>
      <c r="P20" s="519"/>
      <c r="Q20" s="518"/>
      <c r="R20" s="519"/>
      <c r="S20" s="518"/>
      <c r="T20" s="519"/>
      <c r="U20" s="518"/>
      <c r="V20" s="519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I20" s="287"/>
      <c r="AJ20" s="288"/>
      <c r="AK20" s="287"/>
      <c r="AL20" s="288"/>
      <c r="AM20" s="286" t="s">
        <v>294</v>
      </c>
      <c r="AN20" s="522"/>
      <c r="AO20" s="522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1"/>
        <v>0</v>
      </c>
      <c r="BA20" s="95">
        <f>VLOOKUP(AU20,CENY!$B$11:$M$2025,12,FALSE)</f>
        <v>1.0332399999999999</v>
      </c>
      <c r="BB20" s="95">
        <f t="shared" si="0"/>
        <v>0</v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11.33343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4"/>
      <c r="AO21" s="544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1"/>
        <v>0</v>
      </c>
      <c r="BA21" s="95">
        <f>VLOOKUP(AU21,CENY!$B$11:$M$2025,12,FALSE)</f>
        <v>1.0508599999999999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11.715400000000001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67"/>
      <c r="AF22" s="568"/>
      <c r="AI22" s="287"/>
      <c r="AJ22" s="288"/>
      <c r="AK22" s="287"/>
      <c r="AL22" s="288"/>
      <c r="AM22" s="286" t="s">
        <v>297</v>
      </c>
      <c r="AN22" s="541"/>
      <c r="AO22" s="541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1"/>
        <v>0</v>
      </c>
      <c r="BA22" s="95">
        <f>VLOOKUP(AU22,CENY!$B$11:$M$2025,12,FALSE)</f>
        <v>1.09639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11.715400000000001</v>
      </c>
      <c r="BK22" s="95">
        <f t="shared" si="3"/>
        <v>0</v>
      </c>
    </row>
    <row r="23" spans="2:63" ht="14.45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IF(FORM!AM18=FORM!AU16,0,2*AE22)</f>
        <v>0</v>
      </c>
      <c r="AZ23" s="326">
        <f t="shared" si="1"/>
        <v>0</v>
      </c>
      <c r="BA23" s="95">
        <f>VLOOKUP(AU23,CENY!$B$11:$M$2025,12,FALSE)</f>
        <v>1.1824300000000001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5" customHeight="1"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20">
        <v>9255835</v>
      </c>
      <c r="BE24" s="321" t="str">
        <f>VLOOKUP(BD24,CENY!$B$11:$G$1054,2,FALSE)</f>
        <v>AvanY-príchytka čela k naskrutk./ v101</v>
      </c>
      <c r="BF24" s="22">
        <f>VLOOKUP(BD24,CENY!$B$11:$G$1054,3,FALSE)</f>
        <v>200</v>
      </c>
      <c r="BG24" s="22"/>
      <c r="BH24" s="68">
        <f>2*(SUM(O19:T19)+SUM(O20:AD20)+SUM(W22:AF22)+SUM(O27:T27)+SUM(O28:AD28)+SUM(O30:AD30))</f>
        <v>0</v>
      </c>
      <c r="BI24" s="326">
        <f t="shared" si="2"/>
        <v>0</v>
      </c>
      <c r="BJ24" s="95">
        <f>VLOOKUP(BD24,CENY!$B$11:$M$2025,12,FALSE)</f>
        <v>1.1621999999999999</v>
      </c>
      <c r="BK24" s="95">
        <f t="shared" si="3"/>
        <v>0</v>
      </c>
    </row>
    <row r="25" spans="2:63" ht="14.45" customHeight="1" thickBot="1">
      <c r="B25" s="2" t="s">
        <v>285</v>
      </c>
      <c r="AI25" s="542" t="str">
        <f>verze!E199</f>
        <v>P2O Silent pre Quadro</v>
      </c>
      <c r="AJ25" s="543"/>
      <c r="AK25" s="543"/>
      <c r="AL25" s="543"/>
      <c r="AM25" s="543"/>
      <c r="AN25" s="543"/>
      <c r="AO25" s="543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si="1"/>
        <v>0</v>
      </c>
      <c r="BA25" s="95">
        <f>VLOOKUP(AU25,CENY!$B$11:$M$2025,12,FALSE)</f>
        <v>31.62575</v>
      </c>
      <c r="BB25" s="95">
        <f t="shared" si="0"/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2*(SUM(O19:T19)+SUM(O20:AD20)+SUM(W22:AF22)+SUM(O27:T27)+SUM(O28:AD28)+SUM(O30:AD30))</f>
        <v>0</v>
      </c>
      <c r="BI25" s="326">
        <f t="shared" si="2"/>
        <v>0</v>
      </c>
      <c r="BJ25" s="95">
        <f>VLOOKUP(BD25,CENY!$B$11:$M$2025,12,FALSE)</f>
        <v>0.74794000000000005</v>
      </c>
      <c r="BK25" s="95">
        <f t="shared" si="3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I26" s="545" t="s">
        <v>299</v>
      </c>
      <c r="AJ26" s="545"/>
      <c r="AK26" s="545"/>
      <c r="AL26" s="545"/>
      <c r="AM26" s="545"/>
      <c r="AN26" s="545"/>
      <c r="AO26" s="545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1"/>
        <v>0</v>
      </c>
      <c r="BA26" s="95">
        <f>VLOOKUP(AU26,CENY!$B$11:$M$2025,12,FALSE)</f>
        <v>31.62575</v>
      </c>
      <c r="BB26" s="95">
        <f t="shared" si="0"/>
        <v>0</v>
      </c>
      <c r="BD26" s="20"/>
      <c r="BE26" s="21"/>
      <c r="BF26" s="22"/>
      <c r="BG26" s="22"/>
      <c r="BH26" s="23"/>
      <c r="BI26" s="326" t="str">
        <f t="shared" si="2"/>
        <v/>
      </c>
      <c r="BJ26" s="95"/>
      <c r="BK26" s="95" t="str">
        <f t="shared" si="3"/>
        <v/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69"/>
      <c r="P27" s="570"/>
      <c r="Q27" s="569"/>
      <c r="R27" s="570"/>
      <c r="S27" s="569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6"/>
      <c r="AO27" s="536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1"/>
        <v>0</v>
      </c>
      <c r="BA27" s="95">
        <f>VLOOKUP(AU27,CENY!$B$11:$M$2025,12,FALSE)</f>
        <v>31.62575</v>
      </c>
      <c r="BB27" s="95">
        <f t="shared" si="0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si="2"/>
        <v>0</v>
      </c>
      <c r="BJ27" s="95">
        <f>VLOOKUP(BD27,CENY!$B$11:$M$2025,12,FALSE)</f>
        <v>0.95189000000000001</v>
      </c>
      <c r="BK27" s="95">
        <f t="shared" si="3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18"/>
      <c r="P28" s="519"/>
      <c r="Q28" s="518"/>
      <c r="R28" s="519"/>
      <c r="S28" s="518"/>
      <c r="T28" s="519"/>
      <c r="U28" s="518"/>
      <c r="V28" s="519"/>
      <c r="W28" s="518"/>
      <c r="X28" s="519"/>
      <c r="Y28" s="518"/>
      <c r="Z28" s="519"/>
      <c r="AA28" s="518"/>
      <c r="AB28" s="519"/>
      <c r="AC28" s="518"/>
      <c r="AD28" s="519"/>
      <c r="AI28" s="287"/>
      <c r="AJ28" s="288"/>
      <c r="AK28" s="287"/>
      <c r="AL28" s="288"/>
      <c r="AM28" s="286" t="s">
        <v>294</v>
      </c>
      <c r="AN28" s="522"/>
      <c r="AO28" s="522"/>
      <c r="AU28" s="20"/>
      <c r="AV28" s="21"/>
      <c r="AW28" s="22"/>
      <c r="AX28" s="22"/>
      <c r="AY28" s="23"/>
      <c r="AZ28" s="326" t="str">
        <f t="shared" si="1"/>
        <v/>
      </c>
      <c r="BA28" s="95"/>
      <c r="BB28" s="95" t="str">
        <f t="shared" si="0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2"/>
        <v>0</v>
      </c>
      <c r="BJ28" s="95">
        <f>VLOOKUP(BD28,CENY!$B$11:$M$2025,12,FALSE)</f>
        <v>0.96240999999999999</v>
      </c>
      <c r="BK28" s="95">
        <f t="shared" si="3"/>
        <v>0</v>
      </c>
    </row>
    <row r="29" spans="2:63" ht="14.45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9"/>
      <c r="AO29" s="529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si="1"/>
        <v>0</v>
      </c>
      <c r="BA29" s="95">
        <f>VLOOKUP(AU29,CENY!$B$11:$M$2025,12,FALSE)</f>
        <v>31.62575</v>
      </c>
      <c r="BB29" s="95">
        <f t="shared" si="0"/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2"/>
        <v>0</v>
      </c>
      <c r="BJ29" s="95">
        <f>VLOOKUP(BD29,CENY!$B$11:$M$2025,12,FALSE)</f>
        <v>0.98018000000000005</v>
      </c>
      <c r="BK29" s="95">
        <f t="shared" si="3"/>
        <v>0</v>
      </c>
    </row>
    <row r="30" spans="2:63" ht="14.45" customHeight="1" thickBot="1">
      <c r="B30" s="530" t="s">
        <v>373</v>
      </c>
      <c r="C30" s="530"/>
      <c r="D30" s="530"/>
      <c r="E30" s="530"/>
      <c r="F30" s="530"/>
      <c r="G30" s="530"/>
      <c r="H30" s="531" t="str">
        <f>verze!E18</f>
        <v>plnovýsuv</v>
      </c>
      <c r="I30" s="531"/>
      <c r="J30" s="531"/>
      <c r="K30" s="531"/>
      <c r="L30" s="531"/>
      <c r="M30" s="525" t="s">
        <v>1</v>
      </c>
      <c r="N30" s="526"/>
      <c r="O30" s="518"/>
      <c r="P30" s="519"/>
      <c r="Q30" s="518"/>
      <c r="R30" s="519"/>
      <c r="S30" s="518"/>
      <c r="T30" s="519"/>
      <c r="U30" s="518"/>
      <c r="V30" s="519"/>
      <c r="W30" s="518"/>
      <c r="X30" s="519"/>
      <c r="Y30" s="518"/>
      <c r="Z30" s="519"/>
      <c r="AA30" s="518"/>
      <c r="AB30" s="519"/>
      <c r="AC30" s="567"/>
      <c r="AD30" s="568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1"/>
        <v>0</v>
      </c>
      <c r="BA30" s="95">
        <f>VLOOKUP(AU30,CENY!$B$11:$M$2025,12,FALSE)</f>
        <v>31.62575</v>
      </c>
      <c r="BB30" s="95">
        <f t="shared" si="0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2"/>
        <v>0</v>
      </c>
      <c r="BJ30" s="95">
        <f>VLOOKUP(BD30,CENY!$B$11:$M$2025,12,FALSE)</f>
        <v>0.99777000000000005</v>
      </c>
      <c r="BK30" s="95">
        <f t="shared" si="3"/>
        <v>0</v>
      </c>
    </row>
    <row r="31" spans="2:63" ht="14.45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1"/>
        <v>0</v>
      </c>
      <c r="BA31" s="95">
        <f>VLOOKUP(AU31,CENY!$B$11:$M$2025,12,FALSE)</f>
        <v>31.62575</v>
      </c>
      <c r="BB31" s="95">
        <f t="shared" si="0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2"/>
        <v>0</v>
      </c>
      <c r="BJ31" s="95">
        <f>VLOOKUP(BD31,CENY!$B$11:$M$2025,12,FALSE)</f>
        <v>1.01556</v>
      </c>
      <c r="BK31" s="95">
        <f t="shared" si="3"/>
        <v>0</v>
      </c>
    </row>
    <row r="32" spans="2:63" ht="14.45" customHeight="1">
      <c r="B32" s="366" t="str">
        <f>verze!E201</f>
        <v>SiSy = tlmenie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1"/>
        <v>0</v>
      </c>
      <c r="BA32" s="95">
        <f>VLOOKUP(AU32,CENY!$B$11:$M$2025,12,FALSE)</f>
        <v>31.976389999999999</v>
      </c>
      <c r="BB32" s="95">
        <f t="shared" si="0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2"/>
        <v>0</v>
      </c>
      <c r="BJ32" s="95">
        <f>VLOOKUP(BD32,CENY!$B$11:$M$2025,12,FALSE)</f>
        <v>1.0332399999999999</v>
      </c>
      <c r="BK32" s="95">
        <f t="shared" si="3"/>
        <v>0</v>
      </c>
    </row>
    <row r="33" spans="2:63" ht="14.45" customHeight="1">
      <c r="B33" s="366" t="str">
        <f>verze!E204</f>
        <v>P2O = otváranie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1"/>
        <v>0</v>
      </c>
      <c r="BA33" s="95">
        <f>VLOOKUP(AU33,CENY!$B$11:$M$2025,12,FALSE)</f>
        <v>32.324420000000003</v>
      </c>
      <c r="BB33" s="95">
        <f t="shared" si="0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2"/>
        <v>0</v>
      </c>
      <c r="BJ33" s="95">
        <f>VLOOKUP(BD33,CENY!$B$11:$M$2025,12,FALSE)</f>
        <v>1.0508599999999999</v>
      </c>
      <c r="BK33" s="95">
        <f t="shared" si="3"/>
        <v>0</v>
      </c>
    </row>
    <row r="34" spans="2:63" ht="14.45" customHeight="1">
      <c r="B34" s="366" t="str">
        <f>verze!E203</f>
        <v>P2O Silent = tlmenie s otváraním bez úchytky Push to open Silent</v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1"/>
        <v>0</v>
      </c>
      <c r="BA34" s="95">
        <f>VLOOKUP(AU34,CENY!$B$11:$M$2025,12,FALSE)</f>
        <v>6.5957299999999996</v>
      </c>
      <c r="BB34" s="95">
        <f t="shared" si="0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2"/>
        <v>0</v>
      </c>
      <c r="BJ34" s="95">
        <f>VLOOKUP(BD34,CENY!$B$11:$M$2025,12,FALSE)</f>
        <v>1.09639</v>
      </c>
      <c r="BK34" s="95">
        <f t="shared" si="3"/>
        <v>0</v>
      </c>
    </row>
    <row r="35" spans="2:63" ht="14.45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1"/>
        <v>0</v>
      </c>
      <c r="BA35" s="95">
        <f>VLOOKUP(AU35,CENY!$B$11:$M$2025,12,FALSE)</f>
        <v>6.9728000000000003</v>
      </c>
      <c r="BB35" s="95">
        <f t="shared" si="0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2*AE22</f>
        <v>0</v>
      </c>
      <c r="BI35" s="326">
        <f t="shared" si="2"/>
        <v>0</v>
      </c>
      <c r="BJ35" s="95">
        <f>VLOOKUP(BD35,CENY!$B$11:$M$2025,12,FALSE)</f>
        <v>1.1824300000000001</v>
      </c>
      <c r="BK35" s="95">
        <f t="shared" si="3"/>
        <v>0</v>
      </c>
    </row>
    <row r="36" spans="2:63" ht="14.45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1"/>
        <v>0</v>
      </c>
      <c r="BA36" s="95">
        <f>VLOOKUP(AU36,CENY!$B$11:$M$2025,12,FALSE)</f>
        <v>34.956960000000002</v>
      </c>
      <c r="BB36" s="95">
        <f t="shared" si="0"/>
        <v>0</v>
      </c>
      <c r="BD36" s="319"/>
      <c r="BE36" s="21"/>
      <c r="BF36" s="22"/>
      <c r="BG36" s="22"/>
      <c r="BH36" s="23"/>
      <c r="BI36" s="326" t="str">
        <f t="shared" si="2"/>
        <v/>
      </c>
      <c r="BJ36" s="95"/>
      <c r="BK36" s="95" t="str">
        <f t="shared" si="3"/>
        <v/>
      </c>
    </row>
    <row r="37" spans="2:63" ht="14.45" customHeight="1">
      <c r="AU37" s="319"/>
      <c r="AV37" s="21"/>
      <c r="AW37" s="22"/>
      <c r="AX37" s="22"/>
      <c r="AY37" s="23"/>
      <c r="AZ37" s="326" t="str">
        <f t="shared" si="1"/>
        <v/>
      </c>
      <c r="BA37" s="95"/>
      <c r="BB37" s="95" t="str">
        <f t="shared" si="0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si="2"/>
        <v>0</v>
      </c>
      <c r="BJ37" s="95" t="e">
        <f>VLOOKUP(BD37,CENY!$B$11:$M$2025,12,FALSE)</f>
        <v>#N/A</v>
      </c>
      <c r="BK37" s="95" t="e">
        <f t="shared" si="3"/>
        <v>#N/A</v>
      </c>
    </row>
    <row r="38" spans="2:63" ht="14.45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1"/>
        <v>0</v>
      </c>
      <c r="BA38" s="95">
        <f>VLOOKUP(AU38,CENY!$B$11:$M$2025,12,FALSE)</f>
        <v>7.9265800000000004</v>
      </c>
      <c r="BB38" s="95">
        <f t="shared" si="0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 t="e">
        <f>VLOOKUP(BD38,CENY!$B$11:$M$2025,12,FALSE)</f>
        <v>#N/A</v>
      </c>
      <c r="BK38" s="95" t="e">
        <f t="shared" si="3"/>
        <v>#N/A</v>
      </c>
    </row>
    <row r="39" spans="2:63" ht="14.45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1"/>
        <v>0</v>
      </c>
      <c r="BA39" s="95">
        <f>VLOOKUP(AU39,CENY!$B$11:$M$2025,12,FALSE)</f>
        <v>39.622210000000003</v>
      </c>
      <c r="BB39" s="95">
        <f t="shared" si="0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2"/>
        <v>0</v>
      </c>
      <c r="BJ39" s="95" t="e">
        <f>VLOOKUP(BD39,CENY!$B$11:$M$2025,12,FALSE)</f>
        <v>#N/A</v>
      </c>
      <c r="BK39" s="95" t="e">
        <f t="shared" si="3"/>
        <v>#N/A</v>
      </c>
    </row>
    <row r="40" spans="2:63" ht="14.45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1"/>
        <v>0</v>
      </c>
      <c r="BA40" s="95">
        <f>VLOOKUP(AU40,CENY!$B$11:$M$2025,12,FALSE)</f>
        <v>41.504899999999999</v>
      </c>
      <c r="BB40" s="95">
        <f t="shared" si="0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 t="e">
        <f>VLOOKUP(BD40,CENY!$B$11:$M$2025,12,FALSE)</f>
        <v>#N/A</v>
      </c>
      <c r="BK40" s="95" t="e">
        <f t="shared" si="3"/>
        <v>#N/A</v>
      </c>
    </row>
    <row r="41" spans="2:63" ht="14.45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1"/>
        <v>0</v>
      </c>
      <c r="BA41" s="95">
        <f>VLOOKUP(AU41,CENY!$B$11:$M$2025,12,FALSE)</f>
        <v>45.308109999999999</v>
      </c>
      <c r="BB41" s="95">
        <f t="shared" si="0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14.37729</v>
      </c>
      <c r="BK41" s="95">
        <f t="shared" si="3"/>
        <v>0</v>
      </c>
    </row>
    <row r="42" spans="2:63" ht="14.45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si="1"/>
        <v>0</v>
      </c>
      <c r="BA42" s="95">
        <f>VLOOKUP(AU42,CENY!$B$11:$M$2025,12,FALSE)</f>
        <v>47.02431</v>
      </c>
      <c r="BB42" s="95">
        <f t="shared" si="0"/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14.37729</v>
      </c>
      <c r="BK42" s="95">
        <f t="shared" si="3"/>
        <v>0</v>
      </c>
    </row>
    <row r="43" spans="2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3"/>
        <v/>
      </c>
    </row>
    <row r="44" spans="2:63" ht="14.45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1"/>
        <v>0</v>
      </c>
      <c r="BA44" s="95">
        <f>VLOOKUP(AU44,CENY!$B$11:$M$2025,12,FALSE)</f>
        <v>23.177009999999999</v>
      </c>
      <c r="BB44" s="95">
        <f t="shared" si="0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si="2"/>
        <v>0</v>
      </c>
      <c r="BJ44" s="95" t="e">
        <f>VLOOKUP(BD44,CENY!$B$11:$M$2025,12,FALSE)</f>
        <v>#N/A</v>
      </c>
      <c r="BK44" s="95" t="e">
        <f t="shared" si="3"/>
        <v>#N/A</v>
      </c>
    </row>
    <row r="45" spans="2:63" ht="14.45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1"/>
        <v>0</v>
      </c>
      <c r="BA45" s="95">
        <f>VLOOKUP(AU45,CENY!$B$11:$M$2025,12,FALSE)</f>
        <v>23.177009999999999</v>
      </c>
      <c r="BB45" s="95">
        <f t="shared" si="0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"/>
        <v>0</v>
      </c>
      <c r="BJ45" s="95" t="e">
        <f>VLOOKUP(BD45,CENY!$B$11:$M$2025,12,FALSE)</f>
        <v>#N/A</v>
      </c>
      <c r="BK45" s="95" t="e">
        <f t="shared" si="3"/>
        <v>#N/A</v>
      </c>
    </row>
    <row r="46" spans="2:63" ht="14.45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1"/>
        <v>0</v>
      </c>
      <c r="BA46" s="95">
        <f>VLOOKUP(AU46,CENY!$B$11:$M$2025,12,FALSE)</f>
        <v>23.177009999999999</v>
      </c>
      <c r="BB46" s="95">
        <f t="shared" si="0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2"/>
        <v>0</v>
      </c>
      <c r="BJ46" s="95">
        <f>VLOOKUP(BD46,CENY!$B$11:$M$2025,12,FALSE)</f>
        <v>14.37729</v>
      </c>
      <c r="BK46" s="95">
        <f t="shared" si="3"/>
        <v>0</v>
      </c>
    </row>
    <row r="47" spans="2:63" ht="14.45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1"/>
        <v>0</v>
      </c>
      <c r="BA47" s="95">
        <f>VLOOKUP(AU47,CENY!$B$11:$M$2025,12,FALSE)</f>
        <v>23.177009999999999</v>
      </c>
      <c r="BB47" s="95">
        <f t="shared" si="0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14.37729</v>
      </c>
      <c r="BK47" s="95">
        <f t="shared" si="3"/>
        <v>0</v>
      </c>
    </row>
    <row r="48" spans="2:63" ht="14.45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IF((SUM(AN19:AO22)+SUM(AN27:AO29)+SUM(O30:AD30))=0,0,AY83)</f>
        <v>0</v>
      </c>
      <c r="AZ48" s="326">
        <f t="shared" si="1"/>
        <v>0</v>
      </c>
      <c r="BA48" s="95">
        <f>VLOOKUP(AU48,CENY!$B$11:$M$2025,12,FALSE)</f>
        <v>8.7567500000000003</v>
      </c>
      <c r="BB48" s="95">
        <f t="shared" si="0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2"/>
        <v>0</v>
      </c>
      <c r="BJ48" s="95">
        <f>VLOOKUP(BD48,CENY!$B$11:$M$2025,12,FALSE)</f>
        <v>14.37729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 t="e">
        <f>VLOOKUP(BD49,CENY!$B$11:$M$2025,12,FALSE)</f>
        <v>#N/A</v>
      </c>
      <c r="BK49" s="95" t="e">
        <f t="shared" si="3"/>
        <v>#N/A</v>
      </c>
    </row>
    <row r="50" spans="47:63" ht="14.45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si="1"/>
        <v>0</v>
      </c>
      <c r="BA50" s="95">
        <f>VLOOKUP(AU50,CENY!$B$11:$M$2025,12,FALSE)</f>
        <v>23.022449999999999</v>
      </c>
      <c r="BB50" s="95">
        <f t="shared" si="0"/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2"/>
        <v>0</v>
      </c>
      <c r="BJ50" s="95">
        <f>VLOOKUP(BD50,CENY!$B$11:$M$2025,12,FALSE)</f>
        <v>14.56085</v>
      </c>
      <c r="BK50" s="95">
        <f t="shared" si="3"/>
        <v>0</v>
      </c>
    </row>
    <row r="51" spans="47:63" ht="14.45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1"/>
        <v>0</v>
      </c>
      <c r="BA51" s="95">
        <f>VLOOKUP(AU51,CENY!$B$11:$M$2025,12,FALSE)</f>
        <v>23.069210000000002</v>
      </c>
      <c r="BB51" s="95">
        <f t="shared" si="0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14.56085</v>
      </c>
      <c r="BK51" s="95">
        <f t="shared" si="3"/>
        <v>0</v>
      </c>
    </row>
    <row r="52" spans="47:63" ht="14.45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1"/>
        <v>0</v>
      </c>
      <c r="BA52" s="95">
        <f>VLOOKUP(AU52,CENY!$B$11:$M$2025,12,FALSE)</f>
        <v>23.536069999999999</v>
      </c>
      <c r="BB52" s="95">
        <f t="shared" si="0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2"/>
        <v>0</v>
      </c>
      <c r="BJ52" s="95" t="e">
        <f>VLOOKUP(BD52,CENY!$B$11:$M$2025,12,FALSE)</f>
        <v>#N/A</v>
      </c>
      <c r="BK52" s="95" t="e">
        <f t="shared" si="3"/>
        <v>#N/A</v>
      </c>
    </row>
    <row r="53" spans="47:63" ht="14.45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0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14.040839999999999</v>
      </c>
      <c r="BK53" s="95">
        <f t="shared" si="3"/>
        <v>0</v>
      </c>
    </row>
    <row r="54" spans="47:63" ht="14.45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si="1"/>
        <v>0</v>
      </c>
      <c r="BA54" s="95">
        <f>VLOOKUP(AU54,CENY!$B$11:$M$2025,12,FALSE)</f>
        <v>23.022449999999999</v>
      </c>
      <c r="BB54" s="95">
        <f t="shared" si="0"/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2"/>
        <v>0</v>
      </c>
      <c r="BJ54" s="95">
        <f>VLOOKUP(BD54,CENY!$B$11:$M$2025,12,FALSE)</f>
        <v>13.931559999999999</v>
      </c>
      <c r="BK54" s="95">
        <f t="shared" si="3"/>
        <v>0</v>
      </c>
    </row>
    <row r="55" spans="47:63" ht="14.45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1"/>
        <v>0</v>
      </c>
      <c r="BA55" s="95">
        <f>VLOOKUP(AU55,CENY!$B$11:$M$2025,12,FALSE)</f>
        <v>23.069210000000002</v>
      </c>
      <c r="BB55" s="95">
        <f t="shared" si="0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13.931559999999999</v>
      </c>
      <c r="BK55" s="95">
        <f t="shared" si="3"/>
        <v>0</v>
      </c>
    </row>
    <row r="56" spans="47:63" ht="14.45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1"/>
        <v>0</v>
      </c>
      <c r="BA56" s="95" t="e">
        <f>VLOOKUP(AU56,CENY!$B$11:$M$2025,12,FALSE)</f>
        <v>#N/A</v>
      </c>
      <c r="BB56" s="95" t="e">
        <f t="shared" si="0"/>
        <v>#N/A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2"/>
        <v>0</v>
      </c>
      <c r="BJ56" s="95">
        <f>VLOOKUP(BD56,CENY!$B$11:$M$2025,12,FALSE)</f>
        <v>15.147040000000001</v>
      </c>
      <c r="BK56" s="95">
        <f t="shared" si="3"/>
        <v>0</v>
      </c>
    </row>
    <row r="57" spans="47:63" ht="14.45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1"/>
        <v>0</v>
      </c>
      <c r="BA57" s="95">
        <f>VLOOKUP(AU57,CENY!$B$11:$M$2025,12,FALSE)</f>
        <v>24.002659999999999</v>
      </c>
      <c r="BB57" s="95">
        <f t="shared" si="0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15.147040000000001</v>
      </c>
      <c r="BK57" s="95">
        <f t="shared" si="3"/>
        <v>0</v>
      </c>
    </row>
    <row r="58" spans="47:63" ht="14.45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1"/>
        <v>0</v>
      </c>
      <c r="BA58" s="95">
        <f>VLOOKUP(AU58,CENY!$B$11:$M$2025,12,FALSE)</f>
        <v>4.9393000000000002</v>
      </c>
      <c r="BB58" s="95">
        <f t="shared" si="0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15.35308</v>
      </c>
      <c r="BK58" s="95">
        <f t="shared" si="3"/>
        <v>0</v>
      </c>
    </row>
    <row r="59" spans="47:63" ht="14.45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1"/>
        <v>0</v>
      </c>
      <c r="BA59" s="95">
        <f>VLOOKUP(AU59,CENY!$B$11:$M$2025,12,FALSE)</f>
        <v>23.748699999999999</v>
      </c>
      <c r="BB59" s="95">
        <f t="shared" si="0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 t="e">
        <f>VLOOKUP(BD59,CENY!$B$11:$M$2025,12,FALSE)</f>
        <v>#N/A</v>
      </c>
      <c r="BK59" s="95" t="e">
        <f t="shared" si="3"/>
        <v>#N/A</v>
      </c>
    </row>
    <row r="60" spans="47:63" ht="14.45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1"/>
        <v>0</v>
      </c>
      <c r="BA60" s="95">
        <f>VLOOKUP(AU60,CENY!$B$11:$M$2025,12,FALSE)</f>
        <v>5.1277499999999998</v>
      </c>
      <c r="BB60" s="95">
        <f t="shared" si="0"/>
        <v>0</v>
      </c>
      <c r="BD60" s="319"/>
      <c r="BE60" s="21"/>
      <c r="BF60" s="22"/>
      <c r="BG60" s="22"/>
      <c r="BH60" s="23"/>
      <c r="BI60" s="326" t="str">
        <f t="shared" si="2"/>
        <v/>
      </c>
      <c r="BJ60" s="95"/>
      <c r="BK60" s="95" t="str">
        <f t="shared" si="3"/>
        <v/>
      </c>
    </row>
    <row r="61" spans="47:63" ht="14.45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1"/>
        <v>0</v>
      </c>
      <c r="BA61" s="95">
        <f>VLOOKUP(AU61,CENY!$B$11:$M$2025,12,FALSE)</f>
        <v>25.86984</v>
      </c>
      <c r="BB61" s="95">
        <f t="shared" si="0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2"/>
        <v>0</v>
      </c>
      <c r="BJ61" s="95" t="e">
        <f>VLOOKUP(BD61,CENY!$B$11:$M$2025,12,FALSE)</f>
        <v>#N/A</v>
      </c>
      <c r="BK61" s="95" t="e">
        <f t="shared" si="3"/>
        <v>#N/A</v>
      </c>
    </row>
    <row r="62" spans="47:63" ht="14.45" customHeight="1">
      <c r="AU62" s="319"/>
      <c r="AV62" s="21"/>
      <c r="AW62" s="22"/>
      <c r="AX62" s="22"/>
      <c r="AY62" s="23"/>
      <c r="AZ62" s="326" t="str">
        <f t="shared" si="1"/>
        <v/>
      </c>
      <c r="BA62" s="95"/>
      <c r="BB62" s="95" t="str">
        <f t="shared" si="0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2"/>
        <v>0</v>
      </c>
      <c r="BJ62" s="95" t="e">
        <f>VLOOKUP(BD62,CENY!$B$11:$M$2025,12,FALSE)</f>
        <v>#N/A</v>
      </c>
      <c r="BK62" s="95" t="e">
        <f t="shared" si="3"/>
        <v>#N/A</v>
      </c>
    </row>
    <row r="63" spans="47:63" ht="14.45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1"/>
        <v>0</v>
      </c>
      <c r="BA63" s="95">
        <f>VLOOKUP(AU63,CENY!$B$11:$M$2025,12,FALSE)</f>
        <v>23.114239999999999</v>
      </c>
      <c r="BB63" s="95">
        <f t="shared" si="0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2"/>
        <v>0</v>
      </c>
      <c r="BJ63" s="95">
        <f>VLOOKUP(BD63,CENY!$B$11:$M$2025,12,FALSE)</f>
        <v>17.52394</v>
      </c>
      <c r="BK63" s="95">
        <f t="shared" si="3"/>
        <v>0</v>
      </c>
    </row>
    <row r="64" spans="47:63" ht="14.45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1"/>
        <v>0</v>
      </c>
      <c r="BA64" s="95">
        <f>VLOOKUP(AU64,CENY!$B$11:$M$2025,12,FALSE)</f>
        <v>23.114239999999999</v>
      </c>
      <c r="BB64" s="95">
        <f t="shared" si="0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2"/>
        <v>0</v>
      </c>
      <c r="BJ64" s="95">
        <f>VLOOKUP(BD64,CENY!$B$11:$M$2025,12,FALSE)</f>
        <v>17.52394</v>
      </c>
      <c r="BK64" s="95">
        <f t="shared" si="3"/>
        <v>0</v>
      </c>
    </row>
    <row r="65" spans="1:63" ht="14.45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1"/>
        <v>0</v>
      </c>
      <c r="BA65" s="95">
        <f>VLOOKUP(AU65,CENY!$B$11:$M$2025,12,FALSE)</f>
        <v>23.114239999999999</v>
      </c>
      <c r="BB65" s="95">
        <f t="shared" si="0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2"/>
        <v>0</v>
      </c>
      <c r="BJ65" s="95">
        <f>VLOOKUP(BD65,CENY!$B$11:$M$2025,12,FALSE)</f>
        <v>18.45496</v>
      </c>
      <c r="BK65" s="95">
        <f t="shared" si="3"/>
        <v>0</v>
      </c>
    </row>
    <row r="66" spans="1:63" ht="12.95" customHeight="1" thickBot="1">
      <c r="A66" s="579"/>
      <c r="AU66" s="319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0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2"/>
        <v>0</v>
      </c>
      <c r="BJ66" s="95">
        <f>VLOOKUP(BD66,CENY!$B$11:$M$2025,12,FALSE)</f>
        <v>18.45496</v>
      </c>
      <c r="BK66" s="95">
        <f t="shared" si="3"/>
        <v>0</v>
      </c>
    </row>
    <row r="67" spans="1:63" ht="23.1" customHeight="1" thickBot="1">
      <c r="A67" s="579"/>
      <c r="B67" s="486" t="str">
        <f>verze!E13</f>
        <v>&lt;&lt;  späť</v>
      </c>
      <c r="C67" s="487"/>
      <c r="D67" s="487"/>
      <c r="E67" s="488"/>
      <c r="G67" s="515" t="str">
        <f>verze!E6</f>
        <v xml:space="preserve"> Úvod</v>
      </c>
      <c r="H67" s="516"/>
      <c r="I67" s="516"/>
      <c r="J67" s="516"/>
      <c r="K67" s="517"/>
      <c r="O67" s="515" t="str">
        <f>verze!E7</f>
        <v xml:space="preserve"> Výber zásuviek</v>
      </c>
      <c r="P67" s="516"/>
      <c r="Q67" s="516"/>
      <c r="R67" s="516"/>
      <c r="S67" s="517"/>
      <c r="U67" s="515" t="str">
        <f>verze!E8</f>
        <v xml:space="preserve"> </v>
      </c>
      <c r="V67" s="516"/>
      <c r="W67" s="516"/>
      <c r="X67" s="516"/>
      <c r="Y67" s="517"/>
      <c r="AA67" s="515" t="str">
        <f>verze!E9</f>
        <v xml:space="preserve"> </v>
      </c>
      <c r="AB67" s="516"/>
      <c r="AC67" s="516"/>
      <c r="AD67" s="516"/>
      <c r="AE67" s="517"/>
      <c r="AI67" s="515" t="str">
        <f>verze!E10</f>
        <v xml:space="preserve"> Objednávka</v>
      </c>
      <c r="AJ67" s="516"/>
      <c r="AK67" s="516"/>
      <c r="AL67" s="516"/>
      <c r="AM67" s="517"/>
      <c r="AO67" s="477" t="str">
        <f>verze!E14</f>
        <v>vpred  &gt;&gt;</v>
      </c>
      <c r="AP67" s="478"/>
      <c r="AQ67" s="478"/>
      <c r="AR67" s="479"/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si="1"/>
        <v>0</v>
      </c>
      <c r="BA67" s="95">
        <f>VLOOKUP(AU67,CENY!$B$11:$M$2025,12,FALSE)</f>
        <v>25.824369999999998</v>
      </c>
      <c r="BB67" s="95">
        <f t="shared" si="0"/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2"/>
        <v>0</v>
      </c>
      <c r="BJ67" s="95">
        <f>VLOOKUP(BD67,CENY!$B$11:$M$2025,12,FALSE)</f>
        <v>21.352720000000001</v>
      </c>
      <c r="BK67" s="95">
        <f t="shared" si="3"/>
        <v>0</v>
      </c>
    </row>
    <row r="68" spans="1:63" ht="12.95" customHeight="1">
      <c r="A68" s="579"/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si="1"/>
        <v>0</v>
      </c>
      <c r="BA68" s="95">
        <f>VLOOKUP(AU68,CENY!$B$11:$M$2025,12,FALSE)</f>
        <v>25.86984</v>
      </c>
      <c r="BB68" s="95">
        <f t="shared" si="0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2"/>
        <v>0</v>
      </c>
      <c r="BJ68" s="95">
        <f>VLOOKUP(BD68,CENY!$B$11:$M$2025,12,FALSE)</f>
        <v>21.352720000000001</v>
      </c>
      <c r="BK68" s="95">
        <f t="shared" si="3"/>
        <v>0</v>
      </c>
    </row>
    <row r="69" spans="1:63" ht="23.1" customHeight="1">
      <c r="A69" s="579"/>
      <c r="B69" s="93" t="str">
        <f>B4</f>
        <v>Zásuvka AVANTECH YOU  101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1"/>
        <v>0</v>
      </c>
      <c r="BA69" s="95">
        <f>VLOOKUP(AU69,CENY!$B$11:$M$2025,12,FALSE)</f>
        <v>26.336690000000001</v>
      </c>
      <c r="BB69" s="95">
        <f t="shared" ref="BB69:BB132" si="4">IF(BA69="","",BA69*AY69)</f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si="2"/>
        <v>0</v>
      </c>
      <c r="BJ69" s="95">
        <f>VLOOKUP(BD69,CENY!$B$11:$M$2025,12,FALSE)</f>
        <v>22.243659999999998</v>
      </c>
      <c r="BK69" s="95">
        <f t="shared" si="3"/>
        <v>0</v>
      </c>
    </row>
    <row r="70" spans="1:63" ht="14.45" customHeight="1">
      <c r="A70" s="579"/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ref="AZ70:AZ131" si="5">IF(AY70="","",IF($AW$4=1,AY70,0))</f>
        <v>0</v>
      </c>
      <c r="BA70" s="95">
        <f>VLOOKUP(AU70,CENY!$B$11:$M$2025,12,FALSE)</f>
        <v>26.80339</v>
      </c>
      <c r="BB70" s="95">
        <f t="shared" si="4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ref="BI70:BI141" si="6">IF(BH70="","",IF($AW$4=0,BH70,0))</f>
        <v>0</v>
      </c>
      <c r="BJ70" s="95">
        <f>VLOOKUP(BD70,CENY!$B$11:$M$2025,12,FALSE)</f>
        <v>22.243659999999998</v>
      </c>
      <c r="BK70" s="95">
        <f t="shared" ref="BK70:BK141" si="7">IF(BJ70="","",BJ70*BH70)</f>
        <v>0</v>
      </c>
    </row>
    <row r="71" spans="1:63" ht="14.45" customHeight="1">
      <c r="A71" s="579"/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5"/>
        <v>0</v>
      </c>
      <c r="BA71" s="95">
        <f>VLOOKUP(AU71,CENY!$B$11:$M$2025,12,FALSE)</f>
        <v>27.270389999999999</v>
      </c>
      <c r="BB71" s="95">
        <f t="shared" si="4"/>
        <v>0</v>
      </c>
      <c r="BD71" s="319"/>
      <c r="BE71" s="21"/>
      <c r="BF71" s="22"/>
      <c r="BG71" s="22"/>
      <c r="BH71" s="23"/>
      <c r="BI71" s="326" t="str">
        <f t="shared" si="6"/>
        <v/>
      </c>
      <c r="BJ71" s="95"/>
      <c r="BK71" s="95" t="str">
        <f t="shared" si="7"/>
        <v/>
      </c>
    </row>
    <row r="72" spans="1:63" ht="14.45" customHeight="1">
      <c r="A72" s="579"/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5"/>
        <v>0</v>
      </c>
      <c r="BA72" s="95">
        <f>VLOOKUP(AU72,CENY!$B$11:$M$2025,12,FALSE)</f>
        <v>5.5988800000000003</v>
      </c>
      <c r="BB72" s="95">
        <f t="shared" si="4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6"/>
        <v>0</v>
      </c>
      <c r="BJ72" s="95">
        <f>VLOOKUP(BD72,CENY!$B$11:$M$2025,12,FALSE)</f>
        <v>23.177009999999999</v>
      </c>
      <c r="BK72" s="95">
        <f t="shared" si="7"/>
        <v>0</v>
      </c>
    </row>
    <row r="73" spans="1:63" ht="14.45" customHeight="1">
      <c r="A73" s="579"/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5"/>
        <v>0</v>
      </c>
      <c r="BA73" s="95">
        <f>VLOOKUP(AU73,CENY!$B$11:$M$2025,12,FALSE)</f>
        <v>28.20382</v>
      </c>
      <c r="BB73" s="95">
        <f t="shared" si="4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6"/>
        <v>0</v>
      </c>
      <c r="BJ73" s="95">
        <f>VLOOKUP(BD73,CENY!$B$11:$M$2025,12,FALSE)</f>
        <v>23.177009999999999</v>
      </c>
      <c r="BK73" s="95">
        <f t="shared" si="7"/>
        <v>0</v>
      </c>
    </row>
    <row r="74" spans="1:63" ht="14.45" customHeight="1">
      <c r="A74" s="579"/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5"/>
        <v>0</v>
      </c>
      <c r="BA74" s="95">
        <f>VLOOKUP(AU74,CENY!$B$11:$M$2025,12,FALSE)</f>
        <v>28.670570000000001</v>
      </c>
      <c r="BB74" s="95">
        <f t="shared" si="4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6"/>
        <v>0</v>
      </c>
      <c r="BJ74" s="95">
        <f>VLOOKUP(BD74,CENY!$B$11:$M$2025,12,FALSE)</f>
        <v>23.177009999999999</v>
      </c>
      <c r="BK74" s="95">
        <f t="shared" si="7"/>
        <v>0</v>
      </c>
    </row>
    <row r="75" spans="1:63" ht="14.45" customHeight="1">
      <c r="A75" s="579"/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6"/>
        <v>0</v>
      </c>
      <c r="BJ75" s="95">
        <f>VLOOKUP(BD75,CENY!$B$11:$M$2025,12,FALSE)</f>
        <v>23.177009999999999</v>
      </c>
      <c r="BK75" s="95">
        <f t="shared" si="7"/>
        <v>0</v>
      </c>
    </row>
    <row r="76" spans="1:63" ht="14.45" customHeight="1">
      <c r="A76" s="579"/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5"/>
        <v>0</v>
      </c>
      <c r="BA76" s="95">
        <f>VLOOKUP(AU76,CENY!$B$11:$M$2025,12,FALSE)</f>
        <v>0.79318999999999995</v>
      </c>
      <c r="BB76" s="95">
        <f t="shared" si="4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8.7567500000000003</v>
      </c>
      <c r="BK76" s="95">
        <f t="shared" si="7"/>
        <v>0</v>
      </c>
    </row>
    <row r="77" spans="1:63" ht="14.45" customHeight="1">
      <c r="A77" s="579"/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/>
      <c r="BE77" s="21"/>
      <c r="BF77" s="22"/>
      <c r="BG77" s="22"/>
      <c r="BH77" s="23"/>
      <c r="BI77" s="326" t="str">
        <f t="shared" si="6"/>
        <v/>
      </c>
      <c r="BJ77" s="95"/>
      <c r="BK77" s="95" t="str">
        <f t="shared" si="7"/>
        <v/>
      </c>
    </row>
    <row r="78" spans="1:63" ht="14.45" customHeight="1">
      <c r="A78" s="579"/>
      <c r="AU78" s="320">
        <v>9255836</v>
      </c>
      <c r="AV78" s="321" t="str">
        <f>VLOOKUP(AU78,CENY!$B$11:$G$1054,2,FALSE)</f>
        <v>AvanY-príchytka čela s rozp.púzdrom/ v101</v>
      </c>
      <c r="AW78" s="22">
        <f>VLOOKUP(AU78,CENY!$B$11:$G$1054,3,FALSE)</f>
        <v>200</v>
      </c>
      <c r="AX78" s="22"/>
      <c r="AY78" s="68">
        <v>0</v>
      </c>
      <c r="AZ78" s="326">
        <f t="shared" si="5"/>
        <v>0</v>
      </c>
      <c r="BA78" s="95">
        <f>VLOOKUP(AU78,CENY!$B$11:$M$2025,12,FALSE)</f>
        <v>1.1907000000000001</v>
      </c>
      <c r="BB78" s="95">
        <f t="shared" si="4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si="6"/>
        <v>0</v>
      </c>
      <c r="BJ78" s="95">
        <f>VLOOKUP(BD78,CENY!$B$11:$M$2025,12,FALSE)</f>
        <v>10.7646</v>
      </c>
      <c r="BK78" s="95">
        <f t="shared" si="7"/>
        <v>0</v>
      </c>
    </row>
    <row r="79" spans="1:63" ht="14.45" customHeight="1">
      <c r="A79" s="579"/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6"/>
        <v>0</v>
      </c>
      <c r="BJ79" s="95">
        <f>VLOOKUP(BD79,CENY!$B$11:$M$2025,12,FALSE)</f>
        <v>10.7646</v>
      </c>
      <c r="BK79" s="95">
        <f t="shared" si="7"/>
        <v>0</v>
      </c>
    </row>
    <row r="80" spans="1:63" ht="14.45" customHeight="1">
      <c r="A80" s="579"/>
      <c r="O80" s="578">
        <f t="shared" ref="O80:AI80" si="8">CEILING(O84/FLOOR(2000/O85,1),1)</f>
        <v>0</v>
      </c>
      <c r="P80" s="578"/>
      <c r="Q80" s="578">
        <f t="shared" si="8"/>
        <v>0</v>
      </c>
      <c r="R80" s="578"/>
      <c r="S80" s="578">
        <f t="shared" si="8"/>
        <v>0</v>
      </c>
      <c r="T80" s="578"/>
      <c r="U80" s="578">
        <f t="shared" si="8"/>
        <v>0</v>
      </c>
      <c r="V80" s="578"/>
      <c r="W80" s="578">
        <f t="shared" si="8"/>
        <v>0</v>
      </c>
      <c r="X80" s="578"/>
      <c r="Y80" s="578">
        <f t="shared" si="8"/>
        <v>0</v>
      </c>
      <c r="Z80" s="578"/>
      <c r="AA80" s="578">
        <f t="shared" si="8"/>
        <v>0</v>
      </c>
      <c r="AB80" s="578"/>
      <c r="AC80" s="578">
        <f t="shared" si="8"/>
        <v>0</v>
      </c>
      <c r="AD80" s="578"/>
      <c r="AE80" s="578">
        <f t="shared" si="8"/>
        <v>0</v>
      </c>
      <c r="AF80" s="578"/>
      <c r="AG80" s="578">
        <f t="shared" si="8"/>
        <v>0</v>
      </c>
      <c r="AH80" s="578"/>
      <c r="AI80" s="578">
        <f t="shared" si="8"/>
        <v>0</v>
      </c>
      <c r="AJ80" s="578"/>
      <c r="AU80" s="319">
        <f>OBJ!B214</f>
        <v>0</v>
      </c>
      <c r="AV80" s="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si="5"/>
        <v>0</v>
      </c>
      <c r="BA80" s="324" t="str">
        <f>IF(AU80=0,"",VLOOKUP(AU80,CENY!$B$11:$M$2025,12,FALSE))</f>
        <v/>
      </c>
      <c r="BB80" s="95" t="str">
        <f>IF(BA80="","",BA80*AY80)</f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10.787739999999999</v>
      </c>
      <c r="BK80" s="95">
        <f t="shared" si="7"/>
        <v>0</v>
      </c>
    </row>
    <row r="81" spans="1:63" ht="14.45" customHeight="1">
      <c r="A81" s="579"/>
      <c r="O81" s="577">
        <f>O85*O84</f>
        <v>0</v>
      </c>
      <c r="P81" s="577"/>
      <c r="Q81" s="577">
        <f>Q85*Q84</f>
        <v>0</v>
      </c>
      <c r="R81" s="577"/>
      <c r="S81" s="577">
        <f>S85*S84</f>
        <v>0</v>
      </c>
      <c r="T81" s="577"/>
      <c r="U81" s="577">
        <f>U85*U84</f>
        <v>0</v>
      </c>
      <c r="V81" s="577"/>
      <c r="W81" s="577">
        <f>W85*W84</f>
        <v>0</v>
      </c>
      <c r="X81" s="577"/>
      <c r="Y81" s="577">
        <f>Y85*Y84</f>
        <v>0</v>
      </c>
      <c r="Z81" s="577"/>
      <c r="AA81" s="577">
        <f>AA85*AA84</f>
        <v>0</v>
      </c>
      <c r="AB81" s="577"/>
      <c r="AC81" s="577">
        <f>AC85*AC84</f>
        <v>0</v>
      </c>
      <c r="AD81" s="577"/>
      <c r="AE81" s="577">
        <f>AE85*AE84</f>
        <v>0</v>
      </c>
      <c r="AF81" s="577"/>
      <c r="AG81" s="577">
        <f>AG85*AG84</f>
        <v>0</v>
      </c>
      <c r="AH81" s="577"/>
      <c r="AI81" s="577">
        <f>AI85*AI84</f>
        <v>0</v>
      </c>
      <c r="AJ81" s="577"/>
      <c r="AK81" s="579"/>
      <c r="AL81" s="579"/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6"/>
        <v>0</v>
      </c>
      <c r="BJ81" s="95">
        <f>VLOOKUP(BD81,CENY!$B$11:$M$2025,12,FALSE)</f>
        <v>10.787739999999999</v>
      </c>
      <c r="BK81" s="95">
        <f t="shared" si="7"/>
        <v>0</v>
      </c>
    </row>
    <row r="82" spans="1:63" ht="14.45" customHeight="1" thickBot="1">
      <c r="A82" s="579"/>
      <c r="B82" s="1" t="str">
        <f>verze!E162</f>
        <v>Čelo na vnútornú zásuvku</v>
      </c>
      <c r="O82" s="583" t="str">
        <f>verze!E163</f>
        <v>vonkajšie rozmery zásuvkovej skrinky [mm]</v>
      </c>
      <c r="P82" s="584"/>
      <c r="Q82" s="584"/>
      <c r="R82" s="584"/>
      <c r="S82" s="584"/>
      <c r="T82" s="584"/>
      <c r="U82" s="584"/>
      <c r="V82" s="584"/>
      <c r="W82" s="584"/>
      <c r="X82" s="584"/>
      <c r="Y82" s="584"/>
      <c r="Z82" s="584"/>
      <c r="AA82" s="584"/>
      <c r="AB82" s="584"/>
      <c r="AC82" s="584"/>
      <c r="AD82" s="584"/>
      <c r="AE82" s="584"/>
      <c r="AF82" s="584"/>
      <c r="AG82" s="584"/>
      <c r="AH82" s="584"/>
      <c r="AI82" s="584"/>
      <c r="AJ82" s="584"/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6"/>
        <v>0</v>
      </c>
      <c r="BJ82" s="95">
        <f>VLOOKUP(BD82,CENY!$B$11:$M$2025,12,FALSE)</f>
        <v>11.02122</v>
      </c>
      <c r="BK82" s="95">
        <f t="shared" si="7"/>
        <v>0</v>
      </c>
    </row>
    <row r="83" spans="1:63" ht="14.45" customHeight="1" thickBot="1">
      <c r="A83" s="579"/>
      <c r="B83" s="96"/>
      <c r="C83" s="96"/>
      <c r="D83" s="96"/>
      <c r="E83" s="96"/>
      <c r="F83" s="96"/>
      <c r="G83" s="96"/>
      <c r="H83" s="72"/>
      <c r="I83" s="72"/>
      <c r="J83" s="72"/>
      <c r="K83" s="72"/>
      <c r="L83" s="72"/>
      <c r="M83" s="72"/>
      <c r="N83" s="72" t="str">
        <f>verze!E166&amp;" "</f>
        <v xml:space="preserve">Šírka korpusu: </v>
      </c>
      <c r="O83" s="537">
        <v>300</v>
      </c>
      <c r="P83" s="538"/>
      <c r="Q83" s="537">
        <v>400</v>
      </c>
      <c r="R83" s="538"/>
      <c r="S83" s="537">
        <v>450</v>
      </c>
      <c r="T83" s="538"/>
      <c r="U83" s="537">
        <v>500</v>
      </c>
      <c r="V83" s="538"/>
      <c r="W83" s="537">
        <v>550</v>
      </c>
      <c r="X83" s="538"/>
      <c r="Y83" s="537">
        <v>600</v>
      </c>
      <c r="Z83" s="538"/>
      <c r="AA83" s="537">
        <v>700</v>
      </c>
      <c r="AB83" s="538"/>
      <c r="AC83" s="537">
        <v>800</v>
      </c>
      <c r="AD83" s="538"/>
      <c r="AE83" s="537">
        <v>900</v>
      </c>
      <c r="AF83" s="586"/>
      <c r="AG83" s="537">
        <v>1000</v>
      </c>
      <c r="AH83" s="586"/>
      <c r="AI83" s="537">
        <v>1200</v>
      </c>
      <c r="AJ83" s="538"/>
      <c r="AU83" s="319">
        <f>OBJ!B194</f>
        <v>9257269</v>
      </c>
      <c r="AV83" s="21" t="str">
        <f>VLOOKUP(AU83,CENY!$B$11:$G$1054,2,FALSE)</f>
        <v>AvanY-čelo vnút.zásuvky /v101/d2000/strieb.</v>
      </c>
      <c r="AW83" s="22">
        <f>VLOOKUP(AU83,CENY!$B$11:$G$1054,3,FALSE)</f>
        <v>1</v>
      </c>
      <c r="AX83" s="22"/>
      <c r="AY83" s="23">
        <f>IF(AU87=0,0,IF(AU93&lt;2000,1,SUM(O80:AJ80)))</f>
        <v>0</v>
      </c>
      <c r="AZ83" s="326">
        <f>IF(AY83="","",IF($AW$4=1,AY83,0))</f>
        <v>0</v>
      </c>
      <c r="BA83" s="95">
        <f>VLOOKUP(AU83,CENY!$B$11:$M$2025,12,FALSE)</f>
        <v>71.34393</v>
      </c>
      <c r="BB83" s="95">
        <f>IF(BA83="","",BA83*AY83)</f>
        <v>0</v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6"/>
        <v>0</v>
      </c>
      <c r="BJ83" s="95">
        <f>VLOOKUP(BD83,CENY!$B$11:$M$2025,12,FALSE)</f>
        <v>11.02122</v>
      </c>
      <c r="BK83" s="95">
        <f t="shared" si="7"/>
        <v>0</v>
      </c>
    </row>
    <row r="84" spans="1:63" ht="14.45" customHeight="1" thickBot="1">
      <c r="A84" s="579"/>
      <c r="B84" s="158" t="str">
        <f>" "&amp;verze!E167</f>
        <v xml:space="preserve"> ALU čelo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525"/>
      <c r="N84" s="548"/>
      <c r="O84" s="580"/>
      <c r="P84" s="581"/>
      <c r="Q84" s="580"/>
      <c r="R84" s="581"/>
      <c r="S84" s="580"/>
      <c r="T84" s="581"/>
      <c r="U84" s="580"/>
      <c r="V84" s="581"/>
      <c r="W84" s="580"/>
      <c r="X84" s="581"/>
      <c r="Y84" s="580"/>
      <c r="Z84" s="581"/>
      <c r="AA84" s="580"/>
      <c r="AB84" s="581"/>
      <c r="AC84" s="580"/>
      <c r="AD84" s="581"/>
      <c r="AE84" s="580"/>
      <c r="AF84" s="581"/>
      <c r="AG84" s="580"/>
      <c r="AH84" s="581"/>
      <c r="AI84" s="580"/>
      <c r="AJ84" s="585"/>
      <c r="AU84" s="319">
        <f>OBJ!B198</f>
        <v>9257611</v>
      </c>
      <c r="AV84" s="21" t="str">
        <f>VLOOKUP(AU84,CENY!$B$11:$G$1054,2,FALSE)</f>
        <v>AvanY-spojky čela vnút.zás./v101/strieb.</v>
      </c>
      <c r="AW84" s="22">
        <f>VLOOKUP(AU84,CENY!$B$11:$G$1054,3,FALSE)</f>
        <v>1</v>
      </c>
      <c r="AX84" s="22"/>
      <c r="AY84" s="23">
        <f>1*(+SUM(O19:T19)+SUM(O20:AD20)+SUM(W22:AF22)+SUM(O27:T27)+SUM(O28:AD28)+SUM(O30:AD30))</f>
        <v>0</v>
      </c>
      <c r="AZ84" s="326">
        <f>IF(AY84="","",IF($AW$4=1,AY84,0))</f>
        <v>0</v>
      </c>
      <c r="BA84" s="95">
        <f>VLOOKUP(AU84,CENY!$B$11:$M$2025,12,FALSE)</f>
        <v>4.6785699999999997</v>
      </c>
      <c r="BB84" s="95">
        <f>IF(BA84="","",BA84*AY84)</f>
        <v>0</v>
      </c>
      <c r="BD84" s="319"/>
      <c r="BE84" s="21"/>
      <c r="BF84" s="22"/>
      <c r="BG84" s="22"/>
      <c r="BH84" s="23"/>
      <c r="BI84" s="326" t="str">
        <f t="shared" si="6"/>
        <v/>
      </c>
      <c r="BJ84" s="95"/>
      <c r="BK84" s="95" t="str">
        <f t="shared" si="7"/>
        <v/>
      </c>
    </row>
    <row r="85" spans="1:63" ht="14.45" customHeight="1">
      <c r="A85" s="579"/>
      <c r="O85" s="582">
        <f>O83-2*FORM!$AM$24-12</f>
        <v>252</v>
      </c>
      <c r="P85" s="582"/>
      <c r="Q85" s="582">
        <f>Q83-2*FORM!$AM$24-12</f>
        <v>352</v>
      </c>
      <c r="R85" s="582"/>
      <c r="S85" s="582">
        <f>S83-2*FORM!$AM$24-12</f>
        <v>402</v>
      </c>
      <c r="T85" s="582"/>
      <c r="U85" s="582">
        <f>U83-2*FORM!$AM$24-12</f>
        <v>452</v>
      </c>
      <c r="V85" s="582"/>
      <c r="W85" s="582">
        <f>W83-2*FORM!$AM$24-12</f>
        <v>502</v>
      </c>
      <c r="X85" s="582"/>
      <c r="Y85" s="582">
        <f>Y83-2*FORM!$AM$24-12</f>
        <v>552</v>
      </c>
      <c r="Z85" s="582"/>
      <c r="AA85" s="582">
        <f>AA83-2*FORM!$AM$24-12</f>
        <v>652</v>
      </c>
      <c r="AB85" s="582"/>
      <c r="AC85" s="582">
        <f>AC83-2*FORM!$AM$24-12</f>
        <v>752</v>
      </c>
      <c r="AD85" s="582"/>
      <c r="AE85" s="582">
        <f>AE83-2*FORM!$AM$24-12</f>
        <v>852</v>
      </c>
      <c r="AF85" s="582"/>
      <c r="AG85" s="582">
        <f>AG83-2*FORM!$AM$24-12</f>
        <v>952</v>
      </c>
      <c r="AH85" s="582"/>
      <c r="AI85" s="582">
        <f>AI83-2*FORM!$AM$24-12</f>
        <v>1152</v>
      </c>
      <c r="AJ85" s="582"/>
      <c r="AU85" s="319"/>
      <c r="AV85" s="21"/>
      <c r="AW85" s="22"/>
      <c r="AX85" s="22"/>
      <c r="AY85" s="23"/>
      <c r="AZ85" s="326" t="str">
        <f t="shared" si="5"/>
        <v/>
      </c>
      <c r="BA85" s="95"/>
      <c r="BB85" s="95" t="str">
        <f t="shared" si="4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si="6"/>
        <v>0</v>
      </c>
      <c r="BJ85" s="95">
        <f>VLOOKUP(BD85,CENY!$B$11:$M$2025,12,FALSE)</f>
        <v>10.7646</v>
      </c>
      <c r="BK85" s="95">
        <f t="shared" si="7"/>
        <v>0</v>
      </c>
    </row>
    <row r="86" spans="1:63" ht="14.45" customHeight="1">
      <c r="A86" s="579"/>
      <c r="AR86" s="157" t="str">
        <f>IF(AU89=0,verze!E169&amp;" "&amp;AU87&amp;" "&amp;verze!E170,"")</f>
        <v>Je potrebné vybrať 0 ks vnútorných čiel.</v>
      </c>
      <c r="AU86" s="319"/>
      <c r="AV86" s="21"/>
      <c r="AW86" s="22"/>
      <c r="AX86" s="22"/>
      <c r="AY86" s="23"/>
      <c r="AZ86" s="326" t="str">
        <f t="shared" si="5"/>
        <v/>
      </c>
      <c r="BA86" s="95"/>
      <c r="BB86" s="95" t="str">
        <f t="shared" si="4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6"/>
        <v>0</v>
      </c>
      <c r="BJ86" s="95">
        <f>VLOOKUP(BD86,CENY!$B$11:$M$2025,12,FALSE)</f>
        <v>10.7646</v>
      </c>
      <c r="BK86" s="95">
        <f t="shared" si="7"/>
        <v>0</v>
      </c>
    </row>
    <row r="87" spans="1:63" ht="14.45" customHeight="1">
      <c r="A87" s="579"/>
      <c r="AR87" s="332" t="str">
        <f>IF(AU89=0,"",IF(AU87=AU89,verze!E174,IF(AU90&gt;0,verze!E171&amp;" "&amp;AU90&amp;" "&amp;verze!E170,verze!E172&amp;" "&amp;AU91&amp;" "&amp;verze!E173)))</f>
        <v/>
      </c>
      <c r="AU87" s="330">
        <f>1*(+SUM(O19:T19)+SUM(O20:AD20)+SUM(W22:AF22)+SUM(O27:T27)+SUM(O28:AD28)+SUM(O30:AD30))</f>
        <v>0</v>
      </c>
      <c r="AV87" s="329" t="s">
        <v>356</v>
      </c>
      <c r="AW87" s="22"/>
      <c r="AX87" s="22"/>
      <c r="AY87" s="23"/>
      <c r="AZ87" s="326" t="str">
        <f t="shared" si="5"/>
        <v/>
      </c>
      <c r="BA87" s="95"/>
      <c r="BB87" s="95" t="str">
        <f t="shared" si="4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6"/>
        <v>0</v>
      </c>
      <c r="BJ87" s="95">
        <f>VLOOKUP(BD87,CENY!$B$11:$M$2025,12,FALSE)</f>
        <v>10.787739999999999</v>
      </c>
      <c r="BK87" s="95">
        <f t="shared" si="7"/>
        <v>0</v>
      </c>
    </row>
    <row r="88" spans="1:63" ht="14.45" customHeight="1">
      <c r="A88" s="579"/>
      <c r="AU88" s="20"/>
      <c r="AV88" s="21"/>
      <c r="AW88" s="22"/>
      <c r="AX88" s="22"/>
      <c r="AY88" s="23"/>
      <c r="AZ88" s="326" t="str">
        <f t="shared" si="5"/>
        <v/>
      </c>
      <c r="BA88" s="95"/>
      <c r="BB88" s="95" t="str">
        <f t="shared" si="4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6"/>
        <v>0</v>
      </c>
      <c r="BJ88" s="95">
        <f>VLOOKUP(BD88,CENY!$B$11:$M$2025,12,FALSE)</f>
        <v>10.787739999999999</v>
      </c>
      <c r="BK88" s="95">
        <f t="shared" si="7"/>
        <v>0</v>
      </c>
    </row>
    <row r="89" spans="1:63" ht="14.45" customHeight="1">
      <c r="A89" s="579"/>
      <c r="AU89" s="331">
        <f>SUM(O84:AJ84)</f>
        <v>0</v>
      </c>
      <c r="AV89" s="21" t="s">
        <v>357</v>
      </c>
      <c r="AW89" s="22"/>
      <c r="AX89" s="22"/>
      <c r="AY89" s="23"/>
      <c r="AZ89" s="326" t="str">
        <f t="shared" si="5"/>
        <v/>
      </c>
      <c r="BA89" s="95"/>
      <c r="BB89" s="95" t="str">
        <f t="shared" si="4"/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6"/>
        <v>0</v>
      </c>
      <c r="BJ89" s="95">
        <f>VLOOKUP(BD89,CENY!$B$11:$M$2025,12,FALSE)</f>
        <v>11.02122</v>
      </c>
      <c r="BK89" s="95">
        <f t="shared" si="7"/>
        <v>0</v>
      </c>
    </row>
    <row r="90" spans="1:63" ht="14.45" customHeight="1">
      <c r="A90" s="579"/>
      <c r="AU90" s="22">
        <f>AU87-AU89</f>
        <v>0</v>
      </c>
      <c r="AV90" s="21"/>
      <c r="AW90" s="22"/>
      <c r="AX90" s="22"/>
      <c r="AY90" s="23"/>
      <c r="AZ90" s="326" t="str">
        <f t="shared" si="5"/>
        <v/>
      </c>
      <c r="BA90" s="95"/>
      <c r="BB90" s="95" t="str">
        <f t="shared" si="4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6"/>
        <v>0</v>
      </c>
      <c r="BJ90" s="95">
        <f>VLOOKUP(BD90,CENY!$B$11:$M$2025,12,FALSE)</f>
        <v>11.02122</v>
      </c>
      <c r="BK90" s="95">
        <f t="shared" si="7"/>
        <v>0</v>
      </c>
    </row>
    <row r="91" spans="1:63" ht="14.45" customHeight="1">
      <c r="A91" s="579"/>
      <c r="AU91" s="22">
        <f>ABS(AU90)</f>
        <v>0</v>
      </c>
      <c r="AV91" s="21"/>
      <c r="AW91" s="22"/>
      <c r="AX91" s="22"/>
      <c r="AY91" s="23"/>
      <c r="AZ91" s="326" t="str">
        <f t="shared" si="5"/>
        <v/>
      </c>
      <c r="BA91" s="95"/>
      <c r="BB91" s="95" t="str">
        <f t="shared" si="4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6"/>
        <v>0</v>
      </c>
      <c r="BJ91" s="95">
        <f>VLOOKUP(BD91,CENY!$B$11:$M$2025,12,FALSE)</f>
        <v>11.25459</v>
      </c>
      <c r="BK91" s="95">
        <f t="shared" si="7"/>
        <v>0</v>
      </c>
    </row>
    <row r="92" spans="1:63" ht="14.45" customHeight="1">
      <c r="A92" s="579"/>
      <c r="AU92" s="20"/>
      <c r="AV92" s="21"/>
      <c r="AW92" s="22"/>
      <c r="AX92" s="22"/>
      <c r="AY92" s="23"/>
      <c r="AZ92" s="326" t="str">
        <f t="shared" si="5"/>
        <v/>
      </c>
      <c r="BA92" s="95"/>
      <c r="BB92" s="95" t="str">
        <f t="shared" si="4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6"/>
        <v>0</v>
      </c>
      <c r="BJ92" s="95">
        <f>VLOOKUP(BD92,CENY!$B$11:$M$2025,12,FALSE)</f>
        <v>11.25459</v>
      </c>
      <c r="BK92" s="95">
        <f t="shared" si="7"/>
        <v>0</v>
      </c>
    </row>
    <row r="93" spans="1:63" ht="14.45" customHeight="1">
      <c r="A93" s="579"/>
      <c r="AU93" s="22">
        <f>(AU89-1)*4+SUM(O81:AJ81)</f>
        <v>-4</v>
      </c>
      <c r="AV93" s="21" t="s">
        <v>358</v>
      </c>
      <c r="AW93" s="22"/>
      <c r="AX93" s="22"/>
      <c r="AY93" s="23"/>
      <c r="AZ93" s="326" t="str">
        <f t="shared" si="5"/>
        <v/>
      </c>
      <c r="BA93" s="95"/>
      <c r="BB93" s="95" t="str">
        <f t="shared" si="4"/>
        <v/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6"/>
        <v>0</v>
      </c>
      <c r="BJ93" s="95">
        <f>VLOOKUP(BD93,CENY!$B$11:$M$2025,12,FALSE)</f>
        <v>11.487740000000001</v>
      </c>
      <c r="BK93" s="95">
        <f t="shared" si="7"/>
        <v>0</v>
      </c>
    </row>
    <row r="94" spans="1:63" ht="14.45" customHeight="1">
      <c r="A94" s="579"/>
      <c r="AU94" s="20"/>
      <c r="AV94" s="21"/>
      <c r="AW94" s="22"/>
      <c r="AX94" s="22"/>
      <c r="AY94" s="23"/>
      <c r="AZ94" s="326" t="str">
        <f t="shared" si="5"/>
        <v/>
      </c>
      <c r="BA94" s="95"/>
      <c r="BB94" s="95" t="str">
        <f t="shared" si="4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6"/>
        <v>0</v>
      </c>
      <c r="BJ94" s="95">
        <f>VLOOKUP(BD94,CENY!$B$11:$M$2025,12,FALSE)</f>
        <v>11.487740000000001</v>
      </c>
      <c r="BK94" s="95">
        <f t="shared" si="7"/>
        <v>0</v>
      </c>
    </row>
    <row r="95" spans="1:63" ht="14.45" customHeight="1">
      <c r="A95" s="579"/>
      <c r="AU95" s="20"/>
      <c r="AV95" s="21"/>
      <c r="AW95" s="22"/>
      <c r="AX95" s="22"/>
      <c r="AY95" s="23"/>
      <c r="AZ95" s="326" t="str">
        <f t="shared" si="5"/>
        <v/>
      </c>
      <c r="BA95" s="95"/>
      <c r="BB95" s="95" t="str">
        <f t="shared" si="4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6"/>
        <v>0</v>
      </c>
      <c r="BJ95" s="95">
        <f>VLOOKUP(BD95,CENY!$B$11:$M$2025,12,FALSE)</f>
        <v>11.163180000000001</v>
      </c>
      <c r="BK95" s="95">
        <f t="shared" si="7"/>
        <v>0</v>
      </c>
    </row>
    <row r="96" spans="1:63" ht="14.45" customHeight="1">
      <c r="A96" s="579"/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6"/>
        <v>0</v>
      </c>
      <c r="BJ96" s="95">
        <f>VLOOKUP(BD96,CENY!$B$11:$M$2025,12,FALSE)</f>
        <v>11.163180000000001</v>
      </c>
      <c r="BK96" s="95">
        <f t="shared" si="7"/>
        <v>0</v>
      </c>
    </row>
    <row r="97" spans="1:63" ht="14.45" customHeight="1">
      <c r="A97" s="579"/>
      <c r="AU97" s="20"/>
      <c r="AV97" s="21"/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6"/>
        <v>0</v>
      </c>
      <c r="BJ97" s="95">
        <f>VLOOKUP(BD97,CENY!$B$11:$M$2025,12,FALSE)</f>
        <v>11.38542</v>
      </c>
      <c r="BK97" s="95">
        <f t="shared" si="7"/>
        <v>0</v>
      </c>
    </row>
    <row r="98" spans="1:63" ht="14.45" customHeight="1">
      <c r="A98" s="579"/>
      <c r="AU98" s="20"/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6"/>
        <v>0</v>
      </c>
      <c r="BJ98" s="95">
        <f>VLOOKUP(BD98,CENY!$B$11:$M$2025,12,FALSE)</f>
        <v>11.954689999999999</v>
      </c>
      <c r="BK98" s="95">
        <f t="shared" si="7"/>
        <v>0</v>
      </c>
    </row>
    <row r="99" spans="1:63" ht="14.45" customHeight="1">
      <c r="A99" s="579"/>
      <c r="AU99" s="20"/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6"/>
        <v>0</v>
      </c>
      <c r="BJ99" s="95">
        <f>VLOOKUP(BD99,CENY!$B$11:$M$2025,12,FALSE)</f>
        <v>12.187939999999999</v>
      </c>
      <c r="BK99" s="95">
        <f t="shared" si="7"/>
        <v>0</v>
      </c>
    </row>
    <row r="100" spans="1:63" ht="14.45" customHeight="1">
      <c r="A100" s="579"/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6"/>
        <v>0</v>
      </c>
      <c r="BJ100" s="95">
        <f>VLOOKUP(BD100,CENY!$B$11:$M$2025,12,FALSE)</f>
        <v>12.187939999999999</v>
      </c>
      <c r="BK100" s="95">
        <f t="shared" si="7"/>
        <v>0</v>
      </c>
    </row>
    <row r="101" spans="1:63">
      <c r="A101" s="579"/>
      <c r="AU101" s="20"/>
      <c r="AV101" s="21"/>
      <c r="AW101" s="22"/>
      <c r="AX101" s="22"/>
      <c r="AY101" s="23"/>
      <c r="AZ101" s="326" t="str">
        <f t="shared" si="5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1:63">
      <c r="A102" s="579"/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4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6"/>
        <v>0</v>
      </c>
      <c r="BJ102" s="95">
        <f>VLOOKUP(BD102,CENY!$B$11:$M$2025,12,FALSE)</f>
        <v>23.114239999999999</v>
      </c>
      <c r="BK102" s="95">
        <f t="shared" si="7"/>
        <v>0</v>
      </c>
    </row>
    <row r="103" spans="1:63">
      <c r="A103" s="579"/>
      <c r="AU103" s="20"/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4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6"/>
        <v>0</v>
      </c>
      <c r="BJ103" s="95">
        <f>VLOOKUP(BD103,CENY!$B$11:$M$2025,12,FALSE)</f>
        <v>23.114239999999999</v>
      </c>
      <c r="BK103" s="95">
        <f t="shared" si="7"/>
        <v>0</v>
      </c>
    </row>
    <row r="104" spans="1:63">
      <c r="A104" s="579"/>
      <c r="AU104" s="20"/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4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6"/>
        <v>0</v>
      </c>
      <c r="BJ104" s="95">
        <f>VLOOKUP(BD104,CENY!$B$11:$M$2025,12,FALSE)</f>
        <v>23.114239999999999</v>
      </c>
      <c r="BK104" s="95">
        <f t="shared" si="7"/>
        <v>0</v>
      </c>
    </row>
    <row r="105" spans="1:63">
      <c r="A105" s="579"/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4"/>
        <v/>
      </c>
      <c r="BD105" s="319"/>
      <c r="BE105" s="21"/>
      <c r="BF105" s="22"/>
      <c r="BG105" s="22"/>
      <c r="BH105" s="23"/>
      <c r="BI105" s="326" t="str">
        <f t="shared" si="6"/>
        <v/>
      </c>
      <c r="BJ105" s="95"/>
      <c r="BK105" s="95" t="str">
        <f t="shared" si="7"/>
        <v/>
      </c>
    </row>
    <row r="106" spans="1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4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si="6"/>
        <v>0</v>
      </c>
      <c r="BJ106" s="95">
        <f>VLOOKUP(BD106,CENY!$B$11:$M$2025,12,FALSE)</f>
        <v>12.16503</v>
      </c>
      <c r="BK106" s="95">
        <f t="shared" si="7"/>
        <v>0</v>
      </c>
    </row>
    <row r="107" spans="1:63">
      <c r="AU107" s="20"/>
      <c r="AV107" s="21"/>
      <c r="AW107" s="22"/>
      <c r="AX107" s="22"/>
      <c r="AY107" s="23"/>
      <c r="AZ107" s="326" t="str">
        <f t="shared" si="5"/>
        <v/>
      </c>
      <c r="BA107" s="95"/>
      <c r="BB107" s="95" t="str">
        <f t="shared" si="4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6"/>
        <v>0</v>
      </c>
      <c r="BJ107" s="95">
        <f>VLOOKUP(BD107,CENY!$B$11:$M$2025,12,FALSE)</f>
        <v>12.16503</v>
      </c>
      <c r="BK107" s="95">
        <f t="shared" si="7"/>
        <v>0</v>
      </c>
    </row>
    <row r="108" spans="1:63">
      <c r="AU108" s="20"/>
      <c r="AV108" s="21"/>
      <c r="AW108" s="22"/>
      <c r="AX108" s="22"/>
      <c r="AY108" s="23"/>
      <c r="AZ108" s="326" t="str">
        <f t="shared" si="5"/>
        <v/>
      </c>
      <c r="BA108" s="95"/>
      <c r="BB108" s="95" t="str">
        <f t="shared" si="4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6"/>
        <v>0</v>
      </c>
      <c r="BJ108" s="95">
        <f>VLOOKUP(BD108,CENY!$B$11:$M$2025,12,FALSE)</f>
        <v>12.187939999999999</v>
      </c>
      <c r="BK108" s="95">
        <f t="shared" si="7"/>
        <v>0</v>
      </c>
    </row>
    <row r="109" spans="1:63">
      <c r="AU109" s="20"/>
      <c r="AV109" s="21"/>
      <c r="AW109" s="22"/>
      <c r="AX109" s="22"/>
      <c r="AY109" s="23"/>
      <c r="AZ109" s="326" t="str">
        <f t="shared" si="5"/>
        <v/>
      </c>
      <c r="BA109" s="95"/>
      <c r="BB109" s="95" t="str">
        <f t="shared" si="4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6"/>
        <v>0</v>
      </c>
      <c r="BJ109" s="95">
        <f>VLOOKUP(BD109,CENY!$B$11:$M$2025,12,FALSE)</f>
        <v>12.187939999999999</v>
      </c>
      <c r="BK109" s="95">
        <f t="shared" si="7"/>
        <v>0</v>
      </c>
    </row>
    <row r="110" spans="1:63">
      <c r="AU110" s="20"/>
      <c r="AV110" s="21"/>
      <c r="AW110" s="22"/>
      <c r="AX110" s="22"/>
      <c r="AY110" s="23"/>
      <c r="AZ110" s="326" t="str">
        <f t="shared" si="5"/>
        <v/>
      </c>
      <c r="BA110" s="95"/>
      <c r="BB110" s="95" t="str">
        <f t="shared" si="4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6"/>
        <v>0</v>
      </c>
      <c r="BJ110" s="95">
        <f>VLOOKUP(BD110,CENY!$B$11:$M$2025,12,FALSE)</f>
        <v>12.42154</v>
      </c>
      <c r="BK110" s="95">
        <f t="shared" si="7"/>
        <v>0</v>
      </c>
    </row>
    <row r="111" spans="1:63">
      <c r="AU111" s="20"/>
      <c r="AV111" s="21"/>
      <c r="AW111" s="22"/>
      <c r="AX111" s="22"/>
      <c r="AY111" s="23"/>
      <c r="AZ111" s="326" t="str">
        <f t="shared" si="5"/>
        <v/>
      </c>
      <c r="BA111" s="95"/>
      <c r="BB111" s="95" t="str">
        <f t="shared" si="4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6"/>
        <v>0</v>
      </c>
      <c r="BJ111" s="95">
        <f>VLOOKUP(BD111,CENY!$B$11:$M$2025,12,FALSE)</f>
        <v>12.42154</v>
      </c>
      <c r="BK111" s="95">
        <f t="shared" si="7"/>
        <v>0</v>
      </c>
    </row>
    <row r="112" spans="1:63">
      <c r="AU112" s="20"/>
      <c r="AV112" s="21"/>
      <c r="AW112" s="22"/>
      <c r="AX112" s="22"/>
      <c r="AY112" s="23"/>
      <c r="AZ112" s="326" t="str">
        <f t="shared" si="5"/>
        <v/>
      </c>
      <c r="BA112" s="95"/>
      <c r="BB112" s="95" t="str">
        <f t="shared" si="4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6"/>
        <v>0</v>
      </c>
      <c r="BJ112" s="95">
        <f>VLOOKUP(BD112,CENY!$B$11:$M$2025,12,FALSE)</f>
        <v>12.654769999999999</v>
      </c>
      <c r="BK112" s="95">
        <f t="shared" si="7"/>
        <v>0</v>
      </c>
    </row>
    <row r="113" spans="47:63">
      <c r="AU113" s="20"/>
      <c r="AV113" s="21"/>
      <c r="AW113" s="22"/>
      <c r="AX113" s="22"/>
      <c r="AY113" s="23"/>
      <c r="AZ113" s="326" t="str">
        <f t="shared" si="5"/>
        <v/>
      </c>
      <c r="BA113" s="95"/>
      <c r="BB113" s="95" t="str">
        <f t="shared" si="4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6"/>
        <v>0</v>
      </c>
      <c r="BJ113" s="95">
        <f>VLOOKUP(BD113,CENY!$B$11:$M$2025,12,FALSE)</f>
        <v>12.654769999999999</v>
      </c>
      <c r="BK113" s="95">
        <f t="shared" si="7"/>
        <v>0</v>
      </c>
    </row>
    <row r="114" spans="47:63">
      <c r="AU114" s="20"/>
      <c r="AV114" s="21"/>
      <c r="AW114" s="22"/>
      <c r="AX114" s="22"/>
      <c r="AY114" s="23"/>
      <c r="AZ114" s="326" t="str">
        <f t="shared" si="5"/>
        <v/>
      </c>
      <c r="BA114" s="95"/>
      <c r="BB114" s="95" t="str">
        <f t="shared" si="4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6"/>
        <v>0</v>
      </c>
      <c r="BJ114" s="95">
        <f>VLOOKUP(BD114,CENY!$B$11:$M$2025,12,FALSE)</f>
        <v>12.888019999999999</v>
      </c>
      <c r="BK114" s="95">
        <f t="shared" si="7"/>
        <v>0</v>
      </c>
    </row>
    <row r="115" spans="47:63">
      <c r="AU115" s="20"/>
      <c r="AV115" s="21"/>
      <c r="AW115" s="22"/>
      <c r="AX115" s="22"/>
      <c r="AY115" s="23"/>
      <c r="AZ115" s="326" t="str">
        <f t="shared" si="5"/>
        <v/>
      </c>
      <c r="BA115" s="95"/>
      <c r="BB115" s="95" t="str">
        <f t="shared" si="4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6"/>
        <v>0</v>
      </c>
      <c r="BJ115" s="95">
        <f>VLOOKUP(BD115,CENY!$B$11:$M$2025,12,FALSE)</f>
        <v>12.888019999999999</v>
      </c>
      <c r="BK115" s="95">
        <f t="shared" si="7"/>
        <v>0</v>
      </c>
    </row>
    <row r="116" spans="47:63">
      <c r="AU116" s="20"/>
      <c r="AV116" s="21"/>
      <c r="AW116" s="22"/>
      <c r="AX116" s="22"/>
      <c r="AY116" s="23"/>
      <c r="AZ116" s="326" t="str">
        <f t="shared" si="5"/>
        <v/>
      </c>
      <c r="BA116" s="95"/>
      <c r="BB116" s="95" t="str">
        <f t="shared" si="4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6"/>
        <v>0</v>
      </c>
      <c r="BJ116" s="95">
        <f>VLOOKUP(BD116,CENY!$B$11:$M$2025,12,FALSE)</f>
        <v>12.496779999999999</v>
      </c>
      <c r="BK116" s="95">
        <f t="shared" si="7"/>
        <v>0</v>
      </c>
    </row>
    <row r="117" spans="47:63">
      <c r="AU117" s="20"/>
      <c r="AV117" s="21"/>
      <c r="AW117" s="22"/>
      <c r="AX117" s="22"/>
      <c r="AY117" s="23"/>
      <c r="AZ117" s="326" t="str">
        <f t="shared" si="5"/>
        <v/>
      </c>
      <c r="BA117" s="95"/>
      <c r="BB117" s="95" t="str">
        <f t="shared" si="4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6"/>
        <v>0</v>
      </c>
      <c r="BJ117" s="95">
        <f>VLOOKUP(BD117,CENY!$B$11:$M$2025,12,FALSE)</f>
        <v>12.496779999999999</v>
      </c>
      <c r="BK117" s="95">
        <f t="shared" si="7"/>
        <v>0</v>
      </c>
    </row>
    <row r="118" spans="47:63">
      <c r="AU118" s="20"/>
      <c r="AV118" s="21"/>
      <c r="AW118" s="22"/>
      <c r="AX118" s="22"/>
      <c r="AY118" s="23"/>
      <c r="AZ118" s="326" t="str">
        <f t="shared" si="5"/>
        <v/>
      </c>
      <c r="BA118" s="95"/>
      <c r="BB118" s="95" t="str">
        <f t="shared" si="4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6"/>
        <v>0</v>
      </c>
      <c r="BJ118" s="95">
        <f>VLOOKUP(BD118,CENY!$B$11:$M$2025,12,FALSE)</f>
        <v>12.718019999999999</v>
      </c>
      <c r="BK118" s="95">
        <f t="shared" si="7"/>
        <v>0</v>
      </c>
    </row>
    <row r="119" spans="47:63">
      <c r="AU119" s="20"/>
      <c r="AV119" s="21"/>
      <c r="AW119" s="22"/>
      <c r="AX119" s="22"/>
      <c r="AY119" s="23"/>
      <c r="AZ119" s="326" t="str">
        <f t="shared" si="5"/>
        <v/>
      </c>
      <c r="BA119" s="95"/>
      <c r="BB119" s="95" t="str">
        <f t="shared" si="4"/>
        <v/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6"/>
        <v>0</v>
      </c>
      <c r="BJ119" s="95">
        <f>VLOOKUP(BD119,CENY!$B$11:$M$2025,12,FALSE)</f>
        <v>13.35392</v>
      </c>
      <c r="BK119" s="95">
        <f t="shared" si="7"/>
        <v>0</v>
      </c>
    </row>
    <row r="120" spans="47:63">
      <c r="AU120" s="20"/>
      <c r="AV120" s="21"/>
      <c r="AW120" s="22"/>
      <c r="AX120" s="22"/>
      <c r="AY120" s="23"/>
      <c r="AZ120" s="326" t="str">
        <f t="shared" si="5"/>
        <v/>
      </c>
      <c r="BA120" s="95"/>
      <c r="BB120" s="95" t="str">
        <f t="shared" si="4"/>
        <v/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6"/>
        <v>0</v>
      </c>
      <c r="BJ120" s="95">
        <f>VLOOKUP(BD120,CENY!$B$11:$M$2025,12,FALSE)</f>
        <v>13.58704</v>
      </c>
      <c r="BK120" s="95">
        <f t="shared" si="7"/>
        <v>0</v>
      </c>
    </row>
    <row r="121" spans="47:63">
      <c r="AU121" s="20"/>
      <c r="AV121" s="21"/>
      <c r="AW121" s="22"/>
      <c r="AX121" s="22"/>
      <c r="AY121" s="23"/>
      <c r="AZ121" s="326" t="str">
        <f t="shared" si="5"/>
        <v/>
      </c>
      <c r="BA121" s="95"/>
      <c r="BB121" s="95" t="str">
        <f t="shared" si="4"/>
        <v/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6"/>
        <v>0</v>
      </c>
      <c r="BJ121" s="95">
        <f>VLOOKUP(BD121,CENY!$B$11:$M$2025,12,FALSE)</f>
        <v>13.58704</v>
      </c>
      <c r="BK121" s="95">
        <f t="shared" si="7"/>
        <v>0</v>
      </c>
    </row>
    <row r="122" spans="47:63">
      <c r="AU122" s="20"/>
      <c r="AV122" s="21"/>
      <c r="AW122" s="22"/>
      <c r="AX122" s="22"/>
      <c r="AY122" s="23"/>
      <c r="AZ122" s="326" t="str">
        <f t="shared" si="5"/>
        <v/>
      </c>
      <c r="BA122" s="95"/>
      <c r="BB122" s="95" t="str">
        <f t="shared" si="4"/>
        <v/>
      </c>
      <c r="BD122" s="319"/>
      <c r="BE122" s="21"/>
      <c r="BF122" s="22"/>
      <c r="BG122" s="22"/>
      <c r="BH122" s="23"/>
      <c r="BI122" s="326" t="str">
        <f t="shared" si="6"/>
        <v/>
      </c>
      <c r="BJ122" s="95"/>
      <c r="BK122" s="95" t="str">
        <f t="shared" si="7"/>
        <v/>
      </c>
    </row>
    <row r="123" spans="47:63">
      <c r="AU123" s="20"/>
      <c r="AV123" s="21"/>
      <c r="AW123" s="22"/>
      <c r="AX123" s="22"/>
      <c r="AY123" s="23"/>
      <c r="AZ123" s="326" t="str">
        <f t="shared" si="5"/>
        <v/>
      </c>
      <c r="BA123" s="95"/>
      <c r="BB123" s="95" t="str">
        <f t="shared" si="4"/>
        <v/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6"/>
        <v>0</v>
      </c>
      <c r="BJ123" s="95">
        <f>VLOOKUP(BD123,CENY!$B$11:$M$2025,12,FALSE)</f>
        <v>0.79318999999999995</v>
      </c>
      <c r="BK123" s="95">
        <f t="shared" si="7"/>
        <v>0</v>
      </c>
    </row>
    <row r="124" spans="47:63">
      <c r="AU124" s="20"/>
      <c r="AV124" s="21"/>
      <c r="AW124" s="22"/>
      <c r="AX124" s="22"/>
      <c r="AY124" s="23"/>
      <c r="AZ124" s="326" t="str">
        <f t="shared" si="5"/>
        <v/>
      </c>
      <c r="BA124" s="95"/>
      <c r="BB124" s="95" t="str">
        <f t="shared" si="4"/>
        <v/>
      </c>
      <c r="BD124" s="319"/>
      <c r="BE124" s="21"/>
      <c r="BF124" s="22"/>
      <c r="BG124" s="22"/>
      <c r="BH124" s="23"/>
      <c r="BI124" s="326" t="str">
        <f t="shared" si="6"/>
        <v/>
      </c>
      <c r="BJ124" s="95"/>
      <c r="BK124" s="95" t="str">
        <f t="shared" si="7"/>
        <v/>
      </c>
    </row>
    <row r="125" spans="47:63">
      <c r="AU125" s="20"/>
      <c r="AV125" s="21"/>
      <c r="AW125" s="22"/>
      <c r="AX125" s="22"/>
      <c r="AY125" s="23"/>
      <c r="AZ125" s="326" t="str">
        <f t="shared" si="5"/>
        <v/>
      </c>
      <c r="BA125" s="95"/>
      <c r="BB125" s="95" t="str">
        <f t="shared" si="4"/>
        <v/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6"/>
        <v>0</v>
      </c>
      <c r="BJ125" s="324" t="str">
        <f>IF(BD125=0,"",VLOOKUP(BD125,CENY!$B$11:$M$2025,12,FALSE))</f>
        <v/>
      </c>
      <c r="BK125" s="95" t="str">
        <f>IF(BJ125="","",BJ125*BH125)</f>
        <v/>
      </c>
    </row>
    <row r="126" spans="47:63">
      <c r="AU126" s="20"/>
      <c r="AV126" s="21"/>
      <c r="AW126" s="22"/>
      <c r="AX126" s="22"/>
      <c r="AY126" s="23"/>
      <c r="AZ126" s="326" t="str">
        <f t="shared" si="5"/>
        <v/>
      </c>
      <c r="BA126" s="95"/>
      <c r="BB126" s="95" t="str">
        <f t="shared" si="4"/>
        <v/>
      </c>
      <c r="BD126" s="319"/>
      <c r="BE126" s="21"/>
      <c r="BF126" s="22"/>
      <c r="BG126" s="22"/>
      <c r="BH126" s="23"/>
      <c r="BI126" s="326" t="str">
        <f t="shared" si="6"/>
        <v/>
      </c>
      <c r="BJ126" s="95"/>
      <c r="BK126" s="95" t="str">
        <f t="shared" si="7"/>
        <v/>
      </c>
    </row>
    <row r="127" spans="47:63">
      <c r="AU127" s="20"/>
      <c r="AV127" s="21"/>
      <c r="AW127" s="22"/>
      <c r="AX127" s="22"/>
      <c r="AY127" s="23"/>
      <c r="AZ127" s="326" t="str">
        <f t="shared" si="5"/>
        <v/>
      </c>
      <c r="BA127" s="95"/>
      <c r="BB127" s="95" t="str">
        <f t="shared" si="4"/>
        <v/>
      </c>
      <c r="BD127" s="319"/>
      <c r="BE127" s="21"/>
      <c r="BF127" s="22"/>
      <c r="BG127" s="22"/>
      <c r="BH127" s="23"/>
      <c r="BI127" s="326" t="str">
        <f t="shared" si="6"/>
        <v/>
      </c>
      <c r="BJ127" s="95"/>
      <c r="BK127" s="95" t="str">
        <f t="shared" si="7"/>
        <v/>
      </c>
    </row>
    <row r="128" spans="47:63">
      <c r="AU128" s="20"/>
      <c r="AV128" s="21"/>
      <c r="AW128" s="22"/>
      <c r="AX128" s="22"/>
      <c r="AY128" s="23"/>
      <c r="AZ128" s="326" t="str">
        <f t="shared" si="5"/>
        <v/>
      </c>
      <c r="BA128" s="95"/>
      <c r="BB128" s="95" t="str">
        <f t="shared" si="4"/>
        <v/>
      </c>
      <c r="BD128" s="319">
        <f>OBJ!B194</f>
        <v>9257269</v>
      </c>
      <c r="BE128" s="21" t="str">
        <f>VLOOKUP(BD128,CENY!$B$11:$G$1054,2,FALSE)</f>
        <v>AvanY-čelo vnút.zásuvky /v101/d2000/strieb.</v>
      </c>
      <c r="BF128" s="22">
        <f>VLOOKUP(BD128,CENY!$B$11:$G$1054,3,FALSE)</f>
        <v>1</v>
      </c>
      <c r="BG128" s="22"/>
      <c r="BH128" s="23">
        <f>AY83</f>
        <v>0</v>
      </c>
      <c r="BI128" s="326">
        <f>IF(BH128="","",IF($AW$4=0,BH128,0))</f>
        <v>0</v>
      </c>
      <c r="BJ128" s="95">
        <f>VLOOKUP(BD128,CENY!$B$11:$M$2025,12,FALSE)</f>
        <v>71.34393</v>
      </c>
      <c r="BK128" s="95">
        <f>IF(BJ128="","",BJ128*BH128)</f>
        <v>0</v>
      </c>
    </row>
    <row r="129" spans="47:63">
      <c r="AU129" s="20"/>
      <c r="AV129" s="21"/>
      <c r="AW129" s="22"/>
      <c r="AX129" s="22"/>
      <c r="AY129" s="23"/>
      <c r="AZ129" s="326" t="str">
        <f t="shared" si="5"/>
        <v/>
      </c>
      <c r="BA129" s="95"/>
      <c r="BB129" s="95" t="str">
        <f t="shared" si="4"/>
        <v/>
      </c>
      <c r="BD129" s="319"/>
      <c r="BE129" s="21"/>
      <c r="BF129" s="22"/>
      <c r="BG129" s="22"/>
      <c r="BH129" s="23"/>
      <c r="BI129" s="326" t="str">
        <f>IF(BH129="","",IF($AW$4=0,BH129,0))</f>
        <v/>
      </c>
      <c r="BJ129" s="95"/>
      <c r="BK129" s="95" t="str">
        <f>IF(BJ129="","",BJ129*BH129)</f>
        <v/>
      </c>
    </row>
    <row r="130" spans="47:63">
      <c r="AU130" s="20"/>
      <c r="AV130" s="21"/>
      <c r="AW130" s="22"/>
      <c r="AX130" s="22"/>
      <c r="AY130" s="23"/>
      <c r="AZ130" s="326" t="str">
        <f t="shared" si="5"/>
        <v/>
      </c>
      <c r="BA130" s="95"/>
      <c r="BB130" s="95" t="str">
        <f t="shared" si="4"/>
        <v/>
      </c>
      <c r="BD130" s="319">
        <f>OBJ!B203</f>
        <v>9257641</v>
      </c>
      <c r="BE130" s="21" t="str">
        <f>VLOOKUP(BD130,CENY!$B$11:$G$1054,2,FALSE)</f>
        <v>AvanY-stabilizátor čela vnút.zásuvky</v>
      </c>
      <c r="BF130" s="22">
        <f>VLOOKUP(BD130,CENY!$B$11:$G$1054,3,FALSE)</f>
        <v>100</v>
      </c>
      <c r="BG130" s="22"/>
      <c r="BH130" s="23">
        <f>AY84</f>
        <v>0</v>
      </c>
      <c r="BI130" s="326">
        <f>IF(BH130="","",IF($AW$4=0,BH130,0))</f>
        <v>0</v>
      </c>
      <c r="BJ130" s="95">
        <f>VLOOKUP(BD130,CENY!$B$11:$M$2025,12,FALSE)</f>
        <v>0.52149000000000001</v>
      </c>
      <c r="BK130" s="95">
        <f>IF(BJ130="","",BJ130*BH130)</f>
        <v>0</v>
      </c>
    </row>
    <row r="131" spans="47:63">
      <c r="AU131" s="20"/>
      <c r="AV131" s="21"/>
      <c r="AW131" s="22"/>
      <c r="AX131" s="22"/>
      <c r="AY131" s="23"/>
      <c r="AZ131" s="326" t="str">
        <f t="shared" si="5"/>
        <v/>
      </c>
      <c r="BA131" s="95"/>
      <c r="BB131" s="95" t="str">
        <f t="shared" si="4"/>
        <v/>
      </c>
      <c r="BD131" s="319">
        <f>OBJ!B204</f>
        <v>9257629</v>
      </c>
      <c r="BE131" s="21" t="str">
        <f>VLOOKUP(BD131,CENY!$B$11:$G$1054,2,FALSE)</f>
        <v>AvanY-krytka čela vnút.zás./v101/strieb.</v>
      </c>
      <c r="BF131" s="22">
        <f>VLOOKUP(BD131,CENY!$B$11:$G$1054,3,FALSE)</f>
        <v>200</v>
      </c>
      <c r="BG131" s="22"/>
      <c r="BH131" s="23">
        <f>2*AY84</f>
        <v>0</v>
      </c>
      <c r="BI131" s="326">
        <f>IF(BH131="","",IF($AW$4=0,BH131,0))</f>
        <v>0</v>
      </c>
      <c r="BJ131" s="95">
        <f>VLOOKUP(BD131,CENY!$B$11:$M$2025,12,FALSE)</f>
        <v>0.21284</v>
      </c>
      <c r="BK131" s="95">
        <f>IF(BJ131="","",BJ131*BH131)</f>
        <v>0</v>
      </c>
    </row>
    <row r="132" spans="47:63">
      <c r="AU132" s="20"/>
      <c r="AV132" s="21"/>
      <c r="AW132" s="22"/>
      <c r="AX132" s="22"/>
      <c r="AY132" s="23"/>
      <c r="AZ132" s="326" t="str">
        <f t="shared" ref="AZ132:AZ137" si="9">IF(AY132="","",IF($AW$4=1,AY132,0))</f>
        <v/>
      </c>
      <c r="BA132" s="95"/>
      <c r="BB132" s="95" t="str">
        <f t="shared" si="4"/>
        <v/>
      </c>
      <c r="BD132" s="319"/>
      <c r="BE132" s="21"/>
      <c r="BF132" s="22"/>
      <c r="BG132" s="22"/>
      <c r="BH132" s="23"/>
      <c r="BI132" s="326" t="str">
        <f t="shared" si="6"/>
        <v/>
      </c>
      <c r="BJ132" s="95"/>
      <c r="BK132" s="95" t="str">
        <f t="shared" si="7"/>
        <v/>
      </c>
    </row>
    <row r="133" spans="47:63">
      <c r="AU133" s="319">
        <f>OBJ!B361</f>
        <v>45167</v>
      </c>
      <c r="AV133" s="21" t="str">
        <f>VLOOKUP(AU133,CENY!$B$11:$G$1054,2,FALSE)</f>
        <v>Skrutka s polgul.hlavou 3,5x12mm</v>
      </c>
      <c r="AW133" s="22">
        <f>VLOOKUP(AU133,CENY!$B$11:$G$1054,3,FALSE)</f>
        <v>200</v>
      </c>
      <c r="AX133" s="22"/>
      <c r="AY133" s="23">
        <f>SUMPRODUCT(AX5:AX13,AY5:AY13)</f>
        <v>0</v>
      </c>
      <c r="AZ133" s="326">
        <f t="shared" si="9"/>
        <v>0</v>
      </c>
      <c r="BA133" s="95">
        <f>VLOOKUP(AU133,CENY!$B$11:$M$2025,12,FALSE)</f>
        <v>3.4759999999999999E-2</v>
      </c>
      <c r="BB133" s="95">
        <f>IF(BA133="","",BA133*AY133)</f>
        <v>0</v>
      </c>
      <c r="BC133" s="86" t="s">
        <v>396</v>
      </c>
      <c r="BD133" s="319">
        <f>OBJ!B361</f>
        <v>45167</v>
      </c>
      <c r="BE133" s="21" t="str">
        <f>VLOOKUP(BD133,CENY!$B$11:$G$1054,2,FALSE)</f>
        <v>Skrutka s polgul.hlavou 3,5x12mm</v>
      </c>
      <c r="BF133" s="22">
        <f>VLOOKUP(BD133,CENY!$B$11:$G$1054,3,FALSE)</f>
        <v>200</v>
      </c>
      <c r="BG133" s="22"/>
      <c r="BH133" s="23">
        <f>AY133+BH25*2+BH130</f>
        <v>0</v>
      </c>
      <c r="BI133" s="326">
        <f>IF(BH133="","",IF($AW$4=0,BH133,0))</f>
        <v>0</v>
      </c>
      <c r="BJ133" s="95">
        <f>VLOOKUP(BD133,CENY!$B$11:$M$2025,12,FALSE)</f>
        <v>3.4759999999999999E-2</v>
      </c>
      <c r="BK133" s="95">
        <f>IF(BJ133="","",BJ133*BH133)</f>
        <v>0</v>
      </c>
    </row>
    <row r="134" spans="47:63">
      <c r="AU134" s="319">
        <f>OBJ!B362</f>
        <v>45168</v>
      </c>
      <c r="AV134" s="21" t="str">
        <f>VLOOKUP(AU134,CENY!$B$11:$G$1054,2,FALSE)</f>
        <v>Skrutka s polgul.hlavou 3,5x20mm</v>
      </c>
      <c r="AW134" s="22">
        <f>VLOOKUP(AU134,CENY!$B$11:$G$1054,3,FALSE)</f>
        <v>200</v>
      </c>
      <c r="AX134" s="22"/>
      <c r="AY134" s="360">
        <v>0</v>
      </c>
      <c r="AZ134" s="326">
        <f t="shared" si="9"/>
        <v>0</v>
      </c>
      <c r="BA134" s="95">
        <f>VLOOKUP(AU134,CENY!$B$11:$M$2025,12,FALSE)</f>
        <v>4.9860000000000002E-2</v>
      </c>
      <c r="BB134" s="95">
        <f>IF(BA134="","",BA134*AY134)</f>
        <v>0</v>
      </c>
      <c r="BC134" s="86" t="s">
        <v>397</v>
      </c>
      <c r="BD134" s="319">
        <f>OBJ!B362</f>
        <v>45168</v>
      </c>
      <c r="BE134" s="21" t="str">
        <f>VLOOKUP(BD134,CENY!$B$11:$G$1054,2,FALSE)</f>
        <v>Skrutka s polgul.hlavou 3,5x20mm</v>
      </c>
      <c r="BF134" s="22">
        <f>VLOOKUP(BD134,CENY!$B$11:$G$1054,3,FALSE)</f>
        <v>200</v>
      </c>
      <c r="BG134" s="22"/>
      <c r="BH134" s="360">
        <v>0</v>
      </c>
      <c r="BI134" s="326">
        <f>IF(BH134="","",IF($AW$4=0,BH134,0))</f>
        <v>0</v>
      </c>
      <c r="BJ134" s="95">
        <f>VLOOKUP(BD134,CENY!$B$11:$M$2025,12,FALSE)</f>
        <v>4.9860000000000002E-2</v>
      </c>
      <c r="BK134" s="95">
        <f>IF(BJ134="","",BJ134*BH134)</f>
        <v>0</v>
      </c>
    </row>
    <row r="135" spans="47:63">
      <c r="AU135" s="319">
        <f>OBJ!B363</f>
        <v>9278224</v>
      </c>
      <c r="AV135" s="21" t="str">
        <f>VLOOKUP(AU135,CENY!$B$11:$G$1054,2,FALSE)</f>
        <v>Skrutka s polgul.hlavou 3,5x30mm</v>
      </c>
      <c r="AW135" s="22">
        <f>VLOOKUP(AU135,CENY!$B$11:$G$1054,3,FALSE)</f>
        <v>200</v>
      </c>
      <c r="AX135" s="22"/>
      <c r="AY135" s="360">
        <v>0</v>
      </c>
      <c r="AZ135" s="326">
        <f t="shared" si="9"/>
        <v>0</v>
      </c>
      <c r="BA135" s="95">
        <f>VLOOKUP(AU135,CENY!$B$11:$M$2025,12,FALSE)</f>
        <v>4.299E-2</v>
      </c>
      <c r="BB135" s="95">
        <f>IF(BA135="","",BA135*AY135)</f>
        <v>0</v>
      </c>
      <c r="BC135" s="86" t="s">
        <v>398</v>
      </c>
      <c r="BD135" s="319">
        <f>OBJ!B363</f>
        <v>9278224</v>
      </c>
      <c r="BE135" s="21" t="str">
        <f>VLOOKUP(BD135,CENY!$B$11:$G$1054,2,FALSE)</f>
        <v>Skrutka s polgul.hlavou 3,5x30mm</v>
      </c>
      <c r="BF135" s="22">
        <f>VLOOKUP(BD135,CENY!$B$11:$G$1054,3,FALSE)</f>
        <v>200</v>
      </c>
      <c r="BG135" s="22"/>
      <c r="BH135" s="360">
        <f>SUM(BH5:BH22)</f>
        <v>0</v>
      </c>
      <c r="BI135" s="326">
        <f>IF(BH135="","",IF($AW$4=0,BH135,0))</f>
        <v>0</v>
      </c>
      <c r="BJ135" s="95">
        <f>VLOOKUP(BD135,CENY!$B$11:$M$2025,12,FALSE)</f>
        <v>4.299E-2</v>
      </c>
      <c r="BK135" s="95">
        <f>IF(BJ135="","",BJ135*BH135)</f>
        <v>0</v>
      </c>
    </row>
    <row r="136" spans="47:63">
      <c r="AU136" s="319">
        <f>OBJ!B364</f>
        <v>9279197</v>
      </c>
      <c r="AV136" s="21" t="str">
        <f>VLOOKUP(AU136,CENY!$B$11:$G$1054,2,FALSE)</f>
        <v>Skrutka s polgul.hlavou M3,5x12mm</v>
      </c>
      <c r="AW136" s="22">
        <f>VLOOKUP(AU136,CENY!$B$11:$G$1054,3,FALSE)</f>
        <v>1000</v>
      </c>
      <c r="AX136" s="22"/>
      <c r="AY136" s="68">
        <v>0</v>
      </c>
      <c r="AZ136" s="326">
        <f t="shared" si="9"/>
        <v>0</v>
      </c>
      <c r="BA136" s="95" t="e">
        <f>VLOOKUP(AU136,CENY!$B$11:$M$2025,12,FALSE)</f>
        <v>#N/A</v>
      </c>
      <c r="BB136" s="95" t="e">
        <f>IF(BA136="","",BA136*AY136)</f>
        <v>#N/A</v>
      </c>
      <c r="BC136" s="86" t="s">
        <v>399</v>
      </c>
      <c r="BD136" s="319">
        <f>OBJ!B364</f>
        <v>9279197</v>
      </c>
      <c r="BE136" s="21" t="str">
        <f>VLOOKUP(BD136,CENY!$B$11:$G$1054,2,FALSE)</f>
        <v>Skrutka s polgul.hlavou M3,5x12mm</v>
      </c>
      <c r="BF136" s="22">
        <f>VLOOKUP(BD136,CENY!$B$11:$G$1054,3,FALSE)</f>
        <v>1000</v>
      </c>
      <c r="BG136" s="22"/>
      <c r="BH136" s="68">
        <f>2*BH24</f>
        <v>0</v>
      </c>
      <c r="BI136" s="326">
        <f>IF(BH136="","",IF($AW$4=0,BH136,0))</f>
        <v>0</v>
      </c>
      <c r="BJ136" s="95" t="e">
        <f>VLOOKUP(BD136,CENY!$B$11:$M$2025,12,FALSE)</f>
        <v>#N/A</v>
      </c>
      <c r="BK136" s="95" t="e">
        <f>IF(BJ136="","",BJ136*BH136)</f>
        <v>#N/A</v>
      </c>
    </row>
    <row r="137" spans="47:63">
      <c r="AU137" s="319">
        <f>OBJ!B365</f>
        <v>9137114</v>
      </c>
      <c r="AV137" s="21" t="str">
        <f>VLOOKUP(AU137,CENY!$B$11:$G$1054,2,FALSE)</f>
        <v>EURO-skrutka  6,0x14mm / niklovaná</v>
      </c>
      <c r="AW137" s="22">
        <f>VLOOKUP(AU137,CENY!$B$11:$G$1054,3,FALSE)</f>
        <v>200</v>
      </c>
      <c r="AX137" s="22"/>
      <c r="AY137" s="23">
        <f>SUMPRODUCT(AX25:AX74,AY25:AY74)</f>
        <v>0</v>
      </c>
      <c r="AZ137" s="326">
        <f t="shared" si="9"/>
        <v>0</v>
      </c>
      <c r="BA137" s="95">
        <f>VLOOKUP(AU137,CENY!$B$11:$M$2025,12,FALSE)</f>
        <v>7.7280000000000001E-2</v>
      </c>
      <c r="BB137" s="95">
        <f>IF(BA137="","",BA137*AY137)</f>
        <v>0</v>
      </c>
      <c r="BC137" s="86" t="s">
        <v>400</v>
      </c>
      <c r="BD137" s="319">
        <f>OBJ!B365</f>
        <v>9137114</v>
      </c>
      <c r="BE137" s="21" t="str">
        <f>VLOOKUP(BD137,CENY!$B$11:$G$1054,2,FALSE)</f>
        <v>EURO-skrutka  6,0x14mm / niklovaná</v>
      </c>
      <c r="BF137" s="22">
        <f>VLOOKUP(BD137,CENY!$B$11:$G$1054,3,FALSE)</f>
        <v>200</v>
      </c>
      <c r="BG137" s="22"/>
      <c r="BH137" s="23">
        <f>AY137</f>
        <v>0</v>
      </c>
      <c r="BI137" s="326">
        <f>IF(BH137="","",IF($AW$4=0,BH137,0))</f>
        <v>0</v>
      </c>
      <c r="BJ137" s="95">
        <f>VLOOKUP(BD137,CENY!$B$11:$M$2025,12,FALSE)</f>
        <v>7.7280000000000001E-2</v>
      </c>
      <c r="BK137" s="95">
        <f>IF(BJ137="","",BJ137*BH137)</f>
        <v>0</v>
      </c>
    </row>
    <row r="138" spans="47:63">
      <c r="AU138" s="20"/>
      <c r="AV138" s="21"/>
      <c r="AW138" s="22"/>
      <c r="AX138" s="22"/>
      <c r="AY138" s="23"/>
      <c r="AZ138" s="326"/>
      <c r="BA138" s="95"/>
      <c r="BB138" s="95"/>
      <c r="BD138" s="319"/>
      <c r="BE138" s="21"/>
      <c r="BF138" s="22"/>
      <c r="BG138" s="22"/>
      <c r="BH138" s="23"/>
      <c r="BI138" s="326"/>
      <c r="BJ138" s="95"/>
      <c r="BK138" s="95"/>
    </row>
    <row r="139" spans="47:63">
      <c r="AU139" s="20"/>
      <c r="AV139" s="21"/>
      <c r="AW139" s="22"/>
      <c r="AX139" s="22"/>
      <c r="AY139" s="23"/>
      <c r="AZ139" s="326"/>
      <c r="BA139" s="95"/>
      <c r="BB139" s="95"/>
      <c r="BD139" s="319"/>
      <c r="BE139" s="21"/>
      <c r="BF139" s="22"/>
      <c r="BG139" s="22"/>
      <c r="BH139" s="23"/>
      <c r="BI139" s="326"/>
      <c r="BJ139" s="95"/>
      <c r="BK139" s="95"/>
    </row>
    <row r="140" spans="47:63">
      <c r="AU140" s="20"/>
      <c r="AV140" s="21"/>
      <c r="AW140" s="22"/>
      <c r="AX140" s="22"/>
      <c r="AY140" s="23"/>
      <c r="AZ140" s="326"/>
      <c r="BA140" s="95"/>
      <c r="BB140" s="95"/>
      <c r="BD140" s="319"/>
      <c r="BE140" s="21"/>
      <c r="BF140" s="22"/>
      <c r="BG140" s="22"/>
      <c r="BH140" s="23"/>
      <c r="BI140" s="326"/>
      <c r="BJ140" s="95"/>
      <c r="BK140" s="95"/>
    </row>
    <row r="141" spans="47:63">
      <c r="AU141" s="20"/>
      <c r="AV141" s="21"/>
      <c r="AW141" s="22"/>
      <c r="AX141" s="22"/>
      <c r="AY141" s="23"/>
      <c r="AZ141" s="326" t="str">
        <f>IF(AY141="","",IF($AW$4=1,AY141,0))</f>
        <v/>
      </c>
      <c r="BA141" s="95"/>
      <c r="BB141" s="95" t="str">
        <f>IF(BA141="","",BA141*AY141)</f>
        <v/>
      </c>
      <c r="BD141" s="319"/>
      <c r="BE141" s="21"/>
      <c r="BF141" s="22"/>
      <c r="BG141" s="22"/>
      <c r="BH141" s="23"/>
      <c r="BI141" s="326" t="str">
        <f t="shared" si="6"/>
        <v/>
      </c>
      <c r="BJ141" s="95"/>
      <c r="BK141" s="95" t="str">
        <f t="shared" si="7"/>
        <v/>
      </c>
    </row>
    <row r="142" spans="47:63">
      <c r="BD142" s="319"/>
      <c r="BE142" s="21"/>
      <c r="BF142" s="22"/>
      <c r="BG142" s="22"/>
      <c r="BH142" s="23"/>
      <c r="BI142" s="326" t="str">
        <f>IF(BH142="","",IF($AW$4=0,BH142,0))</f>
        <v/>
      </c>
      <c r="BJ142" s="95"/>
      <c r="BK142" s="95" t="str">
        <f>IF(BJ142="","",BJ142*BH142)</f>
        <v/>
      </c>
    </row>
    <row r="143" spans="47:63">
      <c r="BD143" s="319"/>
      <c r="BE143" s="21"/>
      <c r="BF143" s="22"/>
      <c r="BG143" s="22"/>
      <c r="BH143" s="23"/>
      <c r="BI143" s="326" t="str">
        <f>IF(BH143="","",IF($AW$4=0,BH143,0))</f>
        <v/>
      </c>
      <c r="BJ143" s="95"/>
      <c r="BK143" s="95" t="str">
        <f>IF(BJ143="","",BJ143*BH143)</f>
        <v/>
      </c>
    </row>
  </sheetData>
  <sheetProtection algorithmName="SHA-512" hashValue="pyaDT2f1Y/lfHfae9LeR4jSXYtzALy7JPHwkWScYTy90VEaF5nNWO6mwJQX4ps4U5UDmUcMnRvWbvxLuxev5rQ==" saltValue="4br+gwurX6FHX4KFy8eCrQ==" spinCount="100000" sheet="1" objects="1" scenarios="1"/>
  <mergeCells count="179">
    <mergeCell ref="AK9:AP10"/>
    <mergeCell ref="Q81:R81"/>
    <mergeCell ref="AI67:AM67"/>
    <mergeCell ref="AO67:AR67"/>
    <mergeCell ref="W30:X30"/>
    <mergeCell ref="Y30:Z30"/>
    <mergeCell ref="AG80:AH80"/>
    <mergeCell ref="AI80:AJ80"/>
    <mergeCell ref="AG81:AH81"/>
    <mergeCell ref="AI81:AJ81"/>
    <mergeCell ref="AK81:AL81"/>
    <mergeCell ref="Q80:R80"/>
    <mergeCell ref="S80:T80"/>
    <mergeCell ref="U81:V81"/>
    <mergeCell ref="W81:X81"/>
    <mergeCell ref="U80:V80"/>
    <mergeCell ref="W80:X80"/>
    <mergeCell ref="Y80:Z80"/>
    <mergeCell ref="AA80:AB80"/>
    <mergeCell ref="AC80:AD80"/>
    <mergeCell ref="AE80:AF80"/>
    <mergeCell ref="AN29:AO29"/>
    <mergeCell ref="AC30:AD30"/>
    <mergeCell ref="AI25:AO25"/>
    <mergeCell ref="AA85:AB85"/>
    <mergeCell ref="Y84:Z84"/>
    <mergeCell ref="AA84:AB84"/>
    <mergeCell ref="O81:P81"/>
    <mergeCell ref="AC85:AD85"/>
    <mergeCell ref="AE85:AF85"/>
    <mergeCell ref="AG85:AH85"/>
    <mergeCell ref="AI85:AJ85"/>
    <mergeCell ref="O82:AJ82"/>
    <mergeCell ref="AG84:AH84"/>
    <mergeCell ref="AI84:AJ84"/>
    <mergeCell ref="O85:P85"/>
    <mergeCell ref="Q85:R85"/>
    <mergeCell ref="Y81:Z81"/>
    <mergeCell ref="AA81:AB81"/>
    <mergeCell ref="AC81:AD81"/>
    <mergeCell ref="AE81:AF81"/>
    <mergeCell ref="AC83:AD83"/>
    <mergeCell ref="AE83:AF83"/>
    <mergeCell ref="AG83:AH83"/>
    <mergeCell ref="AI83:AJ83"/>
    <mergeCell ref="A66:A105"/>
    <mergeCell ref="B67:E67"/>
    <mergeCell ref="G67:K67"/>
    <mergeCell ref="O67:S67"/>
    <mergeCell ref="U67:Y67"/>
    <mergeCell ref="AA67:AE67"/>
    <mergeCell ref="O83:P83"/>
    <mergeCell ref="Q83:R83"/>
    <mergeCell ref="S83:T83"/>
    <mergeCell ref="U83:V83"/>
    <mergeCell ref="W83:X83"/>
    <mergeCell ref="Y83:Z83"/>
    <mergeCell ref="AC84:AD84"/>
    <mergeCell ref="AE84:AF84"/>
    <mergeCell ref="M84:N84"/>
    <mergeCell ref="O84:P84"/>
    <mergeCell ref="Q84:R84"/>
    <mergeCell ref="S84:T84"/>
    <mergeCell ref="U84:V84"/>
    <mergeCell ref="W84:X84"/>
    <mergeCell ref="S85:T85"/>
    <mergeCell ref="U85:V85"/>
    <mergeCell ref="W85:X85"/>
    <mergeCell ref="Y85:Z85"/>
    <mergeCell ref="B30:G30"/>
    <mergeCell ref="H30:L30"/>
    <mergeCell ref="M30:N30"/>
    <mergeCell ref="O30:P30"/>
    <mergeCell ref="Q30:R30"/>
    <mergeCell ref="S30:T30"/>
    <mergeCell ref="U30:V30"/>
    <mergeCell ref="AA83:AB83"/>
    <mergeCell ref="S81:T81"/>
    <mergeCell ref="AA30:AB30"/>
    <mergeCell ref="O80:P80"/>
    <mergeCell ref="B27:G27"/>
    <mergeCell ref="H27:L27"/>
    <mergeCell ref="M27:N27"/>
    <mergeCell ref="O27:P27"/>
    <mergeCell ref="Q27:R27"/>
    <mergeCell ref="S27:T27"/>
    <mergeCell ref="AN27:AO27"/>
    <mergeCell ref="B28:G28"/>
    <mergeCell ref="H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N28:AO28"/>
    <mergeCell ref="O26:P26"/>
    <mergeCell ref="Q26:R26"/>
    <mergeCell ref="S26:T26"/>
    <mergeCell ref="U26:V26"/>
    <mergeCell ref="W26:X26"/>
    <mergeCell ref="Y26:Z26"/>
    <mergeCell ref="AA26:AB26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B19:G19"/>
    <mergeCell ref="H19:L19"/>
    <mergeCell ref="M19:N19"/>
    <mergeCell ref="O19:P19"/>
    <mergeCell ref="Q19:R19"/>
    <mergeCell ref="S19:T19"/>
    <mergeCell ref="AN19:AO19"/>
    <mergeCell ref="B20:G20"/>
    <mergeCell ref="H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B12:E12"/>
    <mergeCell ref="F12:I12"/>
    <mergeCell ref="J12:K12"/>
    <mergeCell ref="B13:E13"/>
    <mergeCell ref="F13:I13"/>
    <mergeCell ref="J13:K13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I18:AO18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U2:Y2"/>
    <mergeCell ref="AA2:AE2"/>
    <mergeCell ref="AI2:AM2"/>
    <mergeCell ref="AO2:AR2"/>
    <mergeCell ref="B6:E6"/>
    <mergeCell ref="F6:K6"/>
    <mergeCell ref="O2:S2"/>
    <mergeCell ref="B7:E7"/>
    <mergeCell ref="F7:K7"/>
  </mergeCells>
  <conditionalFormatting sqref="BH26:BH85 AY5:AZ5 AY6:AY42 BH5:BI5 BH6:BH24 AZ6:AZ82 AZ85:AZ132 AZ138:AZ141">
    <cfRule type="cellIs" dxfId="720" priority="39" stopIfTrue="1" operator="equal">
      <formula>0</formula>
    </cfRule>
  </conditionalFormatting>
  <conditionalFormatting sqref="AY53:AY56 AY66:AY69 AY43:AY50">
    <cfRule type="cellIs" dxfId="719" priority="37" stopIfTrue="1" operator="equal">
      <formula>0</formula>
    </cfRule>
  </conditionalFormatting>
  <conditionalFormatting sqref="O17:AF17 O19:T19 O20:AD20 W22:AF22 O27:T27 O28:AD28 O30:AD30">
    <cfRule type="expression" dxfId="718" priority="38" stopIfTrue="1">
      <formula>$AW$4=0</formula>
    </cfRule>
  </conditionalFormatting>
  <conditionalFormatting sqref="AY76:AY77 AY79 AY81:AY82">
    <cfRule type="cellIs" dxfId="717" priority="36" stopIfTrue="1" operator="equal">
      <formula>0</formula>
    </cfRule>
  </conditionalFormatting>
  <conditionalFormatting sqref="AY88:AY97">
    <cfRule type="cellIs" dxfId="716" priority="34" stopIfTrue="1" operator="equal">
      <formula>0</formula>
    </cfRule>
  </conditionalFormatting>
  <conditionalFormatting sqref="BH25">
    <cfRule type="cellIs" dxfId="715" priority="33" stopIfTrue="1" operator="equal">
      <formula>0</formula>
    </cfRule>
  </conditionalFormatting>
  <conditionalFormatting sqref="AY51:AY52">
    <cfRule type="cellIs" dxfId="714" priority="32" stopIfTrue="1" operator="equal">
      <formula>0</formula>
    </cfRule>
  </conditionalFormatting>
  <conditionalFormatting sqref="AY57:AY63">
    <cfRule type="cellIs" dxfId="713" priority="31" stopIfTrue="1" operator="equal">
      <formula>0</formula>
    </cfRule>
  </conditionalFormatting>
  <conditionalFormatting sqref="AY70:AY73">
    <cfRule type="cellIs" dxfId="712" priority="30" stopIfTrue="1" operator="equal">
      <formula>0</formula>
    </cfRule>
  </conditionalFormatting>
  <conditionalFormatting sqref="AY74">
    <cfRule type="cellIs" dxfId="711" priority="29" stopIfTrue="1" operator="equal">
      <formula>0</formula>
    </cfRule>
  </conditionalFormatting>
  <conditionalFormatting sqref="AY75">
    <cfRule type="cellIs" dxfId="710" priority="28" stopIfTrue="1" operator="equal">
      <formula>0</formula>
    </cfRule>
  </conditionalFormatting>
  <conditionalFormatting sqref="AY78">
    <cfRule type="cellIs" dxfId="709" priority="27" stopIfTrue="1" operator="equal">
      <formula>0</formula>
    </cfRule>
  </conditionalFormatting>
  <conditionalFormatting sqref="AY85:AY87">
    <cfRule type="cellIs" dxfId="708" priority="26" stopIfTrue="1" operator="equal">
      <formula>0</formula>
    </cfRule>
  </conditionalFormatting>
  <conditionalFormatting sqref="BH101:BH106">
    <cfRule type="cellIs" dxfId="707" priority="25" stopIfTrue="1" operator="equal">
      <formula>0</formula>
    </cfRule>
  </conditionalFormatting>
  <conditionalFormatting sqref="BH122:BH124 BH126:BH127 BH132 BH138:BH143">
    <cfRule type="cellIs" dxfId="706" priority="24" stopIfTrue="1" operator="equal">
      <formula>0</formula>
    </cfRule>
  </conditionalFormatting>
  <conditionalFormatting sqref="AY98:AY132 AY138:AY141">
    <cfRule type="cellIs" dxfId="705" priority="23" stopIfTrue="1" operator="equal">
      <formula>0</formula>
    </cfRule>
  </conditionalFormatting>
  <conditionalFormatting sqref="AY64:AY65">
    <cfRule type="cellIs" dxfId="704" priority="22" stopIfTrue="1" operator="equal">
      <formula>0</formula>
    </cfRule>
  </conditionalFormatting>
  <conditionalFormatting sqref="BH86:BH100">
    <cfRule type="cellIs" dxfId="703" priority="21" stopIfTrue="1" operator="equal">
      <formula>0</formula>
    </cfRule>
  </conditionalFormatting>
  <conditionalFormatting sqref="BH107:BH121">
    <cfRule type="cellIs" dxfId="702" priority="20" stopIfTrue="1" operator="equal">
      <formula>0</formula>
    </cfRule>
  </conditionalFormatting>
  <conditionalFormatting sqref="AY80">
    <cfRule type="cellIs" dxfId="701" priority="19" stopIfTrue="1" operator="equal">
      <formula>0</formula>
    </cfRule>
  </conditionalFormatting>
  <conditionalFormatting sqref="BH125">
    <cfRule type="cellIs" dxfId="700" priority="18" stopIfTrue="1" operator="equal">
      <formula>0</formula>
    </cfRule>
  </conditionalFormatting>
  <conditionalFormatting sqref="F13:K13">
    <cfRule type="expression" dxfId="699" priority="17" stopIfTrue="1">
      <formula>$AW$4=1</formula>
    </cfRule>
  </conditionalFormatting>
  <conditionalFormatting sqref="BI6:BI127 BI132 BI138:BI143">
    <cfRule type="cellIs" dxfId="698" priority="16" stopIfTrue="1" operator="equal">
      <formula>0</formula>
    </cfRule>
  </conditionalFormatting>
  <conditionalFormatting sqref="AZ83:AZ84">
    <cfRule type="cellIs" dxfId="697" priority="14" stopIfTrue="1" operator="equal">
      <formula>0</formula>
    </cfRule>
  </conditionalFormatting>
  <conditionalFormatting sqref="AY83:AY84">
    <cfRule type="cellIs" dxfId="696" priority="13" stopIfTrue="1" operator="equal">
      <formula>0</formula>
    </cfRule>
  </conditionalFormatting>
  <conditionalFormatting sqref="BH128:BH129">
    <cfRule type="cellIs" dxfId="695" priority="12" stopIfTrue="1" operator="equal">
      <formula>0</formula>
    </cfRule>
  </conditionalFormatting>
  <conditionalFormatting sqref="BI128:BI129">
    <cfRule type="cellIs" dxfId="694" priority="11" stopIfTrue="1" operator="equal">
      <formula>0</formula>
    </cfRule>
  </conditionalFormatting>
  <conditionalFormatting sqref="BH130:BH131">
    <cfRule type="cellIs" dxfId="693" priority="10" stopIfTrue="1" operator="equal">
      <formula>0</formula>
    </cfRule>
  </conditionalFormatting>
  <conditionalFormatting sqref="BI130:BI131">
    <cfRule type="cellIs" dxfId="692" priority="9" stopIfTrue="1" operator="equal">
      <formula>0</formula>
    </cfRule>
  </conditionalFormatting>
  <conditionalFormatting sqref="AR87">
    <cfRule type="expression" dxfId="691" priority="8" stopIfTrue="1">
      <formula>$AU$87=AU89</formula>
    </cfRule>
  </conditionalFormatting>
  <conditionalFormatting sqref="AZ133:AZ137">
    <cfRule type="cellIs" dxfId="690" priority="7" stopIfTrue="1" operator="equal">
      <formula>0</formula>
    </cfRule>
  </conditionalFormatting>
  <conditionalFormatting sqref="AY133:AY137">
    <cfRule type="cellIs" dxfId="689" priority="6" stopIfTrue="1" operator="equal">
      <formula>0</formula>
    </cfRule>
  </conditionalFormatting>
  <conditionalFormatting sqref="BH133 BH136:BH137">
    <cfRule type="cellIs" dxfId="688" priority="5" stopIfTrue="1" operator="equal">
      <formula>0</formula>
    </cfRule>
  </conditionalFormatting>
  <conditionalFormatting sqref="BI133:BI137">
    <cfRule type="cellIs" dxfId="687" priority="4" stopIfTrue="1" operator="equal">
      <formula>0</formula>
    </cfRule>
  </conditionalFormatting>
  <conditionalFormatting sqref="BH134:BH135">
    <cfRule type="cellIs" dxfId="686" priority="3" stopIfTrue="1" operator="equal">
      <formula>0</formula>
    </cfRule>
  </conditionalFormatting>
  <conditionalFormatting sqref="AI17:AO17">
    <cfRule type="expression" dxfId="685" priority="2" stopIfTrue="1">
      <formula>$AW$4=0</formula>
    </cfRule>
  </conditionalFormatting>
  <conditionalFormatting sqref="AI25:AO25">
    <cfRule type="expression" dxfId="684" priority="1" stopIfTrue="1">
      <formula>$AW$4=0</formula>
    </cfRule>
  </conditionalFormatting>
  <hyperlinks>
    <hyperlink ref="M4" location="MENU!A1" display="MENU!A1" xr:uid="{00000000-0004-0000-0A00-000000000000}"/>
    <hyperlink ref="M10" location="OBJ!A1" display="OBJ!A1" xr:uid="{00000000-0004-0000-0A00-000001000000}"/>
    <hyperlink ref="M9" location="suhrn!A1" display="suhrn!A1" xr:uid="{00000000-0004-0000-0A00-000002000000}"/>
    <hyperlink ref="O2:S2" location="MENU!A5" display="MENU!A5" xr:uid="{00000000-0004-0000-0A00-000003000000}"/>
    <hyperlink ref="M69" location="MENU!A1" display="MENU!A1" xr:uid="{00000000-0004-0000-0A00-000004000000}"/>
    <hyperlink ref="B67:E67" location="'AVT101(vn-A)'!A1" display="'AVT101(vn-A)'!A1" xr:uid="{00000000-0004-0000-0A00-000005000000}"/>
    <hyperlink ref="AK9:AO10" location="'IT70(vn100)'!A66" display="'IT70(vn100)'!A66" xr:uid="{00000000-0004-0000-0A00-000006000000}"/>
    <hyperlink ref="AK9:AP10" location="'AVT101(vn-A)'!A66" display="'AVT101(vn-A)'!A66" xr:uid="{00000000-0004-0000-0A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54">
    <tabColor rgb="FFFF0000"/>
  </sheetPr>
  <dimension ref="A1:BK140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139"</f>
        <v>Zásuvka AVANTECH YOU  139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SUM(BB6:BB989)</f>
        <v>#N/A</v>
      </c>
      <c r="BD4" s="94" t="s">
        <v>34</v>
      </c>
      <c r="BK4" s="322" t="e">
        <f>SUM(BK7:BK990)</f>
        <v>#N/A</v>
      </c>
    </row>
    <row r="5" spans="1:63" ht="14.45" customHeight="1">
      <c r="AU5" s="319">
        <f>OBJ!B81</f>
        <v>9353344</v>
      </c>
      <c r="AV5" s="21" t="str">
        <f>VLOOKUP(AU5,CENY!$B$11:$G$1054,2,FALSE)</f>
        <v>AvanY-sólo oceľ.boky-NW 139/270mm/strieb.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31.07366</v>
      </c>
      <c r="BB5" s="95">
        <f t="shared" ref="BB5" si="0">IF(BA5="","",BA5*AY5)</f>
        <v>0</v>
      </c>
      <c r="BD5" s="319">
        <f>OBJ!B91</f>
        <v>9255026</v>
      </c>
      <c r="BE5" s="21" t="str">
        <f>VLOOKUP(BD5,CENY!$B$11:$G$1054,2,FALSE)</f>
        <v>AvanY-bok ľavý /v139/h270/ strieborná</v>
      </c>
      <c r="BF5" s="22">
        <f>VLOOKUP(BD5,CENY!$B$11:$G$1054,3,FALSE)</f>
        <v>20</v>
      </c>
      <c r="BG5" s="22"/>
      <c r="BH5" s="23">
        <f>AY5</f>
        <v>0</v>
      </c>
      <c r="BI5" s="326">
        <f>IF(BH5="","",IF($AW$4=0,BH5,0))</f>
        <v>0</v>
      </c>
      <c r="BJ5" s="95" t="e">
        <f>VLOOKUP(BD5,CENY!$B$11:$M$2025,12,FALSE)</f>
        <v>#N/A</v>
      </c>
      <c r="BK5" s="95" t="e">
        <f>IF(BJ5="","",BJ5*BH5)</f>
        <v>#N/A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327</v>
      </c>
      <c r="G6" s="566"/>
      <c r="H6" s="566"/>
      <c r="I6" s="566"/>
      <c r="J6" s="566"/>
      <c r="K6" s="566"/>
      <c r="AU6" s="319">
        <f>OBJ!B82</f>
        <v>9353345</v>
      </c>
      <c r="AV6" s="21" t="str">
        <f>VLOOKUP(AU6,CENY!$B$11:$G$1054,2,FALSE)</f>
        <v>AvanY-sólo oceľ.boky-NW 139/300mm/strieb.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>IF(AY6="","",IF($AW$4=1,AY6,0))</f>
        <v>0</v>
      </c>
      <c r="BA6" s="95">
        <f>VLOOKUP(AU6,CENY!$B$11:$M$2025,12,FALSE)</f>
        <v>31.29269</v>
      </c>
      <c r="BB6" s="95">
        <f t="shared" ref="BB6:BB78" si="1">IF(BA6="","",BA6*AY6)</f>
        <v>0</v>
      </c>
      <c r="BD6" s="319">
        <f>OBJ!B92</f>
        <v>9255027</v>
      </c>
      <c r="BE6" s="21" t="str">
        <f>VLOOKUP(BD6,CENY!$B$11:$G$1054,2,FALSE)</f>
        <v>AvanY-bok pravý /v139/h270/ strieborná</v>
      </c>
      <c r="BF6" s="22">
        <f>VLOOKUP(BD6,CENY!$B$11:$G$1054,3,FALSE)</f>
        <v>20</v>
      </c>
      <c r="BG6" s="22"/>
      <c r="BH6" s="23">
        <f>AY5</f>
        <v>0</v>
      </c>
      <c r="BI6" s="326">
        <f t="shared" ref="BI6" si="2">IF(BH6="","",IF($AW$4=0,BH6,0))</f>
        <v>0</v>
      </c>
      <c r="BJ6" s="95" t="e">
        <f>VLOOKUP(BD6,CENY!$B$11:$M$2025,12,FALSE)</f>
        <v>#N/A</v>
      </c>
      <c r="BK6" s="95" t="e">
        <f t="shared" ref="BK6" si="3">IF(BJ6="","",BJ6*BH6)</f>
        <v>#N/A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OBJ!B83</f>
        <v>9353346</v>
      </c>
      <c r="AV7" s="21" t="str">
        <f>VLOOKUP(AU7,CENY!$B$11:$G$1054,2,FALSE)</f>
        <v>AvanY-sólo oceľ.boky-NW 139/350mm/strieb.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ref="AZ7:AZ79" si="4">IF(AY7="","",IF($AW$4=1,AY7,0))</f>
        <v>0</v>
      </c>
      <c r="BA7" s="95">
        <f>VLOOKUP(AU7,CENY!$B$11:$M$2025,12,FALSE)</f>
        <v>31.74728</v>
      </c>
      <c r="BB7" s="95">
        <f t="shared" si="1"/>
        <v>0</v>
      </c>
      <c r="BD7" s="319">
        <f>OBJ!B93</f>
        <v>9255028</v>
      </c>
      <c r="BE7" s="21" t="str">
        <f>VLOOKUP(BD7,CENY!$B$11:$G$1054,2,FALSE)</f>
        <v>AvanY-bok ľavý /v139/h300/ strieborná</v>
      </c>
      <c r="BF7" s="22">
        <f>VLOOKUP(BD7,CENY!$B$11:$G$1054,3,FALSE)</f>
        <v>20</v>
      </c>
      <c r="BG7" s="22"/>
      <c r="BH7" s="23">
        <f>AY6</f>
        <v>0</v>
      </c>
      <c r="BI7" s="326">
        <f>IF(BH7="","",IF($AW$4=0,BH7,0))</f>
        <v>0</v>
      </c>
      <c r="BJ7" s="95">
        <f>VLOOKUP(BD7,CENY!$B$11:$M$2025,12,FALSE)</f>
        <v>12.895490000000001</v>
      </c>
      <c r="BK7" s="95">
        <f>IF(BJ7="","",BJ7*BH7)</f>
        <v>0</v>
      </c>
    </row>
    <row r="8" spans="1:63" ht="14.45" customHeight="1" thickBo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OBJ!B84</f>
        <v>9353347</v>
      </c>
      <c r="AV8" s="21" t="str">
        <f>VLOOKUP(AU8,CENY!$B$11:$G$1054,2,FALSE)</f>
        <v>AvanY-sólo oceľ.boky-NW 139/400mm/strieb.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4"/>
        <v>0</v>
      </c>
      <c r="BA8" s="95">
        <f>VLOOKUP(AU8,CENY!$B$11:$M$2025,12,FALSE)</f>
        <v>32.201650000000001</v>
      </c>
      <c r="BB8" s="95">
        <f t="shared" si="1"/>
        <v>0</v>
      </c>
      <c r="BD8" s="319">
        <f>OBJ!B94</f>
        <v>9255029</v>
      </c>
      <c r="BE8" s="21" t="str">
        <f>VLOOKUP(BD8,CENY!$B$11:$G$1054,2,FALSE)</f>
        <v>AvanY-bok pravý /v139/h300/ strieborná</v>
      </c>
      <c r="BF8" s="22">
        <f>VLOOKUP(BD8,CENY!$B$11:$G$1054,3,FALSE)</f>
        <v>20</v>
      </c>
      <c r="BG8" s="22"/>
      <c r="BH8" s="23">
        <f>AY6</f>
        <v>0</v>
      </c>
      <c r="BI8" s="326">
        <f t="shared" ref="BI8:BI83" si="5">IF(BH8="","",IF($AW$4=0,BH8,0))</f>
        <v>0</v>
      </c>
      <c r="BJ8" s="95">
        <f>VLOOKUP(BD8,CENY!$B$11:$M$2025,12,FALSE)</f>
        <v>12.895490000000001</v>
      </c>
      <c r="BK8" s="95">
        <f t="shared" ref="BK8:BK83" si="6">IF(BJ8="","",BJ8*BH8)</f>
        <v>0</v>
      </c>
    </row>
    <row r="9" spans="1:63" ht="14.45" customHeight="1" thickTop="1">
      <c r="B9" s="551"/>
      <c r="C9" s="551"/>
      <c r="D9" s="551"/>
      <c r="E9" s="551"/>
      <c r="F9" s="566"/>
      <c r="G9" s="566"/>
      <c r="H9" s="566"/>
      <c r="I9" s="566"/>
      <c r="J9" s="566"/>
      <c r="K9" s="566"/>
      <c r="AK9" s="587" t="str">
        <f>verze!E160</f>
        <v>Je nutné natypovať šírky čiel ?</v>
      </c>
      <c r="AL9" s="588"/>
      <c r="AM9" s="588"/>
      <c r="AN9" s="588"/>
      <c r="AO9" s="588"/>
      <c r="AP9" s="589"/>
      <c r="AU9" s="319">
        <f>OBJ!B85</f>
        <v>9353348</v>
      </c>
      <c r="AV9" s="21" t="str">
        <f>VLOOKUP(AU9,CENY!$B$11:$G$1054,2,FALSE)</f>
        <v>AvanY-sólo oceľ.boky-NW 139/450mm/strieb.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4"/>
        <v>0</v>
      </c>
      <c r="BA9" s="95">
        <f>VLOOKUP(AU9,CENY!$B$11:$M$2025,12,FALSE)</f>
        <v>31.101500000000001</v>
      </c>
      <c r="BB9" s="95">
        <f t="shared" si="1"/>
        <v>0</v>
      </c>
      <c r="BD9" s="319">
        <f>OBJ!B95</f>
        <v>9255030</v>
      </c>
      <c r="BE9" s="21" t="str">
        <f>VLOOKUP(BD9,CENY!$B$11:$G$1054,2,FALSE)</f>
        <v>AvanY-bok ľavý /v139/h350/ strieborná</v>
      </c>
      <c r="BF9" s="22">
        <f>VLOOKUP(BD9,CENY!$B$11:$G$1054,3,FALSE)</f>
        <v>20</v>
      </c>
      <c r="BG9" s="22"/>
      <c r="BH9" s="23">
        <f>AY7</f>
        <v>0</v>
      </c>
      <c r="BI9" s="326">
        <f t="shared" si="5"/>
        <v>0</v>
      </c>
      <c r="BJ9" s="95">
        <f>VLOOKUP(BD9,CENY!$B$11:$M$2025,12,FALSE)</f>
        <v>13.132899999999999</v>
      </c>
      <c r="BK9" s="95">
        <f t="shared" si="6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K10" s="590"/>
      <c r="AL10" s="591"/>
      <c r="AM10" s="591"/>
      <c r="AN10" s="591"/>
      <c r="AO10" s="591"/>
      <c r="AP10" s="592"/>
      <c r="AU10" s="319">
        <f>OBJ!B86</f>
        <v>9353349</v>
      </c>
      <c r="AV10" s="21" t="str">
        <f>VLOOKUP(AU10,CENY!$B$11:$G$1054,2,FALSE)</f>
        <v>AvanY-sólo oceľ.boky-NW 139/500mm/strieb.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4"/>
        <v>0</v>
      </c>
      <c r="BA10" s="95">
        <f>VLOOKUP(AU10,CENY!$B$11:$M$2025,12,FALSE)</f>
        <v>31.53424</v>
      </c>
      <c r="BB10" s="95">
        <f t="shared" si="1"/>
        <v>0</v>
      </c>
      <c r="BD10" s="319">
        <f>OBJ!B96</f>
        <v>9255031</v>
      </c>
      <c r="BE10" s="21" t="str">
        <f>VLOOKUP(BD10,CENY!$B$11:$G$1054,2,FALSE)</f>
        <v>AvanY-bok pravý /v139/h350/ strieborná</v>
      </c>
      <c r="BF10" s="22">
        <f>VLOOKUP(BD10,CENY!$B$11:$G$1054,3,FALSE)</f>
        <v>20</v>
      </c>
      <c r="BG10" s="22"/>
      <c r="BH10" s="23">
        <f>AY7</f>
        <v>0</v>
      </c>
      <c r="BI10" s="326">
        <f t="shared" si="5"/>
        <v>0</v>
      </c>
      <c r="BJ10" s="95">
        <f>VLOOKUP(BD10,CENY!$B$11:$M$2025,12,FALSE)</f>
        <v>13.132899999999999</v>
      </c>
      <c r="BK10" s="95">
        <f t="shared" si="6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OBJ!B87</f>
        <v>9353350</v>
      </c>
      <c r="AV11" s="21" t="str">
        <f>VLOOKUP(AU11,CENY!$B$11:$G$1054,2,FALSE)</f>
        <v>AvanY-sólo oceľ.boky-NW 139/550mm/strieb.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4"/>
        <v>0</v>
      </c>
      <c r="BA11" s="95">
        <f>VLOOKUP(AU11,CENY!$B$11:$M$2025,12,FALSE)</f>
        <v>33.565219999999997</v>
      </c>
      <c r="BB11" s="95">
        <f t="shared" si="1"/>
        <v>0</v>
      </c>
      <c r="BD11" s="319">
        <f>OBJ!B97</f>
        <v>9255032</v>
      </c>
      <c r="BE11" s="21" t="str">
        <f>VLOOKUP(BD11,CENY!$B$11:$G$1054,2,FALSE)</f>
        <v>AvanY-bok ľavý /v139/h400/ strieborná</v>
      </c>
      <c r="BF11" s="22">
        <f>VLOOKUP(BD11,CENY!$B$11:$G$1054,3,FALSE)</f>
        <v>20</v>
      </c>
      <c r="BG11" s="22"/>
      <c r="BH11" s="23">
        <f>AY8</f>
        <v>0</v>
      </c>
      <c r="BI11" s="326">
        <f t="shared" si="5"/>
        <v>0</v>
      </c>
      <c r="BJ11" s="95">
        <f>VLOOKUP(BD11,CENY!$B$11:$M$2025,12,FALSE)</f>
        <v>13.370430000000001</v>
      </c>
      <c r="BK11" s="95">
        <f t="shared" si="6"/>
        <v>0</v>
      </c>
    </row>
    <row r="12" spans="1:63" ht="14.45" customHeight="1" thickBot="1">
      <c r="B12" s="551"/>
      <c r="C12" s="551"/>
      <c r="D12" s="551"/>
      <c r="E12" s="552"/>
      <c r="F12" s="566"/>
      <c r="G12" s="566"/>
      <c r="H12" s="566"/>
      <c r="I12" s="566"/>
      <c r="J12" s="566"/>
      <c r="K12" s="566"/>
      <c r="AU12" s="319">
        <f>OBJ!B88</f>
        <v>9353351</v>
      </c>
      <c r="AV12" s="21" t="str">
        <f>VLOOKUP(AU12,CENY!$B$11:$G$1054,2,FALSE)</f>
        <v>AvanY-sólo oceľ.boky-NW 139/600mm/strieb.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4"/>
        <v>0</v>
      </c>
      <c r="BA12" s="95">
        <f>VLOOKUP(AU12,CENY!$B$11:$M$2025,12,FALSE)</f>
        <v>34.295520000000003</v>
      </c>
      <c r="BB12" s="95">
        <f t="shared" si="1"/>
        <v>0</v>
      </c>
      <c r="BD12" s="319">
        <f>OBJ!B98</f>
        <v>9255033</v>
      </c>
      <c r="BE12" s="21" t="str">
        <f>VLOOKUP(BD12,CENY!$B$11:$G$1054,2,FALSE)</f>
        <v>AvanY-bok pravý /v139/h400/ strieborná</v>
      </c>
      <c r="BF12" s="22">
        <f>VLOOKUP(BD12,CENY!$B$11:$G$1054,3,FALSE)</f>
        <v>20</v>
      </c>
      <c r="BG12" s="22"/>
      <c r="BH12" s="23">
        <f>AY8</f>
        <v>0</v>
      </c>
      <c r="BI12" s="326">
        <f t="shared" si="5"/>
        <v>0</v>
      </c>
      <c r="BJ12" s="95">
        <f>VLOOKUP(BD12,CENY!$B$11:$M$2025,12,FALSE)</f>
        <v>13.370430000000001</v>
      </c>
      <c r="BK12" s="95">
        <f t="shared" si="6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OBJ!B89</f>
        <v>9353352</v>
      </c>
      <c r="AV13" s="21" t="str">
        <f>VLOOKUP(AU13,CENY!$B$11:$G$1054,2,FALSE)</f>
        <v>AvanY-sólo oceľ.boky-NW 139/650mm/strieb.</v>
      </c>
      <c r="AW13" s="22">
        <f>VLOOKUP(AU13,CENY!$B$11:$G$1054,3,FALSE)</f>
        <v>1</v>
      </c>
      <c r="AX13" s="362">
        <v>8</v>
      </c>
      <c r="AY13" s="23">
        <f>AE22</f>
        <v>0</v>
      </c>
      <c r="AZ13" s="326">
        <f t="shared" ref="AZ13" si="7">IF(AY13="","",IF($AW$4=1,AY13,0))</f>
        <v>0</v>
      </c>
      <c r="BA13" s="95">
        <f>VLOOKUP(AU13,CENY!$B$11:$M$2025,12,FALSE)</f>
        <v>35.162860000000002</v>
      </c>
      <c r="BB13" s="95">
        <f t="shared" ref="BB13" si="8">IF(BA13="","",BA13*AY13)</f>
        <v>0</v>
      </c>
      <c r="BD13" s="319">
        <f>OBJ!B99</f>
        <v>9255034</v>
      </c>
      <c r="BE13" s="21" t="str">
        <f>VLOOKUP(BD13,CENY!$B$11:$G$1054,2,FALSE)</f>
        <v>AvanY-bok ľavý /v139/h450/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5"/>
        <v>0</v>
      </c>
      <c r="BJ13" s="95">
        <f>VLOOKUP(BD13,CENY!$B$11:$M$2025,12,FALSE)</f>
        <v>13.60773</v>
      </c>
      <c r="BK13" s="95">
        <f t="shared" si="6"/>
        <v>0</v>
      </c>
    </row>
    <row r="14" spans="1:63" ht="14.45" customHeight="1">
      <c r="AU14" s="319"/>
      <c r="AV14" s="21"/>
      <c r="AW14" s="22"/>
      <c r="AX14" s="362"/>
      <c r="AY14" s="23"/>
      <c r="AZ14" s="326"/>
      <c r="BA14" s="95"/>
      <c r="BB14" s="95"/>
      <c r="BD14" s="319">
        <f>OBJ!B100</f>
        <v>9255035</v>
      </c>
      <c r="BE14" s="21" t="str">
        <f>VLOOKUP(BD14,CENY!$B$11:$G$1054,2,FALSE)</f>
        <v>AvanY-bok pravý /v139/h450/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5"/>
        <v>0</v>
      </c>
      <c r="BJ14" s="95">
        <f>VLOOKUP(BD14,CENY!$B$11:$M$2025,12,FALSE)</f>
        <v>13.60773</v>
      </c>
      <c r="BK14" s="95">
        <f t="shared" si="6"/>
        <v>0</v>
      </c>
    </row>
    <row r="15" spans="1:63" ht="14.45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ref="AZ15" si="9">IF(AY15="","",IF($AW$4=1,AY15,0))</f>
        <v>0</v>
      </c>
      <c r="BA15" s="95">
        <f>VLOOKUP(AU15,CENY!$B$11:$M$2025,12,FALSE)</f>
        <v>0.95189000000000001</v>
      </c>
      <c r="BB15" s="95">
        <f t="shared" ref="BB15" si="10">IF(BA15="","",BA15*AY15)</f>
        <v>0</v>
      </c>
      <c r="BD15" s="319">
        <f>OBJ!B101</f>
        <v>9255036</v>
      </c>
      <c r="BE15" s="21" t="str">
        <f>VLOOKUP(BD15,CENY!$B$11:$G$1054,2,FALSE)</f>
        <v>AvanY-bok ľavý /v139/h500/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5"/>
        <v>0</v>
      </c>
      <c r="BJ15" s="95">
        <f>VLOOKUP(BD15,CENY!$B$11:$M$2025,12,FALSE)</f>
        <v>13.185700000000001</v>
      </c>
      <c r="BK15" s="95">
        <f t="shared" si="6"/>
        <v>0</v>
      </c>
    </row>
    <row r="16" spans="1:63" ht="14.45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4"/>
        <v>0</v>
      </c>
      <c r="BA16" s="95">
        <f>VLOOKUP(AU16,CENY!$B$11:$M$2025,12,FALSE)</f>
        <v>0.96240999999999999</v>
      </c>
      <c r="BB16" s="95">
        <f t="shared" si="1"/>
        <v>0</v>
      </c>
      <c r="BD16" s="319">
        <f>OBJ!B102</f>
        <v>9255037</v>
      </c>
      <c r="BE16" s="21" t="str">
        <f>VLOOKUP(BD16,CENY!$B$11:$G$1054,2,FALSE)</f>
        <v>AvanY-bok pravý /v139/h500/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5"/>
        <v>0</v>
      </c>
      <c r="BJ16" s="95">
        <f>VLOOKUP(BD16,CENY!$B$11:$M$2025,12,FALSE)</f>
        <v>13.185700000000001</v>
      </c>
      <c r="BK16" s="95">
        <f t="shared" si="6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I17" s="542" t="str">
        <f>verze!E198</f>
        <v>P2O Silent pre Actro</v>
      </c>
      <c r="AJ17" s="543"/>
      <c r="AK17" s="543"/>
      <c r="AL17" s="543"/>
      <c r="AM17" s="543"/>
      <c r="AN17" s="543"/>
      <c r="AO17" s="543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4"/>
        <v>0</v>
      </c>
      <c r="BA17" s="95">
        <f>VLOOKUP(AU17,CENY!$B$11:$M$2025,12,FALSE)</f>
        <v>0.98018000000000005</v>
      </c>
      <c r="BB17" s="95">
        <f t="shared" si="1"/>
        <v>0</v>
      </c>
      <c r="BD17" s="319">
        <f>OBJ!B103</f>
        <v>9255038</v>
      </c>
      <c r="BE17" s="21" t="str">
        <f>VLOOKUP(BD17,CENY!$B$11:$G$1054,2,FALSE)</f>
        <v>AvanY-bok ľavý /v139/h550/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5"/>
        <v>0</v>
      </c>
      <c r="BJ17" s="95">
        <f>VLOOKUP(BD17,CENY!$B$11:$M$2025,12,FALSE)</f>
        <v>14.08229</v>
      </c>
      <c r="BK17" s="95">
        <f t="shared" si="6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I18" s="545" t="s">
        <v>299</v>
      </c>
      <c r="AJ18" s="545"/>
      <c r="AK18" s="545"/>
      <c r="AL18" s="545"/>
      <c r="AM18" s="545"/>
      <c r="AN18" s="545"/>
      <c r="AO18" s="545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4"/>
        <v>0</v>
      </c>
      <c r="BA18" s="95">
        <f>VLOOKUP(AU18,CENY!$B$11:$M$2025,12,FALSE)</f>
        <v>0.99777000000000005</v>
      </c>
      <c r="BB18" s="95">
        <f t="shared" si="1"/>
        <v>0</v>
      </c>
      <c r="BD18" s="319">
        <f>OBJ!B104</f>
        <v>9255039</v>
      </c>
      <c r="BE18" s="21" t="str">
        <f>VLOOKUP(BD18,CENY!$B$11:$G$1054,2,FALSE)</f>
        <v>AvanY-bok pravý /v139/h550/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5"/>
        <v>0</v>
      </c>
      <c r="BJ18" s="95">
        <f>VLOOKUP(BD18,CENY!$B$11:$M$2025,12,FALSE)</f>
        <v>14.08229</v>
      </c>
      <c r="BK18" s="95">
        <f t="shared" si="6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69"/>
      <c r="P19" s="570"/>
      <c r="Q19" s="569"/>
      <c r="R19" s="570"/>
      <c r="S19" s="569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6"/>
      <c r="AO19" s="536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4"/>
        <v>0</v>
      </c>
      <c r="BA19" s="95">
        <f>VLOOKUP(AU19,CENY!$B$11:$M$2025,12,FALSE)</f>
        <v>1.01556</v>
      </c>
      <c r="BB19" s="95">
        <f t="shared" si="1"/>
        <v>0</v>
      </c>
      <c r="BD19" s="319">
        <f>OBJ!B105</f>
        <v>9255040</v>
      </c>
      <c r="BE19" s="21" t="str">
        <f>VLOOKUP(BD19,CENY!$B$11:$G$1054,2,FALSE)</f>
        <v>AvanY-bok ľavý /v139/h600/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5"/>
        <v>0</v>
      </c>
      <c r="BJ19" s="95">
        <f>VLOOKUP(BD19,CENY!$B$11:$M$2025,12,FALSE)</f>
        <v>14.44021</v>
      </c>
      <c r="BK19" s="95">
        <f t="shared" si="6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18"/>
      <c r="P20" s="519"/>
      <c r="Q20" s="518"/>
      <c r="R20" s="519"/>
      <c r="S20" s="518"/>
      <c r="T20" s="519"/>
      <c r="U20" s="518"/>
      <c r="V20" s="519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I20" s="287"/>
      <c r="AJ20" s="288"/>
      <c r="AK20" s="287"/>
      <c r="AL20" s="288"/>
      <c r="AM20" s="286" t="s">
        <v>294</v>
      </c>
      <c r="AN20" s="522"/>
      <c r="AO20" s="522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4"/>
        <v>0</v>
      </c>
      <c r="BA20" s="95">
        <f>VLOOKUP(AU20,CENY!$B$11:$M$2025,12,FALSE)</f>
        <v>1.0332399999999999</v>
      </c>
      <c r="BB20" s="95">
        <f t="shared" si="1"/>
        <v>0</v>
      </c>
      <c r="BD20" s="319">
        <f>OBJ!B106</f>
        <v>9255041</v>
      </c>
      <c r="BE20" s="21" t="str">
        <f>VLOOKUP(BD20,CENY!$B$11:$G$1054,2,FALSE)</f>
        <v>AvanY-bok pravý /v139/h600/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5"/>
        <v>0</v>
      </c>
      <c r="BJ20" s="95">
        <f>VLOOKUP(BD20,CENY!$B$11:$M$2025,12,FALSE)</f>
        <v>14.44021</v>
      </c>
      <c r="BK20" s="95">
        <f t="shared" si="6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4"/>
      <c r="AO21" s="544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4"/>
        <v>0</v>
      </c>
      <c r="BA21" s="95">
        <f>VLOOKUP(AU21,CENY!$B$11:$M$2025,12,FALSE)</f>
        <v>1.0508599999999999</v>
      </c>
      <c r="BB21" s="95">
        <f t="shared" si="1"/>
        <v>0</v>
      </c>
      <c r="BD21" s="319">
        <f>OBJ!B107</f>
        <v>9255042</v>
      </c>
      <c r="BE21" s="21" t="str">
        <f>VLOOKUP(BD21,CENY!$B$11:$G$1054,2,FALSE)</f>
        <v>AvanY-bok ľavý /v139/h650/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ref="BI21:BI22" si="11">IF(BH21="","",IF($AW$4=0,BH21,0))</f>
        <v>0</v>
      </c>
      <c r="BJ21" s="95">
        <f>VLOOKUP(BD21,CENY!$B$11:$M$2025,12,FALSE)</f>
        <v>14.822279999999999</v>
      </c>
      <c r="BK21" s="95">
        <f t="shared" ref="BK21:BK22" si="12">IF(BJ21="","",BJ21*BH21)</f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18"/>
      <c r="AF22" s="519"/>
      <c r="AI22" s="287"/>
      <c r="AJ22" s="288"/>
      <c r="AK22" s="287"/>
      <c r="AL22" s="288"/>
      <c r="AM22" s="286" t="s">
        <v>297</v>
      </c>
      <c r="AN22" s="541"/>
      <c r="AO22" s="541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4"/>
        <v>0</v>
      </c>
      <c r="BA22" s="95">
        <f>VLOOKUP(AU22,CENY!$B$11:$M$2025,12,FALSE)</f>
        <v>1.09639</v>
      </c>
      <c r="BB22" s="95">
        <f t="shared" si="1"/>
        <v>0</v>
      </c>
      <c r="BD22" s="319">
        <f>OBJ!B108</f>
        <v>9255043</v>
      </c>
      <c r="BE22" s="21" t="str">
        <f>VLOOKUP(BD22,CENY!$B$11:$G$1054,2,FALSE)</f>
        <v>AvanY-bok pravý /v139/h650/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11"/>
        <v>0</v>
      </c>
      <c r="BJ22" s="95">
        <f>VLOOKUP(BD22,CENY!$B$11:$M$2025,12,FALSE)</f>
        <v>14.822279999999999</v>
      </c>
      <c r="BK22" s="95">
        <f t="shared" si="12"/>
        <v>0</v>
      </c>
    </row>
    <row r="23" spans="2:63" ht="14.45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IF(FORM!AM18=FORM!AU16,0,2*(AE22))</f>
        <v>0</v>
      </c>
      <c r="AZ23" s="326">
        <f t="shared" ref="AZ23" si="13">IF(AY23="","",IF($AW$4=1,AY23,0))</f>
        <v>0</v>
      </c>
      <c r="BA23" s="95">
        <f>VLOOKUP(AU23,CENY!$B$11:$M$2025,12,FALSE)</f>
        <v>1.1824300000000001</v>
      </c>
      <c r="BB23" s="95">
        <f t="shared" ref="BB23" si="14">IF(BA23="","",BA23*AY23)</f>
        <v>0</v>
      </c>
      <c r="BD23" s="319"/>
      <c r="BE23" s="21"/>
      <c r="BF23" s="22"/>
      <c r="BG23" s="22"/>
      <c r="BH23" s="23"/>
      <c r="BI23" s="326" t="str">
        <f t="shared" si="5"/>
        <v/>
      </c>
      <c r="BJ23" s="95"/>
      <c r="BK23" s="95" t="str">
        <f t="shared" si="6"/>
        <v/>
      </c>
    </row>
    <row r="24" spans="2:63" ht="14.45" customHeight="1">
      <c r="AU24" s="319"/>
      <c r="AV24" s="21"/>
      <c r="AW24" s="22"/>
      <c r="AX24" s="22"/>
      <c r="AY24" s="23"/>
      <c r="AZ24" s="326"/>
      <c r="BA24" s="95"/>
      <c r="BB24" s="95"/>
      <c r="BD24" s="320">
        <v>9257884</v>
      </c>
      <c r="BE24" s="321" t="str">
        <f>VLOOKUP(BD24,CENY!$B$11:$G$1054,2,FALSE)</f>
        <v>AvanY-príchytka čela k naskrutk./ v139</v>
      </c>
      <c r="BF24" s="22">
        <f>VLOOKUP(BD24,CENY!$B$11:$G$1054,3,FALSE)</f>
        <v>200</v>
      </c>
      <c r="BG24" s="22"/>
      <c r="BH24" s="68">
        <f>2*(SUM(O19:T19)+SUM(O20:AD20)+SUM(W22:AF22)+SUM(O27:T27)+SUM(O28:AD28)+SUM(O30:AD30))</f>
        <v>0</v>
      </c>
      <c r="BI24" s="326">
        <f t="shared" si="5"/>
        <v>0</v>
      </c>
      <c r="BJ24" s="95">
        <f>VLOOKUP(BD24,CENY!$B$11:$M$2025,12,FALSE)</f>
        <v>1.5494000000000001</v>
      </c>
      <c r="BK24" s="95">
        <f t="shared" si="6"/>
        <v>0</v>
      </c>
    </row>
    <row r="25" spans="2:63" ht="14.45" customHeight="1" thickBot="1">
      <c r="B25" s="2" t="s">
        <v>285</v>
      </c>
      <c r="AI25" s="542" t="str">
        <f>verze!E199</f>
        <v>P2O Silent pre Quadro</v>
      </c>
      <c r="AJ25" s="543"/>
      <c r="AK25" s="543"/>
      <c r="AL25" s="543"/>
      <c r="AM25" s="543"/>
      <c r="AN25" s="543"/>
      <c r="AO25" s="543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ref="AZ25" si="15">IF(AY25="","",IF($AW$4=1,AY25,0))</f>
        <v>0</v>
      </c>
      <c r="BA25" s="95">
        <f>VLOOKUP(AU25,CENY!$B$11:$M$2025,12,FALSE)</f>
        <v>31.62575</v>
      </c>
      <c r="BB25" s="95">
        <f t="shared" ref="BB25" si="16">IF(BA25="","",BA25*AY25)</f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2*(SUM(O19:T19)+SUM(O20:AD20)+SUM(W22:AF22)+SUM(O27:T27)+SUM(O28:AD28)+SUM(O30:AD30))</f>
        <v>0</v>
      </c>
      <c r="BI25" s="326">
        <f t="shared" si="5"/>
        <v>0</v>
      </c>
      <c r="BJ25" s="95">
        <f>VLOOKUP(BD25,CENY!$B$11:$M$2025,12,FALSE)</f>
        <v>0.74794000000000005</v>
      </c>
      <c r="BK25" s="95">
        <f t="shared" si="6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I26" s="545" t="s">
        <v>299</v>
      </c>
      <c r="AJ26" s="545"/>
      <c r="AK26" s="545"/>
      <c r="AL26" s="545"/>
      <c r="AM26" s="545"/>
      <c r="AN26" s="545"/>
      <c r="AO26" s="545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4"/>
        <v>0</v>
      </c>
      <c r="BA26" s="95">
        <f>VLOOKUP(AU26,CENY!$B$11:$M$2025,12,FALSE)</f>
        <v>31.62575</v>
      </c>
      <c r="BB26" s="95">
        <f t="shared" si="1"/>
        <v>0</v>
      </c>
      <c r="BD26" s="319"/>
      <c r="BE26" s="21"/>
      <c r="BF26" s="22"/>
      <c r="BG26" s="22"/>
      <c r="BH26" s="23"/>
      <c r="BI26" s="326" t="str">
        <f t="shared" si="5"/>
        <v/>
      </c>
      <c r="BJ26" s="95"/>
      <c r="BK26" s="95" t="str">
        <f t="shared" si="6"/>
        <v/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69"/>
      <c r="P27" s="570"/>
      <c r="Q27" s="569"/>
      <c r="R27" s="570"/>
      <c r="S27" s="569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6"/>
      <c r="AO27" s="536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4"/>
        <v>0</v>
      </c>
      <c r="BA27" s="95">
        <f>VLOOKUP(AU27,CENY!$B$11:$M$2025,12,FALSE)</f>
        <v>31.62575</v>
      </c>
      <c r="BB27" s="95">
        <f t="shared" si="1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ref="BI27" si="17">IF(BH27="","",IF($AW$4=0,BH27,0))</f>
        <v>0</v>
      </c>
      <c r="BJ27" s="95">
        <f>VLOOKUP(BD27,CENY!$B$11:$M$2025,12,FALSE)</f>
        <v>0.95189000000000001</v>
      </c>
      <c r="BK27" s="95">
        <f t="shared" ref="BK27" si="18">IF(BJ27="","",BJ27*BH27)</f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18"/>
      <c r="P28" s="519"/>
      <c r="Q28" s="518"/>
      <c r="R28" s="519"/>
      <c r="S28" s="518"/>
      <c r="T28" s="519"/>
      <c r="U28" s="518"/>
      <c r="V28" s="519"/>
      <c r="W28" s="518"/>
      <c r="X28" s="519"/>
      <c r="Y28" s="518"/>
      <c r="Z28" s="519"/>
      <c r="AA28" s="518"/>
      <c r="AB28" s="519"/>
      <c r="AC28" s="518"/>
      <c r="AD28" s="519"/>
      <c r="AI28" s="287"/>
      <c r="AJ28" s="288"/>
      <c r="AK28" s="287"/>
      <c r="AL28" s="288"/>
      <c r="AM28" s="286" t="s">
        <v>294</v>
      </c>
      <c r="AN28" s="522"/>
      <c r="AO28" s="522"/>
      <c r="AU28" s="319"/>
      <c r="AV28" s="21"/>
      <c r="AW28" s="22"/>
      <c r="AX28" s="22"/>
      <c r="AY28" s="23"/>
      <c r="AZ28" s="326" t="str">
        <f t="shared" si="4"/>
        <v/>
      </c>
      <c r="BA28" s="95"/>
      <c r="BB28" s="95" t="str">
        <f t="shared" si="1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5"/>
        <v>0</v>
      </c>
      <c r="BJ28" s="95">
        <f>VLOOKUP(BD28,CENY!$B$11:$M$2025,12,FALSE)</f>
        <v>0.96240999999999999</v>
      </c>
      <c r="BK28" s="95">
        <f t="shared" si="6"/>
        <v>0</v>
      </c>
    </row>
    <row r="29" spans="2:63" ht="14.45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9"/>
      <c r="AO29" s="529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ref="AZ29" si="19">IF(AY29="","",IF($AW$4=1,AY29,0))</f>
        <v>0</v>
      </c>
      <c r="BA29" s="95">
        <f>VLOOKUP(AU29,CENY!$B$11:$M$2025,12,FALSE)</f>
        <v>31.62575</v>
      </c>
      <c r="BB29" s="95">
        <f t="shared" ref="BB29" si="20">IF(BA29="","",BA29*AY29)</f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5"/>
        <v>0</v>
      </c>
      <c r="BJ29" s="95">
        <f>VLOOKUP(BD29,CENY!$B$11:$M$2025,12,FALSE)</f>
        <v>0.98018000000000005</v>
      </c>
      <c r="BK29" s="95">
        <f t="shared" si="6"/>
        <v>0</v>
      </c>
    </row>
    <row r="30" spans="2:63" ht="14.45" customHeight="1" thickBot="1">
      <c r="B30" s="530" t="s">
        <v>373</v>
      </c>
      <c r="C30" s="530"/>
      <c r="D30" s="530"/>
      <c r="E30" s="530"/>
      <c r="F30" s="530"/>
      <c r="G30" s="530"/>
      <c r="H30" s="531" t="str">
        <f>verze!E18</f>
        <v>plnovýsuv</v>
      </c>
      <c r="I30" s="531"/>
      <c r="J30" s="531"/>
      <c r="K30" s="531"/>
      <c r="L30" s="531"/>
      <c r="M30" s="525" t="s">
        <v>1</v>
      </c>
      <c r="N30" s="526"/>
      <c r="O30" s="518"/>
      <c r="P30" s="519"/>
      <c r="Q30" s="518"/>
      <c r="R30" s="519"/>
      <c r="S30" s="518"/>
      <c r="T30" s="519"/>
      <c r="U30" s="518"/>
      <c r="V30" s="519"/>
      <c r="W30" s="518"/>
      <c r="X30" s="519"/>
      <c r="Y30" s="518"/>
      <c r="Z30" s="519"/>
      <c r="AA30" s="518"/>
      <c r="AB30" s="519"/>
      <c r="AC30" s="567"/>
      <c r="AD30" s="568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4"/>
        <v>0</v>
      </c>
      <c r="BA30" s="95">
        <f>VLOOKUP(AU30,CENY!$B$11:$M$2025,12,FALSE)</f>
        <v>31.62575</v>
      </c>
      <c r="BB30" s="95">
        <f t="shared" si="1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5"/>
        <v>0</v>
      </c>
      <c r="BJ30" s="95">
        <f>VLOOKUP(BD30,CENY!$B$11:$M$2025,12,FALSE)</f>
        <v>0.99777000000000005</v>
      </c>
      <c r="BK30" s="95">
        <f t="shared" si="6"/>
        <v>0</v>
      </c>
    </row>
    <row r="31" spans="2:63" ht="14.45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4"/>
        <v>0</v>
      </c>
      <c r="BA31" s="95">
        <f>VLOOKUP(AU31,CENY!$B$11:$M$2025,12,FALSE)</f>
        <v>31.62575</v>
      </c>
      <c r="BB31" s="95">
        <f t="shared" si="1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5"/>
        <v>0</v>
      </c>
      <c r="BJ31" s="95">
        <f>VLOOKUP(BD31,CENY!$B$11:$M$2025,12,FALSE)</f>
        <v>1.01556</v>
      </c>
      <c r="BK31" s="95">
        <f t="shared" si="6"/>
        <v>0</v>
      </c>
    </row>
    <row r="32" spans="2:63" ht="14.45" customHeight="1">
      <c r="B32" s="366" t="str">
        <f>verze!E201</f>
        <v>SiSy = tlmenie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4"/>
        <v>0</v>
      </c>
      <c r="BA32" s="95">
        <f>VLOOKUP(AU32,CENY!$B$11:$M$2025,12,FALSE)</f>
        <v>31.976389999999999</v>
      </c>
      <c r="BB32" s="95">
        <f t="shared" si="1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5"/>
        <v>0</v>
      </c>
      <c r="BJ32" s="95">
        <f>VLOOKUP(BD32,CENY!$B$11:$M$2025,12,FALSE)</f>
        <v>1.0332399999999999</v>
      </c>
      <c r="BK32" s="95">
        <f t="shared" si="6"/>
        <v>0</v>
      </c>
    </row>
    <row r="33" spans="2:63" ht="14.45" customHeight="1">
      <c r="B33" s="366" t="str">
        <f>verze!E204</f>
        <v>P2O = otváranie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4"/>
        <v>0</v>
      </c>
      <c r="BA33" s="95">
        <f>VLOOKUP(AU33,CENY!$B$11:$M$2025,12,FALSE)</f>
        <v>32.324420000000003</v>
      </c>
      <c r="BB33" s="95">
        <f t="shared" si="1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5"/>
        <v>0</v>
      </c>
      <c r="BJ33" s="95">
        <f>VLOOKUP(BD33,CENY!$B$11:$M$2025,12,FALSE)</f>
        <v>1.0508599999999999</v>
      </c>
      <c r="BK33" s="95">
        <f t="shared" si="6"/>
        <v>0</v>
      </c>
    </row>
    <row r="34" spans="2:63" ht="14.45" customHeight="1">
      <c r="B34" s="366" t="str">
        <f>verze!E203</f>
        <v>P2O Silent = tlmenie s otváraním bez úchytky Push to open Silent</v>
      </c>
      <c r="Y34" s="86" t="str">
        <f>IF(AND(M31=0,SUM('AVT101(vn-A)'!O84:AJ84)&lt;&gt;0),verze!E118&amp;"  ","")</f>
        <v/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4"/>
        <v>0</v>
      </c>
      <c r="BA34" s="95">
        <f>VLOOKUP(AU34,CENY!$B$11:$M$2025,12,FALSE)</f>
        <v>6.5957299999999996</v>
      </c>
      <c r="BB34" s="95">
        <f t="shared" si="1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5"/>
        <v>0</v>
      </c>
      <c r="BJ34" s="95">
        <f>VLOOKUP(BD34,CENY!$B$11:$M$2025,12,FALSE)</f>
        <v>1.09639</v>
      </c>
      <c r="BK34" s="95">
        <f t="shared" si="6"/>
        <v>0</v>
      </c>
    </row>
    <row r="35" spans="2:63" ht="14.45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4"/>
        <v>0</v>
      </c>
      <c r="BA35" s="95">
        <f>VLOOKUP(AU35,CENY!$B$11:$M$2025,12,FALSE)</f>
        <v>6.9728000000000003</v>
      </c>
      <c r="BB35" s="95">
        <f t="shared" si="1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2*(AE22)</f>
        <v>0</v>
      </c>
      <c r="BI35" s="326">
        <f t="shared" ref="BI35" si="21">IF(BH35="","",IF($AW$4=0,BH35,0))</f>
        <v>0</v>
      </c>
      <c r="BJ35" s="95">
        <f>VLOOKUP(BD35,CENY!$B$11:$M$2025,12,FALSE)</f>
        <v>1.1824300000000001</v>
      </c>
      <c r="BK35" s="95">
        <f t="shared" ref="BK35" si="22">IF(BJ35="","",BJ35*BH35)</f>
        <v>0</v>
      </c>
    </row>
    <row r="36" spans="2:63" ht="14.45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4"/>
        <v>0</v>
      </c>
      <c r="BA36" s="95">
        <f>VLOOKUP(AU36,CENY!$B$11:$M$2025,12,FALSE)</f>
        <v>34.956960000000002</v>
      </c>
      <c r="BB36" s="95">
        <f t="shared" si="1"/>
        <v>0</v>
      </c>
      <c r="BD36" s="319"/>
      <c r="BE36" s="21"/>
      <c r="BF36" s="22"/>
      <c r="BG36" s="22"/>
      <c r="BH36" s="23"/>
      <c r="BI36" s="326"/>
      <c r="BJ36" s="95"/>
      <c r="BK36" s="95"/>
    </row>
    <row r="37" spans="2:63" ht="14.45" customHeight="1">
      <c r="AU37" s="319"/>
      <c r="AV37" s="21"/>
      <c r="AW37" s="22"/>
      <c r="AX37" s="22"/>
      <c r="AY37" s="23"/>
      <c r="AZ37" s="326" t="str">
        <f t="shared" si="4"/>
        <v/>
      </c>
      <c r="BA37" s="95"/>
      <c r="BB37" s="95" t="str">
        <f t="shared" si="1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ref="BI37:BI38" si="23">IF(BH37="","",IF($AW$4=0,BH37,0))</f>
        <v>0</v>
      </c>
      <c r="BJ37" s="95" t="e">
        <f>VLOOKUP(BD37,CENY!$B$11:$M$2025,12,FALSE)</f>
        <v>#N/A</v>
      </c>
      <c r="BK37" s="95" t="e">
        <f t="shared" ref="BK37:BK38" si="24">IF(BJ37="","",BJ37*BH37)</f>
        <v>#N/A</v>
      </c>
    </row>
    <row r="38" spans="2:63" ht="14.45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4"/>
        <v>0</v>
      </c>
      <c r="BA38" s="95">
        <f>VLOOKUP(AU38,CENY!$B$11:$M$2025,12,FALSE)</f>
        <v>7.9265800000000004</v>
      </c>
      <c r="BB38" s="95">
        <f t="shared" si="1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3"/>
        <v>0</v>
      </c>
      <c r="BJ38" s="95" t="e">
        <f>VLOOKUP(BD38,CENY!$B$11:$M$2025,12,FALSE)</f>
        <v>#N/A</v>
      </c>
      <c r="BK38" s="95" t="e">
        <f t="shared" si="24"/>
        <v>#N/A</v>
      </c>
    </row>
    <row r="39" spans="2:63" ht="14.45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4"/>
        <v>0</v>
      </c>
      <c r="BA39" s="95">
        <f>VLOOKUP(AU39,CENY!$B$11:$M$2025,12,FALSE)</f>
        <v>39.622210000000003</v>
      </c>
      <c r="BB39" s="95">
        <f t="shared" si="1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5"/>
        <v>0</v>
      </c>
      <c r="BJ39" s="95" t="e">
        <f>VLOOKUP(BD39,CENY!$B$11:$M$2025,12,FALSE)</f>
        <v>#N/A</v>
      </c>
      <c r="BK39" s="95" t="e">
        <f t="shared" si="6"/>
        <v>#N/A</v>
      </c>
    </row>
    <row r="40" spans="2:63" ht="14.45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4"/>
        <v>0</v>
      </c>
      <c r="BA40" s="95">
        <f>VLOOKUP(AU40,CENY!$B$11:$M$2025,12,FALSE)</f>
        <v>41.504899999999999</v>
      </c>
      <c r="BB40" s="95">
        <f t="shared" si="1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5"/>
        <v>0</v>
      </c>
      <c r="BJ40" s="95" t="e">
        <f>VLOOKUP(BD40,CENY!$B$11:$M$2025,12,FALSE)</f>
        <v>#N/A</v>
      </c>
      <c r="BK40" s="95" t="e">
        <f t="shared" si="6"/>
        <v>#N/A</v>
      </c>
    </row>
    <row r="41" spans="2:63" ht="14.45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4"/>
        <v>0</v>
      </c>
      <c r="BA41" s="95">
        <f>VLOOKUP(AU41,CENY!$B$11:$M$2025,12,FALSE)</f>
        <v>45.308109999999999</v>
      </c>
      <c r="BB41" s="95">
        <f t="shared" si="1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5"/>
        <v>0</v>
      </c>
      <c r="BJ41" s="95">
        <f>VLOOKUP(BD41,CENY!$B$11:$M$2025,12,FALSE)</f>
        <v>14.37729</v>
      </c>
      <c r="BK41" s="95">
        <f t="shared" si="6"/>
        <v>0</v>
      </c>
    </row>
    <row r="42" spans="2:63" ht="14.45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ref="AZ42" si="25">IF(AY42="","",IF($AW$4=1,AY42,0))</f>
        <v>0</v>
      </c>
      <c r="BA42" s="95">
        <f>VLOOKUP(AU42,CENY!$B$11:$M$2025,12,FALSE)</f>
        <v>47.02431</v>
      </c>
      <c r="BB42" s="95">
        <f t="shared" ref="BB42" si="26">IF(BA42="","",BA42*AY42)</f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5"/>
        <v>0</v>
      </c>
      <c r="BJ42" s="95">
        <f>VLOOKUP(BD42,CENY!$B$11:$M$2025,12,FALSE)</f>
        <v>14.37729</v>
      </c>
      <c r="BK42" s="95">
        <f t="shared" si="6"/>
        <v>0</v>
      </c>
    </row>
    <row r="43" spans="2:63" ht="14.45" customHeight="1">
      <c r="AU43" s="319"/>
      <c r="AV43" s="21"/>
      <c r="AW43" s="22"/>
      <c r="AX43" s="22"/>
      <c r="AY43" s="23"/>
      <c r="AZ43" s="326" t="str">
        <f t="shared" si="4"/>
        <v/>
      </c>
      <c r="BA43" s="95"/>
      <c r="BB43" s="95" t="str">
        <f t="shared" si="1"/>
        <v/>
      </c>
      <c r="BD43" s="319"/>
      <c r="BE43" s="21"/>
      <c r="BF43" s="22"/>
      <c r="BG43" s="22"/>
      <c r="BH43" s="23"/>
      <c r="BI43" s="326" t="str">
        <f t="shared" si="5"/>
        <v/>
      </c>
      <c r="BJ43" s="95"/>
      <c r="BK43" s="95" t="str">
        <f t="shared" si="6"/>
        <v/>
      </c>
    </row>
    <row r="44" spans="2:63" ht="14.45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4"/>
        <v>0</v>
      </c>
      <c r="BA44" s="95">
        <f>VLOOKUP(AU44,CENY!$B$11:$M$2025,12,FALSE)</f>
        <v>23.177009999999999</v>
      </c>
      <c r="BB44" s="95">
        <f t="shared" si="1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ref="BI44:BI45" si="27">IF(BH44="","",IF($AW$4=0,BH44,0))</f>
        <v>0</v>
      </c>
      <c r="BJ44" s="95" t="e">
        <f>VLOOKUP(BD44,CENY!$B$11:$M$2025,12,FALSE)</f>
        <v>#N/A</v>
      </c>
      <c r="BK44" s="95" t="e">
        <f t="shared" ref="BK44:BK45" si="28">IF(BJ44="","",BJ44*BH44)</f>
        <v>#N/A</v>
      </c>
    </row>
    <row r="45" spans="2:63" ht="14.45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4"/>
        <v>0</v>
      </c>
      <c r="BA45" s="95">
        <f>VLOOKUP(AU45,CENY!$B$11:$M$2025,12,FALSE)</f>
        <v>23.177009999999999</v>
      </c>
      <c r="BB45" s="95">
        <f t="shared" si="1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7"/>
        <v>0</v>
      </c>
      <c r="BJ45" s="95" t="e">
        <f>VLOOKUP(BD45,CENY!$B$11:$M$2025,12,FALSE)</f>
        <v>#N/A</v>
      </c>
      <c r="BK45" s="95" t="e">
        <f t="shared" si="28"/>
        <v>#N/A</v>
      </c>
    </row>
    <row r="46" spans="2:63" ht="14.45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4"/>
        <v>0</v>
      </c>
      <c r="BA46" s="95">
        <f>VLOOKUP(AU46,CENY!$B$11:$M$2025,12,FALSE)</f>
        <v>23.177009999999999</v>
      </c>
      <c r="BB46" s="95">
        <f t="shared" si="1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5"/>
        <v>0</v>
      </c>
      <c r="BJ46" s="95">
        <f>VLOOKUP(BD46,CENY!$B$11:$M$2025,12,FALSE)</f>
        <v>14.37729</v>
      </c>
      <c r="BK46" s="95">
        <f t="shared" si="6"/>
        <v>0</v>
      </c>
    </row>
    <row r="47" spans="2:63" ht="14.45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4"/>
        <v>0</v>
      </c>
      <c r="BA47" s="95">
        <f>VLOOKUP(AU47,CENY!$B$11:$M$2025,12,FALSE)</f>
        <v>23.177009999999999</v>
      </c>
      <c r="BB47" s="95">
        <f t="shared" si="1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5"/>
        <v>0</v>
      </c>
      <c r="BJ47" s="95">
        <f>VLOOKUP(BD47,CENY!$B$11:$M$2025,12,FALSE)</f>
        <v>14.37729</v>
      </c>
      <c r="BK47" s="95">
        <f t="shared" si="6"/>
        <v>0</v>
      </c>
    </row>
    <row r="48" spans="2:63" ht="14.45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IF(SUM(AN19:AO22)+SUM(AN27:AO29)+SUM(O30:AD30)=0,0,AY93)</f>
        <v>0</v>
      </c>
      <c r="AZ48" s="326">
        <f t="shared" si="4"/>
        <v>0</v>
      </c>
      <c r="BA48" s="95">
        <f>VLOOKUP(AU48,CENY!$B$11:$M$2025,12,FALSE)</f>
        <v>8.7567500000000003</v>
      </c>
      <c r="BB48" s="95">
        <f t="shared" si="1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5"/>
        <v>0</v>
      </c>
      <c r="BJ48" s="95">
        <f>VLOOKUP(BD48,CENY!$B$11:$M$2025,12,FALSE)</f>
        <v>14.37729</v>
      </c>
      <c r="BK48" s="95">
        <f t="shared" si="6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4"/>
        <v/>
      </c>
      <c r="BA49" s="95"/>
      <c r="BB49" s="95" t="str">
        <f t="shared" si="1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5"/>
        <v>0</v>
      </c>
      <c r="BJ49" s="95" t="e">
        <f>VLOOKUP(BD49,CENY!$B$11:$M$2025,12,FALSE)</f>
        <v>#N/A</v>
      </c>
      <c r="BK49" s="95" t="e">
        <f t="shared" si="6"/>
        <v>#N/A</v>
      </c>
    </row>
    <row r="50" spans="47:63" ht="14.45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ref="AZ50" si="29">IF(AY50="","",IF($AW$4=1,AY50,0))</f>
        <v>0</v>
      </c>
      <c r="BA50" s="95">
        <f>VLOOKUP(AU50,CENY!$B$11:$M$2025,12,FALSE)</f>
        <v>23.022449999999999</v>
      </c>
      <c r="BB50" s="95">
        <f t="shared" ref="BB50" si="30">IF(BA50="","",BA50*AY50)</f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5"/>
        <v>0</v>
      </c>
      <c r="BJ50" s="95">
        <f>VLOOKUP(BD50,CENY!$B$11:$M$2025,12,FALSE)</f>
        <v>14.56085</v>
      </c>
      <c r="BK50" s="95">
        <f t="shared" si="6"/>
        <v>0</v>
      </c>
    </row>
    <row r="51" spans="47:63" ht="14.45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4"/>
        <v>0</v>
      </c>
      <c r="BA51" s="95">
        <f>VLOOKUP(AU51,CENY!$B$11:$M$2025,12,FALSE)</f>
        <v>23.069210000000002</v>
      </c>
      <c r="BB51" s="95">
        <f t="shared" si="1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5"/>
        <v>0</v>
      </c>
      <c r="BJ51" s="95">
        <f>VLOOKUP(BD51,CENY!$B$11:$M$2025,12,FALSE)</f>
        <v>14.56085</v>
      </c>
      <c r="BK51" s="95">
        <f t="shared" si="6"/>
        <v>0</v>
      </c>
    </row>
    <row r="52" spans="47:63" ht="14.45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4"/>
        <v>0</v>
      </c>
      <c r="BA52" s="95">
        <f>VLOOKUP(AU52,CENY!$B$11:$M$2025,12,FALSE)</f>
        <v>23.536069999999999</v>
      </c>
      <c r="BB52" s="95">
        <f t="shared" si="1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5"/>
        <v>0</v>
      </c>
      <c r="BJ52" s="95" t="e">
        <f>VLOOKUP(BD52,CENY!$B$11:$M$2025,12,FALSE)</f>
        <v>#N/A</v>
      </c>
      <c r="BK52" s="95" t="e">
        <f t="shared" si="6"/>
        <v>#N/A</v>
      </c>
    </row>
    <row r="53" spans="47:63" ht="14.45" customHeight="1">
      <c r="AU53" s="319"/>
      <c r="AV53" s="21"/>
      <c r="AW53" s="22"/>
      <c r="AX53" s="22"/>
      <c r="AY53" s="23"/>
      <c r="AZ53" s="326" t="str">
        <f t="shared" si="4"/>
        <v/>
      </c>
      <c r="BA53" s="95"/>
      <c r="BB53" s="95" t="str">
        <f t="shared" si="1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5"/>
        <v>0</v>
      </c>
      <c r="BJ53" s="95">
        <f>VLOOKUP(BD53,CENY!$B$11:$M$2025,12,FALSE)</f>
        <v>14.040839999999999</v>
      </c>
      <c r="BK53" s="95">
        <f t="shared" si="6"/>
        <v>0</v>
      </c>
    </row>
    <row r="54" spans="47:63" ht="14.45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ref="AZ54" si="31">IF(AY54="","",IF($AW$4=1,AY54,0))</f>
        <v>0</v>
      </c>
      <c r="BA54" s="95">
        <f>VLOOKUP(AU54,CENY!$B$11:$M$2025,12,FALSE)</f>
        <v>23.022449999999999</v>
      </c>
      <c r="BB54" s="95">
        <f t="shared" ref="BB54" si="32">IF(BA54="","",BA54*AY54)</f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5"/>
        <v>0</v>
      </c>
      <c r="BJ54" s="95">
        <f>VLOOKUP(BD54,CENY!$B$11:$M$2025,12,FALSE)</f>
        <v>13.931559999999999</v>
      </c>
      <c r="BK54" s="95">
        <f t="shared" si="6"/>
        <v>0</v>
      </c>
    </row>
    <row r="55" spans="47:63" ht="14.45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4"/>
        <v>0</v>
      </c>
      <c r="BA55" s="95">
        <f>VLOOKUP(AU55,CENY!$B$11:$M$2025,12,FALSE)</f>
        <v>23.069210000000002</v>
      </c>
      <c r="BB55" s="95">
        <f t="shared" si="1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5"/>
        <v>0</v>
      </c>
      <c r="BJ55" s="95">
        <f>VLOOKUP(BD55,CENY!$B$11:$M$2025,12,FALSE)</f>
        <v>13.931559999999999</v>
      </c>
      <c r="BK55" s="95">
        <f t="shared" si="6"/>
        <v>0</v>
      </c>
    </row>
    <row r="56" spans="47:63" ht="14.45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4"/>
        <v>0</v>
      </c>
      <c r="BA56" s="95" t="e">
        <f>VLOOKUP(AU56,CENY!$B$11:$M$2025,12,FALSE)</f>
        <v>#N/A</v>
      </c>
      <c r="BB56" s="95" t="e">
        <f t="shared" si="1"/>
        <v>#N/A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5"/>
        <v>0</v>
      </c>
      <c r="BJ56" s="95">
        <f>VLOOKUP(BD56,CENY!$B$11:$M$2025,12,FALSE)</f>
        <v>15.147040000000001</v>
      </c>
      <c r="BK56" s="95">
        <f t="shared" si="6"/>
        <v>0</v>
      </c>
    </row>
    <row r="57" spans="47:63" ht="14.45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4"/>
        <v>0</v>
      </c>
      <c r="BA57" s="95">
        <f>VLOOKUP(AU57,CENY!$B$11:$M$2025,12,FALSE)</f>
        <v>24.002659999999999</v>
      </c>
      <c r="BB57" s="95">
        <f t="shared" si="1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5"/>
        <v>0</v>
      </c>
      <c r="BJ57" s="95">
        <f>VLOOKUP(BD57,CENY!$B$11:$M$2025,12,FALSE)</f>
        <v>15.147040000000001</v>
      </c>
      <c r="BK57" s="95">
        <f t="shared" si="6"/>
        <v>0</v>
      </c>
    </row>
    <row r="58" spans="47:63" ht="14.45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4"/>
        <v>0</v>
      </c>
      <c r="BA58" s="95">
        <f>VLOOKUP(AU58,CENY!$B$11:$M$2025,12,FALSE)</f>
        <v>4.9393000000000002</v>
      </c>
      <c r="BB58" s="95">
        <f t="shared" si="1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5"/>
        <v>0</v>
      </c>
      <c r="BJ58" s="95">
        <f>VLOOKUP(BD58,CENY!$B$11:$M$2025,12,FALSE)</f>
        <v>15.35308</v>
      </c>
      <c r="BK58" s="95">
        <f t="shared" si="6"/>
        <v>0</v>
      </c>
    </row>
    <row r="59" spans="47:63" ht="14.45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4"/>
        <v>0</v>
      </c>
      <c r="BA59" s="95">
        <f>VLOOKUP(AU59,CENY!$B$11:$M$2025,12,FALSE)</f>
        <v>23.748699999999999</v>
      </c>
      <c r="BB59" s="95">
        <f t="shared" si="1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5"/>
        <v>0</v>
      </c>
      <c r="BJ59" s="95" t="e">
        <f>VLOOKUP(BD59,CENY!$B$11:$M$2025,12,FALSE)</f>
        <v>#N/A</v>
      </c>
      <c r="BK59" s="95" t="e">
        <f t="shared" si="6"/>
        <v>#N/A</v>
      </c>
    </row>
    <row r="60" spans="47:63" ht="14.45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4"/>
        <v>0</v>
      </c>
      <c r="BA60" s="95">
        <f>VLOOKUP(AU60,CENY!$B$11:$M$2025,12,FALSE)</f>
        <v>5.1277499999999998</v>
      </c>
      <c r="BB60" s="95">
        <f t="shared" si="1"/>
        <v>0</v>
      </c>
      <c r="BD60" s="319"/>
      <c r="BE60" s="21"/>
      <c r="BF60" s="22"/>
      <c r="BG60" s="22"/>
      <c r="BH60" s="23"/>
      <c r="BI60" s="326" t="str">
        <f t="shared" si="5"/>
        <v/>
      </c>
      <c r="BJ60" s="95"/>
      <c r="BK60" s="95" t="str">
        <f t="shared" si="6"/>
        <v/>
      </c>
    </row>
    <row r="61" spans="47:63" ht="14.45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4"/>
        <v>0</v>
      </c>
      <c r="BA61" s="95">
        <f>VLOOKUP(AU61,CENY!$B$11:$M$2025,12,FALSE)</f>
        <v>25.86984</v>
      </c>
      <c r="BB61" s="95">
        <f t="shared" si="1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5"/>
        <v>0</v>
      </c>
      <c r="BJ61" s="95" t="e">
        <f>VLOOKUP(BD61,CENY!$B$11:$M$2025,12,FALSE)</f>
        <v>#N/A</v>
      </c>
      <c r="BK61" s="95" t="e">
        <f t="shared" si="6"/>
        <v>#N/A</v>
      </c>
    </row>
    <row r="62" spans="47:63" ht="14.45" customHeight="1">
      <c r="AU62" s="319"/>
      <c r="AV62" s="21"/>
      <c r="AW62" s="22"/>
      <c r="AX62" s="22"/>
      <c r="AY62" s="23"/>
      <c r="AZ62" s="326" t="str">
        <f t="shared" si="4"/>
        <v/>
      </c>
      <c r="BA62" s="95"/>
      <c r="BB62" s="95" t="str">
        <f t="shared" si="1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5"/>
        <v>0</v>
      </c>
      <c r="BJ62" s="95" t="e">
        <f>VLOOKUP(BD62,CENY!$B$11:$M$2025,12,FALSE)</f>
        <v>#N/A</v>
      </c>
      <c r="BK62" s="95" t="e">
        <f t="shared" si="6"/>
        <v>#N/A</v>
      </c>
    </row>
    <row r="63" spans="47:63" ht="14.45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4"/>
        <v>0</v>
      </c>
      <c r="BA63" s="95">
        <f>VLOOKUP(AU63,CENY!$B$11:$M$2025,12,FALSE)</f>
        <v>23.114239999999999</v>
      </c>
      <c r="BB63" s="95">
        <f t="shared" si="1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5"/>
        <v>0</v>
      </c>
      <c r="BJ63" s="95">
        <f>VLOOKUP(BD63,CENY!$B$11:$M$2025,12,FALSE)</f>
        <v>17.52394</v>
      </c>
      <c r="BK63" s="95">
        <f t="shared" si="6"/>
        <v>0</v>
      </c>
    </row>
    <row r="64" spans="47:63" ht="14.45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4"/>
        <v>0</v>
      </c>
      <c r="BA64" s="95">
        <f>VLOOKUP(AU64,CENY!$B$11:$M$2025,12,FALSE)</f>
        <v>23.114239999999999</v>
      </c>
      <c r="BB64" s="95">
        <f t="shared" si="1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5"/>
        <v>0</v>
      </c>
      <c r="BJ64" s="95">
        <f>VLOOKUP(BD64,CENY!$B$11:$M$2025,12,FALSE)</f>
        <v>17.52394</v>
      </c>
      <c r="BK64" s="95">
        <f t="shared" si="6"/>
        <v>0</v>
      </c>
    </row>
    <row r="65" spans="1:63" ht="14.45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4"/>
        <v>0</v>
      </c>
      <c r="BA65" s="95">
        <f>VLOOKUP(AU65,CENY!$B$11:$M$2025,12,FALSE)</f>
        <v>23.114239999999999</v>
      </c>
      <c r="BB65" s="95">
        <f t="shared" si="1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5"/>
        <v>0</v>
      </c>
      <c r="BJ65" s="95">
        <f>VLOOKUP(BD65,CENY!$B$11:$M$2025,12,FALSE)</f>
        <v>18.45496</v>
      </c>
      <c r="BK65" s="95">
        <f t="shared" si="6"/>
        <v>0</v>
      </c>
    </row>
    <row r="66" spans="1:63" ht="12.95" customHeight="1" thickBot="1">
      <c r="A66" s="579"/>
      <c r="AU66" s="319"/>
      <c r="AV66" s="21"/>
      <c r="AW66" s="22"/>
      <c r="AX66" s="22"/>
      <c r="AY66" s="23"/>
      <c r="AZ66" s="326" t="str">
        <f t="shared" si="4"/>
        <v/>
      </c>
      <c r="BA66" s="95"/>
      <c r="BB66" s="95" t="str">
        <f t="shared" si="1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5"/>
        <v>0</v>
      </c>
      <c r="BJ66" s="95">
        <f>VLOOKUP(BD66,CENY!$B$11:$M$2025,12,FALSE)</f>
        <v>18.45496</v>
      </c>
      <c r="BK66" s="95">
        <f t="shared" si="6"/>
        <v>0</v>
      </c>
    </row>
    <row r="67" spans="1:63" ht="23.1" customHeight="1" thickBot="1">
      <c r="A67" s="579"/>
      <c r="B67" s="486" t="str">
        <f>verze!E13</f>
        <v>&lt;&lt;  späť</v>
      </c>
      <c r="C67" s="487"/>
      <c r="D67" s="487"/>
      <c r="E67" s="488"/>
      <c r="G67" s="515" t="str">
        <f>verze!E6</f>
        <v xml:space="preserve"> Úvod</v>
      </c>
      <c r="H67" s="516"/>
      <c r="I67" s="516"/>
      <c r="J67" s="516"/>
      <c r="K67" s="517"/>
      <c r="O67" s="515" t="str">
        <f>verze!E7</f>
        <v xml:space="preserve"> Výber zásuviek</v>
      </c>
      <c r="P67" s="516"/>
      <c r="Q67" s="516"/>
      <c r="R67" s="516"/>
      <c r="S67" s="517"/>
      <c r="U67" s="515" t="str">
        <f>verze!E8</f>
        <v xml:space="preserve"> </v>
      </c>
      <c r="V67" s="516"/>
      <c r="W67" s="516"/>
      <c r="X67" s="516"/>
      <c r="Y67" s="517"/>
      <c r="AA67" s="515" t="str">
        <f>verze!E9</f>
        <v xml:space="preserve"> </v>
      </c>
      <c r="AB67" s="516"/>
      <c r="AC67" s="516"/>
      <c r="AD67" s="516"/>
      <c r="AE67" s="517"/>
      <c r="AI67" s="515" t="str">
        <f>verze!E10</f>
        <v xml:space="preserve"> Objednávka</v>
      </c>
      <c r="AJ67" s="516"/>
      <c r="AK67" s="516"/>
      <c r="AL67" s="516"/>
      <c r="AM67" s="517"/>
      <c r="AO67" s="477" t="str">
        <f>verze!E14</f>
        <v>vpred  &gt;&gt;</v>
      </c>
      <c r="AP67" s="478"/>
      <c r="AQ67" s="478"/>
      <c r="AR67" s="479"/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ref="AZ67" si="33">IF(AY67="","",IF($AW$4=1,AY67,0))</f>
        <v>0</v>
      </c>
      <c r="BA67" s="95">
        <f>VLOOKUP(AU67,CENY!$B$11:$M$2025,12,FALSE)</f>
        <v>25.824369999999998</v>
      </c>
      <c r="BB67" s="95">
        <f t="shared" ref="BB67" si="34">IF(BA67="","",BA67*AY67)</f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5"/>
        <v>0</v>
      </c>
      <c r="BJ67" s="95">
        <f>VLOOKUP(BD67,CENY!$B$11:$M$2025,12,FALSE)</f>
        <v>21.352720000000001</v>
      </c>
      <c r="BK67" s="95">
        <f t="shared" si="6"/>
        <v>0</v>
      </c>
    </row>
    <row r="68" spans="1:63" ht="12.95" customHeight="1">
      <c r="A68" s="579"/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si="4"/>
        <v>0</v>
      </c>
      <c r="BA68" s="95">
        <f>VLOOKUP(AU68,CENY!$B$11:$M$2025,12,FALSE)</f>
        <v>25.86984</v>
      </c>
      <c r="BB68" s="95">
        <f t="shared" si="1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5"/>
        <v>0</v>
      </c>
      <c r="BJ68" s="95">
        <f>VLOOKUP(BD68,CENY!$B$11:$M$2025,12,FALSE)</f>
        <v>21.352720000000001</v>
      </c>
      <c r="BK68" s="95">
        <f t="shared" si="6"/>
        <v>0</v>
      </c>
    </row>
    <row r="69" spans="1:63" ht="23.1" customHeight="1">
      <c r="A69" s="579"/>
      <c r="B69" s="93" t="str">
        <f>B4</f>
        <v>Zásuvka AVANTECH YOU  139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4"/>
        <v>0</v>
      </c>
      <c r="BA69" s="95">
        <f>VLOOKUP(AU69,CENY!$B$11:$M$2025,12,FALSE)</f>
        <v>26.336690000000001</v>
      </c>
      <c r="BB69" s="95">
        <f t="shared" si="1"/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ref="BI69:BI70" si="35">IF(BH69="","",IF($AW$4=0,BH69,0))</f>
        <v>0</v>
      </c>
      <c r="BJ69" s="95">
        <f>VLOOKUP(BD69,CENY!$B$11:$M$2025,12,FALSE)</f>
        <v>22.243659999999998</v>
      </c>
      <c r="BK69" s="95">
        <f t="shared" ref="BK69:BK70" si="36">IF(BJ69="","",BJ69*BH69)</f>
        <v>0</v>
      </c>
    </row>
    <row r="70" spans="1:63" ht="14.45" customHeight="1">
      <c r="A70" s="579"/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si="4"/>
        <v>0</v>
      </c>
      <c r="BA70" s="95">
        <f>VLOOKUP(AU70,CENY!$B$11:$M$2025,12,FALSE)</f>
        <v>26.80339</v>
      </c>
      <c r="BB70" s="95">
        <f t="shared" si="1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si="35"/>
        <v>0</v>
      </c>
      <c r="BJ70" s="95">
        <f>VLOOKUP(BD70,CENY!$B$11:$M$2025,12,FALSE)</f>
        <v>22.243659999999998</v>
      </c>
      <c r="BK70" s="95">
        <f t="shared" si="36"/>
        <v>0</v>
      </c>
    </row>
    <row r="71" spans="1:63" ht="14.45" customHeight="1">
      <c r="A71" s="579"/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4"/>
        <v>0</v>
      </c>
      <c r="BA71" s="95">
        <f>VLOOKUP(AU71,CENY!$B$11:$M$2025,12,FALSE)</f>
        <v>27.270389999999999</v>
      </c>
      <c r="BB71" s="95">
        <f t="shared" si="1"/>
        <v>0</v>
      </c>
      <c r="BD71" s="319"/>
      <c r="BE71" s="21"/>
      <c r="BF71" s="22"/>
      <c r="BG71" s="22"/>
      <c r="BH71" s="23"/>
      <c r="BI71" s="326" t="str">
        <f t="shared" si="5"/>
        <v/>
      </c>
      <c r="BJ71" s="95"/>
      <c r="BK71" s="95" t="str">
        <f t="shared" si="6"/>
        <v/>
      </c>
    </row>
    <row r="72" spans="1:63" ht="14.45" customHeight="1">
      <c r="A72" s="579"/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4"/>
        <v>0</v>
      </c>
      <c r="BA72" s="95">
        <f>VLOOKUP(AU72,CENY!$B$11:$M$2025,12,FALSE)</f>
        <v>5.5988800000000003</v>
      </c>
      <c r="BB72" s="95">
        <f t="shared" si="1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5"/>
        <v>0</v>
      </c>
      <c r="BJ72" s="95">
        <f>VLOOKUP(BD72,CENY!$B$11:$M$2025,12,FALSE)</f>
        <v>23.177009999999999</v>
      </c>
      <c r="BK72" s="95">
        <f t="shared" si="6"/>
        <v>0</v>
      </c>
    </row>
    <row r="73" spans="1:63" ht="14.45" customHeight="1">
      <c r="A73" s="579"/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4"/>
        <v>0</v>
      </c>
      <c r="BA73" s="95">
        <f>VLOOKUP(AU73,CENY!$B$11:$M$2025,12,FALSE)</f>
        <v>28.20382</v>
      </c>
      <c r="BB73" s="95">
        <f t="shared" si="1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5"/>
        <v>0</v>
      </c>
      <c r="BJ73" s="95">
        <f>VLOOKUP(BD73,CENY!$B$11:$M$2025,12,FALSE)</f>
        <v>23.177009999999999</v>
      </c>
      <c r="BK73" s="95">
        <f t="shared" si="6"/>
        <v>0</v>
      </c>
    </row>
    <row r="74" spans="1:63" ht="14.45" customHeight="1">
      <c r="A74" s="579"/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4"/>
        <v>0</v>
      </c>
      <c r="BA74" s="95">
        <f>VLOOKUP(AU74,CENY!$B$11:$M$2025,12,FALSE)</f>
        <v>28.670570000000001</v>
      </c>
      <c r="BB74" s="95">
        <f t="shared" si="1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5"/>
        <v>0</v>
      </c>
      <c r="BJ74" s="95">
        <f>VLOOKUP(BD74,CENY!$B$11:$M$2025,12,FALSE)</f>
        <v>23.177009999999999</v>
      </c>
      <c r="BK74" s="95">
        <f t="shared" si="6"/>
        <v>0</v>
      </c>
    </row>
    <row r="75" spans="1:63" ht="14.45" customHeight="1">
      <c r="A75" s="579"/>
      <c r="AU75" s="319"/>
      <c r="AV75" s="21"/>
      <c r="AW75" s="22"/>
      <c r="AX75" s="22"/>
      <c r="AY75" s="23"/>
      <c r="AZ75" s="326" t="str">
        <f t="shared" si="4"/>
        <v/>
      </c>
      <c r="BA75" s="95"/>
      <c r="BB75" s="95" t="str">
        <f t="shared" si="1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5"/>
        <v>0</v>
      </c>
      <c r="BJ75" s="95">
        <f>VLOOKUP(BD75,CENY!$B$11:$M$2025,12,FALSE)</f>
        <v>23.177009999999999</v>
      </c>
      <c r="BK75" s="95">
        <f t="shared" si="6"/>
        <v>0</v>
      </c>
    </row>
    <row r="76" spans="1:63" ht="14.45" customHeight="1">
      <c r="A76" s="579"/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4"/>
        <v>0</v>
      </c>
      <c r="BA76" s="95">
        <f>VLOOKUP(AU76,CENY!$B$11:$M$2025,12,FALSE)</f>
        <v>0.79318999999999995</v>
      </c>
      <c r="BB76" s="95">
        <f t="shared" si="1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5"/>
        <v>0</v>
      </c>
      <c r="BJ76" s="95">
        <f>VLOOKUP(BD76,CENY!$B$11:$M$2025,12,FALSE)</f>
        <v>8.7567500000000003</v>
      </c>
      <c r="BK76" s="95">
        <f t="shared" si="6"/>
        <v>0</v>
      </c>
    </row>
    <row r="77" spans="1:63" ht="14.45" customHeight="1">
      <c r="A77" s="579"/>
      <c r="AU77" s="319"/>
      <c r="AV77" s="21"/>
      <c r="AW77" s="22"/>
      <c r="AX77" s="22"/>
      <c r="AY77" s="23"/>
      <c r="AZ77" s="326" t="str">
        <f t="shared" si="4"/>
        <v/>
      </c>
      <c r="BA77" s="95"/>
      <c r="BB77" s="95" t="str">
        <f t="shared" si="1"/>
        <v/>
      </c>
      <c r="BD77" s="319"/>
      <c r="BE77" s="21"/>
      <c r="BF77" s="22"/>
      <c r="BG77" s="22"/>
      <c r="BH77" s="23"/>
      <c r="BI77" s="326" t="str">
        <f t="shared" si="5"/>
        <v/>
      </c>
      <c r="BJ77" s="95"/>
      <c r="BK77" s="95" t="str">
        <f t="shared" si="6"/>
        <v/>
      </c>
    </row>
    <row r="78" spans="1:63" ht="14.45" customHeight="1">
      <c r="A78" s="579"/>
      <c r="AU78" s="320">
        <v>9257885</v>
      </c>
      <c r="AV78" s="321" t="str">
        <f>VLOOKUP(AU78,CENY!$B$11:$G$1054,2,FALSE)</f>
        <v>AvanY-príchytka čela s rozp.púzdrom/ v139</v>
      </c>
      <c r="AW78" s="22">
        <f>VLOOKUP(AU78,CENY!$B$11:$G$1054,3,FALSE)</f>
        <v>200</v>
      </c>
      <c r="AX78" s="22"/>
      <c r="AY78" s="68">
        <v>0</v>
      </c>
      <c r="AZ78" s="326">
        <f t="shared" si="4"/>
        <v>0</v>
      </c>
      <c r="BA78" s="95">
        <f>VLOOKUP(AU78,CENY!$B$11:$M$2025,12,FALSE)</f>
        <v>1.57826</v>
      </c>
      <c r="BB78" s="95">
        <f t="shared" si="1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ref="BI78:BI79" si="37">IF(BH78="","",IF($AW$4=0,BH78,0))</f>
        <v>0</v>
      </c>
      <c r="BJ78" s="95">
        <f>VLOOKUP(BD78,CENY!$B$11:$M$2025,12,FALSE)</f>
        <v>10.7646</v>
      </c>
      <c r="BK78" s="95">
        <f t="shared" ref="BK78:BK79" si="38">IF(BJ78="","",BJ78*BH78)</f>
        <v>0</v>
      </c>
    </row>
    <row r="79" spans="1:63" ht="14.45" customHeight="1">
      <c r="A79" s="579"/>
      <c r="AU79" s="319"/>
      <c r="AV79" s="21"/>
      <c r="AW79" s="22"/>
      <c r="AX79" s="22"/>
      <c r="AY79" s="23"/>
      <c r="AZ79" s="326" t="str">
        <f t="shared" si="4"/>
        <v/>
      </c>
      <c r="BA79" s="95"/>
      <c r="BB79" s="95" t="str">
        <f t="shared" ref="BB79:BB124" si="39">IF(BA79="","",BA79*AY79)</f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37"/>
        <v>0</v>
      </c>
      <c r="BJ79" s="95">
        <f>VLOOKUP(BD79,CENY!$B$11:$M$2025,12,FALSE)</f>
        <v>10.7646</v>
      </c>
      <c r="BK79" s="95">
        <f t="shared" si="38"/>
        <v>0</v>
      </c>
    </row>
    <row r="80" spans="1:63" ht="14.45" customHeight="1">
      <c r="A80" s="579"/>
      <c r="O80" s="578">
        <f>CEILING(O84/FLOOR(2000/O85,1),1)</f>
        <v>0</v>
      </c>
      <c r="P80" s="578"/>
      <c r="Q80" s="578">
        <f>CEILING(Q84/FLOOR(2000/Q85,1),1)</f>
        <v>0</v>
      </c>
      <c r="R80" s="578"/>
      <c r="S80" s="578">
        <f>CEILING(S84/FLOOR(2000/S85,1),1)</f>
        <v>0</v>
      </c>
      <c r="T80" s="578"/>
      <c r="U80" s="578">
        <f>CEILING(U84/FLOOR(2000/U85,1),1)</f>
        <v>0</v>
      </c>
      <c r="V80" s="578"/>
      <c r="W80" s="578">
        <f>CEILING(W84/FLOOR(2000/W85,1),1)</f>
        <v>0</v>
      </c>
      <c r="X80" s="578"/>
      <c r="Y80" s="578">
        <f>CEILING(Y84/FLOOR(2000/Y85,1),1)</f>
        <v>0</v>
      </c>
      <c r="Z80" s="578"/>
      <c r="AA80" s="578">
        <f>CEILING(AA84/FLOOR(2000/AA85,1),1)</f>
        <v>0</v>
      </c>
      <c r="AB80" s="578"/>
      <c r="AC80" s="578">
        <f>CEILING(AC84/FLOOR(2000/AC85,1),1)</f>
        <v>0</v>
      </c>
      <c r="AD80" s="578"/>
      <c r="AE80" s="578">
        <f>CEILING(AE84/FLOOR(2000/AE85,1),1)</f>
        <v>0</v>
      </c>
      <c r="AF80" s="578"/>
      <c r="AG80" s="578">
        <f>CEILING(AG84/FLOOR(2000/AG85,1),1)</f>
        <v>0</v>
      </c>
      <c r="AH80" s="578"/>
      <c r="AI80" s="578">
        <f>CEILING(AI84/FLOOR(2000/AI85,1),1)</f>
        <v>0</v>
      </c>
      <c r="AJ80" s="578"/>
      <c r="AU80" s="319">
        <f>OBJ!B214</f>
        <v>0</v>
      </c>
      <c r="AV80" s="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ref="AZ80:AZ124" si="40">IF(AY80="","",IF($AW$4=1,AY80,0))</f>
        <v>0</v>
      </c>
      <c r="BA80" s="324" t="str">
        <f>IF(AU80=0,"",VLOOKUP(AU80,CENY!$B$11:$M$2025,12,FALSE))</f>
        <v/>
      </c>
      <c r="BB80" s="95" t="str">
        <f t="shared" si="39"/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5"/>
        <v>0</v>
      </c>
      <c r="BJ80" s="95">
        <f>VLOOKUP(BD80,CENY!$B$11:$M$2025,12,FALSE)</f>
        <v>10.787739999999999</v>
      </c>
      <c r="BK80" s="95">
        <f t="shared" si="6"/>
        <v>0</v>
      </c>
    </row>
    <row r="81" spans="1:63" ht="14.45" customHeight="1">
      <c r="A81" s="579"/>
      <c r="O81" s="594">
        <f>O85*O84</f>
        <v>0</v>
      </c>
      <c r="P81" s="594"/>
      <c r="Q81" s="594">
        <f>Q85*Q84</f>
        <v>0</v>
      </c>
      <c r="R81" s="594"/>
      <c r="S81" s="594">
        <f>S85*S84</f>
        <v>0</v>
      </c>
      <c r="T81" s="594"/>
      <c r="U81" s="594">
        <f>U85*U84</f>
        <v>0</v>
      </c>
      <c r="V81" s="594"/>
      <c r="W81" s="594">
        <f>W85*W84</f>
        <v>0</v>
      </c>
      <c r="X81" s="594"/>
      <c r="Y81" s="594">
        <f>Y85*Y84</f>
        <v>0</v>
      </c>
      <c r="Z81" s="594"/>
      <c r="AA81" s="594">
        <f>AA85*AA84</f>
        <v>0</v>
      </c>
      <c r="AB81" s="594"/>
      <c r="AC81" s="594">
        <f>AC85*AC84</f>
        <v>0</v>
      </c>
      <c r="AD81" s="594"/>
      <c r="AE81" s="594">
        <f>AE85*AE84</f>
        <v>0</v>
      </c>
      <c r="AF81" s="594"/>
      <c r="AG81" s="594">
        <f>AG85*AG84</f>
        <v>0</v>
      </c>
      <c r="AH81" s="594"/>
      <c r="AI81" s="594">
        <f>AI85*AI84</f>
        <v>0</v>
      </c>
      <c r="AJ81" s="594"/>
      <c r="AK81" s="579"/>
      <c r="AL81" s="579"/>
      <c r="AU81" s="319"/>
      <c r="AV81" s="21"/>
      <c r="AW81" s="22"/>
      <c r="AX81" s="22"/>
      <c r="AY81" s="23"/>
      <c r="AZ81" s="326" t="str">
        <f t="shared" si="40"/>
        <v/>
      </c>
      <c r="BA81" s="95"/>
      <c r="BB81" s="95" t="str">
        <f t="shared" si="39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5"/>
        <v>0</v>
      </c>
      <c r="BJ81" s="95">
        <f>VLOOKUP(BD81,CENY!$B$11:$M$2025,12,FALSE)</f>
        <v>10.787739999999999</v>
      </c>
      <c r="BK81" s="95">
        <f t="shared" si="6"/>
        <v>0</v>
      </c>
    </row>
    <row r="82" spans="1:63" ht="14.45" customHeight="1" thickBot="1">
      <c r="A82" s="579"/>
      <c r="B82" s="1" t="str">
        <f>verze!E162</f>
        <v>Čelo na vnútornú zásuvku</v>
      </c>
      <c r="O82" s="583" t="str">
        <f>verze!E163</f>
        <v>vonkajšie rozmery zásuvkovej skrinky [mm]</v>
      </c>
      <c r="P82" s="584"/>
      <c r="Q82" s="584"/>
      <c r="R82" s="584"/>
      <c r="S82" s="584"/>
      <c r="T82" s="584"/>
      <c r="U82" s="584"/>
      <c r="V82" s="584"/>
      <c r="W82" s="584"/>
      <c r="X82" s="584"/>
      <c r="Y82" s="584"/>
      <c r="Z82" s="584"/>
      <c r="AA82" s="584"/>
      <c r="AB82" s="584"/>
      <c r="AC82" s="584"/>
      <c r="AD82" s="584"/>
      <c r="AE82" s="584"/>
      <c r="AF82" s="584"/>
      <c r="AG82" s="584"/>
      <c r="AH82" s="584"/>
      <c r="AI82" s="584"/>
      <c r="AJ82" s="584"/>
      <c r="AU82" s="319"/>
      <c r="AV82" s="21"/>
      <c r="AW82" s="22"/>
      <c r="AX82" s="22"/>
      <c r="AY82" s="23"/>
      <c r="AZ82" s="326" t="str">
        <f t="shared" si="40"/>
        <v/>
      </c>
      <c r="BA82" s="95"/>
      <c r="BB82" s="95" t="str">
        <f t="shared" si="39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5"/>
        <v>0</v>
      </c>
      <c r="BJ82" s="95">
        <f>VLOOKUP(BD82,CENY!$B$11:$M$2025,12,FALSE)</f>
        <v>11.02122</v>
      </c>
      <c r="BK82" s="95">
        <f t="shared" si="6"/>
        <v>0</v>
      </c>
    </row>
    <row r="83" spans="1:63" ht="14.45" customHeight="1" thickBot="1">
      <c r="A83" s="579"/>
      <c r="B83" s="96"/>
      <c r="C83" s="96"/>
      <c r="D83" s="96"/>
      <c r="E83" s="96"/>
      <c r="F83" s="96"/>
      <c r="G83" s="96"/>
      <c r="H83" s="72"/>
      <c r="I83" s="72"/>
      <c r="J83" s="72"/>
      <c r="K83" s="72"/>
      <c r="L83" s="72"/>
      <c r="M83" s="72"/>
      <c r="N83" s="72" t="str">
        <f>verze!E166&amp;" "</f>
        <v xml:space="preserve">Šírka korpusu: </v>
      </c>
      <c r="O83" s="537">
        <v>300</v>
      </c>
      <c r="P83" s="538"/>
      <c r="Q83" s="537">
        <v>400</v>
      </c>
      <c r="R83" s="538"/>
      <c r="S83" s="537">
        <v>450</v>
      </c>
      <c r="T83" s="538"/>
      <c r="U83" s="537">
        <v>500</v>
      </c>
      <c r="V83" s="538"/>
      <c r="W83" s="537">
        <v>550</v>
      </c>
      <c r="X83" s="538"/>
      <c r="Y83" s="537">
        <v>600</v>
      </c>
      <c r="Z83" s="538"/>
      <c r="AA83" s="537">
        <v>700</v>
      </c>
      <c r="AB83" s="538"/>
      <c r="AC83" s="537">
        <v>800</v>
      </c>
      <c r="AD83" s="538"/>
      <c r="AE83" s="537">
        <v>900</v>
      </c>
      <c r="AF83" s="586"/>
      <c r="AG83" s="537">
        <v>1000</v>
      </c>
      <c r="AH83" s="586"/>
      <c r="AI83" s="537">
        <v>1200</v>
      </c>
      <c r="AJ83" s="538"/>
      <c r="AU83" s="319"/>
      <c r="AV83" s="21"/>
      <c r="AW83" s="22"/>
      <c r="AX83" s="22"/>
      <c r="AY83" s="23"/>
      <c r="AZ83" s="326" t="str">
        <f t="shared" si="40"/>
        <v/>
      </c>
      <c r="BA83" s="95"/>
      <c r="BB83" s="95" t="str">
        <f t="shared" si="39"/>
        <v/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5"/>
        <v>0</v>
      </c>
      <c r="BJ83" s="95">
        <f>VLOOKUP(BD83,CENY!$B$11:$M$2025,12,FALSE)</f>
        <v>11.02122</v>
      </c>
      <c r="BK83" s="95">
        <f t="shared" si="6"/>
        <v>0</v>
      </c>
    </row>
    <row r="84" spans="1:63" ht="14.45" customHeight="1" thickBot="1">
      <c r="A84" s="579"/>
      <c r="B84" s="158" t="str">
        <f>" "&amp;verze!E167</f>
        <v xml:space="preserve"> ALU čelo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525"/>
      <c r="N84" s="548"/>
      <c r="O84" s="580"/>
      <c r="P84" s="581"/>
      <c r="Q84" s="580"/>
      <c r="R84" s="581"/>
      <c r="S84" s="580"/>
      <c r="T84" s="581"/>
      <c r="U84" s="580"/>
      <c r="V84" s="581"/>
      <c r="W84" s="580"/>
      <c r="X84" s="581"/>
      <c r="Y84" s="580"/>
      <c r="Z84" s="581"/>
      <c r="AA84" s="580"/>
      <c r="AB84" s="581"/>
      <c r="AC84" s="580"/>
      <c r="AD84" s="581"/>
      <c r="AE84" s="580"/>
      <c r="AF84" s="581"/>
      <c r="AG84" s="580"/>
      <c r="AH84" s="581"/>
      <c r="AI84" s="580"/>
      <c r="AJ84" s="585"/>
      <c r="AU84" s="319"/>
      <c r="AV84" s="21"/>
      <c r="AW84" s="22"/>
      <c r="AX84" s="22"/>
      <c r="AY84" s="23"/>
      <c r="AZ84" s="326" t="str">
        <f t="shared" si="40"/>
        <v/>
      </c>
      <c r="BA84" s="95"/>
      <c r="BB84" s="95" t="str">
        <f t="shared" si="39"/>
        <v/>
      </c>
      <c r="BD84" s="319"/>
      <c r="BE84" s="21"/>
      <c r="BF84" s="22"/>
      <c r="BG84" s="22"/>
      <c r="BH84" s="23"/>
      <c r="BI84" s="326" t="str">
        <f t="shared" ref="BI84:BI132" si="41">IF(BH84="","",IF($AW$4=0,BH84,0))</f>
        <v/>
      </c>
      <c r="BJ84" s="95"/>
      <c r="BK84" s="95" t="str">
        <f t="shared" ref="BK84:BK132" si="42">IF(BJ84="","",BJ84*BH84)</f>
        <v/>
      </c>
    </row>
    <row r="85" spans="1:63" ht="14.45" customHeight="1">
      <c r="A85" s="579"/>
      <c r="O85" s="593">
        <f>O83-2*FORM!$AM$24-12</f>
        <v>252</v>
      </c>
      <c r="P85" s="593"/>
      <c r="Q85" s="593">
        <f>Q83-2*FORM!$AM$24-12</f>
        <v>352</v>
      </c>
      <c r="R85" s="593"/>
      <c r="S85" s="593">
        <f>S83-2*FORM!$AM$24-12</f>
        <v>402</v>
      </c>
      <c r="T85" s="593"/>
      <c r="U85" s="593">
        <f>U83-2*FORM!$AM$24-12</f>
        <v>452</v>
      </c>
      <c r="V85" s="593"/>
      <c r="W85" s="593">
        <f>W83-2*FORM!$AM$24-12</f>
        <v>502</v>
      </c>
      <c r="X85" s="593"/>
      <c r="Y85" s="593">
        <f>Y83-2*FORM!$AM$24-12</f>
        <v>552</v>
      </c>
      <c r="Z85" s="593"/>
      <c r="AA85" s="593">
        <f>AA83-2*FORM!$AM$24-12</f>
        <v>652</v>
      </c>
      <c r="AB85" s="593"/>
      <c r="AC85" s="593">
        <f>AC83-2*FORM!$AM$24-12</f>
        <v>752</v>
      </c>
      <c r="AD85" s="593"/>
      <c r="AE85" s="593">
        <f>AE83-2*FORM!$AM$24-12</f>
        <v>852</v>
      </c>
      <c r="AF85" s="593"/>
      <c r="AG85" s="593">
        <f>AG83-2*FORM!$AM$24-12</f>
        <v>952</v>
      </c>
      <c r="AH85" s="593"/>
      <c r="AI85" s="593">
        <f>AI83-2*FORM!$AM$24-12</f>
        <v>1152</v>
      </c>
      <c r="AJ85" s="593"/>
      <c r="AU85" s="319"/>
      <c r="AV85" s="21"/>
      <c r="AW85" s="22"/>
      <c r="AX85" s="22"/>
      <c r="AY85" s="23"/>
      <c r="AZ85" s="326" t="str">
        <f t="shared" si="40"/>
        <v/>
      </c>
      <c r="BA85" s="95"/>
      <c r="BB85" s="95" t="str">
        <f t="shared" si="39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ref="BI85:BI86" si="43">IF(BH85="","",IF($AW$4=0,BH85,0))</f>
        <v>0</v>
      </c>
      <c r="BJ85" s="95">
        <f>VLOOKUP(BD85,CENY!$B$11:$M$2025,12,FALSE)</f>
        <v>10.7646</v>
      </c>
      <c r="BK85" s="95">
        <f t="shared" ref="BK85:BK86" si="44">IF(BJ85="","",BJ85*BH85)</f>
        <v>0</v>
      </c>
    </row>
    <row r="86" spans="1:63" ht="14.45" customHeight="1">
      <c r="A86" s="579"/>
      <c r="AR86" s="157" t="str">
        <f>IF(AU99=0,verze!E169&amp;" "&amp;AU97&amp;" "&amp;verze!E170,"")</f>
        <v>Je potrebné vybrať 0 ks vnútorných čiel.</v>
      </c>
      <c r="AU86" s="319"/>
      <c r="AV86" s="21"/>
      <c r="AW86" s="22"/>
      <c r="AX86" s="22"/>
      <c r="AY86" s="23"/>
      <c r="AZ86" s="326" t="str">
        <f t="shared" si="40"/>
        <v/>
      </c>
      <c r="BA86" s="95"/>
      <c r="BB86" s="95" t="str">
        <f t="shared" si="39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43"/>
        <v>0</v>
      </c>
      <c r="BJ86" s="95">
        <f>VLOOKUP(BD86,CENY!$B$11:$M$2025,12,FALSE)</f>
        <v>10.7646</v>
      </c>
      <c r="BK86" s="95">
        <f t="shared" si="44"/>
        <v>0</v>
      </c>
    </row>
    <row r="87" spans="1:63" ht="14.45" customHeight="1">
      <c r="A87" s="579"/>
      <c r="AR87" s="332" t="str">
        <f>IF(AU99=0,"",IF(AU97=AU99,verze!E174,IF(AU100&gt;0,verze!E171&amp;" "&amp;AU100&amp;" "&amp;verze!E170,verze!E172&amp;" "&amp;AU101&amp;" "&amp;verze!E173)))</f>
        <v/>
      </c>
      <c r="AU87" s="319"/>
      <c r="AV87" s="21"/>
      <c r="AW87" s="22"/>
      <c r="AX87" s="22"/>
      <c r="AY87" s="23"/>
      <c r="AZ87" s="326" t="str">
        <f t="shared" si="40"/>
        <v/>
      </c>
      <c r="BA87" s="95"/>
      <c r="BB87" s="95" t="str">
        <f t="shared" si="39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41"/>
        <v>0</v>
      </c>
      <c r="BJ87" s="95">
        <f>VLOOKUP(BD87,CENY!$B$11:$M$2025,12,FALSE)</f>
        <v>10.787739999999999</v>
      </c>
      <c r="BK87" s="95">
        <f t="shared" si="42"/>
        <v>0</v>
      </c>
    </row>
    <row r="88" spans="1:63" ht="14.45" customHeight="1">
      <c r="A88" s="579"/>
      <c r="AU88" s="319"/>
      <c r="AV88" s="21"/>
      <c r="AW88" s="22"/>
      <c r="AX88" s="22"/>
      <c r="AY88" s="23"/>
      <c r="AZ88" s="326" t="str">
        <f t="shared" si="40"/>
        <v/>
      </c>
      <c r="BA88" s="95"/>
      <c r="BB88" s="95" t="str">
        <f t="shared" si="39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41"/>
        <v>0</v>
      </c>
      <c r="BJ88" s="95">
        <f>VLOOKUP(BD88,CENY!$B$11:$M$2025,12,FALSE)</f>
        <v>10.787739999999999</v>
      </c>
      <c r="BK88" s="95">
        <f t="shared" si="42"/>
        <v>0</v>
      </c>
    </row>
    <row r="89" spans="1:63" ht="14.45" customHeight="1">
      <c r="A89" s="579"/>
      <c r="AU89" s="319"/>
      <c r="AV89" s="21"/>
      <c r="AW89" s="22"/>
      <c r="AX89" s="22"/>
      <c r="AY89" s="23"/>
      <c r="AZ89" s="326" t="str">
        <f t="shared" si="40"/>
        <v/>
      </c>
      <c r="BA89" s="95"/>
      <c r="BB89" s="95" t="str">
        <f t="shared" si="39"/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41"/>
        <v>0</v>
      </c>
      <c r="BJ89" s="95">
        <f>VLOOKUP(BD89,CENY!$B$11:$M$2025,12,FALSE)</f>
        <v>11.02122</v>
      </c>
      <c r="BK89" s="95">
        <f t="shared" si="42"/>
        <v>0</v>
      </c>
    </row>
    <row r="90" spans="1:63" ht="14.45" customHeight="1">
      <c r="A90" s="579"/>
      <c r="AU90" s="319"/>
      <c r="AV90" s="21"/>
      <c r="AW90" s="22"/>
      <c r="AX90" s="22"/>
      <c r="AY90" s="23"/>
      <c r="AZ90" s="326" t="str">
        <f t="shared" si="40"/>
        <v/>
      </c>
      <c r="BA90" s="95"/>
      <c r="BB90" s="95" t="str">
        <f t="shared" si="39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41"/>
        <v>0</v>
      </c>
      <c r="BJ90" s="95">
        <f>VLOOKUP(BD90,CENY!$B$11:$M$2025,12,FALSE)</f>
        <v>11.02122</v>
      </c>
      <c r="BK90" s="95">
        <f t="shared" si="42"/>
        <v>0</v>
      </c>
    </row>
    <row r="91" spans="1:63" ht="14.45" customHeight="1">
      <c r="A91" s="579"/>
      <c r="AU91" s="319"/>
      <c r="AV91" s="21"/>
      <c r="AW91" s="22"/>
      <c r="AX91" s="22"/>
      <c r="AY91" s="23"/>
      <c r="AZ91" s="326" t="str">
        <f t="shared" si="40"/>
        <v/>
      </c>
      <c r="BA91" s="95"/>
      <c r="BB91" s="95" t="str">
        <f t="shared" si="39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41"/>
        <v>0</v>
      </c>
      <c r="BJ91" s="95">
        <f>VLOOKUP(BD91,CENY!$B$11:$M$2025,12,FALSE)</f>
        <v>11.25459</v>
      </c>
      <c r="BK91" s="95">
        <f t="shared" si="42"/>
        <v>0</v>
      </c>
    </row>
    <row r="92" spans="1:63" ht="14.45" customHeight="1">
      <c r="A92" s="579"/>
      <c r="AU92" s="319"/>
      <c r="AV92" s="21"/>
      <c r="AW92" s="22"/>
      <c r="AX92" s="22"/>
      <c r="AY92" s="23"/>
      <c r="AZ92" s="326" t="str">
        <f t="shared" si="40"/>
        <v/>
      </c>
      <c r="BA92" s="95"/>
      <c r="BB92" s="95" t="str">
        <f t="shared" si="39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41"/>
        <v>0</v>
      </c>
      <c r="BJ92" s="95">
        <f>VLOOKUP(BD92,CENY!$B$11:$M$2025,12,FALSE)</f>
        <v>11.25459</v>
      </c>
      <c r="BK92" s="95">
        <f t="shared" si="42"/>
        <v>0</v>
      </c>
    </row>
    <row r="93" spans="1:63" ht="14.45" customHeight="1">
      <c r="A93" s="579"/>
      <c r="AU93" s="319">
        <f>OBJ!B195</f>
        <v>9257270</v>
      </c>
      <c r="AV93" s="21" t="str">
        <f>VLOOKUP(AU93,CENY!$B$11:$G$1054,2,FALSE)</f>
        <v>AvanY-čelo vnút.zásuvky /v139/d2000/strieb.</v>
      </c>
      <c r="AW93" s="22">
        <f>VLOOKUP(AU93,CENY!$B$11:$G$1054,3,FALSE)</f>
        <v>1</v>
      </c>
      <c r="AX93" s="22"/>
      <c r="AY93" s="23">
        <f>IF(AU97=0,0,IF(AU103&lt;2000,1,SUM(O80:AJ80)))</f>
        <v>0</v>
      </c>
      <c r="AZ93" s="326">
        <f>IF(AY93="","",IF($AW$4=1,AY93,0))</f>
        <v>0</v>
      </c>
      <c r="BA93" s="95">
        <f>VLOOKUP(AU93,CENY!$B$11:$M$2025,12,FALSE)</f>
        <v>85.345950000000002</v>
      </c>
      <c r="BB93" s="95">
        <f t="shared" si="39"/>
        <v>0</v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41"/>
        <v>0</v>
      </c>
      <c r="BJ93" s="95">
        <f>VLOOKUP(BD93,CENY!$B$11:$M$2025,12,FALSE)</f>
        <v>11.487740000000001</v>
      </c>
      <c r="BK93" s="95">
        <f t="shared" si="42"/>
        <v>0</v>
      </c>
    </row>
    <row r="94" spans="1:63" ht="14.45" customHeight="1">
      <c r="A94" s="579"/>
      <c r="AU94" s="319">
        <f>OBJ!B199</f>
        <v>9257612</v>
      </c>
      <c r="AV94" s="21" t="str">
        <f>VLOOKUP(AU94,CENY!$B$11:$G$1054,2,FALSE)</f>
        <v>AvanY-spojky čela vnút.zás./v139/strieb.</v>
      </c>
      <c r="AW94" s="22">
        <f>VLOOKUP(AU94,CENY!$B$11:$G$1054,3,FALSE)</f>
        <v>1</v>
      </c>
      <c r="AX94" s="22"/>
      <c r="AY94" s="23">
        <f>1*(+SUM(O19:T19)+SUM(O20:AD20)+SUM(W22:AF22)+SUM(O27:T27)+SUM(O28:AD28)+SUM(O30:AD30))</f>
        <v>0</v>
      </c>
      <c r="AZ94" s="326">
        <f>IF(AY94="","",IF($AW$4=1,AY94,0))</f>
        <v>0</v>
      </c>
      <c r="BA94" s="95">
        <f>VLOOKUP(AU94,CENY!$B$11:$M$2025,12,FALSE)</f>
        <v>5.9231600000000002</v>
      </c>
      <c r="BB94" s="95">
        <f t="shared" si="39"/>
        <v>0</v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41"/>
        <v>0</v>
      </c>
      <c r="BJ94" s="95">
        <f>VLOOKUP(BD94,CENY!$B$11:$M$2025,12,FALSE)</f>
        <v>11.487740000000001</v>
      </c>
      <c r="BK94" s="95">
        <f t="shared" si="42"/>
        <v>0</v>
      </c>
    </row>
    <row r="95" spans="1:63" ht="14.45" customHeight="1">
      <c r="A95" s="579"/>
      <c r="AU95" s="319"/>
      <c r="AV95" s="21"/>
      <c r="AW95" s="22"/>
      <c r="AX95" s="22"/>
      <c r="AY95" s="23"/>
      <c r="AZ95" s="326" t="str">
        <f t="shared" ref="AZ95:AZ103" si="45">IF(AY95="","",IF($AW$4=1,AY95,0))</f>
        <v/>
      </c>
      <c r="BA95" s="95"/>
      <c r="BB95" s="95" t="str">
        <f t="shared" si="39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41"/>
        <v>0</v>
      </c>
      <c r="BJ95" s="95">
        <f>VLOOKUP(BD95,CENY!$B$11:$M$2025,12,FALSE)</f>
        <v>11.163180000000001</v>
      </c>
      <c r="BK95" s="95">
        <f t="shared" si="42"/>
        <v>0</v>
      </c>
    </row>
    <row r="96" spans="1:63" ht="14.45" customHeight="1">
      <c r="A96" s="579"/>
      <c r="AU96" s="319"/>
      <c r="AV96" s="21"/>
      <c r="AW96" s="22"/>
      <c r="AX96" s="22"/>
      <c r="AY96" s="23"/>
      <c r="AZ96" s="326" t="str">
        <f t="shared" si="45"/>
        <v/>
      </c>
      <c r="BA96" s="95"/>
      <c r="BB96" s="95" t="str">
        <f t="shared" si="39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41"/>
        <v>0</v>
      </c>
      <c r="BJ96" s="95">
        <f>VLOOKUP(BD96,CENY!$B$11:$M$2025,12,FALSE)</f>
        <v>11.163180000000001</v>
      </c>
      <c r="BK96" s="95">
        <f t="shared" si="42"/>
        <v>0</v>
      </c>
    </row>
    <row r="97" spans="1:63" ht="14.45" customHeight="1">
      <c r="A97" s="579"/>
      <c r="AU97" s="330">
        <f>1*(+SUM(O19:T19)+SUM(O20:AD20)+SUM(W22:AF22)+SUM(O27:T27)+SUM(O28:AD28)+SUM(O30:AD30))</f>
        <v>0</v>
      </c>
      <c r="AV97" s="329" t="s">
        <v>356</v>
      </c>
      <c r="AW97" s="22"/>
      <c r="AX97" s="22"/>
      <c r="AY97" s="23"/>
      <c r="AZ97" s="326" t="str">
        <f t="shared" si="45"/>
        <v/>
      </c>
      <c r="BA97" s="95"/>
      <c r="BB97" s="95" t="str">
        <f t="shared" si="39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41"/>
        <v>0</v>
      </c>
      <c r="BJ97" s="95">
        <f>VLOOKUP(BD97,CENY!$B$11:$M$2025,12,FALSE)</f>
        <v>11.38542</v>
      </c>
      <c r="BK97" s="95">
        <f t="shared" si="42"/>
        <v>0</v>
      </c>
    </row>
    <row r="98" spans="1:63" ht="14.45" customHeight="1">
      <c r="A98" s="579"/>
      <c r="AU98" s="20"/>
      <c r="AV98" s="21"/>
      <c r="AW98" s="22"/>
      <c r="AX98" s="22"/>
      <c r="AY98" s="23"/>
      <c r="AZ98" s="326" t="str">
        <f t="shared" si="45"/>
        <v/>
      </c>
      <c r="BA98" s="95"/>
      <c r="BB98" s="95" t="str">
        <f t="shared" si="39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41"/>
        <v>0</v>
      </c>
      <c r="BJ98" s="95">
        <f>VLOOKUP(BD98,CENY!$B$11:$M$2025,12,FALSE)</f>
        <v>11.954689999999999</v>
      </c>
      <c r="BK98" s="95">
        <f t="shared" si="42"/>
        <v>0</v>
      </c>
    </row>
    <row r="99" spans="1:63" ht="14.45" customHeight="1">
      <c r="A99" s="579"/>
      <c r="AU99" s="331">
        <f>SUM(O84:AJ84)</f>
        <v>0</v>
      </c>
      <c r="AV99" s="21" t="s">
        <v>357</v>
      </c>
      <c r="AW99" s="22"/>
      <c r="AX99" s="22"/>
      <c r="AY99" s="23"/>
      <c r="AZ99" s="326" t="str">
        <f t="shared" si="45"/>
        <v/>
      </c>
      <c r="BA99" s="95"/>
      <c r="BB99" s="95" t="str">
        <f t="shared" si="39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41"/>
        <v>0</v>
      </c>
      <c r="BJ99" s="95">
        <f>VLOOKUP(BD99,CENY!$B$11:$M$2025,12,FALSE)</f>
        <v>12.187939999999999</v>
      </c>
      <c r="BK99" s="95">
        <f t="shared" si="42"/>
        <v>0</v>
      </c>
    </row>
    <row r="100" spans="1:63" ht="14.45" customHeight="1">
      <c r="A100" s="579"/>
      <c r="AU100" s="22">
        <f>AU97-AU99</f>
        <v>0</v>
      </c>
      <c r="AV100" s="21"/>
      <c r="AW100" s="22"/>
      <c r="AX100" s="22"/>
      <c r="AY100" s="23"/>
      <c r="AZ100" s="326" t="str">
        <f t="shared" si="45"/>
        <v/>
      </c>
      <c r="BA100" s="95"/>
      <c r="BB100" s="95" t="str">
        <f t="shared" si="39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41"/>
        <v>0</v>
      </c>
      <c r="BJ100" s="95">
        <f>VLOOKUP(BD100,CENY!$B$11:$M$2025,12,FALSE)</f>
        <v>12.187939999999999</v>
      </c>
      <c r="BK100" s="95">
        <f t="shared" si="42"/>
        <v>0</v>
      </c>
    </row>
    <row r="101" spans="1:63">
      <c r="A101" s="579"/>
      <c r="AU101" s="22">
        <f>ABS(AU100)</f>
        <v>0</v>
      </c>
      <c r="AV101" s="21"/>
      <c r="AW101" s="22"/>
      <c r="AX101" s="22"/>
      <c r="AY101" s="23"/>
      <c r="AZ101" s="326" t="str">
        <f t="shared" si="45"/>
        <v/>
      </c>
      <c r="BA101" s="95"/>
      <c r="BB101" s="95" t="str">
        <f t="shared" si="39"/>
        <v/>
      </c>
      <c r="BD101" s="319"/>
      <c r="BE101" s="21"/>
      <c r="BF101" s="22"/>
      <c r="BG101" s="22"/>
      <c r="BH101" s="23"/>
      <c r="BI101" s="326" t="str">
        <f t="shared" si="41"/>
        <v/>
      </c>
      <c r="BJ101" s="95"/>
      <c r="BK101" s="95" t="str">
        <f t="shared" si="42"/>
        <v/>
      </c>
    </row>
    <row r="102" spans="1:63">
      <c r="A102" s="579"/>
      <c r="AU102" s="20"/>
      <c r="AV102" s="21"/>
      <c r="AW102" s="22"/>
      <c r="AX102" s="22"/>
      <c r="AY102" s="23"/>
      <c r="AZ102" s="326" t="str">
        <f t="shared" si="45"/>
        <v/>
      </c>
      <c r="BA102" s="95"/>
      <c r="BB102" s="95" t="str">
        <f t="shared" si="39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41"/>
        <v>0</v>
      </c>
      <c r="BJ102" s="95">
        <f>VLOOKUP(BD102,CENY!$B$11:$M$2025,12,FALSE)</f>
        <v>23.114239999999999</v>
      </c>
      <c r="BK102" s="95">
        <f t="shared" si="42"/>
        <v>0</v>
      </c>
    </row>
    <row r="103" spans="1:63">
      <c r="A103" s="579"/>
      <c r="AU103" s="22">
        <f>(AU99-1)*4+SUM(O81:AJ81)</f>
        <v>-4</v>
      </c>
      <c r="AV103" s="21" t="s">
        <v>358</v>
      </c>
      <c r="AW103" s="22"/>
      <c r="AX103" s="22"/>
      <c r="AY103" s="23"/>
      <c r="AZ103" s="326" t="str">
        <f t="shared" si="45"/>
        <v/>
      </c>
      <c r="BA103" s="95"/>
      <c r="BB103" s="95" t="str">
        <f t="shared" si="39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41"/>
        <v>0</v>
      </c>
      <c r="BJ103" s="95">
        <f>VLOOKUP(BD103,CENY!$B$11:$M$2025,12,FALSE)</f>
        <v>23.114239999999999</v>
      </c>
      <c r="BK103" s="95">
        <f t="shared" si="42"/>
        <v>0</v>
      </c>
    </row>
    <row r="104" spans="1:63">
      <c r="A104" s="579"/>
      <c r="AU104" s="20"/>
      <c r="AV104" s="21"/>
      <c r="AW104" s="22"/>
      <c r="AX104" s="22"/>
      <c r="AY104" s="23"/>
      <c r="AZ104" s="326" t="str">
        <f t="shared" si="40"/>
        <v/>
      </c>
      <c r="BA104" s="95"/>
      <c r="BB104" s="95" t="str">
        <f t="shared" si="39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41"/>
        <v>0</v>
      </c>
      <c r="BJ104" s="95">
        <f>VLOOKUP(BD104,CENY!$B$11:$M$2025,12,FALSE)</f>
        <v>23.114239999999999</v>
      </c>
      <c r="BK104" s="95">
        <f t="shared" si="42"/>
        <v>0</v>
      </c>
    </row>
    <row r="105" spans="1:63">
      <c r="A105" s="579"/>
      <c r="AU105" s="20"/>
      <c r="AV105" s="21"/>
      <c r="AW105" s="22"/>
      <c r="AX105" s="22"/>
      <c r="AY105" s="23"/>
      <c r="AZ105" s="326" t="str">
        <f t="shared" si="40"/>
        <v/>
      </c>
      <c r="BA105" s="95"/>
      <c r="BB105" s="95" t="str">
        <f t="shared" si="39"/>
        <v/>
      </c>
      <c r="BD105" s="319"/>
      <c r="BE105" s="21"/>
      <c r="BF105" s="22"/>
      <c r="BG105" s="22"/>
      <c r="BH105" s="23"/>
      <c r="BI105" s="326" t="str">
        <f t="shared" si="41"/>
        <v/>
      </c>
      <c r="BJ105" s="95"/>
      <c r="BK105" s="95" t="str">
        <f t="shared" si="42"/>
        <v/>
      </c>
    </row>
    <row r="106" spans="1:63">
      <c r="AU106" s="20"/>
      <c r="AV106" s="21"/>
      <c r="AW106" s="22"/>
      <c r="AX106" s="22"/>
      <c r="AY106" s="23"/>
      <c r="AZ106" s="326" t="str">
        <f t="shared" si="40"/>
        <v/>
      </c>
      <c r="BA106" s="95"/>
      <c r="BB106" s="95" t="str">
        <f t="shared" si="39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ref="BI106:BI107" si="46">IF(BH106="","",IF($AW$4=0,BH106,0))</f>
        <v>0</v>
      </c>
      <c r="BJ106" s="95">
        <f>VLOOKUP(BD106,CENY!$B$11:$M$2025,12,FALSE)</f>
        <v>12.16503</v>
      </c>
      <c r="BK106" s="95">
        <f t="shared" ref="BK106:BK107" si="47">IF(BJ106="","",BJ106*BH106)</f>
        <v>0</v>
      </c>
    </row>
    <row r="107" spans="1:63">
      <c r="AU107" s="20"/>
      <c r="AV107" s="21"/>
      <c r="AW107" s="22"/>
      <c r="AX107" s="22"/>
      <c r="AY107" s="23"/>
      <c r="AZ107" s="326" t="str">
        <f t="shared" si="40"/>
        <v/>
      </c>
      <c r="BA107" s="95"/>
      <c r="BB107" s="95" t="str">
        <f t="shared" si="39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46"/>
        <v>0</v>
      </c>
      <c r="BJ107" s="95">
        <f>VLOOKUP(BD107,CENY!$B$11:$M$2025,12,FALSE)</f>
        <v>12.16503</v>
      </c>
      <c r="BK107" s="95">
        <f t="shared" si="47"/>
        <v>0</v>
      </c>
    </row>
    <row r="108" spans="1:63">
      <c r="AU108" s="20"/>
      <c r="AV108" s="21"/>
      <c r="AW108" s="22"/>
      <c r="AX108" s="22"/>
      <c r="AY108" s="23"/>
      <c r="AZ108" s="326" t="str">
        <f t="shared" si="40"/>
        <v/>
      </c>
      <c r="BA108" s="95"/>
      <c r="BB108" s="95" t="str">
        <f t="shared" si="39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41"/>
        <v>0</v>
      </c>
      <c r="BJ108" s="95">
        <f>VLOOKUP(BD108,CENY!$B$11:$M$2025,12,FALSE)</f>
        <v>12.187939999999999</v>
      </c>
      <c r="BK108" s="95">
        <f t="shared" si="42"/>
        <v>0</v>
      </c>
    </row>
    <row r="109" spans="1:63">
      <c r="AU109" s="20"/>
      <c r="AV109" s="21"/>
      <c r="AW109" s="22"/>
      <c r="AX109" s="22"/>
      <c r="AY109" s="23"/>
      <c r="AZ109" s="326" t="str">
        <f t="shared" si="40"/>
        <v/>
      </c>
      <c r="BA109" s="95"/>
      <c r="BB109" s="95" t="str">
        <f t="shared" si="39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41"/>
        <v>0</v>
      </c>
      <c r="BJ109" s="95">
        <f>VLOOKUP(BD109,CENY!$B$11:$M$2025,12,FALSE)</f>
        <v>12.187939999999999</v>
      </c>
      <c r="BK109" s="95">
        <f t="shared" si="42"/>
        <v>0</v>
      </c>
    </row>
    <row r="110" spans="1:63">
      <c r="AU110" s="20"/>
      <c r="AV110" s="21"/>
      <c r="AW110" s="22"/>
      <c r="AX110" s="22"/>
      <c r="AY110" s="23"/>
      <c r="AZ110" s="326" t="str">
        <f t="shared" si="40"/>
        <v/>
      </c>
      <c r="BA110" s="95"/>
      <c r="BB110" s="95" t="str">
        <f t="shared" si="39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41"/>
        <v>0</v>
      </c>
      <c r="BJ110" s="95">
        <f>VLOOKUP(BD110,CENY!$B$11:$M$2025,12,FALSE)</f>
        <v>12.42154</v>
      </c>
      <c r="BK110" s="95">
        <f t="shared" si="42"/>
        <v>0</v>
      </c>
    </row>
    <row r="111" spans="1:63">
      <c r="AU111" s="20"/>
      <c r="AV111" s="21"/>
      <c r="AW111" s="22"/>
      <c r="AX111" s="22"/>
      <c r="AY111" s="23"/>
      <c r="AZ111" s="326" t="str">
        <f t="shared" si="40"/>
        <v/>
      </c>
      <c r="BA111" s="95"/>
      <c r="BB111" s="95" t="str">
        <f t="shared" si="39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41"/>
        <v>0</v>
      </c>
      <c r="BJ111" s="95">
        <f>VLOOKUP(BD111,CENY!$B$11:$M$2025,12,FALSE)</f>
        <v>12.42154</v>
      </c>
      <c r="BK111" s="95">
        <f t="shared" si="42"/>
        <v>0</v>
      </c>
    </row>
    <row r="112" spans="1:63">
      <c r="AU112" s="20"/>
      <c r="AV112" s="21"/>
      <c r="AW112" s="22"/>
      <c r="AX112" s="22"/>
      <c r="AY112" s="23"/>
      <c r="AZ112" s="326" t="str">
        <f t="shared" si="40"/>
        <v/>
      </c>
      <c r="BA112" s="95"/>
      <c r="BB112" s="95" t="str">
        <f t="shared" si="39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41"/>
        <v>0</v>
      </c>
      <c r="BJ112" s="95">
        <f>VLOOKUP(BD112,CENY!$B$11:$M$2025,12,FALSE)</f>
        <v>12.654769999999999</v>
      </c>
      <c r="BK112" s="95">
        <f t="shared" si="42"/>
        <v>0</v>
      </c>
    </row>
    <row r="113" spans="47:63">
      <c r="AU113" s="20"/>
      <c r="AV113" s="21"/>
      <c r="AW113" s="22"/>
      <c r="AX113" s="22"/>
      <c r="AY113" s="23"/>
      <c r="AZ113" s="326" t="str">
        <f t="shared" si="40"/>
        <v/>
      </c>
      <c r="BA113" s="95"/>
      <c r="BB113" s="95" t="str">
        <f t="shared" si="39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41"/>
        <v>0</v>
      </c>
      <c r="BJ113" s="95">
        <f>VLOOKUP(BD113,CENY!$B$11:$M$2025,12,FALSE)</f>
        <v>12.654769999999999</v>
      </c>
      <c r="BK113" s="95">
        <f t="shared" si="42"/>
        <v>0</v>
      </c>
    </row>
    <row r="114" spans="47:63">
      <c r="AU114" s="20"/>
      <c r="AV114" s="21"/>
      <c r="AW114" s="22"/>
      <c r="AX114" s="22"/>
      <c r="AY114" s="23"/>
      <c r="AZ114" s="326" t="str">
        <f t="shared" si="40"/>
        <v/>
      </c>
      <c r="BA114" s="95"/>
      <c r="BB114" s="95" t="str">
        <f t="shared" si="39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41"/>
        <v>0</v>
      </c>
      <c r="BJ114" s="95">
        <f>VLOOKUP(BD114,CENY!$B$11:$M$2025,12,FALSE)</f>
        <v>12.888019999999999</v>
      </c>
      <c r="BK114" s="95">
        <f t="shared" si="42"/>
        <v>0</v>
      </c>
    </row>
    <row r="115" spans="47:63">
      <c r="AU115" s="20"/>
      <c r="AV115" s="21"/>
      <c r="AW115" s="22"/>
      <c r="AX115" s="22"/>
      <c r="AY115" s="23"/>
      <c r="AZ115" s="326" t="str">
        <f t="shared" si="40"/>
        <v/>
      </c>
      <c r="BA115" s="95"/>
      <c r="BB115" s="95" t="str">
        <f t="shared" si="39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41"/>
        <v>0</v>
      </c>
      <c r="BJ115" s="95">
        <f>VLOOKUP(BD115,CENY!$B$11:$M$2025,12,FALSE)</f>
        <v>12.888019999999999</v>
      </c>
      <c r="BK115" s="95">
        <f t="shared" si="42"/>
        <v>0</v>
      </c>
    </row>
    <row r="116" spans="47:63">
      <c r="AU116" s="20"/>
      <c r="AV116" s="21"/>
      <c r="AW116" s="22"/>
      <c r="AX116" s="22"/>
      <c r="AY116" s="23"/>
      <c r="AZ116" s="326" t="str">
        <f t="shared" si="40"/>
        <v/>
      </c>
      <c r="BA116" s="95"/>
      <c r="BB116" s="95" t="str">
        <f t="shared" si="39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41"/>
        <v>0</v>
      </c>
      <c r="BJ116" s="95">
        <f>VLOOKUP(BD116,CENY!$B$11:$M$2025,12,FALSE)</f>
        <v>12.496779999999999</v>
      </c>
      <c r="BK116" s="95">
        <f t="shared" si="42"/>
        <v>0</v>
      </c>
    </row>
    <row r="117" spans="47:63">
      <c r="AU117" s="20"/>
      <c r="AV117" s="21"/>
      <c r="AW117" s="22"/>
      <c r="AX117" s="22"/>
      <c r="AY117" s="23"/>
      <c r="AZ117" s="326" t="str">
        <f t="shared" si="40"/>
        <v/>
      </c>
      <c r="BA117" s="95"/>
      <c r="BB117" s="95" t="str">
        <f t="shared" si="39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41"/>
        <v>0</v>
      </c>
      <c r="BJ117" s="95">
        <f>VLOOKUP(BD117,CENY!$B$11:$M$2025,12,FALSE)</f>
        <v>12.496779999999999</v>
      </c>
      <c r="BK117" s="95">
        <f t="shared" si="42"/>
        <v>0</v>
      </c>
    </row>
    <row r="118" spans="47:63">
      <c r="AU118" s="20"/>
      <c r="AV118" s="21"/>
      <c r="AW118" s="22"/>
      <c r="AX118" s="22"/>
      <c r="AY118" s="23"/>
      <c r="AZ118" s="326" t="str">
        <f t="shared" si="40"/>
        <v/>
      </c>
      <c r="BA118" s="95"/>
      <c r="BB118" s="95" t="str">
        <f t="shared" si="39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41"/>
        <v>0</v>
      </c>
      <c r="BJ118" s="95">
        <f>VLOOKUP(BD118,CENY!$B$11:$M$2025,12,FALSE)</f>
        <v>12.718019999999999</v>
      </c>
      <c r="BK118" s="95">
        <f t="shared" si="42"/>
        <v>0</v>
      </c>
    </row>
    <row r="119" spans="47:63">
      <c r="AU119" s="20"/>
      <c r="AV119" s="21"/>
      <c r="AW119" s="22"/>
      <c r="AX119" s="22"/>
      <c r="AY119" s="23"/>
      <c r="AZ119" s="326" t="str">
        <f t="shared" si="40"/>
        <v/>
      </c>
      <c r="BA119" s="95"/>
      <c r="BB119" s="95" t="str">
        <f t="shared" si="39"/>
        <v/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41"/>
        <v>0</v>
      </c>
      <c r="BJ119" s="95">
        <f>VLOOKUP(BD119,CENY!$B$11:$M$2025,12,FALSE)</f>
        <v>13.35392</v>
      </c>
      <c r="BK119" s="95">
        <f t="shared" si="42"/>
        <v>0</v>
      </c>
    </row>
    <row r="120" spans="47:63">
      <c r="AU120" s="20"/>
      <c r="AV120" s="21"/>
      <c r="AW120" s="22"/>
      <c r="AX120" s="22"/>
      <c r="AY120" s="23"/>
      <c r="AZ120" s="326" t="str">
        <f t="shared" si="40"/>
        <v/>
      </c>
      <c r="BA120" s="95"/>
      <c r="BB120" s="95" t="str">
        <f t="shared" si="39"/>
        <v/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41"/>
        <v>0</v>
      </c>
      <c r="BJ120" s="95">
        <f>VLOOKUP(BD120,CENY!$B$11:$M$2025,12,FALSE)</f>
        <v>13.58704</v>
      </c>
      <c r="BK120" s="95">
        <f t="shared" si="42"/>
        <v>0</v>
      </c>
    </row>
    <row r="121" spans="47:63">
      <c r="AU121" s="20"/>
      <c r="AV121" s="21"/>
      <c r="AW121" s="22"/>
      <c r="AX121" s="22"/>
      <c r="AY121" s="23"/>
      <c r="AZ121" s="326" t="str">
        <f t="shared" si="40"/>
        <v/>
      </c>
      <c r="BA121" s="95"/>
      <c r="BB121" s="95" t="str">
        <f t="shared" si="39"/>
        <v/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41"/>
        <v>0</v>
      </c>
      <c r="BJ121" s="95">
        <f>VLOOKUP(BD121,CENY!$B$11:$M$2025,12,FALSE)</f>
        <v>13.58704</v>
      </c>
      <c r="BK121" s="95">
        <f t="shared" si="42"/>
        <v>0</v>
      </c>
    </row>
    <row r="122" spans="47:63">
      <c r="AU122" s="20"/>
      <c r="AV122" s="21"/>
      <c r="AW122" s="22"/>
      <c r="AX122" s="22"/>
      <c r="AY122" s="23"/>
      <c r="AZ122" s="326" t="str">
        <f t="shared" si="40"/>
        <v/>
      </c>
      <c r="BA122" s="95"/>
      <c r="BB122" s="95" t="str">
        <f t="shared" si="39"/>
        <v/>
      </c>
      <c r="BD122" s="319"/>
      <c r="BE122" s="21"/>
      <c r="BF122" s="22"/>
      <c r="BG122" s="22"/>
      <c r="BH122" s="23"/>
      <c r="BI122" s="326" t="str">
        <f t="shared" si="41"/>
        <v/>
      </c>
      <c r="BJ122" s="95"/>
      <c r="BK122" s="95" t="str">
        <f t="shared" si="42"/>
        <v/>
      </c>
    </row>
    <row r="123" spans="47:63">
      <c r="AU123" s="20"/>
      <c r="AV123" s="21"/>
      <c r="AW123" s="22"/>
      <c r="AX123" s="22"/>
      <c r="AY123" s="23"/>
      <c r="AZ123" s="326" t="str">
        <f t="shared" si="40"/>
        <v/>
      </c>
      <c r="BA123" s="95"/>
      <c r="BB123" s="95" t="str">
        <f t="shared" si="39"/>
        <v/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41"/>
        <v>0</v>
      </c>
      <c r="BJ123" s="95">
        <f>VLOOKUP(BD123,CENY!$B$11:$M$2025,12,FALSE)</f>
        <v>0.79318999999999995</v>
      </c>
      <c r="BK123" s="95">
        <f t="shared" si="42"/>
        <v>0</v>
      </c>
    </row>
    <row r="124" spans="47:63">
      <c r="AU124" s="20"/>
      <c r="AV124" s="21"/>
      <c r="AW124" s="22"/>
      <c r="AX124" s="22"/>
      <c r="AY124" s="23"/>
      <c r="AZ124" s="326" t="str">
        <f t="shared" si="40"/>
        <v/>
      </c>
      <c r="BA124" s="95"/>
      <c r="BB124" s="95" t="str">
        <f t="shared" si="39"/>
        <v/>
      </c>
      <c r="BD124" s="319"/>
      <c r="BE124" s="21"/>
      <c r="BF124" s="22"/>
      <c r="BG124" s="22"/>
      <c r="BH124" s="23"/>
      <c r="BI124" s="326" t="str">
        <f t="shared" si="41"/>
        <v/>
      </c>
      <c r="BJ124" s="95"/>
      <c r="BK124" s="95" t="str">
        <f t="shared" si="42"/>
        <v/>
      </c>
    </row>
    <row r="125" spans="47:63">
      <c r="AU125" s="319">
        <f>OBJ!B361</f>
        <v>45167</v>
      </c>
      <c r="AV125" s="21" t="str">
        <f>VLOOKUP(AU125,CENY!$B$11:$G$1054,2,FALSE)</f>
        <v>Skrutka s polgul.hlavou 3,5x12mm</v>
      </c>
      <c r="AW125" s="22">
        <f>VLOOKUP(AU125,CENY!$B$11:$G$1054,3,FALSE)</f>
        <v>200</v>
      </c>
      <c r="AX125" s="22"/>
      <c r="AY125" s="23">
        <f>SUMPRODUCT(AX5:AX13,AY5:AY13)</f>
        <v>0</v>
      </c>
      <c r="AZ125" s="326">
        <f>IF(AY125="","",IF($AW$4=1,AY125,0))</f>
        <v>0</v>
      </c>
      <c r="BA125" s="95">
        <f>VLOOKUP(AU125,CENY!$B$11:$M$2025,12,FALSE)</f>
        <v>3.4759999999999999E-2</v>
      </c>
      <c r="BB125" s="95">
        <f>IF(BA125="","",BA125*AY125)</f>
        <v>0</v>
      </c>
      <c r="BC125" s="86" t="s">
        <v>396</v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41"/>
        <v>0</v>
      </c>
      <c r="BJ125" s="324" t="str">
        <f>IF(BD125=0,"",VLOOKUP(BD125,CENY!$B$11:$M$2025,12,FALSE))</f>
        <v/>
      </c>
      <c r="BK125" s="95" t="str">
        <f t="shared" si="42"/>
        <v/>
      </c>
    </row>
    <row r="126" spans="47:63">
      <c r="AU126" s="319">
        <f>OBJ!B362</f>
        <v>45168</v>
      </c>
      <c r="AV126" s="21" t="str">
        <f>VLOOKUP(AU126,CENY!$B$11:$G$1054,2,FALSE)</f>
        <v>Skrutka s polgul.hlavou 3,5x20mm</v>
      </c>
      <c r="AW126" s="22">
        <f>VLOOKUP(AU126,CENY!$B$11:$G$1054,3,FALSE)</f>
        <v>200</v>
      </c>
      <c r="AX126" s="22"/>
      <c r="AY126" s="360">
        <v>0</v>
      </c>
      <c r="AZ126" s="326">
        <f>IF(AY126="","",IF($AW$4=1,AY126,0))</f>
        <v>0</v>
      </c>
      <c r="BA126" s="95">
        <f>VLOOKUP(AU126,CENY!$B$11:$M$2025,12,FALSE)</f>
        <v>4.9860000000000002E-2</v>
      </c>
      <c r="BB126" s="95">
        <f>IF(BA126="","",BA126*AY126)</f>
        <v>0</v>
      </c>
      <c r="BC126" s="86" t="s">
        <v>397</v>
      </c>
      <c r="BD126" s="319"/>
      <c r="BE126" s="21"/>
      <c r="BF126" s="22"/>
      <c r="BG126" s="22"/>
      <c r="BH126" s="23"/>
      <c r="BI126" s="326" t="str">
        <f t="shared" si="41"/>
        <v/>
      </c>
      <c r="BJ126" s="95"/>
      <c r="BK126" s="95" t="str">
        <f t="shared" si="42"/>
        <v/>
      </c>
    </row>
    <row r="127" spans="47:63">
      <c r="AU127" s="319">
        <f>OBJ!B363</f>
        <v>9278224</v>
      </c>
      <c r="AV127" s="21" t="str">
        <f>VLOOKUP(AU127,CENY!$B$11:$G$1054,2,FALSE)</f>
        <v>Skrutka s polgul.hlavou 3,5x30mm</v>
      </c>
      <c r="AW127" s="22">
        <f>VLOOKUP(AU127,CENY!$B$11:$G$1054,3,FALSE)</f>
        <v>200</v>
      </c>
      <c r="AX127" s="22"/>
      <c r="AY127" s="360">
        <v>0</v>
      </c>
      <c r="AZ127" s="326">
        <f>IF(AY127="","",IF($AW$4=1,AY127,0))</f>
        <v>0</v>
      </c>
      <c r="BA127" s="95">
        <f>VLOOKUP(AU127,CENY!$B$11:$M$2025,12,FALSE)</f>
        <v>4.299E-2</v>
      </c>
      <c r="BB127" s="95">
        <f>IF(BA127="","",BA127*AY127)</f>
        <v>0</v>
      </c>
      <c r="BC127" s="86" t="s">
        <v>398</v>
      </c>
      <c r="BD127" s="319"/>
      <c r="BE127" s="21"/>
      <c r="BF127" s="22"/>
      <c r="BG127" s="22"/>
      <c r="BH127" s="23"/>
      <c r="BI127" s="326" t="str">
        <f t="shared" si="41"/>
        <v/>
      </c>
      <c r="BJ127" s="95"/>
      <c r="BK127" s="95" t="str">
        <f t="shared" si="42"/>
        <v/>
      </c>
    </row>
    <row r="128" spans="47:63">
      <c r="AU128" s="319">
        <f>OBJ!B364</f>
        <v>9279197</v>
      </c>
      <c r="AV128" s="21" t="str">
        <f>VLOOKUP(AU128,CENY!$B$11:$G$1054,2,FALSE)</f>
        <v>Skrutka s polgul.hlavou M3,5x12mm</v>
      </c>
      <c r="AW128" s="22">
        <f>VLOOKUP(AU128,CENY!$B$11:$G$1054,3,FALSE)</f>
        <v>1000</v>
      </c>
      <c r="AX128" s="22"/>
      <c r="AY128" s="68">
        <v>0</v>
      </c>
      <c r="AZ128" s="326">
        <f>IF(AY128="","",IF($AW$4=1,AY128,0))</f>
        <v>0</v>
      </c>
      <c r="BA128" s="95" t="e">
        <f>VLOOKUP(AU128,CENY!$B$11:$M$2025,12,FALSE)</f>
        <v>#N/A</v>
      </c>
      <c r="BB128" s="95" t="e">
        <f>IF(BA128="","",BA128*AY128)</f>
        <v>#N/A</v>
      </c>
      <c r="BC128" s="86" t="s">
        <v>399</v>
      </c>
      <c r="BD128" s="319">
        <f>OBJ!B195</f>
        <v>9257270</v>
      </c>
      <c r="BE128" s="21" t="str">
        <f>VLOOKUP(BD128,CENY!$B$11:$G$1054,2,FALSE)</f>
        <v>AvanY-čelo vnút.zásuvky /v139/d2000/strieb.</v>
      </c>
      <c r="BF128" s="22">
        <f>VLOOKUP(BD128,CENY!$B$11:$G$1054,3,FALSE)</f>
        <v>1</v>
      </c>
      <c r="BG128" s="22"/>
      <c r="BH128" s="23">
        <f>AY93</f>
        <v>0</v>
      </c>
      <c r="BI128" s="326">
        <f>IF(BH128="","",IF($AW$4=0,BH128,0))</f>
        <v>0</v>
      </c>
      <c r="BJ128" s="95">
        <f>VLOOKUP(BD128,CENY!$B$11:$M$2025,12,FALSE)</f>
        <v>85.345950000000002</v>
      </c>
      <c r="BK128" s="95">
        <f t="shared" si="42"/>
        <v>0</v>
      </c>
    </row>
    <row r="129" spans="47:63">
      <c r="AU129" s="319">
        <f>OBJ!B365</f>
        <v>9137114</v>
      </c>
      <c r="AV129" s="21" t="str">
        <f>VLOOKUP(AU129,CENY!$B$11:$G$1054,2,FALSE)</f>
        <v>EURO-skrutka  6,0x14mm / niklovaná</v>
      </c>
      <c r="AW129" s="22">
        <f>VLOOKUP(AU129,CENY!$B$11:$G$1054,3,FALSE)</f>
        <v>200</v>
      </c>
      <c r="AX129" s="22"/>
      <c r="AY129" s="23">
        <f>SUMPRODUCT(AX25:AX74,AY25:AY74)</f>
        <v>0</v>
      </c>
      <c r="AZ129" s="326">
        <f>IF(AY129="","",IF($AW$4=1,AY129,0))</f>
        <v>0</v>
      </c>
      <c r="BA129" s="95">
        <f>VLOOKUP(AU129,CENY!$B$11:$M$2025,12,FALSE)</f>
        <v>7.7280000000000001E-2</v>
      </c>
      <c r="BB129" s="95">
        <f>IF(BA129="","",BA129*AY129)</f>
        <v>0</v>
      </c>
      <c r="BC129" s="86" t="s">
        <v>400</v>
      </c>
      <c r="BD129" s="319"/>
      <c r="BE129" s="21"/>
      <c r="BF129" s="22"/>
      <c r="BG129" s="22"/>
      <c r="BH129" s="23"/>
      <c r="BI129" s="326"/>
      <c r="BJ129" s="95"/>
      <c r="BK129" s="95" t="str">
        <f t="shared" si="42"/>
        <v/>
      </c>
    </row>
    <row r="130" spans="47:63">
      <c r="AU130" s="20"/>
      <c r="AV130" s="21"/>
      <c r="AW130" s="22"/>
      <c r="AX130" s="22"/>
      <c r="AY130" s="23"/>
      <c r="AZ130" s="326"/>
      <c r="BA130" s="95"/>
      <c r="BB130" s="95"/>
      <c r="BD130" s="319">
        <f>OBJ!B203</f>
        <v>9257641</v>
      </c>
      <c r="BE130" s="21" t="str">
        <f>VLOOKUP(BD130,CENY!$B$11:$G$1054,2,FALSE)</f>
        <v>AvanY-stabilizátor čela vnút.zásuvky</v>
      </c>
      <c r="BF130" s="22">
        <f>VLOOKUP(BD130,CENY!$B$11:$G$1054,3,FALSE)</f>
        <v>100</v>
      </c>
      <c r="BG130" s="22"/>
      <c r="BH130" s="23">
        <f>AY94</f>
        <v>0</v>
      </c>
      <c r="BI130" s="326">
        <f>IF(BH130="","",IF($AW$4=0,BH130,0))</f>
        <v>0</v>
      </c>
      <c r="BJ130" s="95">
        <f>VLOOKUP(BD130,CENY!$B$11:$M$2025,12,FALSE)</f>
        <v>0.52149000000000001</v>
      </c>
      <c r="BK130" s="95">
        <f t="shared" si="42"/>
        <v>0</v>
      </c>
    </row>
    <row r="131" spans="47:63">
      <c r="AU131" s="20"/>
      <c r="AV131" s="21"/>
      <c r="AW131" s="22"/>
      <c r="AX131" s="22"/>
      <c r="AY131" s="23"/>
      <c r="AZ131" s="326"/>
      <c r="BA131" s="95"/>
      <c r="BB131" s="95"/>
      <c r="BD131" s="319">
        <f>OBJ!B205</f>
        <v>9257630</v>
      </c>
      <c r="BE131" s="21" t="str">
        <f>VLOOKUP(BD131,CENY!$B$11:$G$1054,2,FALSE)</f>
        <v>AvanY-krytka čela vnút.zás./v139/strieb.</v>
      </c>
      <c r="BF131" s="22">
        <f>VLOOKUP(BD131,CENY!$B$11:$G$1054,3,FALSE)</f>
        <v>200</v>
      </c>
      <c r="BG131" s="22"/>
      <c r="BH131" s="23">
        <f>2*AY94</f>
        <v>0</v>
      </c>
      <c r="BI131" s="326">
        <f>IF(BH131="","",IF($AW$4=0,BH131,0))</f>
        <v>0</v>
      </c>
      <c r="BJ131" s="95">
        <f>VLOOKUP(BD131,CENY!$B$11:$M$2025,12,FALSE)</f>
        <v>0.29314000000000001</v>
      </c>
      <c r="BK131" s="95">
        <f t="shared" si="42"/>
        <v>0</v>
      </c>
    </row>
    <row r="132" spans="47:63">
      <c r="AU132" s="20"/>
      <c r="AV132" s="21"/>
      <c r="AW132" s="22"/>
      <c r="AX132" s="22"/>
      <c r="AY132" s="23"/>
      <c r="AZ132" s="326" t="str">
        <f>IF(AY132="","",IF($AW$4=1,AY132,0))</f>
        <v/>
      </c>
      <c r="BA132" s="95"/>
      <c r="BB132" s="95" t="str">
        <f>IF(BA132="","",BA132*AY132)</f>
        <v/>
      </c>
      <c r="BD132" s="319"/>
      <c r="BE132" s="21"/>
      <c r="BF132" s="22"/>
      <c r="BG132" s="22"/>
      <c r="BH132" s="23"/>
      <c r="BI132" s="326" t="str">
        <f t="shared" si="41"/>
        <v/>
      </c>
      <c r="BJ132" s="95"/>
      <c r="BK132" s="95" t="str">
        <f t="shared" si="42"/>
        <v/>
      </c>
    </row>
    <row r="133" spans="47:63">
      <c r="BD133" s="319">
        <f>OBJ!B361</f>
        <v>45167</v>
      </c>
      <c r="BE133" s="21" t="str">
        <f>VLOOKUP(BD133,CENY!$B$11:$G$1054,2,FALSE)</f>
        <v>Skrutka s polgul.hlavou 3,5x12mm</v>
      </c>
      <c r="BF133" s="22">
        <f>VLOOKUP(BD133,CENY!$B$11:$G$1054,3,FALSE)</f>
        <v>200</v>
      </c>
      <c r="BG133" s="22"/>
      <c r="BH133" s="23">
        <f>AY125+BH25*2+BH130</f>
        <v>0</v>
      </c>
      <c r="BI133" s="326">
        <f>IF(BH133="","",IF($AW$4=0,BH133,0))</f>
        <v>0</v>
      </c>
      <c r="BJ133" s="95">
        <f>VLOOKUP(BD133,CENY!$B$11:$M$2025,12,FALSE)</f>
        <v>3.4759999999999999E-2</v>
      </c>
      <c r="BK133" s="95">
        <f>IF(BJ133="","",BJ133*BH133)</f>
        <v>0</v>
      </c>
    </row>
    <row r="134" spans="47:63">
      <c r="BD134" s="319">
        <f>OBJ!B362</f>
        <v>45168</v>
      </c>
      <c r="BE134" s="21" t="str">
        <f>VLOOKUP(BD134,CENY!$B$11:$G$1054,2,FALSE)</f>
        <v>Skrutka s polgul.hlavou 3,5x20mm</v>
      </c>
      <c r="BF134" s="22">
        <f>VLOOKUP(BD134,CENY!$B$11:$G$1054,3,FALSE)</f>
        <v>200</v>
      </c>
      <c r="BG134" s="22"/>
      <c r="BH134" s="360">
        <v>0</v>
      </c>
      <c r="BI134" s="326">
        <f>IF(BH134="","",IF($AW$4=0,BH134,0))</f>
        <v>0</v>
      </c>
      <c r="BJ134" s="95">
        <f>VLOOKUP(BD134,CENY!$B$11:$M$2025,12,FALSE)</f>
        <v>4.9860000000000002E-2</v>
      </c>
      <c r="BK134" s="95">
        <f>IF(BJ134="","",BJ134*BH134)</f>
        <v>0</v>
      </c>
    </row>
    <row r="135" spans="47:63">
      <c r="BD135" s="319">
        <f>OBJ!B363</f>
        <v>9278224</v>
      </c>
      <c r="BE135" s="21" t="str">
        <f>VLOOKUP(BD135,CENY!$B$11:$G$1054,2,FALSE)</f>
        <v>Skrutka s polgul.hlavou 3,5x30mm</v>
      </c>
      <c r="BF135" s="22">
        <f>VLOOKUP(BD135,CENY!$B$11:$G$1054,3,FALSE)</f>
        <v>200</v>
      </c>
      <c r="BG135" s="22"/>
      <c r="BH135" s="360">
        <f>2*SUM(BH5:BH22)</f>
        <v>0</v>
      </c>
      <c r="BI135" s="326">
        <f>IF(BH135="","",IF($AW$4=0,BH135,0))</f>
        <v>0</v>
      </c>
      <c r="BJ135" s="95">
        <f>VLOOKUP(BD135,CENY!$B$11:$M$2025,12,FALSE)</f>
        <v>4.299E-2</v>
      </c>
      <c r="BK135" s="95">
        <f>IF(BJ135="","",BJ135*BH135)</f>
        <v>0</v>
      </c>
    </row>
    <row r="136" spans="47:63">
      <c r="BD136" s="319">
        <f>OBJ!B364</f>
        <v>9279197</v>
      </c>
      <c r="BE136" s="21" t="str">
        <f>VLOOKUP(BD136,CENY!$B$11:$G$1054,2,FALSE)</f>
        <v>Skrutka s polgul.hlavou M3,5x12mm</v>
      </c>
      <c r="BF136" s="22">
        <f>VLOOKUP(BD136,CENY!$B$11:$G$1054,3,FALSE)</f>
        <v>1000</v>
      </c>
      <c r="BG136" s="22"/>
      <c r="BH136" s="68">
        <f>3*BH24</f>
        <v>0</v>
      </c>
      <c r="BI136" s="326">
        <f>IF(BH136="","",IF($AW$4=0,BH136,0))</f>
        <v>0</v>
      </c>
      <c r="BJ136" s="95" t="e">
        <f>VLOOKUP(BD136,CENY!$B$11:$M$2025,12,FALSE)</f>
        <v>#N/A</v>
      </c>
      <c r="BK136" s="95" t="e">
        <f>IF(BJ136="","",BJ136*BH136)</f>
        <v>#N/A</v>
      </c>
    </row>
    <row r="137" spans="47:63">
      <c r="BD137" s="319">
        <f>OBJ!B365</f>
        <v>9137114</v>
      </c>
      <c r="BE137" s="21" t="str">
        <f>VLOOKUP(BD137,CENY!$B$11:$G$1054,2,FALSE)</f>
        <v>EURO-skrutka  6,0x14mm / niklovaná</v>
      </c>
      <c r="BF137" s="22">
        <f>VLOOKUP(BD137,CENY!$B$11:$G$1054,3,FALSE)</f>
        <v>200</v>
      </c>
      <c r="BG137" s="22"/>
      <c r="BH137" s="23">
        <f>AY129</f>
        <v>0</v>
      </c>
      <c r="BI137" s="326">
        <f>IF(BH137="","",IF($AW$4=0,BH137,0))</f>
        <v>0</v>
      </c>
      <c r="BJ137" s="95">
        <f>VLOOKUP(BD137,CENY!$B$11:$M$2025,12,FALSE)</f>
        <v>7.7280000000000001E-2</v>
      </c>
      <c r="BK137" s="95">
        <f>IF(BJ137="","",BJ137*BH137)</f>
        <v>0</v>
      </c>
    </row>
    <row r="138" spans="47:63">
      <c r="BD138" s="319"/>
      <c r="BE138" s="21"/>
      <c r="BF138" s="22"/>
      <c r="BG138" s="22"/>
      <c r="BH138" s="23"/>
      <c r="BI138" s="326"/>
      <c r="BJ138" s="95"/>
      <c r="BK138" s="95"/>
    </row>
    <row r="139" spans="47:63">
      <c r="BD139" s="319"/>
      <c r="BE139" s="21"/>
      <c r="BF139" s="22"/>
      <c r="BG139" s="22"/>
      <c r="BH139" s="23"/>
      <c r="BI139" s="326" t="str">
        <f>IF(BH139="","",IF($AW$4=0,BH139,0))</f>
        <v/>
      </c>
      <c r="BJ139" s="95"/>
      <c r="BK139" s="95" t="str">
        <f>IF(BJ139="","",BJ139*BH139)</f>
        <v/>
      </c>
    </row>
    <row r="140" spans="47:63">
      <c r="BD140" s="319"/>
      <c r="BE140" s="21"/>
      <c r="BF140" s="22"/>
      <c r="BG140" s="22"/>
      <c r="BH140" s="23"/>
      <c r="BI140" s="326" t="str">
        <f>IF(BH140="","",IF($AW$4=0,BH140,0))</f>
        <v/>
      </c>
      <c r="BJ140" s="95"/>
      <c r="BK140" s="95" t="str">
        <f>IF(BJ140="","",BJ140*BH140)</f>
        <v/>
      </c>
    </row>
  </sheetData>
  <sheetProtection algorithmName="SHA-512" hashValue="g05QRRLiGfKLWUBs4RV5a72qS1C/eAG67fGx4OebXuG+CKHu/GIx/mfjDgtC6uC8unMUbvhCxq9CMnegv8pV6w==" saltValue="QocbxCTUAMJkVrPF4DH9zQ==" spinCount="100000" sheet="1" objects="1" scenarios="1"/>
  <mergeCells count="178">
    <mergeCell ref="O19:P19"/>
    <mergeCell ref="O20:P20"/>
    <mergeCell ref="O27:P27"/>
    <mergeCell ref="O28:P28"/>
    <mergeCell ref="O30:P30"/>
    <mergeCell ref="AN29:AO29"/>
    <mergeCell ref="W30:X30"/>
    <mergeCell ref="Y30:Z30"/>
    <mergeCell ref="AA30:AB30"/>
    <mergeCell ref="AC30:AD30"/>
    <mergeCell ref="AN27:AO27"/>
    <mergeCell ref="W28:X28"/>
    <mergeCell ref="Y28:Z28"/>
    <mergeCell ref="AA28:AB28"/>
    <mergeCell ref="AC28:AD28"/>
    <mergeCell ref="AN28:AO28"/>
    <mergeCell ref="AI25:AO25"/>
    <mergeCell ref="O26:P26"/>
    <mergeCell ref="Q26:R26"/>
    <mergeCell ref="S26:T26"/>
    <mergeCell ref="U26:V26"/>
    <mergeCell ref="W26:X26"/>
    <mergeCell ref="Y26:Z26"/>
    <mergeCell ref="AA26:AB26"/>
    <mergeCell ref="B30:G30"/>
    <mergeCell ref="H30:L30"/>
    <mergeCell ref="M30:N30"/>
    <mergeCell ref="Q30:R30"/>
    <mergeCell ref="S30:T30"/>
    <mergeCell ref="U30:V30"/>
    <mergeCell ref="B27:G27"/>
    <mergeCell ref="H27:L27"/>
    <mergeCell ref="M27:N27"/>
    <mergeCell ref="Q27:R27"/>
    <mergeCell ref="S27:T27"/>
    <mergeCell ref="B28:G28"/>
    <mergeCell ref="H28:L28"/>
    <mergeCell ref="M28:N28"/>
    <mergeCell ref="Q28:R28"/>
    <mergeCell ref="S28:T28"/>
    <mergeCell ref="U28:V28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B11:E11"/>
    <mergeCell ref="F11:K11"/>
    <mergeCell ref="B12:E12"/>
    <mergeCell ref="F12:K12"/>
    <mergeCell ref="B13:E13"/>
    <mergeCell ref="F13:I13"/>
    <mergeCell ref="J13:K13"/>
    <mergeCell ref="O17:AF17"/>
    <mergeCell ref="AI18:AO18"/>
    <mergeCell ref="O18:P18"/>
    <mergeCell ref="Q18:R18"/>
    <mergeCell ref="S18:T18"/>
    <mergeCell ref="U18:V18"/>
    <mergeCell ref="W18:X18"/>
    <mergeCell ref="U2:Y2"/>
    <mergeCell ref="AA2:AE2"/>
    <mergeCell ref="AI2:AM2"/>
    <mergeCell ref="AK9:AP10"/>
    <mergeCell ref="A66:A105"/>
    <mergeCell ref="B67:E67"/>
    <mergeCell ref="G67:K67"/>
    <mergeCell ref="O67:S67"/>
    <mergeCell ref="U67:Y67"/>
    <mergeCell ref="AA67:AE67"/>
    <mergeCell ref="AO2:AR2"/>
    <mergeCell ref="B6:E6"/>
    <mergeCell ref="F6:K6"/>
    <mergeCell ref="B7:E7"/>
    <mergeCell ref="F7:K7"/>
    <mergeCell ref="B8:E8"/>
    <mergeCell ref="F8:K8"/>
    <mergeCell ref="B2:E2"/>
    <mergeCell ref="G2:K2"/>
    <mergeCell ref="O2:S2"/>
    <mergeCell ref="B9:E9"/>
    <mergeCell ref="F9:K9"/>
    <mergeCell ref="B10:E10"/>
    <mergeCell ref="Y18:Z18"/>
    <mergeCell ref="F10:K10"/>
    <mergeCell ref="AI67:AM67"/>
    <mergeCell ref="AO67:AR67"/>
    <mergeCell ref="O80:P80"/>
    <mergeCell ref="Q80:R80"/>
    <mergeCell ref="S80:T80"/>
    <mergeCell ref="U80:V80"/>
    <mergeCell ref="W80:X80"/>
    <mergeCell ref="Y80:Z80"/>
    <mergeCell ref="AA80:AB80"/>
    <mergeCell ref="AC80:AD80"/>
    <mergeCell ref="AI17:AO17"/>
    <mergeCell ref="AA18:AB18"/>
    <mergeCell ref="AC18:AD18"/>
    <mergeCell ref="AE18:AF18"/>
    <mergeCell ref="B19:G19"/>
    <mergeCell ref="H19:L19"/>
    <mergeCell ref="M19:N19"/>
    <mergeCell ref="Q19:R19"/>
    <mergeCell ref="S19:T19"/>
    <mergeCell ref="AN19:AO19"/>
    <mergeCell ref="B20:G20"/>
    <mergeCell ref="H20:L20"/>
    <mergeCell ref="M20:N20"/>
    <mergeCell ref="AC81:AD81"/>
    <mergeCell ref="AE81:AF81"/>
    <mergeCell ref="AG81:AH81"/>
    <mergeCell ref="AI81:AJ81"/>
    <mergeCell ref="Y81:Z81"/>
    <mergeCell ref="AA81:AB81"/>
    <mergeCell ref="AK81:AL81"/>
    <mergeCell ref="O82:AJ82"/>
    <mergeCell ref="AE80:AF80"/>
    <mergeCell ref="AG80:AH80"/>
    <mergeCell ref="AI80:AJ80"/>
    <mergeCell ref="O81:P81"/>
    <mergeCell ref="Q81:R81"/>
    <mergeCell ref="S81:T81"/>
    <mergeCell ref="U81:V81"/>
    <mergeCell ref="W81:X81"/>
    <mergeCell ref="AA83:AB83"/>
    <mergeCell ref="AC83:AD83"/>
    <mergeCell ref="AE83:AF83"/>
    <mergeCell ref="AG83:AH83"/>
    <mergeCell ref="AI83:AJ83"/>
    <mergeCell ref="M84:N84"/>
    <mergeCell ref="O84:P84"/>
    <mergeCell ref="Q84:R84"/>
    <mergeCell ref="S84:T84"/>
    <mergeCell ref="U84:V84"/>
    <mergeCell ref="O83:P83"/>
    <mergeCell ref="Q83:R83"/>
    <mergeCell ref="S83:T83"/>
    <mergeCell ref="U83:V83"/>
    <mergeCell ref="W83:X83"/>
    <mergeCell ref="Y83:Z83"/>
    <mergeCell ref="AG85:AH85"/>
    <mergeCell ref="AI85:AJ85"/>
    <mergeCell ref="AI84:AJ84"/>
    <mergeCell ref="O85:P85"/>
    <mergeCell ref="Q85:R85"/>
    <mergeCell ref="S85:T85"/>
    <mergeCell ref="U85:V85"/>
    <mergeCell ref="W85:X85"/>
    <mergeCell ref="Y85:Z85"/>
    <mergeCell ref="AA85:AB85"/>
    <mergeCell ref="AC85:AD85"/>
    <mergeCell ref="AE85:AF85"/>
    <mergeCell ref="W84:X84"/>
    <mergeCell ref="Y84:Z84"/>
    <mergeCell ref="AA84:AB84"/>
    <mergeCell ref="AC84:AD84"/>
    <mergeCell ref="AE84:AF84"/>
    <mergeCell ref="AG84:AH84"/>
  </mergeCells>
  <conditionalFormatting sqref="AY28 AY45:AY49 BH43 BH47:BH52 BH88:BH92 BH94:BH99 AZ104:AZ124 AZ130:AZ132 BH138:BI140 AY5:AY12 AY18:AY22 AZ7:AZ12 AY31:AY41 AY52:AY53 AY66 AY16 AZ16:AZ22 AY13:AZ15 AY23:AZ24 AZ25:AZ41 AY43 AY42:AZ42 AZ43:AZ53 AZ55:AZ66 AY55:AY57 AY54:AZ54 AZ68:AZ92 AY68:AY71 AY67:AZ67 BH5:BH20 BI8:BI20 BH36:BI36 BH54:BH68 BH77 BH101:BH105 BH21:BI26 BI27:BI35 BH45 BI37:BI68 BI71:BI77 BH71 BH69:BI70 BH78:BI84 BH86 BI85:BI105 BI108:BI127 BH108:BH118 BH106:BI107">
    <cfRule type="cellIs" dxfId="683" priority="70" stopIfTrue="1" operator="equal">
      <formula>0</formula>
    </cfRule>
  </conditionalFormatting>
  <conditionalFormatting sqref="AY62:AY65 AY77 AY59 AY79">
    <cfRule type="cellIs" dxfId="682" priority="68" stopIfTrue="1" operator="equal">
      <formula>0</formula>
    </cfRule>
  </conditionalFormatting>
  <conditionalFormatting sqref="O17:AF17 Q19:T19 Q20:AD20 Q27:T27 Q28:AD28 O19:P20 W22:AF22 O27:P28 O30:AD30">
    <cfRule type="expression" dxfId="681" priority="69" stopIfTrue="1">
      <formula>$AW$4=0</formula>
    </cfRule>
  </conditionalFormatting>
  <conditionalFormatting sqref="AY50:AY51">
    <cfRule type="cellIs" dxfId="680" priority="48" stopIfTrue="1" operator="equal">
      <formula>0</formula>
    </cfRule>
  </conditionalFormatting>
  <conditionalFormatting sqref="AY86 AY92">
    <cfRule type="cellIs" dxfId="679" priority="67" stopIfTrue="1" operator="equal">
      <formula>0</formula>
    </cfRule>
  </conditionalFormatting>
  <conditionalFormatting sqref="AY104:AY107">
    <cfRule type="cellIs" dxfId="678" priority="65" stopIfTrue="1" operator="equal">
      <formula>0</formula>
    </cfRule>
  </conditionalFormatting>
  <conditionalFormatting sqref="AY60:AY61">
    <cfRule type="cellIs" dxfId="677" priority="64" stopIfTrue="1" operator="equal">
      <formula>0</formula>
    </cfRule>
  </conditionalFormatting>
  <conditionalFormatting sqref="AY73">
    <cfRule type="cellIs" dxfId="676" priority="63" stopIfTrue="1" operator="equal">
      <formula>0</formula>
    </cfRule>
  </conditionalFormatting>
  <conditionalFormatting sqref="AY81:AY83">
    <cfRule type="cellIs" dxfId="675" priority="62" stopIfTrue="1" operator="equal">
      <formula>0</formula>
    </cfRule>
  </conditionalFormatting>
  <conditionalFormatting sqref="AY84">
    <cfRule type="cellIs" dxfId="674" priority="61" stopIfTrue="1" operator="equal">
      <formula>0</formula>
    </cfRule>
  </conditionalFormatting>
  <conditionalFormatting sqref="AY85">
    <cfRule type="cellIs" dxfId="673" priority="60" stopIfTrue="1" operator="equal">
      <formula>0</formula>
    </cfRule>
  </conditionalFormatting>
  <conditionalFormatting sqref="BH120:BH122 BH124">
    <cfRule type="cellIs" dxfId="672" priority="58" stopIfTrue="1" operator="equal">
      <formula>0</formula>
    </cfRule>
  </conditionalFormatting>
  <conditionalFormatting sqref="AY108:AY124 AY130:AY132">
    <cfRule type="cellIs" dxfId="671" priority="56" stopIfTrue="1" operator="equal">
      <formula>0</formula>
    </cfRule>
  </conditionalFormatting>
  <conditionalFormatting sqref="AY74:AY75">
    <cfRule type="cellIs" dxfId="670" priority="55" stopIfTrue="1" operator="equal">
      <formula>0</formula>
    </cfRule>
  </conditionalFormatting>
  <conditionalFormatting sqref="BH125:BH127 BH132">
    <cfRule type="cellIs" dxfId="669" priority="53" stopIfTrue="1" operator="equal">
      <formula>0</formula>
    </cfRule>
  </conditionalFormatting>
  <conditionalFormatting sqref="BH32">
    <cfRule type="cellIs" dxfId="668" priority="39" stopIfTrue="1" operator="equal">
      <formula>0</formula>
    </cfRule>
  </conditionalFormatting>
  <conditionalFormatting sqref="AY17">
    <cfRule type="cellIs" dxfId="667" priority="52" stopIfTrue="1" operator="equal">
      <formula>0</formula>
    </cfRule>
  </conditionalFormatting>
  <conditionalFormatting sqref="AY25:AY27">
    <cfRule type="cellIs" dxfId="666" priority="51" stopIfTrue="1" operator="equal">
      <formula>0</formula>
    </cfRule>
  </conditionalFormatting>
  <conditionalFormatting sqref="AY29:AY30">
    <cfRule type="cellIs" dxfId="665" priority="50" stopIfTrue="1" operator="equal">
      <formula>0</formula>
    </cfRule>
  </conditionalFormatting>
  <conditionalFormatting sqref="AY44">
    <cfRule type="cellIs" dxfId="664" priority="49" stopIfTrue="1" operator="equal">
      <formula>0</formula>
    </cfRule>
  </conditionalFormatting>
  <conditionalFormatting sqref="AY58">
    <cfRule type="cellIs" dxfId="663" priority="47" stopIfTrue="1" operator="equal">
      <formula>0</formula>
    </cfRule>
  </conditionalFormatting>
  <conditionalFormatting sqref="AY72">
    <cfRule type="cellIs" dxfId="662" priority="46" stopIfTrue="1" operator="equal">
      <formula>0</formula>
    </cfRule>
  </conditionalFormatting>
  <conditionalFormatting sqref="AY76">
    <cfRule type="cellIs" dxfId="661" priority="45" stopIfTrue="1" operator="equal">
      <formula>0</formula>
    </cfRule>
  </conditionalFormatting>
  <conditionalFormatting sqref="AY78">
    <cfRule type="cellIs" dxfId="660" priority="44" stopIfTrue="1" operator="equal">
      <formula>0</formula>
    </cfRule>
  </conditionalFormatting>
  <conditionalFormatting sqref="AY80">
    <cfRule type="cellIs" dxfId="659" priority="43" stopIfTrue="1" operator="equal">
      <formula>0</formula>
    </cfRule>
  </conditionalFormatting>
  <conditionalFormatting sqref="AY87:AY91">
    <cfRule type="cellIs" dxfId="658" priority="42" stopIfTrue="1" operator="equal">
      <formula>0</formula>
    </cfRule>
  </conditionalFormatting>
  <conditionalFormatting sqref="F13:K13">
    <cfRule type="expression" dxfId="657" priority="41" stopIfTrue="1">
      <formula>$AW$4=1</formula>
    </cfRule>
  </conditionalFormatting>
  <conditionalFormatting sqref="BH27:BH31">
    <cfRule type="cellIs" dxfId="656" priority="40" stopIfTrue="1" operator="equal">
      <formula>0</formula>
    </cfRule>
  </conditionalFormatting>
  <conditionalFormatting sqref="BH33">
    <cfRule type="cellIs" dxfId="655" priority="38" stopIfTrue="1" operator="equal">
      <formula>0</formula>
    </cfRule>
  </conditionalFormatting>
  <conditionalFormatting sqref="BH34:BH35">
    <cfRule type="cellIs" dxfId="654" priority="37" stopIfTrue="1" operator="equal">
      <formula>0</formula>
    </cfRule>
  </conditionalFormatting>
  <conditionalFormatting sqref="BH37:BH42">
    <cfRule type="cellIs" dxfId="653" priority="36" stopIfTrue="1" operator="equal">
      <formula>0</formula>
    </cfRule>
  </conditionalFormatting>
  <conditionalFormatting sqref="BH46">
    <cfRule type="cellIs" dxfId="652" priority="35" stopIfTrue="1" operator="equal">
      <formula>0</formula>
    </cfRule>
  </conditionalFormatting>
  <conditionalFormatting sqref="BH53">
    <cfRule type="cellIs" dxfId="651" priority="34" stopIfTrue="1" operator="equal">
      <formula>0</formula>
    </cfRule>
  </conditionalFormatting>
  <conditionalFormatting sqref="BH72">
    <cfRule type="cellIs" dxfId="650" priority="33" stopIfTrue="1" operator="equal">
      <formula>0</formula>
    </cfRule>
  </conditionalFormatting>
  <conditionalFormatting sqref="BH73:BH76">
    <cfRule type="cellIs" dxfId="649" priority="32" stopIfTrue="1" operator="equal">
      <formula>0</formula>
    </cfRule>
  </conditionalFormatting>
  <conditionalFormatting sqref="BH87">
    <cfRule type="cellIs" dxfId="648" priority="31" stopIfTrue="1" operator="equal">
      <formula>0</formula>
    </cfRule>
  </conditionalFormatting>
  <conditionalFormatting sqref="BH93">
    <cfRule type="cellIs" dxfId="647" priority="30" stopIfTrue="1" operator="equal">
      <formula>0</formula>
    </cfRule>
  </conditionalFormatting>
  <conditionalFormatting sqref="BH100">
    <cfRule type="cellIs" dxfId="646" priority="29" stopIfTrue="1" operator="equal">
      <formula>0</formula>
    </cfRule>
  </conditionalFormatting>
  <conditionalFormatting sqref="BH119">
    <cfRule type="cellIs" dxfId="645" priority="28" stopIfTrue="1" operator="equal">
      <formula>0</formula>
    </cfRule>
  </conditionalFormatting>
  <conditionalFormatting sqref="BH123">
    <cfRule type="cellIs" dxfId="644" priority="27" stopIfTrue="1" operator="equal">
      <formula>0</formula>
    </cfRule>
  </conditionalFormatting>
  <conditionalFormatting sqref="AZ5:AZ6">
    <cfRule type="cellIs" dxfId="643" priority="25" stopIfTrue="1" operator="equal">
      <formula>0</formula>
    </cfRule>
  </conditionalFormatting>
  <conditionalFormatting sqref="BI7">
    <cfRule type="cellIs" dxfId="642" priority="24" stopIfTrue="1" operator="equal">
      <formula>0</formula>
    </cfRule>
  </conditionalFormatting>
  <conditionalFormatting sqref="BI132">
    <cfRule type="cellIs" dxfId="641" priority="23" stopIfTrue="1" operator="equal">
      <formula>0</formula>
    </cfRule>
  </conditionalFormatting>
  <conditionalFormatting sqref="AR87">
    <cfRule type="expression" dxfId="640" priority="22" stopIfTrue="1">
      <formula>$AU$97=AU99</formula>
    </cfRule>
  </conditionalFormatting>
  <conditionalFormatting sqref="AZ95:AZ103">
    <cfRule type="cellIs" dxfId="639" priority="21" stopIfTrue="1" operator="equal">
      <formula>0</formula>
    </cfRule>
  </conditionalFormatting>
  <conditionalFormatting sqref="AY98:AY103">
    <cfRule type="cellIs" dxfId="638" priority="20" stopIfTrue="1" operator="equal">
      <formula>0</formula>
    </cfRule>
  </conditionalFormatting>
  <conditionalFormatting sqref="AY95:AY97">
    <cfRule type="cellIs" dxfId="637" priority="19" stopIfTrue="1" operator="equal">
      <formula>0</formula>
    </cfRule>
  </conditionalFormatting>
  <conditionalFormatting sqref="AZ93:AZ94">
    <cfRule type="cellIs" dxfId="636" priority="18" stopIfTrue="1" operator="equal">
      <formula>0</formula>
    </cfRule>
  </conditionalFormatting>
  <conditionalFormatting sqref="AY93:AY94">
    <cfRule type="cellIs" dxfId="635" priority="17" stopIfTrue="1" operator="equal">
      <formula>0</formula>
    </cfRule>
  </conditionalFormatting>
  <conditionalFormatting sqref="BH128:BH129">
    <cfRule type="cellIs" dxfId="634" priority="16" stopIfTrue="1" operator="equal">
      <formula>0</formula>
    </cfRule>
  </conditionalFormatting>
  <conditionalFormatting sqref="BI128:BI129">
    <cfRule type="cellIs" dxfId="633" priority="15" stopIfTrue="1" operator="equal">
      <formula>0</formula>
    </cfRule>
  </conditionalFormatting>
  <conditionalFormatting sqref="BH131">
    <cfRule type="cellIs" dxfId="632" priority="14" stopIfTrue="1" operator="equal">
      <formula>0</formula>
    </cfRule>
  </conditionalFormatting>
  <conditionalFormatting sqref="BI130:BI131">
    <cfRule type="cellIs" dxfId="631" priority="13" stopIfTrue="1" operator="equal">
      <formula>0</formula>
    </cfRule>
  </conditionalFormatting>
  <conditionalFormatting sqref="BH130">
    <cfRule type="cellIs" dxfId="630" priority="12" stopIfTrue="1" operator="equal">
      <formula>0</formula>
    </cfRule>
  </conditionalFormatting>
  <conditionalFormatting sqref="AZ125:AZ129">
    <cfRule type="cellIs" dxfId="629" priority="11" stopIfTrue="1" operator="equal">
      <formula>0</formula>
    </cfRule>
  </conditionalFormatting>
  <conditionalFormatting sqref="AY125:AY129">
    <cfRule type="cellIs" dxfId="628" priority="10" stopIfTrue="1" operator="equal">
      <formula>0</formula>
    </cfRule>
  </conditionalFormatting>
  <conditionalFormatting sqref="BH133 BH136:BH137">
    <cfRule type="cellIs" dxfId="627" priority="9" stopIfTrue="1" operator="equal">
      <formula>0</formula>
    </cfRule>
  </conditionalFormatting>
  <conditionalFormatting sqref="BI133:BI137">
    <cfRule type="cellIs" dxfId="626" priority="8" stopIfTrue="1" operator="equal">
      <formula>0</formula>
    </cfRule>
  </conditionalFormatting>
  <conditionalFormatting sqref="BH134:BH135">
    <cfRule type="cellIs" dxfId="625" priority="7" stopIfTrue="1" operator="equal">
      <formula>0</formula>
    </cfRule>
  </conditionalFormatting>
  <conditionalFormatting sqref="AI17:AO17">
    <cfRule type="expression" dxfId="624" priority="6" stopIfTrue="1">
      <formula>$AW$4=0</formula>
    </cfRule>
  </conditionalFormatting>
  <conditionalFormatting sqref="AI25:AO25">
    <cfRule type="expression" dxfId="623" priority="5" stopIfTrue="1">
      <formula>$AW$4=0</formula>
    </cfRule>
  </conditionalFormatting>
  <conditionalFormatting sqref="BI5">
    <cfRule type="cellIs" dxfId="622" priority="4" stopIfTrue="1" operator="equal">
      <formula>0</formula>
    </cfRule>
  </conditionalFormatting>
  <conditionalFormatting sqref="BI6">
    <cfRule type="cellIs" dxfId="621" priority="3" stopIfTrue="1" operator="equal">
      <formula>0</formula>
    </cfRule>
  </conditionalFormatting>
  <conditionalFormatting sqref="BH44">
    <cfRule type="cellIs" dxfId="620" priority="2" stopIfTrue="1" operator="equal">
      <formula>0</formula>
    </cfRule>
  </conditionalFormatting>
  <conditionalFormatting sqref="BH85">
    <cfRule type="cellIs" dxfId="619" priority="1" stopIfTrue="1" operator="equal">
      <formula>0</formula>
    </cfRule>
  </conditionalFormatting>
  <hyperlinks>
    <hyperlink ref="M4" location="MENU!A1" display="MENU!A1" xr:uid="{00000000-0004-0000-0B00-000000000000}"/>
    <hyperlink ref="M10" location="OBJ!A1" display="OBJ!A1" xr:uid="{00000000-0004-0000-0B00-000001000000}"/>
    <hyperlink ref="M9" location="suhrn!A1" display="suhrn!A1" xr:uid="{00000000-0004-0000-0B00-000002000000}"/>
    <hyperlink ref="O2:S2" location="MENU!A5" display="MENU!A5" xr:uid="{00000000-0004-0000-0B00-000003000000}"/>
    <hyperlink ref="AK9:AO10" location="'IT70(vn100)'!A66" display="'IT70(vn100)'!A66" xr:uid="{00000000-0004-0000-0B00-000004000000}"/>
    <hyperlink ref="AK9:AP10" location="'AVT139(vn-A)'!A66" display="'AVT139(vn-A)'!A66" xr:uid="{00000000-0004-0000-0B00-000005000000}"/>
    <hyperlink ref="M69" location="MENU!A1" display="MENU!A1" xr:uid="{00000000-0004-0000-0B00-000006000000}"/>
    <hyperlink ref="B67:E67" location="'AVT139(vn-A)'!A1" display="'AVT139(vn-A)'!A1" xr:uid="{00000000-0004-0000-0B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56">
    <tabColor rgb="FFFF0000"/>
  </sheetPr>
  <dimension ref="A1:BK140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187"</f>
        <v>Zásuvka AVANTECH YOU 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SUM(BB5:BB997)</f>
        <v>#N/A</v>
      </c>
      <c r="BD4" s="94" t="s">
        <v>34</v>
      </c>
      <c r="BK4" s="322" t="e">
        <f>SUM(BK5:BK990)</f>
        <v>#N/A</v>
      </c>
    </row>
    <row r="5" spans="1:63" ht="14.45" customHeight="1">
      <c r="AU5" s="319">
        <f>OBJ!B112</f>
        <v>9353353</v>
      </c>
      <c r="AV5" s="21" t="str">
        <f>VLOOKUP(AU5,CENY!$B$11:$G$1054,2,FALSE)</f>
        <v>AvanY-sólo oceľ.boky-NW 187/270mm/strieb.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37.606110000000001</v>
      </c>
      <c r="BB5" s="95">
        <f t="shared" ref="BB5:BB68" si="0">IF(BA5="","",BA5*AY5)</f>
        <v>0</v>
      </c>
      <c r="BD5" s="319">
        <f>OBJ!B122</f>
        <v>9255044</v>
      </c>
      <c r="BE5" s="21" t="str">
        <f>VLOOKUP(BD5,CENY!$B$11:$G$1054,2,FALSE)</f>
        <v>AvanY-bok ľavý /v187/h270/ strieborná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16.540590000000002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328</v>
      </c>
      <c r="G6" s="566"/>
      <c r="H6" s="566"/>
      <c r="I6" s="566"/>
      <c r="J6" s="566"/>
      <c r="K6" s="566"/>
      <c r="AU6" s="319">
        <f>OBJ!B113</f>
        <v>9353354</v>
      </c>
      <c r="AV6" s="21" t="str">
        <f>VLOOKUP(AU6,CENY!$B$11:$G$1054,2,FALSE)</f>
        <v>AvanY-sólo oceľ.boky-NW 187/300mm/strieb.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 t="shared" ref="AZ6:AZ69" si="1">IF(AY6="","",IF($AW$4=1,AY6,0))</f>
        <v>0</v>
      </c>
      <c r="BA6" s="95">
        <f>VLOOKUP(AU6,CENY!$B$11:$M$2025,12,FALSE)</f>
        <v>37.95196</v>
      </c>
      <c r="BB6" s="95">
        <f t="shared" si="0"/>
        <v>0</v>
      </c>
      <c r="BD6" s="319">
        <f>OBJ!B123</f>
        <v>9255045</v>
      </c>
      <c r="BE6" s="21" t="str">
        <f>VLOOKUP(BD6,CENY!$B$11:$G$1054,2,FALSE)</f>
        <v>AvanY-bok pravý /v187/h270/ strieborná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16.540590000000002</v>
      </c>
      <c r="BK6" s="95">
        <f t="shared" ref="BK6:BK69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OBJ!B114</f>
        <v>9353355</v>
      </c>
      <c r="AV7" s="21" t="str">
        <f>VLOOKUP(AU7,CENY!$B$11:$G$1054,2,FALSE)</f>
        <v>AvanY-sólo oceľ.boky-NW 187/350mm/strieb.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si="1"/>
        <v>0</v>
      </c>
      <c r="BA7" s="95">
        <f>VLOOKUP(AU7,CENY!$B$11:$M$2025,12,FALSE)</f>
        <v>38.529060000000001</v>
      </c>
      <c r="BB7" s="95">
        <f t="shared" si="0"/>
        <v>0</v>
      </c>
      <c r="BD7" s="319">
        <f>OBJ!B124</f>
        <v>9255046</v>
      </c>
      <c r="BE7" s="21" t="str">
        <f>VLOOKUP(BD7,CENY!$B$11:$G$1054,2,FALSE)</f>
        <v>AvanY-bok ľavý /v187/h300/ strieborná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16.72522</v>
      </c>
      <c r="BK7" s="95">
        <f t="shared" si="3"/>
        <v>0</v>
      </c>
    </row>
    <row r="8" spans="1:63" ht="14.45" customHeight="1" thickBo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OBJ!B115</f>
        <v>9353356</v>
      </c>
      <c r="AV8" s="21" t="str">
        <f>VLOOKUP(AU8,CENY!$B$11:$G$1054,2,FALSE)</f>
        <v>AvanY-sólo oceľ.boky-NW 187/400mm/strieb.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1"/>
        <v>0</v>
      </c>
      <c r="BA8" s="95">
        <f>VLOOKUP(AU8,CENY!$B$11:$M$2025,12,FALSE)</f>
        <v>39.106140000000003</v>
      </c>
      <c r="BB8" s="95">
        <f t="shared" si="0"/>
        <v>0</v>
      </c>
      <c r="BD8" s="319">
        <f>OBJ!B125</f>
        <v>9255047</v>
      </c>
      <c r="BE8" s="21" t="str">
        <f>VLOOKUP(BD8,CENY!$B$11:$G$1054,2,FALSE)</f>
        <v>AvanY-bok pravý /v187/h300/ strieborná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16.72522</v>
      </c>
      <c r="BK8" s="95">
        <f t="shared" si="3"/>
        <v>0</v>
      </c>
    </row>
    <row r="9" spans="1:63" ht="14.45" customHeight="1" thickTop="1">
      <c r="B9" s="552"/>
      <c r="C9" s="560"/>
      <c r="D9" s="560"/>
      <c r="E9" s="561"/>
      <c r="F9" s="562"/>
      <c r="G9" s="563"/>
      <c r="H9" s="563"/>
      <c r="I9" s="563"/>
      <c r="J9" s="563"/>
      <c r="K9" s="564"/>
      <c r="AK9" s="587" t="str">
        <f>verze!E160</f>
        <v>Je nutné natypovať šírky čiel ?</v>
      </c>
      <c r="AL9" s="588"/>
      <c r="AM9" s="588"/>
      <c r="AN9" s="588"/>
      <c r="AO9" s="588"/>
      <c r="AP9" s="589"/>
      <c r="AU9" s="319">
        <f>OBJ!B116</f>
        <v>9353357</v>
      </c>
      <c r="AV9" s="21" t="str">
        <f>VLOOKUP(AU9,CENY!$B$11:$G$1054,2,FALSE)</f>
        <v>AvanY-sólo oceľ.boky-NW 187/450mm/strieb.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1"/>
        <v>0</v>
      </c>
      <c r="BA9" s="95">
        <f>VLOOKUP(AU9,CENY!$B$11:$M$2025,12,FALSE)</f>
        <v>37.79374</v>
      </c>
      <c r="BB9" s="95">
        <f t="shared" si="0"/>
        <v>0</v>
      </c>
      <c r="BD9" s="319">
        <f>OBJ!B126</f>
        <v>9255048</v>
      </c>
      <c r="BE9" s="21" t="str">
        <f>VLOOKUP(BD9,CENY!$B$11:$G$1054,2,FALSE)</f>
        <v>AvanY-bok ľavý /v187/h350/ strieborná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17.033180000000002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K10" s="590"/>
      <c r="AL10" s="591"/>
      <c r="AM10" s="591"/>
      <c r="AN10" s="591"/>
      <c r="AO10" s="591"/>
      <c r="AP10" s="592"/>
      <c r="AU10" s="319">
        <f>OBJ!B117</f>
        <v>9353358</v>
      </c>
      <c r="AV10" s="21" t="str">
        <f>VLOOKUP(AU10,CENY!$B$11:$G$1054,2,FALSE)</f>
        <v>AvanY-sólo oceľ.boky-NW 187/500mm/strieb.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1"/>
        <v>0</v>
      </c>
      <c r="BA10" s="95">
        <f>VLOOKUP(AU10,CENY!$B$11:$M$2025,12,FALSE)</f>
        <v>38.343159999999997</v>
      </c>
      <c r="BB10" s="95">
        <f t="shared" si="0"/>
        <v>0</v>
      </c>
      <c r="BD10" s="319">
        <f>OBJ!B127</f>
        <v>9255049</v>
      </c>
      <c r="BE10" s="21" t="str">
        <f>VLOOKUP(BD10,CENY!$B$11:$G$1054,2,FALSE)</f>
        <v>AvanY-bok pravý /v187/h350/ strieborná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17.033180000000002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OBJ!B118</f>
        <v>9353359</v>
      </c>
      <c r="AV11" s="21" t="str">
        <f>VLOOKUP(AU11,CENY!$B$11:$G$1054,2,FALSE)</f>
        <v>AvanY-sólo oceľ.boky-NW 187/550mm/strieb.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1"/>
        <v>0</v>
      </c>
      <c r="BA11" s="95">
        <f>VLOOKUP(AU11,CENY!$B$11:$M$2025,12,FALSE)</f>
        <v>40.83719</v>
      </c>
      <c r="BB11" s="95">
        <f t="shared" si="0"/>
        <v>0</v>
      </c>
      <c r="BD11" s="319">
        <f>OBJ!B128</f>
        <v>9255050</v>
      </c>
      <c r="BE11" s="21" t="str">
        <f>VLOOKUP(BD11,CENY!$B$11:$G$1054,2,FALSE)</f>
        <v>AvanY-bok ľavý /v187/h400/ strieborná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17.340789999999998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OBJ!B119</f>
        <v>9353360</v>
      </c>
      <c r="AV12" s="21" t="str">
        <f>VLOOKUP(AU12,CENY!$B$11:$G$1054,2,FALSE)</f>
        <v>AvanY-sólo oceľ.boky-NW 187/600mm/strieb.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1"/>
        <v>0</v>
      </c>
      <c r="BA12" s="95">
        <f>VLOOKUP(AU12,CENY!$B$11:$M$2025,12,FALSE)</f>
        <v>41.752409999999998</v>
      </c>
      <c r="BB12" s="95">
        <f t="shared" si="0"/>
        <v>0</v>
      </c>
      <c r="BD12" s="319">
        <f>OBJ!B129</f>
        <v>9255051</v>
      </c>
      <c r="BE12" s="21" t="str">
        <f>VLOOKUP(BD12,CENY!$B$11:$G$1054,2,FALSE)</f>
        <v>AvanY-bok pravý /v187/h400/ strieborná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17.340789999999998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OBJ!B120</f>
        <v>9353371</v>
      </c>
      <c r="AV13" s="21" t="str">
        <f>VLOOKUP(AU13,CENY!$B$11:$G$1054,2,FALSE)</f>
        <v>AvanY-sólo oceľ.boky-NW 187/650mm/strieb.</v>
      </c>
      <c r="AW13" s="22">
        <f>VLOOKUP(AU13,CENY!$B$11:$G$1054,3,FALSE)</f>
        <v>1</v>
      </c>
      <c r="AX13" s="362">
        <v>10</v>
      </c>
      <c r="AY13" s="23">
        <f>AE22</f>
        <v>0</v>
      </c>
      <c r="AZ13" s="326">
        <f t="shared" si="1"/>
        <v>0</v>
      </c>
      <c r="BA13" s="95">
        <f>VLOOKUP(AU13,CENY!$B$11:$M$2025,12,FALSE)</f>
        <v>43.053130000000003</v>
      </c>
      <c r="BB13" s="95">
        <f t="shared" si="0"/>
        <v>0</v>
      </c>
      <c r="BD13" s="319">
        <f>OBJ!B130</f>
        <v>9255052</v>
      </c>
      <c r="BE13" s="21" t="str">
        <f>VLOOKUP(BD13,CENY!$B$11:$G$1054,2,FALSE)</f>
        <v>AvanY-bok ľavý /v187/h450/ strieborná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16.80836</v>
      </c>
      <c r="BK13" s="95">
        <f t="shared" si="3"/>
        <v>0</v>
      </c>
    </row>
    <row r="14" spans="1:63" ht="14.45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OBJ!B131</f>
        <v>9255053</v>
      </c>
      <c r="BE14" s="21" t="str">
        <f>VLOOKUP(BD14,CENY!$B$11:$G$1054,2,FALSE)</f>
        <v>AvanY-bok pravý /v187/h450/ strieborná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16.80836</v>
      </c>
      <c r="BK14" s="95">
        <f t="shared" si="3"/>
        <v>0</v>
      </c>
    </row>
    <row r="15" spans="1:63" ht="14.45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si="1"/>
        <v>0</v>
      </c>
      <c r="BA15" s="95">
        <f>VLOOKUP(AU15,CENY!$B$11:$M$2025,12,FALSE)</f>
        <v>0.95189000000000001</v>
      </c>
      <c r="BB15" s="95">
        <f t="shared" si="0"/>
        <v>0</v>
      </c>
      <c r="BD15" s="319">
        <f>OBJ!B132</f>
        <v>9255054</v>
      </c>
      <c r="BE15" s="21" t="str">
        <f>VLOOKUP(BD15,CENY!$B$11:$G$1054,2,FALSE)</f>
        <v>AvanY-bok ľavý /v187/h500/ strieborná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17.10154</v>
      </c>
      <c r="BK15" s="95">
        <f t="shared" si="3"/>
        <v>0</v>
      </c>
    </row>
    <row r="16" spans="1:63" ht="14.45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1"/>
        <v>0</v>
      </c>
      <c r="BA16" s="95">
        <f>VLOOKUP(AU16,CENY!$B$11:$M$2025,12,FALSE)</f>
        <v>0.96240999999999999</v>
      </c>
      <c r="BB16" s="95">
        <f t="shared" si="0"/>
        <v>0</v>
      </c>
      <c r="BD16" s="319">
        <f>OBJ!B133</f>
        <v>9255055</v>
      </c>
      <c r="BE16" s="21" t="str">
        <f>VLOOKUP(BD16,CENY!$B$11:$G$1054,2,FALSE)</f>
        <v>AvanY-bok pravý /v187/h500/ strieborná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17.10154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I17" s="542" t="str">
        <f>verze!E198</f>
        <v>P2O Silent pre Actro</v>
      </c>
      <c r="AJ17" s="543"/>
      <c r="AK17" s="543"/>
      <c r="AL17" s="543"/>
      <c r="AM17" s="543"/>
      <c r="AN17" s="543"/>
      <c r="AO17" s="543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1"/>
        <v>0</v>
      </c>
      <c r="BA17" s="95">
        <f>VLOOKUP(AU17,CENY!$B$11:$M$2025,12,FALSE)</f>
        <v>0.98018000000000005</v>
      </c>
      <c r="BB17" s="95">
        <f t="shared" si="0"/>
        <v>0</v>
      </c>
      <c r="BD17" s="319">
        <f>OBJ!B134</f>
        <v>9255056</v>
      </c>
      <c r="BE17" s="21" t="str">
        <f>VLOOKUP(BD17,CENY!$B$11:$G$1054,2,FALSE)</f>
        <v>AvanY-bok ľavý /v187/h550/ strieborná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18.264230000000001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I18" s="545" t="s">
        <v>299</v>
      </c>
      <c r="AJ18" s="545"/>
      <c r="AK18" s="545"/>
      <c r="AL18" s="545"/>
      <c r="AM18" s="545"/>
      <c r="AN18" s="545"/>
      <c r="AO18" s="545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1"/>
        <v>0</v>
      </c>
      <c r="BA18" s="95">
        <f>VLOOKUP(AU18,CENY!$B$11:$M$2025,12,FALSE)</f>
        <v>0.99777000000000005</v>
      </c>
      <c r="BB18" s="95">
        <f t="shared" si="0"/>
        <v>0</v>
      </c>
      <c r="BD18" s="319">
        <f>OBJ!B135</f>
        <v>9255057</v>
      </c>
      <c r="BE18" s="21" t="str">
        <f>VLOOKUP(BD18,CENY!$B$11:$G$1054,2,FALSE)</f>
        <v>AvanY-bok pravý /v187/h550/ strieborná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18.264230000000001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69"/>
      <c r="P19" s="570"/>
      <c r="Q19" s="569"/>
      <c r="R19" s="570"/>
      <c r="S19" s="569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6"/>
      <c r="AO19" s="536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1"/>
        <v>0</v>
      </c>
      <c r="BA19" s="95">
        <f>VLOOKUP(AU19,CENY!$B$11:$M$2025,12,FALSE)</f>
        <v>1.01556</v>
      </c>
      <c r="BB19" s="95">
        <f t="shared" si="0"/>
        <v>0</v>
      </c>
      <c r="BD19" s="319">
        <f>OBJ!B136</f>
        <v>9255058</v>
      </c>
      <c r="BE19" s="21" t="str">
        <f>VLOOKUP(BD19,CENY!$B$11:$G$1054,2,FALSE)</f>
        <v>AvanY-bok ľavý /v187/h600/ strieborná</v>
      </c>
      <c r="BF19" s="22">
        <f>VLOOKUP(BD19,CENY!$B$11:$G$1054,3,FALSE)</f>
        <v>10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18.728680000000001</v>
      </c>
      <c r="BK19" s="95">
        <f t="shared" si="3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18"/>
      <c r="P20" s="519"/>
      <c r="Q20" s="518"/>
      <c r="R20" s="519"/>
      <c r="S20" s="518"/>
      <c r="T20" s="519"/>
      <c r="U20" s="518"/>
      <c r="V20" s="519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I20" s="287"/>
      <c r="AJ20" s="288"/>
      <c r="AK20" s="287"/>
      <c r="AL20" s="288"/>
      <c r="AM20" s="286" t="s">
        <v>294</v>
      </c>
      <c r="AN20" s="522"/>
      <c r="AO20" s="522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1"/>
        <v>0</v>
      </c>
      <c r="BA20" s="95">
        <f>VLOOKUP(AU20,CENY!$B$11:$M$2025,12,FALSE)</f>
        <v>1.0332399999999999</v>
      </c>
      <c r="BB20" s="95">
        <f t="shared" si="0"/>
        <v>0</v>
      </c>
      <c r="BD20" s="319">
        <f>OBJ!B137</f>
        <v>9255059</v>
      </c>
      <c r="BE20" s="21" t="str">
        <f>VLOOKUP(BD20,CENY!$B$11:$G$1054,2,FALSE)</f>
        <v>AvanY-bok pravý /v187/h600/ strieborná</v>
      </c>
      <c r="BF20" s="22">
        <f>VLOOKUP(BD20,CENY!$B$11:$G$1054,3,FALSE)</f>
        <v>10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18.728680000000001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4"/>
      <c r="AO21" s="544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1"/>
        <v>0</v>
      </c>
      <c r="BA21" s="95">
        <f>VLOOKUP(AU21,CENY!$B$11:$M$2025,12,FALSE)</f>
        <v>1.0508599999999999</v>
      </c>
      <c r="BB21" s="95">
        <f t="shared" si="0"/>
        <v>0</v>
      </c>
      <c r="BD21" s="319">
        <f>OBJ!B138</f>
        <v>9255060</v>
      </c>
      <c r="BE21" s="21" t="str">
        <f>VLOOKUP(BD21,CENY!$B$11:$G$1054,2,FALSE)</f>
        <v>AvanY-bok ľavý /v187/h650/ strieborná</v>
      </c>
      <c r="BF21" s="22">
        <f>VLOOKUP(BD21,CENY!$B$11:$G$1054,3,FALSE)</f>
        <v>10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19.35998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67"/>
      <c r="AF22" s="568"/>
      <c r="AI22" s="287"/>
      <c r="AJ22" s="288"/>
      <c r="AK22" s="287"/>
      <c r="AL22" s="288"/>
      <c r="AM22" s="286" t="s">
        <v>297</v>
      </c>
      <c r="AN22" s="541"/>
      <c r="AO22" s="541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1"/>
        <v>0</v>
      </c>
      <c r="BA22" s="95">
        <f>VLOOKUP(AU22,CENY!$B$11:$M$2025,12,FALSE)</f>
        <v>1.09639</v>
      </c>
      <c r="BB22" s="95">
        <f t="shared" si="0"/>
        <v>0</v>
      </c>
      <c r="BD22" s="319">
        <f>OBJ!B139</f>
        <v>9255061</v>
      </c>
      <c r="BE22" s="21" t="str">
        <f>VLOOKUP(BD22,CENY!$B$11:$G$1054,2,FALSE)</f>
        <v>AvanY-bok pravý /v187/h650/ strieborná</v>
      </c>
      <c r="BF22" s="22">
        <f>VLOOKUP(BD22,CENY!$B$11:$G$1054,3,FALSE)</f>
        <v>10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19.35998</v>
      </c>
      <c r="BK22" s="95">
        <f t="shared" si="3"/>
        <v>0</v>
      </c>
    </row>
    <row r="23" spans="2:63" ht="14.45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IF(FORM!AM18=FORM!AU16,0,2*AE22)</f>
        <v>0</v>
      </c>
      <c r="AZ23" s="326">
        <f t="shared" si="1"/>
        <v>0</v>
      </c>
      <c r="BA23" s="95">
        <f>VLOOKUP(AU23,CENY!$B$11:$M$2025,12,FALSE)</f>
        <v>1.1824300000000001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5" customHeight="1"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20">
        <v>9255838</v>
      </c>
      <c r="BE24" s="321" t="str">
        <f>VLOOKUP(BD24,CENY!$B$11:$G$1054,2,FALSE)</f>
        <v>AvanY-prích.čela k naskrutk./ v187-251</v>
      </c>
      <c r="BF24" s="22">
        <f>VLOOKUP(BD24,CENY!$B$11:$G$1054,3,FALSE)</f>
        <v>200</v>
      </c>
      <c r="BG24" s="22"/>
      <c r="BH24" s="68">
        <f>2*(SUM(O19:T19)+SUM(O20:AD20)+SUM(W22:AF22)+SUM(O27:T27)+SUM(O28:AD28)+SUM(O30:AD30))</f>
        <v>0</v>
      </c>
      <c r="BI24" s="326">
        <f t="shared" si="2"/>
        <v>0</v>
      </c>
      <c r="BJ24" s="95">
        <f>VLOOKUP(BD24,CENY!$B$11:$M$2025,12,FALSE)</f>
        <v>2.32422</v>
      </c>
      <c r="BK24" s="95">
        <f t="shared" si="3"/>
        <v>0</v>
      </c>
    </row>
    <row r="25" spans="2:63" ht="14.45" customHeight="1" thickBot="1">
      <c r="B25" s="2" t="s">
        <v>285</v>
      </c>
      <c r="AI25" s="542" t="str">
        <f>verze!E199</f>
        <v>P2O Silent pre Quadro</v>
      </c>
      <c r="AJ25" s="543"/>
      <c r="AK25" s="543"/>
      <c r="AL25" s="543"/>
      <c r="AM25" s="543"/>
      <c r="AN25" s="543"/>
      <c r="AO25" s="543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si="1"/>
        <v>0</v>
      </c>
      <c r="BA25" s="95">
        <f>VLOOKUP(AU25,CENY!$B$11:$M$2025,12,FALSE)</f>
        <v>31.62575</v>
      </c>
      <c r="BB25" s="95">
        <f t="shared" si="0"/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2*(SUM(O19:T19)+SUM(O20:AD20)+SUM(W22:AF22)+SUM(O27:T27)+SUM(O28:AD28)+SUM(O30:AD30))</f>
        <v>0</v>
      </c>
      <c r="BI25" s="326">
        <f t="shared" si="2"/>
        <v>0</v>
      </c>
      <c r="BJ25" s="95">
        <f>VLOOKUP(BD25,CENY!$B$11:$M$2025,12,FALSE)</f>
        <v>0.74794000000000005</v>
      </c>
      <c r="BK25" s="95">
        <f t="shared" si="3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I26" s="545" t="s">
        <v>299</v>
      </c>
      <c r="AJ26" s="545"/>
      <c r="AK26" s="545"/>
      <c r="AL26" s="545"/>
      <c r="AM26" s="545"/>
      <c r="AN26" s="545"/>
      <c r="AO26" s="545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1"/>
        <v>0</v>
      </c>
      <c r="BA26" s="95">
        <f>VLOOKUP(AU26,CENY!$B$11:$M$2025,12,FALSE)</f>
        <v>31.62575</v>
      </c>
      <c r="BB26" s="95">
        <f t="shared" si="0"/>
        <v>0</v>
      </c>
      <c r="BD26" s="20"/>
      <c r="BE26" s="21"/>
      <c r="BF26" s="22"/>
      <c r="BG26" s="22"/>
      <c r="BH26" s="23"/>
      <c r="BI26" s="326" t="str">
        <f t="shared" si="2"/>
        <v/>
      </c>
      <c r="BJ26" s="95"/>
      <c r="BK26" s="95" t="str">
        <f t="shared" si="3"/>
        <v/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69"/>
      <c r="P27" s="570"/>
      <c r="Q27" s="569"/>
      <c r="R27" s="570"/>
      <c r="S27" s="569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6"/>
      <c r="AO27" s="536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1"/>
        <v>0</v>
      </c>
      <c r="BA27" s="95">
        <f>VLOOKUP(AU27,CENY!$B$11:$M$2025,12,FALSE)</f>
        <v>31.62575</v>
      </c>
      <c r="BB27" s="95">
        <f t="shared" si="0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si="2"/>
        <v>0</v>
      </c>
      <c r="BJ27" s="95">
        <f>VLOOKUP(BD27,CENY!$B$11:$M$2025,12,FALSE)</f>
        <v>0.95189000000000001</v>
      </c>
      <c r="BK27" s="95">
        <f t="shared" si="3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18"/>
      <c r="P28" s="519"/>
      <c r="Q28" s="518"/>
      <c r="R28" s="519"/>
      <c r="S28" s="518"/>
      <c r="T28" s="519"/>
      <c r="U28" s="518"/>
      <c r="V28" s="519"/>
      <c r="W28" s="518"/>
      <c r="X28" s="519"/>
      <c r="Y28" s="518"/>
      <c r="Z28" s="519"/>
      <c r="AA28" s="518"/>
      <c r="AB28" s="519"/>
      <c r="AC28" s="518"/>
      <c r="AD28" s="519"/>
      <c r="AI28" s="287"/>
      <c r="AJ28" s="288"/>
      <c r="AK28" s="287"/>
      <c r="AL28" s="288"/>
      <c r="AM28" s="286" t="s">
        <v>294</v>
      </c>
      <c r="AN28" s="522"/>
      <c r="AO28" s="522"/>
      <c r="AU28" s="20"/>
      <c r="AV28" s="21"/>
      <c r="AW28" s="22"/>
      <c r="AX28" s="22"/>
      <c r="AY28" s="23"/>
      <c r="AZ28" s="326" t="str">
        <f t="shared" si="1"/>
        <v/>
      </c>
      <c r="BA28" s="95"/>
      <c r="BB28" s="95" t="str">
        <f t="shared" si="0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2"/>
        <v>0</v>
      </c>
      <c r="BJ28" s="95">
        <f>VLOOKUP(BD28,CENY!$B$11:$M$2025,12,FALSE)</f>
        <v>0.96240999999999999</v>
      </c>
      <c r="BK28" s="95">
        <f t="shared" si="3"/>
        <v>0</v>
      </c>
    </row>
    <row r="29" spans="2:63" ht="14.45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9"/>
      <c r="AO29" s="529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si="1"/>
        <v>0</v>
      </c>
      <c r="BA29" s="95">
        <f>VLOOKUP(AU29,CENY!$B$11:$M$2025,12,FALSE)</f>
        <v>31.62575</v>
      </c>
      <c r="BB29" s="95">
        <f t="shared" si="0"/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2"/>
        <v>0</v>
      </c>
      <c r="BJ29" s="95">
        <f>VLOOKUP(BD29,CENY!$B$11:$M$2025,12,FALSE)</f>
        <v>0.98018000000000005</v>
      </c>
      <c r="BK29" s="95">
        <f t="shared" si="3"/>
        <v>0</v>
      </c>
    </row>
    <row r="30" spans="2:63" ht="14.45" customHeight="1" thickBot="1">
      <c r="B30" s="530" t="s">
        <v>373</v>
      </c>
      <c r="C30" s="530"/>
      <c r="D30" s="530"/>
      <c r="E30" s="530"/>
      <c r="F30" s="530"/>
      <c r="G30" s="530"/>
      <c r="H30" s="531" t="str">
        <f>verze!E18</f>
        <v>plnovýsuv</v>
      </c>
      <c r="I30" s="531"/>
      <c r="J30" s="531"/>
      <c r="K30" s="531"/>
      <c r="L30" s="531"/>
      <c r="M30" s="525" t="s">
        <v>1</v>
      </c>
      <c r="N30" s="526"/>
      <c r="O30" s="518"/>
      <c r="P30" s="519"/>
      <c r="Q30" s="518"/>
      <c r="R30" s="519"/>
      <c r="S30" s="518"/>
      <c r="T30" s="519"/>
      <c r="U30" s="518"/>
      <c r="V30" s="519"/>
      <c r="W30" s="518"/>
      <c r="X30" s="519"/>
      <c r="Y30" s="518"/>
      <c r="Z30" s="519"/>
      <c r="AA30" s="518"/>
      <c r="AB30" s="519"/>
      <c r="AC30" s="567"/>
      <c r="AD30" s="568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1"/>
        <v>0</v>
      </c>
      <c r="BA30" s="95">
        <f>VLOOKUP(AU30,CENY!$B$11:$M$2025,12,FALSE)</f>
        <v>31.62575</v>
      </c>
      <c r="BB30" s="95">
        <f t="shared" si="0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2"/>
        <v>0</v>
      </c>
      <c r="BJ30" s="95">
        <f>VLOOKUP(BD30,CENY!$B$11:$M$2025,12,FALSE)</f>
        <v>0.99777000000000005</v>
      </c>
      <c r="BK30" s="95">
        <f t="shared" si="3"/>
        <v>0</v>
      </c>
    </row>
    <row r="31" spans="2:63" ht="14.45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1"/>
        <v>0</v>
      </c>
      <c r="BA31" s="95">
        <f>VLOOKUP(AU31,CENY!$B$11:$M$2025,12,FALSE)</f>
        <v>31.62575</v>
      </c>
      <c r="BB31" s="95">
        <f t="shared" si="0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2"/>
        <v>0</v>
      </c>
      <c r="BJ31" s="95">
        <f>VLOOKUP(BD31,CENY!$B$11:$M$2025,12,FALSE)</f>
        <v>1.01556</v>
      </c>
      <c r="BK31" s="95">
        <f t="shared" si="3"/>
        <v>0</v>
      </c>
    </row>
    <row r="32" spans="2:63" ht="14.45" customHeight="1">
      <c r="B32" s="366" t="str">
        <f>verze!E201</f>
        <v>SiSy = tlmenie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1"/>
        <v>0</v>
      </c>
      <c r="BA32" s="95">
        <f>VLOOKUP(AU32,CENY!$B$11:$M$2025,12,FALSE)</f>
        <v>31.976389999999999</v>
      </c>
      <c r="BB32" s="95">
        <f t="shared" si="0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2"/>
        <v>0</v>
      </c>
      <c r="BJ32" s="95">
        <f>VLOOKUP(BD32,CENY!$B$11:$M$2025,12,FALSE)</f>
        <v>1.0332399999999999</v>
      </c>
      <c r="BK32" s="95">
        <f t="shared" si="3"/>
        <v>0</v>
      </c>
    </row>
    <row r="33" spans="2:63" ht="14.45" customHeight="1">
      <c r="B33" s="366" t="str">
        <f>verze!E204</f>
        <v>P2O = otváranie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1"/>
        <v>0</v>
      </c>
      <c r="BA33" s="95">
        <f>VLOOKUP(AU33,CENY!$B$11:$M$2025,12,FALSE)</f>
        <v>32.324420000000003</v>
      </c>
      <c r="BB33" s="95">
        <f t="shared" si="0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2"/>
        <v>0</v>
      </c>
      <c r="BJ33" s="95">
        <f>VLOOKUP(BD33,CENY!$B$11:$M$2025,12,FALSE)</f>
        <v>1.0508599999999999</v>
      </c>
      <c r="BK33" s="95">
        <f t="shared" si="3"/>
        <v>0</v>
      </c>
    </row>
    <row r="34" spans="2:63" ht="14.45" customHeight="1">
      <c r="B34" s="366" t="str">
        <f>verze!E203</f>
        <v>P2O Silent = tlmenie s otváraním bez úchytky Push to open Silent</v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1"/>
        <v>0</v>
      </c>
      <c r="BA34" s="95">
        <f>VLOOKUP(AU34,CENY!$B$11:$M$2025,12,FALSE)</f>
        <v>6.5957299999999996</v>
      </c>
      <c r="BB34" s="95">
        <f t="shared" si="0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2"/>
        <v>0</v>
      </c>
      <c r="BJ34" s="95">
        <f>VLOOKUP(BD34,CENY!$B$11:$M$2025,12,FALSE)</f>
        <v>1.09639</v>
      </c>
      <c r="BK34" s="95">
        <f t="shared" si="3"/>
        <v>0</v>
      </c>
    </row>
    <row r="35" spans="2:63" ht="14.45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1"/>
        <v>0</v>
      </c>
      <c r="BA35" s="95">
        <f>VLOOKUP(AU35,CENY!$B$11:$M$2025,12,FALSE)</f>
        <v>6.9728000000000003</v>
      </c>
      <c r="BB35" s="95">
        <f t="shared" si="0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2*AE22</f>
        <v>0</v>
      </c>
      <c r="BI35" s="326">
        <f t="shared" si="2"/>
        <v>0</v>
      </c>
      <c r="BJ35" s="95">
        <f>VLOOKUP(BD35,CENY!$B$11:$M$2025,12,FALSE)</f>
        <v>1.1824300000000001</v>
      </c>
      <c r="BK35" s="95">
        <f t="shared" si="3"/>
        <v>0</v>
      </c>
    </row>
    <row r="36" spans="2:63" ht="14.45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1"/>
        <v>0</v>
      </c>
      <c r="BA36" s="95">
        <f>VLOOKUP(AU36,CENY!$B$11:$M$2025,12,FALSE)</f>
        <v>34.956960000000002</v>
      </c>
      <c r="BB36" s="95">
        <f t="shared" si="0"/>
        <v>0</v>
      </c>
      <c r="BD36" s="319"/>
      <c r="BE36" s="21"/>
      <c r="BF36" s="22"/>
      <c r="BG36" s="22"/>
      <c r="BH36" s="23"/>
      <c r="BI36" s="326" t="str">
        <f t="shared" si="2"/>
        <v/>
      </c>
      <c r="BJ36" s="95"/>
      <c r="BK36" s="95" t="str">
        <f t="shared" si="3"/>
        <v/>
      </c>
    </row>
    <row r="37" spans="2:63" ht="14.45" customHeight="1">
      <c r="AU37" s="319"/>
      <c r="AV37" s="21"/>
      <c r="AW37" s="22"/>
      <c r="AX37" s="22"/>
      <c r="AY37" s="23"/>
      <c r="AZ37" s="326" t="str">
        <f t="shared" si="1"/>
        <v/>
      </c>
      <c r="BA37" s="95"/>
      <c r="BB37" s="95" t="str">
        <f t="shared" si="0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si="2"/>
        <v>0</v>
      </c>
      <c r="BJ37" s="95" t="e">
        <f>VLOOKUP(BD37,CENY!$B$11:$M$2025,12,FALSE)</f>
        <v>#N/A</v>
      </c>
      <c r="BK37" s="95" t="e">
        <f t="shared" si="3"/>
        <v>#N/A</v>
      </c>
    </row>
    <row r="38" spans="2:63" ht="14.45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1"/>
        <v>0</v>
      </c>
      <c r="BA38" s="95">
        <f>VLOOKUP(AU38,CENY!$B$11:$M$2025,12,FALSE)</f>
        <v>7.9265800000000004</v>
      </c>
      <c r="BB38" s="95">
        <f t="shared" si="0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 t="e">
        <f>VLOOKUP(BD38,CENY!$B$11:$M$2025,12,FALSE)</f>
        <v>#N/A</v>
      </c>
      <c r="BK38" s="95" t="e">
        <f t="shared" si="3"/>
        <v>#N/A</v>
      </c>
    </row>
    <row r="39" spans="2:63" ht="14.45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1"/>
        <v>0</v>
      </c>
      <c r="BA39" s="95">
        <f>VLOOKUP(AU39,CENY!$B$11:$M$2025,12,FALSE)</f>
        <v>39.622210000000003</v>
      </c>
      <c r="BB39" s="95">
        <f t="shared" si="0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2"/>
        <v>0</v>
      </c>
      <c r="BJ39" s="95" t="e">
        <f>VLOOKUP(BD39,CENY!$B$11:$M$2025,12,FALSE)</f>
        <v>#N/A</v>
      </c>
      <c r="BK39" s="95" t="e">
        <f t="shared" si="3"/>
        <v>#N/A</v>
      </c>
    </row>
    <row r="40" spans="2:63" ht="14.45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1"/>
        <v>0</v>
      </c>
      <c r="BA40" s="95">
        <f>VLOOKUP(AU40,CENY!$B$11:$M$2025,12,FALSE)</f>
        <v>41.504899999999999</v>
      </c>
      <c r="BB40" s="95">
        <f t="shared" si="0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 t="e">
        <f>VLOOKUP(BD40,CENY!$B$11:$M$2025,12,FALSE)</f>
        <v>#N/A</v>
      </c>
      <c r="BK40" s="95" t="e">
        <f t="shared" si="3"/>
        <v>#N/A</v>
      </c>
    </row>
    <row r="41" spans="2:63" ht="14.45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1"/>
        <v>0</v>
      </c>
      <c r="BA41" s="95">
        <f>VLOOKUP(AU41,CENY!$B$11:$M$2025,12,FALSE)</f>
        <v>45.308109999999999</v>
      </c>
      <c r="BB41" s="95">
        <f t="shared" si="0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14.37729</v>
      </c>
      <c r="BK41" s="95">
        <f t="shared" si="3"/>
        <v>0</v>
      </c>
    </row>
    <row r="42" spans="2:63" ht="14.45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si="1"/>
        <v>0</v>
      </c>
      <c r="BA42" s="95">
        <f>VLOOKUP(AU42,CENY!$B$11:$M$2025,12,FALSE)</f>
        <v>47.02431</v>
      </c>
      <c r="BB42" s="95">
        <f t="shared" si="0"/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14.37729</v>
      </c>
      <c r="BK42" s="95">
        <f t="shared" si="3"/>
        <v>0</v>
      </c>
    </row>
    <row r="43" spans="2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3"/>
        <v/>
      </c>
    </row>
    <row r="44" spans="2:63" ht="14.45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1"/>
        <v>0</v>
      </c>
      <c r="BA44" s="95">
        <f>VLOOKUP(AU44,CENY!$B$11:$M$2025,12,FALSE)</f>
        <v>23.177009999999999</v>
      </c>
      <c r="BB44" s="95">
        <f t="shared" si="0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si="2"/>
        <v>0</v>
      </c>
      <c r="BJ44" s="95" t="e">
        <f>VLOOKUP(BD44,CENY!$B$11:$M$2025,12,FALSE)</f>
        <v>#N/A</v>
      </c>
      <c r="BK44" s="95" t="e">
        <f t="shared" si="3"/>
        <v>#N/A</v>
      </c>
    </row>
    <row r="45" spans="2:63" ht="14.45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1"/>
        <v>0</v>
      </c>
      <c r="BA45" s="95">
        <f>VLOOKUP(AU45,CENY!$B$11:$M$2025,12,FALSE)</f>
        <v>23.177009999999999</v>
      </c>
      <c r="BB45" s="95">
        <f t="shared" si="0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"/>
        <v>0</v>
      </c>
      <c r="BJ45" s="95" t="e">
        <f>VLOOKUP(BD45,CENY!$B$11:$M$2025,12,FALSE)</f>
        <v>#N/A</v>
      </c>
      <c r="BK45" s="95" t="e">
        <f t="shared" si="3"/>
        <v>#N/A</v>
      </c>
    </row>
    <row r="46" spans="2:63" ht="14.45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1"/>
        <v>0</v>
      </c>
      <c r="BA46" s="95">
        <f>VLOOKUP(AU46,CENY!$B$11:$M$2025,12,FALSE)</f>
        <v>23.177009999999999</v>
      </c>
      <c r="BB46" s="95">
        <f t="shared" si="0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2"/>
        <v>0</v>
      </c>
      <c r="BJ46" s="95">
        <f>VLOOKUP(BD46,CENY!$B$11:$M$2025,12,FALSE)</f>
        <v>14.37729</v>
      </c>
      <c r="BK46" s="95">
        <f t="shared" si="3"/>
        <v>0</v>
      </c>
    </row>
    <row r="47" spans="2:63" ht="14.45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1"/>
        <v>0</v>
      </c>
      <c r="BA47" s="95">
        <f>VLOOKUP(AU47,CENY!$B$11:$M$2025,12,FALSE)</f>
        <v>23.177009999999999</v>
      </c>
      <c r="BB47" s="95">
        <f t="shared" si="0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14.37729</v>
      </c>
      <c r="BK47" s="95">
        <f t="shared" si="3"/>
        <v>0</v>
      </c>
    </row>
    <row r="48" spans="2:63" ht="14.45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IF(SUM(AN19:AO22)+SUM(AN27:AO29)+SUM(O30:AD30)=0,0,AY83)</f>
        <v>0</v>
      </c>
      <c r="AZ48" s="326">
        <f t="shared" si="1"/>
        <v>0</v>
      </c>
      <c r="BA48" s="95">
        <f>VLOOKUP(AU48,CENY!$B$11:$M$2025,12,FALSE)</f>
        <v>8.7567500000000003</v>
      </c>
      <c r="BB48" s="95">
        <f t="shared" si="0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2"/>
        <v>0</v>
      </c>
      <c r="BJ48" s="95">
        <f>VLOOKUP(BD48,CENY!$B$11:$M$2025,12,FALSE)</f>
        <v>14.37729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 t="e">
        <f>VLOOKUP(BD49,CENY!$B$11:$M$2025,12,FALSE)</f>
        <v>#N/A</v>
      </c>
      <c r="BK49" s="95" t="e">
        <f t="shared" si="3"/>
        <v>#N/A</v>
      </c>
    </row>
    <row r="50" spans="47:63" ht="14.45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si="1"/>
        <v>0</v>
      </c>
      <c r="BA50" s="95">
        <f>VLOOKUP(AU50,CENY!$B$11:$M$2025,12,FALSE)</f>
        <v>23.022449999999999</v>
      </c>
      <c r="BB50" s="95">
        <f t="shared" si="0"/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2"/>
        <v>0</v>
      </c>
      <c r="BJ50" s="95">
        <f>VLOOKUP(BD50,CENY!$B$11:$M$2025,12,FALSE)</f>
        <v>14.56085</v>
      </c>
      <c r="BK50" s="95">
        <f t="shared" si="3"/>
        <v>0</v>
      </c>
    </row>
    <row r="51" spans="47:63" ht="14.45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1"/>
        <v>0</v>
      </c>
      <c r="BA51" s="95">
        <f>VLOOKUP(AU51,CENY!$B$11:$M$2025,12,FALSE)</f>
        <v>23.069210000000002</v>
      </c>
      <c r="BB51" s="95">
        <f t="shared" si="0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14.56085</v>
      </c>
      <c r="BK51" s="95">
        <f t="shared" si="3"/>
        <v>0</v>
      </c>
    </row>
    <row r="52" spans="47:63" ht="14.45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1"/>
        <v>0</v>
      </c>
      <c r="BA52" s="95">
        <f>VLOOKUP(AU52,CENY!$B$11:$M$2025,12,FALSE)</f>
        <v>23.536069999999999</v>
      </c>
      <c r="BB52" s="95">
        <f t="shared" si="0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2"/>
        <v>0</v>
      </c>
      <c r="BJ52" s="95" t="e">
        <f>VLOOKUP(BD52,CENY!$B$11:$M$2025,12,FALSE)</f>
        <v>#N/A</v>
      </c>
      <c r="BK52" s="95" t="e">
        <f t="shared" si="3"/>
        <v>#N/A</v>
      </c>
    </row>
    <row r="53" spans="47:63" ht="14.45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0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14.040839999999999</v>
      </c>
      <c r="BK53" s="95">
        <f t="shared" si="3"/>
        <v>0</v>
      </c>
    </row>
    <row r="54" spans="47:63" ht="14.45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si="1"/>
        <v>0</v>
      </c>
      <c r="BA54" s="95">
        <f>VLOOKUP(AU54,CENY!$B$11:$M$2025,12,FALSE)</f>
        <v>23.022449999999999</v>
      </c>
      <c r="BB54" s="95">
        <f t="shared" si="0"/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2"/>
        <v>0</v>
      </c>
      <c r="BJ54" s="95">
        <f>VLOOKUP(BD54,CENY!$B$11:$M$2025,12,FALSE)</f>
        <v>13.931559999999999</v>
      </c>
      <c r="BK54" s="95">
        <f t="shared" si="3"/>
        <v>0</v>
      </c>
    </row>
    <row r="55" spans="47:63" ht="14.45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1"/>
        <v>0</v>
      </c>
      <c r="BA55" s="95">
        <f>VLOOKUP(AU55,CENY!$B$11:$M$2025,12,FALSE)</f>
        <v>23.069210000000002</v>
      </c>
      <c r="BB55" s="95">
        <f t="shared" si="0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13.931559999999999</v>
      </c>
      <c r="BK55" s="95">
        <f t="shared" si="3"/>
        <v>0</v>
      </c>
    </row>
    <row r="56" spans="47:63" ht="14.45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1"/>
        <v>0</v>
      </c>
      <c r="BA56" s="95" t="e">
        <f>VLOOKUP(AU56,CENY!$B$11:$M$2025,12,FALSE)</f>
        <v>#N/A</v>
      </c>
      <c r="BB56" s="95" t="e">
        <f t="shared" si="0"/>
        <v>#N/A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2"/>
        <v>0</v>
      </c>
      <c r="BJ56" s="95">
        <f>VLOOKUP(BD56,CENY!$B$11:$M$2025,12,FALSE)</f>
        <v>15.147040000000001</v>
      </c>
      <c r="BK56" s="95">
        <f t="shared" si="3"/>
        <v>0</v>
      </c>
    </row>
    <row r="57" spans="47:63" ht="14.45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1"/>
        <v>0</v>
      </c>
      <c r="BA57" s="95">
        <f>VLOOKUP(AU57,CENY!$B$11:$M$2025,12,FALSE)</f>
        <v>24.002659999999999</v>
      </c>
      <c r="BB57" s="95">
        <f t="shared" si="0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15.147040000000001</v>
      </c>
      <c r="BK57" s="95">
        <f t="shared" si="3"/>
        <v>0</v>
      </c>
    </row>
    <row r="58" spans="47:63" ht="14.45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1"/>
        <v>0</v>
      </c>
      <c r="BA58" s="95">
        <f>VLOOKUP(AU58,CENY!$B$11:$M$2025,12,FALSE)</f>
        <v>4.9393000000000002</v>
      </c>
      <c r="BB58" s="95">
        <f t="shared" si="0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15.35308</v>
      </c>
      <c r="BK58" s="95">
        <f t="shared" si="3"/>
        <v>0</v>
      </c>
    </row>
    <row r="59" spans="47:63" ht="14.45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1"/>
        <v>0</v>
      </c>
      <c r="BA59" s="95">
        <f>VLOOKUP(AU59,CENY!$B$11:$M$2025,12,FALSE)</f>
        <v>23.748699999999999</v>
      </c>
      <c r="BB59" s="95">
        <f t="shared" si="0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 t="e">
        <f>VLOOKUP(BD59,CENY!$B$11:$M$2025,12,FALSE)</f>
        <v>#N/A</v>
      </c>
      <c r="BK59" s="95" t="e">
        <f t="shared" si="3"/>
        <v>#N/A</v>
      </c>
    </row>
    <row r="60" spans="47:63" ht="14.45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1"/>
        <v>0</v>
      </c>
      <c r="BA60" s="95">
        <f>VLOOKUP(AU60,CENY!$B$11:$M$2025,12,FALSE)</f>
        <v>5.1277499999999998</v>
      </c>
      <c r="BB60" s="95">
        <f t="shared" si="0"/>
        <v>0</v>
      </c>
      <c r="BD60" s="319"/>
      <c r="BE60" s="21"/>
      <c r="BF60" s="22"/>
      <c r="BG60" s="22"/>
      <c r="BH60" s="23"/>
      <c r="BI60" s="326" t="str">
        <f t="shared" si="2"/>
        <v/>
      </c>
      <c r="BJ60" s="95"/>
      <c r="BK60" s="95" t="str">
        <f t="shared" si="3"/>
        <v/>
      </c>
    </row>
    <row r="61" spans="47:63" ht="14.45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1"/>
        <v>0</v>
      </c>
      <c r="BA61" s="95">
        <f>VLOOKUP(AU61,CENY!$B$11:$M$2025,12,FALSE)</f>
        <v>25.86984</v>
      </c>
      <c r="BB61" s="95">
        <f t="shared" si="0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2"/>
        <v>0</v>
      </c>
      <c r="BJ61" s="95" t="e">
        <f>VLOOKUP(BD61,CENY!$B$11:$M$2025,12,FALSE)</f>
        <v>#N/A</v>
      </c>
      <c r="BK61" s="95" t="e">
        <f t="shared" si="3"/>
        <v>#N/A</v>
      </c>
    </row>
    <row r="62" spans="47:63" ht="14.45" customHeight="1">
      <c r="AU62" s="319"/>
      <c r="AV62" s="21"/>
      <c r="AW62" s="22"/>
      <c r="AX62" s="22"/>
      <c r="AY62" s="23"/>
      <c r="AZ62" s="326" t="str">
        <f t="shared" si="1"/>
        <v/>
      </c>
      <c r="BA62" s="95"/>
      <c r="BB62" s="95" t="str">
        <f t="shared" si="0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2"/>
        <v>0</v>
      </c>
      <c r="BJ62" s="95" t="e">
        <f>VLOOKUP(BD62,CENY!$B$11:$M$2025,12,FALSE)</f>
        <v>#N/A</v>
      </c>
      <c r="BK62" s="95" t="e">
        <f t="shared" si="3"/>
        <v>#N/A</v>
      </c>
    </row>
    <row r="63" spans="47:63" ht="14.45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1"/>
        <v>0</v>
      </c>
      <c r="BA63" s="95">
        <f>VLOOKUP(AU63,CENY!$B$11:$M$2025,12,FALSE)</f>
        <v>23.114239999999999</v>
      </c>
      <c r="BB63" s="95">
        <f t="shared" si="0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2"/>
        <v>0</v>
      </c>
      <c r="BJ63" s="95">
        <f>VLOOKUP(BD63,CENY!$B$11:$M$2025,12,FALSE)</f>
        <v>17.52394</v>
      </c>
      <c r="BK63" s="95">
        <f t="shared" si="3"/>
        <v>0</v>
      </c>
    </row>
    <row r="64" spans="47:63" ht="14.45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1"/>
        <v>0</v>
      </c>
      <c r="BA64" s="95">
        <f>VLOOKUP(AU64,CENY!$B$11:$M$2025,12,FALSE)</f>
        <v>23.114239999999999</v>
      </c>
      <c r="BB64" s="95">
        <f t="shared" si="0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2"/>
        <v>0</v>
      </c>
      <c r="BJ64" s="95">
        <f>VLOOKUP(BD64,CENY!$B$11:$M$2025,12,FALSE)</f>
        <v>17.52394</v>
      </c>
      <c r="BK64" s="95">
        <f t="shared" si="3"/>
        <v>0</v>
      </c>
    </row>
    <row r="65" spans="1:63" ht="14.45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1"/>
        <v>0</v>
      </c>
      <c r="BA65" s="95">
        <f>VLOOKUP(AU65,CENY!$B$11:$M$2025,12,FALSE)</f>
        <v>23.114239999999999</v>
      </c>
      <c r="BB65" s="95">
        <f t="shared" si="0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2"/>
        <v>0</v>
      </c>
      <c r="BJ65" s="95">
        <f>VLOOKUP(BD65,CENY!$B$11:$M$2025,12,FALSE)</f>
        <v>18.45496</v>
      </c>
      <c r="BK65" s="95">
        <f t="shared" si="3"/>
        <v>0</v>
      </c>
    </row>
    <row r="66" spans="1:63" ht="12.95" customHeight="1" thickBot="1">
      <c r="A66" s="579"/>
      <c r="AU66" s="319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0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2"/>
        <v>0</v>
      </c>
      <c r="BJ66" s="95">
        <f>VLOOKUP(BD66,CENY!$B$11:$M$2025,12,FALSE)</f>
        <v>18.45496</v>
      </c>
      <c r="BK66" s="95">
        <f t="shared" si="3"/>
        <v>0</v>
      </c>
    </row>
    <row r="67" spans="1:63" ht="23.1" customHeight="1" thickBot="1">
      <c r="A67" s="579"/>
      <c r="B67" s="486" t="str">
        <f>verze!E13</f>
        <v>&lt;&lt;  späť</v>
      </c>
      <c r="C67" s="487"/>
      <c r="D67" s="487"/>
      <c r="E67" s="488"/>
      <c r="G67" s="515" t="str">
        <f>verze!E6</f>
        <v xml:space="preserve"> Úvod</v>
      </c>
      <c r="H67" s="516"/>
      <c r="I67" s="516"/>
      <c r="J67" s="516"/>
      <c r="K67" s="517"/>
      <c r="O67" s="515" t="str">
        <f>verze!E7</f>
        <v xml:space="preserve"> Výber zásuviek</v>
      </c>
      <c r="P67" s="516"/>
      <c r="Q67" s="516"/>
      <c r="R67" s="516"/>
      <c r="S67" s="517"/>
      <c r="U67" s="515" t="str">
        <f>verze!E8</f>
        <v xml:space="preserve"> </v>
      </c>
      <c r="V67" s="516"/>
      <c r="W67" s="516"/>
      <c r="X67" s="516"/>
      <c r="Y67" s="517"/>
      <c r="AA67" s="515" t="str">
        <f>verze!E9</f>
        <v xml:space="preserve"> </v>
      </c>
      <c r="AB67" s="516"/>
      <c r="AC67" s="516"/>
      <c r="AD67" s="516"/>
      <c r="AE67" s="517"/>
      <c r="AI67" s="515" t="str">
        <f>verze!E10</f>
        <v xml:space="preserve"> Objednávka</v>
      </c>
      <c r="AJ67" s="516"/>
      <c r="AK67" s="516"/>
      <c r="AL67" s="516"/>
      <c r="AM67" s="517"/>
      <c r="AO67" s="477" t="str">
        <f>verze!E14</f>
        <v>vpred  &gt;&gt;</v>
      </c>
      <c r="AP67" s="478"/>
      <c r="AQ67" s="478"/>
      <c r="AR67" s="479"/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si="1"/>
        <v>0</v>
      </c>
      <c r="BA67" s="95">
        <f>VLOOKUP(AU67,CENY!$B$11:$M$2025,12,FALSE)</f>
        <v>25.824369999999998</v>
      </c>
      <c r="BB67" s="95">
        <f t="shared" si="0"/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2"/>
        <v>0</v>
      </c>
      <c r="BJ67" s="95">
        <f>VLOOKUP(BD67,CENY!$B$11:$M$2025,12,FALSE)</f>
        <v>21.352720000000001</v>
      </c>
      <c r="BK67" s="95">
        <f t="shared" si="3"/>
        <v>0</v>
      </c>
    </row>
    <row r="68" spans="1:63" ht="12.95" customHeight="1">
      <c r="A68" s="579"/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si="1"/>
        <v>0</v>
      </c>
      <c r="BA68" s="95">
        <f>VLOOKUP(AU68,CENY!$B$11:$M$2025,12,FALSE)</f>
        <v>25.86984</v>
      </c>
      <c r="BB68" s="95">
        <f t="shared" si="0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2"/>
        <v>0</v>
      </c>
      <c r="BJ68" s="95">
        <f>VLOOKUP(BD68,CENY!$B$11:$M$2025,12,FALSE)</f>
        <v>21.352720000000001</v>
      </c>
      <c r="BK68" s="95">
        <f t="shared" si="3"/>
        <v>0</v>
      </c>
    </row>
    <row r="69" spans="1:63" ht="23.1" customHeight="1">
      <c r="A69" s="579"/>
      <c r="B69" s="93" t="str">
        <f>B4</f>
        <v>Zásuvka AVANTECH YOU  187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1"/>
        <v>0</v>
      </c>
      <c r="BA69" s="95">
        <f>VLOOKUP(AU69,CENY!$B$11:$M$2025,12,FALSE)</f>
        <v>26.336690000000001</v>
      </c>
      <c r="BB69" s="95">
        <f t="shared" ref="BB69:BB130" si="4">IF(BA69="","",BA69*AY69)</f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si="2"/>
        <v>0</v>
      </c>
      <c r="BJ69" s="95">
        <f>VLOOKUP(BD69,CENY!$B$11:$M$2025,12,FALSE)</f>
        <v>22.243659999999998</v>
      </c>
      <c r="BK69" s="95">
        <f t="shared" si="3"/>
        <v>0</v>
      </c>
    </row>
    <row r="70" spans="1:63" ht="14.45" customHeight="1">
      <c r="A70" s="579"/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ref="AZ70:AZ131" si="5">IF(AY70="","",IF($AW$4=1,AY70,0))</f>
        <v>0</v>
      </c>
      <c r="BA70" s="95">
        <f>VLOOKUP(AU70,CENY!$B$11:$M$2025,12,FALSE)</f>
        <v>26.80339</v>
      </c>
      <c r="BB70" s="95">
        <f t="shared" si="4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ref="BI70:BI132" si="6">IF(BH70="","",IF($AW$4=0,BH70,0))</f>
        <v>0</v>
      </c>
      <c r="BJ70" s="95">
        <f>VLOOKUP(BD70,CENY!$B$11:$M$2025,12,FALSE)</f>
        <v>22.243659999999998</v>
      </c>
      <c r="BK70" s="95">
        <f t="shared" ref="BK70:BK132" si="7">IF(BJ70="","",BJ70*BH70)</f>
        <v>0</v>
      </c>
    </row>
    <row r="71" spans="1:63" ht="14.45" customHeight="1">
      <c r="A71" s="579"/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5"/>
        <v>0</v>
      </c>
      <c r="BA71" s="95">
        <f>VLOOKUP(AU71,CENY!$B$11:$M$2025,12,FALSE)</f>
        <v>27.270389999999999</v>
      </c>
      <c r="BB71" s="95">
        <f t="shared" si="4"/>
        <v>0</v>
      </c>
      <c r="BD71" s="319"/>
      <c r="BE71" s="21"/>
      <c r="BF71" s="22"/>
      <c r="BG71" s="22"/>
      <c r="BH71" s="23"/>
      <c r="BI71" s="326" t="str">
        <f t="shared" si="6"/>
        <v/>
      </c>
      <c r="BJ71" s="95"/>
      <c r="BK71" s="95" t="str">
        <f t="shared" si="7"/>
        <v/>
      </c>
    </row>
    <row r="72" spans="1:63" ht="14.45" customHeight="1">
      <c r="A72" s="579"/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5"/>
        <v>0</v>
      </c>
      <c r="BA72" s="95">
        <f>VLOOKUP(AU72,CENY!$B$11:$M$2025,12,FALSE)</f>
        <v>5.5988800000000003</v>
      </c>
      <c r="BB72" s="95">
        <f t="shared" si="4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6"/>
        <v>0</v>
      </c>
      <c r="BJ72" s="95">
        <f>VLOOKUP(BD72,CENY!$B$11:$M$2025,12,FALSE)</f>
        <v>23.177009999999999</v>
      </c>
      <c r="BK72" s="95">
        <f t="shared" si="7"/>
        <v>0</v>
      </c>
    </row>
    <row r="73" spans="1:63" ht="14.45" customHeight="1">
      <c r="A73" s="579"/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5"/>
        <v>0</v>
      </c>
      <c r="BA73" s="95">
        <f>VLOOKUP(AU73,CENY!$B$11:$M$2025,12,FALSE)</f>
        <v>28.20382</v>
      </c>
      <c r="BB73" s="95">
        <f t="shared" si="4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6"/>
        <v>0</v>
      </c>
      <c r="BJ73" s="95">
        <f>VLOOKUP(BD73,CENY!$B$11:$M$2025,12,FALSE)</f>
        <v>23.177009999999999</v>
      </c>
      <c r="BK73" s="95">
        <f t="shared" si="7"/>
        <v>0</v>
      </c>
    </row>
    <row r="74" spans="1:63" ht="14.45" customHeight="1">
      <c r="A74" s="579"/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5"/>
        <v>0</v>
      </c>
      <c r="BA74" s="95">
        <f>VLOOKUP(AU74,CENY!$B$11:$M$2025,12,FALSE)</f>
        <v>28.670570000000001</v>
      </c>
      <c r="BB74" s="95">
        <f t="shared" si="4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6"/>
        <v>0</v>
      </c>
      <c r="BJ74" s="95">
        <f>VLOOKUP(BD74,CENY!$B$11:$M$2025,12,FALSE)</f>
        <v>23.177009999999999</v>
      </c>
      <c r="BK74" s="95">
        <f t="shared" si="7"/>
        <v>0</v>
      </c>
    </row>
    <row r="75" spans="1:63" ht="14.45" customHeight="1">
      <c r="A75" s="579"/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6"/>
        <v>0</v>
      </c>
      <c r="BJ75" s="95">
        <f>VLOOKUP(BD75,CENY!$B$11:$M$2025,12,FALSE)</f>
        <v>23.177009999999999</v>
      </c>
      <c r="BK75" s="95">
        <f t="shared" si="7"/>
        <v>0</v>
      </c>
    </row>
    <row r="76" spans="1:63" ht="14.45" customHeight="1">
      <c r="A76" s="579"/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5"/>
        <v>0</v>
      </c>
      <c r="BA76" s="95">
        <f>VLOOKUP(AU76,CENY!$B$11:$M$2025,12,FALSE)</f>
        <v>0.79318999999999995</v>
      </c>
      <c r="BB76" s="95">
        <f t="shared" si="4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8.7567500000000003</v>
      </c>
      <c r="BK76" s="95">
        <f t="shared" si="7"/>
        <v>0</v>
      </c>
    </row>
    <row r="77" spans="1:63" ht="14.45" customHeight="1">
      <c r="A77" s="579"/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/>
      <c r="BE77" s="21"/>
      <c r="BF77" s="22"/>
      <c r="BG77" s="22"/>
      <c r="BH77" s="23"/>
      <c r="BI77" s="326" t="str">
        <f t="shared" si="6"/>
        <v/>
      </c>
      <c r="BJ77" s="95"/>
      <c r="BK77" s="95" t="str">
        <f t="shared" si="7"/>
        <v/>
      </c>
    </row>
    <row r="78" spans="1:63" ht="14.45" customHeight="1">
      <c r="A78" s="579"/>
      <c r="AU78" s="320">
        <v>9255839</v>
      </c>
      <c r="AV78" s="321" t="str">
        <f>VLOOKUP(AU78,CENY!$B$11:$G$1054,2,FALSE)</f>
        <v>AvanY-prích.čela s rozp.púzdrom/ v187-251</v>
      </c>
      <c r="AW78" s="22">
        <f>VLOOKUP(AU78,CENY!$B$11:$G$1054,3,FALSE)</f>
        <v>200</v>
      </c>
      <c r="AX78" s="22"/>
      <c r="AY78" s="68">
        <v>0</v>
      </c>
      <c r="AZ78" s="326">
        <f t="shared" si="5"/>
        <v>0</v>
      </c>
      <c r="BA78" s="95">
        <f>VLOOKUP(AU78,CENY!$B$11:$M$2025,12,FALSE)</f>
        <v>2.3528199999999999</v>
      </c>
      <c r="BB78" s="95">
        <f t="shared" si="4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si="6"/>
        <v>0</v>
      </c>
      <c r="BJ78" s="95">
        <f>VLOOKUP(BD78,CENY!$B$11:$M$2025,12,FALSE)</f>
        <v>10.7646</v>
      </c>
      <c r="BK78" s="95">
        <f t="shared" si="7"/>
        <v>0</v>
      </c>
    </row>
    <row r="79" spans="1:63" ht="14.45" customHeight="1">
      <c r="A79" s="579"/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6"/>
        <v>0</v>
      </c>
      <c r="BJ79" s="95">
        <f>VLOOKUP(BD79,CENY!$B$11:$M$2025,12,FALSE)</f>
        <v>10.7646</v>
      </c>
      <c r="BK79" s="95">
        <f t="shared" si="7"/>
        <v>0</v>
      </c>
    </row>
    <row r="80" spans="1:63" ht="14.45" customHeight="1">
      <c r="A80" s="579"/>
      <c r="O80" s="578">
        <f t="shared" ref="O80:AI80" si="8">CEILING(O84/FLOOR(2000/O85,1),1)</f>
        <v>0</v>
      </c>
      <c r="P80" s="578"/>
      <c r="Q80" s="578">
        <f t="shared" si="8"/>
        <v>0</v>
      </c>
      <c r="R80" s="578"/>
      <c r="S80" s="578">
        <f t="shared" si="8"/>
        <v>0</v>
      </c>
      <c r="T80" s="578"/>
      <c r="U80" s="578">
        <f t="shared" si="8"/>
        <v>0</v>
      </c>
      <c r="V80" s="578"/>
      <c r="W80" s="578">
        <f t="shared" si="8"/>
        <v>0</v>
      </c>
      <c r="X80" s="578"/>
      <c r="Y80" s="578">
        <f t="shared" si="8"/>
        <v>0</v>
      </c>
      <c r="Z80" s="578"/>
      <c r="AA80" s="578">
        <f t="shared" si="8"/>
        <v>0</v>
      </c>
      <c r="AB80" s="578"/>
      <c r="AC80" s="578">
        <f t="shared" si="8"/>
        <v>0</v>
      </c>
      <c r="AD80" s="578"/>
      <c r="AE80" s="578">
        <f t="shared" si="8"/>
        <v>0</v>
      </c>
      <c r="AF80" s="578"/>
      <c r="AG80" s="578">
        <f t="shared" si="8"/>
        <v>0</v>
      </c>
      <c r="AH80" s="578"/>
      <c r="AI80" s="578">
        <f t="shared" si="8"/>
        <v>0</v>
      </c>
      <c r="AJ80" s="578"/>
      <c r="AU80" s="319">
        <f>OBJ!B214</f>
        <v>0</v>
      </c>
      <c r="AV80" s="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si="5"/>
        <v>0</v>
      </c>
      <c r="BA80" s="324" t="str">
        <f>IF(AU80=0,"",VLOOKUP(AU80,CENY!$B$11:$M$2025,12,FALSE))</f>
        <v/>
      </c>
      <c r="BB80" s="95" t="str">
        <f t="shared" si="4"/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10.787739999999999</v>
      </c>
      <c r="BK80" s="95">
        <f t="shared" si="7"/>
        <v>0</v>
      </c>
    </row>
    <row r="81" spans="1:63" ht="14.45" customHeight="1">
      <c r="A81" s="579"/>
      <c r="O81" s="577">
        <f>O85*O84</f>
        <v>0</v>
      </c>
      <c r="P81" s="577"/>
      <c r="Q81" s="577">
        <f>Q85*Q84</f>
        <v>0</v>
      </c>
      <c r="R81" s="577"/>
      <c r="S81" s="577">
        <f>S85*S84</f>
        <v>0</v>
      </c>
      <c r="T81" s="577"/>
      <c r="U81" s="577">
        <f>U85*U84</f>
        <v>0</v>
      </c>
      <c r="V81" s="577"/>
      <c r="W81" s="577">
        <f>W85*W84</f>
        <v>0</v>
      </c>
      <c r="X81" s="577"/>
      <c r="Y81" s="577">
        <f>Y85*Y84</f>
        <v>0</v>
      </c>
      <c r="Z81" s="577"/>
      <c r="AA81" s="577">
        <f>AA85*AA84</f>
        <v>0</v>
      </c>
      <c r="AB81" s="577"/>
      <c r="AC81" s="577">
        <f>AC85*AC84</f>
        <v>0</v>
      </c>
      <c r="AD81" s="577"/>
      <c r="AE81" s="577">
        <f>AE85*AE84</f>
        <v>0</v>
      </c>
      <c r="AF81" s="577"/>
      <c r="AG81" s="577">
        <f>AG85*AG84</f>
        <v>0</v>
      </c>
      <c r="AH81" s="577"/>
      <c r="AI81" s="577">
        <f>AI85*AI84</f>
        <v>0</v>
      </c>
      <c r="AJ81" s="577"/>
      <c r="AK81" s="579"/>
      <c r="AL81" s="579"/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6"/>
        <v>0</v>
      </c>
      <c r="BJ81" s="95">
        <f>VLOOKUP(BD81,CENY!$B$11:$M$2025,12,FALSE)</f>
        <v>10.787739999999999</v>
      </c>
      <c r="BK81" s="95">
        <f t="shared" si="7"/>
        <v>0</v>
      </c>
    </row>
    <row r="82" spans="1:63" ht="14.45" customHeight="1" thickBot="1">
      <c r="A82" s="579"/>
      <c r="B82" s="1" t="str">
        <f>verze!E162</f>
        <v>Čelo na vnútornú zásuvku</v>
      </c>
      <c r="O82" s="583" t="str">
        <f>verze!E163</f>
        <v>vonkajšie rozmery zásuvkovej skrinky [mm]</v>
      </c>
      <c r="P82" s="584"/>
      <c r="Q82" s="584"/>
      <c r="R82" s="584"/>
      <c r="S82" s="584"/>
      <c r="T82" s="584"/>
      <c r="U82" s="584"/>
      <c r="V82" s="584"/>
      <c r="W82" s="584"/>
      <c r="X82" s="584"/>
      <c r="Y82" s="584"/>
      <c r="Z82" s="584"/>
      <c r="AA82" s="584"/>
      <c r="AB82" s="584"/>
      <c r="AC82" s="584"/>
      <c r="AD82" s="584"/>
      <c r="AE82" s="584"/>
      <c r="AF82" s="584"/>
      <c r="AG82" s="584"/>
      <c r="AH82" s="584"/>
      <c r="AI82" s="584"/>
      <c r="AJ82" s="584"/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6"/>
        <v>0</v>
      </c>
      <c r="BJ82" s="95">
        <f>VLOOKUP(BD82,CENY!$B$11:$M$2025,12,FALSE)</f>
        <v>11.02122</v>
      </c>
      <c r="BK82" s="95">
        <f t="shared" si="7"/>
        <v>0</v>
      </c>
    </row>
    <row r="83" spans="1:63" ht="14.45" customHeight="1" thickBot="1">
      <c r="A83" s="579"/>
      <c r="B83" s="96"/>
      <c r="C83" s="96"/>
      <c r="D83" s="96"/>
      <c r="E83" s="96"/>
      <c r="F83" s="96"/>
      <c r="G83" s="96"/>
      <c r="H83" s="72"/>
      <c r="I83" s="72"/>
      <c r="J83" s="72"/>
      <c r="K83" s="72"/>
      <c r="L83" s="72"/>
      <c r="M83" s="72"/>
      <c r="N83" s="72" t="str">
        <f>verze!E166&amp;" "</f>
        <v xml:space="preserve">Šírka korpusu: </v>
      </c>
      <c r="O83" s="537">
        <v>300</v>
      </c>
      <c r="P83" s="538"/>
      <c r="Q83" s="537">
        <v>400</v>
      </c>
      <c r="R83" s="538"/>
      <c r="S83" s="537">
        <v>450</v>
      </c>
      <c r="T83" s="538"/>
      <c r="U83" s="537">
        <v>500</v>
      </c>
      <c r="V83" s="538"/>
      <c r="W83" s="537">
        <v>550</v>
      </c>
      <c r="X83" s="538"/>
      <c r="Y83" s="537">
        <v>600</v>
      </c>
      <c r="Z83" s="538"/>
      <c r="AA83" s="537">
        <v>700</v>
      </c>
      <c r="AB83" s="538"/>
      <c r="AC83" s="537">
        <v>800</v>
      </c>
      <c r="AD83" s="538"/>
      <c r="AE83" s="537">
        <v>900</v>
      </c>
      <c r="AF83" s="586"/>
      <c r="AG83" s="537">
        <v>1000</v>
      </c>
      <c r="AH83" s="586"/>
      <c r="AI83" s="537">
        <v>1200</v>
      </c>
      <c r="AJ83" s="538"/>
      <c r="AU83" s="319">
        <f>OBJ!B196</f>
        <v>9257271</v>
      </c>
      <c r="AV83" s="21" t="str">
        <f>VLOOKUP(AU83,CENY!$B$11:$G$1054,2,FALSE)</f>
        <v>AvanY-čelo vnút.zásuvky /v187/d2000/strieb.</v>
      </c>
      <c r="AW83" s="22">
        <f>VLOOKUP(AU83,CENY!$B$11:$G$1054,3,FALSE)</f>
        <v>1</v>
      </c>
      <c r="AX83" s="22"/>
      <c r="AY83" s="23">
        <f>IF(AU87=0,0,IF(AU93&lt;2000,1,SUM(O80:AJ80)))</f>
        <v>0</v>
      </c>
      <c r="AZ83" s="326">
        <f>IF(AY83="","",IF($AW$4=1,AY83,0))</f>
        <v>0</v>
      </c>
      <c r="BA83" s="95">
        <f>VLOOKUP(AU83,CENY!$B$11:$M$2025,12,FALSE)</f>
        <v>106.6825</v>
      </c>
      <c r="BB83" s="95">
        <f t="shared" si="4"/>
        <v>0</v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6"/>
        <v>0</v>
      </c>
      <c r="BJ83" s="95">
        <f>VLOOKUP(BD83,CENY!$B$11:$M$2025,12,FALSE)</f>
        <v>11.02122</v>
      </c>
      <c r="BK83" s="95">
        <f t="shared" si="7"/>
        <v>0</v>
      </c>
    </row>
    <row r="84" spans="1:63" ht="14.45" customHeight="1" thickBot="1">
      <c r="A84" s="579"/>
      <c r="B84" s="158" t="str">
        <f>" "&amp;verze!E167</f>
        <v xml:space="preserve"> ALU čelo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525"/>
      <c r="N84" s="548"/>
      <c r="O84" s="580"/>
      <c r="P84" s="581"/>
      <c r="Q84" s="580"/>
      <c r="R84" s="581"/>
      <c r="S84" s="580"/>
      <c r="T84" s="581"/>
      <c r="U84" s="580"/>
      <c r="V84" s="581"/>
      <c r="W84" s="580"/>
      <c r="X84" s="581"/>
      <c r="Y84" s="580"/>
      <c r="Z84" s="581"/>
      <c r="AA84" s="580"/>
      <c r="AB84" s="581"/>
      <c r="AC84" s="580"/>
      <c r="AD84" s="581"/>
      <c r="AE84" s="580"/>
      <c r="AF84" s="581"/>
      <c r="AG84" s="580"/>
      <c r="AH84" s="581"/>
      <c r="AI84" s="580"/>
      <c r="AJ84" s="585"/>
      <c r="AU84" s="319">
        <f>OBJ!B200</f>
        <v>9257613</v>
      </c>
      <c r="AV84" s="21" t="str">
        <f>VLOOKUP(AU84,CENY!$B$11:$G$1054,2,FALSE)</f>
        <v>AvanY-spojky čela vnút.zás./v187/strieb.</v>
      </c>
      <c r="AW84" s="22">
        <f>VLOOKUP(AU84,CENY!$B$11:$G$1054,3,FALSE)</f>
        <v>1</v>
      </c>
      <c r="AX84" s="22"/>
      <c r="AY84" s="23">
        <f>1*(+SUM(O19:T19)+SUM(O20:AD20)+SUM(W22:AF22)+SUM(O27:T27)+SUM(O28:AD28)+SUM(O30:AD30))</f>
        <v>0</v>
      </c>
      <c r="AZ84" s="326">
        <f>IF(AY84="","",IF($AW$4=1,AY84,0))</f>
        <v>0</v>
      </c>
      <c r="BA84" s="95">
        <f>VLOOKUP(AU84,CENY!$B$11:$M$2025,12,FALSE)</f>
        <v>8.1442599999999992</v>
      </c>
      <c r="BB84" s="95">
        <f t="shared" si="4"/>
        <v>0</v>
      </c>
      <c r="BD84" s="319"/>
      <c r="BE84" s="21"/>
      <c r="BF84" s="22"/>
      <c r="BG84" s="22"/>
      <c r="BH84" s="23"/>
      <c r="BI84" s="326" t="str">
        <f t="shared" si="6"/>
        <v/>
      </c>
      <c r="BJ84" s="95"/>
      <c r="BK84" s="95" t="str">
        <f t="shared" si="7"/>
        <v/>
      </c>
    </row>
    <row r="85" spans="1:63" ht="14.45" customHeight="1">
      <c r="A85" s="579"/>
      <c r="O85" s="582">
        <f>O83-2*FORM!$AM$24-12</f>
        <v>252</v>
      </c>
      <c r="P85" s="582"/>
      <c r="Q85" s="582">
        <f>Q83-2*FORM!$AM$24-12</f>
        <v>352</v>
      </c>
      <c r="R85" s="582"/>
      <c r="S85" s="582">
        <f>S83-2*FORM!$AM$24-12</f>
        <v>402</v>
      </c>
      <c r="T85" s="582"/>
      <c r="U85" s="582">
        <f>U83-2*FORM!$AM$24-12</f>
        <v>452</v>
      </c>
      <c r="V85" s="582"/>
      <c r="W85" s="582">
        <f>W83-2*FORM!$AM$24-12</f>
        <v>502</v>
      </c>
      <c r="X85" s="582"/>
      <c r="Y85" s="582">
        <f>Y83-2*FORM!$AM$24-12</f>
        <v>552</v>
      </c>
      <c r="Z85" s="582"/>
      <c r="AA85" s="582">
        <f>AA83-2*FORM!$AM$24-12</f>
        <v>652</v>
      </c>
      <c r="AB85" s="582"/>
      <c r="AC85" s="582">
        <f>AC83-2*FORM!$AM$24-12</f>
        <v>752</v>
      </c>
      <c r="AD85" s="582"/>
      <c r="AE85" s="582">
        <f>AE83-2*FORM!$AM$24-12</f>
        <v>852</v>
      </c>
      <c r="AF85" s="582"/>
      <c r="AG85" s="582">
        <f>AG83-2*FORM!$AM$24-12</f>
        <v>952</v>
      </c>
      <c r="AH85" s="582"/>
      <c r="AI85" s="582">
        <f>AI83-2*FORM!$AM$24-12</f>
        <v>1152</v>
      </c>
      <c r="AJ85" s="582"/>
      <c r="AU85" s="319"/>
      <c r="AV85" s="21"/>
      <c r="AW85" s="22"/>
      <c r="AX85" s="22"/>
      <c r="AY85" s="23"/>
      <c r="AZ85" s="326" t="str">
        <f t="shared" ref="AZ85:AZ94" si="9">IF(AY85="","",IF($AW$4=1,AY85,0))</f>
        <v/>
      </c>
      <c r="BA85" s="95"/>
      <c r="BB85" s="95" t="str">
        <f t="shared" si="4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si="6"/>
        <v>0</v>
      </c>
      <c r="BJ85" s="95">
        <f>VLOOKUP(BD85,CENY!$B$11:$M$2025,12,FALSE)</f>
        <v>10.7646</v>
      </c>
      <c r="BK85" s="95">
        <f t="shared" si="7"/>
        <v>0</v>
      </c>
    </row>
    <row r="86" spans="1:63" ht="14.45" customHeight="1">
      <c r="A86" s="579"/>
      <c r="AR86" s="157" t="str">
        <f>IF(AU89=0,verze!E169&amp;" "&amp;AU87&amp;" "&amp;verze!E170,"")</f>
        <v>Je potrebné vybrať 0 ks vnútorných čiel.</v>
      </c>
      <c r="AU86" s="319"/>
      <c r="AV86" s="21"/>
      <c r="AW86" s="22"/>
      <c r="AX86" s="22"/>
      <c r="AY86" s="23"/>
      <c r="AZ86" s="326" t="str">
        <f t="shared" si="9"/>
        <v/>
      </c>
      <c r="BA86" s="95"/>
      <c r="BB86" s="95" t="str">
        <f t="shared" si="4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6"/>
        <v>0</v>
      </c>
      <c r="BJ86" s="95">
        <f>VLOOKUP(BD86,CENY!$B$11:$M$2025,12,FALSE)</f>
        <v>10.7646</v>
      </c>
      <c r="BK86" s="95">
        <f t="shared" si="7"/>
        <v>0</v>
      </c>
    </row>
    <row r="87" spans="1:63" ht="14.45" customHeight="1">
      <c r="A87" s="579"/>
      <c r="AR87" s="332" t="str">
        <f>IF(AU89=0,"",IF(AU87=AU89,verze!E174,IF(AU90&gt;0,verze!E171&amp;" "&amp;AU90&amp;" "&amp;verze!E170,verze!E172&amp;" "&amp;AU91&amp;" "&amp;verze!E173)))</f>
        <v/>
      </c>
      <c r="AU87" s="330">
        <f>1*(+SUM(O19:T19)+SUM(O20:AD20)+SUM(W22:AF22)+SUM(O27:T27)+SUM(O28:AD28)+SUM(O30:AD30))</f>
        <v>0</v>
      </c>
      <c r="AV87" s="329" t="s">
        <v>356</v>
      </c>
      <c r="AW87" s="22"/>
      <c r="AX87" s="22"/>
      <c r="AY87" s="23"/>
      <c r="AZ87" s="326" t="str">
        <f t="shared" si="9"/>
        <v/>
      </c>
      <c r="BA87" s="95"/>
      <c r="BB87" s="95" t="str">
        <f t="shared" si="4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6"/>
        <v>0</v>
      </c>
      <c r="BJ87" s="95">
        <f>VLOOKUP(BD87,CENY!$B$11:$M$2025,12,FALSE)</f>
        <v>10.787739999999999</v>
      </c>
      <c r="BK87" s="95">
        <f t="shared" si="7"/>
        <v>0</v>
      </c>
    </row>
    <row r="88" spans="1:63" ht="14.45" customHeight="1">
      <c r="A88" s="579"/>
      <c r="AU88" s="20"/>
      <c r="AV88" s="21"/>
      <c r="AW88" s="22"/>
      <c r="AX88" s="22"/>
      <c r="AY88" s="23"/>
      <c r="AZ88" s="326" t="str">
        <f t="shared" si="9"/>
        <v/>
      </c>
      <c r="BA88" s="95"/>
      <c r="BB88" s="95" t="str">
        <f t="shared" si="4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6"/>
        <v>0</v>
      </c>
      <c r="BJ88" s="95">
        <f>VLOOKUP(BD88,CENY!$B$11:$M$2025,12,FALSE)</f>
        <v>10.787739999999999</v>
      </c>
      <c r="BK88" s="95">
        <f t="shared" si="7"/>
        <v>0</v>
      </c>
    </row>
    <row r="89" spans="1:63" ht="14.45" customHeight="1">
      <c r="A89" s="579"/>
      <c r="AU89" s="331">
        <f>SUM(O84:AJ84)</f>
        <v>0</v>
      </c>
      <c r="AV89" s="21" t="s">
        <v>357</v>
      </c>
      <c r="AW89" s="22"/>
      <c r="AX89" s="22"/>
      <c r="AY89" s="23"/>
      <c r="AZ89" s="326" t="str">
        <f t="shared" si="9"/>
        <v/>
      </c>
      <c r="BA89" s="95"/>
      <c r="BB89" s="95" t="str">
        <f t="shared" si="4"/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6"/>
        <v>0</v>
      </c>
      <c r="BJ89" s="95">
        <f>VLOOKUP(BD89,CENY!$B$11:$M$2025,12,FALSE)</f>
        <v>11.02122</v>
      </c>
      <c r="BK89" s="95">
        <f t="shared" si="7"/>
        <v>0</v>
      </c>
    </row>
    <row r="90" spans="1:63" ht="14.45" customHeight="1">
      <c r="A90" s="579"/>
      <c r="AU90" s="22">
        <f>AU87-AU89</f>
        <v>0</v>
      </c>
      <c r="AV90" s="21"/>
      <c r="AW90" s="22"/>
      <c r="AX90" s="22"/>
      <c r="AY90" s="23"/>
      <c r="AZ90" s="326" t="str">
        <f t="shared" si="9"/>
        <v/>
      </c>
      <c r="BA90" s="95"/>
      <c r="BB90" s="95" t="str">
        <f t="shared" si="4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6"/>
        <v>0</v>
      </c>
      <c r="BJ90" s="95">
        <f>VLOOKUP(BD90,CENY!$B$11:$M$2025,12,FALSE)</f>
        <v>11.02122</v>
      </c>
      <c r="BK90" s="95">
        <f t="shared" si="7"/>
        <v>0</v>
      </c>
    </row>
    <row r="91" spans="1:63" ht="14.45" customHeight="1">
      <c r="A91" s="579"/>
      <c r="AU91" s="22">
        <f>ABS(AU90)</f>
        <v>0</v>
      </c>
      <c r="AV91" s="21"/>
      <c r="AW91" s="22"/>
      <c r="AX91" s="22"/>
      <c r="AY91" s="23"/>
      <c r="AZ91" s="326" t="str">
        <f t="shared" si="9"/>
        <v/>
      </c>
      <c r="BA91" s="95"/>
      <c r="BB91" s="95" t="str">
        <f t="shared" si="4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6"/>
        <v>0</v>
      </c>
      <c r="BJ91" s="95">
        <f>VLOOKUP(BD91,CENY!$B$11:$M$2025,12,FALSE)</f>
        <v>11.25459</v>
      </c>
      <c r="BK91" s="95">
        <f t="shared" si="7"/>
        <v>0</v>
      </c>
    </row>
    <row r="92" spans="1:63" ht="14.45" customHeight="1">
      <c r="A92" s="579"/>
      <c r="AU92" s="20"/>
      <c r="AV92" s="21"/>
      <c r="AW92" s="22"/>
      <c r="AX92" s="22"/>
      <c r="AY92" s="23"/>
      <c r="AZ92" s="326" t="str">
        <f t="shared" si="9"/>
        <v/>
      </c>
      <c r="BA92" s="95"/>
      <c r="BB92" s="95" t="str">
        <f t="shared" si="4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6"/>
        <v>0</v>
      </c>
      <c r="BJ92" s="95">
        <f>VLOOKUP(BD92,CENY!$B$11:$M$2025,12,FALSE)</f>
        <v>11.25459</v>
      </c>
      <c r="BK92" s="95">
        <f t="shared" si="7"/>
        <v>0</v>
      </c>
    </row>
    <row r="93" spans="1:63" ht="14.45" customHeight="1">
      <c r="A93" s="579"/>
      <c r="AU93" s="22">
        <f>(AU89-1)*4+SUM(O81:AJ81)</f>
        <v>-4</v>
      </c>
      <c r="AV93" s="21" t="s">
        <v>358</v>
      </c>
      <c r="AW93" s="22"/>
      <c r="AX93" s="22"/>
      <c r="AY93" s="23"/>
      <c r="AZ93" s="326" t="str">
        <f t="shared" si="9"/>
        <v/>
      </c>
      <c r="BA93" s="95"/>
      <c r="BB93" s="95" t="str">
        <f t="shared" si="4"/>
        <v/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6"/>
        <v>0</v>
      </c>
      <c r="BJ93" s="95">
        <f>VLOOKUP(BD93,CENY!$B$11:$M$2025,12,FALSE)</f>
        <v>11.487740000000001</v>
      </c>
      <c r="BK93" s="95">
        <f t="shared" si="7"/>
        <v>0</v>
      </c>
    </row>
    <row r="94" spans="1:63" ht="14.45" customHeight="1">
      <c r="A94" s="579"/>
      <c r="AU94" s="20"/>
      <c r="AV94" s="21"/>
      <c r="AW94" s="22"/>
      <c r="AX94" s="22"/>
      <c r="AY94" s="23"/>
      <c r="AZ94" s="326" t="str">
        <f t="shared" si="9"/>
        <v/>
      </c>
      <c r="BA94" s="95"/>
      <c r="BB94" s="95" t="str">
        <f t="shared" si="4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6"/>
        <v>0</v>
      </c>
      <c r="BJ94" s="95">
        <f>VLOOKUP(BD94,CENY!$B$11:$M$2025,12,FALSE)</f>
        <v>11.487740000000001</v>
      </c>
      <c r="BK94" s="95">
        <f t="shared" si="7"/>
        <v>0</v>
      </c>
    </row>
    <row r="95" spans="1:63" ht="14.45" customHeight="1">
      <c r="A95" s="579"/>
      <c r="AU95" s="20"/>
      <c r="AV95" s="21"/>
      <c r="AW95" s="22"/>
      <c r="AX95" s="22"/>
      <c r="AY95" s="23"/>
      <c r="AZ95" s="326" t="str">
        <f t="shared" si="5"/>
        <v/>
      </c>
      <c r="BA95" s="95"/>
      <c r="BB95" s="95" t="str">
        <f t="shared" si="4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6"/>
        <v>0</v>
      </c>
      <c r="BJ95" s="95">
        <f>VLOOKUP(BD95,CENY!$B$11:$M$2025,12,FALSE)</f>
        <v>11.163180000000001</v>
      </c>
      <c r="BK95" s="95">
        <f t="shared" si="7"/>
        <v>0</v>
      </c>
    </row>
    <row r="96" spans="1:63" ht="14.45" customHeight="1">
      <c r="A96" s="579"/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6"/>
        <v>0</v>
      </c>
      <c r="BJ96" s="95">
        <f>VLOOKUP(BD96,CENY!$B$11:$M$2025,12,FALSE)</f>
        <v>11.163180000000001</v>
      </c>
      <c r="BK96" s="95">
        <f t="shared" si="7"/>
        <v>0</v>
      </c>
    </row>
    <row r="97" spans="1:63" ht="14.45" customHeight="1">
      <c r="A97" s="579"/>
      <c r="AU97" s="20"/>
      <c r="AV97" s="21"/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6"/>
        <v>0</v>
      </c>
      <c r="BJ97" s="95">
        <f>VLOOKUP(BD97,CENY!$B$11:$M$2025,12,FALSE)</f>
        <v>11.38542</v>
      </c>
      <c r="BK97" s="95">
        <f t="shared" si="7"/>
        <v>0</v>
      </c>
    </row>
    <row r="98" spans="1:63" ht="14.45" customHeight="1">
      <c r="A98" s="579"/>
      <c r="AU98" s="20"/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6"/>
        <v>0</v>
      </c>
      <c r="BJ98" s="95">
        <f>VLOOKUP(BD98,CENY!$B$11:$M$2025,12,FALSE)</f>
        <v>11.954689999999999</v>
      </c>
      <c r="BK98" s="95">
        <f t="shared" si="7"/>
        <v>0</v>
      </c>
    </row>
    <row r="99" spans="1:63" ht="14.45" customHeight="1">
      <c r="A99" s="579"/>
      <c r="AU99" s="20"/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6"/>
        <v>0</v>
      </c>
      <c r="BJ99" s="95">
        <f>VLOOKUP(BD99,CENY!$B$11:$M$2025,12,FALSE)</f>
        <v>12.187939999999999</v>
      </c>
      <c r="BK99" s="95">
        <f t="shared" si="7"/>
        <v>0</v>
      </c>
    </row>
    <row r="100" spans="1:63" ht="14.45" customHeight="1">
      <c r="A100" s="579"/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6"/>
        <v>0</v>
      </c>
      <c r="BJ100" s="95">
        <f>VLOOKUP(BD100,CENY!$B$11:$M$2025,12,FALSE)</f>
        <v>12.187939999999999</v>
      </c>
      <c r="BK100" s="95">
        <f t="shared" si="7"/>
        <v>0</v>
      </c>
    </row>
    <row r="101" spans="1:63">
      <c r="A101" s="579"/>
      <c r="AU101" s="20"/>
      <c r="AV101" s="21"/>
      <c r="AW101" s="22"/>
      <c r="AX101" s="22"/>
      <c r="AY101" s="23"/>
      <c r="AZ101" s="326" t="str">
        <f t="shared" si="5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1:63">
      <c r="A102" s="579"/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4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6"/>
        <v>0</v>
      </c>
      <c r="BJ102" s="95">
        <f>VLOOKUP(BD102,CENY!$B$11:$M$2025,12,FALSE)</f>
        <v>23.114239999999999</v>
      </c>
      <c r="BK102" s="95">
        <f t="shared" si="7"/>
        <v>0</v>
      </c>
    </row>
    <row r="103" spans="1:63">
      <c r="A103" s="579"/>
      <c r="AU103" s="20"/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4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6"/>
        <v>0</v>
      </c>
      <c r="BJ103" s="95">
        <f>VLOOKUP(BD103,CENY!$B$11:$M$2025,12,FALSE)</f>
        <v>23.114239999999999</v>
      </c>
      <c r="BK103" s="95">
        <f t="shared" si="7"/>
        <v>0</v>
      </c>
    </row>
    <row r="104" spans="1:63">
      <c r="A104" s="579"/>
      <c r="AU104" s="20"/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4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6"/>
        <v>0</v>
      </c>
      <c r="BJ104" s="95">
        <f>VLOOKUP(BD104,CENY!$B$11:$M$2025,12,FALSE)</f>
        <v>23.114239999999999</v>
      </c>
      <c r="BK104" s="95">
        <f t="shared" si="7"/>
        <v>0</v>
      </c>
    </row>
    <row r="105" spans="1:63">
      <c r="A105" s="579"/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4"/>
        <v/>
      </c>
      <c r="BD105" s="319"/>
      <c r="BE105" s="21"/>
      <c r="BF105" s="22"/>
      <c r="BG105" s="22"/>
      <c r="BH105" s="23"/>
      <c r="BI105" s="326" t="str">
        <f t="shared" si="6"/>
        <v/>
      </c>
      <c r="BJ105" s="95"/>
      <c r="BK105" s="95" t="str">
        <f t="shared" si="7"/>
        <v/>
      </c>
    </row>
    <row r="106" spans="1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4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si="6"/>
        <v>0</v>
      </c>
      <c r="BJ106" s="95">
        <f>VLOOKUP(BD106,CENY!$B$11:$M$2025,12,FALSE)</f>
        <v>12.16503</v>
      </c>
      <c r="BK106" s="95">
        <f t="shared" si="7"/>
        <v>0</v>
      </c>
    </row>
    <row r="107" spans="1:63">
      <c r="AU107" s="20"/>
      <c r="AV107" s="21"/>
      <c r="AW107" s="22"/>
      <c r="AX107" s="22"/>
      <c r="AY107" s="23"/>
      <c r="AZ107" s="326" t="str">
        <f t="shared" si="5"/>
        <v/>
      </c>
      <c r="BA107" s="95"/>
      <c r="BB107" s="95" t="str">
        <f t="shared" si="4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6"/>
        <v>0</v>
      </c>
      <c r="BJ107" s="95">
        <f>VLOOKUP(BD107,CENY!$B$11:$M$2025,12,FALSE)</f>
        <v>12.16503</v>
      </c>
      <c r="BK107" s="95">
        <f t="shared" si="7"/>
        <v>0</v>
      </c>
    </row>
    <row r="108" spans="1:63">
      <c r="AU108" s="20"/>
      <c r="AV108" s="21"/>
      <c r="AW108" s="22"/>
      <c r="AX108" s="22"/>
      <c r="AY108" s="23"/>
      <c r="AZ108" s="326" t="str">
        <f t="shared" si="5"/>
        <v/>
      </c>
      <c r="BA108" s="95"/>
      <c r="BB108" s="95" t="str">
        <f t="shared" si="4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6"/>
        <v>0</v>
      </c>
      <c r="BJ108" s="95">
        <f>VLOOKUP(BD108,CENY!$B$11:$M$2025,12,FALSE)</f>
        <v>12.187939999999999</v>
      </c>
      <c r="BK108" s="95">
        <f t="shared" si="7"/>
        <v>0</v>
      </c>
    </row>
    <row r="109" spans="1:63">
      <c r="AU109" s="20"/>
      <c r="AV109" s="21"/>
      <c r="AW109" s="22"/>
      <c r="AX109" s="22"/>
      <c r="AY109" s="23"/>
      <c r="AZ109" s="326" t="str">
        <f t="shared" si="5"/>
        <v/>
      </c>
      <c r="BA109" s="95"/>
      <c r="BB109" s="95" t="str">
        <f t="shared" si="4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6"/>
        <v>0</v>
      </c>
      <c r="BJ109" s="95">
        <f>VLOOKUP(BD109,CENY!$B$11:$M$2025,12,FALSE)</f>
        <v>12.187939999999999</v>
      </c>
      <c r="BK109" s="95">
        <f t="shared" si="7"/>
        <v>0</v>
      </c>
    </row>
    <row r="110" spans="1:63">
      <c r="AU110" s="20"/>
      <c r="AV110" s="21"/>
      <c r="AW110" s="22"/>
      <c r="AX110" s="22"/>
      <c r="AY110" s="23"/>
      <c r="AZ110" s="326" t="str">
        <f t="shared" si="5"/>
        <v/>
      </c>
      <c r="BA110" s="95"/>
      <c r="BB110" s="95" t="str">
        <f t="shared" si="4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6"/>
        <v>0</v>
      </c>
      <c r="BJ110" s="95">
        <f>VLOOKUP(BD110,CENY!$B$11:$M$2025,12,FALSE)</f>
        <v>12.42154</v>
      </c>
      <c r="BK110" s="95">
        <f t="shared" si="7"/>
        <v>0</v>
      </c>
    </row>
    <row r="111" spans="1:63">
      <c r="AU111" s="20"/>
      <c r="AV111" s="21"/>
      <c r="AW111" s="22"/>
      <c r="AX111" s="22"/>
      <c r="AY111" s="23"/>
      <c r="AZ111" s="326" t="str">
        <f t="shared" si="5"/>
        <v/>
      </c>
      <c r="BA111" s="95"/>
      <c r="BB111" s="95" t="str">
        <f t="shared" si="4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6"/>
        <v>0</v>
      </c>
      <c r="BJ111" s="95">
        <f>VLOOKUP(BD111,CENY!$B$11:$M$2025,12,FALSE)</f>
        <v>12.42154</v>
      </c>
      <c r="BK111" s="95">
        <f t="shared" si="7"/>
        <v>0</v>
      </c>
    </row>
    <row r="112" spans="1:63">
      <c r="AU112" s="20"/>
      <c r="AV112" s="21"/>
      <c r="AW112" s="22"/>
      <c r="AX112" s="22"/>
      <c r="AY112" s="23"/>
      <c r="AZ112" s="326" t="str">
        <f t="shared" si="5"/>
        <v/>
      </c>
      <c r="BA112" s="95"/>
      <c r="BB112" s="95" t="str">
        <f t="shared" si="4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6"/>
        <v>0</v>
      </c>
      <c r="BJ112" s="95">
        <f>VLOOKUP(BD112,CENY!$B$11:$M$2025,12,FALSE)</f>
        <v>12.654769999999999</v>
      </c>
      <c r="BK112" s="95">
        <f t="shared" si="7"/>
        <v>0</v>
      </c>
    </row>
    <row r="113" spans="47:63">
      <c r="AU113" s="20"/>
      <c r="AV113" s="21"/>
      <c r="AW113" s="22"/>
      <c r="AX113" s="22"/>
      <c r="AY113" s="23"/>
      <c r="AZ113" s="326" t="str">
        <f t="shared" si="5"/>
        <v/>
      </c>
      <c r="BA113" s="95"/>
      <c r="BB113" s="95" t="str">
        <f t="shared" si="4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6"/>
        <v>0</v>
      </c>
      <c r="BJ113" s="95">
        <f>VLOOKUP(BD113,CENY!$B$11:$M$2025,12,FALSE)</f>
        <v>12.654769999999999</v>
      </c>
      <c r="BK113" s="95">
        <f t="shared" si="7"/>
        <v>0</v>
      </c>
    </row>
    <row r="114" spans="47:63">
      <c r="AU114" s="20"/>
      <c r="AV114" s="21"/>
      <c r="AW114" s="22"/>
      <c r="AX114" s="22"/>
      <c r="AY114" s="23"/>
      <c r="AZ114" s="326" t="str">
        <f t="shared" si="5"/>
        <v/>
      </c>
      <c r="BA114" s="95"/>
      <c r="BB114" s="95" t="str">
        <f t="shared" si="4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6"/>
        <v>0</v>
      </c>
      <c r="BJ114" s="95">
        <f>VLOOKUP(BD114,CENY!$B$11:$M$2025,12,FALSE)</f>
        <v>12.888019999999999</v>
      </c>
      <c r="BK114" s="95">
        <f t="shared" si="7"/>
        <v>0</v>
      </c>
    </row>
    <row r="115" spans="47:63">
      <c r="AU115" s="20"/>
      <c r="AV115" s="21"/>
      <c r="AW115" s="22"/>
      <c r="AX115" s="22"/>
      <c r="AY115" s="23"/>
      <c r="AZ115" s="326" t="str">
        <f t="shared" si="5"/>
        <v/>
      </c>
      <c r="BA115" s="95"/>
      <c r="BB115" s="95" t="str">
        <f t="shared" si="4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6"/>
        <v>0</v>
      </c>
      <c r="BJ115" s="95">
        <f>VLOOKUP(BD115,CENY!$B$11:$M$2025,12,FALSE)</f>
        <v>12.888019999999999</v>
      </c>
      <c r="BK115" s="95">
        <f t="shared" si="7"/>
        <v>0</v>
      </c>
    </row>
    <row r="116" spans="47:63">
      <c r="AU116" s="20"/>
      <c r="AV116" s="21"/>
      <c r="AW116" s="22"/>
      <c r="AX116" s="22"/>
      <c r="AY116" s="23"/>
      <c r="AZ116" s="326" t="str">
        <f t="shared" si="5"/>
        <v/>
      </c>
      <c r="BA116" s="95"/>
      <c r="BB116" s="95" t="str">
        <f t="shared" si="4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6"/>
        <v>0</v>
      </c>
      <c r="BJ116" s="95">
        <f>VLOOKUP(BD116,CENY!$B$11:$M$2025,12,FALSE)</f>
        <v>12.496779999999999</v>
      </c>
      <c r="BK116" s="95">
        <f t="shared" si="7"/>
        <v>0</v>
      </c>
    </row>
    <row r="117" spans="47:63">
      <c r="AU117" s="20"/>
      <c r="AV117" s="21"/>
      <c r="AW117" s="22"/>
      <c r="AX117" s="22"/>
      <c r="AY117" s="23"/>
      <c r="AZ117" s="326" t="str">
        <f t="shared" si="5"/>
        <v/>
      </c>
      <c r="BA117" s="95"/>
      <c r="BB117" s="95" t="str">
        <f t="shared" si="4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6"/>
        <v>0</v>
      </c>
      <c r="BJ117" s="95">
        <f>VLOOKUP(BD117,CENY!$B$11:$M$2025,12,FALSE)</f>
        <v>12.496779999999999</v>
      </c>
      <c r="BK117" s="95">
        <f t="shared" si="7"/>
        <v>0</v>
      </c>
    </row>
    <row r="118" spans="47:63">
      <c r="AU118" s="20"/>
      <c r="AV118" s="21"/>
      <c r="AW118" s="22"/>
      <c r="AX118" s="22"/>
      <c r="AY118" s="23"/>
      <c r="AZ118" s="326" t="str">
        <f t="shared" si="5"/>
        <v/>
      </c>
      <c r="BA118" s="95"/>
      <c r="BB118" s="95" t="str">
        <f t="shared" si="4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6"/>
        <v>0</v>
      </c>
      <c r="BJ118" s="95">
        <f>VLOOKUP(BD118,CENY!$B$11:$M$2025,12,FALSE)</f>
        <v>12.718019999999999</v>
      </c>
      <c r="BK118" s="95">
        <f t="shared" si="7"/>
        <v>0</v>
      </c>
    </row>
    <row r="119" spans="47:63">
      <c r="AU119" s="20"/>
      <c r="AV119" s="21"/>
      <c r="AW119" s="22"/>
      <c r="AX119" s="22"/>
      <c r="AY119" s="23"/>
      <c r="AZ119" s="326" t="str">
        <f t="shared" si="5"/>
        <v/>
      </c>
      <c r="BA119" s="95"/>
      <c r="BB119" s="95" t="str">
        <f t="shared" si="4"/>
        <v/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6"/>
        <v>0</v>
      </c>
      <c r="BJ119" s="95">
        <f>VLOOKUP(BD119,CENY!$B$11:$M$2025,12,FALSE)</f>
        <v>13.35392</v>
      </c>
      <c r="BK119" s="95">
        <f t="shared" si="7"/>
        <v>0</v>
      </c>
    </row>
    <row r="120" spans="47:63">
      <c r="AU120" s="20"/>
      <c r="AV120" s="21"/>
      <c r="AW120" s="22"/>
      <c r="AX120" s="22"/>
      <c r="AY120" s="23"/>
      <c r="AZ120" s="326" t="str">
        <f t="shared" si="5"/>
        <v/>
      </c>
      <c r="BA120" s="95"/>
      <c r="BB120" s="95" t="str">
        <f t="shared" si="4"/>
        <v/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6"/>
        <v>0</v>
      </c>
      <c r="BJ120" s="95">
        <f>VLOOKUP(BD120,CENY!$B$11:$M$2025,12,FALSE)</f>
        <v>13.58704</v>
      </c>
      <c r="BK120" s="95">
        <f t="shared" si="7"/>
        <v>0</v>
      </c>
    </row>
    <row r="121" spans="47:63">
      <c r="AU121" s="20"/>
      <c r="AV121" s="21"/>
      <c r="AW121" s="22"/>
      <c r="AX121" s="22"/>
      <c r="AY121" s="23"/>
      <c r="AZ121" s="326" t="str">
        <f t="shared" si="5"/>
        <v/>
      </c>
      <c r="BA121" s="95"/>
      <c r="BB121" s="95" t="str">
        <f t="shared" si="4"/>
        <v/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6"/>
        <v>0</v>
      </c>
      <c r="BJ121" s="95">
        <f>VLOOKUP(BD121,CENY!$B$11:$M$2025,12,FALSE)</f>
        <v>13.58704</v>
      </c>
      <c r="BK121" s="95">
        <f t="shared" si="7"/>
        <v>0</v>
      </c>
    </row>
    <row r="122" spans="47:63">
      <c r="AU122" s="20"/>
      <c r="AV122" s="21"/>
      <c r="AW122" s="22"/>
      <c r="AX122" s="22"/>
      <c r="AY122" s="23"/>
      <c r="AZ122" s="326" t="str">
        <f t="shared" si="5"/>
        <v/>
      </c>
      <c r="BA122" s="95"/>
      <c r="BB122" s="95" t="str">
        <f t="shared" si="4"/>
        <v/>
      </c>
      <c r="BD122" s="319"/>
      <c r="BE122" s="21"/>
      <c r="BF122" s="22"/>
      <c r="BG122" s="22"/>
      <c r="BH122" s="23"/>
      <c r="BI122" s="326" t="str">
        <f t="shared" si="6"/>
        <v/>
      </c>
      <c r="BJ122" s="95"/>
      <c r="BK122" s="95" t="str">
        <f t="shared" si="7"/>
        <v/>
      </c>
    </row>
    <row r="123" spans="47:63">
      <c r="AU123" s="20"/>
      <c r="AV123" s="21"/>
      <c r="AW123" s="22"/>
      <c r="AX123" s="22"/>
      <c r="AY123" s="23"/>
      <c r="AZ123" s="326" t="str">
        <f t="shared" si="5"/>
        <v/>
      </c>
      <c r="BA123" s="95"/>
      <c r="BB123" s="95" t="str">
        <f t="shared" si="4"/>
        <v/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6"/>
        <v>0</v>
      </c>
      <c r="BJ123" s="95">
        <f>VLOOKUP(BD123,CENY!$B$11:$M$2025,12,FALSE)</f>
        <v>0.79318999999999995</v>
      </c>
      <c r="BK123" s="95">
        <f t="shared" si="7"/>
        <v>0</v>
      </c>
    </row>
    <row r="124" spans="47:63">
      <c r="AU124" s="20"/>
      <c r="AV124" s="21"/>
      <c r="AW124" s="22"/>
      <c r="AX124" s="22"/>
      <c r="AY124" s="23"/>
      <c r="AZ124" s="326" t="str">
        <f t="shared" si="5"/>
        <v/>
      </c>
      <c r="BA124" s="95"/>
      <c r="BB124" s="95" t="str">
        <f t="shared" si="4"/>
        <v/>
      </c>
      <c r="BD124" s="319"/>
      <c r="BE124" s="21"/>
      <c r="BF124" s="22"/>
      <c r="BG124" s="22"/>
      <c r="BH124" s="23"/>
      <c r="BI124" s="326" t="str">
        <f t="shared" si="6"/>
        <v/>
      </c>
      <c r="BJ124" s="95"/>
      <c r="BK124" s="95" t="str">
        <f t="shared" si="7"/>
        <v/>
      </c>
    </row>
    <row r="125" spans="47:63">
      <c r="AU125" s="20"/>
      <c r="AV125" s="21"/>
      <c r="AW125" s="22"/>
      <c r="AX125" s="22"/>
      <c r="AY125" s="23"/>
      <c r="AZ125" s="326" t="str">
        <f t="shared" si="5"/>
        <v/>
      </c>
      <c r="BA125" s="95"/>
      <c r="BB125" s="95" t="str">
        <f t="shared" si="4"/>
        <v/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6"/>
        <v>0</v>
      </c>
      <c r="BJ125" s="324" t="str">
        <f>IF(BD125=0,"",VLOOKUP(BD125,CENY!$B$11:$M$2025,12,FALSE))</f>
        <v/>
      </c>
      <c r="BK125" s="95" t="str">
        <f t="shared" si="7"/>
        <v/>
      </c>
    </row>
    <row r="126" spans="47:63">
      <c r="AU126" s="20"/>
      <c r="AV126" s="21"/>
      <c r="AW126" s="22"/>
      <c r="AX126" s="22"/>
      <c r="AY126" s="23"/>
      <c r="AZ126" s="326" t="str">
        <f t="shared" si="5"/>
        <v/>
      </c>
      <c r="BA126" s="95"/>
      <c r="BB126" s="95" t="str">
        <f t="shared" si="4"/>
        <v/>
      </c>
      <c r="BD126" s="319"/>
      <c r="BE126" s="21"/>
      <c r="BF126" s="22"/>
      <c r="BG126" s="22"/>
      <c r="BH126" s="23"/>
      <c r="BI126" s="326" t="str">
        <f t="shared" si="6"/>
        <v/>
      </c>
      <c r="BJ126" s="95"/>
      <c r="BK126" s="95" t="str">
        <f t="shared" si="7"/>
        <v/>
      </c>
    </row>
    <row r="127" spans="47:63">
      <c r="AU127" s="20"/>
      <c r="AV127" s="21"/>
      <c r="AW127" s="22"/>
      <c r="AX127" s="22"/>
      <c r="AY127" s="23"/>
      <c r="AZ127" s="326" t="str">
        <f t="shared" si="5"/>
        <v/>
      </c>
      <c r="BA127" s="95"/>
      <c r="BB127" s="95" t="str">
        <f t="shared" si="4"/>
        <v/>
      </c>
      <c r="BD127" s="319"/>
      <c r="BE127" s="21"/>
      <c r="BF127" s="22"/>
      <c r="BG127" s="22"/>
      <c r="BH127" s="23"/>
      <c r="BI127" s="326" t="str">
        <f t="shared" si="6"/>
        <v/>
      </c>
      <c r="BJ127" s="95"/>
      <c r="BK127" s="95" t="str">
        <f t="shared" si="7"/>
        <v/>
      </c>
    </row>
    <row r="128" spans="47:63">
      <c r="AU128" s="20"/>
      <c r="AV128" s="21"/>
      <c r="AW128" s="22"/>
      <c r="AX128" s="22"/>
      <c r="AY128" s="23"/>
      <c r="AZ128" s="326" t="str">
        <f t="shared" si="5"/>
        <v/>
      </c>
      <c r="BA128" s="95"/>
      <c r="BB128" s="95" t="str">
        <f t="shared" si="4"/>
        <v/>
      </c>
      <c r="BD128" s="319">
        <f>OBJ!B196</f>
        <v>9257271</v>
      </c>
      <c r="BE128" s="21" t="str">
        <f>VLOOKUP(BD128,CENY!$B$11:$G$1054,2,FALSE)</f>
        <v>AvanY-čelo vnút.zásuvky /v187/d2000/strieb.</v>
      </c>
      <c r="BF128" s="22">
        <f>VLOOKUP(BD128,CENY!$B$11:$G$1054,3,FALSE)</f>
        <v>1</v>
      </c>
      <c r="BG128" s="22"/>
      <c r="BH128" s="23">
        <f>AY83</f>
        <v>0</v>
      </c>
      <c r="BI128" s="326">
        <f>IF(BH128="","",IF($AW$4=0,BH128,0))</f>
        <v>0</v>
      </c>
      <c r="BJ128" s="95">
        <f>VLOOKUP(BD128,CENY!$B$11:$M$2025,12,FALSE)</f>
        <v>106.6825</v>
      </c>
      <c r="BK128" s="95">
        <f t="shared" si="7"/>
        <v>0</v>
      </c>
    </row>
    <row r="129" spans="47:63">
      <c r="AU129" s="20"/>
      <c r="AV129" s="21"/>
      <c r="AW129" s="22"/>
      <c r="AX129" s="22"/>
      <c r="AY129" s="23"/>
      <c r="AZ129" s="326" t="str">
        <f t="shared" si="5"/>
        <v/>
      </c>
      <c r="BA129" s="95"/>
      <c r="BB129" s="95" t="str">
        <f t="shared" si="4"/>
        <v/>
      </c>
      <c r="BD129" s="319"/>
      <c r="BE129" s="21"/>
      <c r="BF129" s="22"/>
      <c r="BG129" s="22"/>
      <c r="BH129" s="23"/>
      <c r="BI129" s="326" t="str">
        <f>IF(BH129="","",IF($AW$4=0,BH129,0))</f>
        <v/>
      </c>
      <c r="BJ129" s="95"/>
      <c r="BK129" s="95" t="str">
        <f t="shared" si="7"/>
        <v/>
      </c>
    </row>
    <row r="130" spans="47:63">
      <c r="AU130" s="20"/>
      <c r="AV130" s="21"/>
      <c r="AW130" s="22"/>
      <c r="AX130" s="22"/>
      <c r="AY130" s="23"/>
      <c r="AZ130" s="326" t="str">
        <f t="shared" si="5"/>
        <v/>
      </c>
      <c r="BA130" s="95"/>
      <c r="BB130" s="95" t="str">
        <f t="shared" si="4"/>
        <v/>
      </c>
      <c r="BD130" s="319">
        <f>OBJ!B203</f>
        <v>9257641</v>
      </c>
      <c r="BE130" s="21" t="str">
        <f>VLOOKUP(BD130,CENY!$B$11:$G$1054,2,FALSE)</f>
        <v>AvanY-stabilizátor čela vnút.zásuvky</v>
      </c>
      <c r="BF130" s="22">
        <f>VLOOKUP(BD130,CENY!$B$11:$G$1054,3,FALSE)</f>
        <v>100</v>
      </c>
      <c r="BG130" s="22"/>
      <c r="BH130" s="23">
        <f>AY84</f>
        <v>0</v>
      </c>
      <c r="BI130" s="326">
        <f>IF(BH130="","",IF($AW$4=0,BH130,0))</f>
        <v>0</v>
      </c>
      <c r="BJ130" s="95">
        <f>VLOOKUP(BD130,CENY!$B$11:$M$2025,12,FALSE)</f>
        <v>0.52149000000000001</v>
      </c>
      <c r="BK130" s="95">
        <f t="shared" si="7"/>
        <v>0</v>
      </c>
    </row>
    <row r="131" spans="47:63">
      <c r="AU131" s="20"/>
      <c r="AV131" s="21"/>
      <c r="AW131" s="22"/>
      <c r="AX131" s="22"/>
      <c r="AY131" s="23"/>
      <c r="AZ131" s="326" t="str">
        <f t="shared" si="5"/>
        <v/>
      </c>
      <c r="BA131" s="95"/>
      <c r="BB131" s="95" t="str">
        <f t="shared" ref="BB131:BB137" si="10">IF(BA131="","",BA131*AY131)</f>
        <v/>
      </c>
      <c r="BD131" s="319">
        <f>OBJ!B206</f>
        <v>9257631</v>
      </c>
      <c r="BE131" s="21" t="str">
        <f>VLOOKUP(BD131,CENY!$B$11:$G$1054,2,FALSE)</f>
        <v>AvanY-krytka čela vnút.zás./v187/strieb.</v>
      </c>
      <c r="BF131" s="22">
        <f>VLOOKUP(BD131,CENY!$B$11:$G$1054,3,FALSE)</f>
        <v>200</v>
      </c>
      <c r="BG131" s="22"/>
      <c r="BH131" s="23">
        <f>2*AY84</f>
        <v>0</v>
      </c>
      <c r="BI131" s="326">
        <f>IF(BH131="","",IF($AW$4=0,BH131,0))</f>
        <v>0</v>
      </c>
      <c r="BJ131" s="95">
        <f>VLOOKUP(BD131,CENY!$B$11:$M$2025,12,FALSE)</f>
        <v>0.38140000000000002</v>
      </c>
      <c r="BK131" s="95">
        <f t="shared" si="7"/>
        <v>0</v>
      </c>
    </row>
    <row r="132" spans="47:63">
      <c r="AU132" s="20"/>
      <c r="AV132" s="21"/>
      <c r="AW132" s="22"/>
      <c r="AX132" s="22"/>
      <c r="AY132" s="23"/>
      <c r="AZ132" s="326" t="str">
        <f t="shared" ref="AZ132:AZ137" si="11">IF(AY132="","",IF($AW$4=1,AY132,0))</f>
        <v/>
      </c>
      <c r="BA132" s="95"/>
      <c r="BB132" s="95" t="str">
        <f t="shared" si="10"/>
        <v/>
      </c>
      <c r="BD132" s="319"/>
      <c r="BE132" s="21"/>
      <c r="BF132" s="22"/>
      <c r="BG132" s="22"/>
      <c r="BH132" s="23"/>
      <c r="BI132" s="326" t="str">
        <f t="shared" si="6"/>
        <v/>
      </c>
      <c r="BJ132" s="95"/>
      <c r="BK132" s="95" t="str">
        <f t="shared" si="7"/>
        <v/>
      </c>
    </row>
    <row r="133" spans="47:63">
      <c r="AU133" s="319">
        <f>OBJ!B361</f>
        <v>45167</v>
      </c>
      <c r="AV133" s="21" t="str">
        <f>VLOOKUP(AU133,CENY!$B$11:$G$1054,2,FALSE)</f>
        <v>Skrutka s polgul.hlavou 3,5x12mm</v>
      </c>
      <c r="AW133" s="22">
        <f>VLOOKUP(AU133,CENY!$B$11:$G$1054,3,FALSE)</f>
        <v>200</v>
      </c>
      <c r="AX133" s="22"/>
      <c r="AY133" s="23">
        <f>SUMPRODUCT(AX5:AX13,AY5:AY13)</f>
        <v>0</v>
      </c>
      <c r="AZ133" s="326">
        <f t="shared" si="11"/>
        <v>0</v>
      </c>
      <c r="BA133" s="95">
        <f>VLOOKUP(AU133,CENY!$B$11:$M$2025,12,FALSE)</f>
        <v>3.4759999999999999E-2</v>
      </c>
      <c r="BB133" s="95">
        <f t="shared" si="10"/>
        <v>0</v>
      </c>
      <c r="BC133" s="86" t="s">
        <v>396</v>
      </c>
      <c r="BD133" s="319">
        <f>OBJ!B361</f>
        <v>45167</v>
      </c>
      <c r="BE133" s="21" t="str">
        <f>VLOOKUP(BD133,CENY!$B$11:$G$1054,2,FALSE)</f>
        <v>Skrutka s polgul.hlavou 3,5x12mm</v>
      </c>
      <c r="BF133" s="22">
        <f>VLOOKUP(BD133,CENY!$B$11:$G$1054,3,FALSE)</f>
        <v>200</v>
      </c>
      <c r="BG133" s="22"/>
      <c r="BH133" s="23">
        <f>AY133+BH25*2+BH130</f>
        <v>0</v>
      </c>
      <c r="BI133" s="326">
        <f>IF(BH133="","",IF($AW$4=0,BH133,0))</f>
        <v>0</v>
      </c>
      <c r="BJ133" s="95">
        <f>VLOOKUP(BD133,CENY!$B$11:$M$2025,12,FALSE)</f>
        <v>3.4759999999999999E-2</v>
      </c>
      <c r="BK133" s="95">
        <f>IF(BJ133="","",BJ133*BH133)</f>
        <v>0</v>
      </c>
    </row>
    <row r="134" spans="47:63">
      <c r="AU134" s="319">
        <f>OBJ!B362</f>
        <v>45168</v>
      </c>
      <c r="AV134" s="21" t="str">
        <f>VLOOKUP(AU134,CENY!$B$11:$G$1054,2,FALSE)</f>
        <v>Skrutka s polgul.hlavou 3,5x20mm</v>
      </c>
      <c r="AW134" s="22">
        <f>VLOOKUP(AU134,CENY!$B$11:$G$1054,3,FALSE)</f>
        <v>200</v>
      </c>
      <c r="AX134" s="22"/>
      <c r="AY134" s="360">
        <v>0</v>
      </c>
      <c r="AZ134" s="326">
        <f t="shared" si="11"/>
        <v>0</v>
      </c>
      <c r="BA134" s="95">
        <f>VLOOKUP(AU134,CENY!$B$11:$M$2025,12,FALSE)</f>
        <v>4.9860000000000002E-2</v>
      </c>
      <c r="BB134" s="95">
        <f t="shared" si="10"/>
        <v>0</v>
      </c>
      <c r="BC134" s="86" t="s">
        <v>397</v>
      </c>
      <c r="BD134" s="319">
        <f>OBJ!B362</f>
        <v>45168</v>
      </c>
      <c r="BE134" s="21" t="str">
        <f>VLOOKUP(BD134,CENY!$B$11:$G$1054,2,FALSE)</f>
        <v>Skrutka s polgul.hlavou 3,5x20mm</v>
      </c>
      <c r="BF134" s="22">
        <f>VLOOKUP(BD134,CENY!$B$11:$G$1054,3,FALSE)</f>
        <v>200</v>
      </c>
      <c r="BG134" s="22"/>
      <c r="BH134" s="360">
        <v>0</v>
      </c>
      <c r="BI134" s="326">
        <f>IF(BH134="","",IF($AW$4=0,BH134,0))</f>
        <v>0</v>
      </c>
      <c r="BJ134" s="95">
        <f>VLOOKUP(BD134,CENY!$B$11:$M$2025,12,FALSE)</f>
        <v>4.9860000000000002E-2</v>
      </c>
      <c r="BK134" s="95">
        <f>IF(BJ134="","",BJ134*BH134)</f>
        <v>0</v>
      </c>
    </row>
    <row r="135" spans="47:63">
      <c r="AU135" s="319">
        <f>OBJ!B363</f>
        <v>9278224</v>
      </c>
      <c r="AV135" s="21" t="str">
        <f>VLOOKUP(AU135,CENY!$B$11:$G$1054,2,FALSE)</f>
        <v>Skrutka s polgul.hlavou 3,5x30mm</v>
      </c>
      <c r="AW135" s="22">
        <f>VLOOKUP(AU135,CENY!$B$11:$G$1054,3,FALSE)</f>
        <v>200</v>
      </c>
      <c r="AX135" s="22"/>
      <c r="AY135" s="360">
        <v>0</v>
      </c>
      <c r="AZ135" s="326">
        <f t="shared" si="11"/>
        <v>0</v>
      </c>
      <c r="BA135" s="95">
        <f>VLOOKUP(AU135,CENY!$B$11:$M$2025,12,FALSE)</f>
        <v>4.299E-2</v>
      </c>
      <c r="BB135" s="95">
        <f t="shared" si="10"/>
        <v>0</v>
      </c>
      <c r="BC135" s="86" t="s">
        <v>398</v>
      </c>
      <c r="BD135" s="319">
        <f>OBJ!B363</f>
        <v>9278224</v>
      </c>
      <c r="BE135" s="21" t="str">
        <f>VLOOKUP(BD135,CENY!$B$11:$G$1054,2,FALSE)</f>
        <v>Skrutka s polgul.hlavou 3,5x30mm</v>
      </c>
      <c r="BF135" s="22">
        <f>VLOOKUP(BD135,CENY!$B$11:$G$1054,3,FALSE)</f>
        <v>200</v>
      </c>
      <c r="BG135" s="22"/>
      <c r="BH135" s="360">
        <f>2*SUM(BH5:BH22)</f>
        <v>0</v>
      </c>
      <c r="BI135" s="326">
        <f>IF(BH135="","",IF($AW$4=0,BH135,0))</f>
        <v>0</v>
      </c>
      <c r="BJ135" s="95">
        <f>VLOOKUP(BD135,CENY!$B$11:$M$2025,12,FALSE)</f>
        <v>4.299E-2</v>
      </c>
      <c r="BK135" s="95">
        <f>IF(BJ135="","",BJ135*BH135)</f>
        <v>0</v>
      </c>
    </row>
    <row r="136" spans="47:63">
      <c r="AU136" s="319">
        <f>OBJ!B364</f>
        <v>9279197</v>
      </c>
      <c r="AV136" s="21" t="str">
        <f>VLOOKUP(AU136,CENY!$B$11:$G$1054,2,FALSE)</f>
        <v>Skrutka s polgul.hlavou M3,5x12mm</v>
      </c>
      <c r="AW136" s="22">
        <f>VLOOKUP(AU136,CENY!$B$11:$G$1054,3,FALSE)</f>
        <v>1000</v>
      </c>
      <c r="AX136" s="22"/>
      <c r="AY136" s="68">
        <v>0</v>
      </c>
      <c r="AZ136" s="326">
        <f t="shared" si="11"/>
        <v>0</v>
      </c>
      <c r="BA136" s="95" t="e">
        <f>VLOOKUP(AU136,CENY!$B$11:$M$2025,12,FALSE)</f>
        <v>#N/A</v>
      </c>
      <c r="BB136" s="95" t="e">
        <f t="shared" si="10"/>
        <v>#N/A</v>
      </c>
      <c r="BC136" s="86" t="s">
        <v>399</v>
      </c>
      <c r="BD136" s="319">
        <f>OBJ!B364</f>
        <v>9279197</v>
      </c>
      <c r="BE136" s="21" t="str">
        <f>VLOOKUP(BD136,CENY!$B$11:$G$1054,2,FALSE)</f>
        <v>Skrutka s polgul.hlavou M3,5x12mm</v>
      </c>
      <c r="BF136" s="22">
        <f>VLOOKUP(BD136,CENY!$B$11:$G$1054,3,FALSE)</f>
        <v>1000</v>
      </c>
      <c r="BG136" s="22"/>
      <c r="BH136" s="68">
        <f>4*BH24</f>
        <v>0</v>
      </c>
      <c r="BI136" s="326">
        <f>IF(BH136="","",IF($AW$4=0,BH136,0))</f>
        <v>0</v>
      </c>
      <c r="BJ136" s="95" t="e">
        <f>VLOOKUP(BD136,CENY!$B$11:$M$2025,12,FALSE)</f>
        <v>#N/A</v>
      </c>
      <c r="BK136" s="95" t="e">
        <f>IF(BJ136="","",BJ136*BH136)</f>
        <v>#N/A</v>
      </c>
    </row>
    <row r="137" spans="47:63">
      <c r="AU137" s="319">
        <f>OBJ!B365</f>
        <v>9137114</v>
      </c>
      <c r="AV137" s="21" t="str">
        <f>VLOOKUP(AU137,CENY!$B$11:$G$1054,2,FALSE)</f>
        <v>EURO-skrutka  6,0x14mm / niklovaná</v>
      </c>
      <c r="AW137" s="22">
        <f>VLOOKUP(AU137,CENY!$B$11:$G$1054,3,FALSE)</f>
        <v>200</v>
      </c>
      <c r="AX137" s="22"/>
      <c r="AY137" s="23">
        <f>SUMPRODUCT(AX25:AX74,AY25:AY74)</f>
        <v>0</v>
      </c>
      <c r="AZ137" s="326">
        <f t="shared" si="11"/>
        <v>0</v>
      </c>
      <c r="BA137" s="95">
        <f>VLOOKUP(AU137,CENY!$B$11:$M$2025,12,FALSE)</f>
        <v>7.7280000000000001E-2</v>
      </c>
      <c r="BB137" s="95">
        <f t="shared" si="10"/>
        <v>0</v>
      </c>
      <c r="BC137" s="86" t="s">
        <v>400</v>
      </c>
      <c r="BD137" s="319">
        <f>OBJ!B365</f>
        <v>9137114</v>
      </c>
      <c r="BE137" s="21" t="str">
        <f>VLOOKUP(BD137,CENY!$B$11:$G$1054,2,FALSE)</f>
        <v>EURO-skrutka  6,0x14mm / niklovaná</v>
      </c>
      <c r="BF137" s="22">
        <f>VLOOKUP(BD137,CENY!$B$11:$G$1054,3,FALSE)</f>
        <v>200</v>
      </c>
      <c r="BG137" s="22"/>
      <c r="BH137" s="23">
        <f>AY137</f>
        <v>0</v>
      </c>
      <c r="BI137" s="326">
        <f>IF(BH137="","",IF($AW$4=0,BH137,0))</f>
        <v>0</v>
      </c>
      <c r="BJ137" s="95">
        <f>VLOOKUP(BD137,CENY!$B$11:$M$2025,12,FALSE)</f>
        <v>7.7280000000000001E-2</v>
      </c>
      <c r="BK137" s="95">
        <f>IF(BJ137="","",BJ137*BH137)</f>
        <v>0</v>
      </c>
    </row>
    <row r="138" spans="47:63">
      <c r="AU138" s="20"/>
      <c r="AV138" s="21"/>
      <c r="AW138" s="22"/>
      <c r="AX138" s="22"/>
      <c r="AY138" s="23"/>
      <c r="AZ138" s="326"/>
      <c r="BA138" s="95"/>
      <c r="BB138" s="95"/>
      <c r="BD138" s="319"/>
      <c r="BE138" s="21"/>
      <c r="BF138" s="22"/>
      <c r="BG138" s="22"/>
      <c r="BH138" s="23"/>
      <c r="BI138" s="326"/>
      <c r="BJ138" s="95"/>
      <c r="BK138" s="95"/>
    </row>
    <row r="139" spans="47:63">
      <c r="AU139" s="20"/>
      <c r="AV139" s="21"/>
      <c r="AW139" s="22"/>
      <c r="AX139" s="22"/>
      <c r="AY139" s="23"/>
      <c r="AZ139" s="326"/>
      <c r="BA139" s="95"/>
      <c r="BB139" s="95"/>
      <c r="BD139" s="319"/>
      <c r="BE139" s="21"/>
      <c r="BF139" s="22"/>
      <c r="BG139" s="22"/>
      <c r="BH139" s="23"/>
      <c r="BI139" s="326" t="str">
        <f>IF(BH139="","",IF($AW$4=0,BH139,0))</f>
        <v/>
      </c>
      <c r="BJ139" s="95"/>
      <c r="BK139" s="95" t="str">
        <f>IF(BJ139="","",BJ139*BH139)</f>
        <v/>
      </c>
    </row>
    <row r="140" spans="47:63">
      <c r="AU140" s="20"/>
      <c r="AV140" s="21"/>
      <c r="AW140" s="22"/>
      <c r="AX140" s="22"/>
      <c r="AY140" s="23"/>
      <c r="AZ140" s="326" t="str">
        <f>IF(AY140="","",IF($AW$4=1,AY140,0))</f>
        <v/>
      </c>
      <c r="BA140" s="95"/>
      <c r="BB140" s="95" t="str">
        <f>IF(BA140="","",BA140*AY140)</f>
        <v/>
      </c>
      <c r="BD140" s="319"/>
      <c r="BE140" s="21"/>
      <c r="BF140" s="22"/>
      <c r="BG140" s="22"/>
      <c r="BH140" s="23"/>
      <c r="BI140" s="326" t="str">
        <f>IF(BH140="","",IF($AW$4=0,BH140,0))</f>
        <v/>
      </c>
      <c r="BJ140" s="95"/>
      <c r="BK140" s="95" t="str">
        <f>IF(BJ140="","",BJ140*BH140)</f>
        <v/>
      </c>
    </row>
  </sheetData>
  <sheetProtection algorithmName="SHA-512" hashValue="+uY8eLm2FroIiU66w4Y3gUnBM3Jbn2Y7Gg/cavosFAQACbpv4neVUJmykAir/XlI28zvP6yKAYLuO4RSykQoeg==" saltValue="9n3CKf60Q9p6kRhn0Sve5g==" spinCount="100000" sheet="1" objects="1" scenarios="1"/>
  <mergeCells count="179">
    <mergeCell ref="AK9:AP10"/>
    <mergeCell ref="AI84:AJ84"/>
    <mergeCell ref="O85:P85"/>
    <mergeCell ref="Q85:R85"/>
    <mergeCell ref="S85:T85"/>
    <mergeCell ref="U85:V85"/>
    <mergeCell ref="W85:X85"/>
    <mergeCell ref="Y85:Z85"/>
    <mergeCell ref="AI83:AJ83"/>
    <mergeCell ref="Y83:Z83"/>
    <mergeCell ref="AG83:AH83"/>
    <mergeCell ref="AG81:AH81"/>
    <mergeCell ref="AG84:AH84"/>
    <mergeCell ref="AA83:AB83"/>
    <mergeCell ref="AC83:AD83"/>
    <mergeCell ref="AE83:AF83"/>
    <mergeCell ref="AI81:AJ81"/>
    <mergeCell ref="AG85:AH85"/>
    <mergeCell ref="AC85:AD85"/>
    <mergeCell ref="AE85:AF85"/>
    <mergeCell ref="AC84:AD84"/>
    <mergeCell ref="AE84:AF84"/>
    <mergeCell ref="AI85:AJ85"/>
    <mergeCell ref="AO67:AR67"/>
    <mergeCell ref="M84:N84"/>
    <mergeCell ref="O84:P84"/>
    <mergeCell ref="Q84:R84"/>
    <mergeCell ref="S84:T84"/>
    <mergeCell ref="U84:V84"/>
    <mergeCell ref="AA85:AB85"/>
    <mergeCell ref="W84:X84"/>
    <mergeCell ref="Y84:Z84"/>
    <mergeCell ref="AA84:AB84"/>
    <mergeCell ref="A66:A105"/>
    <mergeCell ref="B67:E67"/>
    <mergeCell ref="G67:K67"/>
    <mergeCell ref="O67:S67"/>
    <mergeCell ref="U67:Y67"/>
    <mergeCell ref="AA67:AE67"/>
    <mergeCell ref="AE80:AF80"/>
    <mergeCell ref="AE81:AF81"/>
    <mergeCell ref="AI67:AM67"/>
    <mergeCell ref="O81:P81"/>
    <mergeCell ref="Q81:R81"/>
    <mergeCell ref="S81:T81"/>
    <mergeCell ref="U81:V81"/>
    <mergeCell ref="W81:X81"/>
    <mergeCell ref="Y81:Z81"/>
    <mergeCell ref="AA81:AB81"/>
    <mergeCell ref="AC81:AD81"/>
    <mergeCell ref="AK81:AL81"/>
    <mergeCell ref="O82:AJ82"/>
    <mergeCell ref="O83:P83"/>
    <mergeCell ref="Q83:R83"/>
    <mergeCell ref="S83:T83"/>
    <mergeCell ref="U83:V83"/>
    <mergeCell ref="O80:P80"/>
    <mergeCell ref="W83:X83"/>
    <mergeCell ref="AN29:AO29"/>
    <mergeCell ref="B30:G30"/>
    <mergeCell ref="H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I80:AJ80"/>
    <mergeCell ref="Q80:R80"/>
    <mergeCell ref="S80:T80"/>
    <mergeCell ref="U80:V80"/>
    <mergeCell ref="W80:X80"/>
    <mergeCell ref="Y80:Z80"/>
    <mergeCell ref="AA80:AB80"/>
    <mergeCell ref="AC80:AD80"/>
    <mergeCell ref="AG80:AH80"/>
    <mergeCell ref="B27:G27"/>
    <mergeCell ref="H27:L27"/>
    <mergeCell ref="M27:N27"/>
    <mergeCell ref="O27:P27"/>
    <mergeCell ref="Q27:R27"/>
    <mergeCell ref="S27:T27"/>
    <mergeCell ref="AN27:AO27"/>
    <mergeCell ref="B28:G28"/>
    <mergeCell ref="H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N28:AO28"/>
    <mergeCell ref="AI25:AO25"/>
    <mergeCell ref="O26:P26"/>
    <mergeCell ref="Q26:R26"/>
    <mergeCell ref="S26:T26"/>
    <mergeCell ref="U26:V26"/>
    <mergeCell ref="W26:X26"/>
    <mergeCell ref="Y26:Z26"/>
    <mergeCell ref="AA26:AB26"/>
    <mergeCell ref="AC26:AD26"/>
    <mergeCell ref="AI26:AO26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N22:AO22"/>
    <mergeCell ref="B19:G19"/>
    <mergeCell ref="H19:L19"/>
    <mergeCell ref="M19:N19"/>
    <mergeCell ref="O19:P19"/>
    <mergeCell ref="Q19:R19"/>
    <mergeCell ref="S19:T19"/>
    <mergeCell ref="AN19:AO19"/>
    <mergeCell ref="B20:G20"/>
    <mergeCell ref="H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N20:AO20"/>
    <mergeCell ref="B12:E12"/>
    <mergeCell ref="F12:I12"/>
    <mergeCell ref="J12:K12"/>
    <mergeCell ref="B13:E13"/>
    <mergeCell ref="F13:I13"/>
    <mergeCell ref="J13:K13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I18:AO18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U2:Y2"/>
    <mergeCell ref="AA2:AE2"/>
    <mergeCell ref="AI2:AM2"/>
    <mergeCell ref="AO2:AR2"/>
    <mergeCell ref="B6:E6"/>
    <mergeCell ref="F6:K6"/>
    <mergeCell ref="O2:S2"/>
    <mergeCell ref="B7:E7"/>
    <mergeCell ref="F7:K7"/>
  </mergeCells>
  <conditionalFormatting sqref="BH26:BH85 AY5:AY42 BH5:BH24 AZ6:AZ82 AZ95:AZ132 BH132:BI132 BH138:BI140 AZ138:AZ140">
    <cfRule type="cellIs" dxfId="618" priority="46" stopIfTrue="1" operator="equal">
      <formula>0</formula>
    </cfRule>
  </conditionalFormatting>
  <conditionalFormatting sqref="AY53:AY56 AY66:AY69 AY43:AY50">
    <cfRule type="cellIs" dxfId="617" priority="44" stopIfTrue="1" operator="equal">
      <formula>0</formula>
    </cfRule>
  </conditionalFormatting>
  <conditionalFormatting sqref="O17:AF17 O19:T19 O20:AD20 W22:AF22 O27:T27 O28:AD28 O30:AD30">
    <cfRule type="expression" dxfId="616" priority="45" stopIfTrue="1">
      <formula>$AW$4=0</formula>
    </cfRule>
  </conditionalFormatting>
  <conditionalFormatting sqref="AY76:AY77 AY79 AY81:AY82">
    <cfRule type="cellIs" dxfId="615" priority="43" stopIfTrue="1" operator="equal">
      <formula>0</formula>
    </cfRule>
  </conditionalFormatting>
  <conditionalFormatting sqref="AY95:AY97">
    <cfRule type="cellIs" dxfId="614" priority="41" stopIfTrue="1" operator="equal">
      <formula>0</formula>
    </cfRule>
  </conditionalFormatting>
  <conditionalFormatting sqref="BH25">
    <cfRule type="cellIs" dxfId="613" priority="40" stopIfTrue="1" operator="equal">
      <formula>0</formula>
    </cfRule>
  </conditionalFormatting>
  <conditionalFormatting sqref="AY51:AY52">
    <cfRule type="cellIs" dxfId="612" priority="39" stopIfTrue="1" operator="equal">
      <formula>0</formula>
    </cfRule>
  </conditionalFormatting>
  <conditionalFormatting sqref="AY57:AY63">
    <cfRule type="cellIs" dxfId="611" priority="38" stopIfTrue="1" operator="equal">
      <formula>0</formula>
    </cfRule>
  </conditionalFormatting>
  <conditionalFormatting sqref="AY70:AY73">
    <cfRule type="cellIs" dxfId="610" priority="37" stopIfTrue="1" operator="equal">
      <formula>0</formula>
    </cfRule>
  </conditionalFormatting>
  <conditionalFormatting sqref="AY74">
    <cfRule type="cellIs" dxfId="609" priority="36" stopIfTrue="1" operator="equal">
      <formula>0</formula>
    </cfRule>
  </conditionalFormatting>
  <conditionalFormatting sqref="AY75">
    <cfRule type="cellIs" dxfId="608" priority="35" stopIfTrue="1" operator="equal">
      <formula>0</formula>
    </cfRule>
  </conditionalFormatting>
  <conditionalFormatting sqref="AY78">
    <cfRule type="cellIs" dxfId="607" priority="34" stopIfTrue="1" operator="equal">
      <formula>0</formula>
    </cfRule>
  </conditionalFormatting>
  <conditionalFormatting sqref="BH101:BH106">
    <cfRule type="cellIs" dxfId="606" priority="32" stopIfTrue="1" operator="equal">
      <formula>0</formula>
    </cfRule>
  </conditionalFormatting>
  <conditionalFormatting sqref="BH122:BH124 BH126:BH127">
    <cfRule type="cellIs" dxfId="605" priority="31" stopIfTrue="1" operator="equal">
      <formula>0</formula>
    </cfRule>
  </conditionalFormatting>
  <conditionalFormatting sqref="AY98:AY132 AY138:AY140">
    <cfRule type="cellIs" dxfId="604" priority="30" stopIfTrue="1" operator="equal">
      <formula>0</formula>
    </cfRule>
  </conditionalFormatting>
  <conditionalFormatting sqref="AY64:AY65">
    <cfRule type="cellIs" dxfId="603" priority="29" stopIfTrue="1" operator="equal">
      <formula>0</formula>
    </cfRule>
  </conditionalFormatting>
  <conditionalFormatting sqref="BH86:BH100">
    <cfRule type="cellIs" dxfId="602" priority="28" stopIfTrue="1" operator="equal">
      <formula>0</formula>
    </cfRule>
  </conditionalFormatting>
  <conditionalFormatting sqref="BH107:BH121">
    <cfRule type="cellIs" dxfId="601" priority="27" stopIfTrue="1" operator="equal">
      <formula>0</formula>
    </cfRule>
  </conditionalFormatting>
  <conditionalFormatting sqref="AY80">
    <cfRule type="cellIs" dxfId="600" priority="26" stopIfTrue="1" operator="equal">
      <formula>0</formula>
    </cfRule>
  </conditionalFormatting>
  <conditionalFormatting sqref="BH125">
    <cfRule type="cellIs" dxfId="599" priority="25" stopIfTrue="1" operator="equal">
      <formula>0</formula>
    </cfRule>
  </conditionalFormatting>
  <conditionalFormatting sqref="F13:K13">
    <cfRule type="expression" dxfId="598" priority="24" stopIfTrue="1">
      <formula>$AW$4=1</formula>
    </cfRule>
  </conditionalFormatting>
  <conditionalFormatting sqref="AZ5">
    <cfRule type="cellIs" dxfId="597" priority="23" stopIfTrue="1" operator="equal">
      <formula>0</formula>
    </cfRule>
  </conditionalFormatting>
  <conditionalFormatting sqref="BI5">
    <cfRule type="cellIs" dxfId="596" priority="22" stopIfTrue="1" operator="equal">
      <formula>0</formula>
    </cfRule>
  </conditionalFormatting>
  <conditionalFormatting sqref="BI6:BI127">
    <cfRule type="cellIs" dxfId="595" priority="21" stopIfTrue="1" operator="equal">
      <formula>0</formula>
    </cfRule>
  </conditionalFormatting>
  <conditionalFormatting sqref="AR87">
    <cfRule type="expression" dxfId="594" priority="20" stopIfTrue="1">
      <formula>$AU$87=AU89</formula>
    </cfRule>
  </conditionalFormatting>
  <conditionalFormatting sqref="AZ94">
    <cfRule type="cellIs" dxfId="593" priority="19" stopIfTrue="1" operator="equal">
      <formula>0</formula>
    </cfRule>
  </conditionalFormatting>
  <conditionalFormatting sqref="AY94">
    <cfRule type="cellIs" dxfId="592" priority="18" stopIfTrue="1" operator="equal">
      <formula>0</formula>
    </cfRule>
  </conditionalFormatting>
  <conditionalFormatting sqref="AZ85:AZ93">
    <cfRule type="cellIs" dxfId="591" priority="17" stopIfTrue="1" operator="equal">
      <formula>0</formula>
    </cfRule>
  </conditionalFormatting>
  <conditionalFormatting sqref="AY88:AY93">
    <cfRule type="cellIs" dxfId="590" priority="16" stopIfTrue="1" operator="equal">
      <formula>0</formula>
    </cfRule>
  </conditionalFormatting>
  <conditionalFormatting sqref="AY85:AY87">
    <cfRule type="cellIs" dxfId="589" priority="15" stopIfTrue="1" operator="equal">
      <formula>0</formula>
    </cfRule>
  </conditionalFormatting>
  <conditionalFormatting sqref="AZ83:AZ84">
    <cfRule type="cellIs" dxfId="588" priority="14" stopIfTrue="1" operator="equal">
      <formula>0</formula>
    </cfRule>
  </conditionalFormatting>
  <conditionalFormatting sqref="AY83:AY84">
    <cfRule type="cellIs" dxfId="587" priority="13" stopIfTrue="1" operator="equal">
      <formula>0</formula>
    </cfRule>
  </conditionalFormatting>
  <conditionalFormatting sqref="BH128:BH129">
    <cfRule type="cellIs" dxfId="586" priority="12" stopIfTrue="1" operator="equal">
      <formula>0</formula>
    </cfRule>
  </conditionalFormatting>
  <conditionalFormatting sqref="BI128">
    <cfRule type="cellIs" dxfId="585" priority="11" stopIfTrue="1" operator="equal">
      <formula>0</formula>
    </cfRule>
  </conditionalFormatting>
  <conditionalFormatting sqref="BH130:BH131">
    <cfRule type="cellIs" dxfId="584" priority="10" stopIfTrue="1" operator="equal">
      <formula>0</formula>
    </cfRule>
  </conditionalFormatting>
  <conditionalFormatting sqref="BI130:BI131">
    <cfRule type="cellIs" dxfId="583" priority="9" stopIfTrue="1" operator="equal">
      <formula>0</formula>
    </cfRule>
  </conditionalFormatting>
  <conditionalFormatting sqref="BI129">
    <cfRule type="cellIs" dxfId="582" priority="8" stopIfTrue="1" operator="equal">
      <formula>0</formula>
    </cfRule>
  </conditionalFormatting>
  <conditionalFormatting sqref="AZ133:AZ137">
    <cfRule type="cellIs" dxfId="581" priority="7" stopIfTrue="1" operator="equal">
      <formula>0</formula>
    </cfRule>
  </conditionalFormatting>
  <conditionalFormatting sqref="AY133:AY137">
    <cfRule type="cellIs" dxfId="580" priority="6" stopIfTrue="1" operator="equal">
      <formula>0</formula>
    </cfRule>
  </conditionalFormatting>
  <conditionalFormatting sqref="BH133 BH136:BH137">
    <cfRule type="cellIs" dxfId="579" priority="5" stopIfTrue="1" operator="equal">
      <formula>0</formula>
    </cfRule>
  </conditionalFormatting>
  <conditionalFormatting sqref="BI133:BI137">
    <cfRule type="cellIs" dxfId="578" priority="4" stopIfTrue="1" operator="equal">
      <formula>0</formula>
    </cfRule>
  </conditionalFormatting>
  <conditionalFormatting sqref="BH134:BH135">
    <cfRule type="cellIs" dxfId="577" priority="3" stopIfTrue="1" operator="equal">
      <formula>0</formula>
    </cfRule>
  </conditionalFormatting>
  <conditionalFormatting sqref="AI17:AO17">
    <cfRule type="expression" dxfId="576" priority="2" stopIfTrue="1">
      <formula>$AW$4=0</formula>
    </cfRule>
  </conditionalFormatting>
  <conditionalFormatting sqref="AI25:AO25">
    <cfRule type="expression" dxfId="575" priority="1" stopIfTrue="1">
      <formula>$AW$4=0</formula>
    </cfRule>
  </conditionalFormatting>
  <hyperlinks>
    <hyperlink ref="M4" location="MENU!A1" display="MENU!A1" xr:uid="{00000000-0004-0000-0C00-000000000000}"/>
    <hyperlink ref="M10" location="OBJ!A1" display="OBJ!A1" xr:uid="{00000000-0004-0000-0C00-000001000000}"/>
    <hyperlink ref="M9" location="suhrn!A1" display="suhrn!A1" xr:uid="{00000000-0004-0000-0C00-000002000000}"/>
    <hyperlink ref="O2:S2" location="MENU!A5" display="MENU!A5" xr:uid="{00000000-0004-0000-0C00-000003000000}"/>
    <hyperlink ref="M69" location="MENU!A1" display="MENU!A1" xr:uid="{00000000-0004-0000-0C00-000004000000}"/>
    <hyperlink ref="B67:E67" location="'AVT187(vn-A)'!A1" display="'AVT187(vn-A)'!A1" xr:uid="{00000000-0004-0000-0C00-000005000000}"/>
    <hyperlink ref="AK9:AO10" location="'IT70(vn100)'!A66" display="'IT70(vn100)'!A66" xr:uid="{00000000-0004-0000-0C00-000006000000}"/>
    <hyperlink ref="AK9:AP10" location="'AVT187(vn-A)'!A66" display="'AVT187(vn-A)'!A66" xr:uid="{00000000-0004-0000-0C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58">
    <tabColor rgb="FFFF0000"/>
  </sheetPr>
  <dimension ref="A1:BK115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187 Inlay"</f>
        <v>Zásuvka AVANTECH YOU 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SUM(BB5:BB972)</f>
        <v>#N/A</v>
      </c>
      <c r="BD4" s="94" t="s">
        <v>34</v>
      </c>
      <c r="BK4" s="322" t="e">
        <f>SUM(BK5:BK961)</f>
        <v>#N/A</v>
      </c>
    </row>
    <row r="5" spans="1:63" ht="14.45" customHeight="1">
      <c r="AU5" s="319">
        <f>OBJ!B168</f>
        <v>9353283</v>
      </c>
      <c r="AV5" s="21" t="str">
        <f>VLOOKUP(AU5,CENY!$B$11:$G$1054,2,FALSE)</f>
        <v>AvanY-sólo boky Inlay-NW 187/350mm/strieb.</v>
      </c>
      <c r="AW5" s="22">
        <f>VLOOKUP(AU5,CENY!$B$11:$G$1054,3,FALSE)</f>
        <v>1</v>
      </c>
      <c r="AX5" s="362">
        <v>6</v>
      </c>
      <c r="AY5" s="23">
        <f>S19+S20+S27+S28+S30</f>
        <v>0</v>
      </c>
      <c r="AZ5" s="326">
        <f>IF(AY5="","",IF($AW$4=1,AY5,0))</f>
        <v>0</v>
      </c>
      <c r="BA5" s="95">
        <f>VLOOKUP(AU5,CENY!$B$11:$M$2025,12,FALSE)</f>
        <v>40.415970000000002</v>
      </c>
      <c r="BB5" s="95">
        <f t="shared" ref="BB5:BB68" si="0">IF(BA5="","",BA5*AY5)</f>
        <v>0</v>
      </c>
      <c r="BD5" s="319">
        <f>OBJ!B176</f>
        <v>9257131</v>
      </c>
      <c r="BE5" s="21" t="str">
        <f>VLOOKUP(BD5,CENY!$B$11:$G$1054,2,FALSE)</f>
        <v>AvanY-bok Inlay ľavý /v187/h350/ strieb.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18.284949999999998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343</v>
      </c>
      <c r="G6" s="566"/>
      <c r="H6" s="566"/>
      <c r="I6" s="566"/>
      <c r="J6" s="566"/>
      <c r="K6" s="566"/>
      <c r="AU6" s="319">
        <f>OBJ!B169</f>
        <v>9353284</v>
      </c>
      <c r="AV6" s="21" t="str">
        <f>VLOOKUP(AU6,CENY!$B$11:$G$1054,2,FALSE)</f>
        <v>AvanY-sólo boky Inlay-NW 187/400mm/strieb.</v>
      </c>
      <c r="AW6" s="22">
        <f>VLOOKUP(AU6,CENY!$B$11:$G$1054,3,FALSE)</f>
        <v>1</v>
      </c>
      <c r="AX6" s="362">
        <v>6</v>
      </c>
      <c r="AY6" s="23">
        <f>U20+U28+U30</f>
        <v>0</v>
      </c>
      <c r="AZ6" s="326">
        <f t="shared" ref="AZ6:AZ69" si="1">IF(AY6="","",IF($AW$4=1,AY6,0))</f>
        <v>0</v>
      </c>
      <c r="BA6" s="95">
        <f>VLOOKUP(AU6,CENY!$B$11:$M$2025,12,FALSE)</f>
        <v>40.990609999999997</v>
      </c>
      <c r="BB6" s="95">
        <f t="shared" si="0"/>
        <v>0</v>
      </c>
      <c r="BD6" s="319">
        <f>OBJ!B177</f>
        <v>9257132</v>
      </c>
      <c r="BE6" s="21" t="str">
        <f>VLOOKUP(BD6,CENY!$B$11:$G$1054,2,FALSE)</f>
        <v>AvanY-bok Inlay pravý /v187/h350/ strieb.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18.284949999999998</v>
      </c>
      <c r="BK6" s="95">
        <f t="shared" ref="BK6:BK69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OBJ!B170</f>
        <v>9353285</v>
      </c>
      <c r="AV7" s="21" t="str">
        <f>VLOOKUP(AU7,CENY!$B$11:$G$1054,2,FALSE)</f>
        <v>AvanY-sólo boky Inlay-NW 187/450mm/strieb.</v>
      </c>
      <c r="AW7" s="22">
        <f>VLOOKUP(AU7,CENY!$B$11:$G$1054,3,FALSE)</f>
        <v>1</v>
      </c>
      <c r="AX7" s="362">
        <v>6</v>
      </c>
      <c r="AY7" s="23">
        <f>W20+W22+W28+W30</f>
        <v>0</v>
      </c>
      <c r="AZ7" s="326">
        <f t="shared" si="1"/>
        <v>0</v>
      </c>
      <c r="BA7" s="95">
        <f>VLOOKUP(AU7,CENY!$B$11:$M$2025,12,FALSE)</f>
        <v>39.585979999999999</v>
      </c>
      <c r="BB7" s="95">
        <f t="shared" si="0"/>
        <v>0</v>
      </c>
      <c r="BD7" s="319">
        <f>OBJ!B178</f>
        <v>9257133</v>
      </c>
      <c r="BE7" s="21" t="str">
        <f>VLOOKUP(BD7,CENY!$B$11:$G$1054,2,FALSE)</f>
        <v>AvanY-bok Inlay ľavý /v187/h400/ strieb.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18.615220000000001</v>
      </c>
      <c r="BK7" s="95">
        <f t="shared" si="3"/>
        <v>0</v>
      </c>
    </row>
    <row r="8" spans="1:63" ht="14.45" customHeight="1" thickBo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OBJ!B171</f>
        <v>9353286</v>
      </c>
      <c r="AV8" s="21" t="str">
        <f>VLOOKUP(AU8,CENY!$B$11:$G$1054,2,FALSE)</f>
        <v>AvanY-sólo boky Inlay-NW 187/500mm/strieb.</v>
      </c>
      <c r="AW8" s="22">
        <f>VLOOKUP(AU8,CENY!$B$11:$G$1054,3,FALSE)</f>
        <v>1</v>
      </c>
      <c r="AX8" s="362">
        <v>8</v>
      </c>
      <c r="AY8" s="23">
        <f>Y20+Y22+Y28+Y30</f>
        <v>0</v>
      </c>
      <c r="AZ8" s="326">
        <f t="shared" si="1"/>
        <v>0</v>
      </c>
      <c r="BA8" s="95">
        <f>VLOOKUP(AU8,CENY!$B$11:$M$2025,12,FALSE)</f>
        <v>40.13326</v>
      </c>
      <c r="BB8" s="95">
        <f t="shared" si="0"/>
        <v>0</v>
      </c>
      <c r="BD8" s="319">
        <f>OBJ!B179</f>
        <v>9257134</v>
      </c>
      <c r="BE8" s="21" t="str">
        <f>VLOOKUP(BD8,CENY!$B$11:$G$1054,2,FALSE)</f>
        <v>AvanY-bok Inlay pravý /v187/h400/ strieb.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18.615220000000001</v>
      </c>
      <c r="BK8" s="95">
        <f t="shared" si="3"/>
        <v>0</v>
      </c>
    </row>
    <row r="9" spans="1:63" ht="14.45" customHeight="1" thickTop="1">
      <c r="B9" s="551"/>
      <c r="C9" s="551"/>
      <c r="D9" s="551"/>
      <c r="E9" s="551"/>
      <c r="F9" s="566"/>
      <c r="G9" s="566"/>
      <c r="H9" s="566"/>
      <c r="I9" s="566"/>
      <c r="J9" s="566"/>
      <c r="K9" s="566"/>
      <c r="AK9" s="587" t="str">
        <f>verze!E160</f>
        <v>Je nutné natypovať šírky čiel ?</v>
      </c>
      <c r="AL9" s="588"/>
      <c r="AM9" s="588"/>
      <c r="AN9" s="588"/>
      <c r="AO9" s="588"/>
      <c r="AP9" s="589"/>
      <c r="AU9" s="319">
        <f>OBJ!B172</f>
        <v>9353287</v>
      </c>
      <c r="AV9" s="21" t="str">
        <f>VLOOKUP(AU9,CENY!$B$11:$G$1054,2,FALSE)</f>
        <v>AvanY-sólo boky Inlay-NW 187/550mm/strieb.</v>
      </c>
      <c r="AW9" s="22">
        <f>VLOOKUP(AU9,CENY!$B$11:$G$1054,3,FALSE)</f>
        <v>1</v>
      </c>
      <c r="AX9" s="362">
        <v>8</v>
      </c>
      <c r="AY9" s="23">
        <f>AA20+AA22+AA28+AA30</f>
        <v>0</v>
      </c>
      <c r="AZ9" s="326">
        <f t="shared" si="1"/>
        <v>0</v>
      </c>
      <c r="BA9" s="95">
        <f>VLOOKUP(AU9,CENY!$B$11:$M$2025,12,FALSE)</f>
        <v>42.714669999999998</v>
      </c>
      <c r="BB9" s="95">
        <f t="shared" si="0"/>
        <v>0</v>
      </c>
      <c r="BD9" s="319">
        <f>OBJ!B180</f>
        <v>9257135</v>
      </c>
      <c r="BE9" s="21" t="str">
        <f>VLOOKUP(BD9,CENY!$B$11:$G$1054,2,FALSE)</f>
        <v>AvanY-bok Inlay ľavý /v187/h450/ strieb.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18.945989999999998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K10" s="590"/>
      <c r="AL10" s="591"/>
      <c r="AM10" s="591"/>
      <c r="AN10" s="591"/>
      <c r="AO10" s="591"/>
      <c r="AP10" s="592"/>
      <c r="AU10" s="319">
        <f>OBJ!B173</f>
        <v>9353288</v>
      </c>
      <c r="AV10" s="21" t="str">
        <f>VLOOKUP(AU10,CENY!$B$11:$G$1054,2,FALSE)</f>
        <v>AvanY-sólo boky Inlay-NW 187/600mm/strieb.</v>
      </c>
      <c r="AW10" s="22">
        <f>VLOOKUP(AU10,CENY!$B$11:$G$1054,3,FALSE)</f>
        <v>1</v>
      </c>
      <c r="AX10" s="362">
        <v>8</v>
      </c>
      <c r="AY10" s="23">
        <f>AC20+AC22+AC28+AC30</f>
        <v>0</v>
      </c>
      <c r="AZ10" s="326">
        <f t="shared" si="1"/>
        <v>0</v>
      </c>
      <c r="BA10" s="95">
        <f>VLOOKUP(AU10,CENY!$B$11:$M$2025,12,FALSE)</f>
        <v>43.581359999999997</v>
      </c>
      <c r="BB10" s="95">
        <f t="shared" si="0"/>
        <v>0</v>
      </c>
      <c r="BD10" s="319">
        <f>OBJ!B181</f>
        <v>9257136</v>
      </c>
      <c r="BE10" s="21" t="str">
        <f>VLOOKUP(BD10,CENY!$B$11:$G$1054,2,FALSE)</f>
        <v>AvanY-bok Inlay pravý /v187/h450/ strieb.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18.945989999999998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OBJ!B174</f>
        <v>9353289</v>
      </c>
      <c r="AV11" s="21" t="str">
        <f>VLOOKUP(AU11,CENY!$B$11:$G$1054,2,FALSE)</f>
        <v>AvanY-sólo boky Inlay-NW 187/650mm/strieb.</v>
      </c>
      <c r="AW11" s="22">
        <f>VLOOKUP(AU11,CENY!$B$11:$G$1054,3,FALSE)</f>
        <v>1</v>
      </c>
      <c r="AX11" s="362">
        <v>10</v>
      </c>
      <c r="AY11" s="23">
        <f>AE22</f>
        <v>0</v>
      </c>
      <c r="AZ11" s="326">
        <f t="shared" si="1"/>
        <v>0</v>
      </c>
      <c r="BA11" s="95">
        <f>VLOOKUP(AU11,CENY!$B$11:$M$2025,12,FALSE)</f>
        <v>44.76003</v>
      </c>
      <c r="BB11" s="95">
        <f t="shared" si="0"/>
        <v>0</v>
      </c>
      <c r="BD11" s="319">
        <f>OBJ!B182</f>
        <v>9257137</v>
      </c>
      <c r="BE11" s="21" t="str">
        <f>VLOOKUP(BD11,CENY!$B$11:$G$1054,2,FALSE)</f>
        <v>AvanY-bok Inlay ľavý /v187/h500/ strieb.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18.358360000000001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66"/>
      <c r="G12" s="566"/>
      <c r="H12" s="566"/>
      <c r="I12" s="566"/>
      <c r="J12" s="566"/>
      <c r="K12" s="566"/>
      <c r="AU12" s="319"/>
      <c r="AV12" s="21"/>
      <c r="AW12" s="22"/>
      <c r="AX12" s="22"/>
      <c r="AY12" s="23"/>
      <c r="AZ12" s="326" t="str">
        <f t="shared" si="1"/>
        <v/>
      </c>
      <c r="BA12" s="95"/>
      <c r="BB12" s="95" t="str">
        <f t="shared" si="0"/>
        <v/>
      </c>
      <c r="BD12" s="319">
        <f>OBJ!B183</f>
        <v>9257138</v>
      </c>
      <c r="BE12" s="21" t="str">
        <f>VLOOKUP(BD12,CENY!$B$11:$G$1054,2,FALSE)</f>
        <v>AvanY-bok Inlay pravý /v187/h500/ strieb.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18.358360000000001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OBJ!B216</f>
        <v>9283178</v>
      </c>
      <c r="AV13" s="21" t="str">
        <f>VLOOKUP(AU13,CENY!$B$11:$G$1054,2,FALSE)</f>
        <v>AvanY-Inlay sklenené boky 350mm; 2 x sklo</v>
      </c>
      <c r="AW13" s="22">
        <f>VLOOKUP(AU13,CENY!$B$11:$G$1054,3,FALSE)</f>
        <v>1</v>
      </c>
      <c r="AX13" s="22"/>
      <c r="AY13" s="23">
        <f>1*(S19+S20+S27+S28+S30)</f>
        <v>0</v>
      </c>
      <c r="AZ13" s="326">
        <f t="shared" si="1"/>
        <v>0</v>
      </c>
      <c r="BA13" s="95">
        <f>VLOOKUP(AU13,CENY!$B$11:$M$2025,12,FALSE)</f>
        <v>39.701169999999998</v>
      </c>
      <c r="BB13" s="95">
        <f t="shared" si="0"/>
        <v>0</v>
      </c>
      <c r="BD13" s="319">
        <f>OBJ!B184</f>
        <v>9257139</v>
      </c>
      <c r="BE13" s="21" t="str">
        <f>VLOOKUP(BD13,CENY!$B$11:$G$1054,2,FALSE)</f>
        <v>AvanY-bok Inlay ľavý /v187/h550/ strieb.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19.60652</v>
      </c>
      <c r="BK13" s="95">
        <f t="shared" si="3"/>
        <v>0</v>
      </c>
    </row>
    <row r="14" spans="1:63" ht="14.45" customHeight="1">
      <c r="AU14" s="319">
        <f>OBJ!B217</f>
        <v>9283179</v>
      </c>
      <c r="AV14" s="21" t="str">
        <f>VLOOKUP(AU14,CENY!$B$11:$G$1054,2,FALSE)</f>
        <v>AvanY-Inlay sklenené boky 400mm; 2 x sklo</v>
      </c>
      <c r="AW14" s="22">
        <f>VLOOKUP(AU14,CENY!$B$11:$G$1054,3,FALSE)</f>
        <v>1</v>
      </c>
      <c r="AX14" s="22"/>
      <c r="AY14" s="23">
        <f>1*(U20+U28+U30)</f>
        <v>0</v>
      </c>
      <c r="AZ14" s="326">
        <f t="shared" si="1"/>
        <v>0</v>
      </c>
      <c r="BA14" s="95">
        <f>VLOOKUP(AU14,CENY!$B$11:$M$2025,12,FALSE)</f>
        <v>41.949010000000001</v>
      </c>
      <c r="BB14" s="95">
        <f t="shared" si="0"/>
        <v>0</v>
      </c>
      <c r="BD14" s="319">
        <f>OBJ!B185</f>
        <v>9257140</v>
      </c>
      <c r="BE14" s="21" t="str">
        <f>VLOOKUP(BD14,CENY!$B$11:$G$1054,2,FALSE)</f>
        <v>AvanY-bok Inlay pravý /v187/h550/ strieb.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19.60652</v>
      </c>
      <c r="BK14" s="95">
        <f t="shared" si="3"/>
        <v>0</v>
      </c>
    </row>
    <row r="15" spans="1:63" ht="14.45" customHeight="1">
      <c r="AU15" s="319">
        <f>OBJ!B218</f>
        <v>9283180</v>
      </c>
      <c r="AV15" s="21" t="str">
        <f>VLOOKUP(AU15,CENY!$B$11:$G$1054,2,FALSE)</f>
        <v>AvanY-Inlay sklenené boky 450mm; 2 x sklo</v>
      </c>
      <c r="AW15" s="22">
        <f>VLOOKUP(AU15,CENY!$B$11:$G$1054,3,FALSE)</f>
        <v>1</v>
      </c>
      <c r="AX15" s="22"/>
      <c r="AY15" s="23">
        <f>1*(W20+W22+W28+W30)</f>
        <v>0</v>
      </c>
      <c r="AZ15" s="326">
        <f t="shared" si="1"/>
        <v>0</v>
      </c>
      <c r="BA15" s="95">
        <f>VLOOKUP(AU15,CENY!$B$11:$M$2025,12,FALSE)</f>
        <v>44.197099999999999</v>
      </c>
      <c r="BB15" s="95">
        <f t="shared" si="0"/>
        <v>0</v>
      </c>
      <c r="BD15" s="319">
        <f>OBJ!B186</f>
        <v>9257141</v>
      </c>
      <c r="BE15" s="21" t="str">
        <f>VLOOKUP(BD15,CENY!$B$11:$G$1054,2,FALSE)</f>
        <v>AvanY-bok Inlay ľavý /v187/h600/ strieb.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20.105229999999999</v>
      </c>
      <c r="BK15" s="95">
        <f t="shared" si="3"/>
        <v>0</v>
      </c>
    </row>
    <row r="16" spans="1:63" ht="14.45" customHeight="1">
      <c r="AU16" s="319">
        <f>OBJ!B219</f>
        <v>9283181</v>
      </c>
      <c r="AV16" s="21" t="str">
        <f>VLOOKUP(AU16,CENY!$B$11:$G$1054,2,FALSE)</f>
        <v>AvanY-Inlay sklenené boky 500mm; 2 x sklo</v>
      </c>
      <c r="AW16" s="22">
        <f>VLOOKUP(AU16,CENY!$B$11:$G$1054,3,FALSE)</f>
        <v>1</v>
      </c>
      <c r="AX16" s="22"/>
      <c r="AY16" s="23">
        <f>1*(Y20+Y22+Y28+Y30)</f>
        <v>0</v>
      </c>
      <c r="AZ16" s="326">
        <f t="shared" si="1"/>
        <v>0</v>
      </c>
      <c r="BA16" s="95">
        <f>VLOOKUP(AU16,CENY!$B$11:$M$2025,12,FALSE)</f>
        <v>46.445340000000002</v>
      </c>
      <c r="BB16" s="95">
        <f t="shared" si="0"/>
        <v>0</v>
      </c>
      <c r="BD16" s="319">
        <f>OBJ!B187</f>
        <v>9257142</v>
      </c>
      <c r="BE16" s="21" t="str">
        <f>VLOOKUP(BD16,CENY!$B$11:$G$1054,2,FALSE)</f>
        <v>AvanY-bok Inlay pravý /v187/h600/ strieb.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20.105229999999999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I17" s="542" t="str">
        <f>verze!E198</f>
        <v>P2O Silent pre Actro</v>
      </c>
      <c r="AJ17" s="543"/>
      <c r="AK17" s="543"/>
      <c r="AL17" s="543"/>
      <c r="AM17" s="543"/>
      <c r="AN17" s="543"/>
      <c r="AO17" s="543"/>
      <c r="AU17" s="319">
        <f>OBJ!B220</f>
        <v>9283182</v>
      </c>
      <c r="AV17" s="21" t="str">
        <f>VLOOKUP(AU17,CENY!$B$11:$G$1054,2,FALSE)</f>
        <v>AvanY-Inlay sklenené boky 550mm; 2 x sklo</v>
      </c>
      <c r="AW17" s="22">
        <f>VLOOKUP(AU17,CENY!$B$11:$G$1054,3,FALSE)</f>
        <v>1</v>
      </c>
      <c r="AX17" s="22"/>
      <c r="AY17" s="23">
        <f>1*(AA20+AA22+AA28+AA30)</f>
        <v>0</v>
      </c>
      <c r="AZ17" s="326">
        <f t="shared" si="1"/>
        <v>0</v>
      </c>
      <c r="BA17" s="95">
        <f>VLOOKUP(AU17,CENY!$B$11:$M$2025,12,FALSE)</f>
        <v>50.939869999999999</v>
      </c>
      <c r="BB17" s="95">
        <f t="shared" si="0"/>
        <v>0</v>
      </c>
      <c r="BD17" s="319">
        <f>OBJ!B188</f>
        <v>9257143</v>
      </c>
      <c r="BE17" s="21" t="str">
        <f>VLOOKUP(BD17,CENY!$B$11:$G$1054,2,FALSE)</f>
        <v>AvanY-bok Inlay ľavý /v187/h650/ strieb.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20.782730000000001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I18" s="545" t="s">
        <v>299</v>
      </c>
      <c r="AJ18" s="545"/>
      <c r="AK18" s="545"/>
      <c r="AL18" s="545"/>
      <c r="AM18" s="545"/>
      <c r="AN18" s="545"/>
      <c r="AO18" s="545"/>
      <c r="AU18" s="319">
        <f>OBJ!B221</f>
        <v>9283183</v>
      </c>
      <c r="AV18" s="21" t="str">
        <f>VLOOKUP(AU18,CENY!$B$11:$G$1054,2,FALSE)</f>
        <v>AvanY-Inlay sklenené boky 600mm; 2 x sklo</v>
      </c>
      <c r="AW18" s="22">
        <f>VLOOKUP(AU18,CENY!$B$11:$G$1054,3,FALSE)</f>
        <v>1</v>
      </c>
      <c r="AX18" s="22"/>
      <c r="AY18" s="23">
        <f>1*(AC20+AC22+AC28+AC30)</f>
        <v>0</v>
      </c>
      <c r="AZ18" s="326">
        <f t="shared" si="1"/>
        <v>0</v>
      </c>
      <c r="BA18" s="95">
        <f>VLOOKUP(AU18,CENY!$B$11:$M$2025,12,FALSE)</f>
        <v>55.43441</v>
      </c>
      <c r="BB18" s="95">
        <f t="shared" si="0"/>
        <v>0</v>
      </c>
      <c r="BD18" s="319">
        <f>OBJ!B189</f>
        <v>9257144</v>
      </c>
      <c r="BE18" s="21" t="str">
        <f>VLOOKUP(BD18,CENY!$B$11:$G$1054,2,FALSE)</f>
        <v>AvanY-bok Inlay pravý /v187/h650/ strieb.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20.782730000000001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71"/>
      <c r="P19" s="572"/>
      <c r="Q19" s="571"/>
      <c r="R19" s="572"/>
      <c r="S19" s="569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6"/>
      <c r="AO19" s="536"/>
      <c r="AU19" s="319">
        <f>OBJ!B222</f>
        <v>9283184</v>
      </c>
      <c r="AV19" s="21" t="str">
        <f>VLOOKUP(AU19,CENY!$B$11:$G$1054,2,FALSE)</f>
        <v>AvanY-Inlay sklenené boky 650mm; 2 x sklo</v>
      </c>
      <c r="AW19" s="22">
        <f>VLOOKUP(AU19,CENY!$B$11:$G$1054,3,FALSE)</f>
        <v>1</v>
      </c>
      <c r="AX19" s="22"/>
      <c r="AY19" s="23">
        <f>1*(AE22)</f>
        <v>0</v>
      </c>
      <c r="AZ19" s="326">
        <f t="shared" si="1"/>
        <v>0</v>
      </c>
      <c r="BA19" s="95">
        <f>VLOOKUP(AU19,CENY!$B$11:$M$2025,12,FALSE)</f>
        <v>59.929090000000002</v>
      </c>
      <c r="BB19" s="95">
        <f t="shared" si="0"/>
        <v>0</v>
      </c>
      <c r="BD19" s="319"/>
      <c r="BE19" s="21"/>
      <c r="BF19" s="22"/>
      <c r="BG19" s="22"/>
      <c r="BH19" s="23"/>
      <c r="BI19" s="326" t="str">
        <f t="shared" si="2"/>
        <v/>
      </c>
      <c r="BJ19" s="95"/>
      <c r="BK19" s="95" t="str">
        <f t="shared" si="3"/>
        <v/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20"/>
      <c r="P20" s="521"/>
      <c r="Q20" s="520"/>
      <c r="R20" s="521"/>
      <c r="S20" s="518"/>
      <c r="T20" s="519"/>
      <c r="U20" s="518"/>
      <c r="V20" s="519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I20" s="287"/>
      <c r="AJ20" s="288"/>
      <c r="AK20" s="287"/>
      <c r="AL20" s="288"/>
      <c r="AM20" s="286" t="s">
        <v>294</v>
      </c>
      <c r="AN20" s="522"/>
      <c r="AO20" s="522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20">
        <v>9257257</v>
      </c>
      <c r="BE20" s="321" t="str">
        <f>VLOOKUP(BD20,CENY!$B$11:$G$1054,2,FALSE)</f>
        <v>AvanY-prích.čela Inlay k naskrutk./ v187</v>
      </c>
      <c r="BF20" s="22">
        <f>VLOOKUP(BD20,CENY!$B$11:$G$1054,3,FALSE)</f>
        <v>100</v>
      </c>
      <c r="BG20" s="22"/>
      <c r="BH20" s="68">
        <f>2*(SUM(S19)+SUM(S20:AD20)+SUM(W22:AF22)+SUM(S27)+SUM(S28:AD28)+SUM(S30:AD30))</f>
        <v>0</v>
      </c>
      <c r="BI20" s="326">
        <f t="shared" si="2"/>
        <v>0</v>
      </c>
      <c r="BJ20" s="95">
        <f>VLOOKUP(BD20,CENY!$B$11:$M$2025,12,FALSE)</f>
        <v>2.4404300000000001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4"/>
      <c r="AO21" s="544"/>
      <c r="AU21" s="319">
        <f>OBJ!B235</f>
        <v>9318160</v>
      </c>
      <c r="AV21" s="21" t="str">
        <f>VLOOKUP(AU21,CENY!$B$11:$G$1054,2,FALSE)</f>
        <v>Actro You(S) 350/SiSy 10kg; EB21</v>
      </c>
      <c r="AW21" s="22">
        <f>VLOOKUP(AU21,CENY!$B$11:$G$1054,3,FALSE)</f>
        <v>1</v>
      </c>
      <c r="AX21" s="362">
        <v>4</v>
      </c>
      <c r="AY21" s="23">
        <f>S19</f>
        <v>0</v>
      </c>
      <c r="AZ21" s="326">
        <f t="shared" si="1"/>
        <v>0</v>
      </c>
      <c r="BA21" s="95">
        <f>VLOOKUP(AU21,CENY!$B$11:$M$2025,12,FALSE)</f>
        <v>31.62575</v>
      </c>
      <c r="BB21" s="95">
        <f t="shared" si="0"/>
        <v>0</v>
      </c>
      <c r="BD21" s="319">
        <f>OBJ!B48</f>
        <v>9257702</v>
      </c>
      <c r="BE21" s="21" t="str">
        <f>VLOOKUP(BD21,CENY!$B$11:$G$1054,2,FALSE)</f>
        <v>AvanY-stabilizátor chrbáta</v>
      </c>
      <c r="BF21" s="22">
        <f>VLOOKUP(BD21,CENY!$B$11:$G$1054,3,FALSE)</f>
        <v>200</v>
      </c>
      <c r="BG21" s="22"/>
      <c r="BH21" s="23">
        <f>2*(SUM(S19)+SUM(S20:AD20)+SUM(W22:AF22)+SUM(S27)+SUM(S28:AD28)+SUM(S30:AD30))</f>
        <v>0</v>
      </c>
      <c r="BI21" s="326">
        <f t="shared" si="2"/>
        <v>0</v>
      </c>
      <c r="BJ21" s="95">
        <f>VLOOKUP(BD21,CENY!$B$11:$M$2025,12,FALSE)</f>
        <v>0.74794000000000005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18"/>
      <c r="AF22" s="519"/>
      <c r="AI22" s="287"/>
      <c r="AJ22" s="288"/>
      <c r="AK22" s="287"/>
      <c r="AL22" s="288"/>
      <c r="AM22" s="286" t="s">
        <v>297</v>
      </c>
      <c r="AN22" s="541"/>
      <c r="AO22" s="541"/>
      <c r="AU22" s="319"/>
      <c r="AV22" s="21"/>
      <c r="AW22" s="22"/>
      <c r="AX22" s="22"/>
      <c r="AY22" s="23"/>
      <c r="AZ22" s="326" t="str">
        <f t="shared" si="1"/>
        <v/>
      </c>
      <c r="BA22" s="95"/>
      <c r="BB22" s="95" t="str">
        <f t="shared" si="0"/>
        <v/>
      </c>
      <c r="BD22" s="319"/>
      <c r="BE22" s="21"/>
      <c r="BF22" s="22"/>
      <c r="BG22" s="22"/>
      <c r="BH22" s="23"/>
      <c r="BI22" s="326" t="str">
        <f t="shared" si="2"/>
        <v/>
      </c>
      <c r="BJ22" s="95"/>
      <c r="BK22" s="95" t="str">
        <f t="shared" si="3"/>
        <v/>
      </c>
    </row>
    <row r="23" spans="2:63" ht="14.45" customHeight="1">
      <c r="O23" s="4"/>
      <c r="P23" s="4"/>
      <c r="AU23" s="319">
        <f>OBJ!B245</f>
        <v>9318188</v>
      </c>
      <c r="AV23" s="21" t="str">
        <f>VLOOKUP(AU23,CENY!$B$11:$G$1054,2,FALSE)</f>
        <v>Actro You(L) 350/SiSy 40kg; EB21</v>
      </c>
      <c r="AW23" s="22">
        <f>VLOOKUP(AU23,CENY!$B$11:$G$1054,3,FALSE)</f>
        <v>1</v>
      </c>
      <c r="AX23" s="362">
        <v>8</v>
      </c>
      <c r="AY23" s="23">
        <f>S20</f>
        <v>0</v>
      </c>
      <c r="AZ23" s="326">
        <f t="shared" si="1"/>
        <v>0</v>
      </c>
      <c r="BA23" s="95">
        <f>VLOOKUP(AU23,CENY!$B$11:$M$2025,12,FALSE)</f>
        <v>31.62575</v>
      </c>
      <c r="BB23" s="95">
        <f t="shared" si="0"/>
        <v>0</v>
      </c>
      <c r="BD23" s="319">
        <f>OBJ!B216</f>
        <v>9283178</v>
      </c>
      <c r="BE23" s="21" t="str">
        <f>VLOOKUP(BD23,CENY!$B$11:$G$1054,2,FALSE)</f>
        <v>AvanY-Inlay sklenené boky 350mm; 2 x sklo</v>
      </c>
      <c r="BF23" s="22">
        <f>VLOOKUP(BD23,CENY!$B$11:$G$1054,3,FALSE)</f>
        <v>1</v>
      </c>
      <c r="BG23" s="22"/>
      <c r="BH23" s="23">
        <f>1*(S19+S20+S27+S28+S30)</f>
        <v>0</v>
      </c>
      <c r="BI23" s="326">
        <f t="shared" si="2"/>
        <v>0</v>
      </c>
      <c r="BJ23" s="95">
        <f>VLOOKUP(BD23,CENY!$B$11:$M$2025,12,FALSE)</f>
        <v>39.701169999999998</v>
      </c>
      <c r="BK23" s="95">
        <f t="shared" si="3"/>
        <v>0</v>
      </c>
    </row>
    <row r="24" spans="2:63" ht="14.45" customHeight="1">
      <c r="AU24" s="319">
        <f>OBJ!B246</f>
        <v>9318190</v>
      </c>
      <c r="AV24" s="21" t="str">
        <f>VLOOKUP(AU24,CENY!$B$11:$G$1054,2,FALSE)</f>
        <v>Actro You(L) 400/SiSy 40kg; EB21</v>
      </c>
      <c r="AW24" s="22">
        <f>VLOOKUP(AU24,CENY!$B$11:$G$1054,3,FALSE)</f>
        <v>1</v>
      </c>
      <c r="AX24" s="362">
        <v>8</v>
      </c>
      <c r="AY24" s="23">
        <f>U20</f>
        <v>0</v>
      </c>
      <c r="AZ24" s="326">
        <f t="shared" si="1"/>
        <v>0</v>
      </c>
      <c r="BA24" s="95">
        <f>VLOOKUP(AU24,CENY!$B$11:$M$2025,12,FALSE)</f>
        <v>31.976389999999999</v>
      </c>
      <c r="BB24" s="95">
        <f t="shared" si="0"/>
        <v>0</v>
      </c>
      <c r="BD24" s="319">
        <f>OBJ!B217</f>
        <v>9283179</v>
      </c>
      <c r="BE24" s="21" t="str">
        <f>VLOOKUP(BD24,CENY!$B$11:$G$1054,2,FALSE)</f>
        <v>AvanY-Inlay sklenené boky 400mm; 2 x sklo</v>
      </c>
      <c r="BF24" s="22">
        <f>VLOOKUP(BD24,CENY!$B$11:$G$1054,3,FALSE)</f>
        <v>1</v>
      </c>
      <c r="BG24" s="22"/>
      <c r="BH24" s="23">
        <f>1*(U20+U28+U30)</f>
        <v>0</v>
      </c>
      <c r="BI24" s="326">
        <f t="shared" si="2"/>
        <v>0</v>
      </c>
      <c r="BJ24" s="95">
        <f>VLOOKUP(BD24,CENY!$B$11:$M$2025,12,FALSE)</f>
        <v>41.949010000000001</v>
      </c>
      <c r="BK24" s="95">
        <f t="shared" si="3"/>
        <v>0</v>
      </c>
    </row>
    <row r="25" spans="2:63" ht="14.45" customHeight="1" thickBot="1">
      <c r="B25" s="2" t="s">
        <v>285</v>
      </c>
      <c r="AI25" s="542" t="str">
        <f>verze!E199</f>
        <v>P2O Silent pre Quadro</v>
      </c>
      <c r="AJ25" s="543"/>
      <c r="AK25" s="543"/>
      <c r="AL25" s="543"/>
      <c r="AM25" s="543"/>
      <c r="AN25" s="543"/>
      <c r="AO25" s="543"/>
      <c r="AU25" s="319">
        <f>OBJ!B247</f>
        <v>9318191</v>
      </c>
      <c r="AV25" s="21" t="str">
        <f>VLOOKUP(AU25,CENY!$B$11:$G$1054,2,FALSE)</f>
        <v>Actro You(L) 450/SiSy 40kg; EB21</v>
      </c>
      <c r="AW25" s="22">
        <f>VLOOKUP(AU25,CENY!$B$11:$G$1054,3,FALSE)</f>
        <v>1</v>
      </c>
      <c r="AX25" s="362">
        <v>10</v>
      </c>
      <c r="AY25" s="23">
        <f>W20</f>
        <v>0</v>
      </c>
      <c r="AZ25" s="326">
        <f t="shared" si="1"/>
        <v>0</v>
      </c>
      <c r="BA25" s="95">
        <f>VLOOKUP(AU25,CENY!$B$11:$M$2025,12,FALSE)</f>
        <v>32.324420000000003</v>
      </c>
      <c r="BB25" s="95">
        <f t="shared" si="0"/>
        <v>0</v>
      </c>
      <c r="BD25" s="319">
        <f>OBJ!B218</f>
        <v>9283180</v>
      </c>
      <c r="BE25" s="21" t="str">
        <f>VLOOKUP(BD25,CENY!$B$11:$G$1054,2,FALSE)</f>
        <v>AvanY-Inlay sklenené boky 450mm; 2 x sklo</v>
      </c>
      <c r="BF25" s="22">
        <f>VLOOKUP(BD25,CENY!$B$11:$G$1054,3,FALSE)</f>
        <v>1</v>
      </c>
      <c r="BG25" s="22"/>
      <c r="BH25" s="23">
        <f>1*(W20+W22+W28+W30)</f>
        <v>0</v>
      </c>
      <c r="BI25" s="326">
        <f t="shared" si="2"/>
        <v>0</v>
      </c>
      <c r="BJ25" s="95">
        <f>VLOOKUP(BD25,CENY!$B$11:$M$2025,12,FALSE)</f>
        <v>44.197099999999999</v>
      </c>
      <c r="BK25" s="95">
        <f t="shared" si="3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I26" s="545" t="s">
        <v>299</v>
      </c>
      <c r="AJ26" s="545"/>
      <c r="AK26" s="545"/>
      <c r="AL26" s="545"/>
      <c r="AM26" s="545"/>
      <c r="AN26" s="545"/>
      <c r="AO26" s="545"/>
      <c r="AU26" s="319">
        <f>OBJ!B248</f>
        <v>9318192</v>
      </c>
      <c r="AV26" s="21" t="str">
        <f>VLOOKUP(AU26,CENY!$B$11:$G$1054,2,FALSE)</f>
        <v>Actro You(L) 500/SiSy 40kg; EB21</v>
      </c>
      <c r="AW26" s="22">
        <f>VLOOKUP(AU26,CENY!$B$11:$G$1054,3,FALSE)</f>
        <v>1</v>
      </c>
      <c r="AX26" s="362">
        <v>10</v>
      </c>
      <c r="AY26" s="23">
        <f>Y20</f>
        <v>0</v>
      </c>
      <c r="AZ26" s="326">
        <f t="shared" si="1"/>
        <v>0</v>
      </c>
      <c r="BA26" s="95">
        <f>VLOOKUP(AU26,CENY!$B$11:$M$2025,12,FALSE)</f>
        <v>6.5957299999999996</v>
      </c>
      <c r="BB26" s="95">
        <f t="shared" si="0"/>
        <v>0</v>
      </c>
      <c r="BD26" s="319">
        <f>OBJ!B219</f>
        <v>9283181</v>
      </c>
      <c r="BE26" s="21" t="str">
        <f>VLOOKUP(BD26,CENY!$B$11:$G$1054,2,FALSE)</f>
        <v>AvanY-Inlay sklenené boky 500mm; 2 x sklo</v>
      </c>
      <c r="BF26" s="22">
        <f>VLOOKUP(BD26,CENY!$B$11:$G$1054,3,FALSE)</f>
        <v>1</v>
      </c>
      <c r="BG26" s="22"/>
      <c r="BH26" s="23">
        <f>1*(Y20+Y22+Y28+Y30)</f>
        <v>0</v>
      </c>
      <c r="BI26" s="326">
        <f t="shared" si="2"/>
        <v>0</v>
      </c>
      <c r="BJ26" s="95">
        <f>VLOOKUP(BD26,CENY!$B$11:$M$2025,12,FALSE)</f>
        <v>46.445340000000002</v>
      </c>
      <c r="BK26" s="95">
        <f t="shared" si="3"/>
        <v>0</v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75"/>
      <c r="P27" s="576"/>
      <c r="Q27" s="575"/>
      <c r="R27" s="576"/>
      <c r="S27" s="569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6"/>
      <c r="AO27" s="536"/>
      <c r="AU27" s="319">
        <f>OBJ!B249</f>
        <v>9318194</v>
      </c>
      <c r="AV27" s="21" t="str">
        <f>VLOOKUP(AU27,CENY!$B$11:$G$1054,2,FALSE)</f>
        <v>Actro You(L) 550/SiSy 40kg; EB21</v>
      </c>
      <c r="AW27" s="22">
        <f>VLOOKUP(AU27,CENY!$B$11:$G$1054,3,FALSE)</f>
        <v>1</v>
      </c>
      <c r="AX27" s="362">
        <v>10</v>
      </c>
      <c r="AY27" s="23">
        <f>AA20</f>
        <v>0</v>
      </c>
      <c r="AZ27" s="326">
        <f t="shared" si="1"/>
        <v>0</v>
      </c>
      <c r="BA27" s="95">
        <f>VLOOKUP(AU27,CENY!$B$11:$M$2025,12,FALSE)</f>
        <v>6.9728000000000003</v>
      </c>
      <c r="BB27" s="95">
        <f t="shared" si="0"/>
        <v>0</v>
      </c>
      <c r="BD27" s="319">
        <f>OBJ!B220</f>
        <v>9283182</v>
      </c>
      <c r="BE27" s="21" t="str">
        <f>VLOOKUP(BD27,CENY!$B$11:$G$1054,2,FALSE)</f>
        <v>AvanY-Inlay sklenené boky 550mm; 2 x sklo</v>
      </c>
      <c r="BF27" s="22">
        <f>VLOOKUP(BD27,CENY!$B$11:$G$1054,3,FALSE)</f>
        <v>1</v>
      </c>
      <c r="BG27" s="22"/>
      <c r="BH27" s="23">
        <f>1*(AA20+AA22+AA28+AA30)</f>
        <v>0</v>
      </c>
      <c r="BI27" s="326">
        <f t="shared" si="2"/>
        <v>0</v>
      </c>
      <c r="BJ27" s="95">
        <f>VLOOKUP(BD27,CENY!$B$11:$M$2025,12,FALSE)</f>
        <v>50.939869999999999</v>
      </c>
      <c r="BK27" s="95">
        <f t="shared" si="3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73"/>
      <c r="P28" s="574"/>
      <c r="Q28" s="573"/>
      <c r="R28" s="574"/>
      <c r="S28" s="518"/>
      <c r="T28" s="519"/>
      <c r="U28" s="518"/>
      <c r="V28" s="519"/>
      <c r="W28" s="518"/>
      <c r="X28" s="519"/>
      <c r="Y28" s="518"/>
      <c r="Z28" s="519"/>
      <c r="AA28" s="518"/>
      <c r="AB28" s="519"/>
      <c r="AC28" s="518"/>
      <c r="AD28" s="519"/>
      <c r="AI28" s="287"/>
      <c r="AJ28" s="288"/>
      <c r="AK28" s="287"/>
      <c r="AL28" s="288"/>
      <c r="AM28" s="286" t="s">
        <v>294</v>
      </c>
      <c r="AN28" s="522"/>
      <c r="AO28" s="522"/>
      <c r="AU28" s="319">
        <f>OBJ!B250</f>
        <v>9318196</v>
      </c>
      <c r="AV28" s="21" t="str">
        <f>VLOOKUP(AU28,CENY!$B$11:$G$1054,2,FALSE)</f>
        <v>Actro You(L) 600/SiSy 40kg; EB21</v>
      </c>
      <c r="AW28" s="22">
        <f>VLOOKUP(AU28,CENY!$B$11:$G$1054,3,FALSE)</f>
        <v>1</v>
      </c>
      <c r="AX28" s="362">
        <v>10</v>
      </c>
      <c r="AY28" s="23">
        <f>AC20</f>
        <v>0</v>
      </c>
      <c r="AZ28" s="326">
        <f t="shared" si="1"/>
        <v>0</v>
      </c>
      <c r="BA28" s="95">
        <f>VLOOKUP(AU28,CENY!$B$11:$M$2025,12,FALSE)</f>
        <v>34.956960000000002</v>
      </c>
      <c r="BB28" s="95">
        <f t="shared" si="0"/>
        <v>0</v>
      </c>
      <c r="BD28" s="319">
        <f>OBJ!B221</f>
        <v>9283183</v>
      </c>
      <c r="BE28" s="21" t="str">
        <f>VLOOKUP(BD28,CENY!$B$11:$G$1054,2,FALSE)</f>
        <v>AvanY-Inlay sklenené boky 600mm; 2 x sklo</v>
      </c>
      <c r="BF28" s="22">
        <f>VLOOKUP(BD28,CENY!$B$11:$G$1054,3,FALSE)</f>
        <v>1</v>
      </c>
      <c r="BG28" s="22"/>
      <c r="BH28" s="23">
        <f>1*(AC20+AC22+AC28+AC30)</f>
        <v>0</v>
      </c>
      <c r="BI28" s="326">
        <f t="shared" si="2"/>
        <v>0</v>
      </c>
      <c r="BJ28" s="95">
        <f>VLOOKUP(BD28,CENY!$B$11:$M$2025,12,FALSE)</f>
        <v>55.43441</v>
      </c>
      <c r="BK28" s="95">
        <f t="shared" si="3"/>
        <v>0</v>
      </c>
    </row>
    <row r="29" spans="2:63" ht="14.45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9"/>
      <c r="AO29" s="529"/>
      <c r="AU29" s="319"/>
      <c r="AV29" s="21"/>
      <c r="AW29" s="22"/>
      <c r="AX29" s="22"/>
      <c r="AY29" s="23"/>
      <c r="AZ29" s="326" t="str">
        <f t="shared" si="1"/>
        <v/>
      </c>
      <c r="BA29" s="95"/>
      <c r="BB29" s="95" t="str">
        <f t="shared" si="0"/>
        <v/>
      </c>
      <c r="BD29" s="319">
        <f>OBJ!B222</f>
        <v>9283184</v>
      </c>
      <c r="BE29" s="21" t="str">
        <f>VLOOKUP(BD29,CENY!$B$11:$G$1054,2,FALSE)</f>
        <v>AvanY-Inlay sklenené boky 650mm; 2 x sklo</v>
      </c>
      <c r="BF29" s="22">
        <f>VLOOKUP(BD29,CENY!$B$11:$G$1054,3,FALSE)</f>
        <v>1</v>
      </c>
      <c r="BG29" s="22"/>
      <c r="BH29" s="23">
        <f>1*(AE22)</f>
        <v>0</v>
      </c>
      <c r="BI29" s="326">
        <f t="shared" si="2"/>
        <v>0</v>
      </c>
      <c r="BJ29" s="95">
        <f>VLOOKUP(BD29,CENY!$B$11:$M$2025,12,FALSE)</f>
        <v>59.929090000000002</v>
      </c>
      <c r="BK29" s="95">
        <f t="shared" si="3"/>
        <v>0</v>
      </c>
    </row>
    <row r="30" spans="2:63" ht="14.45" customHeight="1" thickBot="1">
      <c r="B30" s="530" t="s">
        <v>373</v>
      </c>
      <c r="C30" s="530"/>
      <c r="D30" s="530"/>
      <c r="E30" s="530"/>
      <c r="F30" s="530"/>
      <c r="G30" s="530"/>
      <c r="H30" s="531" t="str">
        <f>verze!E18</f>
        <v>plnovýsuv</v>
      </c>
      <c r="I30" s="531"/>
      <c r="J30" s="531"/>
      <c r="K30" s="531"/>
      <c r="L30" s="531"/>
      <c r="M30" s="525" t="s">
        <v>1</v>
      </c>
      <c r="N30" s="526"/>
      <c r="O30" s="283"/>
      <c r="P30" s="284"/>
      <c r="Q30" s="283"/>
      <c r="R30" s="284"/>
      <c r="S30" s="518"/>
      <c r="T30" s="519"/>
      <c r="U30" s="518"/>
      <c r="V30" s="519"/>
      <c r="W30" s="518"/>
      <c r="X30" s="519"/>
      <c r="Y30" s="518"/>
      <c r="Z30" s="519"/>
      <c r="AA30" s="518"/>
      <c r="AB30" s="519"/>
      <c r="AC30" s="567"/>
      <c r="AD30" s="568"/>
      <c r="AU30" s="319">
        <f>OBJ!B268</f>
        <v>9318215</v>
      </c>
      <c r="AV30" s="21" t="str">
        <f>VLOOKUP(AU30,CENY!$B$11:$G$1054,2,FALSE)</f>
        <v>Actro You(XL) 450/SiSy 70kg; EB21</v>
      </c>
      <c r="AW30" s="22">
        <f>VLOOKUP(AU30,CENY!$B$11:$G$1054,3,FALSE)</f>
        <v>1</v>
      </c>
      <c r="AX30" s="362">
        <v>10</v>
      </c>
      <c r="AY30" s="23">
        <f>W22</f>
        <v>0</v>
      </c>
      <c r="AZ30" s="326">
        <f t="shared" si="1"/>
        <v>0</v>
      </c>
      <c r="BA30" s="95">
        <f>VLOOKUP(AU30,CENY!$B$11:$M$2025,12,FALSE)</f>
        <v>7.9265800000000004</v>
      </c>
      <c r="BB30" s="95">
        <f t="shared" si="0"/>
        <v>0</v>
      </c>
      <c r="BD30" s="319"/>
      <c r="BE30" s="21"/>
      <c r="BF30" s="22"/>
      <c r="BG30" s="22"/>
      <c r="BH30" s="23"/>
      <c r="BI30" s="326" t="str">
        <f t="shared" si="2"/>
        <v/>
      </c>
      <c r="BJ30" s="95"/>
      <c r="BK30" s="95" t="str">
        <f t="shared" si="3"/>
        <v/>
      </c>
    </row>
    <row r="31" spans="2:63" ht="14.45" customHeight="1">
      <c r="AU31" s="319">
        <f>OBJ!B269</f>
        <v>9318216</v>
      </c>
      <c r="AV31" s="21" t="str">
        <f>VLOOKUP(AU31,CENY!$B$11:$G$1054,2,FALSE)</f>
        <v>Actro You(XL) 500/SiSy 70kg; EB21</v>
      </c>
      <c r="AW31" s="22">
        <f>VLOOKUP(AU31,CENY!$B$11:$G$1054,3,FALSE)</f>
        <v>1</v>
      </c>
      <c r="AX31" s="362">
        <v>10</v>
      </c>
      <c r="AY31" s="23">
        <f>Y22</f>
        <v>0</v>
      </c>
      <c r="AZ31" s="326">
        <f t="shared" si="1"/>
        <v>0</v>
      </c>
      <c r="BA31" s="95">
        <f>VLOOKUP(AU31,CENY!$B$11:$M$2025,12,FALSE)</f>
        <v>39.622210000000003</v>
      </c>
      <c r="BB31" s="95">
        <f t="shared" si="0"/>
        <v>0</v>
      </c>
      <c r="BD31" s="319">
        <f>OBJ!B240</f>
        <v>9318149</v>
      </c>
      <c r="BE31" s="21" t="str">
        <f>VLOOKUP(BD31,CENY!$B$11:$G$1054,2,FALSE)</f>
        <v>Actro You(S) 350/SiSy 10kg; EB21; ľavý</v>
      </c>
      <c r="BF31" s="22">
        <f>VLOOKUP(BD31,CENY!$B$11:$G$1054,3,FALSE)</f>
        <v>10</v>
      </c>
      <c r="BG31" s="22"/>
      <c r="BH31" s="23">
        <f>AY21</f>
        <v>0</v>
      </c>
      <c r="BI31" s="326">
        <f t="shared" si="2"/>
        <v>0</v>
      </c>
      <c r="BJ31" s="95">
        <f>VLOOKUP(BD31,CENY!$B$11:$M$2025,12,FALSE)</f>
        <v>14.37729</v>
      </c>
      <c r="BK31" s="95">
        <f t="shared" si="3"/>
        <v>0</v>
      </c>
    </row>
    <row r="32" spans="2:63" ht="14.45" customHeight="1">
      <c r="B32" s="366" t="str">
        <f>verze!E201</f>
        <v>SiSy = tlmenie Silent System</v>
      </c>
      <c r="AU32" s="319">
        <f>OBJ!B270</f>
        <v>9318217</v>
      </c>
      <c r="AV32" s="21" t="str">
        <f>VLOOKUP(AU32,CENY!$B$11:$G$1054,2,FALSE)</f>
        <v>Actro You(XL) 550/SiSy 70kg; EB21</v>
      </c>
      <c r="AW32" s="22">
        <f>VLOOKUP(AU32,CENY!$B$11:$G$1054,3,FALSE)</f>
        <v>1</v>
      </c>
      <c r="AX32" s="362">
        <v>10</v>
      </c>
      <c r="AY32" s="23">
        <f>AA22</f>
        <v>0</v>
      </c>
      <c r="AZ32" s="326">
        <f t="shared" si="1"/>
        <v>0</v>
      </c>
      <c r="BA32" s="95">
        <f>VLOOKUP(AU32,CENY!$B$11:$M$2025,12,FALSE)</f>
        <v>41.504899999999999</v>
      </c>
      <c r="BB32" s="95">
        <f t="shared" si="0"/>
        <v>0</v>
      </c>
      <c r="BD32" s="319">
        <f>OBJ!B241</f>
        <v>9318150</v>
      </c>
      <c r="BE32" s="21" t="str">
        <f>VLOOKUP(BD32,CENY!$B$11:$G$1054,2,FALSE)</f>
        <v>Actro You(S) 350/SiSy 10kg; EB21; pravý</v>
      </c>
      <c r="BF32" s="22">
        <f>VLOOKUP(BD32,CENY!$B$11:$G$1054,3,FALSE)</f>
        <v>10</v>
      </c>
      <c r="BG32" s="22"/>
      <c r="BH32" s="23">
        <f>AY21</f>
        <v>0</v>
      </c>
      <c r="BI32" s="326">
        <f t="shared" si="2"/>
        <v>0</v>
      </c>
      <c r="BJ32" s="95">
        <f>VLOOKUP(BD32,CENY!$B$11:$M$2025,12,FALSE)</f>
        <v>14.37729</v>
      </c>
      <c r="BK32" s="95">
        <f t="shared" si="3"/>
        <v>0</v>
      </c>
    </row>
    <row r="33" spans="2:63" ht="14.45" customHeight="1">
      <c r="B33" s="366" t="str">
        <f>verze!E204</f>
        <v>P2O = otváranie bez úchytky Push to open</v>
      </c>
      <c r="AU33" s="319">
        <f>OBJ!B271</f>
        <v>9318218</v>
      </c>
      <c r="AV33" s="21" t="str">
        <f>VLOOKUP(AU33,CENY!$B$11:$G$1054,2,FALSE)</f>
        <v>Actro You(XL) 600/SiSy 70kg; EB21</v>
      </c>
      <c r="AW33" s="22">
        <f>VLOOKUP(AU33,CENY!$B$11:$G$1054,3,FALSE)</f>
        <v>1</v>
      </c>
      <c r="AX33" s="362">
        <v>10</v>
      </c>
      <c r="AY33" s="23">
        <f>AC22</f>
        <v>0</v>
      </c>
      <c r="AZ33" s="326">
        <f t="shared" si="1"/>
        <v>0</v>
      </c>
      <c r="BA33" s="95">
        <f>VLOOKUP(AU33,CENY!$B$11:$M$2025,12,FALSE)</f>
        <v>45.308109999999999</v>
      </c>
      <c r="BB33" s="95">
        <f t="shared" si="0"/>
        <v>0</v>
      </c>
      <c r="BD33" s="319"/>
      <c r="BE33" s="21"/>
      <c r="BF33" s="22"/>
      <c r="BG33" s="22"/>
      <c r="BH33" s="23"/>
      <c r="BI33" s="326" t="str">
        <f t="shared" si="2"/>
        <v/>
      </c>
      <c r="BJ33" s="95"/>
      <c r="BK33" s="95" t="str">
        <f t="shared" si="3"/>
        <v/>
      </c>
    </row>
    <row r="34" spans="2:63" ht="14.45" customHeight="1">
      <c r="B34" s="366" t="str">
        <f>verze!E203</f>
        <v>P2O Silent = tlmenie s otváraním bez úchytky Push to open Silent</v>
      </c>
      <c r="AU34" s="319">
        <f>OBJ!B272</f>
        <v>9318219</v>
      </c>
      <c r="AV34" s="21" t="str">
        <f>VLOOKUP(AU34,CENY!$B$11:$G$1054,2,FALSE)</f>
        <v>Actro You(XL) 650/SiSy 70kg; EB21</v>
      </c>
      <c r="AW34" s="22">
        <f>VLOOKUP(AU34,CENY!$B$11:$G$1054,3,FALSE)</f>
        <v>1</v>
      </c>
      <c r="AX34" s="362">
        <v>10</v>
      </c>
      <c r="AY34" s="23">
        <f>AE22</f>
        <v>0</v>
      </c>
      <c r="AZ34" s="326">
        <f t="shared" si="1"/>
        <v>0</v>
      </c>
      <c r="BA34" s="95">
        <f>VLOOKUP(AU34,CENY!$B$11:$M$2025,12,FALSE)</f>
        <v>47.02431</v>
      </c>
      <c r="BB34" s="95">
        <f t="shared" si="0"/>
        <v>0</v>
      </c>
      <c r="BD34" s="319">
        <f>OBJ!B255</f>
        <v>9318173</v>
      </c>
      <c r="BE34" s="21" t="str">
        <f>VLOOKUP(BD34,CENY!$B$11:$G$1054,2,FALSE)</f>
        <v>Actro You(L) 350/SiSy 40kg; EB21; ľavý</v>
      </c>
      <c r="BF34" s="22">
        <f>VLOOKUP(BD34,CENY!$B$11:$G$1054,3,FALSE)</f>
        <v>10</v>
      </c>
      <c r="BG34" s="22"/>
      <c r="BH34" s="23">
        <f>AY23</f>
        <v>0</v>
      </c>
      <c r="BI34" s="326">
        <f t="shared" si="2"/>
        <v>0</v>
      </c>
      <c r="BJ34" s="95">
        <f>VLOOKUP(BD34,CENY!$B$11:$M$2025,12,FALSE)</f>
        <v>14.37729</v>
      </c>
      <c r="BK34" s="95">
        <f t="shared" si="3"/>
        <v>0</v>
      </c>
    </row>
    <row r="35" spans="2:63" ht="14.45" customHeight="1">
      <c r="AU35" s="319"/>
      <c r="AV35" s="21"/>
      <c r="AW35" s="22"/>
      <c r="AX35" s="22"/>
      <c r="AY35" s="23"/>
      <c r="AZ35" s="326" t="str">
        <f t="shared" si="1"/>
        <v/>
      </c>
      <c r="BA35" s="95"/>
      <c r="BB35" s="95" t="str">
        <f t="shared" si="0"/>
        <v/>
      </c>
      <c r="BD35" s="319">
        <f>OBJ!B256</f>
        <v>9318174</v>
      </c>
      <c r="BE35" s="21" t="str">
        <f>VLOOKUP(BD35,CENY!$B$11:$G$1054,2,FALSE)</f>
        <v>Actro You(L) 350/SiSy 40kg; EB21; pravý</v>
      </c>
      <c r="BF35" s="22">
        <f>VLOOKUP(BD35,CENY!$B$11:$G$1054,3,FALSE)</f>
        <v>10</v>
      </c>
      <c r="BG35" s="22"/>
      <c r="BH35" s="23">
        <f>AY23</f>
        <v>0</v>
      </c>
      <c r="BI35" s="326">
        <f t="shared" si="2"/>
        <v>0</v>
      </c>
      <c r="BJ35" s="95" t="e">
        <f>VLOOKUP(BD35,CENY!$B$11:$M$2025,12,FALSE)</f>
        <v>#N/A</v>
      </c>
      <c r="BK35" s="95" t="e">
        <f t="shared" si="3"/>
        <v>#N/A</v>
      </c>
    </row>
    <row r="36" spans="2:63" ht="14.45" customHeight="1">
      <c r="AU36" s="319">
        <f>OBJ!B284</f>
        <v>9257890</v>
      </c>
      <c r="AV36" s="21" t="str">
        <f>VLOOKUP(AU36,CENY!$B$11:$G$1054,2,FALSE)</f>
        <v>Actro You - Push to open Silent; &lt;10kg</v>
      </c>
      <c r="AW36" s="22">
        <f>VLOOKUP(AU36,CENY!$B$11:$G$1054,3,FALSE)</f>
        <v>1</v>
      </c>
      <c r="AX36" s="22"/>
      <c r="AY36" s="23">
        <f>AN19</f>
        <v>0</v>
      </c>
      <c r="AZ36" s="326">
        <f t="shared" si="1"/>
        <v>0</v>
      </c>
      <c r="BA36" s="95">
        <f>VLOOKUP(AU36,CENY!$B$11:$M$2025,12,FALSE)</f>
        <v>23.177009999999999</v>
      </c>
      <c r="BB36" s="95">
        <f t="shared" si="0"/>
        <v>0</v>
      </c>
      <c r="BD36" s="319">
        <f>OBJ!B257</f>
        <v>9318175</v>
      </c>
      <c r="BE36" s="21" t="str">
        <f>VLOOKUP(BD36,CENY!$B$11:$G$1054,2,FALSE)</f>
        <v>Actro You(L) 400/SiSy 40kg; EB21; ľavý</v>
      </c>
      <c r="BF36" s="22">
        <f>VLOOKUP(BD36,CENY!$B$11:$G$1054,3,FALSE)</f>
        <v>10</v>
      </c>
      <c r="BG36" s="22"/>
      <c r="BH36" s="23">
        <f>AY24</f>
        <v>0</v>
      </c>
      <c r="BI36" s="326">
        <f t="shared" si="2"/>
        <v>0</v>
      </c>
      <c r="BJ36" s="95">
        <f>VLOOKUP(BD36,CENY!$B$11:$M$2025,12,FALSE)</f>
        <v>14.56085</v>
      </c>
      <c r="BK36" s="95">
        <f t="shared" si="3"/>
        <v>0</v>
      </c>
    </row>
    <row r="37" spans="2:63" ht="14.45" customHeight="1">
      <c r="AU37" s="319">
        <f>OBJ!B285</f>
        <v>9257891</v>
      </c>
      <c r="AV37" s="21" t="str">
        <f>VLOOKUP(AU37,CENY!$B$11:$G$1054,2,FALSE)</f>
        <v>Actro You - Push to open Silent; 8-20kg</v>
      </c>
      <c r="AW37" s="22">
        <f>VLOOKUP(AU37,CENY!$B$11:$G$1054,3,FALSE)</f>
        <v>1</v>
      </c>
      <c r="AX37" s="22"/>
      <c r="AY37" s="23">
        <f>AN20</f>
        <v>0</v>
      </c>
      <c r="AZ37" s="326">
        <f t="shared" si="1"/>
        <v>0</v>
      </c>
      <c r="BA37" s="95">
        <f>VLOOKUP(AU37,CENY!$B$11:$M$2025,12,FALSE)</f>
        <v>23.177009999999999</v>
      </c>
      <c r="BB37" s="95">
        <f t="shared" si="0"/>
        <v>0</v>
      </c>
      <c r="BD37" s="319">
        <f>OBJ!B258</f>
        <v>9318176</v>
      </c>
      <c r="BE37" s="21" t="str">
        <f>VLOOKUP(BD37,CENY!$B$11:$G$1054,2,FALSE)</f>
        <v>Actro You(L) 400/SiSy 40kg; EB21; pravý</v>
      </c>
      <c r="BF37" s="22">
        <f>VLOOKUP(BD37,CENY!$B$11:$G$1054,3,FALSE)</f>
        <v>10</v>
      </c>
      <c r="BG37" s="22"/>
      <c r="BH37" s="23">
        <f>AY24</f>
        <v>0</v>
      </c>
      <c r="BI37" s="326">
        <f t="shared" si="2"/>
        <v>0</v>
      </c>
      <c r="BJ37" s="95">
        <f>VLOOKUP(BD37,CENY!$B$11:$M$2025,12,FALSE)</f>
        <v>14.56085</v>
      </c>
      <c r="BK37" s="95">
        <f t="shared" si="3"/>
        <v>0</v>
      </c>
    </row>
    <row r="38" spans="2:63" ht="14.45" customHeight="1">
      <c r="AU38" s="319">
        <f>OBJ!B286</f>
        <v>9257892</v>
      </c>
      <c r="AV38" s="21" t="str">
        <f>VLOOKUP(AU38,CENY!$B$11:$G$1054,2,FALSE)</f>
        <v>Actro You - Push to open Silent; 10-40kg</v>
      </c>
      <c r="AW38" s="22">
        <f>VLOOKUP(AU38,CENY!$B$11:$G$1054,3,FALSE)</f>
        <v>1</v>
      </c>
      <c r="AX38" s="22"/>
      <c r="AY38" s="23">
        <f>AN21</f>
        <v>0</v>
      </c>
      <c r="AZ38" s="326">
        <f t="shared" si="1"/>
        <v>0</v>
      </c>
      <c r="BA38" s="95">
        <f>VLOOKUP(AU38,CENY!$B$11:$M$2025,12,FALSE)</f>
        <v>23.177009999999999</v>
      </c>
      <c r="BB38" s="95">
        <f t="shared" si="0"/>
        <v>0</v>
      </c>
      <c r="BD38" s="319">
        <f>OBJ!B259</f>
        <v>9318177</v>
      </c>
      <c r="BE38" s="21" t="str">
        <f>VLOOKUP(BD38,CENY!$B$11:$G$1054,2,FALSE)</f>
        <v>Actro You(L) 450/SiSy 40kg; EB21; ľavý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 t="e">
        <f>VLOOKUP(BD38,CENY!$B$11:$M$2025,12,FALSE)</f>
        <v>#N/A</v>
      </c>
      <c r="BK38" s="95" t="e">
        <f t="shared" si="3"/>
        <v>#N/A</v>
      </c>
    </row>
    <row r="39" spans="2:63" ht="14.45" customHeight="1">
      <c r="AU39" s="319">
        <f>OBJ!B287</f>
        <v>9257893</v>
      </c>
      <c r="AV39" s="21" t="str">
        <f>VLOOKUP(AU39,CENY!$B$11:$G$1054,2,FALSE)</f>
        <v>Actro You - Push to open Silent; 20-70kg</v>
      </c>
      <c r="AW39" s="22">
        <f>VLOOKUP(AU39,CENY!$B$11:$G$1054,3,FALSE)</f>
        <v>1</v>
      </c>
      <c r="AX39" s="22"/>
      <c r="AY39" s="23">
        <f>AN22</f>
        <v>0</v>
      </c>
      <c r="AZ39" s="326">
        <f t="shared" si="1"/>
        <v>0</v>
      </c>
      <c r="BA39" s="95">
        <f>VLOOKUP(AU39,CENY!$B$11:$M$2025,12,FALSE)</f>
        <v>23.177009999999999</v>
      </c>
      <c r="BB39" s="95">
        <f t="shared" si="0"/>
        <v>0</v>
      </c>
      <c r="BD39" s="319">
        <f>OBJ!B260</f>
        <v>9318178</v>
      </c>
      <c r="BE39" s="21" t="str">
        <f>VLOOKUP(BD39,CENY!$B$11:$G$1054,2,FALSE)</f>
        <v>Actro You(L) 450/SiSy 40kg; EB21; pravý</v>
      </c>
      <c r="BF39" s="22">
        <f>VLOOKUP(BD39,CENY!$B$11:$G$1054,3,FALSE)</f>
        <v>10</v>
      </c>
      <c r="BG39" s="22"/>
      <c r="BH39" s="23">
        <f>AY25</f>
        <v>0</v>
      </c>
      <c r="BI39" s="326">
        <f t="shared" si="2"/>
        <v>0</v>
      </c>
      <c r="BJ39" s="95">
        <f>VLOOKUP(BD39,CENY!$B$11:$M$2025,12,FALSE)</f>
        <v>14.040839999999999</v>
      </c>
      <c r="BK39" s="95">
        <f t="shared" si="3"/>
        <v>0</v>
      </c>
    </row>
    <row r="40" spans="2:63" ht="14.45" customHeight="1">
      <c r="AU40" s="319">
        <f>OBJ!B288</f>
        <v>9236718</v>
      </c>
      <c r="AV40" s="21" t="str">
        <f>VLOOKUP(AU40,CENY!$B$11:$G$1054,2,FALSE)</f>
        <v>Push to open Synchro / tyč 2.000 mm</v>
      </c>
      <c r="AW40" s="22">
        <f>VLOOKUP(AU40,CENY!$B$11:$G$1054,3,FALSE)</f>
        <v>100</v>
      </c>
      <c r="AX40" s="22"/>
      <c r="AY40" s="23">
        <f>IF(SUM(AN19:AO22)+SUM(AN27:AO29)+SUM(S30:AD30)=0,0,AY83)</f>
        <v>0</v>
      </c>
      <c r="AZ40" s="326">
        <f t="shared" si="1"/>
        <v>0</v>
      </c>
      <c r="BA40" s="95">
        <f>VLOOKUP(AU40,CENY!$B$11:$M$2025,12,FALSE)</f>
        <v>8.7567500000000003</v>
      </c>
      <c r="BB40" s="95">
        <f t="shared" si="0"/>
        <v>0</v>
      </c>
      <c r="BD40" s="319">
        <f>OBJ!B261</f>
        <v>9318179</v>
      </c>
      <c r="BE40" s="21" t="str">
        <f>VLOOKUP(BD40,CENY!$B$11:$G$1054,2,FALSE)</f>
        <v>Actro You(L) 500/SiSy 40kg; EB21; ľavý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13.931559999999999</v>
      </c>
      <c r="BK40" s="95">
        <f t="shared" si="3"/>
        <v>0</v>
      </c>
    </row>
    <row r="41" spans="2:63" ht="14.45" customHeight="1">
      <c r="AU41" s="319"/>
      <c r="AV41" s="21"/>
      <c r="AW41" s="22"/>
      <c r="AX41" s="22"/>
      <c r="AY41" s="23"/>
      <c r="AZ41" s="326" t="str">
        <f t="shared" si="1"/>
        <v/>
      </c>
      <c r="BA41" s="95"/>
      <c r="BB41" s="95" t="str">
        <f t="shared" si="0"/>
        <v/>
      </c>
      <c r="BD41" s="319">
        <f>OBJ!B262</f>
        <v>9318180</v>
      </c>
      <c r="BE41" s="21" t="str">
        <f>VLOOKUP(BD41,CENY!$B$11:$G$1054,2,FALSE)</f>
        <v>Actro You(L) 500/SiSy 40kg; EB21; pravý</v>
      </c>
      <c r="BF41" s="22">
        <f>VLOOKUP(BD41,CENY!$B$11:$G$1054,3,FALSE)</f>
        <v>10</v>
      </c>
      <c r="BG41" s="22"/>
      <c r="BH41" s="23">
        <f>AY26</f>
        <v>0</v>
      </c>
      <c r="BI41" s="326">
        <f t="shared" si="2"/>
        <v>0</v>
      </c>
      <c r="BJ41" s="95">
        <f>VLOOKUP(BD41,CENY!$B$11:$M$2025,12,FALSE)</f>
        <v>13.931559999999999</v>
      </c>
      <c r="BK41" s="95">
        <f t="shared" si="3"/>
        <v>0</v>
      </c>
    </row>
    <row r="42" spans="2:63" ht="14.45" customHeight="1">
      <c r="AU42" s="319">
        <f>OBJ!B296</f>
        <v>9256956</v>
      </c>
      <c r="AV42" s="21" t="str">
        <f>VLOOKUP(AU42,CENY!$B$11:$G$1054,2,FALSE)</f>
        <v>Quadro You(S) 350/SiSy 10kg; EB21</v>
      </c>
      <c r="AW42" s="22">
        <f>VLOOKUP(AU42,CENY!$B$11:$G$1054,3,FALSE)</f>
        <v>1</v>
      </c>
      <c r="AX42" s="362">
        <v>4</v>
      </c>
      <c r="AY42" s="23">
        <f>S27</f>
        <v>0</v>
      </c>
      <c r="AZ42" s="326">
        <f t="shared" si="1"/>
        <v>0</v>
      </c>
      <c r="BA42" s="95">
        <f>VLOOKUP(AU42,CENY!$B$11:$M$2025,12,FALSE)</f>
        <v>23.536069999999999</v>
      </c>
      <c r="BB42" s="95">
        <f t="shared" si="0"/>
        <v>0</v>
      </c>
      <c r="BD42" s="319">
        <f>OBJ!B263</f>
        <v>9318181</v>
      </c>
      <c r="BE42" s="21" t="str">
        <f>VLOOKUP(BD42,CENY!$B$11:$G$1054,2,FALSE)</f>
        <v>Actro You(L) 550/SiSy 40kg; EB21; ľavý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15.147040000000001</v>
      </c>
      <c r="BK42" s="95">
        <f t="shared" si="3"/>
        <v>0</v>
      </c>
    </row>
    <row r="43" spans="2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OBJ!B264</f>
        <v>9318182</v>
      </c>
      <c r="BE43" s="21" t="str">
        <f>VLOOKUP(BD43,CENY!$B$11:$G$1054,2,FALSE)</f>
        <v>Actro You(L) 550/SiSy 40kg; EB21; pravý</v>
      </c>
      <c r="BF43" s="22">
        <f>VLOOKUP(BD43,CENY!$B$11:$G$1054,3,FALSE)</f>
        <v>10</v>
      </c>
      <c r="BG43" s="22"/>
      <c r="BH43" s="23">
        <f>AY27</f>
        <v>0</v>
      </c>
      <c r="BI43" s="326">
        <f t="shared" si="2"/>
        <v>0</v>
      </c>
      <c r="BJ43" s="95">
        <f>VLOOKUP(BD43,CENY!$B$11:$M$2025,12,FALSE)</f>
        <v>15.147040000000001</v>
      </c>
      <c r="BK43" s="95">
        <f t="shared" si="3"/>
        <v>0</v>
      </c>
    </row>
    <row r="44" spans="2:63" ht="14.45" customHeight="1">
      <c r="AU44" s="319">
        <f>OBJ!B306</f>
        <v>9256886</v>
      </c>
      <c r="AV44" s="21" t="str">
        <f>VLOOKUP(AU44,CENY!$B$11:$G$1054,2,FALSE)</f>
        <v>Quadro You(M) 350/SiSy 25kg; EB21</v>
      </c>
      <c r="AW44" s="22">
        <f>VLOOKUP(AU44,CENY!$B$11:$G$1054,3,FALSE)</f>
        <v>1</v>
      </c>
      <c r="AX44" s="362">
        <v>8</v>
      </c>
      <c r="AY44" s="23">
        <f>S28</f>
        <v>0</v>
      </c>
      <c r="AZ44" s="326">
        <f t="shared" si="1"/>
        <v>0</v>
      </c>
      <c r="BA44" s="95" t="e">
        <f>VLOOKUP(AU44,CENY!$B$11:$M$2025,12,FALSE)</f>
        <v>#N/A</v>
      </c>
      <c r="BB44" s="95" t="e">
        <f t="shared" si="0"/>
        <v>#N/A</v>
      </c>
      <c r="BD44" s="319">
        <f>OBJ!B265</f>
        <v>9318183</v>
      </c>
      <c r="BE44" s="21" t="str">
        <f>VLOOKUP(BD44,CENY!$B$11:$G$1054,2,FALSE)</f>
        <v>Actro You(L) 600/SiSy 40kg; EB21; ľavý</v>
      </c>
      <c r="BF44" s="22">
        <f>VLOOKUP(BD44,CENY!$B$11:$G$1054,3,FALSE)</f>
        <v>10</v>
      </c>
      <c r="BG44" s="22"/>
      <c r="BH44" s="23">
        <f>AY28</f>
        <v>0</v>
      </c>
      <c r="BI44" s="326">
        <f t="shared" si="2"/>
        <v>0</v>
      </c>
      <c r="BJ44" s="95">
        <f>VLOOKUP(BD44,CENY!$B$11:$M$2025,12,FALSE)</f>
        <v>15.35308</v>
      </c>
      <c r="BK44" s="95">
        <f t="shared" si="3"/>
        <v>0</v>
      </c>
    </row>
    <row r="45" spans="2:63" ht="14.45" customHeight="1">
      <c r="AU45" s="319">
        <f>OBJ!B307</f>
        <v>9256888</v>
      </c>
      <c r="AV45" s="21" t="str">
        <f>VLOOKUP(AU45,CENY!$B$11:$G$1054,2,FALSE)</f>
        <v>Quadro You(M) 400/SiSy 30kg; EB21</v>
      </c>
      <c r="AW45" s="22">
        <f>VLOOKUP(AU45,CENY!$B$11:$G$1054,3,FALSE)</f>
        <v>1</v>
      </c>
      <c r="AX45" s="362">
        <v>8</v>
      </c>
      <c r="AY45" s="23">
        <f>U28</f>
        <v>0</v>
      </c>
      <c r="AZ45" s="326">
        <f t="shared" si="1"/>
        <v>0</v>
      </c>
      <c r="BA45" s="95">
        <f>VLOOKUP(AU45,CENY!$B$11:$M$2025,12,FALSE)</f>
        <v>24.002659999999999</v>
      </c>
      <c r="BB45" s="95">
        <f t="shared" si="0"/>
        <v>0</v>
      </c>
      <c r="BD45" s="319">
        <f>OBJ!B266</f>
        <v>9318184</v>
      </c>
      <c r="BE45" s="21" t="str">
        <f>VLOOKUP(BD45,CENY!$B$11:$G$1054,2,FALSE)</f>
        <v>Actro You(L) 600/SiSy 40kg; EB21; pravý</v>
      </c>
      <c r="BF45" s="22">
        <f>VLOOKUP(BD45,CENY!$B$11:$G$1054,3,FALSE)</f>
        <v>10</v>
      </c>
      <c r="BG45" s="22"/>
      <c r="BH45" s="23">
        <f>AY28</f>
        <v>0</v>
      </c>
      <c r="BI45" s="326">
        <f t="shared" si="2"/>
        <v>0</v>
      </c>
      <c r="BJ45" s="95" t="e">
        <f>VLOOKUP(BD45,CENY!$B$11:$M$2025,12,FALSE)</f>
        <v>#N/A</v>
      </c>
      <c r="BK45" s="95" t="e">
        <f t="shared" si="3"/>
        <v>#N/A</v>
      </c>
    </row>
    <row r="46" spans="2:63" ht="14.45" customHeight="1">
      <c r="AU46" s="319">
        <f>OBJ!B308</f>
        <v>9256890</v>
      </c>
      <c r="AV46" s="21" t="str">
        <f>VLOOKUP(AU46,CENY!$B$11:$G$1054,2,FALSE)</f>
        <v>Quadro You(M) 450/SiSy 30kg; EB21</v>
      </c>
      <c r="AW46" s="22">
        <f>VLOOKUP(AU46,CENY!$B$11:$G$1054,3,FALSE)</f>
        <v>1</v>
      </c>
      <c r="AX46" s="362">
        <v>8</v>
      </c>
      <c r="AY46" s="23">
        <f>W28</f>
        <v>0</v>
      </c>
      <c r="AZ46" s="326">
        <f t="shared" si="1"/>
        <v>0</v>
      </c>
      <c r="BA46" s="95">
        <f>VLOOKUP(AU46,CENY!$B$11:$M$2025,12,FALSE)</f>
        <v>4.9393000000000002</v>
      </c>
      <c r="BB46" s="95">
        <f t="shared" si="0"/>
        <v>0</v>
      </c>
      <c r="BD46" s="319"/>
      <c r="BE46" s="21"/>
      <c r="BF46" s="22"/>
      <c r="BG46" s="22"/>
      <c r="BH46" s="23"/>
      <c r="BI46" s="326" t="str">
        <f t="shared" si="2"/>
        <v/>
      </c>
      <c r="BJ46" s="95"/>
      <c r="BK46" s="95" t="str">
        <f t="shared" si="3"/>
        <v/>
      </c>
    </row>
    <row r="47" spans="2:63" ht="14.45" customHeight="1">
      <c r="AU47" s="319">
        <f>OBJ!B309</f>
        <v>9256892</v>
      </c>
      <c r="AV47" s="21" t="str">
        <f>VLOOKUP(AU47,CENY!$B$11:$G$1054,2,FALSE)</f>
        <v>Quadro You(M) 500/SiSy 30kg; EB21</v>
      </c>
      <c r="AW47" s="22">
        <f>VLOOKUP(AU47,CENY!$B$11:$G$1054,3,FALSE)</f>
        <v>1</v>
      </c>
      <c r="AX47" s="362">
        <v>8</v>
      </c>
      <c r="AY47" s="23">
        <f>Y28</f>
        <v>0</v>
      </c>
      <c r="AZ47" s="326">
        <f t="shared" si="1"/>
        <v>0</v>
      </c>
      <c r="BA47" s="95">
        <f>VLOOKUP(AU47,CENY!$B$11:$M$2025,12,FALSE)</f>
        <v>23.748699999999999</v>
      </c>
      <c r="BB47" s="95">
        <f t="shared" si="0"/>
        <v>0</v>
      </c>
      <c r="BD47" s="319">
        <f>OBJ!B273</f>
        <v>9318198</v>
      </c>
      <c r="BE47" s="21" t="str">
        <f>VLOOKUP(BD47,CENY!$B$11:$G$1054,2,FALSE)</f>
        <v>Actro You(XL) 450/SiSy 70kg; EB21; ľavý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 t="e">
        <f>VLOOKUP(BD47,CENY!$B$11:$M$2025,12,FALSE)</f>
        <v>#N/A</v>
      </c>
      <c r="BK47" s="95" t="e">
        <f t="shared" si="3"/>
        <v>#N/A</v>
      </c>
    </row>
    <row r="48" spans="2:63" ht="14.45" customHeight="1">
      <c r="AU48" s="319">
        <f>OBJ!B310</f>
        <v>9256894</v>
      </c>
      <c r="AV48" s="21" t="str">
        <f>VLOOKUP(AU48,CENY!$B$11:$G$1054,2,FALSE)</f>
        <v>Quadro You(M) 550/SiSy 30kg; EB21</v>
      </c>
      <c r="AW48" s="22">
        <f>VLOOKUP(AU48,CENY!$B$11:$G$1054,3,FALSE)</f>
        <v>1</v>
      </c>
      <c r="AX48" s="362">
        <v>8</v>
      </c>
      <c r="AY48" s="23">
        <f>AA28</f>
        <v>0</v>
      </c>
      <c r="AZ48" s="326">
        <f t="shared" si="1"/>
        <v>0</v>
      </c>
      <c r="BA48" s="95">
        <f>VLOOKUP(AU48,CENY!$B$11:$M$2025,12,FALSE)</f>
        <v>5.1277499999999998</v>
      </c>
      <c r="BB48" s="95">
        <f t="shared" si="0"/>
        <v>0</v>
      </c>
      <c r="BD48" s="319">
        <f>OBJ!B274</f>
        <v>9318199</v>
      </c>
      <c r="BE48" s="21" t="str">
        <f>VLOOKUP(BD48,CENY!$B$11:$G$1054,2,FALSE)</f>
        <v>Actro You(XL) 450/SiSy 70kg; EB21; pravý</v>
      </c>
      <c r="BF48" s="22">
        <f>VLOOKUP(BD48,CENY!$B$11:$G$1054,3,FALSE)</f>
        <v>10</v>
      </c>
      <c r="BG48" s="22"/>
      <c r="BH48" s="23">
        <f>AY30</f>
        <v>0</v>
      </c>
      <c r="BI48" s="326">
        <f t="shared" si="2"/>
        <v>0</v>
      </c>
      <c r="BJ48" s="95" t="e">
        <f>VLOOKUP(BD48,CENY!$B$11:$M$2025,12,FALSE)</f>
        <v>#N/A</v>
      </c>
      <c r="BK48" s="95" t="e">
        <f t="shared" si="3"/>
        <v>#N/A</v>
      </c>
    </row>
    <row r="49" spans="47:63" ht="14.45" customHeight="1">
      <c r="AU49" s="319">
        <f>OBJ!B311</f>
        <v>9256896</v>
      </c>
      <c r="AV49" s="21" t="str">
        <f>VLOOKUP(AU49,CENY!$B$11:$G$1054,2,FALSE)</f>
        <v>Quadro You(M) 600/SiSy 25kg; EB21</v>
      </c>
      <c r="AW49" s="22">
        <f>VLOOKUP(AU49,CENY!$B$11:$G$1054,3,FALSE)</f>
        <v>1</v>
      </c>
      <c r="AX49" s="362">
        <v>8</v>
      </c>
      <c r="AY49" s="23">
        <f>AC28</f>
        <v>0</v>
      </c>
      <c r="AZ49" s="326">
        <f t="shared" si="1"/>
        <v>0</v>
      </c>
      <c r="BA49" s="95">
        <f>VLOOKUP(AU49,CENY!$B$11:$M$2025,12,FALSE)</f>
        <v>25.86984</v>
      </c>
      <c r="BB49" s="95">
        <f t="shared" si="0"/>
        <v>0</v>
      </c>
      <c r="BD49" s="319">
        <f>OBJ!B275</f>
        <v>9318201</v>
      </c>
      <c r="BE49" s="21" t="str">
        <f>VLOOKUP(BD49,CENY!$B$11:$G$1054,2,FALSE)</f>
        <v>Actro You(XL) 500/SiSy 70kg; EB21; ľavý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17.52394</v>
      </c>
      <c r="BK49" s="95">
        <f t="shared" si="3"/>
        <v>0</v>
      </c>
    </row>
    <row r="50" spans="47:63" ht="14.45" customHeight="1">
      <c r="AU50" s="319"/>
      <c r="AV50" s="21"/>
      <c r="AW50" s="22"/>
      <c r="AX50" s="22"/>
      <c r="AY50" s="23"/>
      <c r="AZ50" s="326" t="str">
        <f t="shared" si="1"/>
        <v/>
      </c>
      <c r="BA50" s="95"/>
      <c r="BB50" s="95" t="str">
        <f t="shared" si="0"/>
        <v/>
      </c>
      <c r="BD50" s="319">
        <f>OBJ!B276</f>
        <v>9318203</v>
      </c>
      <c r="BE50" s="21" t="str">
        <f>VLOOKUP(BD50,CENY!$B$11:$G$1054,2,FALSE)</f>
        <v>Actro You(XL) 500/SiSy 70kg; EB21; pravý</v>
      </c>
      <c r="BF50" s="22">
        <f>VLOOKUP(BD50,CENY!$B$11:$G$1054,3,FALSE)</f>
        <v>10</v>
      </c>
      <c r="BG50" s="22"/>
      <c r="BH50" s="23">
        <f>AY31</f>
        <v>0</v>
      </c>
      <c r="BI50" s="326">
        <f t="shared" si="2"/>
        <v>0</v>
      </c>
      <c r="BJ50" s="95">
        <f>VLOOKUP(BD50,CENY!$B$11:$M$2025,12,FALSE)</f>
        <v>17.52394</v>
      </c>
      <c r="BK50" s="95">
        <f t="shared" si="3"/>
        <v>0</v>
      </c>
    </row>
    <row r="51" spans="47:63" ht="14.45" customHeight="1">
      <c r="AU51" s="319">
        <f>OBJ!B329</f>
        <v>9257894</v>
      </c>
      <c r="AV51" s="21" t="str">
        <f>VLOOKUP(AU51,CENY!$B$11:$G$1054,2,FALSE)</f>
        <v>Quadro You - Push to open Silent; &lt;10kg</v>
      </c>
      <c r="AW51" s="22">
        <f>VLOOKUP(AU51,CENY!$B$11:$G$1054,3,FALSE)</f>
        <v>1</v>
      </c>
      <c r="AX51" s="22"/>
      <c r="AY51" s="23">
        <f>AN27</f>
        <v>0</v>
      </c>
      <c r="AZ51" s="326">
        <f t="shared" si="1"/>
        <v>0</v>
      </c>
      <c r="BA51" s="95">
        <f>VLOOKUP(AU51,CENY!$B$11:$M$2025,12,FALSE)</f>
        <v>23.114239999999999</v>
      </c>
      <c r="BB51" s="95">
        <f t="shared" si="0"/>
        <v>0</v>
      </c>
      <c r="BD51" s="319">
        <f>OBJ!B277</f>
        <v>9318208</v>
      </c>
      <c r="BE51" s="21" t="str">
        <f>VLOOKUP(BD51,CENY!$B$11:$G$1054,2,FALSE)</f>
        <v>Actro You(XL) 550/SiSy 70kg; EB21; ľavý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18.45496</v>
      </c>
      <c r="BK51" s="95">
        <f t="shared" si="3"/>
        <v>0</v>
      </c>
    </row>
    <row r="52" spans="47:63" ht="14.45" customHeight="1">
      <c r="AU52" s="319">
        <f>OBJ!B330</f>
        <v>9257895</v>
      </c>
      <c r="AV52" s="21" t="str">
        <f>VLOOKUP(AU52,CENY!$B$11:$G$1054,2,FALSE)</f>
        <v>Quadro You - Push to open Silent; 8-20kg</v>
      </c>
      <c r="AW52" s="22">
        <f>VLOOKUP(AU52,CENY!$B$11:$G$1054,3,FALSE)</f>
        <v>1</v>
      </c>
      <c r="AX52" s="22"/>
      <c r="AY52" s="23">
        <f>AN28</f>
        <v>0</v>
      </c>
      <c r="AZ52" s="326">
        <f t="shared" si="1"/>
        <v>0</v>
      </c>
      <c r="BA52" s="95">
        <f>VLOOKUP(AU52,CENY!$B$11:$M$2025,12,FALSE)</f>
        <v>23.114239999999999</v>
      </c>
      <c r="BB52" s="95">
        <f t="shared" si="0"/>
        <v>0</v>
      </c>
      <c r="BD52" s="319">
        <f>OBJ!B278</f>
        <v>9318209</v>
      </c>
      <c r="BE52" s="21" t="str">
        <f>VLOOKUP(BD52,CENY!$B$11:$G$1054,2,FALSE)</f>
        <v>Actro You(XL) 550/SiSy 70kg; EB21; pravý</v>
      </c>
      <c r="BF52" s="22">
        <f>VLOOKUP(BD52,CENY!$B$11:$G$1054,3,FALSE)</f>
        <v>10</v>
      </c>
      <c r="BG52" s="22"/>
      <c r="BH52" s="23">
        <f>AY32</f>
        <v>0</v>
      </c>
      <c r="BI52" s="326">
        <f t="shared" si="2"/>
        <v>0</v>
      </c>
      <c r="BJ52" s="95">
        <f>VLOOKUP(BD52,CENY!$B$11:$M$2025,12,FALSE)</f>
        <v>18.45496</v>
      </c>
      <c r="BK52" s="95">
        <f t="shared" si="3"/>
        <v>0</v>
      </c>
    </row>
    <row r="53" spans="47:63" ht="14.45" customHeight="1">
      <c r="AU53" s="319">
        <f>OBJ!B331</f>
        <v>9257896</v>
      </c>
      <c r="AV53" s="21" t="str">
        <f>VLOOKUP(AU53,CENY!$B$11:$G$1054,2,FALSE)</f>
        <v>Quadro You - Push to open Silent; 10-30kg</v>
      </c>
      <c r="AW53" s="22">
        <f>VLOOKUP(AU53,CENY!$B$11:$G$1054,3,FALSE)</f>
        <v>1</v>
      </c>
      <c r="AX53" s="22"/>
      <c r="AY53" s="23">
        <f>AN29</f>
        <v>0</v>
      </c>
      <c r="AZ53" s="326">
        <f t="shared" si="1"/>
        <v>0</v>
      </c>
      <c r="BA53" s="95">
        <f>VLOOKUP(AU53,CENY!$B$11:$M$2025,12,FALSE)</f>
        <v>23.114239999999999</v>
      </c>
      <c r="BB53" s="95">
        <f t="shared" si="0"/>
        <v>0</v>
      </c>
      <c r="BD53" s="319">
        <f>OBJ!B279</f>
        <v>9318211</v>
      </c>
      <c r="BE53" s="21" t="str">
        <f>VLOOKUP(BD53,CENY!$B$11:$G$1054,2,FALSE)</f>
        <v>Actro You(XL) 600/SiSy 70kg; EB21; ľavý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21.352720000000001</v>
      </c>
      <c r="BK53" s="95">
        <f t="shared" si="3"/>
        <v>0</v>
      </c>
    </row>
    <row r="54" spans="47:63" ht="14.45" customHeight="1">
      <c r="AU54" s="319"/>
      <c r="AV54" s="21"/>
      <c r="AW54" s="22"/>
      <c r="AX54" s="22"/>
      <c r="AY54" s="23"/>
      <c r="AZ54" s="326" t="str">
        <f t="shared" si="1"/>
        <v/>
      </c>
      <c r="BA54" s="95"/>
      <c r="BB54" s="95" t="str">
        <f t="shared" si="0"/>
        <v/>
      </c>
      <c r="BD54" s="319">
        <f>OBJ!B280</f>
        <v>9318212</v>
      </c>
      <c r="BE54" s="21" t="str">
        <f>VLOOKUP(BD54,CENY!$B$11:$G$1054,2,FALSE)</f>
        <v>Actro You(XL) 600/SiSy 70kg; EB21; pravý</v>
      </c>
      <c r="BF54" s="22">
        <f>VLOOKUP(BD54,CENY!$B$11:$G$1054,3,FALSE)</f>
        <v>10</v>
      </c>
      <c r="BG54" s="22"/>
      <c r="BH54" s="23">
        <f>AY33</f>
        <v>0</v>
      </c>
      <c r="BI54" s="326">
        <f t="shared" si="2"/>
        <v>0</v>
      </c>
      <c r="BJ54" s="95">
        <f>VLOOKUP(BD54,CENY!$B$11:$M$2025,12,FALSE)</f>
        <v>21.352720000000001</v>
      </c>
      <c r="BK54" s="95">
        <f t="shared" si="3"/>
        <v>0</v>
      </c>
    </row>
    <row r="55" spans="47:63" ht="14.45" customHeight="1">
      <c r="AU55" s="319">
        <f>OBJ!B335</f>
        <v>9256931</v>
      </c>
      <c r="AV55" s="21" t="str">
        <f>VLOOKUP(AU55,CENY!$B$11:$G$1054,2,FALSE)</f>
        <v>Quadro You(M) 350/P2O 25kg; EB21</v>
      </c>
      <c r="AW55" s="22">
        <f>VLOOKUP(AU55,CENY!$B$11:$G$1054,3,FALSE)</f>
        <v>1</v>
      </c>
      <c r="AX55" s="362">
        <v>8</v>
      </c>
      <c r="AY55" s="23">
        <f>S30</f>
        <v>0</v>
      </c>
      <c r="AZ55" s="326">
        <f t="shared" si="1"/>
        <v>0</v>
      </c>
      <c r="BA55" s="95">
        <f>VLOOKUP(AU55,CENY!$B$11:$M$2025,12,FALSE)</f>
        <v>26.336690000000001</v>
      </c>
      <c r="BB55" s="95">
        <f t="shared" si="0"/>
        <v>0</v>
      </c>
      <c r="BD55" s="319">
        <f>OBJ!B281</f>
        <v>9318213</v>
      </c>
      <c r="BE55" s="21" t="str">
        <f>VLOOKUP(BD55,CENY!$B$11:$G$1054,2,FALSE)</f>
        <v>Actro You(XL) 650/SiSy 70kg; EB21; ľavý</v>
      </c>
      <c r="BF55" s="22">
        <f>VLOOKUP(BD55,CENY!$B$11:$G$1054,3,FALSE)</f>
        <v>5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22.243659999999998</v>
      </c>
      <c r="BK55" s="95">
        <f t="shared" si="3"/>
        <v>0</v>
      </c>
    </row>
    <row r="56" spans="47:63" ht="14.45" customHeight="1">
      <c r="AU56" s="319">
        <f>OBJ!B336</f>
        <v>9256933</v>
      </c>
      <c r="AV56" s="21" t="str">
        <f>VLOOKUP(AU56,CENY!$B$11:$G$1054,2,FALSE)</f>
        <v>Quadro You(M) 400/P2O 30kg; EB21</v>
      </c>
      <c r="AW56" s="22">
        <f>VLOOKUP(AU56,CENY!$B$11:$G$1054,3,FALSE)</f>
        <v>1</v>
      </c>
      <c r="AX56" s="362">
        <v>8</v>
      </c>
      <c r="AY56" s="23">
        <f>U30</f>
        <v>0</v>
      </c>
      <c r="AZ56" s="326">
        <f t="shared" si="1"/>
        <v>0</v>
      </c>
      <c r="BA56" s="95">
        <f>VLOOKUP(AU56,CENY!$B$11:$M$2025,12,FALSE)</f>
        <v>26.80339</v>
      </c>
      <c r="BB56" s="95">
        <f t="shared" si="0"/>
        <v>0</v>
      </c>
      <c r="BD56" s="319">
        <f>OBJ!B282</f>
        <v>9318214</v>
      </c>
      <c r="BE56" s="21" t="str">
        <f>VLOOKUP(BD56,CENY!$B$11:$G$1054,2,FALSE)</f>
        <v>Actro You(XL) 650/SiSy 70kg; EB21; pravý</v>
      </c>
      <c r="BF56" s="22">
        <f>VLOOKUP(BD56,CENY!$B$11:$G$1054,3,FALSE)</f>
        <v>5</v>
      </c>
      <c r="BG56" s="22"/>
      <c r="BH56" s="23">
        <f>AY34</f>
        <v>0</v>
      </c>
      <c r="BI56" s="326">
        <f t="shared" si="2"/>
        <v>0</v>
      </c>
      <c r="BJ56" s="95">
        <f>VLOOKUP(BD56,CENY!$B$11:$M$2025,12,FALSE)</f>
        <v>22.243659999999998</v>
      </c>
      <c r="BK56" s="95">
        <f t="shared" si="3"/>
        <v>0</v>
      </c>
    </row>
    <row r="57" spans="47:63" ht="14.45" customHeight="1">
      <c r="AU57" s="319">
        <f>OBJ!B337</f>
        <v>9256935</v>
      </c>
      <c r="AV57" s="21" t="str">
        <f>VLOOKUP(AU57,CENY!$B$11:$G$1054,2,FALSE)</f>
        <v>Quadro You(M) 450/P2O 30kg; EB21</v>
      </c>
      <c r="AW57" s="22">
        <f>VLOOKUP(AU57,CENY!$B$11:$G$1054,3,FALSE)</f>
        <v>1</v>
      </c>
      <c r="AX57" s="362">
        <v>8</v>
      </c>
      <c r="AY57" s="23">
        <f>W30</f>
        <v>0</v>
      </c>
      <c r="AZ57" s="326">
        <f t="shared" si="1"/>
        <v>0</v>
      </c>
      <c r="BA57" s="95">
        <f>VLOOKUP(AU57,CENY!$B$11:$M$2025,12,FALSE)</f>
        <v>27.270389999999999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5" customHeight="1">
      <c r="AU58" s="319">
        <f>OBJ!B338</f>
        <v>9256937</v>
      </c>
      <c r="AV58" s="21" t="str">
        <f>VLOOKUP(AU58,CENY!$B$11:$G$1054,2,FALSE)</f>
        <v>Quadro You(M) 500/P2O 30kg; EB21</v>
      </c>
      <c r="AW58" s="22">
        <f>VLOOKUP(AU58,CENY!$B$11:$G$1054,3,FALSE)</f>
        <v>1</v>
      </c>
      <c r="AX58" s="362">
        <v>8</v>
      </c>
      <c r="AY58" s="23">
        <f>Y30</f>
        <v>0</v>
      </c>
      <c r="AZ58" s="326">
        <f t="shared" si="1"/>
        <v>0</v>
      </c>
      <c r="BA58" s="95">
        <f>VLOOKUP(AU58,CENY!$B$11:$M$2025,12,FALSE)</f>
        <v>5.5988800000000003</v>
      </c>
      <c r="BB58" s="95">
        <f t="shared" si="0"/>
        <v>0</v>
      </c>
      <c r="BD58" s="319">
        <f>OBJ!B284</f>
        <v>9257890</v>
      </c>
      <c r="BE58" s="21" t="str">
        <f>VLOOKUP(BD58,CENY!$B$11:$G$1054,2,FALSE)</f>
        <v>Actro You - Push to open Silent; &lt;10kg</v>
      </c>
      <c r="BF58" s="22">
        <f>VLOOKUP(BD58,CENY!$B$11:$G$1054,3,FALSE)</f>
        <v>1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23.177009999999999</v>
      </c>
      <c r="BK58" s="95">
        <f t="shared" si="3"/>
        <v>0</v>
      </c>
    </row>
    <row r="59" spans="47:63" ht="14.45" customHeight="1">
      <c r="AU59" s="319">
        <f>OBJ!B339</f>
        <v>9256939</v>
      </c>
      <c r="AV59" s="21" t="str">
        <f>VLOOKUP(AU59,CENY!$B$11:$G$1054,2,FALSE)</f>
        <v>Quadro You(M) 550/P2O 30kg; EB21</v>
      </c>
      <c r="AW59" s="22">
        <f>VLOOKUP(AU59,CENY!$B$11:$G$1054,3,FALSE)</f>
        <v>1</v>
      </c>
      <c r="AX59" s="362">
        <v>8</v>
      </c>
      <c r="AY59" s="23">
        <f>AA30</f>
        <v>0</v>
      </c>
      <c r="AZ59" s="326">
        <f t="shared" si="1"/>
        <v>0</v>
      </c>
      <c r="BA59" s="95">
        <f>VLOOKUP(AU59,CENY!$B$11:$M$2025,12,FALSE)</f>
        <v>28.20382</v>
      </c>
      <c r="BB59" s="95">
        <f t="shared" si="0"/>
        <v>0</v>
      </c>
      <c r="BD59" s="319">
        <f>OBJ!B285</f>
        <v>9257891</v>
      </c>
      <c r="BE59" s="21" t="str">
        <f>VLOOKUP(BD59,CENY!$B$11:$G$1054,2,FALSE)</f>
        <v>Actro You - Push to open Silent; 8-20kg</v>
      </c>
      <c r="BF59" s="22">
        <f>VLOOKUP(BD59,CENY!$B$11:$G$1054,3,FALSE)</f>
        <v>1</v>
      </c>
      <c r="BG59" s="22"/>
      <c r="BH59" s="23">
        <f>AY37</f>
        <v>0</v>
      </c>
      <c r="BI59" s="326">
        <f t="shared" si="2"/>
        <v>0</v>
      </c>
      <c r="BJ59" s="95">
        <f>VLOOKUP(BD59,CENY!$B$11:$M$2025,12,FALSE)</f>
        <v>23.177009999999999</v>
      </c>
      <c r="BK59" s="95">
        <f t="shared" si="3"/>
        <v>0</v>
      </c>
    </row>
    <row r="60" spans="47:63" ht="14.45" customHeight="1">
      <c r="AU60" s="319">
        <f>OBJ!B340</f>
        <v>9256941</v>
      </c>
      <c r="AV60" s="21" t="str">
        <f>VLOOKUP(AU60,CENY!$B$11:$G$1054,2,FALSE)</f>
        <v>Quadro You(M) 600/P2O 25kg; EB21</v>
      </c>
      <c r="AW60" s="22">
        <f>VLOOKUP(AU60,CENY!$B$11:$G$1054,3,FALSE)</f>
        <v>1</v>
      </c>
      <c r="AX60" s="362">
        <v>8</v>
      </c>
      <c r="AY60" s="23">
        <f>AC30</f>
        <v>0</v>
      </c>
      <c r="AZ60" s="326">
        <f t="shared" si="1"/>
        <v>0</v>
      </c>
      <c r="BA60" s="95">
        <f>VLOOKUP(AU60,CENY!$B$11:$M$2025,12,FALSE)</f>
        <v>28.670570000000001</v>
      </c>
      <c r="BB60" s="95">
        <f t="shared" si="0"/>
        <v>0</v>
      </c>
      <c r="BD60" s="319">
        <f>OBJ!B286</f>
        <v>9257892</v>
      </c>
      <c r="BE60" s="21" t="str">
        <f>VLOOKUP(BD60,CENY!$B$11:$G$1054,2,FALSE)</f>
        <v>Actro You - Push to open Silent; 10-40kg</v>
      </c>
      <c r="BF60" s="22">
        <f>VLOOKUP(BD60,CENY!$B$11:$G$1054,3,FALSE)</f>
        <v>1</v>
      </c>
      <c r="BG60" s="22"/>
      <c r="BH60" s="23">
        <f>AY38</f>
        <v>0</v>
      </c>
      <c r="BI60" s="326">
        <f t="shared" si="2"/>
        <v>0</v>
      </c>
      <c r="BJ60" s="95">
        <f>VLOOKUP(BD60,CENY!$B$11:$M$2025,12,FALSE)</f>
        <v>23.177009999999999</v>
      </c>
      <c r="BK60" s="95">
        <f t="shared" si="3"/>
        <v>0</v>
      </c>
    </row>
    <row r="61" spans="47:63" ht="14.45" customHeight="1">
      <c r="AU61" s="319"/>
      <c r="AV61" s="21"/>
      <c r="AW61" s="22"/>
      <c r="AX61" s="22"/>
      <c r="AY61" s="23"/>
      <c r="AZ61" s="326" t="str">
        <f t="shared" si="1"/>
        <v/>
      </c>
      <c r="BA61" s="95"/>
      <c r="BB61" s="95" t="str">
        <f t="shared" si="0"/>
        <v/>
      </c>
      <c r="BD61" s="319">
        <f>OBJ!B287</f>
        <v>9257893</v>
      </c>
      <c r="BE61" s="21" t="str">
        <f>VLOOKUP(BD61,CENY!$B$11:$G$1054,2,FALSE)</f>
        <v>Actro You - Push to open Silent; 20-70kg</v>
      </c>
      <c r="BF61" s="22">
        <f>VLOOKUP(BD61,CENY!$B$11:$G$1054,3,FALSE)</f>
        <v>1</v>
      </c>
      <c r="BG61" s="22"/>
      <c r="BH61" s="23">
        <f>AY39</f>
        <v>0</v>
      </c>
      <c r="BI61" s="326">
        <f t="shared" si="2"/>
        <v>0</v>
      </c>
      <c r="BJ61" s="95">
        <f>VLOOKUP(BD61,CENY!$B$11:$M$2025,12,FALSE)</f>
        <v>23.177009999999999</v>
      </c>
      <c r="BK61" s="95">
        <f t="shared" si="3"/>
        <v>0</v>
      </c>
    </row>
    <row r="62" spans="47:63" ht="14.45" customHeight="1">
      <c r="AU62" s="319">
        <f>OBJ!B358</f>
        <v>9219966</v>
      </c>
      <c r="AV62" s="21" t="str">
        <f>VLOOKUP(AU62,CENY!$B$11:$G$1054,2,FALSE)</f>
        <v>Push to open Synchro / adaptér typ A</v>
      </c>
      <c r="AW62" s="22">
        <f>VLOOKUP(AU62,CENY!$B$11:$G$1054,3,FALSE)</f>
        <v>200</v>
      </c>
      <c r="AX62" s="22"/>
      <c r="AY62" s="23">
        <f>2*SUM(Q30:AD30)</f>
        <v>0</v>
      </c>
      <c r="AZ62" s="326">
        <f t="shared" si="1"/>
        <v>0</v>
      </c>
      <c r="BA62" s="95">
        <f>VLOOKUP(AU62,CENY!$B$11:$M$2025,12,FALSE)</f>
        <v>0.79318999999999995</v>
      </c>
      <c r="BB62" s="95">
        <f t="shared" si="0"/>
        <v>0</v>
      </c>
      <c r="BD62" s="319">
        <f>OBJ!B288</f>
        <v>9236718</v>
      </c>
      <c r="BE62" s="21" t="str">
        <f>VLOOKUP(BD62,CENY!$B$11:$G$1054,2,FALSE)</f>
        <v>Push to open Synchro / tyč 2.000 mm</v>
      </c>
      <c r="BF62" s="22">
        <f>VLOOKUP(BD62,CENY!$B$11:$G$1054,3,FALSE)</f>
        <v>100</v>
      </c>
      <c r="BG62" s="22"/>
      <c r="BH62" s="23">
        <f>AY40</f>
        <v>0</v>
      </c>
      <c r="BI62" s="326">
        <f t="shared" si="2"/>
        <v>0</v>
      </c>
      <c r="BJ62" s="95">
        <f>VLOOKUP(BD62,CENY!$B$11:$M$2025,12,FALSE)</f>
        <v>8.7567500000000003</v>
      </c>
      <c r="BK62" s="95">
        <f t="shared" si="3"/>
        <v>0</v>
      </c>
    </row>
    <row r="63" spans="47:63" ht="14.45" customHeight="1">
      <c r="AU63" s="319"/>
      <c r="AV63" s="21"/>
      <c r="AW63" s="22"/>
      <c r="AX63" s="22"/>
      <c r="AY63" s="23"/>
      <c r="AZ63" s="326" t="str">
        <f t="shared" si="1"/>
        <v/>
      </c>
      <c r="BA63" s="95"/>
      <c r="BB63" s="95" t="str">
        <f t="shared" si="0"/>
        <v/>
      </c>
      <c r="BD63" s="319"/>
      <c r="BE63" s="21"/>
      <c r="BF63" s="22"/>
      <c r="BG63" s="22"/>
      <c r="BH63" s="23"/>
      <c r="BI63" s="326" t="str">
        <f t="shared" si="2"/>
        <v/>
      </c>
      <c r="BJ63" s="95"/>
      <c r="BK63" s="95" t="str">
        <f t="shared" si="3"/>
        <v/>
      </c>
    </row>
    <row r="64" spans="47:63" ht="14.45" customHeight="1">
      <c r="AU64" s="320">
        <v>9257258</v>
      </c>
      <c r="AV64" s="321" t="str">
        <f>VLOOKUP(AU64,CENY!$B$11:$G$1054,2,FALSE)</f>
        <v>AvanY-prích.čela Inlay s rozp.púzdrom/ v187</v>
      </c>
      <c r="AW64" s="22">
        <f>VLOOKUP(AU64,CENY!$B$11:$G$1054,3,FALSE)</f>
        <v>100</v>
      </c>
      <c r="AX64" s="22"/>
      <c r="AY64" s="68">
        <v>0</v>
      </c>
      <c r="AZ64" s="326">
        <f t="shared" si="1"/>
        <v>0</v>
      </c>
      <c r="BA64" s="95">
        <f>VLOOKUP(AU64,CENY!$B$11:$M$2025,12,FALSE)</f>
        <v>2.4704600000000001</v>
      </c>
      <c r="BB64" s="95">
        <f t="shared" si="0"/>
        <v>0</v>
      </c>
      <c r="BD64" s="319">
        <f>OBJ!B301</f>
        <v>9256950</v>
      </c>
      <c r="BE64" s="21" t="str">
        <f>VLOOKUP(BD64,CENY!$B$11:$G$1054,2,FALSE)</f>
        <v>Quadro You(S) 350/SiSy 10kg; EB21; ľavý</v>
      </c>
      <c r="BF64" s="22">
        <f>VLOOKUP(BD64,CENY!$B$11:$G$1054,3,FALSE)</f>
        <v>20</v>
      </c>
      <c r="BG64" s="22"/>
      <c r="BH64" s="23">
        <f>AY42</f>
        <v>0</v>
      </c>
      <c r="BI64" s="326">
        <f t="shared" si="2"/>
        <v>0</v>
      </c>
      <c r="BJ64" s="95">
        <f>VLOOKUP(BD64,CENY!$B$11:$M$2025,12,FALSE)</f>
        <v>11.02122</v>
      </c>
      <c r="BK64" s="95">
        <f t="shared" si="3"/>
        <v>0</v>
      </c>
    </row>
    <row r="65" spans="1:63" ht="14.45" customHeight="1">
      <c r="AU65" s="319"/>
      <c r="AV65" s="21"/>
      <c r="AW65" s="22"/>
      <c r="AX65" s="22"/>
      <c r="AY65" s="23"/>
      <c r="AZ65" s="326" t="str">
        <f t="shared" si="1"/>
        <v/>
      </c>
      <c r="BA65" s="95"/>
      <c r="BB65" s="95" t="str">
        <f t="shared" si="0"/>
        <v/>
      </c>
      <c r="BD65" s="319">
        <f>OBJ!B302</f>
        <v>9256951</v>
      </c>
      <c r="BE65" s="21" t="str">
        <f>VLOOKUP(BD65,CENY!$B$11:$G$1054,2,FALSE)</f>
        <v>Quadro You(S) 350/SiSy 10kg; EB21; pravý</v>
      </c>
      <c r="BF65" s="22">
        <f>VLOOKUP(BD65,CENY!$B$11:$G$1054,3,FALSE)</f>
        <v>20</v>
      </c>
      <c r="BG65" s="22"/>
      <c r="BH65" s="23">
        <f>AY42</f>
        <v>0</v>
      </c>
      <c r="BI65" s="326">
        <f t="shared" si="2"/>
        <v>0</v>
      </c>
      <c r="BJ65" s="95">
        <f>VLOOKUP(BD65,CENY!$B$11:$M$2025,12,FALSE)</f>
        <v>11.02122</v>
      </c>
      <c r="BK65" s="95">
        <f t="shared" si="3"/>
        <v>0</v>
      </c>
    </row>
    <row r="66" spans="1:63" ht="12.95" customHeight="1" thickBot="1">
      <c r="A66" s="579"/>
      <c r="AU66" s="319">
        <f>OBJ!B214</f>
        <v>0</v>
      </c>
      <c r="AV66" s="21" t="e">
        <f>VLOOKUP(AU66,CENY!$B$11:$G$1054,2,FALSE)</f>
        <v>#N/A</v>
      </c>
      <c r="AW66" s="22" t="e">
        <f>VLOOKUP(AU66,CENY!$B$11:$G$1054,3,FALSE)</f>
        <v>#N/A</v>
      </c>
      <c r="AX66" s="22"/>
      <c r="AY66" s="68">
        <f>IF(FORM!AM21&lt;&gt;FORM!AW16,(2*(+SUM(O19:T19)+SUM(O20:AD20)+SUM(W22:AF22)+SUM(O27:T27)+SUM(O28:AD28)+SUM(O30:AD30))),0)</f>
        <v>0</v>
      </c>
      <c r="AZ66" s="326">
        <f t="shared" si="1"/>
        <v>0</v>
      </c>
      <c r="BA66" s="324" t="str">
        <f>IF(AU66=0,"",VLOOKUP(AU66,CENY!$B$11:$M$2025,12,FALSE))</f>
        <v/>
      </c>
      <c r="BB66" s="95" t="str">
        <f t="shared" si="0"/>
        <v/>
      </c>
      <c r="BD66" s="319"/>
      <c r="BE66" s="21"/>
      <c r="BF66" s="22"/>
      <c r="BG66" s="22"/>
      <c r="BH66" s="23"/>
      <c r="BI66" s="326" t="str">
        <f t="shared" si="2"/>
        <v/>
      </c>
      <c r="BJ66" s="95"/>
      <c r="BK66" s="95" t="str">
        <f t="shared" si="3"/>
        <v/>
      </c>
    </row>
    <row r="67" spans="1:63" ht="23.1" customHeight="1" thickBot="1">
      <c r="A67" s="579"/>
      <c r="B67" s="486" t="str">
        <f>verze!E13</f>
        <v>&lt;&lt;  späť</v>
      </c>
      <c r="C67" s="487"/>
      <c r="D67" s="487"/>
      <c r="E67" s="488"/>
      <c r="G67" s="515" t="str">
        <f>verze!E6</f>
        <v xml:space="preserve"> Úvod</v>
      </c>
      <c r="H67" s="516"/>
      <c r="I67" s="516"/>
      <c r="J67" s="516"/>
      <c r="K67" s="517"/>
      <c r="O67" s="515" t="str">
        <f>verze!E7</f>
        <v xml:space="preserve"> Výber zásuviek</v>
      </c>
      <c r="P67" s="516"/>
      <c r="Q67" s="516"/>
      <c r="R67" s="516"/>
      <c r="S67" s="517"/>
      <c r="U67" s="515" t="str">
        <f>verze!E8</f>
        <v xml:space="preserve"> </v>
      </c>
      <c r="V67" s="516"/>
      <c r="W67" s="516"/>
      <c r="X67" s="516"/>
      <c r="Y67" s="517"/>
      <c r="AA67" s="515" t="str">
        <f>verze!E9</f>
        <v xml:space="preserve"> </v>
      </c>
      <c r="AB67" s="516"/>
      <c r="AC67" s="516"/>
      <c r="AD67" s="516"/>
      <c r="AE67" s="517"/>
      <c r="AI67" s="515" t="str">
        <f>verze!E10</f>
        <v xml:space="preserve"> Objednávka</v>
      </c>
      <c r="AJ67" s="516"/>
      <c r="AK67" s="516"/>
      <c r="AL67" s="516"/>
      <c r="AM67" s="517"/>
      <c r="AO67" s="477" t="str">
        <f>verze!E14</f>
        <v>vpred  &gt;&gt;</v>
      </c>
      <c r="AP67" s="478"/>
      <c r="AQ67" s="478"/>
      <c r="AR67" s="479"/>
      <c r="AU67" s="319"/>
      <c r="AV67" s="21"/>
      <c r="AW67" s="22"/>
      <c r="AX67" s="22"/>
      <c r="AY67" s="23"/>
      <c r="AZ67" s="326" t="str">
        <f t="shared" si="1"/>
        <v/>
      </c>
      <c r="BA67" s="95"/>
      <c r="BB67" s="95" t="str">
        <f t="shared" si="0"/>
        <v/>
      </c>
      <c r="BD67" s="319">
        <f>OBJ!B316</f>
        <v>9256860</v>
      </c>
      <c r="BE67" s="21" t="str">
        <f>VLOOKUP(BD67,CENY!$B$11:$G$1054,2,FALSE)</f>
        <v>Quadro You(M) 350/SiSy 25kg; EB21; ľavý</v>
      </c>
      <c r="BF67" s="22">
        <f>VLOOKUP(BD67,CENY!$B$11:$G$1054,3,FALSE)</f>
        <v>20</v>
      </c>
      <c r="BG67" s="22"/>
      <c r="BH67" s="23">
        <f>AY44</f>
        <v>0</v>
      </c>
      <c r="BI67" s="326">
        <f t="shared" si="2"/>
        <v>0</v>
      </c>
      <c r="BJ67" s="95">
        <f>VLOOKUP(BD67,CENY!$B$11:$M$2025,12,FALSE)</f>
        <v>11.02122</v>
      </c>
      <c r="BK67" s="95">
        <f t="shared" si="3"/>
        <v>0</v>
      </c>
    </row>
    <row r="68" spans="1:63" ht="12.95" customHeight="1">
      <c r="A68" s="579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OBJ!B317</f>
        <v>9256861</v>
      </c>
      <c r="BE68" s="21" t="str">
        <f>VLOOKUP(BD68,CENY!$B$11:$G$1054,2,FALSE)</f>
        <v>Quadro You(M) 350/SiSy 25kg; EB21; pravý</v>
      </c>
      <c r="BF68" s="22">
        <f>VLOOKUP(BD68,CENY!$B$11:$G$1054,3,FALSE)</f>
        <v>20</v>
      </c>
      <c r="BG68" s="22"/>
      <c r="BH68" s="23">
        <f>AY44</f>
        <v>0</v>
      </c>
      <c r="BI68" s="326">
        <f t="shared" si="2"/>
        <v>0</v>
      </c>
      <c r="BJ68" s="95">
        <f>VLOOKUP(BD68,CENY!$B$11:$M$2025,12,FALSE)</f>
        <v>11.02122</v>
      </c>
      <c r="BK68" s="95">
        <f t="shared" si="3"/>
        <v>0</v>
      </c>
    </row>
    <row r="69" spans="1:63" ht="23.1" customHeight="1">
      <c r="A69" s="579"/>
      <c r="B69" s="93" t="str">
        <f>B4</f>
        <v>Zásuvka AVANTECH YOU  187 Inlay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/>
      <c r="AV69" s="21"/>
      <c r="AW69" s="22"/>
      <c r="AX69" s="22"/>
      <c r="AY69" s="23"/>
      <c r="AZ69" s="326" t="str">
        <f t="shared" si="1"/>
        <v/>
      </c>
      <c r="BA69" s="95"/>
      <c r="BB69" s="95" t="str">
        <f t="shared" ref="BB69:BB112" si="4">IF(BA69="","",BA69*AY69)</f>
        <v/>
      </c>
      <c r="BD69" s="319">
        <f>OBJ!B318</f>
        <v>9256864</v>
      </c>
      <c r="BE69" s="21" t="str">
        <f>VLOOKUP(BD69,CENY!$B$11:$G$1054,2,FALSE)</f>
        <v>Quadro You(M) 400/SiSy 30kg; EB21; ľavý</v>
      </c>
      <c r="BF69" s="22">
        <f>VLOOKUP(BD69,CENY!$B$11:$G$1054,3,FALSE)</f>
        <v>20</v>
      </c>
      <c r="BG69" s="22"/>
      <c r="BH69" s="23">
        <f>AY45</f>
        <v>0</v>
      </c>
      <c r="BI69" s="326">
        <f t="shared" si="2"/>
        <v>0</v>
      </c>
      <c r="BJ69" s="95">
        <f>VLOOKUP(BD69,CENY!$B$11:$M$2025,12,FALSE)</f>
        <v>11.25459</v>
      </c>
      <c r="BK69" s="95">
        <f t="shared" si="3"/>
        <v>0</v>
      </c>
    </row>
    <row r="70" spans="1:63" ht="14.45" customHeight="1">
      <c r="A70" s="579"/>
      <c r="AU70" s="319"/>
      <c r="AV70" s="21"/>
      <c r="AW70" s="22"/>
      <c r="AX70" s="22"/>
      <c r="AY70" s="23"/>
      <c r="AZ70" s="326" t="str">
        <f t="shared" ref="AZ70:AZ115" si="5">IF(AY70="","",IF($AW$4=1,AY70,0))</f>
        <v/>
      </c>
      <c r="BA70" s="95"/>
      <c r="BB70" s="95" t="str">
        <f t="shared" si="4"/>
        <v/>
      </c>
      <c r="BD70" s="319">
        <f>OBJ!B319</f>
        <v>9256865</v>
      </c>
      <c r="BE70" s="21" t="str">
        <f>VLOOKUP(BD70,CENY!$B$11:$G$1054,2,FALSE)</f>
        <v>Quadro You(M) 400/SiSy 30kg; EB21; pravý</v>
      </c>
      <c r="BF70" s="22">
        <f>VLOOKUP(BD70,CENY!$B$11:$G$1054,3,FALSE)</f>
        <v>20</v>
      </c>
      <c r="BG70" s="22"/>
      <c r="BH70" s="23">
        <f>AY45</f>
        <v>0</v>
      </c>
      <c r="BI70" s="326">
        <f t="shared" ref="BI70:BI115" si="6">IF(BH70="","",IF($AW$4=0,BH70,0))</f>
        <v>0</v>
      </c>
      <c r="BJ70" s="95">
        <f>VLOOKUP(BD70,CENY!$B$11:$M$2025,12,FALSE)</f>
        <v>11.25459</v>
      </c>
      <c r="BK70" s="95">
        <f t="shared" ref="BK70:BK115" si="7">IF(BJ70="","",BJ70*BH70)</f>
        <v>0</v>
      </c>
    </row>
    <row r="71" spans="1:63" ht="14.45" customHeight="1">
      <c r="A71" s="579"/>
      <c r="AU71" s="319"/>
      <c r="AV71" s="21"/>
      <c r="AW71" s="22"/>
      <c r="AX71" s="22"/>
      <c r="AY71" s="23"/>
      <c r="AZ71" s="326" t="str">
        <f t="shared" si="5"/>
        <v/>
      </c>
      <c r="BA71" s="95"/>
      <c r="BB71" s="95" t="str">
        <f t="shared" si="4"/>
        <v/>
      </c>
      <c r="BD71" s="319">
        <f>OBJ!B320</f>
        <v>9256868</v>
      </c>
      <c r="BE71" s="21" t="str">
        <f>VLOOKUP(BD71,CENY!$B$11:$G$1054,2,FALSE)</f>
        <v>Quadro You(M) 450/SiSy 30kg; EB21; ľavý</v>
      </c>
      <c r="BF71" s="22">
        <f>VLOOKUP(BD71,CENY!$B$11:$G$1054,3,FALSE)</f>
        <v>20</v>
      </c>
      <c r="BG71" s="22"/>
      <c r="BH71" s="23">
        <f>AY46</f>
        <v>0</v>
      </c>
      <c r="BI71" s="326">
        <f t="shared" si="6"/>
        <v>0</v>
      </c>
      <c r="BJ71" s="95">
        <f>VLOOKUP(BD71,CENY!$B$11:$M$2025,12,FALSE)</f>
        <v>11.487740000000001</v>
      </c>
      <c r="BK71" s="95">
        <f t="shared" si="7"/>
        <v>0</v>
      </c>
    </row>
    <row r="72" spans="1:63" ht="14.45" customHeight="1">
      <c r="A72" s="579"/>
      <c r="AU72" s="319"/>
      <c r="AV72" s="21"/>
      <c r="AW72" s="22"/>
      <c r="AX72" s="22"/>
      <c r="AY72" s="23"/>
      <c r="AZ72" s="326" t="str">
        <f t="shared" si="5"/>
        <v/>
      </c>
      <c r="BA72" s="95"/>
      <c r="BB72" s="95" t="str">
        <f t="shared" si="4"/>
        <v/>
      </c>
      <c r="BD72" s="319">
        <f>OBJ!B321</f>
        <v>9256869</v>
      </c>
      <c r="BE72" s="21" t="str">
        <f>VLOOKUP(BD72,CENY!$B$11:$G$1054,2,FALSE)</f>
        <v>Quadro You(M) 450/SiSy 30kg; EB21; pravý</v>
      </c>
      <c r="BF72" s="22">
        <f>VLOOKUP(BD72,CENY!$B$11:$G$1054,3,FALSE)</f>
        <v>20</v>
      </c>
      <c r="BG72" s="22"/>
      <c r="BH72" s="23">
        <f>AY46</f>
        <v>0</v>
      </c>
      <c r="BI72" s="326">
        <f t="shared" si="6"/>
        <v>0</v>
      </c>
      <c r="BJ72" s="95">
        <f>VLOOKUP(BD72,CENY!$B$11:$M$2025,12,FALSE)</f>
        <v>11.487740000000001</v>
      </c>
      <c r="BK72" s="95">
        <f t="shared" si="7"/>
        <v>0</v>
      </c>
    </row>
    <row r="73" spans="1:63" ht="14.45" customHeight="1">
      <c r="A73" s="579"/>
      <c r="AU73" s="319"/>
      <c r="AV73" s="21"/>
      <c r="AW73" s="22"/>
      <c r="AX73" s="22"/>
      <c r="AY73" s="23"/>
      <c r="AZ73" s="326" t="str">
        <f t="shared" si="5"/>
        <v/>
      </c>
      <c r="BA73" s="95"/>
      <c r="BB73" s="95" t="str">
        <f t="shared" si="4"/>
        <v/>
      </c>
      <c r="BD73" s="319">
        <f>OBJ!B322</f>
        <v>9256872</v>
      </c>
      <c r="BE73" s="21" t="str">
        <f>VLOOKUP(BD73,CENY!$B$11:$G$1054,2,FALSE)</f>
        <v>Quadro You(M) 500/SiSy 30kg; EB21; ľavý</v>
      </c>
      <c r="BF73" s="22">
        <f>VLOOKUP(BD73,CENY!$B$11:$G$1054,3,FALSE)</f>
        <v>20</v>
      </c>
      <c r="BG73" s="22"/>
      <c r="BH73" s="23">
        <f>AY47</f>
        <v>0</v>
      </c>
      <c r="BI73" s="326">
        <f t="shared" si="6"/>
        <v>0</v>
      </c>
      <c r="BJ73" s="95">
        <f>VLOOKUP(BD73,CENY!$B$11:$M$2025,12,FALSE)</f>
        <v>11.163180000000001</v>
      </c>
      <c r="BK73" s="95">
        <f t="shared" si="7"/>
        <v>0</v>
      </c>
    </row>
    <row r="74" spans="1:63" ht="14.45" customHeight="1">
      <c r="A74" s="579"/>
      <c r="AU74" s="319"/>
      <c r="AV74" s="21"/>
      <c r="AW74" s="22"/>
      <c r="AX74" s="22"/>
      <c r="AY74" s="23"/>
      <c r="AZ74" s="326" t="str">
        <f t="shared" si="5"/>
        <v/>
      </c>
      <c r="BA74" s="95"/>
      <c r="BB74" s="95" t="str">
        <f t="shared" si="4"/>
        <v/>
      </c>
      <c r="BD74" s="319">
        <f>OBJ!B323</f>
        <v>9256873</v>
      </c>
      <c r="BE74" s="21" t="str">
        <f>VLOOKUP(BD74,CENY!$B$11:$G$1054,2,FALSE)</f>
        <v>Quadro You(M) 500/SiSy 30kg; EB21; pravý</v>
      </c>
      <c r="BF74" s="22">
        <f>VLOOKUP(BD74,CENY!$B$11:$G$1054,3,FALSE)</f>
        <v>20</v>
      </c>
      <c r="BG74" s="22"/>
      <c r="BH74" s="23">
        <f>AY47</f>
        <v>0</v>
      </c>
      <c r="BI74" s="326">
        <f t="shared" si="6"/>
        <v>0</v>
      </c>
      <c r="BJ74" s="95">
        <f>VLOOKUP(BD74,CENY!$B$11:$M$2025,12,FALSE)</f>
        <v>11.163180000000001</v>
      </c>
      <c r="BK74" s="95">
        <f t="shared" si="7"/>
        <v>0</v>
      </c>
    </row>
    <row r="75" spans="1:63" ht="14.45" customHeight="1">
      <c r="A75" s="579"/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OBJ!B324</f>
        <v>9256876</v>
      </c>
      <c r="BE75" s="21" t="str">
        <f>VLOOKUP(BD75,CENY!$B$11:$G$1054,2,FALSE)</f>
        <v>Quadro You(M) 550/SiSy 30kg; EB21; ľavý</v>
      </c>
      <c r="BF75" s="22">
        <f>VLOOKUP(BD75,CENY!$B$11:$G$1054,3,FALSE)</f>
        <v>20</v>
      </c>
      <c r="BG75" s="22"/>
      <c r="BH75" s="23">
        <f>AY48</f>
        <v>0</v>
      </c>
      <c r="BI75" s="326">
        <f t="shared" si="6"/>
        <v>0</v>
      </c>
      <c r="BJ75" s="95">
        <f>VLOOKUP(BD75,CENY!$B$11:$M$2025,12,FALSE)</f>
        <v>11.38542</v>
      </c>
      <c r="BK75" s="95">
        <f t="shared" si="7"/>
        <v>0</v>
      </c>
    </row>
    <row r="76" spans="1:63" ht="14.45" customHeight="1">
      <c r="A76" s="579"/>
      <c r="AU76" s="319"/>
      <c r="AV76" s="21"/>
      <c r="AW76" s="22"/>
      <c r="AX76" s="22"/>
      <c r="AY76" s="23"/>
      <c r="AZ76" s="326" t="str">
        <f t="shared" si="5"/>
        <v/>
      </c>
      <c r="BA76" s="95"/>
      <c r="BB76" s="95" t="str">
        <f t="shared" si="4"/>
        <v/>
      </c>
      <c r="BD76" s="319">
        <f>OBJ!B325</f>
        <v>9256877</v>
      </c>
      <c r="BE76" s="21" t="str">
        <f>VLOOKUP(BD76,CENY!$B$11:$G$1054,2,FALSE)</f>
        <v>Quadro You(M) 550/SiSy 30kg; EB21; pravý</v>
      </c>
      <c r="BF76" s="22">
        <f>VLOOKUP(BD76,CENY!$B$11:$G$1054,3,FALSE)</f>
        <v>20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11.954689999999999</v>
      </c>
      <c r="BK76" s="95">
        <f t="shared" si="7"/>
        <v>0</v>
      </c>
    </row>
    <row r="77" spans="1:63" ht="14.45" customHeight="1">
      <c r="A77" s="579"/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>
        <f>OBJ!B326</f>
        <v>9256880</v>
      </c>
      <c r="BE77" s="21" t="str">
        <f>VLOOKUP(BD77,CENY!$B$11:$G$1054,2,FALSE)</f>
        <v>Quadro You(M) 600/SiSy 25kg; EB21; ľavý</v>
      </c>
      <c r="BF77" s="22">
        <f>VLOOKUP(BD77,CENY!$B$11:$G$1054,3,FALSE)</f>
        <v>20</v>
      </c>
      <c r="BG77" s="22"/>
      <c r="BH77" s="23">
        <f>AY49</f>
        <v>0</v>
      </c>
      <c r="BI77" s="326">
        <f t="shared" si="6"/>
        <v>0</v>
      </c>
      <c r="BJ77" s="95">
        <f>VLOOKUP(BD77,CENY!$B$11:$M$2025,12,FALSE)</f>
        <v>12.187939999999999</v>
      </c>
      <c r="BK77" s="95">
        <f t="shared" si="7"/>
        <v>0</v>
      </c>
    </row>
    <row r="78" spans="1:63" ht="14.45" customHeight="1">
      <c r="A78" s="579"/>
      <c r="AU78" s="319"/>
      <c r="AV78" s="21"/>
      <c r="AW78" s="22"/>
      <c r="AX78" s="22"/>
      <c r="AY78" s="23"/>
      <c r="AZ78" s="326" t="str">
        <f t="shared" si="5"/>
        <v/>
      </c>
      <c r="BA78" s="95"/>
      <c r="BB78" s="95" t="str">
        <f t="shared" si="4"/>
        <v/>
      </c>
      <c r="BD78" s="319">
        <f>OBJ!B327</f>
        <v>9256881</v>
      </c>
      <c r="BE78" s="21" t="str">
        <f>VLOOKUP(BD78,CENY!$B$11:$G$1054,2,FALSE)</f>
        <v>Quadro You(M) 600/SiSy 25kg; EB21; pravý</v>
      </c>
      <c r="BF78" s="22">
        <f>VLOOKUP(BD78,CENY!$B$11:$G$1054,3,FALSE)</f>
        <v>20</v>
      </c>
      <c r="BG78" s="22"/>
      <c r="BH78" s="23">
        <f>AY49</f>
        <v>0</v>
      </c>
      <c r="BI78" s="326">
        <f t="shared" si="6"/>
        <v>0</v>
      </c>
      <c r="BJ78" s="95">
        <f>VLOOKUP(BD78,CENY!$B$11:$M$2025,12,FALSE)</f>
        <v>12.187939999999999</v>
      </c>
      <c r="BK78" s="95">
        <f t="shared" si="7"/>
        <v>0</v>
      </c>
    </row>
    <row r="79" spans="1:63" ht="14.45" customHeight="1">
      <c r="A79" s="579"/>
      <c r="O79" s="578">
        <f>CEILING(O84/FLOOR(2000/O85,1),1)</f>
        <v>0</v>
      </c>
      <c r="P79" s="578"/>
      <c r="Q79" s="578">
        <f>CEILING(Q84/FLOOR(2000/Q85,1),1)</f>
        <v>0</v>
      </c>
      <c r="R79" s="578"/>
      <c r="S79" s="578">
        <f>CEILING(S84/FLOOR(2000/S85,1),1)</f>
        <v>0</v>
      </c>
      <c r="T79" s="578"/>
      <c r="U79" s="578">
        <f>CEILING(U84/FLOOR(2000/U85,1),1)</f>
        <v>0</v>
      </c>
      <c r="V79" s="578"/>
      <c r="W79" s="578"/>
      <c r="X79" s="578"/>
      <c r="Y79" s="578"/>
      <c r="Z79" s="578"/>
      <c r="AA79" s="578"/>
      <c r="AB79" s="578"/>
      <c r="AC79" s="578">
        <f>CEILING(AC84/FLOOR(2000/AC85,1),1)</f>
        <v>0</v>
      </c>
      <c r="AD79" s="578"/>
      <c r="AE79" s="578">
        <f>CEILING(AE84/FLOOR(2000/AE85,1),1)</f>
        <v>0</v>
      </c>
      <c r="AF79" s="578"/>
      <c r="AG79" s="578">
        <f>CEILING(AG84/FLOOR(2000/AG85,1),1)</f>
        <v>0</v>
      </c>
      <c r="AH79" s="578"/>
      <c r="AI79" s="578">
        <f>CEILING(AI84/FLOOR(2000/AI85,1),1)</f>
        <v>0</v>
      </c>
      <c r="AJ79" s="578"/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/>
      <c r="BE79" s="21"/>
      <c r="BF79" s="22"/>
      <c r="BG79" s="22"/>
      <c r="BH79" s="23"/>
      <c r="BI79" s="326" t="str">
        <f t="shared" si="6"/>
        <v/>
      </c>
      <c r="BJ79" s="95"/>
      <c r="BK79" s="95" t="str">
        <f t="shared" si="7"/>
        <v/>
      </c>
    </row>
    <row r="80" spans="1:63" ht="14.45" customHeight="1">
      <c r="A80" s="579"/>
      <c r="O80" s="578">
        <f t="shared" ref="O80:AI80" si="8">CEILING(O84/FLOOR(2000/O85,1),1)</f>
        <v>0</v>
      </c>
      <c r="P80" s="578"/>
      <c r="Q80" s="578">
        <f t="shared" si="8"/>
        <v>0</v>
      </c>
      <c r="R80" s="578"/>
      <c r="S80" s="578">
        <f t="shared" si="8"/>
        <v>0</v>
      </c>
      <c r="T80" s="578"/>
      <c r="U80" s="578">
        <f t="shared" si="8"/>
        <v>0</v>
      </c>
      <c r="V80" s="578"/>
      <c r="W80" s="578">
        <f t="shared" si="8"/>
        <v>0</v>
      </c>
      <c r="X80" s="578"/>
      <c r="Y80" s="578">
        <f t="shared" si="8"/>
        <v>0</v>
      </c>
      <c r="Z80" s="578"/>
      <c r="AA80" s="578">
        <f t="shared" si="8"/>
        <v>0</v>
      </c>
      <c r="AB80" s="578"/>
      <c r="AC80" s="578">
        <f t="shared" si="8"/>
        <v>0</v>
      </c>
      <c r="AD80" s="578"/>
      <c r="AE80" s="578">
        <f t="shared" si="8"/>
        <v>0</v>
      </c>
      <c r="AF80" s="578"/>
      <c r="AG80" s="578">
        <f t="shared" si="8"/>
        <v>0</v>
      </c>
      <c r="AH80" s="578"/>
      <c r="AI80" s="578">
        <f t="shared" si="8"/>
        <v>0</v>
      </c>
      <c r="AJ80" s="578"/>
      <c r="AU80" s="319"/>
      <c r="AV80" s="21"/>
      <c r="AW80" s="22"/>
      <c r="AX80" s="22"/>
      <c r="AY80" s="23"/>
      <c r="AZ80" s="326" t="str">
        <f t="shared" si="5"/>
        <v/>
      </c>
      <c r="BA80" s="95"/>
      <c r="BB80" s="95" t="str">
        <f t="shared" si="4"/>
        <v/>
      </c>
      <c r="BD80" s="319">
        <f>OBJ!B329</f>
        <v>9257894</v>
      </c>
      <c r="BE80" s="21" t="str">
        <f>VLOOKUP(BD80,CENY!$B$11:$G$1054,2,FALSE)</f>
        <v>Quadro You - Push to open Silent; &lt;10kg</v>
      </c>
      <c r="BF80" s="22">
        <f>VLOOKUP(BD80,CENY!$B$11:$G$1054,3,FALSE)</f>
        <v>1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23.114239999999999</v>
      </c>
      <c r="BK80" s="95">
        <f t="shared" si="7"/>
        <v>0</v>
      </c>
    </row>
    <row r="81" spans="1:63" ht="14.45" customHeight="1">
      <c r="A81" s="579"/>
      <c r="O81" s="577">
        <f>O85*O84</f>
        <v>0</v>
      </c>
      <c r="P81" s="577"/>
      <c r="Q81" s="577">
        <f>Q85*Q84</f>
        <v>0</v>
      </c>
      <c r="R81" s="577"/>
      <c r="S81" s="577">
        <f>S85*S84</f>
        <v>0</v>
      </c>
      <c r="T81" s="577"/>
      <c r="U81" s="577">
        <f>U85*U84</f>
        <v>0</v>
      </c>
      <c r="V81" s="577"/>
      <c r="W81" s="577">
        <f>W85*W84</f>
        <v>0</v>
      </c>
      <c r="X81" s="577"/>
      <c r="Y81" s="577">
        <f>Y85*Y84</f>
        <v>0</v>
      </c>
      <c r="Z81" s="577"/>
      <c r="AA81" s="577">
        <f>AA85*AA84</f>
        <v>0</v>
      </c>
      <c r="AB81" s="577"/>
      <c r="AC81" s="577">
        <f>AC85*AC84</f>
        <v>0</v>
      </c>
      <c r="AD81" s="577"/>
      <c r="AE81" s="577">
        <f>AE85*AE84</f>
        <v>0</v>
      </c>
      <c r="AF81" s="577"/>
      <c r="AG81" s="577">
        <f>AG85*AG84</f>
        <v>0</v>
      </c>
      <c r="AH81" s="577"/>
      <c r="AI81" s="577">
        <f>AI85*AI84</f>
        <v>0</v>
      </c>
      <c r="AJ81" s="577"/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OBJ!B330</f>
        <v>9257895</v>
      </c>
      <c r="BE81" s="21" t="str">
        <f>VLOOKUP(BD81,CENY!$B$11:$G$1054,2,FALSE)</f>
        <v>Quadro You - Push to open Silent; 8-20kg</v>
      </c>
      <c r="BF81" s="22">
        <f>VLOOKUP(BD81,CENY!$B$11:$G$1054,3,FALSE)</f>
        <v>1</v>
      </c>
      <c r="BG81" s="22"/>
      <c r="BH81" s="23">
        <f>AY52</f>
        <v>0</v>
      </c>
      <c r="BI81" s="326">
        <f t="shared" si="6"/>
        <v>0</v>
      </c>
      <c r="BJ81" s="95">
        <f>VLOOKUP(BD81,CENY!$B$11:$M$2025,12,FALSE)</f>
        <v>23.114239999999999</v>
      </c>
      <c r="BK81" s="95">
        <f t="shared" si="7"/>
        <v>0</v>
      </c>
    </row>
    <row r="82" spans="1:63" ht="14.45" customHeight="1" thickBot="1">
      <c r="A82" s="579"/>
      <c r="B82" s="1" t="str">
        <f>verze!E162</f>
        <v>Čelo na vnútornú zásuvku</v>
      </c>
      <c r="O82" s="583" t="str">
        <f>verze!E163</f>
        <v>vonkajšie rozmery zásuvkovej skrinky [mm]</v>
      </c>
      <c r="P82" s="584"/>
      <c r="Q82" s="584"/>
      <c r="R82" s="584"/>
      <c r="S82" s="584"/>
      <c r="T82" s="584"/>
      <c r="U82" s="584"/>
      <c r="V82" s="584"/>
      <c r="W82" s="584"/>
      <c r="X82" s="584"/>
      <c r="Y82" s="584"/>
      <c r="Z82" s="584"/>
      <c r="AA82" s="584"/>
      <c r="AB82" s="584"/>
      <c r="AC82" s="584"/>
      <c r="AD82" s="584"/>
      <c r="AE82" s="584"/>
      <c r="AF82" s="584"/>
      <c r="AG82" s="584"/>
      <c r="AH82" s="584"/>
      <c r="AI82" s="584"/>
      <c r="AJ82" s="584"/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OBJ!B331</f>
        <v>9257896</v>
      </c>
      <c r="BE82" s="21" t="str">
        <f>VLOOKUP(BD82,CENY!$B$11:$G$1054,2,FALSE)</f>
        <v>Quadro You - Push to open Silent; 10-30kg</v>
      </c>
      <c r="BF82" s="22">
        <f>VLOOKUP(BD82,CENY!$B$11:$G$1054,3,FALSE)</f>
        <v>1</v>
      </c>
      <c r="BG82" s="22"/>
      <c r="BH82" s="23">
        <f>AY53</f>
        <v>0</v>
      </c>
      <c r="BI82" s="326">
        <f t="shared" si="6"/>
        <v>0</v>
      </c>
      <c r="BJ82" s="95">
        <f>VLOOKUP(BD82,CENY!$B$11:$M$2025,12,FALSE)</f>
        <v>23.114239999999999</v>
      </c>
      <c r="BK82" s="95">
        <f t="shared" si="7"/>
        <v>0</v>
      </c>
    </row>
    <row r="83" spans="1:63" ht="14.45" customHeight="1" thickBot="1">
      <c r="A83" s="579"/>
      <c r="B83" s="96"/>
      <c r="C83" s="96"/>
      <c r="D83" s="96"/>
      <c r="E83" s="96"/>
      <c r="F83" s="96"/>
      <c r="G83" s="96"/>
      <c r="H83" s="72"/>
      <c r="I83" s="72"/>
      <c r="J83" s="72"/>
      <c r="K83" s="72"/>
      <c r="L83" s="72"/>
      <c r="M83" s="72"/>
      <c r="N83" s="72" t="str">
        <f>verze!E166&amp;" "</f>
        <v xml:space="preserve">Šírka korpusu: </v>
      </c>
      <c r="O83" s="537">
        <v>300</v>
      </c>
      <c r="P83" s="538"/>
      <c r="Q83" s="537">
        <v>400</v>
      </c>
      <c r="R83" s="538"/>
      <c r="S83" s="537">
        <v>450</v>
      </c>
      <c r="T83" s="538"/>
      <c r="U83" s="537">
        <v>500</v>
      </c>
      <c r="V83" s="538"/>
      <c r="W83" s="537">
        <v>550</v>
      </c>
      <c r="X83" s="538"/>
      <c r="Y83" s="537">
        <v>600</v>
      </c>
      <c r="Z83" s="538"/>
      <c r="AA83" s="537">
        <v>700</v>
      </c>
      <c r="AB83" s="538"/>
      <c r="AC83" s="537">
        <v>800</v>
      </c>
      <c r="AD83" s="538"/>
      <c r="AE83" s="537">
        <v>900</v>
      </c>
      <c r="AF83" s="586"/>
      <c r="AG83" s="537">
        <v>1000</v>
      </c>
      <c r="AH83" s="586"/>
      <c r="AI83" s="537">
        <v>1200</v>
      </c>
      <c r="AJ83" s="538"/>
      <c r="AU83" s="319">
        <f>OBJ!B196</f>
        <v>9257271</v>
      </c>
      <c r="AV83" s="21" t="str">
        <f>VLOOKUP(AU83,CENY!$B$11:$G$1054,2,FALSE)</f>
        <v>AvanY-čelo vnút.zásuvky /v187/d2000/strieb.</v>
      </c>
      <c r="AW83" s="22">
        <f>VLOOKUP(AU83,CENY!$B$11:$G$1054,3,FALSE)</f>
        <v>1</v>
      </c>
      <c r="AX83" s="22"/>
      <c r="AY83" s="23">
        <f>IF(AU87=0,0,IF(AU93&lt;2000,1,SUM(O80:AJ80)))</f>
        <v>0</v>
      </c>
      <c r="AZ83" s="326">
        <f>IF(AY83="","",IF($AW$4=1,AY83,0))</f>
        <v>0</v>
      </c>
      <c r="BA83" s="95">
        <f>VLOOKUP(AU83,CENY!$B$11:$M$2025,12,FALSE)</f>
        <v>106.6825</v>
      </c>
      <c r="BB83" s="95">
        <f t="shared" si="4"/>
        <v>0</v>
      </c>
      <c r="BD83" s="319"/>
      <c r="BE83" s="21"/>
      <c r="BF83" s="22"/>
      <c r="BG83" s="22"/>
      <c r="BH83" s="23"/>
      <c r="BI83" s="326" t="str">
        <f t="shared" si="6"/>
        <v/>
      </c>
      <c r="BJ83" s="95"/>
      <c r="BK83" s="95" t="str">
        <f t="shared" si="7"/>
        <v/>
      </c>
    </row>
    <row r="84" spans="1:63" ht="14.45" customHeight="1" thickBot="1">
      <c r="A84" s="579"/>
      <c r="B84" s="158" t="str">
        <f>" "&amp;verze!E167</f>
        <v xml:space="preserve"> ALU čelo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525"/>
      <c r="N84" s="548"/>
      <c r="O84" s="580"/>
      <c r="P84" s="581"/>
      <c r="Q84" s="580"/>
      <c r="R84" s="581"/>
      <c r="S84" s="580"/>
      <c r="T84" s="581"/>
      <c r="U84" s="580"/>
      <c r="V84" s="581"/>
      <c r="W84" s="580"/>
      <c r="X84" s="581"/>
      <c r="Y84" s="580"/>
      <c r="Z84" s="581"/>
      <c r="AA84" s="580"/>
      <c r="AB84" s="581"/>
      <c r="AC84" s="580"/>
      <c r="AD84" s="581"/>
      <c r="AE84" s="580"/>
      <c r="AF84" s="581"/>
      <c r="AG84" s="580"/>
      <c r="AH84" s="581"/>
      <c r="AI84" s="580"/>
      <c r="AJ84" s="585"/>
      <c r="AU84" s="319">
        <f>OBJ!B201</f>
        <v>9257623</v>
      </c>
      <c r="AV84" s="21" t="str">
        <f>VLOOKUP(AU84,CENY!$B$11:$G$1054,2,FALSE)</f>
        <v>AvanY-spojky čela vnút.Inlay/v187/strieb.</v>
      </c>
      <c r="AW84" s="22">
        <f>VLOOKUP(AU84,CENY!$B$11:$G$1054,3,FALSE)</f>
        <v>1</v>
      </c>
      <c r="AX84" s="22"/>
      <c r="AY84" s="23">
        <f>1*(+SUM(O19:T19)+SUM(O20:AD20)+SUM(W22:AF22)+SUM(O27:T27)+SUM(O28:AD28)+SUM(O30:AD30))</f>
        <v>0</v>
      </c>
      <c r="AZ84" s="326">
        <f>IF(AY84="","",IF($AW$4=1,AY84,0))</f>
        <v>0</v>
      </c>
      <c r="BA84" s="95">
        <f>VLOOKUP(AU84,CENY!$B$11:$M$2025,12,FALSE)</f>
        <v>7.2178100000000001</v>
      </c>
      <c r="BB84" s="95">
        <f t="shared" si="4"/>
        <v>0</v>
      </c>
      <c r="BD84" s="319">
        <f>OBJ!B345</f>
        <v>9256905</v>
      </c>
      <c r="BE84" s="21" t="str">
        <f>VLOOKUP(BD84,CENY!$B$11:$G$1054,2,FALSE)</f>
        <v>Quadro You(M) 350/P2O 25kg; EB21; ľavý</v>
      </c>
      <c r="BF84" s="22">
        <f>VLOOKUP(BD84,CENY!$B$11:$G$1054,3,FALSE)</f>
        <v>20</v>
      </c>
      <c r="BG84" s="22"/>
      <c r="BH84" s="23">
        <f>AY55</f>
        <v>0</v>
      </c>
      <c r="BI84" s="326">
        <f t="shared" si="6"/>
        <v>0</v>
      </c>
      <c r="BJ84" s="95">
        <f>VLOOKUP(BD84,CENY!$B$11:$M$2025,12,FALSE)</f>
        <v>12.42154</v>
      </c>
      <c r="BK84" s="95">
        <f t="shared" si="7"/>
        <v>0</v>
      </c>
    </row>
    <row r="85" spans="1:63" ht="14.45" customHeight="1">
      <c r="A85" s="579"/>
      <c r="O85" s="582">
        <f>O83-2*FORM!$AM$24-12</f>
        <v>252</v>
      </c>
      <c r="P85" s="582"/>
      <c r="Q85" s="582">
        <f>Q83-2*FORM!$AM$24-12</f>
        <v>352</v>
      </c>
      <c r="R85" s="582"/>
      <c r="S85" s="582">
        <f>S83-2*FORM!$AM$24-12</f>
        <v>402</v>
      </c>
      <c r="T85" s="582"/>
      <c r="U85" s="582">
        <f>U83-2*FORM!$AM$24-12</f>
        <v>452</v>
      </c>
      <c r="V85" s="582"/>
      <c r="W85" s="582">
        <f>W83-2*FORM!$AM$24-12</f>
        <v>502</v>
      </c>
      <c r="X85" s="582"/>
      <c r="Y85" s="582">
        <f>Y83-2*FORM!$AM$24-12</f>
        <v>552</v>
      </c>
      <c r="Z85" s="582"/>
      <c r="AA85" s="582">
        <f>AA83-2*FORM!$AM$24-12</f>
        <v>652</v>
      </c>
      <c r="AB85" s="582"/>
      <c r="AC85" s="582">
        <f>AC83-2*FORM!$AM$24-12</f>
        <v>752</v>
      </c>
      <c r="AD85" s="582"/>
      <c r="AE85" s="582">
        <f>AE83-2*FORM!$AM$24-12</f>
        <v>852</v>
      </c>
      <c r="AF85" s="582"/>
      <c r="AG85" s="582">
        <f>AG83-2*FORM!$AM$24-12</f>
        <v>952</v>
      </c>
      <c r="AH85" s="582"/>
      <c r="AI85" s="582">
        <f>AI83-2*FORM!$AM$24-12</f>
        <v>1152</v>
      </c>
      <c r="AJ85" s="582"/>
      <c r="AU85" s="319"/>
      <c r="AV85" s="21"/>
      <c r="AW85" s="22"/>
      <c r="AX85" s="22"/>
      <c r="AY85" s="23"/>
      <c r="AZ85" s="326" t="str">
        <f t="shared" ref="AZ85:AZ95" si="9">IF(AY85="","",IF($AW$4=1,AY85,0))</f>
        <v/>
      </c>
      <c r="BA85" s="95"/>
      <c r="BB85" s="95" t="str">
        <f t="shared" si="4"/>
        <v/>
      </c>
      <c r="BD85" s="319">
        <f>OBJ!B346</f>
        <v>9256906</v>
      </c>
      <c r="BE85" s="21" t="str">
        <f>VLOOKUP(BD85,CENY!$B$11:$G$1054,2,FALSE)</f>
        <v>Quadro You(M) 350/P2O 25kg; EB21; pravý</v>
      </c>
      <c r="BF85" s="22">
        <f>VLOOKUP(BD85,CENY!$B$11:$G$1054,3,FALSE)</f>
        <v>20</v>
      </c>
      <c r="BG85" s="22"/>
      <c r="BH85" s="23">
        <f>AY55</f>
        <v>0</v>
      </c>
      <c r="BI85" s="326">
        <f t="shared" si="6"/>
        <v>0</v>
      </c>
      <c r="BJ85" s="95">
        <f>VLOOKUP(BD85,CENY!$B$11:$M$2025,12,FALSE)</f>
        <v>12.42154</v>
      </c>
      <c r="BK85" s="95">
        <f t="shared" si="7"/>
        <v>0</v>
      </c>
    </row>
    <row r="86" spans="1:63" ht="14.45" customHeight="1">
      <c r="A86" s="579"/>
      <c r="AR86" s="157" t="str">
        <f>IF(AU89=0,verze!E169&amp;" "&amp;AU87&amp;" "&amp;verze!E170,"")</f>
        <v>Je potrebné vybrať 0 ks vnútorných čiel.</v>
      </c>
      <c r="AU86" s="319"/>
      <c r="AV86" s="21"/>
      <c r="AW86" s="22"/>
      <c r="AX86" s="22"/>
      <c r="AY86" s="23"/>
      <c r="AZ86" s="326" t="str">
        <f t="shared" si="9"/>
        <v/>
      </c>
      <c r="BA86" s="95"/>
      <c r="BB86" s="95" t="str">
        <f t="shared" si="4"/>
        <v/>
      </c>
      <c r="BD86" s="319">
        <f>OBJ!B347</f>
        <v>9256909</v>
      </c>
      <c r="BE86" s="21" t="str">
        <f>VLOOKUP(BD86,CENY!$B$11:$G$1054,2,FALSE)</f>
        <v>Quadro You(M) 400/P2O 30kg; EB21; ľavý</v>
      </c>
      <c r="BF86" s="22">
        <f>VLOOKUP(BD86,CENY!$B$11:$G$1054,3,FALSE)</f>
        <v>20</v>
      </c>
      <c r="BG86" s="22"/>
      <c r="BH86" s="23">
        <f>AY56</f>
        <v>0</v>
      </c>
      <c r="BI86" s="326">
        <f t="shared" si="6"/>
        <v>0</v>
      </c>
      <c r="BJ86" s="95">
        <f>VLOOKUP(BD86,CENY!$B$11:$M$2025,12,FALSE)</f>
        <v>12.654769999999999</v>
      </c>
      <c r="BK86" s="95">
        <f t="shared" si="7"/>
        <v>0</v>
      </c>
    </row>
    <row r="87" spans="1:63" ht="14.45" customHeight="1">
      <c r="A87" s="579"/>
      <c r="V87" s="339"/>
      <c r="W87" s="339"/>
      <c r="X87" s="339"/>
      <c r="Y87" s="339"/>
      <c r="Z87" s="339"/>
      <c r="AA87" s="339"/>
      <c r="AB87" s="339"/>
      <c r="AC87" s="339"/>
      <c r="AR87" s="332" t="str">
        <f>IF(AU89=0,"",IF(AU87=AU89,verze!E174,IF(AU90&gt;0,verze!E171&amp;" "&amp;AU90&amp;" "&amp;verze!E170,verze!E172&amp;" "&amp;AU91&amp;" "&amp;verze!E173)))</f>
        <v/>
      </c>
      <c r="AU87" s="330">
        <f>1*(+SUM(O19:T19)+SUM(O20:AD20)+SUM(W22:AF22)+SUM(O27:T27)+SUM(O28:AD28)+SUM(O30:AD30))</f>
        <v>0</v>
      </c>
      <c r="AV87" s="329" t="s">
        <v>356</v>
      </c>
      <c r="AW87" s="22"/>
      <c r="AX87" s="22"/>
      <c r="AY87" s="23"/>
      <c r="AZ87" s="326" t="str">
        <f t="shared" si="9"/>
        <v/>
      </c>
      <c r="BA87" s="95"/>
      <c r="BB87" s="95" t="str">
        <f t="shared" si="4"/>
        <v/>
      </c>
      <c r="BD87" s="319">
        <f>OBJ!B348</f>
        <v>9256910</v>
      </c>
      <c r="BE87" s="21" t="str">
        <f>VLOOKUP(BD87,CENY!$B$11:$G$1054,2,FALSE)</f>
        <v>Quadro You(M) 400/P2O 30kg; EB21; pravý</v>
      </c>
      <c r="BF87" s="22">
        <f>VLOOKUP(BD87,CENY!$B$11:$G$1054,3,FALSE)</f>
        <v>20</v>
      </c>
      <c r="BG87" s="22"/>
      <c r="BH87" s="23">
        <f>AY56</f>
        <v>0</v>
      </c>
      <c r="BI87" s="326">
        <f t="shared" si="6"/>
        <v>0</v>
      </c>
      <c r="BJ87" s="95">
        <f>VLOOKUP(BD87,CENY!$B$11:$M$2025,12,FALSE)</f>
        <v>12.654769999999999</v>
      </c>
      <c r="BK87" s="95">
        <f t="shared" si="7"/>
        <v>0</v>
      </c>
    </row>
    <row r="88" spans="1:63" ht="14.45" customHeight="1">
      <c r="A88" s="579"/>
      <c r="V88" s="339"/>
      <c r="W88" s="339"/>
      <c r="X88" s="339"/>
      <c r="Y88" s="339"/>
      <c r="Z88" s="339"/>
      <c r="AA88" s="339"/>
      <c r="AB88" s="339"/>
      <c r="AC88" s="339"/>
      <c r="AU88" s="20"/>
      <c r="AV88" s="21"/>
      <c r="AW88" s="22"/>
      <c r="AX88" s="22"/>
      <c r="AY88" s="23"/>
      <c r="AZ88" s="326" t="str">
        <f t="shared" si="9"/>
        <v/>
      </c>
      <c r="BA88" s="95"/>
      <c r="BB88" s="95" t="str">
        <f t="shared" si="4"/>
        <v/>
      </c>
      <c r="BD88" s="319">
        <f>OBJ!B349</f>
        <v>9256913</v>
      </c>
      <c r="BE88" s="21" t="str">
        <f>VLOOKUP(BD88,CENY!$B$11:$G$1054,2,FALSE)</f>
        <v>Quadro You(M) 450/P2O 30kg; EB21; ľavý</v>
      </c>
      <c r="BF88" s="22">
        <f>VLOOKUP(BD88,CENY!$B$11:$G$1054,3,FALSE)</f>
        <v>20</v>
      </c>
      <c r="BG88" s="22"/>
      <c r="BH88" s="23">
        <f>AY57</f>
        <v>0</v>
      </c>
      <c r="BI88" s="326">
        <f t="shared" si="6"/>
        <v>0</v>
      </c>
      <c r="BJ88" s="95">
        <f>VLOOKUP(BD88,CENY!$B$11:$M$2025,12,FALSE)</f>
        <v>12.888019999999999</v>
      </c>
      <c r="BK88" s="95">
        <f t="shared" si="7"/>
        <v>0</v>
      </c>
    </row>
    <row r="89" spans="1:63" ht="14.45" customHeight="1">
      <c r="A89" s="579"/>
      <c r="V89" s="339"/>
      <c r="W89" s="339"/>
      <c r="X89" s="339"/>
      <c r="Y89" s="339"/>
      <c r="Z89" s="339"/>
      <c r="AA89" s="339"/>
      <c r="AB89" s="339"/>
      <c r="AC89" s="339"/>
      <c r="AU89" s="331">
        <f>SUM(O84:AJ84)</f>
        <v>0</v>
      </c>
      <c r="AV89" s="21" t="s">
        <v>357</v>
      </c>
      <c r="AW89" s="22"/>
      <c r="AX89" s="22"/>
      <c r="AY89" s="23"/>
      <c r="AZ89" s="326" t="str">
        <f t="shared" si="9"/>
        <v/>
      </c>
      <c r="BA89" s="95"/>
      <c r="BB89" s="95" t="str">
        <f t="shared" si="4"/>
        <v/>
      </c>
      <c r="BD89" s="319">
        <f>OBJ!B350</f>
        <v>9256914</v>
      </c>
      <c r="BE89" s="21" t="str">
        <f>VLOOKUP(BD89,CENY!$B$11:$G$1054,2,FALSE)</f>
        <v>Quadro You(M) 450/P2O 30kg; EB21; pravý</v>
      </c>
      <c r="BF89" s="22">
        <f>VLOOKUP(BD89,CENY!$B$11:$G$1054,3,FALSE)</f>
        <v>20</v>
      </c>
      <c r="BG89" s="22"/>
      <c r="BH89" s="23">
        <f>AY57</f>
        <v>0</v>
      </c>
      <c r="BI89" s="326">
        <f t="shared" si="6"/>
        <v>0</v>
      </c>
      <c r="BJ89" s="95">
        <f>VLOOKUP(BD89,CENY!$B$11:$M$2025,12,FALSE)</f>
        <v>12.888019999999999</v>
      </c>
      <c r="BK89" s="95">
        <f t="shared" si="7"/>
        <v>0</v>
      </c>
    </row>
    <row r="90" spans="1:63" ht="14.45" customHeight="1">
      <c r="A90" s="579"/>
      <c r="V90" s="339"/>
      <c r="W90" s="339"/>
      <c r="X90" s="339"/>
      <c r="Y90" s="339"/>
      <c r="Z90" s="339"/>
      <c r="AA90" s="339"/>
      <c r="AB90" s="339"/>
      <c r="AC90" s="339"/>
      <c r="AU90" s="22">
        <f>AU87-AU89</f>
        <v>0</v>
      </c>
      <c r="AV90" s="21"/>
      <c r="AW90" s="22"/>
      <c r="AX90" s="22"/>
      <c r="AY90" s="23"/>
      <c r="AZ90" s="326" t="str">
        <f t="shared" si="9"/>
        <v/>
      </c>
      <c r="BA90" s="95"/>
      <c r="BB90" s="95" t="str">
        <f t="shared" si="4"/>
        <v/>
      </c>
      <c r="BD90" s="319">
        <f>OBJ!B351</f>
        <v>9256917</v>
      </c>
      <c r="BE90" s="21" t="str">
        <f>VLOOKUP(BD90,CENY!$B$11:$G$1054,2,FALSE)</f>
        <v>Quadro You(M) 500/P2O 30kg; EB21; ľavý</v>
      </c>
      <c r="BF90" s="22">
        <f>VLOOKUP(BD90,CENY!$B$11:$G$1054,3,FALSE)</f>
        <v>20</v>
      </c>
      <c r="BG90" s="22"/>
      <c r="BH90" s="23">
        <f>AY58</f>
        <v>0</v>
      </c>
      <c r="BI90" s="326">
        <f t="shared" si="6"/>
        <v>0</v>
      </c>
      <c r="BJ90" s="95">
        <f>VLOOKUP(BD90,CENY!$B$11:$M$2025,12,FALSE)</f>
        <v>12.496779999999999</v>
      </c>
      <c r="BK90" s="95">
        <f t="shared" si="7"/>
        <v>0</v>
      </c>
    </row>
    <row r="91" spans="1:63" ht="14.45" customHeight="1">
      <c r="A91" s="579"/>
      <c r="V91" s="339"/>
      <c r="W91" s="339"/>
      <c r="X91" s="339"/>
      <c r="Y91" s="339"/>
      <c r="Z91" s="339"/>
      <c r="AA91" s="339"/>
      <c r="AB91" s="339"/>
      <c r="AC91" s="339"/>
      <c r="AU91" s="22">
        <f>ABS(AU90)</f>
        <v>0</v>
      </c>
      <c r="AV91" s="21"/>
      <c r="AW91" s="22"/>
      <c r="AX91" s="22"/>
      <c r="AY91" s="23"/>
      <c r="AZ91" s="326" t="str">
        <f t="shared" si="9"/>
        <v/>
      </c>
      <c r="BA91" s="95"/>
      <c r="BB91" s="95" t="str">
        <f t="shared" si="4"/>
        <v/>
      </c>
      <c r="BD91" s="319">
        <f>OBJ!B352</f>
        <v>9256918</v>
      </c>
      <c r="BE91" s="21" t="str">
        <f>VLOOKUP(BD91,CENY!$B$11:$G$1054,2,FALSE)</f>
        <v>Quadro You(M) 500/P2O 30kg; EB21; pravý</v>
      </c>
      <c r="BF91" s="22">
        <f>VLOOKUP(BD91,CENY!$B$11:$G$1054,3,FALSE)</f>
        <v>20</v>
      </c>
      <c r="BG91" s="22"/>
      <c r="BH91" s="23">
        <f>AY58</f>
        <v>0</v>
      </c>
      <c r="BI91" s="326">
        <f t="shared" si="6"/>
        <v>0</v>
      </c>
      <c r="BJ91" s="95">
        <f>VLOOKUP(BD91,CENY!$B$11:$M$2025,12,FALSE)</f>
        <v>12.496779999999999</v>
      </c>
      <c r="BK91" s="95">
        <f t="shared" si="7"/>
        <v>0</v>
      </c>
    </row>
    <row r="92" spans="1:63" ht="14.45" customHeight="1">
      <c r="A92" s="579"/>
      <c r="V92" s="339"/>
      <c r="W92" s="339"/>
      <c r="X92" s="339"/>
      <c r="Y92" s="339"/>
      <c r="Z92" s="339"/>
      <c r="AA92" s="339"/>
      <c r="AB92" s="339"/>
      <c r="AC92" s="339"/>
      <c r="AU92" s="20"/>
      <c r="AV92" s="21"/>
      <c r="AW92" s="22"/>
      <c r="AX92" s="22"/>
      <c r="AY92" s="23"/>
      <c r="AZ92" s="326" t="str">
        <f t="shared" si="9"/>
        <v/>
      </c>
      <c r="BA92" s="95"/>
      <c r="BB92" s="95" t="str">
        <f t="shared" si="4"/>
        <v/>
      </c>
      <c r="BD92" s="319">
        <f>OBJ!B353</f>
        <v>9256921</v>
      </c>
      <c r="BE92" s="21" t="str">
        <f>VLOOKUP(BD92,CENY!$B$11:$G$1054,2,FALSE)</f>
        <v>Quadro You(M) 550/P2O 30kg; EB21; ľavý</v>
      </c>
      <c r="BF92" s="22">
        <f>VLOOKUP(BD92,CENY!$B$11:$G$1054,3,FALSE)</f>
        <v>20</v>
      </c>
      <c r="BG92" s="22"/>
      <c r="BH92" s="23">
        <f>AY59</f>
        <v>0</v>
      </c>
      <c r="BI92" s="326">
        <f t="shared" si="6"/>
        <v>0</v>
      </c>
      <c r="BJ92" s="95">
        <f>VLOOKUP(BD92,CENY!$B$11:$M$2025,12,FALSE)</f>
        <v>12.718019999999999</v>
      </c>
      <c r="BK92" s="95">
        <f t="shared" si="7"/>
        <v>0</v>
      </c>
    </row>
    <row r="93" spans="1:63" ht="14.45" customHeight="1">
      <c r="A93" s="579"/>
      <c r="AU93" s="22">
        <f>(AU89-1)*4+SUM(O81:AJ81)</f>
        <v>-4</v>
      </c>
      <c r="AV93" s="21" t="s">
        <v>358</v>
      </c>
      <c r="AW93" s="22"/>
      <c r="AX93" s="22"/>
      <c r="AY93" s="23"/>
      <c r="AZ93" s="326" t="str">
        <f t="shared" si="9"/>
        <v/>
      </c>
      <c r="BA93" s="95"/>
      <c r="BB93" s="95"/>
      <c r="BD93" s="319">
        <f>OBJ!B354</f>
        <v>9256922</v>
      </c>
      <c r="BE93" s="21" t="str">
        <f>VLOOKUP(BD93,CENY!$B$11:$G$1054,2,FALSE)</f>
        <v>Quadro You(M) 550/P2O 30kg; EB21; pravý</v>
      </c>
      <c r="BF93" s="22">
        <f>VLOOKUP(BD93,CENY!$B$11:$G$1054,3,FALSE)</f>
        <v>20</v>
      </c>
      <c r="BG93" s="22"/>
      <c r="BH93" s="23">
        <f>AY59</f>
        <v>0</v>
      </c>
      <c r="BI93" s="326">
        <f t="shared" si="6"/>
        <v>0</v>
      </c>
      <c r="BJ93" s="95">
        <f>VLOOKUP(BD93,CENY!$B$11:$M$2025,12,FALSE)</f>
        <v>13.35392</v>
      </c>
      <c r="BK93" s="95">
        <f t="shared" si="7"/>
        <v>0</v>
      </c>
    </row>
    <row r="94" spans="1:63" ht="14.45" customHeight="1">
      <c r="A94" s="579"/>
      <c r="AU94" s="20"/>
      <c r="AV94" s="21"/>
      <c r="AW94" s="22"/>
      <c r="AX94" s="22"/>
      <c r="AY94" s="23"/>
      <c r="AZ94" s="326" t="str">
        <f t="shared" si="9"/>
        <v/>
      </c>
      <c r="BA94" s="95"/>
      <c r="BB94" s="95" t="str">
        <f t="shared" si="4"/>
        <v/>
      </c>
      <c r="BD94" s="319">
        <f>OBJ!B355</f>
        <v>9256925</v>
      </c>
      <c r="BE94" s="21" t="str">
        <f>VLOOKUP(BD94,CENY!$B$11:$G$1054,2,FALSE)</f>
        <v>Quadro You(M) 600/P2O 25kg; EB21; ľavý</v>
      </c>
      <c r="BF94" s="22">
        <f>VLOOKUP(BD94,CENY!$B$11:$G$1054,3,FALSE)</f>
        <v>20</v>
      </c>
      <c r="BG94" s="22"/>
      <c r="BH94" s="23">
        <f>AY60</f>
        <v>0</v>
      </c>
      <c r="BI94" s="326">
        <f t="shared" si="6"/>
        <v>0</v>
      </c>
      <c r="BJ94" s="95">
        <f>VLOOKUP(BD94,CENY!$B$11:$M$2025,12,FALSE)</f>
        <v>13.58704</v>
      </c>
      <c r="BK94" s="95">
        <f t="shared" si="7"/>
        <v>0</v>
      </c>
    </row>
    <row r="95" spans="1:63" ht="14.45" customHeight="1">
      <c r="A95" s="579"/>
      <c r="AU95" s="20"/>
      <c r="AV95" s="21"/>
      <c r="AW95" s="22"/>
      <c r="AX95" s="22"/>
      <c r="AY95" s="23"/>
      <c r="AZ95" s="326" t="str">
        <f t="shared" si="9"/>
        <v/>
      </c>
      <c r="BA95" s="95"/>
      <c r="BB95" s="95" t="str">
        <f t="shared" si="4"/>
        <v/>
      </c>
      <c r="BD95" s="319">
        <f>OBJ!B356</f>
        <v>9256926</v>
      </c>
      <c r="BE95" s="21" t="str">
        <f>VLOOKUP(BD95,CENY!$B$11:$G$1054,2,FALSE)</f>
        <v>Quadro You(M) 600/P2O 25kg; EB21; pravý</v>
      </c>
      <c r="BF95" s="22">
        <f>VLOOKUP(BD95,CENY!$B$11:$G$1054,3,FALSE)</f>
        <v>20</v>
      </c>
      <c r="BG95" s="22"/>
      <c r="BH95" s="23">
        <f>AY60</f>
        <v>0</v>
      </c>
      <c r="BI95" s="326">
        <f t="shared" si="6"/>
        <v>0</v>
      </c>
      <c r="BJ95" s="95">
        <f>VLOOKUP(BD95,CENY!$B$11:$M$2025,12,FALSE)</f>
        <v>13.58704</v>
      </c>
      <c r="BK95" s="95">
        <f t="shared" si="7"/>
        <v>0</v>
      </c>
    </row>
    <row r="96" spans="1:63" ht="14.45" customHeight="1">
      <c r="A96" s="579"/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/>
      <c r="BE96" s="21"/>
      <c r="BF96" s="22"/>
      <c r="BG96" s="22"/>
      <c r="BH96" s="23"/>
      <c r="BI96" s="326" t="str">
        <f t="shared" si="6"/>
        <v/>
      </c>
      <c r="BJ96" s="95"/>
      <c r="BK96" s="95" t="str">
        <f t="shared" si="7"/>
        <v/>
      </c>
    </row>
    <row r="97" spans="1:63" ht="14.45" customHeight="1">
      <c r="A97" s="579"/>
      <c r="AU97" s="331">
        <f>SUM(O84:AJ84)</f>
        <v>0</v>
      </c>
      <c r="AV97" s="21" t="s">
        <v>357</v>
      </c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OBJ!B358</f>
        <v>9219966</v>
      </c>
      <c r="BE97" s="21" t="str">
        <f>VLOOKUP(BD97,CENY!$B$11:$G$1054,2,FALSE)</f>
        <v>Push to open Synchro / adaptér typ A</v>
      </c>
      <c r="BF97" s="22">
        <f>VLOOKUP(BD97,CENY!$B$11:$G$1054,3,FALSE)</f>
        <v>200</v>
      </c>
      <c r="BG97" s="22"/>
      <c r="BH97" s="23">
        <f>AY62</f>
        <v>0</v>
      </c>
      <c r="BI97" s="326">
        <f t="shared" si="6"/>
        <v>0</v>
      </c>
      <c r="BJ97" s="95">
        <f>VLOOKUP(BD97,CENY!$B$11:$M$2025,12,FALSE)</f>
        <v>0.79318999999999995</v>
      </c>
      <c r="BK97" s="95">
        <f t="shared" si="7"/>
        <v>0</v>
      </c>
    </row>
    <row r="98" spans="1:63" ht="14.45" customHeight="1">
      <c r="A98" s="579"/>
      <c r="AU98" s="22">
        <f>AU95-AU97</f>
        <v>0</v>
      </c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/>
      <c r="BE98" s="21"/>
      <c r="BF98" s="22"/>
      <c r="BG98" s="22"/>
      <c r="BH98" s="23"/>
      <c r="BI98" s="326" t="str">
        <f t="shared" si="6"/>
        <v/>
      </c>
      <c r="BJ98" s="95"/>
      <c r="BK98" s="95" t="str">
        <f t="shared" si="7"/>
        <v/>
      </c>
    </row>
    <row r="99" spans="1:63" ht="14.45" customHeight="1">
      <c r="A99" s="579"/>
      <c r="AU99" s="22">
        <f>ABS(AU98)</f>
        <v>0</v>
      </c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OBJ!B214</f>
        <v>0</v>
      </c>
      <c r="BE99" s="21" t="e">
        <f>VLOOKUP(BD99,CENY!$B$11:$G$1054,2,FALSE)</f>
        <v>#N/A</v>
      </c>
      <c r="BF99" s="22" t="e">
        <f>VLOOKUP(BD99,CENY!$B$11:$G$1054,3,FALSE)</f>
        <v>#N/A</v>
      </c>
      <c r="BG99" s="22"/>
      <c r="BH99" s="23">
        <f>AY66</f>
        <v>0</v>
      </c>
      <c r="BI99" s="326">
        <f t="shared" si="6"/>
        <v>0</v>
      </c>
      <c r="BJ99" s="324" t="str">
        <f>IF(BD99=0,"",VLOOKUP(BD99,CENY!$B$11:$M$2025,12,FALSE))</f>
        <v/>
      </c>
      <c r="BK99" s="95" t="str">
        <f t="shared" si="7"/>
        <v/>
      </c>
    </row>
    <row r="100" spans="1:63" ht="14.45" customHeight="1">
      <c r="A100" s="579"/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/>
      <c r="BE100" s="21"/>
      <c r="BF100" s="22"/>
      <c r="BG100" s="22"/>
      <c r="BH100" s="23"/>
      <c r="BI100" s="326" t="str">
        <f t="shared" si="6"/>
        <v/>
      </c>
      <c r="BJ100" s="95"/>
      <c r="BK100" s="95" t="str">
        <f t="shared" si="7"/>
        <v/>
      </c>
    </row>
    <row r="101" spans="1:63">
      <c r="A101" s="579"/>
      <c r="AU101" s="22">
        <f>(AU97-1)*4+SUM(O80:AJ80)</f>
        <v>-4</v>
      </c>
      <c r="AV101" s="21" t="s">
        <v>358</v>
      </c>
      <c r="AW101" s="22"/>
      <c r="AX101" s="22"/>
      <c r="AY101" s="23"/>
      <c r="AZ101" s="326" t="str">
        <f t="shared" si="5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1:63">
      <c r="A102" s="579"/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4"/>
        <v/>
      </c>
      <c r="BD102" s="319">
        <f>OBJ!B196</f>
        <v>9257271</v>
      </c>
      <c r="BE102" s="21" t="str">
        <f>VLOOKUP(BD102,CENY!$B$11:$G$1054,2,FALSE)</f>
        <v>AvanY-čelo vnút.zásuvky /v187/d2000/strieb.</v>
      </c>
      <c r="BF102" s="22">
        <f>VLOOKUP(BD102,CENY!$B$11:$G$1054,3,FALSE)</f>
        <v>1</v>
      </c>
      <c r="BG102" s="22"/>
      <c r="BH102" s="23">
        <f>AY83</f>
        <v>0</v>
      </c>
      <c r="BI102" s="326">
        <f>IF(BH102="","",IF($AW$4=0,BH102,0))</f>
        <v>0</v>
      </c>
      <c r="BJ102" s="95">
        <f>VLOOKUP(BD102,CENY!$B$11:$M$2025,12,FALSE)</f>
        <v>106.6825</v>
      </c>
      <c r="BK102" s="95">
        <f t="shared" si="7"/>
        <v>0</v>
      </c>
    </row>
    <row r="103" spans="1:63">
      <c r="A103" s="579"/>
      <c r="AU103" s="335" t="str">
        <f>IF(AU97=0,verze!E169&amp;" "&amp;AU95&amp;" "&amp;verze!E170,"")</f>
        <v>Je potrebné vybrať  ks vnútorných čiel.</v>
      </c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4"/>
        <v/>
      </c>
      <c r="BD103" s="319"/>
      <c r="BE103" s="21"/>
      <c r="BF103" s="22"/>
      <c r="BG103" s="22"/>
      <c r="BH103" s="23"/>
      <c r="BI103" s="326" t="str">
        <f>IF(BH103="","",IF($AW$4=0,BH103,0))</f>
        <v/>
      </c>
      <c r="BJ103" s="95"/>
      <c r="BK103" s="95" t="str">
        <f t="shared" si="7"/>
        <v/>
      </c>
    </row>
    <row r="104" spans="1:63">
      <c r="A104" s="579"/>
      <c r="AU104" s="335" t="str">
        <f>IF(AU97=0,"",IF(AU95=AU97,verze!E174,IF(AU98&gt;0,verze!E171&amp;" "&amp;AU98&amp;" "&amp;verze!E170,verze!E172&amp;" "&amp;AU99&amp;" "&amp;verze!E173)))</f>
        <v/>
      </c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4"/>
        <v/>
      </c>
      <c r="BD104" s="319">
        <f>OBJ!B203</f>
        <v>9257641</v>
      </c>
      <c r="BE104" s="21" t="str">
        <f>VLOOKUP(BD104,CENY!$B$11:$G$1054,2,FALSE)</f>
        <v>AvanY-stabilizátor čela vnút.zásuvky</v>
      </c>
      <c r="BF104" s="22">
        <f>VLOOKUP(BD104,CENY!$B$11:$G$1054,3,FALSE)</f>
        <v>100</v>
      </c>
      <c r="BG104" s="22"/>
      <c r="BH104" s="23">
        <f>AY84</f>
        <v>0</v>
      </c>
      <c r="BI104" s="326">
        <f>IF(BH104="","",IF($AW$4=0,BH104,0))</f>
        <v>0</v>
      </c>
      <c r="BJ104" s="95">
        <f>VLOOKUP(BD104,CENY!$B$11:$M$2025,12,FALSE)</f>
        <v>0.52149000000000001</v>
      </c>
      <c r="BK104" s="95">
        <f t="shared" si="7"/>
        <v>0</v>
      </c>
    </row>
    <row r="105" spans="1:63">
      <c r="A105" s="579"/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4"/>
        <v/>
      </c>
      <c r="BD105" s="319">
        <f>OBJ!B206</f>
        <v>9257631</v>
      </c>
      <c r="BE105" s="21" t="str">
        <f>VLOOKUP(BD105,CENY!$B$11:$G$1054,2,FALSE)</f>
        <v>AvanY-krytka čela vnút.zás./v187/strieb.</v>
      </c>
      <c r="BF105" s="22">
        <f>VLOOKUP(BD105,CENY!$B$11:$G$1054,3,FALSE)</f>
        <v>200</v>
      </c>
      <c r="BG105" s="22"/>
      <c r="BH105" s="23">
        <f>2*AY84</f>
        <v>0</v>
      </c>
      <c r="BI105" s="326">
        <f>IF(BH105="","",IF($AW$4=0,BH105,0))</f>
        <v>0</v>
      </c>
      <c r="BJ105" s="95">
        <f>VLOOKUP(BD105,CENY!$B$11:$M$2025,12,FALSE)</f>
        <v>0.38140000000000002</v>
      </c>
      <c r="BK105" s="95">
        <f t="shared" si="7"/>
        <v>0</v>
      </c>
    </row>
    <row r="106" spans="1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4"/>
        <v/>
      </c>
      <c r="BD106" s="319"/>
      <c r="BE106" s="21"/>
      <c r="BF106" s="22"/>
      <c r="BG106" s="22"/>
      <c r="BH106" s="23"/>
      <c r="BI106" s="326"/>
      <c r="BJ106" s="95"/>
      <c r="BK106" s="95" t="str">
        <f t="shared" si="7"/>
        <v/>
      </c>
    </row>
    <row r="107" spans="1:63">
      <c r="AU107" s="319">
        <f>OBJ!B361</f>
        <v>45167</v>
      </c>
      <c r="AV107" s="21" t="str">
        <f>VLOOKUP(AU107,CENY!$B$11:$G$1054,2,FALSE)</f>
        <v>Skrutka s polgul.hlavou 3,5x12mm</v>
      </c>
      <c r="AW107" s="22">
        <f>VLOOKUP(AU107,CENY!$B$11:$G$1054,3,FALSE)</f>
        <v>200</v>
      </c>
      <c r="AX107" s="22"/>
      <c r="AY107" s="23">
        <f>SUMPRODUCT(AX5:AX11,AY5:AY11)</f>
        <v>0</v>
      </c>
      <c r="AZ107" s="326">
        <f>IF(AY107="","",IF($AW$4=1,AY107,0))</f>
        <v>0</v>
      </c>
      <c r="BA107" s="95">
        <f>VLOOKUP(AU107,CENY!$B$11:$M$2025,12,FALSE)</f>
        <v>3.4759999999999999E-2</v>
      </c>
      <c r="BB107" s="95">
        <f>IF(BA107="","",BA107*AY107)</f>
        <v>0</v>
      </c>
      <c r="BC107" s="86" t="s">
        <v>396</v>
      </c>
      <c r="BD107" s="319">
        <f>OBJ!B361</f>
        <v>45167</v>
      </c>
      <c r="BE107" s="21" t="str">
        <f>VLOOKUP(BD107,CENY!$B$11:$G$1054,2,FALSE)</f>
        <v>Skrutka s polgul.hlavou 3,5x12mm</v>
      </c>
      <c r="BF107" s="22">
        <f>VLOOKUP(BD107,CENY!$B$11:$G$1054,3,FALSE)</f>
        <v>200</v>
      </c>
      <c r="BG107" s="22"/>
      <c r="BH107" s="23">
        <f>AY107+BH21*2+BH104</f>
        <v>0</v>
      </c>
      <c r="BI107" s="326">
        <f>IF(BH107="","",IF($AW$4=0,BH107,0))</f>
        <v>0</v>
      </c>
      <c r="BJ107" s="95">
        <f>VLOOKUP(BD107,CENY!$B$11:$M$2025,12,FALSE)</f>
        <v>3.4759999999999999E-2</v>
      </c>
      <c r="BK107" s="95">
        <f>IF(BJ107="","",BJ107*BH107)</f>
        <v>0</v>
      </c>
    </row>
    <row r="108" spans="1:63">
      <c r="AU108" s="319">
        <f>OBJ!B362</f>
        <v>45168</v>
      </c>
      <c r="AV108" s="21" t="str">
        <f>VLOOKUP(AU108,CENY!$B$11:$G$1054,2,FALSE)</f>
        <v>Skrutka s polgul.hlavou 3,5x20mm</v>
      </c>
      <c r="AW108" s="22">
        <f>VLOOKUP(AU108,CENY!$B$11:$G$1054,3,FALSE)</f>
        <v>200</v>
      </c>
      <c r="AX108" s="22"/>
      <c r="AY108" s="360">
        <v>0</v>
      </c>
      <c r="AZ108" s="326">
        <f>IF(AY108="","",IF($AW$4=1,AY108,0))</f>
        <v>0</v>
      </c>
      <c r="BA108" s="95">
        <f>VLOOKUP(AU108,CENY!$B$11:$M$2025,12,FALSE)</f>
        <v>4.9860000000000002E-2</v>
      </c>
      <c r="BB108" s="95">
        <f>IF(BA108="","",BA108*AY108)</f>
        <v>0</v>
      </c>
      <c r="BC108" s="86" t="s">
        <v>397</v>
      </c>
      <c r="BD108" s="319">
        <f>OBJ!B362</f>
        <v>45168</v>
      </c>
      <c r="BE108" s="21" t="str">
        <f>VLOOKUP(BD108,CENY!$B$11:$G$1054,2,FALSE)</f>
        <v>Skrutka s polgul.hlavou 3,5x20mm</v>
      </c>
      <c r="BF108" s="22">
        <f>VLOOKUP(BD108,CENY!$B$11:$G$1054,3,FALSE)</f>
        <v>200</v>
      </c>
      <c r="BG108" s="22"/>
      <c r="BH108" s="360">
        <v>0</v>
      </c>
      <c r="BI108" s="326">
        <f>IF(BH108="","",IF($AW$4=0,BH108,0))</f>
        <v>0</v>
      </c>
      <c r="BJ108" s="95">
        <f>VLOOKUP(BD108,CENY!$B$11:$M$2025,12,FALSE)</f>
        <v>4.9860000000000002E-2</v>
      </c>
      <c r="BK108" s="95">
        <f>IF(BJ108="","",BJ108*BH108)</f>
        <v>0</v>
      </c>
    </row>
    <row r="109" spans="1:63">
      <c r="AU109" s="319">
        <f>OBJ!B363</f>
        <v>9278224</v>
      </c>
      <c r="AV109" s="21" t="str">
        <f>VLOOKUP(AU109,CENY!$B$11:$G$1054,2,FALSE)</f>
        <v>Skrutka s polgul.hlavou 3,5x30mm</v>
      </c>
      <c r="AW109" s="22">
        <f>VLOOKUP(AU109,CENY!$B$11:$G$1054,3,FALSE)</f>
        <v>200</v>
      </c>
      <c r="AX109" s="22"/>
      <c r="AY109" s="360">
        <v>0</v>
      </c>
      <c r="AZ109" s="326">
        <f>IF(AY109="","",IF($AW$4=1,AY109,0))</f>
        <v>0</v>
      </c>
      <c r="BA109" s="95">
        <f>VLOOKUP(AU109,CENY!$B$11:$M$2025,12,FALSE)</f>
        <v>4.299E-2</v>
      </c>
      <c r="BB109" s="95">
        <f>IF(BA109="","",BA109*AY109)</f>
        <v>0</v>
      </c>
      <c r="BC109" s="86" t="s">
        <v>398</v>
      </c>
      <c r="BD109" s="319">
        <f>OBJ!B363</f>
        <v>9278224</v>
      </c>
      <c r="BE109" s="21" t="str">
        <f>VLOOKUP(BD109,CENY!$B$11:$G$1054,2,FALSE)</f>
        <v>Skrutka s polgul.hlavou 3,5x30mm</v>
      </c>
      <c r="BF109" s="22">
        <f>VLOOKUP(BD109,CENY!$B$11:$G$1054,3,FALSE)</f>
        <v>200</v>
      </c>
      <c r="BG109" s="22"/>
      <c r="BH109" s="360">
        <f>2*SUM(BH5:BH18)</f>
        <v>0</v>
      </c>
      <c r="BI109" s="326">
        <f>IF(BH109="","",IF($AW$4=0,BH109,0))</f>
        <v>0</v>
      </c>
      <c r="BJ109" s="95">
        <f>VLOOKUP(BD109,CENY!$B$11:$M$2025,12,FALSE)</f>
        <v>4.299E-2</v>
      </c>
      <c r="BK109" s="95">
        <f>IF(BJ109="","",BJ109*BH109)</f>
        <v>0</v>
      </c>
    </row>
    <row r="110" spans="1:63">
      <c r="AU110" s="319">
        <f>OBJ!B364</f>
        <v>9279197</v>
      </c>
      <c r="AV110" s="21" t="str">
        <f>VLOOKUP(AU110,CENY!$B$11:$G$1054,2,FALSE)</f>
        <v>Skrutka s polgul.hlavou M3,5x12mm</v>
      </c>
      <c r="AW110" s="22">
        <f>VLOOKUP(AU110,CENY!$B$11:$G$1054,3,FALSE)</f>
        <v>1000</v>
      </c>
      <c r="AX110" s="22"/>
      <c r="AY110" s="68">
        <v>0</v>
      </c>
      <c r="AZ110" s="326">
        <f>IF(AY110="","",IF($AW$4=1,AY110,0))</f>
        <v>0</v>
      </c>
      <c r="BA110" s="95" t="e">
        <f>VLOOKUP(AU110,CENY!$B$11:$M$2025,12,FALSE)</f>
        <v>#N/A</v>
      </c>
      <c r="BB110" s="95" t="e">
        <f>IF(BA110="","",BA110*AY110)</f>
        <v>#N/A</v>
      </c>
      <c r="BC110" s="86" t="s">
        <v>399</v>
      </c>
      <c r="BD110" s="319">
        <f>OBJ!B364</f>
        <v>9279197</v>
      </c>
      <c r="BE110" s="21" t="str">
        <f>VLOOKUP(BD110,CENY!$B$11:$G$1054,2,FALSE)</f>
        <v>Skrutka s polgul.hlavou M3,5x12mm</v>
      </c>
      <c r="BF110" s="22">
        <f>VLOOKUP(BD110,CENY!$B$11:$G$1054,3,FALSE)</f>
        <v>1000</v>
      </c>
      <c r="BG110" s="22"/>
      <c r="BH110" s="68">
        <f>3*BH20</f>
        <v>0</v>
      </c>
      <c r="BI110" s="326">
        <f>IF(BH110="","",IF($AW$4=0,BH110,0))</f>
        <v>0</v>
      </c>
      <c r="BJ110" s="95" t="e">
        <f>VLOOKUP(BD110,CENY!$B$11:$M$2025,12,FALSE)</f>
        <v>#N/A</v>
      </c>
      <c r="BK110" s="95" t="e">
        <f>IF(BJ110="","",BJ110*BH110)</f>
        <v>#N/A</v>
      </c>
    </row>
    <row r="111" spans="1:63">
      <c r="AU111" s="319">
        <f>OBJ!B365</f>
        <v>9137114</v>
      </c>
      <c r="AV111" s="21" t="str">
        <f>VLOOKUP(AU111,CENY!$B$11:$G$1054,2,FALSE)</f>
        <v>EURO-skrutka  6,0x14mm / niklovaná</v>
      </c>
      <c r="AW111" s="22">
        <f>VLOOKUP(AU111,CENY!$B$11:$G$1054,3,FALSE)</f>
        <v>200</v>
      </c>
      <c r="AX111" s="22"/>
      <c r="AY111" s="23">
        <f>SUMPRODUCT(AX21:AX60,AY21:AY60)</f>
        <v>0</v>
      </c>
      <c r="AZ111" s="326">
        <f>IF(AY111="","",IF($AW$4=1,AY111,0))</f>
        <v>0</v>
      </c>
      <c r="BA111" s="95">
        <f>VLOOKUP(AU111,CENY!$B$11:$M$2025,12,FALSE)</f>
        <v>7.7280000000000001E-2</v>
      </c>
      <c r="BB111" s="95">
        <f>IF(BA111="","",BA111*AY111)</f>
        <v>0</v>
      </c>
      <c r="BC111" s="86" t="s">
        <v>400</v>
      </c>
      <c r="BD111" s="319">
        <f>OBJ!B365</f>
        <v>9137114</v>
      </c>
      <c r="BE111" s="21" t="str">
        <f>VLOOKUP(BD111,CENY!$B$11:$G$1054,2,FALSE)</f>
        <v>EURO-skrutka  6,0x14mm / niklovaná</v>
      </c>
      <c r="BF111" s="22">
        <f>VLOOKUP(BD111,CENY!$B$11:$G$1054,3,FALSE)</f>
        <v>200</v>
      </c>
      <c r="BG111" s="22"/>
      <c r="BH111" s="23">
        <f>AY111</f>
        <v>0</v>
      </c>
      <c r="BI111" s="326">
        <f>IF(BH111="","",IF($AW$4=0,BH111,0))</f>
        <v>0</v>
      </c>
      <c r="BJ111" s="95">
        <f>VLOOKUP(BD111,CENY!$B$11:$M$2025,12,FALSE)</f>
        <v>7.7280000000000001E-2</v>
      </c>
      <c r="BK111" s="95">
        <f>IF(BJ111="","",BJ111*BH111)</f>
        <v>0</v>
      </c>
    </row>
    <row r="112" spans="1:63">
      <c r="AU112" s="20"/>
      <c r="AV112" s="21"/>
      <c r="AW112" s="22"/>
      <c r="AX112" s="22"/>
      <c r="AY112" s="23"/>
      <c r="AZ112" s="326" t="str">
        <f t="shared" si="5"/>
        <v/>
      </c>
      <c r="BA112" s="95"/>
      <c r="BB112" s="95" t="str">
        <f t="shared" si="4"/>
        <v/>
      </c>
      <c r="BD112" s="319"/>
      <c r="BE112" s="21"/>
      <c r="BF112" s="22"/>
      <c r="BG112" s="22"/>
      <c r="BH112" s="23"/>
      <c r="BI112" s="326" t="str">
        <f t="shared" si="6"/>
        <v/>
      </c>
      <c r="BJ112" s="95"/>
      <c r="BK112" s="95" t="str">
        <f t="shared" si="7"/>
        <v/>
      </c>
    </row>
    <row r="113" spans="47:63">
      <c r="AU113" s="20"/>
      <c r="AV113" s="21"/>
      <c r="AW113" s="22"/>
      <c r="AX113" s="22"/>
      <c r="AY113" s="23"/>
      <c r="AZ113" s="326" t="str">
        <f t="shared" si="5"/>
        <v/>
      </c>
      <c r="BA113" s="95"/>
      <c r="BB113" s="95" t="str">
        <f>IF(BA113="","",BA113*AY113)</f>
        <v/>
      </c>
      <c r="BD113" s="319"/>
      <c r="BE113" s="21"/>
      <c r="BF113" s="22"/>
      <c r="BG113" s="22"/>
      <c r="BH113" s="23"/>
      <c r="BI113" s="326" t="str">
        <f t="shared" si="6"/>
        <v/>
      </c>
      <c r="BJ113" s="95"/>
      <c r="BK113" s="95" t="str">
        <f t="shared" si="7"/>
        <v/>
      </c>
    </row>
    <row r="114" spans="47:63">
      <c r="AU114" s="20"/>
      <c r="AV114" s="21"/>
      <c r="AW114" s="22"/>
      <c r="AX114" s="22"/>
      <c r="AY114" s="23"/>
      <c r="AZ114" s="326" t="str">
        <f t="shared" si="5"/>
        <v/>
      </c>
      <c r="BA114" s="95"/>
      <c r="BB114" s="95" t="str">
        <f>IF(BA114="","",BA114*AY114)</f>
        <v/>
      </c>
      <c r="BD114" s="319"/>
      <c r="BE114" s="21"/>
      <c r="BF114" s="22"/>
      <c r="BG114" s="22"/>
      <c r="BH114" s="23"/>
      <c r="BI114" s="326" t="str">
        <f t="shared" si="6"/>
        <v/>
      </c>
      <c r="BJ114" s="95"/>
      <c r="BK114" s="95" t="str">
        <f t="shared" si="7"/>
        <v/>
      </c>
    </row>
    <row r="115" spans="47:63">
      <c r="AU115" s="20"/>
      <c r="AV115" s="21"/>
      <c r="AW115" s="22"/>
      <c r="AX115" s="22"/>
      <c r="AY115" s="23"/>
      <c r="AZ115" s="326" t="str">
        <f t="shared" si="5"/>
        <v/>
      </c>
      <c r="BA115" s="95"/>
      <c r="BB115" s="95" t="str">
        <f>IF(BA115="","",BA115*AY115)</f>
        <v/>
      </c>
      <c r="BD115" s="319"/>
      <c r="BE115" s="21"/>
      <c r="BF115" s="22"/>
      <c r="BG115" s="22"/>
      <c r="BH115" s="23"/>
      <c r="BI115" s="326" t="str">
        <f t="shared" si="6"/>
        <v/>
      </c>
      <c r="BJ115" s="95"/>
      <c r="BK115" s="95" t="str">
        <f t="shared" si="7"/>
        <v/>
      </c>
    </row>
  </sheetData>
  <sheetProtection algorithmName="SHA-512" hashValue="kVQt2Ptea0rQV+2i3NM90tp39G7g6mpdcM2VsRzto0jW8S+lZno/NZEQMlz+3UW6hAaBhpo7YZ9tDfRnoz/rlw==" saltValue="rl8CSK13KzpRwuzzPbM4NQ==" spinCount="100000" sheet="1" objects="1" scenarios="1"/>
  <mergeCells count="186"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U2:Y2"/>
    <mergeCell ref="AA2:AE2"/>
    <mergeCell ref="AI2:AM2"/>
    <mergeCell ref="B12:E12"/>
    <mergeCell ref="F12:K12"/>
    <mergeCell ref="B13:E13"/>
    <mergeCell ref="F13:I13"/>
    <mergeCell ref="J13:K13"/>
    <mergeCell ref="O17:AF17"/>
    <mergeCell ref="B9:E9"/>
    <mergeCell ref="F9:K9"/>
    <mergeCell ref="AK9:AP10"/>
    <mergeCell ref="B10:E10"/>
    <mergeCell ref="F10:K10"/>
    <mergeCell ref="B11:E11"/>
    <mergeCell ref="F11:K11"/>
    <mergeCell ref="AI17:AO17"/>
    <mergeCell ref="M20:N20"/>
    <mergeCell ref="O20:P20"/>
    <mergeCell ref="Q20:R20"/>
    <mergeCell ref="S20:T20"/>
    <mergeCell ref="AI18:AO18"/>
    <mergeCell ref="B19:G19"/>
    <mergeCell ref="H19:L19"/>
    <mergeCell ref="M19:N19"/>
    <mergeCell ref="O19:P19"/>
    <mergeCell ref="Q19:R19"/>
    <mergeCell ref="S19:T19"/>
    <mergeCell ref="AN19:AO19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Y22:Z22"/>
    <mergeCell ref="AA22:AB22"/>
    <mergeCell ref="AC22:AD22"/>
    <mergeCell ref="AE22:AF22"/>
    <mergeCell ref="AN22:AO22"/>
    <mergeCell ref="AI25:AO25"/>
    <mergeCell ref="AN20:AO20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U20:V20"/>
    <mergeCell ref="W20:X20"/>
    <mergeCell ref="Y20:Z20"/>
    <mergeCell ref="AA20:AB20"/>
    <mergeCell ref="AC20:AD20"/>
    <mergeCell ref="AE20:AF20"/>
    <mergeCell ref="B20:G20"/>
    <mergeCell ref="H20:L20"/>
    <mergeCell ref="AA26:AB26"/>
    <mergeCell ref="AC26:AD26"/>
    <mergeCell ref="AI26:AO26"/>
    <mergeCell ref="B27:G27"/>
    <mergeCell ref="H27:L27"/>
    <mergeCell ref="M27:N27"/>
    <mergeCell ref="O27:P27"/>
    <mergeCell ref="Q27:R27"/>
    <mergeCell ref="S27:T27"/>
    <mergeCell ref="AN27:AO27"/>
    <mergeCell ref="O26:P26"/>
    <mergeCell ref="Q26:R26"/>
    <mergeCell ref="S26:T26"/>
    <mergeCell ref="U26:V26"/>
    <mergeCell ref="W26:X26"/>
    <mergeCell ref="Y26:Z26"/>
    <mergeCell ref="U28:V28"/>
    <mergeCell ref="W28:X28"/>
    <mergeCell ref="Y28:Z28"/>
    <mergeCell ref="AA28:AB28"/>
    <mergeCell ref="AC28:AD28"/>
    <mergeCell ref="AN28:AO28"/>
    <mergeCell ref="B28:G28"/>
    <mergeCell ref="H28:L28"/>
    <mergeCell ref="M28:N28"/>
    <mergeCell ref="O28:P28"/>
    <mergeCell ref="Q28:R28"/>
    <mergeCell ref="S28:T28"/>
    <mergeCell ref="AN29:AO29"/>
    <mergeCell ref="B30:G30"/>
    <mergeCell ref="H30:L30"/>
    <mergeCell ref="M30:N30"/>
    <mergeCell ref="S30:T30"/>
    <mergeCell ref="U30:V30"/>
    <mergeCell ref="W30:X30"/>
    <mergeCell ref="Y30:Z30"/>
    <mergeCell ref="AA30:AB30"/>
    <mergeCell ref="AC30:AD30"/>
    <mergeCell ref="A66:A105"/>
    <mergeCell ref="B67:E67"/>
    <mergeCell ref="G67:K67"/>
    <mergeCell ref="O67:S67"/>
    <mergeCell ref="U67:Y67"/>
    <mergeCell ref="AA67:AE67"/>
    <mergeCell ref="AE79:AF79"/>
    <mergeCell ref="AE80:AF80"/>
    <mergeCell ref="O83:P83"/>
    <mergeCell ref="Q83:R83"/>
    <mergeCell ref="O80:P80"/>
    <mergeCell ref="Q80:R80"/>
    <mergeCell ref="S80:T80"/>
    <mergeCell ref="U80:V80"/>
    <mergeCell ref="W80:X80"/>
    <mergeCell ref="Y80:Z80"/>
    <mergeCell ref="AA80:AB80"/>
    <mergeCell ref="AC80:AD80"/>
    <mergeCell ref="AC83:AD83"/>
    <mergeCell ref="AE83:AF83"/>
    <mergeCell ref="M84:N84"/>
    <mergeCell ref="O84:P84"/>
    <mergeCell ref="Q84:R84"/>
    <mergeCell ref="S84:T84"/>
    <mergeCell ref="AO67:AR67"/>
    <mergeCell ref="O79:P79"/>
    <mergeCell ref="Q79:R79"/>
    <mergeCell ref="S79:T79"/>
    <mergeCell ref="U79:V79"/>
    <mergeCell ref="W79:X79"/>
    <mergeCell ref="Y79:Z79"/>
    <mergeCell ref="AA79:AB79"/>
    <mergeCell ref="AC79:AD79"/>
    <mergeCell ref="AG79:AH79"/>
    <mergeCell ref="AI79:AJ79"/>
    <mergeCell ref="O82:AJ82"/>
    <mergeCell ref="W83:X83"/>
    <mergeCell ref="Y83:Z83"/>
    <mergeCell ref="W84:X84"/>
    <mergeCell ref="Y84:Z84"/>
    <mergeCell ref="AA84:AB84"/>
    <mergeCell ref="W81:X81"/>
    <mergeCell ref="Y81:Z81"/>
    <mergeCell ref="AI67:AM67"/>
    <mergeCell ref="AG80:AH80"/>
    <mergeCell ref="AI80:AJ80"/>
    <mergeCell ref="O81:P81"/>
    <mergeCell ref="Q81:R81"/>
    <mergeCell ref="S81:T81"/>
    <mergeCell ref="U81:V81"/>
    <mergeCell ref="AC81:AD81"/>
    <mergeCell ref="AE81:AF81"/>
    <mergeCell ref="AG81:AH81"/>
    <mergeCell ref="AA81:AB81"/>
    <mergeCell ref="AI81:AJ81"/>
    <mergeCell ref="O85:P85"/>
    <mergeCell ref="Q85:R85"/>
    <mergeCell ref="S85:T85"/>
    <mergeCell ref="U85:V85"/>
    <mergeCell ref="AE85:AF85"/>
    <mergeCell ref="AI83:AJ83"/>
    <mergeCell ref="S83:T83"/>
    <mergeCell ref="U83:V83"/>
    <mergeCell ref="AA83:AB83"/>
    <mergeCell ref="U84:V84"/>
    <mergeCell ref="AC84:AD84"/>
    <mergeCell ref="AE84:AF84"/>
    <mergeCell ref="AG84:AH84"/>
    <mergeCell ref="AI84:AJ84"/>
    <mergeCell ref="AG85:AH85"/>
    <mergeCell ref="AI85:AJ85"/>
    <mergeCell ref="W85:X85"/>
    <mergeCell ref="Y85:Z85"/>
    <mergeCell ref="AA85:AB85"/>
    <mergeCell ref="AC85:AD85"/>
    <mergeCell ref="AG83:AH83"/>
  </mergeCells>
  <conditionalFormatting sqref="AY24:AY29 AY37:AY40 BH35:BH40 BH42:BH47 BH72:BH77 AY31:AY35 BH49:BH57 AY15:AY22 AY54:AY57 BH30:BH33 BH63:BH70 BH79:BH92 BH5:BH22 AY5:AY13 AZ6:AZ82 AZ105:AZ106 BI6:BI101 BI106 BH112:BI115 AZ112:AZ115">
    <cfRule type="cellIs" dxfId="574" priority="80" stopIfTrue="1" operator="equal">
      <formula>0</formula>
    </cfRule>
  </conditionalFormatting>
  <conditionalFormatting sqref="AY50:AY53 AY63 AY42:AY43 AY47 AY65 AY45">
    <cfRule type="cellIs" dxfId="573" priority="78" stopIfTrue="1" operator="equal">
      <formula>0</formula>
    </cfRule>
  </conditionalFormatting>
  <conditionalFormatting sqref="O17:AF17 S19:T19 S20:AD20 W22:AD22 S27:T27 S28:AD28 S30:AD30">
    <cfRule type="expression" dxfId="572" priority="79" stopIfTrue="1">
      <formula>$AW$4=0</formula>
    </cfRule>
  </conditionalFormatting>
  <conditionalFormatting sqref="AY72 AY78:AY79">
    <cfRule type="cellIs" dxfId="571" priority="77" stopIfTrue="1" operator="equal">
      <formula>0</formula>
    </cfRule>
  </conditionalFormatting>
  <conditionalFormatting sqref="AY80">
    <cfRule type="cellIs" dxfId="570" priority="76" stopIfTrue="1" operator="equal">
      <formula>0</formula>
    </cfRule>
  </conditionalFormatting>
  <conditionalFormatting sqref="AY60:AY61">
    <cfRule type="cellIs" dxfId="569" priority="66" stopIfTrue="1" operator="equal">
      <formula>0</formula>
    </cfRule>
  </conditionalFormatting>
  <conditionalFormatting sqref="AY48:AY49">
    <cfRule type="cellIs" dxfId="568" priority="75" stopIfTrue="1" operator="equal">
      <formula>0</formula>
    </cfRule>
  </conditionalFormatting>
  <conditionalFormatting sqref="AY59">
    <cfRule type="cellIs" dxfId="567" priority="74" stopIfTrue="1" operator="equal">
      <formula>0</formula>
    </cfRule>
  </conditionalFormatting>
  <conditionalFormatting sqref="AY67:AY69">
    <cfRule type="cellIs" dxfId="566" priority="73" stopIfTrue="1" operator="equal">
      <formula>0</formula>
    </cfRule>
  </conditionalFormatting>
  <conditionalFormatting sqref="AY70">
    <cfRule type="cellIs" dxfId="565" priority="72" stopIfTrue="1" operator="equal">
      <formula>0</formula>
    </cfRule>
  </conditionalFormatting>
  <conditionalFormatting sqref="AY71">
    <cfRule type="cellIs" dxfId="564" priority="71" stopIfTrue="1" operator="equal">
      <formula>0</formula>
    </cfRule>
  </conditionalFormatting>
  <conditionalFormatting sqref="AY81:AY82">
    <cfRule type="cellIs" dxfId="563" priority="70" stopIfTrue="1" operator="equal">
      <formula>0</formula>
    </cfRule>
  </conditionalFormatting>
  <conditionalFormatting sqref="BH94:BH96 BH98">
    <cfRule type="cellIs" dxfId="562" priority="69" stopIfTrue="1" operator="equal">
      <formula>0</formula>
    </cfRule>
  </conditionalFormatting>
  <conditionalFormatting sqref="AY105:AY106 AY112:AY115">
    <cfRule type="cellIs" dxfId="561" priority="67" stopIfTrue="1" operator="equal">
      <formula>0</formula>
    </cfRule>
  </conditionalFormatting>
  <conditionalFormatting sqref="BH99:BH101">
    <cfRule type="cellIs" dxfId="560" priority="65" stopIfTrue="1" operator="equal">
      <formula>0</formula>
    </cfRule>
  </conditionalFormatting>
  <conditionalFormatting sqref="AY14">
    <cfRule type="cellIs" dxfId="559" priority="64" stopIfTrue="1" operator="equal">
      <formula>0</formula>
    </cfRule>
  </conditionalFormatting>
  <conditionalFormatting sqref="AY23">
    <cfRule type="cellIs" dxfId="558" priority="63" stopIfTrue="1" operator="equal">
      <formula>0</formula>
    </cfRule>
  </conditionalFormatting>
  <conditionalFormatting sqref="AY36">
    <cfRule type="cellIs" dxfId="557" priority="62" stopIfTrue="1" operator="equal">
      <formula>0</formula>
    </cfRule>
  </conditionalFormatting>
  <conditionalFormatting sqref="AY41">
    <cfRule type="cellIs" dxfId="556" priority="61" stopIfTrue="1" operator="equal">
      <formula>0</formula>
    </cfRule>
  </conditionalFormatting>
  <conditionalFormatting sqref="AY46">
    <cfRule type="cellIs" dxfId="555" priority="60" stopIfTrue="1" operator="equal">
      <formula>0</formula>
    </cfRule>
  </conditionalFormatting>
  <conditionalFormatting sqref="AY58">
    <cfRule type="cellIs" dxfId="554" priority="59" stopIfTrue="1" operator="equal">
      <formula>0</formula>
    </cfRule>
  </conditionalFormatting>
  <conditionalFormatting sqref="AY62">
    <cfRule type="cellIs" dxfId="553" priority="58" stopIfTrue="1" operator="equal">
      <formula>0</formula>
    </cfRule>
  </conditionalFormatting>
  <conditionalFormatting sqref="AY64">
    <cfRule type="cellIs" dxfId="552" priority="57" stopIfTrue="1" operator="equal">
      <formula>0</formula>
    </cfRule>
  </conditionalFormatting>
  <conditionalFormatting sqref="AY66">
    <cfRule type="cellIs" dxfId="551" priority="56" stopIfTrue="1" operator="equal">
      <formula>0</formula>
    </cfRule>
  </conditionalFormatting>
  <conditionalFormatting sqref="AY73:AY77">
    <cfRule type="cellIs" dxfId="550" priority="55" stopIfTrue="1" operator="equal">
      <formula>0</formula>
    </cfRule>
  </conditionalFormatting>
  <conditionalFormatting sqref="F13:K13">
    <cfRule type="expression" dxfId="549" priority="54" stopIfTrue="1">
      <formula>$AW$4=1</formula>
    </cfRule>
  </conditionalFormatting>
  <conditionalFormatting sqref="BH23:BH26">
    <cfRule type="cellIs" dxfId="548" priority="53" stopIfTrue="1" operator="equal">
      <formula>0</formula>
    </cfRule>
  </conditionalFormatting>
  <conditionalFormatting sqref="BH27">
    <cfRule type="cellIs" dxfId="547" priority="52" stopIfTrue="1" operator="equal">
      <formula>0</formula>
    </cfRule>
  </conditionalFormatting>
  <conditionalFormatting sqref="BH28">
    <cfRule type="cellIs" dxfId="546" priority="51" stopIfTrue="1" operator="equal">
      <formula>0</formula>
    </cfRule>
  </conditionalFormatting>
  <conditionalFormatting sqref="BH29">
    <cfRule type="cellIs" dxfId="545" priority="50" stopIfTrue="1" operator="equal">
      <formula>0</formula>
    </cfRule>
  </conditionalFormatting>
  <conditionalFormatting sqref="BH34">
    <cfRule type="cellIs" dxfId="544" priority="49" stopIfTrue="1" operator="equal">
      <formula>0</formula>
    </cfRule>
  </conditionalFormatting>
  <conditionalFormatting sqref="BH41">
    <cfRule type="cellIs" dxfId="543" priority="48" stopIfTrue="1" operator="equal">
      <formula>0</formula>
    </cfRule>
  </conditionalFormatting>
  <conditionalFormatting sqref="BH58">
    <cfRule type="cellIs" dxfId="542" priority="47" stopIfTrue="1" operator="equal">
      <formula>0</formula>
    </cfRule>
  </conditionalFormatting>
  <conditionalFormatting sqref="BH59:BH62">
    <cfRule type="cellIs" dxfId="541" priority="46" stopIfTrue="1" operator="equal">
      <formula>0</formula>
    </cfRule>
  </conditionalFormatting>
  <conditionalFormatting sqref="BH71">
    <cfRule type="cellIs" dxfId="540" priority="45" stopIfTrue="1" operator="equal">
      <formula>0</formula>
    </cfRule>
  </conditionalFormatting>
  <conditionalFormatting sqref="BH78">
    <cfRule type="cellIs" dxfId="539" priority="44" stopIfTrue="1" operator="equal">
      <formula>0</formula>
    </cfRule>
  </conditionalFormatting>
  <conditionalFormatting sqref="BH93">
    <cfRule type="cellIs" dxfId="538" priority="43" stopIfTrue="1" operator="equal">
      <formula>0</formula>
    </cfRule>
  </conditionalFormatting>
  <conditionalFormatting sqref="BH97">
    <cfRule type="cellIs" dxfId="537" priority="42" stopIfTrue="1" operator="equal">
      <formula>0</formula>
    </cfRule>
  </conditionalFormatting>
  <conditionalFormatting sqref="AE22:AF22">
    <cfRule type="expression" dxfId="536" priority="40" stopIfTrue="1">
      <formula>$AW$4=0</formula>
    </cfRule>
  </conditionalFormatting>
  <conditionalFormatting sqref="AY44">
    <cfRule type="cellIs" dxfId="535" priority="37" stopIfTrue="1" operator="equal">
      <formula>0</formula>
    </cfRule>
  </conditionalFormatting>
  <conditionalFormatting sqref="AY30">
    <cfRule type="cellIs" dxfId="534" priority="39" stopIfTrue="1" operator="equal">
      <formula>0</formula>
    </cfRule>
  </conditionalFormatting>
  <conditionalFormatting sqref="BH48">
    <cfRule type="cellIs" dxfId="533" priority="38" stopIfTrue="1" operator="equal">
      <formula>0</formula>
    </cfRule>
  </conditionalFormatting>
  <conditionalFormatting sqref="AZ5">
    <cfRule type="cellIs" dxfId="532" priority="36" stopIfTrue="1" operator="equal">
      <formula>0</formula>
    </cfRule>
  </conditionalFormatting>
  <conditionalFormatting sqref="BI5">
    <cfRule type="cellIs" dxfId="531" priority="35" stopIfTrue="1" operator="equal">
      <formula>0</formula>
    </cfRule>
  </conditionalFormatting>
  <conditionalFormatting sqref="AZ83:AZ84">
    <cfRule type="cellIs" dxfId="530" priority="14" stopIfTrue="1" operator="equal">
      <formula>0</formula>
    </cfRule>
  </conditionalFormatting>
  <conditionalFormatting sqref="AY83:AY84">
    <cfRule type="cellIs" dxfId="529" priority="13" stopIfTrue="1" operator="equal">
      <formula>0</formula>
    </cfRule>
  </conditionalFormatting>
  <conditionalFormatting sqref="BH102:BH103">
    <cfRule type="cellIs" dxfId="528" priority="12" stopIfTrue="1" operator="equal">
      <formula>0</formula>
    </cfRule>
  </conditionalFormatting>
  <conditionalFormatting sqref="AZ96:AZ104">
    <cfRule type="cellIs" dxfId="527" priority="25" stopIfTrue="1" operator="equal">
      <formula>0</formula>
    </cfRule>
  </conditionalFormatting>
  <conditionalFormatting sqref="AZ94">
    <cfRule type="cellIs" dxfId="526" priority="19" stopIfTrue="1" operator="equal">
      <formula>0</formula>
    </cfRule>
  </conditionalFormatting>
  <conditionalFormatting sqref="AY103:AY104">
    <cfRule type="cellIs" dxfId="525" priority="31" stopIfTrue="1" operator="equal">
      <formula>0</formula>
    </cfRule>
  </conditionalFormatting>
  <conditionalFormatting sqref="AY102">
    <cfRule type="cellIs" dxfId="524" priority="30" stopIfTrue="1" operator="equal">
      <formula>0</formula>
    </cfRule>
  </conditionalFormatting>
  <conditionalFormatting sqref="AY96:AY101">
    <cfRule type="cellIs" dxfId="523" priority="29" stopIfTrue="1" operator="equal">
      <formula>0</formula>
    </cfRule>
  </conditionalFormatting>
  <conditionalFormatting sqref="V87:AC92">
    <cfRule type="expression" dxfId="522" priority="33" stopIfTrue="1">
      <formula>OR($AU$97=0,$AU$97=$AU$95)</formula>
    </cfRule>
  </conditionalFormatting>
  <conditionalFormatting sqref="AY94">
    <cfRule type="cellIs" dxfId="521" priority="18" stopIfTrue="1" operator="equal">
      <formula>0</formula>
    </cfRule>
  </conditionalFormatting>
  <conditionalFormatting sqref="BH106">
    <cfRule type="cellIs" dxfId="520" priority="23" stopIfTrue="1" operator="equal">
      <formula>0</formula>
    </cfRule>
  </conditionalFormatting>
  <conditionalFormatting sqref="AR87">
    <cfRule type="expression" dxfId="519" priority="22" stopIfTrue="1">
      <formula>$AU$87=AU89</formula>
    </cfRule>
  </conditionalFormatting>
  <conditionalFormatting sqref="AZ95">
    <cfRule type="cellIs" dxfId="518" priority="21" stopIfTrue="1" operator="equal">
      <formula>0</formula>
    </cfRule>
  </conditionalFormatting>
  <conditionalFormatting sqref="AY95">
    <cfRule type="cellIs" dxfId="517" priority="20" stopIfTrue="1" operator="equal">
      <formula>0</formula>
    </cfRule>
  </conditionalFormatting>
  <conditionalFormatting sqref="AZ85:AZ93">
    <cfRule type="cellIs" dxfId="516" priority="17" stopIfTrue="1" operator="equal">
      <formula>0</formula>
    </cfRule>
  </conditionalFormatting>
  <conditionalFormatting sqref="AY88:AY93">
    <cfRule type="cellIs" dxfId="515" priority="16" stopIfTrue="1" operator="equal">
      <formula>0</formula>
    </cfRule>
  </conditionalFormatting>
  <conditionalFormatting sqref="AY85:AY87">
    <cfRule type="cellIs" dxfId="514" priority="15" stopIfTrue="1" operator="equal">
      <formula>0</formula>
    </cfRule>
  </conditionalFormatting>
  <conditionalFormatting sqref="BI102">
    <cfRule type="cellIs" dxfId="513" priority="11" stopIfTrue="1" operator="equal">
      <formula>0</formula>
    </cfRule>
  </conditionalFormatting>
  <conditionalFormatting sqref="BH104:BH105">
    <cfRule type="cellIs" dxfId="512" priority="10" stopIfTrue="1" operator="equal">
      <formula>0</formula>
    </cfRule>
  </conditionalFormatting>
  <conditionalFormatting sqref="BI104:BI105">
    <cfRule type="cellIs" dxfId="511" priority="9" stopIfTrue="1" operator="equal">
      <formula>0</formula>
    </cfRule>
  </conditionalFormatting>
  <conditionalFormatting sqref="BI103">
    <cfRule type="cellIs" dxfId="510" priority="8" stopIfTrue="1" operator="equal">
      <formula>0</formula>
    </cfRule>
  </conditionalFormatting>
  <conditionalFormatting sqref="AZ107:AZ111">
    <cfRule type="cellIs" dxfId="509" priority="7" stopIfTrue="1" operator="equal">
      <formula>0</formula>
    </cfRule>
  </conditionalFormatting>
  <conditionalFormatting sqref="AY107:AY111">
    <cfRule type="cellIs" dxfId="508" priority="6" stopIfTrue="1" operator="equal">
      <formula>0</formula>
    </cfRule>
  </conditionalFormatting>
  <conditionalFormatting sqref="BH107 BH110:BH111">
    <cfRule type="cellIs" dxfId="507" priority="5" stopIfTrue="1" operator="equal">
      <formula>0</formula>
    </cfRule>
  </conditionalFormatting>
  <conditionalFormatting sqref="BI107:BI111">
    <cfRule type="cellIs" dxfId="506" priority="4" stopIfTrue="1" operator="equal">
      <formula>0</formula>
    </cfRule>
  </conditionalFormatting>
  <conditionalFormatting sqref="BH108:BH109">
    <cfRule type="cellIs" dxfId="505" priority="3" stopIfTrue="1" operator="equal">
      <formula>0</formula>
    </cfRule>
  </conditionalFormatting>
  <conditionalFormatting sqref="AI17:AO17">
    <cfRule type="expression" dxfId="504" priority="2" stopIfTrue="1">
      <formula>$AW$4=0</formula>
    </cfRule>
  </conditionalFormatting>
  <conditionalFormatting sqref="AI25:AO25">
    <cfRule type="expression" dxfId="503" priority="1" stopIfTrue="1">
      <formula>$AW$4=0</formula>
    </cfRule>
  </conditionalFormatting>
  <hyperlinks>
    <hyperlink ref="M4" location="MENU!A1" display="MENU!A1" xr:uid="{00000000-0004-0000-0D00-000000000000}"/>
    <hyperlink ref="M10" location="OBJ!A1" display="OBJ!A1" xr:uid="{00000000-0004-0000-0D00-000001000000}"/>
    <hyperlink ref="M9" location="suhrn!A1" display="suhrn!A1" xr:uid="{00000000-0004-0000-0D00-000002000000}"/>
    <hyperlink ref="O2:S2" location="MENU!A5" display="MENU!A5" xr:uid="{00000000-0004-0000-0D00-000003000000}"/>
    <hyperlink ref="AK9:AO10" location="'IT70(vn100)'!A66" display="'IT70(vn100)'!A66" xr:uid="{00000000-0004-0000-0D00-000004000000}"/>
    <hyperlink ref="AK9:AP10" location="'AVT187In(vn-A)'!A66" display="'AVT187In(vn-A)'!A66" xr:uid="{00000000-0004-0000-0D00-000005000000}"/>
    <hyperlink ref="M69" location="MENU!A1" display="MENU!A1" xr:uid="{00000000-0004-0000-0D00-000006000000}"/>
    <hyperlink ref="B67:E67" location="'AVT187In(vn-A)'!A1" display="'AVT187In(vn-A)'!A1" xr:uid="{00000000-0004-0000-0D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57">
    <tabColor rgb="FF00B050"/>
  </sheetPr>
  <dimension ref="A1:BK146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187"</f>
        <v>Zásuvka AVANTECH YOU 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SUM(BB5:BB1003)</f>
        <v>#N/A</v>
      </c>
      <c r="BD4" s="94" t="s">
        <v>34</v>
      </c>
      <c r="BK4" s="322" t="e">
        <f>SUM(BK5:BK996)</f>
        <v>#N/A</v>
      </c>
    </row>
    <row r="5" spans="1:63" ht="14.45" customHeight="1">
      <c r="AU5" s="319">
        <f>OBJ!B112</f>
        <v>9353353</v>
      </c>
      <c r="AV5" s="21" t="str">
        <f>VLOOKUP(AU5,CENY!$B$11:$G$1054,2,FALSE)</f>
        <v>AvanY-sólo oceľ.boky-NW 187/270mm/strieb.</v>
      </c>
      <c r="AW5" s="22">
        <f>VLOOKUP(AU5,CENY!$B$11:$G$1054,3,FALSE)</f>
        <v>1</v>
      </c>
      <c r="AX5" s="362">
        <v>4</v>
      </c>
      <c r="AY5" s="23">
        <f>O19+O20+O27+O28+O30</f>
        <v>0</v>
      </c>
      <c r="AZ5" s="326">
        <f>IF(AY5="","",IF($AW$4=1,AY5,0))</f>
        <v>0</v>
      </c>
      <c r="BA5" s="95">
        <f>VLOOKUP(AU5,CENY!$B$11:$M$2025,12,FALSE)</f>
        <v>37.606110000000001</v>
      </c>
      <c r="BB5" s="95">
        <f t="shared" ref="BB5:BB68" si="0">IF(BA5="","",BA5*AY5)</f>
        <v>0</v>
      </c>
      <c r="BD5" s="319">
        <f>OBJ!B122</f>
        <v>9255044</v>
      </c>
      <c r="BE5" s="21" t="str">
        <f>VLOOKUP(BD5,CENY!$B$11:$G$1054,2,FALSE)</f>
        <v>AvanY-bok ľavý /v187/h270/ strieborná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16.540590000000002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328</v>
      </c>
      <c r="G6" s="566"/>
      <c r="H6" s="566"/>
      <c r="I6" s="566"/>
      <c r="J6" s="566"/>
      <c r="K6" s="566"/>
      <c r="AU6" s="319">
        <f>OBJ!B113</f>
        <v>9353354</v>
      </c>
      <c r="AV6" s="21" t="str">
        <f>VLOOKUP(AU6,CENY!$B$11:$G$1054,2,FALSE)</f>
        <v>AvanY-sólo oceľ.boky-NW 187/300mm/strieb.</v>
      </c>
      <c r="AW6" s="22">
        <f>VLOOKUP(AU6,CENY!$B$11:$G$1054,3,FALSE)</f>
        <v>1</v>
      </c>
      <c r="AX6" s="362">
        <v>4</v>
      </c>
      <c r="AY6" s="23">
        <f>Q19+Q20+Q27+Q28+Q30</f>
        <v>0</v>
      </c>
      <c r="AZ6" s="326">
        <f t="shared" ref="AZ6:AZ69" si="1">IF(AY6="","",IF($AW$4=1,AY6,0))</f>
        <v>0</v>
      </c>
      <c r="BA6" s="95">
        <f>VLOOKUP(AU6,CENY!$B$11:$M$2025,12,FALSE)</f>
        <v>37.95196</v>
      </c>
      <c r="BB6" s="95">
        <f t="shared" si="0"/>
        <v>0</v>
      </c>
      <c r="BD6" s="319">
        <f>OBJ!B123</f>
        <v>9255045</v>
      </c>
      <c r="BE6" s="21" t="str">
        <f>VLOOKUP(BD6,CENY!$B$11:$G$1054,2,FALSE)</f>
        <v>AvanY-bok pravý /v187/h270/ strieborná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16.540590000000002</v>
      </c>
      <c r="BK6" s="95">
        <f t="shared" ref="BK6:BK69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OBJ!B114</f>
        <v>9353355</v>
      </c>
      <c r="AV7" s="21" t="str">
        <f>VLOOKUP(AU7,CENY!$B$11:$G$1054,2,FALSE)</f>
        <v>AvanY-sólo oceľ.boky-NW 187/350mm/strieb.</v>
      </c>
      <c r="AW7" s="22">
        <f>VLOOKUP(AU7,CENY!$B$11:$G$1054,3,FALSE)</f>
        <v>1</v>
      </c>
      <c r="AX7" s="362">
        <v>6</v>
      </c>
      <c r="AY7" s="23">
        <f>S19+S20+S27+S28+S30</f>
        <v>0</v>
      </c>
      <c r="AZ7" s="326">
        <f t="shared" si="1"/>
        <v>0</v>
      </c>
      <c r="BA7" s="95">
        <f>VLOOKUP(AU7,CENY!$B$11:$M$2025,12,FALSE)</f>
        <v>38.529060000000001</v>
      </c>
      <c r="BB7" s="95">
        <f t="shared" si="0"/>
        <v>0</v>
      </c>
      <c r="BD7" s="319">
        <f>OBJ!B124</f>
        <v>9255046</v>
      </c>
      <c r="BE7" s="21" t="str">
        <f>VLOOKUP(BD7,CENY!$B$11:$G$1054,2,FALSE)</f>
        <v>AvanY-bok ľavý /v187/h300/ strieborná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16.72522</v>
      </c>
      <c r="BK7" s="95">
        <f t="shared" si="3"/>
        <v>0</v>
      </c>
    </row>
    <row r="8" spans="1:63" ht="14.45" customHeight="1" thickBo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OBJ!B115</f>
        <v>9353356</v>
      </c>
      <c r="AV8" s="21" t="str">
        <f>VLOOKUP(AU8,CENY!$B$11:$G$1054,2,FALSE)</f>
        <v>AvanY-sólo oceľ.boky-NW 187/400mm/strieb.</v>
      </c>
      <c r="AW8" s="22">
        <f>VLOOKUP(AU8,CENY!$B$11:$G$1054,3,FALSE)</f>
        <v>1</v>
      </c>
      <c r="AX8" s="362">
        <v>6</v>
      </c>
      <c r="AY8" s="23">
        <f>U20+U28+U30</f>
        <v>0</v>
      </c>
      <c r="AZ8" s="326">
        <f t="shared" si="1"/>
        <v>0</v>
      </c>
      <c r="BA8" s="95">
        <f>VLOOKUP(AU8,CENY!$B$11:$M$2025,12,FALSE)</f>
        <v>39.106140000000003</v>
      </c>
      <c r="BB8" s="95">
        <f t="shared" si="0"/>
        <v>0</v>
      </c>
      <c r="BD8" s="319">
        <f>OBJ!B125</f>
        <v>9255047</v>
      </c>
      <c r="BE8" s="21" t="str">
        <f>VLOOKUP(BD8,CENY!$B$11:$G$1054,2,FALSE)</f>
        <v>AvanY-bok pravý /v187/h300/ strieborná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16.72522</v>
      </c>
      <c r="BK8" s="95">
        <f t="shared" si="3"/>
        <v>0</v>
      </c>
    </row>
    <row r="9" spans="1:63" ht="14.45" customHeight="1" thickTop="1">
      <c r="B9" s="552"/>
      <c r="C9" s="560"/>
      <c r="D9" s="560"/>
      <c r="E9" s="561"/>
      <c r="F9" s="562"/>
      <c r="G9" s="563"/>
      <c r="H9" s="563"/>
      <c r="I9" s="563"/>
      <c r="J9" s="563"/>
      <c r="K9" s="564"/>
      <c r="AK9" s="587" t="str">
        <f>verze!E160</f>
        <v>Je nutné natypovať šírky čiel ?</v>
      </c>
      <c r="AL9" s="588"/>
      <c r="AM9" s="588"/>
      <c r="AN9" s="588"/>
      <c r="AO9" s="588"/>
      <c r="AP9" s="589"/>
      <c r="AU9" s="319">
        <f>OBJ!B116</f>
        <v>9353357</v>
      </c>
      <c r="AV9" s="21" t="str">
        <f>VLOOKUP(AU9,CENY!$B$11:$G$1054,2,FALSE)</f>
        <v>AvanY-sólo oceľ.boky-NW 187/450mm/strieb.</v>
      </c>
      <c r="AW9" s="22">
        <f>VLOOKUP(AU9,CENY!$B$11:$G$1054,3,FALSE)</f>
        <v>1</v>
      </c>
      <c r="AX9" s="362">
        <v>6</v>
      </c>
      <c r="AY9" s="23">
        <f>W20+W22+W28+W30</f>
        <v>0</v>
      </c>
      <c r="AZ9" s="326">
        <f t="shared" si="1"/>
        <v>0</v>
      </c>
      <c r="BA9" s="95">
        <f>VLOOKUP(AU9,CENY!$B$11:$M$2025,12,FALSE)</f>
        <v>37.79374</v>
      </c>
      <c r="BB9" s="95">
        <f t="shared" si="0"/>
        <v>0</v>
      </c>
      <c r="BD9" s="319">
        <f>OBJ!B126</f>
        <v>9255048</v>
      </c>
      <c r="BE9" s="21" t="str">
        <f>VLOOKUP(BD9,CENY!$B$11:$G$1054,2,FALSE)</f>
        <v>AvanY-bok ľavý /v187/h350/ strieborná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17.033180000000002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K10" s="590"/>
      <c r="AL10" s="591"/>
      <c r="AM10" s="591"/>
      <c r="AN10" s="591"/>
      <c r="AO10" s="591"/>
      <c r="AP10" s="592"/>
      <c r="AU10" s="319">
        <f>OBJ!B117</f>
        <v>9353358</v>
      </c>
      <c r="AV10" s="21" t="str">
        <f>VLOOKUP(AU10,CENY!$B$11:$G$1054,2,FALSE)</f>
        <v>AvanY-sólo oceľ.boky-NW 187/500mm/strieb.</v>
      </c>
      <c r="AW10" s="22">
        <f>VLOOKUP(AU10,CENY!$B$11:$G$1054,3,FALSE)</f>
        <v>1</v>
      </c>
      <c r="AX10" s="362">
        <v>8</v>
      </c>
      <c r="AY10" s="23">
        <f>Y20+Y22+Y28+Y30</f>
        <v>0</v>
      </c>
      <c r="AZ10" s="326">
        <f t="shared" si="1"/>
        <v>0</v>
      </c>
      <c r="BA10" s="95">
        <f>VLOOKUP(AU10,CENY!$B$11:$M$2025,12,FALSE)</f>
        <v>38.343159999999997</v>
      </c>
      <c r="BB10" s="95">
        <f t="shared" si="0"/>
        <v>0</v>
      </c>
      <c r="BD10" s="319">
        <f>OBJ!B127</f>
        <v>9255049</v>
      </c>
      <c r="BE10" s="21" t="str">
        <f>VLOOKUP(BD10,CENY!$B$11:$G$1054,2,FALSE)</f>
        <v>AvanY-bok pravý /v187/h350/ strieborná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17.033180000000002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OBJ!B118</f>
        <v>9353359</v>
      </c>
      <c r="AV11" s="21" t="str">
        <f>VLOOKUP(AU11,CENY!$B$11:$G$1054,2,FALSE)</f>
        <v>AvanY-sólo oceľ.boky-NW 187/550mm/strieb.</v>
      </c>
      <c r="AW11" s="22">
        <f>VLOOKUP(AU11,CENY!$B$11:$G$1054,3,FALSE)</f>
        <v>1</v>
      </c>
      <c r="AX11" s="362">
        <v>8</v>
      </c>
      <c r="AY11" s="23">
        <f>AA20+AA22+AA28+AA30</f>
        <v>0</v>
      </c>
      <c r="AZ11" s="326">
        <f t="shared" si="1"/>
        <v>0</v>
      </c>
      <c r="BA11" s="95">
        <f>VLOOKUP(AU11,CENY!$B$11:$M$2025,12,FALSE)</f>
        <v>40.83719</v>
      </c>
      <c r="BB11" s="95">
        <f t="shared" si="0"/>
        <v>0</v>
      </c>
      <c r="BD11" s="319">
        <f>OBJ!B128</f>
        <v>9255050</v>
      </c>
      <c r="BE11" s="21" t="str">
        <f>VLOOKUP(BD11,CENY!$B$11:$G$1054,2,FALSE)</f>
        <v>AvanY-bok ľavý /v187/h400/ strieborná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17.340789999999998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OBJ!B119</f>
        <v>9353360</v>
      </c>
      <c r="AV12" s="21" t="str">
        <f>VLOOKUP(AU12,CENY!$B$11:$G$1054,2,FALSE)</f>
        <v>AvanY-sólo oceľ.boky-NW 187/600mm/strieb.</v>
      </c>
      <c r="AW12" s="22">
        <f>VLOOKUP(AU12,CENY!$B$11:$G$1054,3,FALSE)</f>
        <v>1</v>
      </c>
      <c r="AX12" s="362">
        <v>8</v>
      </c>
      <c r="AY12" s="23">
        <f>AC20+AC22+AC28+AC30</f>
        <v>0</v>
      </c>
      <c r="AZ12" s="326">
        <f t="shared" si="1"/>
        <v>0</v>
      </c>
      <c r="BA12" s="95">
        <f>VLOOKUP(AU12,CENY!$B$11:$M$2025,12,FALSE)</f>
        <v>41.752409999999998</v>
      </c>
      <c r="BB12" s="95">
        <f t="shared" si="0"/>
        <v>0</v>
      </c>
      <c r="BD12" s="319">
        <f>OBJ!B129</f>
        <v>9255051</v>
      </c>
      <c r="BE12" s="21" t="str">
        <f>VLOOKUP(BD12,CENY!$B$11:$G$1054,2,FALSE)</f>
        <v>AvanY-bok pravý /v187/h400/ strieborná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17.340789999999998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OBJ!B120</f>
        <v>9353371</v>
      </c>
      <c r="AV13" s="21" t="str">
        <f>VLOOKUP(AU13,CENY!$B$11:$G$1054,2,FALSE)</f>
        <v>AvanY-sólo oceľ.boky-NW 187/650mm/strieb.</v>
      </c>
      <c r="AW13" s="22">
        <f>VLOOKUP(AU13,CENY!$B$11:$G$1054,3,FALSE)</f>
        <v>1</v>
      </c>
      <c r="AX13" s="362">
        <v>10</v>
      </c>
      <c r="AY13" s="23">
        <f>AE22</f>
        <v>0</v>
      </c>
      <c r="AZ13" s="326">
        <f t="shared" si="1"/>
        <v>0</v>
      </c>
      <c r="BA13" s="95">
        <f>VLOOKUP(AU13,CENY!$B$11:$M$2025,12,FALSE)</f>
        <v>43.053130000000003</v>
      </c>
      <c r="BB13" s="95">
        <f t="shared" si="0"/>
        <v>0</v>
      </c>
      <c r="BD13" s="319">
        <f>OBJ!B130</f>
        <v>9255052</v>
      </c>
      <c r="BE13" s="21" t="str">
        <f>VLOOKUP(BD13,CENY!$B$11:$G$1054,2,FALSE)</f>
        <v>AvanY-bok ľavý /v187/h450/ strieborná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16.80836</v>
      </c>
      <c r="BK13" s="95">
        <f t="shared" si="3"/>
        <v>0</v>
      </c>
    </row>
    <row r="14" spans="1:63" ht="14.45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OBJ!B131</f>
        <v>9255053</v>
      </c>
      <c r="BE14" s="21" t="str">
        <f>VLOOKUP(BD14,CENY!$B$11:$G$1054,2,FALSE)</f>
        <v>AvanY-bok pravý /v187/h450/ strieborná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16.80836</v>
      </c>
      <c r="BK14" s="95">
        <f t="shared" si="3"/>
        <v>0</v>
      </c>
    </row>
    <row r="15" spans="1:63" ht="14.45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IF(FORM!AM18=FORM!AU16,0,2*(O19+O20+O27+O28+O30))</f>
        <v>0</v>
      </c>
      <c r="AZ15" s="326">
        <f t="shared" si="1"/>
        <v>0</v>
      </c>
      <c r="BA15" s="95">
        <f>VLOOKUP(AU15,CENY!$B$11:$M$2025,12,FALSE)</f>
        <v>0.95189000000000001</v>
      </c>
      <c r="BB15" s="95">
        <f t="shared" si="0"/>
        <v>0</v>
      </c>
      <c r="BD15" s="319">
        <f>OBJ!B132</f>
        <v>9255054</v>
      </c>
      <c r="BE15" s="21" t="str">
        <f>VLOOKUP(BD15,CENY!$B$11:$G$1054,2,FALSE)</f>
        <v>AvanY-bok ľavý /v187/h500/ strieborná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17.10154</v>
      </c>
      <c r="BK15" s="95">
        <f t="shared" si="3"/>
        <v>0</v>
      </c>
    </row>
    <row r="16" spans="1:63" ht="14.45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IF(FORM!AM18=FORM!AU16,0,2*(Q19+Q20+Q27+Q28+Q30))</f>
        <v>0</v>
      </c>
      <c r="AZ16" s="326">
        <f t="shared" si="1"/>
        <v>0</v>
      </c>
      <c r="BA16" s="95">
        <f>VLOOKUP(AU16,CENY!$B$11:$M$2025,12,FALSE)</f>
        <v>0.96240999999999999</v>
      </c>
      <c r="BB16" s="95">
        <f t="shared" si="0"/>
        <v>0</v>
      </c>
      <c r="BD16" s="319">
        <f>OBJ!B133</f>
        <v>9255055</v>
      </c>
      <c r="BE16" s="21" t="str">
        <f>VLOOKUP(BD16,CENY!$B$11:$G$1054,2,FALSE)</f>
        <v>AvanY-bok pravý /v187/h500/ strieborná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17.10154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I17" s="542" t="str">
        <f>verze!E198</f>
        <v>P2O Silent pre Actro</v>
      </c>
      <c r="AJ17" s="543"/>
      <c r="AK17" s="543"/>
      <c r="AL17" s="543"/>
      <c r="AM17" s="543"/>
      <c r="AN17" s="543"/>
      <c r="AO17" s="543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IF(FORM!AM18=FORM!AU16,0,2*(S19+S20+S27+S28+S30))</f>
        <v>0</v>
      </c>
      <c r="AZ17" s="326">
        <f t="shared" si="1"/>
        <v>0</v>
      </c>
      <c r="BA17" s="95">
        <f>VLOOKUP(AU17,CENY!$B$11:$M$2025,12,FALSE)</f>
        <v>0.98018000000000005</v>
      </c>
      <c r="BB17" s="95">
        <f t="shared" si="0"/>
        <v>0</v>
      </c>
      <c r="BD17" s="319">
        <f>OBJ!B134</f>
        <v>9255056</v>
      </c>
      <c r="BE17" s="21" t="str">
        <f>VLOOKUP(BD17,CENY!$B$11:$G$1054,2,FALSE)</f>
        <v>AvanY-bok ľavý /v187/h550/ strieborná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18.264230000000001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I18" s="545" t="s">
        <v>299</v>
      </c>
      <c r="AJ18" s="545"/>
      <c r="AK18" s="545"/>
      <c r="AL18" s="545"/>
      <c r="AM18" s="545"/>
      <c r="AN18" s="545"/>
      <c r="AO18" s="545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IF(FORM!AM18=FORM!AU16,0,2*(U20+U28+U30))</f>
        <v>0</v>
      </c>
      <c r="AZ18" s="326">
        <f t="shared" si="1"/>
        <v>0</v>
      </c>
      <c r="BA18" s="95">
        <f>VLOOKUP(AU18,CENY!$B$11:$M$2025,12,FALSE)</f>
        <v>0.99777000000000005</v>
      </c>
      <c r="BB18" s="95">
        <f t="shared" si="0"/>
        <v>0</v>
      </c>
      <c r="BD18" s="319">
        <f>OBJ!B135</f>
        <v>9255057</v>
      </c>
      <c r="BE18" s="21" t="str">
        <f>VLOOKUP(BD18,CENY!$B$11:$G$1054,2,FALSE)</f>
        <v>AvanY-bok pravý /v187/h550/ strieborná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18.264230000000001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69"/>
      <c r="P19" s="570"/>
      <c r="Q19" s="569"/>
      <c r="R19" s="570"/>
      <c r="S19" s="569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6"/>
      <c r="AO19" s="536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IF(FORM!AM18=FORM!AU16,0,2*(W20+W22+W28+W30))</f>
        <v>0</v>
      </c>
      <c r="AZ19" s="326">
        <f t="shared" si="1"/>
        <v>0</v>
      </c>
      <c r="BA19" s="95">
        <f>VLOOKUP(AU19,CENY!$B$11:$M$2025,12,FALSE)</f>
        <v>1.01556</v>
      </c>
      <c r="BB19" s="95">
        <f t="shared" si="0"/>
        <v>0</v>
      </c>
      <c r="BD19" s="319">
        <f>OBJ!B136</f>
        <v>9255058</v>
      </c>
      <c r="BE19" s="21" t="str">
        <f>VLOOKUP(BD19,CENY!$B$11:$G$1054,2,FALSE)</f>
        <v>AvanY-bok ľavý /v187/h600/ strieborná</v>
      </c>
      <c r="BF19" s="22">
        <f>VLOOKUP(BD19,CENY!$B$11:$G$1054,3,FALSE)</f>
        <v>10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18.728680000000001</v>
      </c>
      <c r="BK19" s="95">
        <f t="shared" si="3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18"/>
      <c r="P20" s="519"/>
      <c r="Q20" s="518"/>
      <c r="R20" s="519"/>
      <c r="S20" s="518"/>
      <c r="T20" s="519"/>
      <c r="U20" s="518"/>
      <c r="V20" s="519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I20" s="287"/>
      <c r="AJ20" s="288"/>
      <c r="AK20" s="287"/>
      <c r="AL20" s="288"/>
      <c r="AM20" s="286" t="s">
        <v>294</v>
      </c>
      <c r="AN20" s="522"/>
      <c r="AO20" s="522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IF(FORM!AM18=FORM!AU16,0,2*(Y20+Y22+Y28+Y30))</f>
        <v>0</v>
      </c>
      <c r="AZ20" s="326">
        <f t="shared" si="1"/>
        <v>0</v>
      </c>
      <c r="BA20" s="95">
        <f>VLOOKUP(AU20,CENY!$B$11:$M$2025,12,FALSE)</f>
        <v>1.0332399999999999</v>
      </c>
      <c r="BB20" s="95">
        <f t="shared" si="0"/>
        <v>0</v>
      </c>
      <c r="BD20" s="319">
        <f>OBJ!B137</f>
        <v>9255059</v>
      </c>
      <c r="BE20" s="21" t="str">
        <f>VLOOKUP(BD20,CENY!$B$11:$G$1054,2,FALSE)</f>
        <v>AvanY-bok pravý /v187/h600/ strieborná</v>
      </c>
      <c r="BF20" s="22">
        <f>VLOOKUP(BD20,CENY!$B$11:$G$1054,3,FALSE)</f>
        <v>10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18.728680000000001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4"/>
      <c r="AO21" s="544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IF(FORM!AM18=FORM!AU16,0,2*(AA20+AA22+AA28+AA30))</f>
        <v>0</v>
      </c>
      <c r="AZ21" s="326">
        <f t="shared" si="1"/>
        <v>0</v>
      </c>
      <c r="BA21" s="95">
        <f>VLOOKUP(AU21,CENY!$B$11:$M$2025,12,FALSE)</f>
        <v>1.0508599999999999</v>
      </c>
      <c r="BB21" s="95">
        <f t="shared" si="0"/>
        <v>0</v>
      </c>
      <c r="BD21" s="319">
        <f>OBJ!B138</f>
        <v>9255060</v>
      </c>
      <c r="BE21" s="21" t="str">
        <f>VLOOKUP(BD21,CENY!$B$11:$G$1054,2,FALSE)</f>
        <v>AvanY-bok ľavý /v187/h650/ strieborná</v>
      </c>
      <c r="BF21" s="22">
        <f>VLOOKUP(BD21,CENY!$B$11:$G$1054,3,FALSE)</f>
        <v>10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19.35998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67"/>
      <c r="AF22" s="568"/>
      <c r="AI22" s="287"/>
      <c r="AJ22" s="288"/>
      <c r="AK22" s="287"/>
      <c r="AL22" s="288"/>
      <c r="AM22" s="286" t="s">
        <v>297</v>
      </c>
      <c r="AN22" s="541"/>
      <c r="AO22" s="541"/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IF(FORM!AM18=FORM!AU16,0,2*(AC20+AC22+AC28+AC30))</f>
        <v>0</v>
      </c>
      <c r="AZ22" s="326">
        <f t="shared" si="1"/>
        <v>0</v>
      </c>
      <c r="BA22" s="95">
        <f>VLOOKUP(AU22,CENY!$B$11:$M$2025,12,FALSE)</f>
        <v>1.09639</v>
      </c>
      <c r="BB22" s="95">
        <f t="shared" si="0"/>
        <v>0</v>
      </c>
      <c r="BD22" s="319">
        <f>OBJ!B139</f>
        <v>9255061</v>
      </c>
      <c r="BE22" s="21" t="str">
        <f>VLOOKUP(BD22,CENY!$B$11:$G$1054,2,FALSE)</f>
        <v>AvanY-bok pravý /v187/h650/ strieborná</v>
      </c>
      <c r="BF22" s="22">
        <f>VLOOKUP(BD22,CENY!$B$11:$G$1054,3,FALSE)</f>
        <v>10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19.35998</v>
      </c>
      <c r="BK22" s="95">
        <f t="shared" si="3"/>
        <v>0</v>
      </c>
    </row>
    <row r="23" spans="2:63" ht="14.45" customHeight="1">
      <c r="O23" s="4"/>
      <c r="P23" s="4"/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IF(FORM!AM18=FORM!AU16,0,2*AE22)</f>
        <v>0</v>
      </c>
      <c r="AZ23" s="326">
        <f t="shared" si="1"/>
        <v>0</v>
      </c>
      <c r="BA23" s="95">
        <f>VLOOKUP(AU23,CENY!$B$11:$M$2025,12,FALSE)</f>
        <v>1.1824300000000001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5" customHeight="1"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20">
        <v>9255839</v>
      </c>
      <c r="BE24" s="321" t="str">
        <f>VLOOKUP(BD24,CENY!$B$11:$G$1054,2,FALSE)</f>
        <v>AvanY-prích.čela s rozp.púzdrom/ v187-251</v>
      </c>
      <c r="BF24" s="22">
        <f>VLOOKUP(BD24,CENY!$B$11:$G$1054,3,FALSE)</f>
        <v>200</v>
      </c>
      <c r="BG24" s="22"/>
      <c r="BH24" s="23">
        <v>0</v>
      </c>
      <c r="BI24" s="326">
        <f t="shared" si="2"/>
        <v>0</v>
      </c>
      <c r="BJ24" s="95">
        <f>VLOOKUP(BD24,CENY!$B$11:$M$2025,12,FALSE)</f>
        <v>2.3528199999999999</v>
      </c>
      <c r="BK24" s="95">
        <f t="shared" si="3"/>
        <v>0</v>
      </c>
    </row>
    <row r="25" spans="2:63" ht="14.45" customHeight="1" thickBot="1">
      <c r="B25" s="2" t="s">
        <v>285</v>
      </c>
      <c r="AI25" s="542" t="str">
        <f>verze!E199</f>
        <v>P2O Silent pre Quadro</v>
      </c>
      <c r="AJ25" s="543"/>
      <c r="AK25" s="543"/>
      <c r="AL25" s="543"/>
      <c r="AM25" s="543"/>
      <c r="AN25" s="543"/>
      <c r="AO25" s="543"/>
      <c r="AU25" s="319">
        <f>OBJ!B233</f>
        <v>9318154</v>
      </c>
      <c r="AV25" s="21" t="str">
        <f>VLOOKUP(AU25,CENY!$B$11:$G$1054,2,FALSE)</f>
        <v>Actro You(S) 270/SiSy 10kg; EB21</v>
      </c>
      <c r="AW25" s="22">
        <f>VLOOKUP(AU25,CENY!$B$11:$G$1054,3,FALSE)</f>
        <v>1</v>
      </c>
      <c r="AX25" s="362">
        <v>4</v>
      </c>
      <c r="AY25" s="23">
        <f>O19</f>
        <v>0</v>
      </c>
      <c r="AZ25" s="326">
        <f t="shared" si="1"/>
        <v>0</v>
      </c>
      <c r="BA25" s="95">
        <f>VLOOKUP(AU25,CENY!$B$11:$M$2025,12,FALSE)</f>
        <v>31.62575</v>
      </c>
      <c r="BB25" s="95">
        <f t="shared" si="0"/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2*(SUM(O19:T19)+SUM(O20:AD20)+SUM(W22:AF22)+SUM(O27:T27)+SUM(O28:AD28)+SUM(O30:AD30))</f>
        <v>0</v>
      </c>
      <c r="BI25" s="326">
        <f t="shared" si="2"/>
        <v>0</v>
      </c>
      <c r="BJ25" s="95">
        <f>VLOOKUP(BD25,CENY!$B$11:$M$2025,12,FALSE)</f>
        <v>0.74794000000000005</v>
      </c>
      <c r="BK25" s="95">
        <f t="shared" si="3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I26" s="545" t="s">
        <v>299</v>
      </c>
      <c r="AJ26" s="545"/>
      <c r="AK26" s="545"/>
      <c r="AL26" s="545"/>
      <c r="AM26" s="545"/>
      <c r="AN26" s="545"/>
      <c r="AO26" s="545"/>
      <c r="AU26" s="319">
        <f>OBJ!B234</f>
        <v>9318156</v>
      </c>
      <c r="AV26" s="21" t="str">
        <f>VLOOKUP(AU26,CENY!$B$11:$G$1054,2,FALSE)</f>
        <v>Actro You(S) 300/SiSy 10kg; EB21</v>
      </c>
      <c r="AW26" s="22">
        <f>VLOOKUP(AU26,CENY!$B$11:$G$1054,3,FALSE)</f>
        <v>1</v>
      </c>
      <c r="AX26" s="362">
        <v>4</v>
      </c>
      <c r="AY26" s="23">
        <f>Q19</f>
        <v>0</v>
      </c>
      <c r="AZ26" s="326">
        <f t="shared" si="1"/>
        <v>0</v>
      </c>
      <c r="BA26" s="95">
        <f>VLOOKUP(AU26,CENY!$B$11:$M$2025,12,FALSE)</f>
        <v>31.62575</v>
      </c>
      <c r="BB26" s="95">
        <f t="shared" si="0"/>
        <v>0</v>
      </c>
      <c r="BD26" s="20"/>
      <c r="BE26" s="21"/>
      <c r="BF26" s="22"/>
      <c r="BG26" s="22"/>
      <c r="BH26" s="23"/>
      <c r="BI26" s="326" t="str">
        <f t="shared" si="2"/>
        <v/>
      </c>
      <c r="BJ26" s="95"/>
      <c r="BK26" s="95" t="str">
        <f t="shared" si="3"/>
        <v/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69"/>
      <c r="P27" s="570"/>
      <c r="Q27" s="569"/>
      <c r="R27" s="570"/>
      <c r="S27" s="569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6"/>
      <c r="AO27" s="536"/>
      <c r="AU27" s="319">
        <f>OBJ!B235</f>
        <v>9318160</v>
      </c>
      <c r="AV27" s="21" t="str">
        <f>VLOOKUP(AU27,CENY!$B$11:$G$1054,2,FALSE)</f>
        <v>Actro You(S) 350/SiSy 10kg; EB21</v>
      </c>
      <c r="AW27" s="22">
        <f>VLOOKUP(AU27,CENY!$B$11:$G$1054,3,FALSE)</f>
        <v>1</v>
      </c>
      <c r="AX27" s="362">
        <v>4</v>
      </c>
      <c r="AY27" s="23">
        <f>S19</f>
        <v>0</v>
      </c>
      <c r="AZ27" s="326">
        <f t="shared" si="1"/>
        <v>0</v>
      </c>
      <c r="BA27" s="95">
        <f>VLOOKUP(AU27,CENY!$B$11:$M$2025,12,FALSE)</f>
        <v>31.62575</v>
      </c>
      <c r="BB27" s="95">
        <f t="shared" si="0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2*(O19+O20+O27+O28+O30)</f>
        <v>0</v>
      </c>
      <c r="BI27" s="326">
        <f t="shared" si="2"/>
        <v>0</v>
      </c>
      <c r="BJ27" s="95">
        <f>VLOOKUP(BD27,CENY!$B$11:$M$2025,12,FALSE)</f>
        <v>0.95189000000000001</v>
      </c>
      <c r="BK27" s="95">
        <f t="shared" si="3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18"/>
      <c r="P28" s="519"/>
      <c r="Q28" s="518"/>
      <c r="R28" s="519"/>
      <c r="S28" s="518"/>
      <c r="T28" s="519"/>
      <c r="U28" s="518"/>
      <c r="V28" s="519"/>
      <c r="W28" s="518"/>
      <c r="X28" s="519"/>
      <c r="Y28" s="518"/>
      <c r="Z28" s="519"/>
      <c r="AA28" s="518"/>
      <c r="AB28" s="519"/>
      <c r="AC28" s="518"/>
      <c r="AD28" s="519"/>
      <c r="AI28" s="287"/>
      <c r="AJ28" s="288"/>
      <c r="AK28" s="287"/>
      <c r="AL28" s="288"/>
      <c r="AM28" s="286" t="s">
        <v>294</v>
      </c>
      <c r="AN28" s="522"/>
      <c r="AO28" s="522"/>
      <c r="AU28" s="20"/>
      <c r="AV28" s="21"/>
      <c r="AW28" s="22"/>
      <c r="AX28" s="22"/>
      <c r="AY28" s="23"/>
      <c r="AZ28" s="326" t="str">
        <f t="shared" si="1"/>
        <v/>
      </c>
      <c r="BA28" s="95"/>
      <c r="BB28" s="95" t="str">
        <f t="shared" si="0"/>
        <v/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2*(Q19+Q20+Q27+Q28+Q30)</f>
        <v>0</v>
      </c>
      <c r="BI28" s="326">
        <f t="shared" si="2"/>
        <v>0</v>
      </c>
      <c r="BJ28" s="95">
        <f>VLOOKUP(BD28,CENY!$B$11:$M$2025,12,FALSE)</f>
        <v>0.96240999999999999</v>
      </c>
      <c r="BK28" s="95">
        <f t="shared" si="3"/>
        <v>0</v>
      </c>
    </row>
    <row r="29" spans="2:63" ht="14.45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9"/>
      <c r="AO29" s="529"/>
      <c r="AU29" s="319">
        <f>OBJ!B243</f>
        <v>9318186</v>
      </c>
      <c r="AV29" s="21" t="str">
        <f>VLOOKUP(AU29,CENY!$B$11:$G$1054,2,FALSE)</f>
        <v>Actro You(L) 270/SiSy 40kg; EB21</v>
      </c>
      <c r="AW29" s="22">
        <f>VLOOKUP(AU29,CENY!$B$11:$G$1054,3,FALSE)</f>
        <v>1</v>
      </c>
      <c r="AX29" s="362">
        <v>8</v>
      </c>
      <c r="AY29" s="23">
        <f>O20</f>
        <v>0</v>
      </c>
      <c r="AZ29" s="326">
        <f t="shared" si="1"/>
        <v>0</v>
      </c>
      <c r="BA29" s="95">
        <f>VLOOKUP(AU29,CENY!$B$11:$M$2025,12,FALSE)</f>
        <v>31.62575</v>
      </c>
      <c r="BB29" s="95">
        <f t="shared" si="0"/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2*(S19+S20+S27+S28+S30)</f>
        <v>0</v>
      </c>
      <c r="BI29" s="326">
        <f t="shared" si="2"/>
        <v>0</v>
      </c>
      <c r="BJ29" s="95">
        <f>VLOOKUP(BD29,CENY!$B$11:$M$2025,12,FALSE)</f>
        <v>0.98018000000000005</v>
      </c>
      <c r="BK29" s="95">
        <f t="shared" si="3"/>
        <v>0</v>
      </c>
    </row>
    <row r="30" spans="2:63" ht="14.45" customHeight="1" thickBot="1">
      <c r="B30" s="530" t="s">
        <v>373</v>
      </c>
      <c r="C30" s="530"/>
      <c r="D30" s="530"/>
      <c r="E30" s="530"/>
      <c r="F30" s="530"/>
      <c r="G30" s="530"/>
      <c r="H30" s="531" t="str">
        <f>verze!E18</f>
        <v>plnovýsuv</v>
      </c>
      <c r="I30" s="531"/>
      <c r="J30" s="531"/>
      <c r="K30" s="531"/>
      <c r="L30" s="531"/>
      <c r="M30" s="525" t="s">
        <v>1</v>
      </c>
      <c r="N30" s="526"/>
      <c r="O30" s="518"/>
      <c r="P30" s="519"/>
      <c r="Q30" s="518"/>
      <c r="R30" s="519"/>
      <c r="S30" s="518"/>
      <c r="T30" s="519"/>
      <c r="U30" s="518"/>
      <c r="V30" s="519"/>
      <c r="W30" s="518"/>
      <c r="X30" s="519"/>
      <c r="Y30" s="518"/>
      <c r="Z30" s="519"/>
      <c r="AA30" s="518"/>
      <c r="AB30" s="519"/>
      <c r="AC30" s="567"/>
      <c r="AD30" s="568"/>
      <c r="AU30" s="319">
        <f>OBJ!B244</f>
        <v>9318187</v>
      </c>
      <c r="AV30" s="21" t="str">
        <f>VLOOKUP(AU30,CENY!$B$11:$G$1054,2,FALSE)</f>
        <v>Actro You(L) 300/SiSy 40kg; EB21</v>
      </c>
      <c r="AW30" s="22">
        <f>VLOOKUP(AU30,CENY!$B$11:$G$1054,3,FALSE)</f>
        <v>1</v>
      </c>
      <c r="AX30" s="362">
        <v>8</v>
      </c>
      <c r="AY30" s="23">
        <f>Q20</f>
        <v>0</v>
      </c>
      <c r="AZ30" s="326">
        <f t="shared" si="1"/>
        <v>0</v>
      </c>
      <c r="BA30" s="95">
        <f>VLOOKUP(AU30,CENY!$B$11:$M$2025,12,FALSE)</f>
        <v>31.62575</v>
      </c>
      <c r="BB30" s="95">
        <f t="shared" si="0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2*(U20+U28+U30)</f>
        <v>0</v>
      </c>
      <c r="BI30" s="326">
        <f t="shared" si="2"/>
        <v>0</v>
      </c>
      <c r="BJ30" s="95">
        <f>VLOOKUP(BD30,CENY!$B$11:$M$2025,12,FALSE)</f>
        <v>0.99777000000000005</v>
      </c>
      <c r="BK30" s="95">
        <f t="shared" si="3"/>
        <v>0</v>
      </c>
    </row>
    <row r="31" spans="2:63" ht="14.45" customHeight="1">
      <c r="AU31" s="319">
        <f>OBJ!B245</f>
        <v>9318188</v>
      </c>
      <c r="AV31" s="21" t="str">
        <f>VLOOKUP(AU31,CENY!$B$11:$G$1054,2,FALSE)</f>
        <v>Actro You(L) 350/SiSy 40kg; EB21</v>
      </c>
      <c r="AW31" s="22">
        <f>VLOOKUP(AU31,CENY!$B$11:$G$1054,3,FALSE)</f>
        <v>1</v>
      </c>
      <c r="AX31" s="362">
        <v>8</v>
      </c>
      <c r="AY31" s="23">
        <f>S20</f>
        <v>0</v>
      </c>
      <c r="AZ31" s="326">
        <f t="shared" si="1"/>
        <v>0</v>
      </c>
      <c r="BA31" s="95">
        <f>VLOOKUP(AU31,CENY!$B$11:$M$2025,12,FALSE)</f>
        <v>31.62575</v>
      </c>
      <c r="BB31" s="95">
        <f t="shared" si="0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2*(W20+W22+W28+W30)</f>
        <v>0</v>
      </c>
      <c r="BI31" s="326">
        <f t="shared" si="2"/>
        <v>0</v>
      </c>
      <c r="BJ31" s="95">
        <f>VLOOKUP(BD31,CENY!$B$11:$M$2025,12,FALSE)</f>
        <v>1.01556</v>
      </c>
      <c r="BK31" s="95">
        <f t="shared" si="3"/>
        <v>0</v>
      </c>
    </row>
    <row r="32" spans="2:63" ht="14.45" customHeight="1">
      <c r="B32" s="366" t="str">
        <f>verze!E201</f>
        <v>SiSy = tlmenie Silent System</v>
      </c>
      <c r="AU32" s="319">
        <f>OBJ!B246</f>
        <v>9318190</v>
      </c>
      <c r="AV32" s="21" t="str">
        <f>VLOOKUP(AU32,CENY!$B$11:$G$1054,2,FALSE)</f>
        <v>Actro You(L) 400/SiSy 40kg; EB21</v>
      </c>
      <c r="AW32" s="22">
        <f>VLOOKUP(AU32,CENY!$B$11:$G$1054,3,FALSE)</f>
        <v>1</v>
      </c>
      <c r="AX32" s="362">
        <v>8</v>
      </c>
      <c r="AY32" s="23">
        <f>U20</f>
        <v>0</v>
      </c>
      <c r="AZ32" s="326">
        <f t="shared" si="1"/>
        <v>0</v>
      </c>
      <c r="BA32" s="95">
        <f>VLOOKUP(AU32,CENY!$B$11:$M$2025,12,FALSE)</f>
        <v>31.976389999999999</v>
      </c>
      <c r="BB32" s="95">
        <f t="shared" si="0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2*(Y20+Y22+Y28+Y30)</f>
        <v>0</v>
      </c>
      <c r="BI32" s="326">
        <f t="shared" si="2"/>
        <v>0</v>
      </c>
      <c r="BJ32" s="95">
        <f>VLOOKUP(BD32,CENY!$B$11:$M$2025,12,FALSE)</f>
        <v>1.0332399999999999</v>
      </c>
      <c r="BK32" s="95">
        <f t="shared" si="3"/>
        <v>0</v>
      </c>
    </row>
    <row r="33" spans="2:63" ht="14.45" customHeight="1">
      <c r="B33" s="366" t="str">
        <f>verze!E204</f>
        <v>P2O = otváranie bez úchytky Push to open</v>
      </c>
      <c r="AU33" s="319">
        <f>OBJ!B247</f>
        <v>9318191</v>
      </c>
      <c r="AV33" s="21" t="str">
        <f>VLOOKUP(AU33,CENY!$B$11:$G$1054,2,FALSE)</f>
        <v>Actro You(L) 450/SiSy 40kg; EB21</v>
      </c>
      <c r="AW33" s="22">
        <f>VLOOKUP(AU33,CENY!$B$11:$G$1054,3,FALSE)</f>
        <v>1</v>
      </c>
      <c r="AX33" s="362">
        <v>10</v>
      </c>
      <c r="AY33" s="23">
        <f>W20</f>
        <v>0</v>
      </c>
      <c r="AZ33" s="326">
        <f t="shared" si="1"/>
        <v>0</v>
      </c>
      <c r="BA33" s="95">
        <f>VLOOKUP(AU33,CENY!$B$11:$M$2025,12,FALSE)</f>
        <v>32.324420000000003</v>
      </c>
      <c r="BB33" s="95">
        <f t="shared" si="0"/>
        <v>0</v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2*(AA20+AA22+AA28+AA30)</f>
        <v>0</v>
      </c>
      <c r="BI33" s="326">
        <f t="shared" si="2"/>
        <v>0</v>
      </c>
      <c r="BJ33" s="95">
        <f>VLOOKUP(BD33,CENY!$B$11:$M$2025,12,FALSE)</f>
        <v>1.0508599999999999</v>
      </c>
      <c r="BK33" s="95">
        <f t="shared" si="3"/>
        <v>0</v>
      </c>
    </row>
    <row r="34" spans="2:63" ht="14.45" customHeight="1">
      <c r="B34" s="366" t="str">
        <f>verze!E203</f>
        <v>P2O Silent = tlmenie s otváraním bez úchytky Push to open Silent</v>
      </c>
      <c r="AU34" s="319">
        <f>OBJ!B248</f>
        <v>9318192</v>
      </c>
      <c r="AV34" s="21" t="str">
        <f>VLOOKUP(AU34,CENY!$B$11:$G$1054,2,FALSE)</f>
        <v>Actro You(L) 500/SiSy 40kg; EB21</v>
      </c>
      <c r="AW34" s="22">
        <f>VLOOKUP(AU34,CENY!$B$11:$G$1054,3,FALSE)</f>
        <v>1</v>
      </c>
      <c r="AX34" s="362">
        <v>10</v>
      </c>
      <c r="AY34" s="23">
        <f>Y20</f>
        <v>0</v>
      </c>
      <c r="AZ34" s="326">
        <f t="shared" si="1"/>
        <v>0</v>
      </c>
      <c r="BA34" s="95">
        <f>VLOOKUP(AU34,CENY!$B$11:$M$2025,12,FALSE)</f>
        <v>6.5957299999999996</v>
      </c>
      <c r="BB34" s="95">
        <f t="shared" si="0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2*(AC20+AC22+AC28+AC30)</f>
        <v>0</v>
      </c>
      <c r="BI34" s="326">
        <f t="shared" si="2"/>
        <v>0</v>
      </c>
      <c r="BJ34" s="95">
        <f>VLOOKUP(BD34,CENY!$B$11:$M$2025,12,FALSE)</f>
        <v>1.09639</v>
      </c>
      <c r="BK34" s="95">
        <f t="shared" si="3"/>
        <v>0</v>
      </c>
    </row>
    <row r="35" spans="2:63" ht="14.45" customHeight="1">
      <c r="AU35" s="319">
        <f>OBJ!B249</f>
        <v>9318194</v>
      </c>
      <c r="AV35" s="21" t="str">
        <f>VLOOKUP(AU35,CENY!$B$11:$G$1054,2,FALSE)</f>
        <v>Actro You(L) 550/SiSy 40kg; EB21</v>
      </c>
      <c r="AW35" s="22">
        <f>VLOOKUP(AU35,CENY!$B$11:$G$1054,3,FALSE)</f>
        <v>1</v>
      </c>
      <c r="AX35" s="362">
        <v>10</v>
      </c>
      <c r="AY35" s="23">
        <f>AA20</f>
        <v>0</v>
      </c>
      <c r="AZ35" s="326">
        <f t="shared" si="1"/>
        <v>0</v>
      </c>
      <c r="BA35" s="95">
        <f>VLOOKUP(AU35,CENY!$B$11:$M$2025,12,FALSE)</f>
        <v>6.9728000000000003</v>
      </c>
      <c r="BB35" s="95">
        <f t="shared" si="0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2*AE22</f>
        <v>0</v>
      </c>
      <c r="BI35" s="326">
        <f t="shared" si="2"/>
        <v>0</v>
      </c>
      <c r="BJ35" s="95">
        <f>VLOOKUP(BD35,CENY!$B$11:$M$2025,12,FALSE)</f>
        <v>1.1824300000000001</v>
      </c>
      <c r="BK35" s="95">
        <f t="shared" si="3"/>
        <v>0</v>
      </c>
    </row>
    <row r="36" spans="2:63" ht="14.45" customHeight="1">
      <c r="AU36" s="319">
        <f>OBJ!B250</f>
        <v>9318196</v>
      </c>
      <c r="AV36" s="21" t="str">
        <f>VLOOKUP(AU36,CENY!$B$11:$G$1054,2,FALSE)</f>
        <v>Actro You(L) 600/SiSy 40kg; EB21</v>
      </c>
      <c r="AW36" s="22">
        <f>VLOOKUP(AU36,CENY!$B$11:$G$1054,3,FALSE)</f>
        <v>1</v>
      </c>
      <c r="AX36" s="362">
        <v>10</v>
      </c>
      <c r="AY36" s="23">
        <f>AC20</f>
        <v>0</v>
      </c>
      <c r="AZ36" s="326">
        <f t="shared" si="1"/>
        <v>0</v>
      </c>
      <c r="BA36" s="95">
        <f>VLOOKUP(AU36,CENY!$B$11:$M$2025,12,FALSE)</f>
        <v>34.956960000000002</v>
      </c>
      <c r="BB36" s="95">
        <f t="shared" si="0"/>
        <v>0</v>
      </c>
      <c r="BD36" s="319"/>
      <c r="BE36" s="21"/>
      <c r="BF36" s="22"/>
      <c r="BG36" s="22"/>
      <c r="BH36" s="23"/>
      <c r="BI36" s="326" t="str">
        <f t="shared" si="2"/>
        <v/>
      </c>
      <c r="BJ36" s="95"/>
      <c r="BK36" s="95" t="str">
        <f t="shared" si="3"/>
        <v/>
      </c>
    </row>
    <row r="37" spans="2:63" ht="14.45" customHeight="1">
      <c r="AU37" s="319"/>
      <c r="AV37" s="21"/>
      <c r="AW37" s="22"/>
      <c r="AX37" s="22"/>
      <c r="AY37" s="23"/>
      <c r="AZ37" s="326" t="str">
        <f t="shared" si="1"/>
        <v/>
      </c>
      <c r="BA37" s="95"/>
      <c r="BB37" s="95" t="str">
        <f t="shared" si="0"/>
        <v/>
      </c>
      <c r="BD37" s="319">
        <f>OBJ!B236</f>
        <v>9318145</v>
      </c>
      <c r="BE37" s="21" t="str">
        <f>VLOOKUP(BD37,CENY!$B$11:$G$1054,2,FALSE)</f>
        <v>Actro You(S) 270/SiSy 10kg;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si="2"/>
        <v>0</v>
      </c>
      <c r="BJ37" s="95" t="e">
        <f>VLOOKUP(BD37,CENY!$B$11:$M$2025,12,FALSE)</f>
        <v>#N/A</v>
      </c>
      <c r="BK37" s="95" t="e">
        <f t="shared" si="3"/>
        <v>#N/A</v>
      </c>
    </row>
    <row r="38" spans="2:63" ht="14.45" customHeight="1">
      <c r="AU38" s="319">
        <f>OBJ!B268</f>
        <v>9318215</v>
      </c>
      <c r="AV38" s="21" t="str">
        <f>VLOOKUP(AU38,CENY!$B$11:$G$1054,2,FALSE)</f>
        <v>Actro You(XL) 450/SiSy 70kg; EB21</v>
      </c>
      <c r="AW38" s="22">
        <f>VLOOKUP(AU38,CENY!$B$11:$G$1054,3,FALSE)</f>
        <v>1</v>
      </c>
      <c r="AX38" s="362">
        <v>10</v>
      </c>
      <c r="AY38" s="23">
        <f>W22</f>
        <v>0</v>
      </c>
      <c r="AZ38" s="326">
        <f t="shared" si="1"/>
        <v>0</v>
      </c>
      <c r="BA38" s="95">
        <f>VLOOKUP(AU38,CENY!$B$11:$M$2025,12,FALSE)</f>
        <v>7.9265800000000004</v>
      </c>
      <c r="BB38" s="95">
        <f t="shared" si="0"/>
        <v>0</v>
      </c>
      <c r="BD38" s="319">
        <f>OBJ!B237</f>
        <v>9318146</v>
      </c>
      <c r="BE38" s="21" t="str">
        <f>VLOOKUP(BD38,CENY!$B$11:$G$1054,2,FALSE)</f>
        <v>Actro You(S) 270/SiSy 10kg;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 t="e">
        <f>VLOOKUP(BD38,CENY!$B$11:$M$2025,12,FALSE)</f>
        <v>#N/A</v>
      </c>
      <c r="BK38" s="95" t="e">
        <f t="shared" si="3"/>
        <v>#N/A</v>
      </c>
    </row>
    <row r="39" spans="2:63" ht="14.45" customHeight="1">
      <c r="AU39" s="319">
        <f>OBJ!B269</f>
        <v>9318216</v>
      </c>
      <c r="AV39" s="21" t="str">
        <f>VLOOKUP(AU39,CENY!$B$11:$G$1054,2,FALSE)</f>
        <v>Actro You(XL) 500/SiSy 70kg; EB21</v>
      </c>
      <c r="AW39" s="22">
        <f>VLOOKUP(AU39,CENY!$B$11:$G$1054,3,FALSE)</f>
        <v>1</v>
      </c>
      <c r="AX39" s="362">
        <v>10</v>
      </c>
      <c r="AY39" s="23">
        <f>Y22</f>
        <v>0</v>
      </c>
      <c r="AZ39" s="326">
        <f t="shared" si="1"/>
        <v>0</v>
      </c>
      <c r="BA39" s="95">
        <f>VLOOKUP(AU39,CENY!$B$11:$M$2025,12,FALSE)</f>
        <v>39.622210000000003</v>
      </c>
      <c r="BB39" s="95">
        <f t="shared" si="0"/>
        <v>0</v>
      </c>
      <c r="BD39" s="319">
        <f>OBJ!B238</f>
        <v>9318147</v>
      </c>
      <c r="BE39" s="21" t="str">
        <f>VLOOKUP(BD39,CENY!$B$11:$G$1054,2,FALSE)</f>
        <v>Actro You(S) 300/SiSy 10kg;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2"/>
        <v>0</v>
      </c>
      <c r="BJ39" s="95" t="e">
        <f>VLOOKUP(BD39,CENY!$B$11:$M$2025,12,FALSE)</f>
        <v>#N/A</v>
      </c>
      <c r="BK39" s="95" t="e">
        <f t="shared" si="3"/>
        <v>#N/A</v>
      </c>
    </row>
    <row r="40" spans="2:63" ht="14.45" customHeight="1">
      <c r="AU40" s="319">
        <f>OBJ!B270</f>
        <v>9318217</v>
      </c>
      <c r="AV40" s="21" t="str">
        <f>VLOOKUP(AU40,CENY!$B$11:$G$1054,2,FALSE)</f>
        <v>Actro You(XL) 550/SiSy 70kg; EB21</v>
      </c>
      <c r="AW40" s="22">
        <f>VLOOKUP(AU40,CENY!$B$11:$G$1054,3,FALSE)</f>
        <v>1</v>
      </c>
      <c r="AX40" s="362">
        <v>10</v>
      </c>
      <c r="AY40" s="23">
        <f>AA22</f>
        <v>0</v>
      </c>
      <c r="AZ40" s="326">
        <f t="shared" si="1"/>
        <v>0</v>
      </c>
      <c r="BA40" s="95">
        <f>VLOOKUP(AU40,CENY!$B$11:$M$2025,12,FALSE)</f>
        <v>41.504899999999999</v>
      </c>
      <c r="BB40" s="95">
        <f t="shared" si="0"/>
        <v>0</v>
      </c>
      <c r="BD40" s="319">
        <f>OBJ!B239</f>
        <v>9318148</v>
      </c>
      <c r="BE40" s="21" t="str">
        <f>VLOOKUP(BD40,CENY!$B$11:$G$1054,2,FALSE)</f>
        <v>Actro You(S) 300/SiSy 10kg;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 t="e">
        <f>VLOOKUP(BD40,CENY!$B$11:$M$2025,12,FALSE)</f>
        <v>#N/A</v>
      </c>
      <c r="BK40" s="95" t="e">
        <f t="shared" si="3"/>
        <v>#N/A</v>
      </c>
    </row>
    <row r="41" spans="2:63" ht="14.45" customHeight="1">
      <c r="AU41" s="319">
        <f>OBJ!B271</f>
        <v>9318218</v>
      </c>
      <c r="AV41" s="21" t="str">
        <f>VLOOKUP(AU41,CENY!$B$11:$G$1054,2,FALSE)</f>
        <v>Actro You(XL) 600/SiSy 70kg; EB21</v>
      </c>
      <c r="AW41" s="22">
        <f>VLOOKUP(AU41,CENY!$B$11:$G$1054,3,FALSE)</f>
        <v>1</v>
      </c>
      <c r="AX41" s="362">
        <v>10</v>
      </c>
      <c r="AY41" s="23">
        <f>AC22</f>
        <v>0</v>
      </c>
      <c r="AZ41" s="326">
        <f t="shared" si="1"/>
        <v>0</v>
      </c>
      <c r="BA41" s="95">
        <f>VLOOKUP(AU41,CENY!$B$11:$M$2025,12,FALSE)</f>
        <v>45.308109999999999</v>
      </c>
      <c r="BB41" s="95">
        <f t="shared" si="0"/>
        <v>0</v>
      </c>
      <c r="BD41" s="319">
        <f>OBJ!B240</f>
        <v>9318149</v>
      </c>
      <c r="BE41" s="21" t="str">
        <f>VLOOKUP(BD41,CENY!$B$11:$G$1054,2,FALSE)</f>
        <v>Actro You(S) 350/SiSy 10kg;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14.37729</v>
      </c>
      <c r="BK41" s="95">
        <f t="shared" si="3"/>
        <v>0</v>
      </c>
    </row>
    <row r="42" spans="2:63" ht="14.45" customHeight="1">
      <c r="AU42" s="319">
        <f>OBJ!B272</f>
        <v>9318219</v>
      </c>
      <c r="AV42" s="21" t="str">
        <f>VLOOKUP(AU42,CENY!$B$11:$G$1054,2,FALSE)</f>
        <v>Actro You(XL) 650/SiSy 70kg; EB21</v>
      </c>
      <c r="AW42" s="22">
        <f>VLOOKUP(AU42,CENY!$B$11:$G$1054,3,FALSE)</f>
        <v>1</v>
      </c>
      <c r="AX42" s="362">
        <v>10</v>
      </c>
      <c r="AY42" s="23">
        <f>AE22</f>
        <v>0</v>
      </c>
      <c r="AZ42" s="326">
        <f t="shared" si="1"/>
        <v>0</v>
      </c>
      <c r="BA42" s="95">
        <f>VLOOKUP(AU42,CENY!$B$11:$M$2025,12,FALSE)</f>
        <v>47.02431</v>
      </c>
      <c r="BB42" s="95">
        <f t="shared" si="0"/>
        <v>0</v>
      </c>
      <c r="BD42" s="319">
        <f>OBJ!B241</f>
        <v>9318150</v>
      </c>
      <c r="BE42" s="21" t="str">
        <f>VLOOKUP(BD42,CENY!$B$11:$G$1054,2,FALSE)</f>
        <v>Actro You(S) 350/SiSy 10kg;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14.37729</v>
      </c>
      <c r="BK42" s="95">
        <f t="shared" si="3"/>
        <v>0</v>
      </c>
    </row>
    <row r="43" spans="2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3"/>
        <v/>
      </c>
    </row>
    <row r="44" spans="2:63" ht="14.45" customHeight="1">
      <c r="AU44" s="319">
        <f>OBJ!B284</f>
        <v>9257890</v>
      </c>
      <c r="AV44" s="21" t="str">
        <f>VLOOKUP(AU44,CENY!$B$11:$G$1054,2,FALSE)</f>
        <v>Actro You - Push to open Silent; &lt;10kg</v>
      </c>
      <c r="AW44" s="22">
        <f>VLOOKUP(AU44,CENY!$B$11:$G$1054,3,FALSE)</f>
        <v>1</v>
      </c>
      <c r="AX44" s="22"/>
      <c r="AY44" s="23">
        <f>AN19</f>
        <v>0</v>
      </c>
      <c r="AZ44" s="326">
        <f t="shared" si="1"/>
        <v>0</v>
      </c>
      <c r="BA44" s="95">
        <f>VLOOKUP(AU44,CENY!$B$11:$M$2025,12,FALSE)</f>
        <v>23.177009999999999</v>
      </c>
      <c r="BB44" s="95">
        <f t="shared" si="0"/>
        <v>0</v>
      </c>
      <c r="BD44" s="319">
        <f>OBJ!B251</f>
        <v>9318167</v>
      </c>
      <c r="BE44" s="21" t="str">
        <f>VLOOKUP(BD44,CENY!$B$11:$G$1054,2,FALSE)</f>
        <v>Actro You(L) 270/SiSy 40kg; EB21; ľavý</v>
      </c>
      <c r="BF44" s="22">
        <f>VLOOKUP(BD44,CENY!$B$11:$G$1054,3,FALSE)</f>
        <v>10</v>
      </c>
      <c r="BG44" s="22"/>
      <c r="BH44" s="23">
        <f>AY29</f>
        <v>0</v>
      </c>
      <c r="BI44" s="326">
        <f t="shared" si="2"/>
        <v>0</v>
      </c>
      <c r="BJ44" s="95" t="e">
        <f>VLOOKUP(BD44,CENY!$B$11:$M$2025,12,FALSE)</f>
        <v>#N/A</v>
      </c>
      <c r="BK44" s="95" t="e">
        <f t="shared" si="3"/>
        <v>#N/A</v>
      </c>
    </row>
    <row r="45" spans="2:63" ht="14.45" customHeight="1">
      <c r="AU45" s="319">
        <f>OBJ!B285</f>
        <v>9257891</v>
      </c>
      <c r="AV45" s="21" t="str">
        <f>VLOOKUP(AU45,CENY!$B$11:$G$1054,2,FALSE)</f>
        <v>Actro You - Push to open Silent; 8-20kg</v>
      </c>
      <c r="AW45" s="22">
        <f>VLOOKUP(AU45,CENY!$B$11:$G$1054,3,FALSE)</f>
        <v>1</v>
      </c>
      <c r="AX45" s="22"/>
      <c r="AY45" s="23">
        <f>AN20</f>
        <v>0</v>
      </c>
      <c r="AZ45" s="326">
        <f t="shared" si="1"/>
        <v>0</v>
      </c>
      <c r="BA45" s="95">
        <f>VLOOKUP(AU45,CENY!$B$11:$M$2025,12,FALSE)</f>
        <v>23.177009999999999</v>
      </c>
      <c r="BB45" s="95">
        <f t="shared" si="0"/>
        <v>0</v>
      </c>
      <c r="BD45" s="319">
        <f>OBJ!B252</f>
        <v>9318170</v>
      </c>
      <c r="BE45" s="21" t="str">
        <f>VLOOKUP(BD45,CENY!$B$11:$G$1054,2,FALSE)</f>
        <v>Actro You(L) 270/SiSy 40kg; EB21; pravý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"/>
        <v>0</v>
      </c>
      <c r="BJ45" s="95" t="e">
        <f>VLOOKUP(BD45,CENY!$B$11:$M$2025,12,FALSE)</f>
        <v>#N/A</v>
      </c>
      <c r="BK45" s="95" t="e">
        <f t="shared" si="3"/>
        <v>#N/A</v>
      </c>
    </row>
    <row r="46" spans="2:63" ht="14.45" customHeight="1">
      <c r="AU46" s="319">
        <f>OBJ!B286</f>
        <v>9257892</v>
      </c>
      <c r="AV46" s="21" t="str">
        <f>VLOOKUP(AU46,CENY!$B$11:$G$1054,2,FALSE)</f>
        <v>Actro You - Push to open Silent; 10-40kg</v>
      </c>
      <c r="AW46" s="22">
        <f>VLOOKUP(AU46,CENY!$B$11:$G$1054,3,FALSE)</f>
        <v>1</v>
      </c>
      <c r="AX46" s="22"/>
      <c r="AY46" s="23">
        <f>AN21</f>
        <v>0</v>
      </c>
      <c r="AZ46" s="326">
        <f t="shared" si="1"/>
        <v>0</v>
      </c>
      <c r="BA46" s="95">
        <f>VLOOKUP(AU46,CENY!$B$11:$M$2025,12,FALSE)</f>
        <v>23.177009999999999</v>
      </c>
      <c r="BB46" s="95">
        <f t="shared" si="0"/>
        <v>0</v>
      </c>
      <c r="BD46" s="319">
        <f>OBJ!B253</f>
        <v>9318171</v>
      </c>
      <c r="BE46" s="21" t="str">
        <f>VLOOKUP(BD46,CENY!$B$11:$G$1054,2,FALSE)</f>
        <v>Actro You(L) 300/SiSy 40kg; EB21; ľavý</v>
      </c>
      <c r="BF46" s="22">
        <f>VLOOKUP(BD46,CENY!$B$11:$G$1054,3,FALSE)</f>
        <v>10</v>
      </c>
      <c r="BG46" s="22"/>
      <c r="BH46" s="23">
        <f>AY30</f>
        <v>0</v>
      </c>
      <c r="BI46" s="326">
        <f t="shared" si="2"/>
        <v>0</v>
      </c>
      <c r="BJ46" s="95">
        <f>VLOOKUP(BD46,CENY!$B$11:$M$2025,12,FALSE)</f>
        <v>14.37729</v>
      </c>
      <c r="BK46" s="95">
        <f t="shared" si="3"/>
        <v>0</v>
      </c>
    </row>
    <row r="47" spans="2:63" ht="14.45" customHeight="1">
      <c r="AU47" s="319">
        <f>OBJ!B287</f>
        <v>9257893</v>
      </c>
      <c r="AV47" s="21" t="str">
        <f>VLOOKUP(AU47,CENY!$B$11:$G$1054,2,FALSE)</f>
        <v>Actro You - Push to open Silent; 20-70kg</v>
      </c>
      <c r="AW47" s="22">
        <f>VLOOKUP(AU47,CENY!$B$11:$G$1054,3,FALSE)</f>
        <v>1</v>
      </c>
      <c r="AX47" s="22"/>
      <c r="AY47" s="23">
        <f>AN22</f>
        <v>0</v>
      </c>
      <c r="AZ47" s="326">
        <f t="shared" si="1"/>
        <v>0</v>
      </c>
      <c r="BA47" s="95">
        <f>VLOOKUP(AU47,CENY!$B$11:$M$2025,12,FALSE)</f>
        <v>23.177009999999999</v>
      </c>
      <c r="BB47" s="95">
        <f t="shared" si="0"/>
        <v>0</v>
      </c>
      <c r="BD47" s="319">
        <f>OBJ!B254</f>
        <v>9318172</v>
      </c>
      <c r="BE47" s="21" t="str">
        <f>VLOOKUP(BD47,CENY!$B$11:$G$1054,2,FALSE)</f>
        <v>Actro You(L) 300/SiSy 40kg; EB21; pravý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14.37729</v>
      </c>
      <c r="BK47" s="95">
        <f t="shared" si="3"/>
        <v>0</v>
      </c>
    </row>
    <row r="48" spans="2:63" ht="14.45" customHeight="1">
      <c r="AU48" s="319">
        <f>OBJ!B288</f>
        <v>9236718</v>
      </c>
      <c r="AV48" s="21" t="str">
        <f>VLOOKUP(AU48,CENY!$B$11:$G$1054,2,FALSE)</f>
        <v>Push to open Synchro / tyč 2.000 mm</v>
      </c>
      <c r="AW48" s="22">
        <f>VLOOKUP(AU48,CENY!$B$11:$G$1054,3,FALSE)</f>
        <v>100</v>
      </c>
      <c r="AX48" s="22"/>
      <c r="AY48" s="23">
        <f>IF(SUM(AN19:AO22)+SUM(AN27:AO29)+SUM(O30:AD30)=0,0,AY83)</f>
        <v>0</v>
      </c>
      <c r="AZ48" s="326">
        <f t="shared" si="1"/>
        <v>0</v>
      </c>
      <c r="BA48" s="95">
        <f>VLOOKUP(AU48,CENY!$B$11:$M$2025,12,FALSE)</f>
        <v>8.7567500000000003</v>
      </c>
      <c r="BB48" s="95">
        <f t="shared" si="0"/>
        <v>0</v>
      </c>
      <c r="BD48" s="319">
        <f>OBJ!B255</f>
        <v>9318173</v>
      </c>
      <c r="BE48" s="21" t="str">
        <f>VLOOKUP(BD48,CENY!$B$11:$G$1054,2,FALSE)</f>
        <v>Actro You(L) 350/SiSy 40kg; EB21; ľavý</v>
      </c>
      <c r="BF48" s="22">
        <f>VLOOKUP(BD48,CENY!$B$11:$G$1054,3,FALSE)</f>
        <v>10</v>
      </c>
      <c r="BG48" s="22"/>
      <c r="BH48" s="23">
        <f>AY31</f>
        <v>0</v>
      </c>
      <c r="BI48" s="326">
        <f t="shared" si="2"/>
        <v>0</v>
      </c>
      <c r="BJ48" s="95">
        <f>VLOOKUP(BD48,CENY!$B$11:$M$2025,12,FALSE)</f>
        <v>14.37729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OBJ!B256</f>
        <v>9318174</v>
      </c>
      <c r="BE49" s="21" t="str">
        <f>VLOOKUP(BD49,CENY!$B$11:$G$1054,2,FALSE)</f>
        <v>Actro You(L) 350/SiSy 40kg; EB21; pravý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 t="e">
        <f>VLOOKUP(BD49,CENY!$B$11:$M$2025,12,FALSE)</f>
        <v>#N/A</v>
      </c>
      <c r="BK49" s="95" t="e">
        <f t="shared" si="3"/>
        <v>#N/A</v>
      </c>
    </row>
    <row r="50" spans="47:63" ht="14.45" customHeight="1">
      <c r="AU50" s="319">
        <f>OBJ!B294</f>
        <v>9256953</v>
      </c>
      <c r="AV50" s="21" t="str">
        <f>VLOOKUP(AU50,CENY!$B$11:$G$1054,2,FALSE)</f>
        <v>Quadro You(S) 270/SiSy 10kg; EB21</v>
      </c>
      <c r="AW50" s="22">
        <f>VLOOKUP(AU50,CENY!$B$11:$G$1054,3,FALSE)</f>
        <v>1</v>
      </c>
      <c r="AX50" s="362">
        <v>4</v>
      </c>
      <c r="AY50" s="23">
        <f>O27</f>
        <v>0</v>
      </c>
      <c r="AZ50" s="326">
        <f t="shared" si="1"/>
        <v>0</v>
      </c>
      <c r="BA50" s="95">
        <f>VLOOKUP(AU50,CENY!$B$11:$M$2025,12,FALSE)</f>
        <v>23.022449999999999</v>
      </c>
      <c r="BB50" s="95">
        <f t="shared" si="0"/>
        <v>0</v>
      </c>
      <c r="BD50" s="319">
        <f>OBJ!B257</f>
        <v>9318175</v>
      </c>
      <c r="BE50" s="21" t="str">
        <f>VLOOKUP(BD50,CENY!$B$11:$G$1054,2,FALSE)</f>
        <v>Actro You(L) 400/SiSy 40kg; EB21; ľavý</v>
      </c>
      <c r="BF50" s="22">
        <f>VLOOKUP(BD50,CENY!$B$11:$G$1054,3,FALSE)</f>
        <v>10</v>
      </c>
      <c r="BG50" s="22"/>
      <c r="BH50" s="23">
        <f>AY32</f>
        <v>0</v>
      </c>
      <c r="BI50" s="326">
        <f t="shared" si="2"/>
        <v>0</v>
      </c>
      <c r="BJ50" s="95">
        <f>VLOOKUP(BD50,CENY!$B$11:$M$2025,12,FALSE)</f>
        <v>14.56085</v>
      </c>
      <c r="BK50" s="95">
        <f t="shared" si="3"/>
        <v>0</v>
      </c>
    </row>
    <row r="51" spans="47:63" ht="14.45" customHeight="1">
      <c r="AU51" s="319">
        <f>OBJ!B295</f>
        <v>9256954</v>
      </c>
      <c r="AV51" s="21" t="str">
        <f>VLOOKUP(AU51,CENY!$B$11:$G$1054,2,FALSE)</f>
        <v>Quadro You(S) 300/SiSy 10kg; EB21</v>
      </c>
      <c r="AW51" s="22">
        <f>VLOOKUP(AU51,CENY!$B$11:$G$1054,3,FALSE)</f>
        <v>1</v>
      </c>
      <c r="AX51" s="362">
        <v>4</v>
      </c>
      <c r="AY51" s="23">
        <f>Q27</f>
        <v>0</v>
      </c>
      <c r="AZ51" s="326">
        <f t="shared" si="1"/>
        <v>0</v>
      </c>
      <c r="BA51" s="95">
        <f>VLOOKUP(AU51,CENY!$B$11:$M$2025,12,FALSE)</f>
        <v>23.069210000000002</v>
      </c>
      <c r="BB51" s="95">
        <f t="shared" si="0"/>
        <v>0</v>
      </c>
      <c r="BD51" s="319">
        <f>OBJ!B258</f>
        <v>9318176</v>
      </c>
      <c r="BE51" s="21" t="str">
        <f>VLOOKUP(BD51,CENY!$B$11:$G$1054,2,FALSE)</f>
        <v>Actro You(L) 400/SiSy 40kg; EB21; pravý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14.56085</v>
      </c>
      <c r="BK51" s="95">
        <f t="shared" si="3"/>
        <v>0</v>
      </c>
    </row>
    <row r="52" spans="47:63" ht="14.45" customHeight="1">
      <c r="AU52" s="319">
        <f>OBJ!B296</f>
        <v>9256956</v>
      </c>
      <c r="AV52" s="21" t="str">
        <f>VLOOKUP(AU52,CENY!$B$11:$G$1054,2,FALSE)</f>
        <v>Quadro You(S) 350/SiSy 10kg; EB21</v>
      </c>
      <c r="AW52" s="22">
        <f>VLOOKUP(AU52,CENY!$B$11:$G$1054,3,FALSE)</f>
        <v>1</v>
      </c>
      <c r="AX52" s="362">
        <v>4</v>
      </c>
      <c r="AY52" s="23">
        <f>S27</f>
        <v>0</v>
      </c>
      <c r="AZ52" s="326">
        <f t="shared" si="1"/>
        <v>0</v>
      </c>
      <c r="BA52" s="95">
        <f>VLOOKUP(AU52,CENY!$B$11:$M$2025,12,FALSE)</f>
        <v>23.536069999999999</v>
      </c>
      <c r="BB52" s="95">
        <f t="shared" si="0"/>
        <v>0</v>
      </c>
      <c r="BD52" s="319">
        <f>OBJ!B259</f>
        <v>9318177</v>
      </c>
      <c r="BE52" s="21" t="str">
        <f>VLOOKUP(BD52,CENY!$B$11:$G$1054,2,FALSE)</f>
        <v>Actro You(L) 450/SiSy 40kg; EB21; ľavý</v>
      </c>
      <c r="BF52" s="22">
        <f>VLOOKUP(BD52,CENY!$B$11:$G$1054,3,FALSE)</f>
        <v>10</v>
      </c>
      <c r="BG52" s="22"/>
      <c r="BH52" s="23">
        <f>AY33</f>
        <v>0</v>
      </c>
      <c r="BI52" s="326">
        <f t="shared" si="2"/>
        <v>0</v>
      </c>
      <c r="BJ52" s="95" t="e">
        <f>VLOOKUP(BD52,CENY!$B$11:$M$2025,12,FALSE)</f>
        <v>#N/A</v>
      </c>
      <c r="BK52" s="95" t="e">
        <f t="shared" si="3"/>
        <v>#N/A</v>
      </c>
    </row>
    <row r="53" spans="47:63" ht="14.45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0"/>
        <v/>
      </c>
      <c r="BD53" s="319">
        <f>OBJ!B260</f>
        <v>9318178</v>
      </c>
      <c r="BE53" s="21" t="str">
        <f>VLOOKUP(BD53,CENY!$B$11:$G$1054,2,FALSE)</f>
        <v>Actro You(L) 450/SiSy 40kg; EB21; pravý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14.040839999999999</v>
      </c>
      <c r="BK53" s="95">
        <f t="shared" si="3"/>
        <v>0</v>
      </c>
    </row>
    <row r="54" spans="47:63" ht="14.45" customHeight="1">
      <c r="AU54" s="319">
        <f>OBJ!B304</f>
        <v>9256883</v>
      </c>
      <c r="AV54" s="21" t="str">
        <f>VLOOKUP(AU54,CENY!$B$11:$G$1054,2,FALSE)</f>
        <v>Quadro You(M) 270/SiSy 20kg; EB21</v>
      </c>
      <c r="AW54" s="22">
        <f>VLOOKUP(AU54,CENY!$B$11:$G$1054,3,FALSE)</f>
        <v>1</v>
      </c>
      <c r="AX54" s="362">
        <v>8</v>
      </c>
      <c r="AY54" s="23">
        <f>O28</f>
        <v>0</v>
      </c>
      <c r="AZ54" s="326">
        <f t="shared" si="1"/>
        <v>0</v>
      </c>
      <c r="BA54" s="95">
        <f>VLOOKUP(AU54,CENY!$B$11:$M$2025,12,FALSE)</f>
        <v>23.022449999999999</v>
      </c>
      <c r="BB54" s="95">
        <f t="shared" si="0"/>
        <v>0</v>
      </c>
      <c r="BD54" s="319">
        <f>OBJ!B261</f>
        <v>9318179</v>
      </c>
      <c r="BE54" s="21" t="str">
        <f>VLOOKUP(BD54,CENY!$B$11:$G$1054,2,FALSE)</f>
        <v>Actro You(L) 500/SiSy 40kg;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2"/>
        <v>0</v>
      </c>
      <c r="BJ54" s="95">
        <f>VLOOKUP(BD54,CENY!$B$11:$M$2025,12,FALSE)</f>
        <v>13.931559999999999</v>
      </c>
      <c r="BK54" s="95">
        <f t="shared" si="3"/>
        <v>0</v>
      </c>
    </row>
    <row r="55" spans="47:63" ht="14.45" customHeight="1">
      <c r="AU55" s="319">
        <f>OBJ!B305</f>
        <v>9256884</v>
      </c>
      <c r="AV55" s="21" t="str">
        <f>VLOOKUP(AU55,CENY!$B$11:$G$1054,2,FALSE)</f>
        <v>Quadro You(M) 300/SiSy 20kg; EB21</v>
      </c>
      <c r="AW55" s="22">
        <f>VLOOKUP(AU55,CENY!$B$11:$G$1054,3,FALSE)</f>
        <v>1</v>
      </c>
      <c r="AX55" s="362">
        <v>8</v>
      </c>
      <c r="AY55" s="23">
        <f>Q28</f>
        <v>0</v>
      </c>
      <c r="AZ55" s="326">
        <f t="shared" si="1"/>
        <v>0</v>
      </c>
      <c r="BA55" s="95">
        <f>VLOOKUP(AU55,CENY!$B$11:$M$2025,12,FALSE)</f>
        <v>23.069210000000002</v>
      </c>
      <c r="BB55" s="95">
        <f t="shared" si="0"/>
        <v>0</v>
      </c>
      <c r="BD55" s="319">
        <f>OBJ!B262</f>
        <v>9318180</v>
      </c>
      <c r="BE55" s="21" t="str">
        <f>VLOOKUP(BD55,CENY!$B$11:$G$1054,2,FALSE)</f>
        <v>Actro You(L) 500/SiSy 40kg;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13.931559999999999</v>
      </c>
      <c r="BK55" s="95">
        <f t="shared" si="3"/>
        <v>0</v>
      </c>
    </row>
    <row r="56" spans="47:63" ht="14.45" customHeight="1">
      <c r="AU56" s="319">
        <f>OBJ!B306</f>
        <v>9256886</v>
      </c>
      <c r="AV56" s="21" t="str">
        <f>VLOOKUP(AU56,CENY!$B$11:$G$1054,2,FALSE)</f>
        <v>Quadro You(M) 350/SiSy 25kg; EB21</v>
      </c>
      <c r="AW56" s="22">
        <f>VLOOKUP(AU56,CENY!$B$11:$G$1054,3,FALSE)</f>
        <v>1</v>
      </c>
      <c r="AX56" s="362">
        <v>8</v>
      </c>
      <c r="AY56" s="23">
        <f>S28</f>
        <v>0</v>
      </c>
      <c r="AZ56" s="326">
        <f t="shared" si="1"/>
        <v>0</v>
      </c>
      <c r="BA56" s="95" t="e">
        <f>VLOOKUP(AU56,CENY!$B$11:$M$2025,12,FALSE)</f>
        <v>#N/A</v>
      </c>
      <c r="BB56" s="95" t="e">
        <f t="shared" si="0"/>
        <v>#N/A</v>
      </c>
      <c r="BD56" s="319">
        <f>OBJ!B263</f>
        <v>9318181</v>
      </c>
      <c r="BE56" s="21" t="str">
        <f>VLOOKUP(BD56,CENY!$B$11:$G$1054,2,FALSE)</f>
        <v>Actro You(L) 550/SiSy 40kg;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2"/>
        <v>0</v>
      </c>
      <c r="BJ56" s="95">
        <f>VLOOKUP(BD56,CENY!$B$11:$M$2025,12,FALSE)</f>
        <v>15.147040000000001</v>
      </c>
      <c r="BK56" s="95">
        <f t="shared" si="3"/>
        <v>0</v>
      </c>
    </row>
    <row r="57" spans="47:63" ht="14.45" customHeight="1">
      <c r="AU57" s="319">
        <f>OBJ!B307</f>
        <v>9256888</v>
      </c>
      <c r="AV57" s="21" t="str">
        <f>VLOOKUP(AU57,CENY!$B$11:$G$1054,2,FALSE)</f>
        <v>Quadro You(M) 400/SiSy 30kg; EB21</v>
      </c>
      <c r="AW57" s="22">
        <f>VLOOKUP(AU57,CENY!$B$11:$G$1054,3,FALSE)</f>
        <v>1</v>
      </c>
      <c r="AX57" s="362">
        <v>8</v>
      </c>
      <c r="AY57" s="23">
        <f>U28</f>
        <v>0</v>
      </c>
      <c r="AZ57" s="326">
        <f t="shared" si="1"/>
        <v>0</v>
      </c>
      <c r="BA57" s="95">
        <f>VLOOKUP(AU57,CENY!$B$11:$M$2025,12,FALSE)</f>
        <v>24.002659999999999</v>
      </c>
      <c r="BB57" s="95">
        <f t="shared" si="0"/>
        <v>0</v>
      </c>
      <c r="BD57" s="319">
        <f>OBJ!B264</f>
        <v>9318182</v>
      </c>
      <c r="BE57" s="21" t="str">
        <f>VLOOKUP(BD57,CENY!$B$11:$G$1054,2,FALSE)</f>
        <v>Actro You(L) 550/SiSy 40kg;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15.147040000000001</v>
      </c>
      <c r="BK57" s="95">
        <f t="shared" si="3"/>
        <v>0</v>
      </c>
    </row>
    <row r="58" spans="47:63" ht="14.45" customHeight="1">
      <c r="AU58" s="319">
        <f>OBJ!B308</f>
        <v>9256890</v>
      </c>
      <c r="AV58" s="21" t="str">
        <f>VLOOKUP(AU58,CENY!$B$11:$G$1054,2,FALSE)</f>
        <v>Quadro You(M) 450/SiSy 30kg; EB21</v>
      </c>
      <c r="AW58" s="22">
        <f>VLOOKUP(AU58,CENY!$B$11:$G$1054,3,FALSE)</f>
        <v>1</v>
      </c>
      <c r="AX58" s="362">
        <v>8</v>
      </c>
      <c r="AY58" s="23">
        <f>W28</f>
        <v>0</v>
      </c>
      <c r="AZ58" s="326">
        <f t="shared" si="1"/>
        <v>0</v>
      </c>
      <c r="BA58" s="95">
        <f>VLOOKUP(AU58,CENY!$B$11:$M$2025,12,FALSE)</f>
        <v>4.9393000000000002</v>
      </c>
      <c r="BB58" s="95">
        <f t="shared" si="0"/>
        <v>0</v>
      </c>
      <c r="BD58" s="319">
        <f>OBJ!B265</f>
        <v>9318183</v>
      </c>
      <c r="BE58" s="21" t="str">
        <f>VLOOKUP(BD58,CENY!$B$11:$G$1054,2,FALSE)</f>
        <v>Actro You(L) 600/SiSy 40kg;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15.35308</v>
      </c>
      <c r="BK58" s="95">
        <f t="shared" si="3"/>
        <v>0</v>
      </c>
    </row>
    <row r="59" spans="47:63" ht="14.45" customHeight="1">
      <c r="AU59" s="319">
        <f>OBJ!B309</f>
        <v>9256892</v>
      </c>
      <c r="AV59" s="21" t="str">
        <f>VLOOKUP(AU59,CENY!$B$11:$G$1054,2,FALSE)</f>
        <v>Quadro You(M) 500/SiSy 30kg; EB21</v>
      </c>
      <c r="AW59" s="22">
        <f>VLOOKUP(AU59,CENY!$B$11:$G$1054,3,FALSE)</f>
        <v>1</v>
      </c>
      <c r="AX59" s="362">
        <v>8</v>
      </c>
      <c r="AY59" s="23">
        <f>Y28</f>
        <v>0</v>
      </c>
      <c r="AZ59" s="326">
        <f t="shared" si="1"/>
        <v>0</v>
      </c>
      <c r="BA59" s="95">
        <f>VLOOKUP(AU59,CENY!$B$11:$M$2025,12,FALSE)</f>
        <v>23.748699999999999</v>
      </c>
      <c r="BB59" s="95">
        <f t="shared" si="0"/>
        <v>0</v>
      </c>
      <c r="BD59" s="319">
        <f>OBJ!B266</f>
        <v>9318184</v>
      </c>
      <c r="BE59" s="21" t="str">
        <f>VLOOKUP(BD59,CENY!$B$11:$G$1054,2,FALSE)</f>
        <v>Actro You(L) 600/SiSy 40kg;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 t="e">
        <f>VLOOKUP(BD59,CENY!$B$11:$M$2025,12,FALSE)</f>
        <v>#N/A</v>
      </c>
      <c r="BK59" s="95" t="e">
        <f t="shared" si="3"/>
        <v>#N/A</v>
      </c>
    </row>
    <row r="60" spans="47:63" ht="14.45" customHeight="1">
      <c r="AU60" s="319">
        <f>OBJ!B310</f>
        <v>9256894</v>
      </c>
      <c r="AV60" s="21" t="str">
        <f>VLOOKUP(AU60,CENY!$B$11:$G$1054,2,FALSE)</f>
        <v>Quadro You(M) 550/SiSy 30kg; EB21</v>
      </c>
      <c r="AW60" s="22">
        <f>VLOOKUP(AU60,CENY!$B$11:$G$1054,3,FALSE)</f>
        <v>1</v>
      </c>
      <c r="AX60" s="362">
        <v>8</v>
      </c>
      <c r="AY60" s="23">
        <f>AA28</f>
        <v>0</v>
      </c>
      <c r="AZ60" s="326">
        <f t="shared" si="1"/>
        <v>0</v>
      </c>
      <c r="BA60" s="95">
        <f>VLOOKUP(AU60,CENY!$B$11:$M$2025,12,FALSE)</f>
        <v>5.1277499999999998</v>
      </c>
      <c r="BB60" s="95">
        <f t="shared" si="0"/>
        <v>0</v>
      </c>
      <c r="BD60" s="319"/>
      <c r="BE60" s="21"/>
      <c r="BF60" s="22"/>
      <c r="BG60" s="22"/>
      <c r="BH60" s="23"/>
      <c r="BI60" s="326" t="str">
        <f t="shared" si="2"/>
        <v/>
      </c>
      <c r="BJ60" s="95"/>
      <c r="BK60" s="95" t="str">
        <f t="shared" si="3"/>
        <v/>
      </c>
    </row>
    <row r="61" spans="47:63" ht="14.45" customHeight="1">
      <c r="AU61" s="319">
        <f>OBJ!B311</f>
        <v>9256896</v>
      </c>
      <c r="AV61" s="21" t="str">
        <f>VLOOKUP(AU61,CENY!$B$11:$G$1054,2,FALSE)</f>
        <v>Quadro You(M) 600/SiSy 25kg; EB21</v>
      </c>
      <c r="AW61" s="22">
        <f>VLOOKUP(AU61,CENY!$B$11:$G$1054,3,FALSE)</f>
        <v>1</v>
      </c>
      <c r="AX61" s="362">
        <v>8</v>
      </c>
      <c r="AY61" s="23">
        <f>AC28</f>
        <v>0</v>
      </c>
      <c r="AZ61" s="326">
        <f t="shared" si="1"/>
        <v>0</v>
      </c>
      <c r="BA61" s="95">
        <f>VLOOKUP(AU61,CENY!$B$11:$M$2025,12,FALSE)</f>
        <v>25.86984</v>
      </c>
      <c r="BB61" s="95">
        <f t="shared" si="0"/>
        <v>0</v>
      </c>
      <c r="BD61" s="319">
        <f>OBJ!B273</f>
        <v>9318198</v>
      </c>
      <c r="BE61" s="21" t="str">
        <f>VLOOKUP(BD61,CENY!$B$11:$G$1054,2,FALSE)</f>
        <v>Actro You(XL) 450/SiSy 70kg; EB21; ľavý</v>
      </c>
      <c r="BF61" s="22">
        <f>VLOOKUP(BD61,CENY!$B$11:$G$1054,3,FALSE)</f>
        <v>10</v>
      </c>
      <c r="BG61" s="22"/>
      <c r="BH61" s="23">
        <f>AY38</f>
        <v>0</v>
      </c>
      <c r="BI61" s="326">
        <f t="shared" si="2"/>
        <v>0</v>
      </c>
      <c r="BJ61" s="95" t="e">
        <f>VLOOKUP(BD61,CENY!$B$11:$M$2025,12,FALSE)</f>
        <v>#N/A</v>
      </c>
      <c r="BK61" s="95" t="e">
        <f t="shared" si="3"/>
        <v>#N/A</v>
      </c>
    </row>
    <row r="62" spans="47:63" ht="14.45" customHeight="1">
      <c r="AU62" s="319"/>
      <c r="AV62" s="21"/>
      <c r="AW62" s="22"/>
      <c r="AX62" s="22"/>
      <c r="AY62" s="23"/>
      <c r="AZ62" s="326" t="str">
        <f t="shared" si="1"/>
        <v/>
      </c>
      <c r="BA62" s="95"/>
      <c r="BB62" s="95" t="str">
        <f t="shared" si="0"/>
        <v/>
      </c>
      <c r="BD62" s="319">
        <f>OBJ!B274</f>
        <v>9318199</v>
      </c>
      <c r="BE62" s="21" t="str">
        <f>VLOOKUP(BD62,CENY!$B$11:$G$1054,2,FALSE)</f>
        <v>Actro You(XL) 450/SiSy 70kg; EB21; pravý</v>
      </c>
      <c r="BF62" s="22">
        <f>VLOOKUP(BD62,CENY!$B$11:$G$1054,3,FALSE)</f>
        <v>10</v>
      </c>
      <c r="BG62" s="22"/>
      <c r="BH62" s="23">
        <f>AY38</f>
        <v>0</v>
      </c>
      <c r="BI62" s="326">
        <f t="shared" si="2"/>
        <v>0</v>
      </c>
      <c r="BJ62" s="95" t="e">
        <f>VLOOKUP(BD62,CENY!$B$11:$M$2025,12,FALSE)</f>
        <v>#N/A</v>
      </c>
      <c r="BK62" s="95" t="e">
        <f t="shared" si="3"/>
        <v>#N/A</v>
      </c>
    </row>
    <row r="63" spans="47:63" ht="14.45" customHeight="1">
      <c r="AU63" s="319">
        <f>OBJ!B329</f>
        <v>9257894</v>
      </c>
      <c r="AV63" s="21" t="str">
        <f>VLOOKUP(AU63,CENY!$B$11:$G$1054,2,FALSE)</f>
        <v>Quadro You - Push to open Silent; &lt;10kg</v>
      </c>
      <c r="AW63" s="22">
        <f>VLOOKUP(AU63,CENY!$B$11:$G$1054,3,FALSE)</f>
        <v>1</v>
      </c>
      <c r="AX63" s="22"/>
      <c r="AY63" s="23">
        <f>AN27</f>
        <v>0</v>
      </c>
      <c r="AZ63" s="326">
        <f t="shared" si="1"/>
        <v>0</v>
      </c>
      <c r="BA63" s="95">
        <f>VLOOKUP(AU63,CENY!$B$11:$M$2025,12,FALSE)</f>
        <v>23.114239999999999</v>
      </c>
      <c r="BB63" s="95">
        <f t="shared" si="0"/>
        <v>0</v>
      </c>
      <c r="BD63" s="319">
        <f>OBJ!B275</f>
        <v>9318201</v>
      </c>
      <c r="BE63" s="21" t="str">
        <f>VLOOKUP(BD63,CENY!$B$11:$G$1054,2,FALSE)</f>
        <v>Actro You(XL) 500/SiSy 70kg; EB21; ľavý</v>
      </c>
      <c r="BF63" s="22">
        <f>VLOOKUP(BD63,CENY!$B$11:$G$1054,3,FALSE)</f>
        <v>10</v>
      </c>
      <c r="BG63" s="22"/>
      <c r="BH63" s="23">
        <f>AY39</f>
        <v>0</v>
      </c>
      <c r="BI63" s="326">
        <f t="shared" si="2"/>
        <v>0</v>
      </c>
      <c r="BJ63" s="95">
        <f>VLOOKUP(BD63,CENY!$B$11:$M$2025,12,FALSE)</f>
        <v>17.52394</v>
      </c>
      <c r="BK63" s="95">
        <f t="shared" si="3"/>
        <v>0</v>
      </c>
    </row>
    <row r="64" spans="47:63" ht="14.45" customHeight="1">
      <c r="AU64" s="319">
        <f>OBJ!B330</f>
        <v>9257895</v>
      </c>
      <c r="AV64" s="21" t="str">
        <f>VLOOKUP(AU64,CENY!$B$11:$G$1054,2,FALSE)</f>
        <v>Quadro You - Push to open Silent; 8-20kg</v>
      </c>
      <c r="AW64" s="22">
        <f>VLOOKUP(AU64,CENY!$B$11:$G$1054,3,FALSE)</f>
        <v>1</v>
      </c>
      <c r="AX64" s="22"/>
      <c r="AY64" s="23">
        <f>AN28</f>
        <v>0</v>
      </c>
      <c r="AZ64" s="326">
        <f t="shared" si="1"/>
        <v>0</v>
      </c>
      <c r="BA64" s="95">
        <f>VLOOKUP(AU64,CENY!$B$11:$M$2025,12,FALSE)</f>
        <v>23.114239999999999</v>
      </c>
      <c r="BB64" s="95">
        <f t="shared" si="0"/>
        <v>0</v>
      </c>
      <c r="BD64" s="319">
        <f>OBJ!B276</f>
        <v>9318203</v>
      </c>
      <c r="BE64" s="21" t="str">
        <f>VLOOKUP(BD64,CENY!$B$11:$G$1054,2,FALSE)</f>
        <v>Actro You(XL) 500/SiSy 70kg; EB21; pravý</v>
      </c>
      <c r="BF64" s="22">
        <f>VLOOKUP(BD64,CENY!$B$11:$G$1054,3,FALSE)</f>
        <v>10</v>
      </c>
      <c r="BG64" s="22"/>
      <c r="BH64" s="23">
        <f>AY39</f>
        <v>0</v>
      </c>
      <c r="BI64" s="326">
        <f t="shared" si="2"/>
        <v>0</v>
      </c>
      <c r="BJ64" s="95">
        <f>VLOOKUP(BD64,CENY!$B$11:$M$2025,12,FALSE)</f>
        <v>17.52394</v>
      </c>
      <c r="BK64" s="95">
        <f t="shared" si="3"/>
        <v>0</v>
      </c>
    </row>
    <row r="65" spans="1:63" ht="14.45" customHeight="1">
      <c r="AU65" s="319">
        <f>OBJ!B331</f>
        <v>9257896</v>
      </c>
      <c r="AV65" s="21" t="str">
        <f>VLOOKUP(AU65,CENY!$B$11:$G$1054,2,FALSE)</f>
        <v>Quadro You - Push to open Silent; 10-30kg</v>
      </c>
      <c r="AW65" s="22">
        <f>VLOOKUP(AU65,CENY!$B$11:$G$1054,3,FALSE)</f>
        <v>1</v>
      </c>
      <c r="AX65" s="22"/>
      <c r="AY65" s="23">
        <f>AN29</f>
        <v>0</v>
      </c>
      <c r="AZ65" s="326">
        <f t="shared" si="1"/>
        <v>0</v>
      </c>
      <c r="BA65" s="95">
        <f>VLOOKUP(AU65,CENY!$B$11:$M$2025,12,FALSE)</f>
        <v>23.114239999999999</v>
      </c>
      <c r="BB65" s="95">
        <f t="shared" si="0"/>
        <v>0</v>
      </c>
      <c r="BD65" s="319">
        <f>OBJ!B277</f>
        <v>9318208</v>
      </c>
      <c r="BE65" s="21" t="str">
        <f>VLOOKUP(BD65,CENY!$B$11:$G$1054,2,FALSE)</f>
        <v>Actro You(XL) 550/SiSy 70kg; EB21; ľavý</v>
      </c>
      <c r="BF65" s="22">
        <f>VLOOKUP(BD65,CENY!$B$11:$G$1054,3,FALSE)</f>
        <v>10</v>
      </c>
      <c r="BG65" s="22"/>
      <c r="BH65" s="23">
        <f>AY40</f>
        <v>0</v>
      </c>
      <c r="BI65" s="326">
        <f t="shared" si="2"/>
        <v>0</v>
      </c>
      <c r="BJ65" s="95">
        <f>VLOOKUP(BD65,CENY!$B$11:$M$2025,12,FALSE)</f>
        <v>18.45496</v>
      </c>
      <c r="BK65" s="95">
        <f t="shared" si="3"/>
        <v>0</v>
      </c>
    </row>
    <row r="66" spans="1:63" ht="12.95" customHeight="1" thickBot="1">
      <c r="A66" s="579"/>
      <c r="AU66" s="319"/>
      <c r="AV66" s="21"/>
      <c r="AW66" s="22"/>
      <c r="AX66" s="22"/>
      <c r="AY66" s="23"/>
      <c r="AZ66" s="326" t="str">
        <f t="shared" si="1"/>
        <v/>
      </c>
      <c r="BA66" s="95"/>
      <c r="BB66" s="95" t="str">
        <f t="shared" si="0"/>
        <v/>
      </c>
      <c r="BD66" s="319">
        <f>OBJ!B278</f>
        <v>9318209</v>
      </c>
      <c r="BE66" s="21" t="str">
        <f>VLOOKUP(BD66,CENY!$B$11:$G$1054,2,FALSE)</f>
        <v>Actro You(XL) 550/SiSy 70kg; EB21; pravý</v>
      </c>
      <c r="BF66" s="22">
        <f>VLOOKUP(BD66,CENY!$B$11:$G$1054,3,FALSE)</f>
        <v>10</v>
      </c>
      <c r="BG66" s="22"/>
      <c r="BH66" s="23">
        <f>AY40</f>
        <v>0</v>
      </c>
      <c r="BI66" s="326">
        <f t="shared" si="2"/>
        <v>0</v>
      </c>
      <c r="BJ66" s="95">
        <f>VLOOKUP(BD66,CENY!$B$11:$M$2025,12,FALSE)</f>
        <v>18.45496</v>
      </c>
      <c r="BK66" s="95">
        <f t="shared" si="3"/>
        <v>0</v>
      </c>
    </row>
    <row r="67" spans="1:63" ht="23.1" customHeight="1" thickBot="1">
      <c r="A67" s="579"/>
      <c r="B67" s="486" t="str">
        <f>verze!E13</f>
        <v>&lt;&lt;  späť</v>
      </c>
      <c r="C67" s="487"/>
      <c r="D67" s="487"/>
      <c r="E67" s="488"/>
      <c r="G67" s="515" t="str">
        <f>verze!E6</f>
        <v xml:space="preserve"> Úvod</v>
      </c>
      <c r="H67" s="516"/>
      <c r="I67" s="516"/>
      <c r="J67" s="516"/>
      <c r="K67" s="517"/>
      <c r="O67" s="515" t="str">
        <f>verze!E7</f>
        <v xml:space="preserve"> Výber zásuviek</v>
      </c>
      <c r="P67" s="516"/>
      <c r="Q67" s="516"/>
      <c r="R67" s="516"/>
      <c r="S67" s="517"/>
      <c r="U67" s="515" t="str">
        <f>verze!E8</f>
        <v xml:space="preserve"> </v>
      </c>
      <c r="V67" s="516"/>
      <c r="W67" s="516"/>
      <c r="X67" s="516"/>
      <c r="Y67" s="517"/>
      <c r="AA67" s="515" t="str">
        <f>verze!E9</f>
        <v xml:space="preserve"> </v>
      </c>
      <c r="AB67" s="516"/>
      <c r="AC67" s="516"/>
      <c r="AD67" s="516"/>
      <c r="AE67" s="517"/>
      <c r="AI67" s="515" t="str">
        <f>verze!E10</f>
        <v xml:space="preserve"> Objednávka</v>
      </c>
      <c r="AJ67" s="516"/>
      <c r="AK67" s="516"/>
      <c r="AL67" s="516"/>
      <c r="AM67" s="517"/>
      <c r="AO67" s="477" t="str">
        <f>verze!E14</f>
        <v>vpred  &gt;&gt;</v>
      </c>
      <c r="AP67" s="478"/>
      <c r="AQ67" s="478"/>
      <c r="AR67" s="479"/>
      <c r="AU67" s="319">
        <f>OBJ!B333</f>
        <v>9256928</v>
      </c>
      <c r="AV67" s="21" t="str">
        <f>VLOOKUP(AU67,CENY!$B$11:$G$1054,2,FALSE)</f>
        <v>Quadro You(M) 270/P2O 20kg; EB21</v>
      </c>
      <c r="AW67" s="22">
        <f>VLOOKUP(AU67,CENY!$B$11:$G$1054,3,FALSE)</f>
        <v>1</v>
      </c>
      <c r="AX67" s="362">
        <v>8</v>
      </c>
      <c r="AY67" s="23">
        <f>O30</f>
        <v>0</v>
      </c>
      <c r="AZ67" s="326">
        <f t="shared" si="1"/>
        <v>0</v>
      </c>
      <c r="BA67" s="95">
        <f>VLOOKUP(AU67,CENY!$B$11:$M$2025,12,FALSE)</f>
        <v>25.824369999999998</v>
      </c>
      <c r="BB67" s="95">
        <f t="shared" si="0"/>
        <v>0</v>
      </c>
      <c r="BD67" s="319">
        <f>OBJ!B279</f>
        <v>9318211</v>
      </c>
      <c r="BE67" s="21" t="str">
        <f>VLOOKUP(BD67,CENY!$B$11:$G$1054,2,FALSE)</f>
        <v>Actro You(XL) 600/SiSy 70kg; EB21; ľavý</v>
      </c>
      <c r="BF67" s="22">
        <f>VLOOKUP(BD67,CENY!$B$11:$G$1054,3,FALSE)</f>
        <v>10</v>
      </c>
      <c r="BG67" s="22"/>
      <c r="BH67" s="23">
        <f>AY41</f>
        <v>0</v>
      </c>
      <c r="BI67" s="326">
        <f t="shared" si="2"/>
        <v>0</v>
      </c>
      <c r="BJ67" s="95">
        <f>VLOOKUP(BD67,CENY!$B$11:$M$2025,12,FALSE)</f>
        <v>21.352720000000001</v>
      </c>
      <c r="BK67" s="95">
        <f t="shared" si="3"/>
        <v>0</v>
      </c>
    </row>
    <row r="68" spans="1:63" ht="12.95" customHeight="1">
      <c r="A68" s="579"/>
      <c r="AU68" s="319">
        <f>OBJ!B334</f>
        <v>9256929</v>
      </c>
      <c r="AV68" s="21" t="str">
        <f>VLOOKUP(AU68,CENY!$B$11:$G$1054,2,FALSE)</f>
        <v>Quadro You(M) 300/P2O 20kg; EB21</v>
      </c>
      <c r="AW68" s="22">
        <f>VLOOKUP(AU68,CENY!$B$11:$G$1054,3,FALSE)</f>
        <v>1</v>
      </c>
      <c r="AX68" s="362">
        <v>8</v>
      </c>
      <c r="AY68" s="23">
        <f>Q30</f>
        <v>0</v>
      </c>
      <c r="AZ68" s="326">
        <f t="shared" si="1"/>
        <v>0</v>
      </c>
      <c r="BA68" s="95">
        <f>VLOOKUP(AU68,CENY!$B$11:$M$2025,12,FALSE)</f>
        <v>25.86984</v>
      </c>
      <c r="BB68" s="95">
        <f t="shared" si="0"/>
        <v>0</v>
      </c>
      <c r="BD68" s="319">
        <f>OBJ!B280</f>
        <v>9318212</v>
      </c>
      <c r="BE68" s="21" t="str">
        <f>VLOOKUP(BD68,CENY!$B$11:$G$1054,2,FALSE)</f>
        <v>Actro You(XL) 600/SiSy 70kg; EB21; pravý</v>
      </c>
      <c r="BF68" s="22">
        <f>VLOOKUP(BD68,CENY!$B$11:$G$1054,3,FALSE)</f>
        <v>10</v>
      </c>
      <c r="BG68" s="22"/>
      <c r="BH68" s="23">
        <f>AY41</f>
        <v>0</v>
      </c>
      <c r="BI68" s="326">
        <f t="shared" si="2"/>
        <v>0</v>
      </c>
      <c r="BJ68" s="95">
        <f>VLOOKUP(BD68,CENY!$B$11:$M$2025,12,FALSE)</f>
        <v>21.352720000000001</v>
      </c>
      <c r="BK68" s="95">
        <f t="shared" si="3"/>
        <v>0</v>
      </c>
    </row>
    <row r="69" spans="1:63" ht="23.1" customHeight="1">
      <c r="A69" s="579"/>
      <c r="B69" s="93" t="str">
        <f>B4</f>
        <v>Zásuvka AVANTECH YOU  187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OBJ!B335</f>
        <v>9256931</v>
      </c>
      <c r="AV69" s="21" t="str">
        <f>VLOOKUP(AU69,CENY!$B$11:$G$1054,2,FALSE)</f>
        <v>Quadro You(M) 350/P2O 25kg; EB21</v>
      </c>
      <c r="AW69" s="22">
        <f>VLOOKUP(AU69,CENY!$B$11:$G$1054,3,FALSE)</f>
        <v>1</v>
      </c>
      <c r="AX69" s="362">
        <v>8</v>
      </c>
      <c r="AY69" s="23">
        <f>S30</f>
        <v>0</v>
      </c>
      <c r="AZ69" s="326">
        <f t="shared" si="1"/>
        <v>0</v>
      </c>
      <c r="BA69" s="95">
        <f>VLOOKUP(AU69,CENY!$B$11:$M$2025,12,FALSE)</f>
        <v>26.336690000000001</v>
      </c>
      <c r="BB69" s="95">
        <f t="shared" ref="BB69:BB132" si="4">IF(BA69="","",BA69*AY69)</f>
        <v>0</v>
      </c>
      <c r="BD69" s="319">
        <f>OBJ!B281</f>
        <v>9318213</v>
      </c>
      <c r="BE69" s="21" t="str">
        <f>VLOOKUP(BD69,CENY!$B$11:$G$1054,2,FALSE)</f>
        <v>Actro You(XL) 650/SiSy 70kg; EB21; ľavý</v>
      </c>
      <c r="BF69" s="22">
        <f>VLOOKUP(BD69,CENY!$B$11:$G$1054,3,FALSE)</f>
        <v>5</v>
      </c>
      <c r="BG69" s="22"/>
      <c r="BH69" s="23">
        <f>AY42</f>
        <v>0</v>
      </c>
      <c r="BI69" s="326">
        <f t="shared" si="2"/>
        <v>0</v>
      </c>
      <c r="BJ69" s="95">
        <f>VLOOKUP(BD69,CENY!$B$11:$M$2025,12,FALSE)</f>
        <v>22.243659999999998</v>
      </c>
      <c r="BK69" s="95">
        <f t="shared" si="3"/>
        <v>0</v>
      </c>
    </row>
    <row r="70" spans="1:63" ht="14.45" customHeight="1">
      <c r="A70" s="579"/>
      <c r="AU70" s="319">
        <f>OBJ!B336</f>
        <v>9256933</v>
      </c>
      <c r="AV70" s="21" t="str">
        <f>VLOOKUP(AU70,CENY!$B$11:$G$1054,2,FALSE)</f>
        <v>Quadro You(M) 400/P2O 30kg; EB21</v>
      </c>
      <c r="AW70" s="22">
        <f>VLOOKUP(AU70,CENY!$B$11:$G$1054,3,FALSE)</f>
        <v>1</v>
      </c>
      <c r="AX70" s="362">
        <v>8</v>
      </c>
      <c r="AY70" s="23">
        <f>U30</f>
        <v>0</v>
      </c>
      <c r="AZ70" s="326">
        <f t="shared" ref="AZ70:AZ133" si="5">IF(AY70="","",IF($AW$4=1,AY70,0))</f>
        <v>0</v>
      </c>
      <c r="BA70" s="95">
        <f>VLOOKUP(AU70,CENY!$B$11:$M$2025,12,FALSE)</f>
        <v>26.80339</v>
      </c>
      <c r="BB70" s="95">
        <f t="shared" si="4"/>
        <v>0</v>
      </c>
      <c r="BD70" s="319">
        <f>OBJ!B282</f>
        <v>9318214</v>
      </c>
      <c r="BE70" s="21" t="str">
        <f>VLOOKUP(BD70,CENY!$B$11:$G$1054,2,FALSE)</f>
        <v>Actro You(XL) 650/SiSy 70kg; EB21; pravý</v>
      </c>
      <c r="BF70" s="22">
        <f>VLOOKUP(BD70,CENY!$B$11:$G$1054,3,FALSE)</f>
        <v>5</v>
      </c>
      <c r="BG70" s="22"/>
      <c r="BH70" s="23">
        <f>AY42</f>
        <v>0</v>
      </c>
      <c r="BI70" s="326">
        <f t="shared" ref="BI70:BI127" si="6">IF(BH70="","",IF($AW$4=0,BH70,0))</f>
        <v>0</v>
      </c>
      <c r="BJ70" s="95">
        <f>VLOOKUP(BD70,CENY!$B$11:$M$2025,12,FALSE)</f>
        <v>22.243659999999998</v>
      </c>
      <c r="BK70" s="95">
        <f t="shared" ref="BK70:BK133" si="7">IF(BJ70="","",BJ70*BH70)</f>
        <v>0</v>
      </c>
    </row>
    <row r="71" spans="1:63" ht="14.45" customHeight="1">
      <c r="A71" s="579"/>
      <c r="AU71" s="319">
        <f>OBJ!B337</f>
        <v>9256935</v>
      </c>
      <c r="AV71" s="21" t="str">
        <f>VLOOKUP(AU71,CENY!$B$11:$G$1054,2,FALSE)</f>
        <v>Quadro You(M) 450/P2O 30kg; EB21</v>
      </c>
      <c r="AW71" s="22">
        <f>VLOOKUP(AU71,CENY!$B$11:$G$1054,3,FALSE)</f>
        <v>1</v>
      </c>
      <c r="AX71" s="362">
        <v>8</v>
      </c>
      <c r="AY71" s="23">
        <f>W30</f>
        <v>0</v>
      </c>
      <c r="AZ71" s="326">
        <f t="shared" si="5"/>
        <v>0</v>
      </c>
      <c r="BA71" s="95">
        <f>VLOOKUP(AU71,CENY!$B$11:$M$2025,12,FALSE)</f>
        <v>27.270389999999999</v>
      </c>
      <c r="BB71" s="95">
        <f t="shared" si="4"/>
        <v>0</v>
      </c>
      <c r="BD71" s="319"/>
      <c r="BE71" s="21"/>
      <c r="BF71" s="22"/>
      <c r="BG71" s="22"/>
      <c r="BH71" s="23"/>
      <c r="BI71" s="326" t="str">
        <f t="shared" si="6"/>
        <v/>
      </c>
      <c r="BJ71" s="95"/>
      <c r="BK71" s="95" t="str">
        <f t="shared" si="7"/>
        <v/>
      </c>
    </row>
    <row r="72" spans="1:63" ht="14.45" customHeight="1">
      <c r="A72" s="579"/>
      <c r="AU72" s="319">
        <f>OBJ!B338</f>
        <v>9256937</v>
      </c>
      <c r="AV72" s="21" t="str">
        <f>VLOOKUP(AU72,CENY!$B$11:$G$1054,2,FALSE)</f>
        <v>Quadro You(M) 500/P2O 30kg; EB21</v>
      </c>
      <c r="AW72" s="22">
        <f>VLOOKUP(AU72,CENY!$B$11:$G$1054,3,FALSE)</f>
        <v>1</v>
      </c>
      <c r="AX72" s="362">
        <v>8</v>
      </c>
      <c r="AY72" s="23">
        <f>Y30</f>
        <v>0</v>
      </c>
      <c r="AZ72" s="326">
        <f t="shared" si="5"/>
        <v>0</v>
      </c>
      <c r="BA72" s="95">
        <f>VLOOKUP(AU72,CENY!$B$11:$M$2025,12,FALSE)</f>
        <v>5.5988800000000003</v>
      </c>
      <c r="BB72" s="95">
        <f t="shared" si="4"/>
        <v>0</v>
      </c>
      <c r="BD72" s="319">
        <f>OBJ!B284</f>
        <v>9257890</v>
      </c>
      <c r="BE72" s="21" t="str">
        <f>VLOOKUP(BD72,CENY!$B$11:$G$1054,2,FALSE)</f>
        <v>Actro You - Push to open Silent; &lt;10kg</v>
      </c>
      <c r="BF72" s="22">
        <f>VLOOKUP(BD72,CENY!$B$11:$G$1054,3,FALSE)</f>
        <v>1</v>
      </c>
      <c r="BG72" s="22"/>
      <c r="BH72" s="23">
        <f>AY44</f>
        <v>0</v>
      </c>
      <c r="BI72" s="326">
        <f t="shared" si="6"/>
        <v>0</v>
      </c>
      <c r="BJ72" s="95">
        <f>VLOOKUP(BD72,CENY!$B$11:$M$2025,12,FALSE)</f>
        <v>23.177009999999999</v>
      </c>
      <c r="BK72" s="95">
        <f t="shared" si="7"/>
        <v>0</v>
      </c>
    </row>
    <row r="73" spans="1:63" ht="14.45" customHeight="1">
      <c r="A73" s="579"/>
      <c r="AU73" s="319">
        <f>OBJ!B339</f>
        <v>9256939</v>
      </c>
      <c r="AV73" s="21" t="str">
        <f>VLOOKUP(AU73,CENY!$B$11:$G$1054,2,FALSE)</f>
        <v>Quadro You(M) 550/P2O 30kg; EB21</v>
      </c>
      <c r="AW73" s="22">
        <f>VLOOKUP(AU73,CENY!$B$11:$G$1054,3,FALSE)</f>
        <v>1</v>
      </c>
      <c r="AX73" s="362">
        <v>8</v>
      </c>
      <c r="AY73" s="23">
        <f>AA30</f>
        <v>0</v>
      </c>
      <c r="AZ73" s="326">
        <f t="shared" si="5"/>
        <v>0</v>
      </c>
      <c r="BA73" s="95">
        <f>VLOOKUP(AU73,CENY!$B$11:$M$2025,12,FALSE)</f>
        <v>28.20382</v>
      </c>
      <c r="BB73" s="95">
        <f t="shared" si="4"/>
        <v>0</v>
      </c>
      <c r="BD73" s="319">
        <f>OBJ!B285</f>
        <v>9257891</v>
      </c>
      <c r="BE73" s="21" t="str">
        <f>VLOOKUP(BD73,CENY!$B$11:$G$1054,2,FALSE)</f>
        <v>Actro You - Push to open Silent; 8-20kg</v>
      </c>
      <c r="BF73" s="22">
        <f>VLOOKUP(BD73,CENY!$B$11:$G$1054,3,FALSE)</f>
        <v>1</v>
      </c>
      <c r="BG73" s="22"/>
      <c r="BH73" s="23">
        <f>AY45</f>
        <v>0</v>
      </c>
      <c r="BI73" s="326">
        <f t="shared" si="6"/>
        <v>0</v>
      </c>
      <c r="BJ73" s="95">
        <f>VLOOKUP(BD73,CENY!$B$11:$M$2025,12,FALSE)</f>
        <v>23.177009999999999</v>
      </c>
      <c r="BK73" s="95">
        <f t="shared" si="7"/>
        <v>0</v>
      </c>
    </row>
    <row r="74" spans="1:63" ht="14.45" customHeight="1">
      <c r="A74" s="579"/>
      <c r="AU74" s="319">
        <f>OBJ!B340</f>
        <v>9256941</v>
      </c>
      <c r="AV74" s="21" t="str">
        <f>VLOOKUP(AU74,CENY!$B$11:$G$1054,2,FALSE)</f>
        <v>Quadro You(M) 600/P2O 25kg; EB21</v>
      </c>
      <c r="AW74" s="22">
        <f>VLOOKUP(AU74,CENY!$B$11:$G$1054,3,FALSE)</f>
        <v>1</v>
      </c>
      <c r="AX74" s="362">
        <v>8</v>
      </c>
      <c r="AY74" s="23">
        <f>AC30</f>
        <v>0</v>
      </c>
      <c r="AZ74" s="326">
        <f t="shared" si="5"/>
        <v>0</v>
      </c>
      <c r="BA74" s="95">
        <f>VLOOKUP(AU74,CENY!$B$11:$M$2025,12,FALSE)</f>
        <v>28.670570000000001</v>
      </c>
      <c r="BB74" s="95">
        <f t="shared" si="4"/>
        <v>0</v>
      </c>
      <c r="BD74" s="319">
        <f>OBJ!B286</f>
        <v>9257892</v>
      </c>
      <c r="BE74" s="21" t="str">
        <f>VLOOKUP(BD74,CENY!$B$11:$G$1054,2,FALSE)</f>
        <v>Actro You - Push to open Silent; 10-40kg</v>
      </c>
      <c r="BF74" s="22">
        <f>VLOOKUP(BD74,CENY!$B$11:$G$1054,3,FALSE)</f>
        <v>1</v>
      </c>
      <c r="BG74" s="22"/>
      <c r="BH74" s="23">
        <f>AY46</f>
        <v>0</v>
      </c>
      <c r="BI74" s="326">
        <f t="shared" si="6"/>
        <v>0</v>
      </c>
      <c r="BJ74" s="95">
        <f>VLOOKUP(BD74,CENY!$B$11:$M$2025,12,FALSE)</f>
        <v>23.177009999999999</v>
      </c>
      <c r="BK74" s="95">
        <f t="shared" si="7"/>
        <v>0</v>
      </c>
    </row>
    <row r="75" spans="1:63" ht="14.45" customHeight="1">
      <c r="A75" s="579"/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OBJ!B287</f>
        <v>9257893</v>
      </c>
      <c r="BE75" s="21" t="str">
        <f>VLOOKUP(BD75,CENY!$B$11:$G$1054,2,FALSE)</f>
        <v>Actro You - Push to open Silent; 20-70kg</v>
      </c>
      <c r="BF75" s="22">
        <f>VLOOKUP(BD75,CENY!$B$11:$G$1054,3,FALSE)</f>
        <v>1</v>
      </c>
      <c r="BG75" s="22"/>
      <c r="BH75" s="23">
        <f>AY47</f>
        <v>0</v>
      </c>
      <c r="BI75" s="326">
        <f t="shared" si="6"/>
        <v>0</v>
      </c>
      <c r="BJ75" s="95">
        <f>VLOOKUP(BD75,CENY!$B$11:$M$2025,12,FALSE)</f>
        <v>23.177009999999999</v>
      </c>
      <c r="BK75" s="95">
        <f t="shared" si="7"/>
        <v>0</v>
      </c>
    </row>
    <row r="76" spans="1:63" ht="14.45" customHeight="1">
      <c r="A76" s="579"/>
      <c r="AU76" s="319">
        <f>OBJ!B358</f>
        <v>9219966</v>
      </c>
      <c r="AV76" s="21" t="str">
        <f>VLOOKUP(AU76,CENY!$B$11:$G$1054,2,FALSE)</f>
        <v>Push to open Synchro / adaptér typ A</v>
      </c>
      <c r="AW76" s="22">
        <f>VLOOKUP(AU76,CENY!$B$11:$G$1054,3,FALSE)</f>
        <v>200</v>
      </c>
      <c r="AX76" s="22"/>
      <c r="AY76" s="23">
        <f>2*SUM(O30:AD30)</f>
        <v>0</v>
      </c>
      <c r="AZ76" s="326">
        <f t="shared" si="5"/>
        <v>0</v>
      </c>
      <c r="BA76" s="95">
        <f>VLOOKUP(AU76,CENY!$B$11:$M$2025,12,FALSE)</f>
        <v>0.79318999999999995</v>
      </c>
      <c r="BB76" s="95">
        <f t="shared" si="4"/>
        <v>0</v>
      </c>
      <c r="BD76" s="319">
        <f>OBJ!B288</f>
        <v>9236718</v>
      </c>
      <c r="BE76" s="21" t="str">
        <f>VLOOKUP(BD76,CENY!$B$11:$G$1054,2,FALSE)</f>
        <v>Push to open Synchro / tyč 2.000 mm</v>
      </c>
      <c r="BF76" s="22">
        <f>VLOOKUP(BD76,CENY!$B$11:$G$1054,3,FALSE)</f>
        <v>100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8.7567500000000003</v>
      </c>
      <c r="BK76" s="95">
        <f t="shared" si="7"/>
        <v>0</v>
      </c>
    </row>
    <row r="77" spans="1:63" ht="14.45" customHeight="1">
      <c r="A77" s="579"/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/>
      <c r="BE77" s="21"/>
      <c r="BF77" s="22"/>
      <c r="BG77" s="22"/>
      <c r="BH77" s="23"/>
      <c r="BI77" s="326" t="str">
        <f t="shared" si="6"/>
        <v/>
      </c>
      <c r="BJ77" s="95"/>
      <c r="BK77" s="95" t="str">
        <f t="shared" si="7"/>
        <v/>
      </c>
    </row>
    <row r="78" spans="1:63" ht="14.45" customHeight="1">
      <c r="A78" s="579"/>
      <c r="AU78" s="320">
        <v>9255839</v>
      </c>
      <c r="AV78" s="321" t="str">
        <f>VLOOKUP(AU78,CENY!$B$11:$G$1054,2,FALSE)</f>
        <v>AvanY-prích.čela s rozp.púzdrom/ v187-251</v>
      </c>
      <c r="AW78" s="22">
        <f>VLOOKUP(AU78,CENY!$B$11:$G$1054,3,FALSE)</f>
        <v>200</v>
      </c>
      <c r="AX78" s="22"/>
      <c r="AY78" s="68">
        <v>0</v>
      </c>
      <c r="AZ78" s="326">
        <f t="shared" si="5"/>
        <v>0</v>
      </c>
      <c r="BA78" s="95">
        <f>VLOOKUP(AU78,CENY!$B$11:$M$2025,12,FALSE)</f>
        <v>2.3528199999999999</v>
      </c>
      <c r="BB78" s="95">
        <f t="shared" si="4"/>
        <v>0</v>
      </c>
      <c r="BD78" s="319">
        <f>OBJ!B297</f>
        <v>9256944</v>
      </c>
      <c r="BE78" s="21" t="str">
        <f>VLOOKUP(BD78,CENY!$B$11:$G$1054,2,FALSE)</f>
        <v>Quadro You(S) 270/SiSy 10kg; EB21; ľavý</v>
      </c>
      <c r="BF78" s="22">
        <f>VLOOKUP(BD78,CENY!$B$11:$G$1054,3,FALSE)</f>
        <v>20</v>
      </c>
      <c r="BG78" s="22"/>
      <c r="BH78" s="23">
        <f>AY50</f>
        <v>0</v>
      </c>
      <c r="BI78" s="326">
        <f t="shared" si="6"/>
        <v>0</v>
      </c>
      <c r="BJ78" s="95">
        <f>VLOOKUP(BD78,CENY!$B$11:$M$2025,12,FALSE)</f>
        <v>10.7646</v>
      </c>
      <c r="BK78" s="95">
        <f t="shared" si="7"/>
        <v>0</v>
      </c>
    </row>
    <row r="79" spans="1:63" ht="14.45" customHeight="1">
      <c r="A79" s="579"/>
      <c r="O79" s="578">
        <f>CEILING(O84/FLOOR(2000/O85,1),1)</f>
        <v>0</v>
      </c>
      <c r="P79" s="578"/>
      <c r="Q79" s="578">
        <f>CEILING(Q84/FLOOR(2000/Q85,1),1)</f>
        <v>0</v>
      </c>
      <c r="R79" s="578"/>
      <c r="S79" s="578">
        <f>CEILING(S84/FLOOR(2000/S85,1),1)</f>
        <v>0</v>
      </c>
      <c r="T79" s="578"/>
      <c r="U79" s="578">
        <f>CEILING(U84/FLOOR(2000/U85,1),1)</f>
        <v>0</v>
      </c>
      <c r="V79" s="578"/>
      <c r="W79" s="578"/>
      <c r="X79" s="578"/>
      <c r="Y79" s="578"/>
      <c r="Z79" s="578"/>
      <c r="AA79" s="578"/>
      <c r="AB79" s="578"/>
      <c r="AC79" s="578">
        <f>CEILING(AC84/FLOOR(2000/AC85,1),1)</f>
        <v>0</v>
      </c>
      <c r="AD79" s="578"/>
      <c r="AE79" s="578">
        <f>CEILING(AE84/FLOOR(2000/AE85,1),1)</f>
        <v>0</v>
      </c>
      <c r="AF79" s="578"/>
      <c r="AG79" s="578">
        <f>CEILING(AG84/FLOOR(2000/AG85,1),1)</f>
        <v>0</v>
      </c>
      <c r="AH79" s="578"/>
      <c r="AI79" s="578">
        <f>CEILING(AI84/FLOOR(2000/AI85,1),1)</f>
        <v>0</v>
      </c>
      <c r="AJ79" s="578"/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>
        <f>OBJ!B298</f>
        <v>9256945</v>
      </c>
      <c r="BE79" s="21" t="str">
        <f>VLOOKUP(BD79,CENY!$B$11:$G$1054,2,FALSE)</f>
        <v>Quadro You(S) 270/SiSy 10kg; EB21; pravý</v>
      </c>
      <c r="BF79" s="22">
        <f>VLOOKUP(BD79,CENY!$B$11:$G$1054,3,FALSE)</f>
        <v>20</v>
      </c>
      <c r="BG79" s="22"/>
      <c r="BH79" s="23">
        <f>AY50</f>
        <v>0</v>
      </c>
      <c r="BI79" s="326">
        <f t="shared" si="6"/>
        <v>0</v>
      </c>
      <c r="BJ79" s="95">
        <f>VLOOKUP(BD79,CENY!$B$11:$M$2025,12,FALSE)</f>
        <v>10.7646</v>
      </c>
      <c r="BK79" s="95">
        <f t="shared" si="7"/>
        <v>0</v>
      </c>
    </row>
    <row r="80" spans="1:63" ht="14.45" customHeight="1">
      <c r="A80" s="579"/>
      <c r="O80" s="577">
        <f>O85*O84</f>
        <v>0</v>
      </c>
      <c r="P80" s="577"/>
      <c r="Q80" s="577">
        <f>Q85*Q84</f>
        <v>0</v>
      </c>
      <c r="R80" s="577"/>
      <c r="S80" s="577">
        <f>S85*S84</f>
        <v>0</v>
      </c>
      <c r="T80" s="577"/>
      <c r="U80" s="577">
        <f>U85*U84</f>
        <v>0</v>
      </c>
      <c r="V80" s="577"/>
      <c r="W80" s="577"/>
      <c r="X80" s="577"/>
      <c r="Y80" s="577"/>
      <c r="Z80" s="577"/>
      <c r="AA80" s="577"/>
      <c r="AB80" s="577"/>
      <c r="AC80" s="577">
        <f>AC85*AC84</f>
        <v>0</v>
      </c>
      <c r="AD80" s="577"/>
      <c r="AE80" s="577">
        <f>AE85*AE84</f>
        <v>0</v>
      </c>
      <c r="AF80" s="577"/>
      <c r="AG80" s="577">
        <f>AG85*AG84</f>
        <v>0</v>
      </c>
      <c r="AH80" s="577"/>
      <c r="AI80" s="577">
        <f>AI85*AI84</f>
        <v>0</v>
      </c>
      <c r="AJ80" s="577"/>
      <c r="AU80" s="319">
        <f>OBJ!B214</f>
        <v>0</v>
      </c>
      <c r="AV80" s="21" t="e">
        <f>VLOOKUP(AU80,CENY!$B$11:$G$1054,2,FALSE)</f>
        <v>#N/A</v>
      </c>
      <c r="AW80" s="22" t="e">
        <f>VLOOKUP(AU80,CENY!$B$11:$G$1054,3,FALSE)</f>
        <v>#N/A</v>
      </c>
      <c r="AX80" s="22"/>
      <c r="AY80" s="68">
        <f>IF(FORM!AM21&lt;&gt;FORM!AW16,(2*(+SUM(O19:T19)+SUM(O20:AD20)+SUM(W22:AF22)+SUM(O27:T27)+SUM(O28:AD28)+SUM(O30:AD30))),0)</f>
        <v>0</v>
      </c>
      <c r="AZ80" s="326">
        <f t="shared" si="5"/>
        <v>0</v>
      </c>
      <c r="BA80" s="324" t="str">
        <f>IF(AU80=0,"",VLOOKUP(AU80,CENY!$B$11:$M$2025,12,FALSE))</f>
        <v/>
      </c>
      <c r="BB80" s="95" t="str">
        <f t="shared" si="4"/>
        <v/>
      </c>
      <c r="BD80" s="319">
        <f>OBJ!B299</f>
        <v>9256946</v>
      </c>
      <c r="BE80" s="21" t="str">
        <f>VLOOKUP(BD80,CENY!$B$11:$G$1054,2,FALSE)</f>
        <v>Quadro You(S) 300/SiSy 10kg; EB21; ľavý</v>
      </c>
      <c r="BF80" s="22">
        <f>VLOOKUP(BD80,CENY!$B$11:$G$1054,3,FALSE)</f>
        <v>20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10.787739999999999</v>
      </c>
      <c r="BK80" s="95">
        <f t="shared" si="7"/>
        <v>0</v>
      </c>
    </row>
    <row r="81" spans="1:63" ht="14.45" customHeight="1" thickBot="1">
      <c r="A81" s="579"/>
      <c r="O81" s="583" t="str">
        <f>verze!E163</f>
        <v>vonkajšie rozmery zásuvkovej skrinky [mm]</v>
      </c>
      <c r="P81" s="584"/>
      <c r="Q81" s="584"/>
      <c r="R81" s="584"/>
      <c r="S81" s="584"/>
      <c r="T81" s="584"/>
      <c r="U81" s="584"/>
      <c r="V81" s="584"/>
      <c r="W81" s="584"/>
      <c r="X81" s="584"/>
      <c r="Y81" s="584"/>
      <c r="Z81" s="584"/>
      <c r="AA81" s="584"/>
      <c r="AB81" s="584"/>
      <c r="AC81" s="584"/>
      <c r="AD81" s="584"/>
      <c r="AE81" s="584"/>
      <c r="AF81" s="584"/>
      <c r="AG81" s="584"/>
      <c r="AH81" s="584"/>
      <c r="AI81" s="584"/>
      <c r="AJ81" s="584"/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OBJ!B300</f>
        <v>9256947</v>
      </c>
      <c r="BE81" s="21" t="str">
        <f>VLOOKUP(BD81,CENY!$B$11:$G$1054,2,FALSE)</f>
        <v>Quadro You(S) 300/SiSy 10kg; EB21; pravý</v>
      </c>
      <c r="BF81" s="22">
        <f>VLOOKUP(BD81,CENY!$B$11:$G$1054,3,FALSE)</f>
        <v>20</v>
      </c>
      <c r="BG81" s="22"/>
      <c r="BH81" s="23">
        <f>AY51</f>
        <v>0</v>
      </c>
      <c r="BI81" s="326">
        <f t="shared" si="6"/>
        <v>0</v>
      </c>
      <c r="BJ81" s="95">
        <f>VLOOKUP(BD81,CENY!$B$11:$M$2025,12,FALSE)</f>
        <v>10.787739999999999</v>
      </c>
      <c r="BK81" s="95">
        <f t="shared" si="7"/>
        <v>0</v>
      </c>
    </row>
    <row r="82" spans="1:63" ht="14.45" customHeight="1" thickBot="1">
      <c r="A82" s="579"/>
      <c r="B82" s="1" t="str">
        <f>verze!E162</f>
        <v>Čelo na vnútornú zásuvku</v>
      </c>
      <c r="O82" s="597" t="str">
        <f>verze!E164</f>
        <v>nízke čelo = 66 mm</v>
      </c>
      <c r="P82" s="598"/>
      <c r="Q82" s="598"/>
      <c r="R82" s="598"/>
      <c r="S82" s="598"/>
      <c r="T82" s="598"/>
      <c r="U82" s="598"/>
      <c r="V82" s="598"/>
      <c r="W82" s="334"/>
      <c r="X82" s="334"/>
      <c r="Y82" s="334"/>
      <c r="Z82" s="334"/>
      <c r="AA82" s="596"/>
      <c r="AB82" s="596"/>
      <c r="AC82" s="598" t="str">
        <f>verze!E165</f>
        <v>vysoké čelo = 130 mm</v>
      </c>
      <c r="AD82" s="598"/>
      <c r="AE82" s="598"/>
      <c r="AF82" s="598"/>
      <c r="AG82" s="598"/>
      <c r="AH82" s="598"/>
      <c r="AI82" s="598"/>
      <c r="AJ82" s="598"/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OBJ!B301</f>
        <v>9256950</v>
      </c>
      <c r="BE82" s="21" t="str">
        <f>VLOOKUP(BD82,CENY!$B$11:$G$1054,2,FALSE)</f>
        <v>Quadro You(S) 350/SiSy 10kg; EB21; ľavý</v>
      </c>
      <c r="BF82" s="22">
        <f>VLOOKUP(BD82,CENY!$B$11:$G$1054,3,FALSE)</f>
        <v>20</v>
      </c>
      <c r="BG82" s="22"/>
      <c r="BH82" s="23">
        <f>AY52</f>
        <v>0</v>
      </c>
      <c r="BI82" s="326">
        <f t="shared" si="6"/>
        <v>0</v>
      </c>
      <c r="BJ82" s="95">
        <f>VLOOKUP(BD82,CENY!$B$11:$M$2025,12,FALSE)</f>
        <v>11.02122</v>
      </c>
      <c r="BK82" s="95">
        <f t="shared" si="7"/>
        <v>0</v>
      </c>
    </row>
    <row r="83" spans="1:63" ht="14.45" customHeight="1" thickBot="1">
      <c r="A83" s="579"/>
      <c r="B83" s="96"/>
      <c r="C83" s="96"/>
      <c r="D83" s="96"/>
      <c r="E83" s="96"/>
      <c r="F83" s="96"/>
      <c r="G83" s="96"/>
      <c r="H83" s="72"/>
      <c r="I83" s="72"/>
      <c r="J83" s="72"/>
      <c r="K83" s="72"/>
      <c r="L83" s="72"/>
      <c r="M83" s="72"/>
      <c r="N83" s="72" t="str">
        <f>verze!E166&amp;" "</f>
        <v xml:space="preserve">Šírka korpusu: </v>
      </c>
      <c r="O83" s="600">
        <v>450</v>
      </c>
      <c r="P83" s="601"/>
      <c r="Q83" s="603">
        <v>600</v>
      </c>
      <c r="R83" s="603"/>
      <c r="S83" s="603">
        <v>900</v>
      </c>
      <c r="T83" s="603"/>
      <c r="U83" s="603">
        <v>1200</v>
      </c>
      <c r="V83" s="600"/>
      <c r="W83" s="334"/>
      <c r="X83" s="334"/>
      <c r="Y83" s="334"/>
      <c r="Z83" s="334"/>
      <c r="AA83" s="596"/>
      <c r="AB83" s="596"/>
      <c r="AC83" s="602">
        <v>450</v>
      </c>
      <c r="AD83" s="603"/>
      <c r="AE83" s="602">
        <v>600</v>
      </c>
      <c r="AF83" s="603"/>
      <c r="AG83" s="600">
        <v>900</v>
      </c>
      <c r="AH83" s="601"/>
      <c r="AI83" s="600">
        <v>1200</v>
      </c>
      <c r="AJ83" s="601"/>
      <c r="AU83" s="319">
        <f>OBJ!B210</f>
        <v>9257663</v>
      </c>
      <c r="AV83" s="21" t="str">
        <f>VLOOKUP(AU83,CENY!$B$11:$G$1054,2,FALSE)</f>
        <v>AvanY-indiv.čelo vnút.zásuv./d2000/strieb.</v>
      </c>
      <c r="AW83" s="22">
        <f>VLOOKUP(AU83,CENY!$B$11:$G$1054,3,FALSE)</f>
        <v>1</v>
      </c>
      <c r="AX83" s="22"/>
      <c r="AY83" s="23">
        <f>IF(AU95=0,0,IF(AU101&lt;2000,1,SUM(O79:AJ79)))</f>
        <v>0</v>
      </c>
      <c r="AZ83" s="326">
        <f t="shared" si="5"/>
        <v>0</v>
      </c>
      <c r="BA83" s="95">
        <f>VLOOKUP(AU83,CENY!$B$11:$M$2025,12,FALSE)</f>
        <v>35.672049999999999</v>
      </c>
      <c r="BB83" s="95">
        <f t="shared" si="4"/>
        <v>0</v>
      </c>
      <c r="BD83" s="319">
        <f>OBJ!B302</f>
        <v>9256951</v>
      </c>
      <c r="BE83" s="21" t="str">
        <f>VLOOKUP(BD83,CENY!$B$11:$G$1054,2,FALSE)</f>
        <v>Quadro You(S) 350/SiSy 10kg; EB21; pravý</v>
      </c>
      <c r="BF83" s="22">
        <f>VLOOKUP(BD83,CENY!$B$11:$G$1054,3,FALSE)</f>
        <v>20</v>
      </c>
      <c r="BG83" s="22"/>
      <c r="BH83" s="23">
        <f>AY52</f>
        <v>0</v>
      </c>
      <c r="BI83" s="326">
        <f t="shared" si="6"/>
        <v>0</v>
      </c>
      <c r="BJ83" s="95">
        <f>VLOOKUP(BD83,CENY!$B$11:$M$2025,12,FALSE)</f>
        <v>11.02122</v>
      </c>
      <c r="BK83" s="95">
        <f t="shared" si="7"/>
        <v>0</v>
      </c>
    </row>
    <row r="84" spans="1:63" ht="14.45" customHeight="1" thickBot="1">
      <c r="A84" s="579"/>
      <c r="B84" s="158" t="str">
        <f>" "&amp;verze!E167</f>
        <v xml:space="preserve"> ALU čelo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525"/>
      <c r="N84" s="548"/>
      <c r="O84" s="580"/>
      <c r="P84" s="581"/>
      <c r="Q84" s="599"/>
      <c r="R84" s="599"/>
      <c r="S84" s="599"/>
      <c r="T84" s="599"/>
      <c r="U84" s="599"/>
      <c r="V84" s="580"/>
      <c r="W84" s="336"/>
      <c r="X84" s="336"/>
      <c r="Y84" s="336"/>
      <c r="Z84" s="336"/>
      <c r="AA84" s="336"/>
      <c r="AB84" s="336"/>
      <c r="AC84" s="581"/>
      <c r="AD84" s="599"/>
      <c r="AE84" s="581"/>
      <c r="AF84" s="599"/>
      <c r="AG84" s="585"/>
      <c r="AH84" s="581"/>
      <c r="AI84" s="580"/>
      <c r="AJ84" s="585"/>
      <c r="AU84" s="319">
        <f>OBJ!B211</f>
        <v>9257651</v>
      </c>
      <c r="AV84" s="21" t="str">
        <f>VLOOKUP(AU84,CENY!$B$11:$G$1054,2,FALSE)</f>
        <v>AvanY-spojky indiv.čela vnút./v187/strieb.</v>
      </c>
      <c r="AW84" s="22">
        <f>VLOOKUP(AU84,CENY!$B$11:$G$1054,3,FALSE)</f>
        <v>1</v>
      </c>
      <c r="AX84" s="22"/>
      <c r="AY84" s="23">
        <f>1*(+SUM(O19:T19)+SUM(O20:AD20)+SUM(W22:AF22)+SUM(O27:T27)+SUM(O28:AD28)+SUM(O30:AD30))</f>
        <v>0</v>
      </c>
      <c r="AZ84" s="326">
        <f t="shared" si="5"/>
        <v>0</v>
      </c>
      <c r="BA84" s="95">
        <f>VLOOKUP(AU84,CENY!$B$11:$M$2025,12,FALSE)</f>
        <v>26.795850000000002</v>
      </c>
      <c r="BB84" s="95">
        <f t="shared" si="4"/>
        <v>0</v>
      </c>
      <c r="BD84" s="319"/>
      <c r="BE84" s="21"/>
      <c r="BF84" s="22"/>
      <c r="BG84" s="22"/>
      <c r="BH84" s="23"/>
      <c r="BI84" s="326" t="str">
        <f t="shared" si="6"/>
        <v/>
      </c>
      <c r="BJ84" s="95"/>
      <c r="BK84" s="95" t="str">
        <f t="shared" si="7"/>
        <v/>
      </c>
    </row>
    <row r="85" spans="1:63" ht="14.45" customHeight="1">
      <c r="A85" s="579"/>
      <c r="O85" s="582">
        <f>O83-2*FORM!$AM$24-66</f>
        <v>348</v>
      </c>
      <c r="P85" s="582"/>
      <c r="Q85" s="582">
        <f>Q83-2*FORM!$AM$24-66</f>
        <v>498</v>
      </c>
      <c r="R85" s="582"/>
      <c r="S85" s="582">
        <f>S83-2*FORM!$AM$24-66</f>
        <v>798</v>
      </c>
      <c r="T85" s="582"/>
      <c r="U85" s="582">
        <f>U83-2*FORM!$AM$24-66</f>
        <v>1098</v>
      </c>
      <c r="V85" s="582"/>
      <c r="W85" s="577"/>
      <c r="X85" s="577"/>
      <c r="Y85" s="577"/>
      <c r="Z85" s="577"/>
      <c r="AA85" s="577"/>
      <c r="AB85" s="577"/>
      <c r="AC85" s="582">
        <f>AC83-2*FORM!$AM$24-66</f>
        <v>348</v>
      </c>
      <c r="AD85" s="582"/>
      <c r="AE85" s="582">
        <f>AE83-2*FORM!$AM$24-66</f>
        <v>498</v>
      </c>
      <c r="AF85" s="582"/>
      <c r="AG85" s="582">
        <f>AG83-2*FORM!$AM$24-66</f>
        <v>798</v>
      </c>
      <c r="AH85" s="582"/>
      <c r="AI85" s="582">
        <f>AI83-2*FORM!$AM$24-66</f>
        <v>1098</v>
      </c>
      <c r="AJ85" s="582"/>
      <c r="AU85" s="319">
        <f>OBJ!B224</f>
        <v>9283228</v>
      </c>
      <c r="AV85" s="21" t="str">
        <f>VLOOKUP(AU85,CENY!$B$11:$G$1054,2,FALSE)</f>
        <v>AvanY-sklo pre vnút.čelo /v66/s450/hr18</v>
      </c>
      <c r="AW85" s="22">
        <f>VLOOKUP(AU85,CENY!$B$11:$G$1054,3,FALSE)</f>
        <v>1</v>
      </c>
      <c r="AX85" s="22"/>
      <c r="AY85" s="23">
        <f>O84</f>
        <v>0</v>
      </c>
      <c r="AZ85" s="326">
        <f t="shared" si="5"/>
        <v>0</v>
      </c>
      <c r="BA85" s="95" t="e">
        <f>VLOOKUP(AU85,CENY!$B$11:$M$2025,12,FALSE)</f>
        <v>#N/A</v>
      </c>
      <c r="BB85" s="95" t="e">
        <f t="shared" ref="BB85:BB90" si="8">IF(BA85="","",BA85*AY85)</f>
        <v>#N/A</v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AY54</f>
        <v>0</v>
      </c>
      <c r="BI85" s="326">
        <f t="shared" si="6"/>
        <v>0</v>
      </c>
      <c r="BJ85" s="95">
        <f>VLOOKUP(BD85,CENY!$B$11:$M$2025,12,FALSE)</f>
        <v>10.7646</v>
      </c>
      <c r="BK85" s="95">
        <f t="shared" si="7"/>
        <v>0</v>
      </c>
    </row>
    <row r="86" spans="1:63" ht="14.45" customHeight="1">
      <c r="A86" s="579"/>
      <c r="AR86" s="157"/>
      <c r="AU86" s="319">
        <f>OBJ!B225</f>
        <v>9283229</v>
      </c>
      <c r="AV86" s="21" t="str">
        <f>VLOOKUP(AU86,CENY!$B$11:$G$1054,2,FALSE)</f>
        <v>AvanY-sklo pre vnút.čelo /v66/s600/hr18</v>
      </c>
      <c r="AW86" s="22">
        <f>VLOOKUP(AU86,CENY!$B$11:$G$1054,3,FALSE)</f>
        <v>1</v>
      </c>
      <c r="AX86" s="22"/>
      <c r="AY86" s="23">
        <f>Q84</f>
        <v>0</v>
      </c>
      <c r="AZ86" s="326">
        <f t="shared" si="5"/>
        <v>0</v>
      </c>
      <c r="BA86" s="95">
        <f>VLOOKUP(AU86,CENY!$B$11:$M$2025,12,FALSE)</f>
        <v>19.680150000000001</v>
      </c>
      <c r="BB86" s="95">
        <f t="shared" si="8"/>
        <v>0</v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AY54</f>
        <v>0</v>
      </c>
      <c r="BI86" s="326">
        <f t="shared" si="6"/>
        <v>0</v>
      </c>
      <c r="BJ86" s="95">
        <f>VLOOKUP(BD86,CENY!$B$11:$M$2025,12,FALSE)</f>
        <v>10.7646</v>
      </c>
      <c r="BK86" s="95">
        <f t="shared" si="7"/>
        <v>0</v>
      </c>
    </row>
    <row r="87" spans="1:63" ht="14.45" customHeight="1">
      <c r="A87" s="579"/>
      <c r="V87" s="595" t="str">
        <f>IF(AU97=0,AU103,AU104)</f>
        <v>Je potrebné vybrať 0 ks vnútorných čiel.</v>
      </c>
      <c r="W87" s="595"/>
      <c r="X87" s="595"/>
      <c r="Y87" s="595"/>
      <c r="Z87" s="595"/>
      <c r="AA87" s="595"/>
      <c r="AB87" s="595"/>
      <c r="AC87" s="595"/>
      <c r="AR87" s="332"/>
      <c r="AU87" s="319">
        <f>OBJ!B226</f>
        <v>9283231</v>
      </c>
      <c r="AV87" s="21" t="str">
        <f>VLOOKUP(AU87,CENY!$B$11:$G$1054,2,FALSE)</f>
        <v>AvanY-sklo pre vnút.čelo /v66/s900/hr18</v>
      </c>
      <c r="AW87" s="22">
        <f>VLOOKUP(AU87,CENY!$B$11:$G$1054,3,FALSE)</f>
        <v>1</v>
      </c>
      <c r="AX87" s="22"/>
      <c r="AY87" s="23">
        <f>S84</f>
        <v>0</v>
      </c>
      <c r="AZ87" s="326">
        <f t="shared" si="5"/>
        <v>0</v>
      </c>
      <c r="BA87" s="95">
        <f>VLOOKUP(AU87,CENY!$B$11:$M$2025,12,FALSE)</f>
        <v>34.754010000000001</v>
      </c>
      <c r="BB87" s="95">
        <f t="shared" si="8"/>
        <v>0</v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AY55</f>
        <v>0</v>
      </c>
      <c r="BI87" s="326">
        <f t="shared" si="6"/>
        <v>0</v>
      </c>
      <c r="BJ87" s="95">
        <f>VLOOKUP(BD87,CENY!$B$11:$M$2025,12,FALSE)</f>
        <v>10.787739999999999</v>
      </c>
      <c r="BK87" s="95">
        <f t="shared" si="7"/>
        <v>0</v>
      </c>
    </row>
    <row r="88" spans="1:63" ht="14.45" customHeight="1">
      <c r="A88" s="579"/>
      <c r="V88" s="595"/>
      <c r="W88" s="595"/>
      <c r="X88" s="595"/>
      <c r="Y88" s="595"/>
      <c r="Z88" s="595"/>
      <c r="AA88" s="595"/>
      <c r="AB88" s="595"/>
      <c r="AC88" s="595"/>
      <c r="AU88" s="319">
        <f>OBJ!B227</f>
        <v>9283232</v>
      </c>
      <c r="AV88" s="21" t="str">
        <f>VLOOKUP(AU88,CENY!$B$11:$G$1054,2,FALSE)</f>
        <v>AvanY-sklo pre vnút.čelo /v66/s1200/hr18</v>
      </c>
      <c r="AW88" s="22">
        <f>VLOOKUP(AU88,CENY!$B$11:$G$1054,3,FALSE)</f>
        <v>1</v>
      </c>
      <c r="AX88" s="22"/>
      <c r="AY88" s="23">
        <f>U84</f>
        <v>0</v>
      </c>
      <c r="AZ88" s="326">
        <f t="shared" si="5"/>
        <v>0</v>
      </c>
      <c r="BA88" s="95">
        <f>VLOOKUP(AU88,CENY!$B$11:$M$2025,12,FALSE)</f>
        <v>44.803019999999997</v>
      </c>
      <c r="BB88" s="95">
        <f t="shared" si="8"/>
        <v>0</v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AY55</f>
        <v>0</v>
      </c>
      <c r="BI88" s="326">
        <f t="shared" si="6"/>
        <v>0</v>
      </c>
      <c r="BJ88" s="95">
        <f>VLOOKUP(BD88,CENY!$B$11:$M$2025,12,FALSE)</f>
        <v>10.787739999999999</v>
      </c>
      <c r="BK88" s="95">
        <f t="shared" si="7"/>
        <v>0</v>
      </c>
    </row>
    <row r="89" spans="1:63" ht="14.45" customHeight="1">
      <c r="A89" s="579"/>
      <c r="V89" s="595"/>
      <c r="W89" s="595"/>
      <c r="X89" s="595"/>
      <c r="Y89" s="595"/>
      <c r="Z89" s="595"/>
      <c r="AA89" s="595"/>
      <c r="AB89" s="595"/>
      <c r="AC89" s="595"/>
      <c r="AU89" s="319">
        <f>OBJ!B228</f>
        <v>9283233</v>
      </c>
      <c r="AV89" s="21" t="str">
        <f>VLOOKUP(AU89,CENY!$B$11:$G$1054,2,FALSE)</f>
        <v>AvanY-sklo pre vnút.čelo /v130/s450/hr18</v>
      </c>
      <c r="AW89" s="22">
        <f>VLOOKUP(AU89,CENY!$B$11:$G$1054,3,FALSE)</f>
        <v>1</v>
      </c>
      <c r="AX89" s="22"/>
      <c r="AY89" s="23">
        <f>AC84</f>
        <v>0</v>
      </c>
      <c r="AZ89" s="326">
        <f t="shared" si="5"/>
        <v>0</v>
      </c>
      <c r="BA89" s="95">
        <f>VLOOKUP(AU89,CENY!$B$11:$M$2025,12,FALSE)</f>
        <v>27.140440000000002</v>
      </c>
      <c r="BB89" s="95">
        <f t="shared" si="8"/>
        <v>0</v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AY56</f>
        <v>0</v>
      </c>
      <c r="BI89" s="326">
        <f t="shared" si="6"/>
        <v>0</v>
      </c>
      <c r="BJ89" s="95">
        <f>VLOOKUP(BD89,CENY!$B$11:$M$2025,12,FALSE)</f>
        <v>11.02122</v>
      </c>
      <c r="BK89" s="95">
        <f t="shared" si="7"/>
        <v>0</v>
      </c>
    </row>
    <row r="90" spans="1:63" ht="14.45" customHeight="1">
      <c r="A90" s="579"/>
      <c r="V90" s="595"/>
      <c r="W90" s="595"/>
      <c r="X90" s="595"/>
      <c r="Y90" s="595"/>
      <c r="Z90" s="595"/>
      <c r="AA90" s="595"/>
      <c r="AB90" s="595"/>
      <c r="AC90" s="595"/>
      <c r="AU90" s="319">
        <f>OBJ!B229</f>
        <v>9283235</v>
      </c>
      <c r="AV90" s="21" t="str">
        <f>VLOOKUP(AU90,CENY!$B$11:$G$1054,2,FALSE)</f>
        <v>AvanY-sklo pre vnút.čelo /v130/s600/hr18</v>
      </c>
      <c r="AW90" s="22">
        <f>VLOOKUP(AU90,CENY!$B$11:$G$1054,3,FALSE)</f>
        <v>1</v>
      </c>
      <c r="AX90" s="22"/>
      <c r="AY90" s="23">
        <f>AE84</f>
        <v>0</v>
      </c>
      <c r="AZ90" s="326">
        <f t="shared" si="5"/>
        <v>0</v>
      </c>
      <c r="BA90" s="95">
        <f>VLOOKUP(AU90,CENY!$B$11:$M$2025,12,FALSE)</f>
        <v>30.842929999999999</v>
      </c>
      <c r="BB90" s="95">
        <f t="shared" si="8"/>
        <v>0</v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AY56</f>
        <v>0</v>
      </c>
      <c r="BI90" s="326">
        <f t="shared" si="6"/>
        <v>0</v>
      </c>
      <c r="BJ90" s="95">
        <f>VLOOKUP(BD90,CENY!$B$11:$M$2025,12,FALSE)</f>
        <v>11.02122</v>
      </c>
      <c r="BK90" s="95">
        <f t="shared" si="7"/>
        <v>0</v>
      </c>
    </row>
    <row r="91" spans="1:63" ht="14.45" customHeight="1">
      <c r="A91" s="579"/>
      <c r="V91" s="595"/>
      <c r="W91" s="595"/>
      <c r="X91" s="595"/>
      <c r="Y91" s="595"/>
      <c r="Z91" s="595"/>
      <c r="AA91" s="595"/>
      <c r="AB91" s="595"/>
      <c r="AC91" s="595"/>
      <c r="AU91" s="319">
        <f>OBJ!B230</f>
        <v>9283237</v>
      </c>
      <c r="AV91" s="21" t="str">
        <f>VLOOKUP(AU91,CENY!$B$11:$G$1054,2,FALSE)</f>
        <v>AvanY-sklo pre vnút.čelo /v130/s900/hr18</v>
      </c>
      <c r="AW91" s="22">
        <f>VLOOKUP(AU91,CENY!$B$11:$G$1054,3,FALSE)</f>
        <v>1</v>
      </c>
      <c r="AX91" s="22"/>
      <c r="AY91" s="23">
        <f>AG84</f>
        <v>0</v>
      </c>
      <c r="AZ91" s="326">
        <f t="shared" si="5"/>
        <v>0</v>
      </c>
      <c r="BA91" s="95">
        <f>VLOOKUP(AU91,CENY!$B$11:$M$2025,12,FALSE)</f>
        <v>51.404679999999999</v>
      </c>
      <c r="BB91" s="95">
        <f>IF(BA91="","",BA91*AY91)</f>
        <v>0</v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AY57</f>
        <v>0</v>
      </c>
      <c r="BI91" s="326">
        <f t="shared" si="6"/>
        <v>0</v>
      </c>
      <c r="BJ91" s="95">
        <f>VLOOKUP(BD91,CENY!$B$11:$M$2025,12,FALSE)</f>
        <v>11.25459</v>
      </c>
      <c r="BK91" s="95">
        <f t="shared" si="7"/>
        <v>0</v>
      </c>
    </row>
    <row r="92" spans="1:63" ht="14.45" customHeight="1">
      <c r="A92" s="579"/>
      <c r="V92" s="595"/>
      <c r="W92" s="595"/>
      <c r="X92" s="595"/>
      <c r="Y92" s="595"/>
      <c r="Z92" s="595"/>
      <c r="AA92" s="595"/>
      <c r="AB92" s="595"/>
      <c r="AC92" s="595"/>
      <c r="AU92" s="319">
        <f>OBJ!B231</f>
        <v>9283238</v>
      </c>
      <c r="AV92" s="21" t="str">
        <f>VLOOKUP(AU92,CENY!$B$11:$G$1054,2,FALSE)</f>
        <v>AvanY-sklo pre vnút.čelo /v130/s1200/hr18</v>
      </c>
      <c r="AW92" s="22">
        <f>VLOOKUP(AU92,CENY!$B$11:$G$1054,3,FALSE)</f>
        <v>1</v>
      </c>
      <c r="AX92" s="22"/>
      <c r="AY92" s="23">
        <f>AI84</f>
        <v>0</v>
      </c>
      <c r="AZ92" s="326">
        <f t="shared" si="5"/>
        <v>0</v>
      </c>
      <c r="BA92" s="95">
        <f>VLOOKUP(AU92,CENY!$B$11:$M$2025,12,FALSE)</f>
        <v>66.209140000000005</v>
      </c>
      <c r="BB92" s="95">
        <f>IF(BA92="","",BA92*AY92)</f>
        <v>0</v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AY57</f>
        <v>0</v>
      </c>
      <c r="BI92" s="326">
        <f t="shared" si="6"/>
        <v>0</v>
      </c>
      <c r="BJ92" s="95">
        <f>VLOOKUP(BD92,CENY!$B$11:$M$2025,12,FALSE)</f>
        <v>11.25459</v>
      </c>
      <c r="BK92" s="95">
        <f t="shared" si="7"/>
        <v>0</v>
      </c>
    </row>
    <row r="93" spans="1:63" ht="14.45" customHeight="1">
      <c r="A93" s="579"/>
      <c r="AU93" s="319"/>
      <c r="AV93" s="21"/>
      <c r="AW93" s="22"/>
      <c r="AX93" s="22"/>
      <c r="AY93" s="23"/>
      <c r="AZ93" s="326" t="str">
        <f t="shared" si="5"/>
        <v/>
      </c>
      <c r="BA93" s="95"/>
      <c r="BB93" s="95"/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AY58</f>
        <v>0</v>
      </c>
      <c r="BI93" s="326">
        <f t="shared" si="6"/>
        <v>0</v>
      </c>
      <c r="BJ93" s="95">
        <f>VLOOKUP(BD93,CENY!$B$11:$M$2025,12,FALSE)</f>
        <v>11.487740000000001</v>
      </c>
      <c r="BK93" s="95">
        <f t="shared" si="7"/>
        <v>0</v>
      </c>
    </row>
    <row r="94" spans="1:63" ht="14.45" customHeight="1">
      <c r="A94" s="579"/>
      <c r="AU94" s="319"/>
      <c r="AV94" s="21"/>
      <c r="AW94" s="22"/>
      <c r="AX94" s="22"/>
      <c r="AY94" s="23"/>
      <c r="AZ94" s="326" t="str">
        <f t="shared" si="5"/>
        <v/>
      </c>
      <c r="BA94" s="95"/>
      <c r="BB94" s="95" t="str">
        <f t="shared" si="4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AY58</f>
        <v>0</v>
      </c>
      <c r="BI94" s="326">
        <f t="shared" si="6"/>
        <v>0</v>
      </c>
      <c r="BJ94" s="95">
        <f>VLOOKUP(BD94,CENY!$B$11:$M$2025,12,FALSE)</f>
        <v>11.487740000000001</v>
      </c>
      <c r="BK94" s="95">
        <f t="shared" si="7"/>
        <v>0</v>
      </c>
    </row>
    <row r="95" spans="1:63" ht="14.45" customHeight="1">
      <c r="A95" s="579"/>
      <c r="AU95" s="330">
        <f>1*(+SUM(O19:T19)+SUM(O20:AD20)+SUM(W22:AF22)+SUM(O27:T27)+SUM(O28:AD28)+SUM(O30:AD30))</f>
        <v>0</v>
      </c>
      <c r="AV95" s="329" t="s">
        <v>356</v>
      </c>
      <c r="AW95" s="22"/>
      <c r="AX95" s="22"/>
      <c r="AY95" s="23"/>
      <c r="AZ95" s="326" t="str">
        <f t="shared" si="5"/>
        <v/>
      </c>
      <c r="BA95" s="95"/>
      <c r="BB95" s="95" t="str">
        <f t="shared" si="4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AY59</f>
        <v>0</v>
      </c>
      <c r="BI95" s="326">
        <f t="shared" si="6"/>
        <v>0</v>
      </c>
      <c r="BJ95" s="95">
        <f>VLOOKUP(BD95,CENY!$B$11:$M$2025,12,FALSE)</f>
        <v>11.163180000000001</v>
      </c>
      <c r="BK95" s="95">
        <f t="shared" si="7"/>
        <v>0</v>
      </c>
    </row>
    <row r="96" spans="1:63" ht="14.45" customHeight="1">
      <c r="A96" s="579"/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AY59</f>
        <v>0</v>
      </c>
      <c r="BI96" s="326">
        <f t="shared" si="6"/>
        <v>0</v>
      </c>
      <c r="BJ96" s="95">
        <f>VLOOKUP(BD96,CENY!$B$11:$M$2025,12,FALSE)</f>
        <v>11.163180000000001</v>
      </c>
      <c r="BK96" s="95">
        <f t="shared" si="7"/>
        <v>0</v>
      </c>
    </row>
    <row r="97" spans="1:63" ht="14.45" customHeight="1">
      <c r="A97" s="579"/>
      <c r="AU97" s="331">
        <f>SUM(O84:AJ84)</f>
        <v>0</v>
      </c>
      <c r="AV97" s="21" t="s">
        <v>357</v>
      </c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AY60</f>
        <v>0</v>
      </c>
      <c r="BI97" s="326">
        <f t="shared" si="6"/>
        <v>0</v>
      </c>
      <c r="BJ97" s="95">
        <f>VLOOKUP(BD97,CENY!$B$11:$M$2025,12,FALSE)</f>
        <v>11.38542</v>
      </c>
      <c r="BK97" s="95">
        <f t="shared" si="7"/>
        <v>0</v>
      </c>
    </row>
    <row r="98" spans="1:63" ht="14.45" customHeight="1">
      <c r="A98" s="579"/>
      <c r="AU98" s="22">
        <f>AU95-AU97</f>
        <v>0</v>
      </c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AY60</f>
        <v>0</v>
      </c>
      <c r="BI98" s="326">
        <f t="shared" si="6"/>
        <v>0</v>
      </c>
      <c r="BJ98" s="95">
        <f>VLOOKUP(BD98,CENY!$B$11:$M$2025,12,FALSE)</f>
        <v>11.954689999999999</v>
      </c>
      <c r="BK98" s="95">
        <f t="shared" si="7"/>
        <v>0</v>
      </c>
    </row>
    <row r="99" spans="1:63" ht="14.45" customHeight="1">
      <c r="A99" s="579"/>
      <c r="AU99" s="22">
        <f>ABS(AU98)</f>
        <v>0</v>
      </c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AY61</f>
        <v>0</v>
      </c>
      <c r="BI99" s="326">
        <f t="shared" si="6"/>
        <v>0</v>
      </c>
      <c r="BJ99" s="95">
        <f>VLOOKUP(BD99,CENY!$B$11:$M$2025,12,FALSE)</f>
        <v>12.187939999999999</v>
      </c>
      <c r="BK99" s="95">
        <f t="shared" si="7"/>
        <v>0</v>
      </c>
    </row>
    <row r="100" spans="1:63" ht="14.45" customHeight="1">
      <c r="A100" s="579"/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AY61</f>
        <v>0</v>
      </c>
      <c r="BI100" s="326">
        <f t="shared" si="6"/>
        <v>0</v>
      </c>
      <c r="BJ100" s="95">
        <f>VLOOKUP(BD100,CENY!$B$11:$M$2025,12,FALSE)</f>
        <v>12.187939999999999</v>
      </c>
      <c r="BK100" s="95">
        <f t="shared" si="7"/>
        <v>0</v>
      </c>
    </row>
    <row r="101" spans="1:63">
      <c r="A101" s="579"/>
      <c r="AU101" s="22">
        <f>(AU97-1)*4+SUM(O80:AJ80)</f>
        <v>-4</v>
      </c>
      <c r="AV101" s="21" t="s">
        <v>358</v>
      </c>
      <c r="AW101" s="22"/>
      <c r="AX101" s="22"/>
      <c r="AY101" s="23"/>
      <c r="AZ101" s="326" t="str">
        <f t="shared" si="5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1:63">
      <c r="A102" s="579"/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4"/>
        <v/>
      </c>
      <c r="BD102" s="319">
        <f>OBJ!B329</f>
        <v>9257894</v>
      </c>
      <c r="BE102" s="21" t="str">
        <f>VLOOKUP(BD102,CENY!$B$11:$G$1054,2,FALSE)</f>
        <v>Quadro You - Push to open Silent; &lt;10kg</v>
      </c>
      <c r="BF102" s="22">
        <f>VLOOKUP(BD102,CENY!$B$11:$G$1054,3,FALSE)</f>
        <v>1</v>
      </c>
      <c r="BG102" s="22"/>
      <c r="BH102" s="23">
        <f>AY63</f>
        <v>0</v>
      </c>
      <c r="BI102" s="326">
        <f t="shared" si="6"/>
        <v>0</v>
      </c>
      <c r="BJ102" s="95">
        <f>VLOOKUP(BD102,CENY!$B$11:$M$2025,12,FALSE)</f>
        <v>23.114239999999999</v>
      </c>
      <c r="BK102" s="95">
        <f t="shared" si="7"/>
        <v>0</v>
      </c>
    </row>
    <row r="103" spans="1:63">
      <c r="A103" s="579"/>
      <c r="AU103" s="335" t="str">
        <f>IF(AU97=0,verze!E169&amp;" "&amp;AU95&amp;" "&amp;verze!E170,"")</f>
        <v>Je potrebné vybrať 0 ks vnútorných čiel.</v>
      </c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4"/>
        <v/>
      </c>
      <c r="BD103" s="319">
        <f>OBJ!B330</f>
        <v>9257895</v>
      </c>
      <c r="BE103" s="21" t="str">
        <f>VLOOKUP(BD103,CENY!$B$11:$G$1054,2,FALSE)</f>
        <v>Quadro You - Push to open Silent; 8-20kg</v>
      </c>
      <c r="BF103" s="22">
        <f>VLOOKUP(BD103,CENY!$B$11:$G$1054,3,FALSE)</f>
        <v>1</v>
      </c>
      <c r="BG103" s="22"/>
      <c r="BH103" s="23">
        <f>AY64</f>
        <v>0</v>
      </c>
      <c r="BI103" s="326">
        <f t="shared" si="6"/>
        <v>0</v>
      </c>
      <c r="BJ103" s="95">
        <f>VLOOKUP(BD103,CENY!$B$11:$M$2025,12,FALSE)</f>
        <v>23.114239999999999</v>
      </c>
      <c r="BK103" s="95">
        <f t="shared" si="7"/>
        <v>0</v>
      </c>
    </row>
    <row r="104" spans="1:63">
      <c r="A104" s="579"/>
      <c r="AU104" s="335" t="str">
        <f>IF(AU97=0,"",IF(AU95=AU97,verze!E174,IF(AU98&gt;0,verze!E171&amp;" "&amp;AU98&amp;" "&amp;verze!E170,verze!E172&amp;" "&amp;AU99&amp;" "&amp;verze!E173)))</f>
        <v/>
      </c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4"/>
        <v/>
      </c>
      <c r="BD104" s="319">
        <f>OBJ!B331</f>
        <v>9257896</v>
      </c>
      <c r="BE104" s="21" t="str">
        <f>VLOOKUP(BD104,CENY!$B$11:$G$1054,2,FALSE)</f>
        <v>Quadro You - Push to open Silent; 10-30kg</v>
      </c>
      <c r="BF104" s="22">
        <f>VLOOKUP(BD104,CENY!$B$11:$G$1054,3,FALSE)</f>
        <v>1</v>
      </c>
      <c r="BG104" s="22"/>
      <c r="BH104" s="23">
        <f>AY65</f>
        <v>0</v>
      </c>
      <c r="BI104" s="326">
        <f t="shared" si="6"/>
        <v>0</v>
      </c>
      <c r="BJ104" s="95">
        <f>VLOOKUP(BD104,CENY!$B$11:$M$2025,12,FALSE)</f>
        <v>23.114239999999999</v>
      </c>
      <c r="BK104" s="95">
        <f t="shared" si="7"/>
        <v>0</v>
      </c>
    </row>
    <row r="105" spans="1:63">
      <c r="A105" s="579"/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4"/>
        <v/>
      </c>
      <c r="BD105" s="319"/>
      <c r="BE105" s="21"/>
      <c r="BF105" s="22"/>
      <c r="BG105" s="22"/>
      <c r="BH105" s="23"/>
      <c r="BI105" s="326" t="str">
        <f t="shared" si="6"/>
        <v/>
      </c>
      <c r="BJ105" s="95"/>
      <c r="BK105" s="95" t="str">
        <f t="shared" si="7"/>
        <v/>
      </c>
    </row>
    <row r="106" spans="1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4"/>
        <v/>
      </c>
      <c r="BD106" s="319">
        <f>OBJ!B341</f>
        <v>9256899</v>
      </c>
      <c r="BE106" s="21" t="str">
        <f>VLOOKUP(BD106,CENY!$B$11:$G$1054,2,FALSE)</f>
        <v>Quadro You(M) 270/P2O 20kg; EB21; ľavý</v>
      </c>
      <c r="BF106" s="22">
        <f>VLOOKUP(BD106,CENY!$B$11:$G$1054,3,FALSE)</f>
        <v>20</v>
      </c>
      <c r="BG106" s="22"/>
      <c r="BH106" s="23">
        <f>AY67</f>
        <v>0</v>
      </c>
      <c r="BI106" s="326">
        <f t="shared" si="6"/>
        <v>0</v>
      </c>
      <c r="BJ106" s="95">
        <f>VLOOKUP(BD106,CENY!$B$11:$M$2025,12,FALSE)</f>
        <v>12.16503</v>
      </c>
      <c r="BK106" s="95">
        <f t="shared" si="7"/>
        <v>0</v>
      </c>
    </row>
    <row r="107" spans="1:63">
      <c r="AU107" s="20"/>
      <c r="AV107" s="21"/>
      <c r="AW107" s="22"/>
      <c r="AX107" s="22"/>
      <c r="AY107" s="23"/>
      <c r="AZ107" s="326" t="str">
        <f t="shared" si="5"/>
        <v/>
      </c>
      <c r="BA107" s="95"/>
      <c r="BB107" s="95" t="str">
        <f t="shared" si="4"/>
        <v/>
      </c>
      <c r="BD107" s="319">
        <f>OBJ!B342</f>
        <v>9256900</v>
      </c>
      <c r="BE107" s="21" t="str">
        <f>VLOOKUP(BD107,CENY!$B$11:$G$1054,2,FALSE)</f>
        <v>Quadro You(M) 270/P2O 20kg; EB21; pravý</v>
      </c>
      <c r="BF107" s="22">
        <f>VLOOKUP(BD107,CENY!$B$11:$G$1054,3,FALSE)</f>
        <v>20</v>
      </c>
      <c r="BG107" s="22"/>
      <c r="BH107" s="23">
        <f>AY67</f>
        <v>0</v>
      </c>
      <c r="BI107" s="326">
        <f t="shared" si="6"/>
        <v>0</v>
      </c>
      <c r="BJ107" s="95">
        <f>VLOOKUP(BD107,CENY!$B$11:$M$2025,12,FALSE)</f>
        <v>12.16503</v>
      </c>
      <c r="BK107" s="95">
        <f t="shared" si="7"/>
        <v>0</v>
      </c>
    </row>
    <row r="108" spans="1:63">
      <c r="AU108" s="20"/>
      <c r="AV108" s="21"/>
      <c r="AW108" s="22"/>
      <c r="AX108" s="22"/>
      <c r="AY108" s="23"/>
      <c r="AZ108" s="326" t="str">
        <f t="shared" si="5"/>
        <v/>
      </c>
      <c r="BA108" s="95"/>
      <c r="BB108" s="95" t="str">
        <f t="shared" si="4"/>
        <v/>
      </c>
      <c r="BD108" s="319">
        <f>OBJ!B343</f>
        <v>9256901</v>
      </c>
      <c r="BE108" s="21" t="str">
        <f>VLOOKUP(BD108,CENY!$B$11:$G$1054,2,FALSE)</f>
        <v>Quadro You(M) 300/P2O 20kg; EB21; ľavý</v>
      </c>
      <c r="BF108" s="22">
        <f>VLOOKUP(BD108,CENY!$B$11:$G$1054,3,FALSE)</f>
        <v>20</v>
      </c>
      <c r="BG108" s="22"/>
      <c r="BH108" s="23">
        <f>AY68</f>
        <v>0</v>
      </c>
      <c r="BI108" s="326">
        <f t="shared" si="6"/>
        <v>0</v>
      </c>
      <c r="BJ108" s="95">
        <f>VLOOKUP(BD108,CENY!$B$11:$M$2025,12,FALSE)</f>
        <v>12.187939999999999</v>
      </c>
      <c r="BK108" s="95">
        <f t="shared" si="7"/>
        <v>0</v>
      </c>
    </row>
    <row r="109" spans="1:63">
      <c r="AU109" s="20"/>
      <c r="AV109" s="21"/>
      <c r="AW109" s="22"/>
      <c r="AX109" s="22"/>
      <c r="AY109" s="23"/>
      <c r="AZ109" s="326" t="str">
        <f t="shared" si="5"/>
        <v/>
      </c>
      <c r="BA109" s="95"/>
      <c r="BB109" s="95" t="str">
        <f t="shared" si="4"/>
        <v/>
      </c>
      <c r="BD109" s="319">
        <f>OBJ!B344</f>
        <v>9256902</v>
      </c>
      <c r="BE109" s="21" t="str">
        <f>VLOOKUP(BD109,CENY!$B$11:$G$1054,2,FALSE)</f>
        <v>Quadro You(M) 300/P2O 20kg; EB21; pravý</v>
      </c>
      <c r="BF109" s="22">
        <f>VLOOKUP(BD109,CENY!$B$11:$G$1054,3,FALSE)</f>
        <v>20</v>
      </c>
      <c r="BG109" s="22"/>
      <c r="BH109" s="23">
        <f>AY68</f>
        <v>0</v>
      </c>
      <c r="BI109" s="326">
        <f t="shared" si="6"/>
        <v>0</v>
      </c>
      <c r="BJ109" s="95">
        <f>VLOOKUP(BD109,CENY!$B$11:$M$2025,12,FALSE)</f>
        <v>12.187939999999999</v>
      </c>
      <c r="BK109" s="95">
        <f t="shared" si="7"/>
        <v>0</v>
      </c>
    </row>
    <row r="110" spans="1:63">
      <c r="AU110" s="20"/>
      <c r="AV110" s="21"/>
      <c r="AW110" s="22"/>
      <c r="AX110" s="22"/>
      <c r="AY110" s="23"/>
      <c r="AZ110" s="326" t="str">
        <f t="shared" si="5"/>
        <v/>
      </c>
      <c r="BA110" s="95"/>
      <c r="BB110" s="95" t="str">
        <f t="shared" si="4"/>
        <v/>
      </c>
      <c r="BD110" s="319">
        <f>OBJ!B345</f>
        <v>9256905</v>
      </c>
      <c r="BE110" s="21" t="str">
        <f>VLOOKUP(BD110,CENY!$B$11:$G$1054,2,FALSE)</f>
        <v>Quadro You(M) 350/P2O 25kg; EB21; ľavý</v>
      </c>
      <c r="BF110" s="22">
        <f>VLOOKUP(BD110,CENY!$B$11:$G$1054,3,FALSE)</f>
        <v>20</v>
      </c>
      <c r="BG110" s="22"/>
      <c r="BH110" s="23">
        <f>AY69</f>
        <v>0</v>
      </c>
      <c r="BI110" s="326">
        <f t="shared" si="6"/>
        <v>0</v>
      </c>
      <c r="BJ110" s="95">
        <f>VLOOKUP(BD110,CENY!$B$11:$M$2025,12,FALSE)</f>
        <v>12.42154</v>
      </c>
      <c r="BK110" s="95">
        <f t="shared" si="7"/>
        <v>0</v>
      </c>
    </row>
    <row r="111" spans="1:63">
      <c r="AU111" s="20"/>
      <c r="AV111" s="21"/>
      <c r="AW111" s="22"/>
      <c r="AX111" s="22"/>
      <c r="AY111" s="23"/>
      <c r="AZ111" s="326" t="str">
        <f t="shared" si="5"/>
        <v/>
      </c>
      <c r="BA111" s="95"/>
      <c r="BB111" s="95" t="str">
        <f t="shared" si="4"/>
        <v/>
      </c>
      <c r="BD111" s="319">
        <f>OBJ!B346</f>
        <v>9256906</v>
      </c>
      <c r="BE111" s="21" t="str">
        <f>VLOOKUP(BD111,CENY!$B$11:$G$1054,2,FALSE)</f>
        <v>Quadro You(M) 350/P2O 25kg; EB21; pravý</v>
      </c>
      <c r="BF111" s="22">
        <f>VLOOKUP(BD111,CENY!$B$11:$G$1054,3,FALSE)</f>
        <v>20</v>
      </c>
      <c r="BG111" s="22"/>
      <c r="BH111" s="23">
        <f>AY69</f>
        <v>0</v>
      </c>
      <c r="BI111" s="326">
        <f t="shared" si="6"/>
        <v>0</v>
      </c>
      <c r="BJ111" s="95">
        <f>VLOOKUP(BD111,CENY!$B$11:$M$2025,12,FALSE)</f>
        <v>12.42154</v>
      </c>
      <c r="BK111" s="95">
        <f t="shared" si="7"/>
        <v>0</v>
      </c>
    </row>
    <row r="112" spans="1:63">
      <c r="AU112" s="20"/>
      <c r="AV112" s="21"/>
      <c r="AW112" s="22"/>
      <c r="AX112" s="22"/>
      <c r="AY112" s="23"/>
      <c r="AZ112" s="326" t="str">
        <f t="shared" si="5"/>
        <v/>
      </c>
      <c r="BA112" s="95"/>
      <c r="BB112" s="95" t="str">
        <f t="shared" si="4"/>
        <v/>
      </c>
      <c r="BD112" s="319">
        <f>OBJ!B347</f>
        <v>9256909</v>
      </c>
      <c r="BE112" s="21" t="str">
        <f>VLOOKUP(BD112,CENY!$B$11:$G$1054,2,FALSE)</f>
        <v>Quadro You(M) 400/P2O 30kg; EB21; ľavý</v>
      </c>
      <c r="BF112" s="22">
        <f>VLOOKUP(BD112,CENY!$B$11:$G$1054,3,FALSE)</f>
        <v>20</v>
      </c>
      <c r="BG112" s="22"/>
      <c r="BH112" s="23">
        <f>AY70</f>
        <v>0</v>
      </c>
      <c r="BI112" s="326">
        <f t="shared" si="6"/>
        <v>0</v>
      </c>
      <c r="BJ112" s="95">
        <f>VLOOKUP(BD112,CENY!$B$11:$M$2025,12,FALSE)</f>
        <v>12.654769999999999</v>
      </c>
      <c r="BK112" s="95">
        <f t="shared" si="7"/>
        <v>0</v>
      </c>
    </row>
    <row r="113" spans="47:63">
      <c r="AU113" s="20"/>
      <c r="AV113" s="21"/>
      <c r="AW113" s="22"/>
      <c r="AX113" s="22"/>
      <c r="AY113" s="23"/>
      <c r="AZ113" s="326" t="str">
        <f t="shared" si="5"/>
        <v/>
      </c>
      <c r="BA113" s="95"/>
      <c r="BB113" s="95" t="str">
        <f t="shared" si="4"/>
        <v/>
      </c>
      <c r="BD113" s="319">
        <f>OBJ!B348</f>
        <v>9256910</v>
      </c>
      <c r="BE113" s="21" t="str">
        <f>VLOOKUP(BD113,CENY!$B$11:$G$1054,2,FALSE)</f>
        <v>Quadro You(M) 400/P2O 30kg; EB21; pravý</v>
      </c>
      <c r="BF113" s="22">
        <f>VLOOKUP(BD113,CENY!$B$11:$G$1054,3,FALSE)</f>
        <v>20</v>
      </c>
      <c r="BG113" s="22"/>
      <c r="BH113" s="23">
        <f>AY70</f>
        <v>0</v>
      </c>
      <c r="BI113" s="326">
        <f t="shared" si="6"/>
        <v>0</v>
      </c>
      <c r="BJ113" s="95">
        <f>VLOOKUP(BD113,CENY!$B$11:$M$2025,12,FALSE)</f>
        <v>12.654769999999999</v>
      </c>
      <c r="BK113" s="95">
        <f t="shared" si="7"/>
        <v>0</v>
      </c>
    </row>
    <row r="114" spans="47:63">
      <c r="AU114" s="20"/>
      <c r="AV114" s="21"/>
      <c r="AW114" s="22"/>
      <c r="AX114" s="22"/>
      <c r="AY114" s="23"/>
      <c r="AZ114" s="326" t="str">
        <f t="shared" si="5"/>
        <v/>
      </c>
      <c r="BA114" s="95"/>
      <c r="BB114" s="95" t="str">
        <f t="shared" si="4"/>
        <v/>
      </c>
      <c r="BD114" s="319">
        <f>OBJ!B349</f>
        <v>9256913</v>
      </c>
      <c r="BE114" s="21" t="str">
        <f>VLOOKUP(BD114,CENY!$B$11:$G$1054,2,FALSE)</f>
        <v>Quadro You(M) 450/P2O 30kg; EB21; ľavý</v>
      </c>
      <c r="BF114" s="22">
        <f>VLOOKUP(BD114,CENY!$B$11:$G$1054,3,FALSE)</f>
        <v>20</v>
      </c>
      <c r="BG114" s="22"/>
      <c r="BH114" s="23">
        <f>AY71</f>
        <v>0</v>
      </c>
      <c r="BI114" s="326">
        <f t="shared" si="6"/>
        <v>0</v>
      </c>
      <c r="BJ114" s="95">
        <f>VLOOKUP(BD114,CENY!$B$11:$M$2025,12,FALSE)</f>
        <v>12.888019999999999</v>
      </c>
      <c r="BK114" s="95">
        <f t="shared" si="7"/>
        <v>0</v>
      </c>
    </row>
    <row r="115" spans="47:63">
      <c r="AU115" s="20"/>
      <c r="AV115" s="21"/>
      <c r="AW115" s="22"/>
      <c r="AX115" s="22"/>
      <c r="AY115" s="23"/>
      <c r="AZ115" s="326" t="str">
        <f t="shared" si="5"/>
        <v/>
      </c>
      <c r="BA115" s="95"/>
      <c r="BB115" s="95" t="str">
        <f t="shared" si="4"/>
        <v/>
      </c>
      <c r="BD115" s="319">
        <f>OBJ!B350</f>
        <v>9256914</v>
      </c>
      <c r="BE115" s="21" t="str">
        <f>VLOOKUP(BD115,CENY!$B$11:$G$1054,2,FALSE)</f>
        <v>Quadro You(M) 450/P2O 30kg; EB21; pravý</v>
      </c>
      <c r="BF115" s="22">
        <f>VLOOKUP(BD115,CENY!$B$11:$G$1054,3,FALSE)</f>
        <v>20</v>
      </c>
      <c r="BG115" s="22"/>
      <c r="BH115" s="23">
        <f>AY71</f>
        <v>0</v>
      </c>
      <c r="BI115" s="326">
        <f t="shared" si="6"/>
        <v>0</v>
      </c>
      <c r="BJ115" s="95">
        <f>VLOOKUP(BD115,CENY!$B$11:$M$2025,12,FALSE)</f>
        <v>12.888019999999999</v>
      </c>
      <c r="BK115" s="95">
        <f t="shared" si="7"/>
        <v>0</v>
      </c>
    </row>
    <row r="116" spans="47:63">
      <c r="AU116" s="20"/>
      <c r="AV116" s="21"/>
      <c r="AW116" s="22"/>
      <c r="AX116" s="22"/>
      <c r="AY116" s="23"/>
      <c r="AZ116" s="326" t="str">
        <f t="shared" si="5"/>
        <v/>
      </c>
      <c r="BA116" s="95"/>
      <c r="BB116" s="95" t="str">
        <f t="shared" si="4"/>
        <v/>
      </c>
      <c r="BD116" s="319">
        <f>OBJ!B351</f>
        <v>9256917</v>
      </c>
      <c r="BE116" s="21" t="str">
        <f>VLOOKUP(BD116,CENY!$B$11:$G$1054,2,FALSE)</f>
        <v>Quadro You(M) 500/P2O 30kg; EB21; ľavý</v>
      </c>
      <c r="BF116" s="22">
        <f>VLOOKUP(BD116,CENY!$B$11:$G$1054,3,FALSE)</f>
        <v>20</v>
      </c>
      <c r="BG116" s="22"/>
      <c r="BH116" s="23">
        <f>AY72</f>
        <v>0</v>
      </c>
      <c r="BI116" s="326">
        <f t="shared" si="6"/>
        <v>0</v>
      </c>
      <c r="BJ116" s="95">
        <f>VLOOKUP(BD116,CENY!$B$11:$M$2025,12,FALSE)</f>
        <v>12.496779999999999</v>
      </c>
      <c r="BK116" s="95">
        <f t="shared" si="7"/>
        <v>0</v>
      </c>
    </row>
    <row r="117" spans="47:63">
      <c r="AU117" s="20"/>
      <c r="AV117" s="21"/>
      <c r="AW117" s="22"/>
      <c r="AX117" s="22"/>
      <c r="AY117" s="23"/>
      <c r="AZ117" s="326" t="str">
        <f t="shared" si="5"/>
        <v/>
      </c>
      <c r="BA117" s="95"/>
      <c r="BB117" s="95" t="str">
        <f t="shared" si="4"/>
        <v/>
      </c>
      <c r="BD117" s="319">
        <f>OBJ!B352</f>
        <v>9256918</v>
      </c>
      <c r="BE117" s="21" t="str">
        <f>VLOOKUP(BD117,CENY!$B$11:$G$1054,2,FALSE)</f>
        <v>Quadro You(M) 500/P2O 30kg; EB21; pravý</v>
      </c>
      <c r="BF117" s="22">
        <f>VLOOKUP(BD117,CENY!$B$11:$G$1054,3,FALSE)</f>
        <v>20</v>
      </c>
      <c r="BG117" s="22"/>
      <c r="BH117" s="23">
        <f>AY72</f>
        <v>0</v>
      </c>
      <c r="BI117" s="326">
        <f t="shared" si="6"/>
        <v>0</v>
      </c>
      <c r="BJ117" s="95">
        <f>VLOOKUP(BD117,CENY!$B$11:$M$2025,12,FALSE)</f>
        <v>12.496779999999999</v>
      </c>
      <c r="BK117" s="95">
        <f t="shared" si="7"/>
        <v>0</v>
      </c>
    </row>
    <row r="118" spans="47:63">
      <c r="AU118" s="20"/>
      <c r="AV118" s="21"/>
      <c r="AW118" s="22"/>
      <c r="AX118" s="22"/>
      <c r="AY118" s="23"/>
      <c r="AZ118" s="326" t="str">
        <f t="shared" si="5"/>
        <v/>
      </c>
      <c r="BA118" s="95"/>
      <c r="BB118" s="95" t="str">
        <f t="shared" si="4"/>
        <v/>
      </c>
      <c r="BD118" s="319">
        <f>OBJ!B353</f>
        <v>9256921</v>
      </c>
      <c r="BE118" s="21" t="str">
        <f>VLOOKUP(BD118,CENY!$B$11:$G$1054,2,FALSE)</f>
        <v>Quadro You(M) 550/P2O 30kg; EB21; ľavý</v>
      </c>
      <c r="BF118" s="22">
        <f>VLOOKUP(BD118,CENY!$B$11:$G$1054,3,FALSE)</f>
        <v>20</v>
      </c>
      <c r="BG118" s="22"/>
      <c r="BH118" s="23">
        <f>AY73</f>
        <v>0</v>
      </c>
      <c r="BI118" s="326">
        <f t="shared" si="6"/>
        <v>0</v>
      </c>
      <c r="BJ118" s="95">
        <f>VLOOKUP(BD118,CENY!$B$11:$M$2025,12,FALSE)</f>
        <v>12.718019999999999</v>
      </c>
      <c r="BK118" s="95">
        <f t="shared" si="7"/>
        <v>0</v>
      </c>
    </row>
    <row r="119" spans="47:63">
      <c r="AU119" s="20"/>
      <c r="AV119" s="21"/>
      <c r="AW119" s="22"/>
      <c r="AX119" s="22"/>
      <c r="AY119" s="23"/>
      <c r="AZ119" s="326" t="str">
        <f t="shared" si="5"/>
        <v/>
      </c>
      <c r="BA119" s="95"/>
      <c r="BB119" s="95" t="str">
        <f t="shared" si="4"/>
        <v/>
      </c>
      <c r="BD119" s="319">
        <f>OBJ!B354</f>
        <v>9256922</v>
      </c>
      <c r="BE119" s="21" t="str">
        <f>VLOOKUP(BD119,CENY!$B$11:$G$1054,2,FALSE)</f>
        <v>Quadro You(M) 550/P2O 30kg; EB21; pravý</v>
      </c>
      <c r="BF119" s="22">
        <f>VLOOKUP(BD119,CENY!$B$11:$G$1054,3,FALSE)</f>
        <v>20</v>
      </c>
      <c r="BG119" s="22"/>
      <c r="BH119" s="23">
        <f>AY73</f>
        <v>0</v>
      </c>
      <c r="BI119" s="326">
        <f t="shared" si="6"/>
        <v>0</v>
      </c>
      <c r="BJ119" s="95">
        <f>VLOOKUP(BD119,CENY!$B$11:$M$2025,12,FALSE)</f>
        <v>13.35392</v>
      </c>
      <c r="BK119" s="95">
        <f t="shared" si="7"/>
        <v>0</v>
      </c>
    </row>
    <row r="120" spans="47:63">
      <c r="AU120" s="20"/>
      <c r="AV120" s="21"/>
      <c r="AW120" s="22"/>
      <c r="AX120" s="22"/>
      <c r="AY120" s="23"/>
      <c r="AZ120" s="326" t="str">
        <f t="shared" si="5"/>
        <v/>
      </c>
      <c r="BA120" s="95"/>
      <c r="BB120" s="95" t="str">
        <f t="shared" si="4"/>
        <v/>
      </c>
      <c r="BD120" s="319">
        <f>OBJ!B355</f>
        <v>9256925</v>
      </c>
      <c r="BE120" s="21" t="str">
        <f>VLOOKUP(BD120,CENY!$B$11:$G$1054,2,FALSE)</f>
        <v>Quadro You(M) 600/P2O 25kg; EB21; ľavý</v>
      </c>
      <c r="BF120" s="22">
        <f>VLOOKUP(BD120,CENY!$B$11:$G$1054,3,FALSE)</f>
        <v>20</v>
      </c>
      <c r="BG120" s="22"/>
      <c r="BH120" s="23">
        <f>AY74</f>
        <v>0</v>
      </c>
      <c r="BI120" s="326">
        <f t="shared" si="6"/>
        <v>0</v>
      </c>
      <c r="BJ120" s="95">
        <f>VLOOKUP(BD120,CENY!$B$11:$M$2025,12,FALSE)</f>
        <v>13.58704</v>
      </c>
      <c r="BK120" s="95">
        <f t="shared" si="7"/>
        <v>0</v>
      </c>
    </row>
    <row r="121" spans="47:63">
      <c r="AU121" s="20"/>
      <c r="AV121" s="21"/>
      <c r="AW121" s="22"/>
      <c r="AX121" s="22"/>
      <c r="AY121" s="23"/>
      <c r="AZ121" s="326" t="str">
        <f t="shared" si="5"/>
        <v/>
      </c>
      <c r="BA121" s="95"/>
      <c r="BB121" s="95" t="str">
        <f t="shared" si="4"/>
        <v/>
      </c>
      <c r="BD121" s="319">
        <f>OBJ!B356</f>
        <v>9256926</v>
      </c>
      <c r="BE121" s="21" t="str">
        <f>VLOOKUP(BD121,CENY!$B$11:$G$1054,2,FALSE)</f>
        <v>Quadro You(M) 600/P2O 25kg; EB21; pravý</v>
      </c>
      <c r="BF121" s="22">
        <f>VLOOKUP(BD121,CENY!$B$11:$G$1054,3,FALSE)</f>
        <v>20</v>
      </c>
      <c r="BG121" s="22"/>
      <c r="BH121" s="23">
        <f>AY74</f>
        <v>0</v>
      </c>
      <c r="BI121" s="326">
        <f t="shared" si="6"/>
        <v>0</v>
      </c>
      <c r="BJ121" s="95">
        <f>VLOOKUP(BD121,CENY!$B$11:$M$2025,12,FALSE)</f>
        <v>13.58704</v>
      </c>
      <c r="BK121" s="95">
        <f t="shared" si="7"/>
        <v>0</v>
      </c>
    </row>
    <row r="122" spans="47:63">
      <c r="AU122" s="20"/>
      <c r="AV122" s="21"/>
      <c r="AW122" s="22"/>
      <c r="AX122" s="22"/>
      <c r="AY122" s="23"/>
      <c r="AZ122" s="326" t="str">
        <f t="shared" si="5"/>
        <v/>
      </c>
      <c r="BA122" s="95"/>
      <c r="BB122" s="95" t="str">
        <f t="shared" si="4"/>
        <v/>
      </c>
      <c r="BD122" s="319"/>
      <c r="BE122" s="21"/>
      <c r="BF122" s="22"/>
      <c r="BG122" s="22"/>
      <c r="BH122" s="23"/>
      <c r="BI122" s="326" t="str">
        <f t="shared" si="6"/>
        <v/>
      </c>
      <c r="BJ122" s="95"/>
      <c r="BK122" s="95" t="str">
        <f t="shared" si="7"/>
        <v/>
      </c>
    </row>
    <row r="123" spans="47:63">
      <c r="AU123" s="20"/>
      <c r="AV123" s="21"/>
      <c r="AW123" s="22"/>
      <c r="AX123" s="22"/>
      <c r="AY123" s="23"/>
      <c r="AZ123" s="326" t="str">
        <f t="shared" si="5"/>
        <v/>
      </c>
      <c r="BA123" s="95"/>
      <c r="BB123" s="95" t="str">
        <f t="shared" si="4"/>
        <v/>
      </c>
      <c r="BD123" s="319">
        <f>OBJ!B358</f>
        <v>9219966</v>
      </c>
      <c r="BE123" s="21" t="str">
        <f>VLOOKUP(BD123,CENY!$B$11:$G$1054,2,FALSE)</f>
        <v>Push to open Synchro / adaptér typ A</v>
      </c>
      <c r="BF123" s="22">
        <f>VLOOKUP(BD123,CENY!$B$11:$G$1054,3,FALSE)</f>
        <v>200</v>
      </c>
      <c r="BG123" s="22"/>
      <c r="BH123" s="23">
        <f>AY76</f>
        <v>0</v>
      </c>
      <c r="BI123" s="326">
        <f t="shared" si="6"/>
        <v>0</v>
      </c>
      <c r="BJ123" s="95">
        <f>VLOOKUP(BD123,CENY!$B$11:$M$2025,12,FALSE)</f>
        <v>0.79318999999999995</v>
      </c>
      <c r="BK123" s="95">
        <f t="shared" si="7"/>
        <v>0</v>
      </c>
    </row>
    <row r="124" spans="47:63">
      <c r="AU124" s="20"/>
      <c r="AV124" s="21"/>
      <c r="AW124" s="22"/>
      <c r="AX124" s="22"/>
      <c r="AY124" s="23"/>
      <c r="AZ124" s="326" t="str">
        <f t="shared" si="5"/>
        <v/>
      </c>
      <c r="BA124" s="95"/>
      <c r="BB124" s="95" t="str">
        <f t="shared" si="4"/>
        <v/>
      </c>
      <c r="BD124" s="319"/>
      <c r="BE124" s="21"/>
      <c r="BF124" s="22"/>
      <c r="BG124" s="22"/>
      <c r="BH124" s="23"/>
      <c r="BI124" s="326" t="str">
        <f t="shared" si="6"/>
        <v/>
      </c>
      <c r="BJ124" s="95"/>
      <c r="BK124" s="95" t="str">
        <f t="shared" si="7"/>
        <v/>
      </c>
    </row>
    <row r="125" spans="47:63">
      <c r="AU125" s="20"/>
      <c r="AV125" s="21"/>
      <c r="AW125" s="22"/>
      <c r="AX125" s="22"/>
      <c r="AY125" s="23"/>
      <c r="AZ125" s="326" t="str">
        <f t="shared" si="5"/>
        <v/>
      </c>
      <c r="BA125" s="95"/>
      <c r="BB125" s="95" t="str">
        <f t="shared" si="4"/>
        <v/>
      </c>
      <c r="BD125" s="319">
        <f>OBJ!B214</f>
        <v>0</v>
      </c>
      <c r="BE125" s="21" t="e">
        <f>VLOOKUP(BD125,CENY!$B$11:$G$1054,2,FALSE)</f>
        <v>#N/A</v>
      </c>
      <c r="BF125" s="22" t="e">
        <f>VLOOKUP(BD125,CENY!$B$11:$G$1054,3,FALSE)</f>
        <v>#N/A</v>
      </c>
      <c r="BG125" s="22"/>
      <c r="BH125" s="23">
        <f>AY80</f>
        <v>0</v>
      </c>
      <c r="BI125" s="326">
        <f t="shared" si="6"/>
        <v>0</v>
      </c>
      <c r="BJ125" s="324" t="str">
        <f>IF(BD125=0,"",VLOOKUP(BD125,CENY!$B$11:$M$2025,12,FALSE))</f>
        <v/>
      </c>
      <c r="BK125" s="95" t="str">
        <f t="shared" si="7"/>
        <v/>
      </c>
    </row>
    <row r="126" spans="47:63">
      <c r="AU126" s="20"/>
      <c r="AV126" s="21"/>
      <c r="AW126" s="22"/>
      <c r="AX126" s="22"/>
      <c r="AY126" s="23"/>
      <c r="AZ126" s="326" t="str">
        <f t="shared" si="5"/>
        <v/>
      </c>
      <c r="BA126" s="95"/>
      <c r="BB126" s="95" t="str">
        <f t="shared" si="4"/>
        <v/>
      </c>
      <c r="BD126" s="319"/>
      <c r="BE126" s="21"/>
      <c r="BF126" s="22"/>
      <c r="BG126" s="22"/>
      <c r="BH126" s="23"/>
      <c r="BI126" s="326" t="str">
        <f t="shared" si="6"/>
        <v/>
      </c>
      <c r="BJ126" s="95"/>
      <c r="BK126" s="95" t="str">
        <f t="shared" si="7"/>
        <v/>
      </c>
    </row>
    <row r="127" spans="47:63">
      <c r="AU127" s="20"/>
      <c r="AV127" s="21"/>
      <c r="AW127" s="22"/>
      <c r="AX127" s="22"/>
      <c r="AY127" s="23"/>
      <c r="AZ127" s="326" t="str">
        <f t="shared" si="5"/>
        <v/>
      </c>
      <c r="BA127" s="95"/>
      <c r="BB127" s="95" t="str">
        <f t="shared" si="4"/>
        <v/>
      </c>
      <c r="BD127" s="319"/>
      <c r="BE127" s="21"/>
      <c r="BF127" s="22"/>
      <c r="BG127" s="22"/>
      <c r="BH127" s="23"/>
      <c r="BI127" s="326" t="str">
        <f t="shared" si="6"/>
        <v/>
      </c>
      <c r="BJ127" s="95"/>
      <c r="BK127" s="95" t="str">
        <f t="shared" si="7"/>
        <v/>
      </c>
    </row>
    <row r="128" spans="47:63">
      <c r="AU128" s="20"/>
      <c r="AV128" s="21"/>
      <c r="AW128" s="22"/>
      <c r="AX128" s="22"/>
      <c r="AY128" s="23"/>
      <c r="AZ128" s="326" t="str">
        <f t="shared" si="5"/>
        <v/>
      </c>
      <c r="BA128" s="95"/>
      <c r="BB128" s="95" t="str">
        <f t="shared" si="4"/>
        <v/>
      </c>
      <c r="BD128" s="319">
        <f>OBJ!B210</f>
        <v>9257663</v>
      </c>
      <c r="BE128" s="21" t="str">
        <f>VLOOKUP(BD128,CENY!$B$11:$G$1054,2,FALSE)</f>
        <v>AvanY-indiv.čelo vnút.zásuv./d2000/strieb.</v>
      </c>
      <c r="BF128" s="22">
        <f>VLOOKUP(BD128,CENY!$B$11:$G$1054,3,FALSE)</f>
        <v>1</v>
      </c>
      <c r="BG128" s="22"/>
      <c r="BH128" s="23">
        <f>AY83</f>
        <v>0</v>
      </c>
      <c r="BI128" s="326">
        <f>IF(BH128="","",IF($AW$4=0,BH128,0))</f>
        <v>0</v>
      </c>
      <c r="BJ128" s="95">
        <f>VLOOKUP(BD128,CENY!$B$11:$M$2025,12,FALSE)</f>
        <v>35.672049999999999</v>
      </c>
      <c r="BK128" s="95">
        <f t="shared" si="7"/>
        <v>0</v>
      </c>
    </row>
    <row r="129" spans="47:63">
      <c r="AU129" s="20"/>
      <c r="AV129" s="21"/>
      <c r="AW129" s="22"/>
      <c r="AX129" s="22"/>
      <c r="AY129" s="23"/>
      <c r="AZ129" s="326" t="str">
        <f t="shared" si="5"/>
        <v/>
      </c>
      <c r="BA129" s="95"/>
      <c r="BB129" s="95" t="str">
        <f t="shared" si="4"/>
        <v/>
      </c>
      <c r="BD129" s="319">
        <f>OBJ!B211</f>
        <v>9257651</v>
      </c>
      <c r="BE129" s="21" t="str">
        <f>VLOOKUP(BD129,CENY!$B$11:$G$1054,2,FALSE)</f>
        <v>AvanY-spojky indiv.čela vnút./v187/strieb.</v>
      </c>
      <c r="BF129" s="22">
        <f>VLOOKUP(BD129,CENY!$B$11:$G$1054,3,FALSE)</f>
        <v>1</v>
      </c>
      <c r="BG129" s="22"/>
      <c r="BH129" s="23">
        <f t="shared" ref="BH129:BH137" si="9">AY84</f>
        <v>0</v>
      </c>
      <c r="BI129" s="326">
        <f>IF(BH129="","",IF($AW$4=0,BH129,0))</f>
        <v>0</v>
      </c>
      <c r="BJ129" s="95">
        <f>VLOOKUP(BD129,CENY!$B$11:$M$2025,12,FALSE)</f>
        <v>26.795850000000002</v>
      </c>
      <c r="BK129" s="95">
        <f t="shared" si="7"/>
        <v>0</v>
      </c>
    </row>
    <row r="130" spans="47:63">
      <c r="AU130" s="20"/>
      <c r="AV130" s="21"/>
      <c r="AW130" s="22"/>
      <c r="AX130" s="22"/>
      <c r="AY130" s="23"/>
      <c r="AZ130" s="326" t="str">
        <f t="shared" si="5"/>
        <v/>
      </c>
      <c r="BA130" s="95"/>
      <c r="BB130" s="95" t="str">
        <f t="shared" si="4"/>
        <v/>
      </c>
      <c r="BD130" s="319">
        <f>OBJ!B224</f>
        <v>9283228</v>
      </c>
      <c r="BE130" s="21" t="str">
        <f>VLOOKUP(BD130,CENY!$B$11:$G$1054,2,FALSE)</f>
        <v>AvanY-sklo pre vnút.čelo /v66/s450/hr18</v>
      </c>
      <c r="BF130" s="22">
        <f>VLOOKUP(BD130,CENY!$B$11:$G$1054,3,FALSE)</f>
        <v>1</v>
      </c>
      <c r="BG130" s="22"/>
      <c r="BH130" s="23">
        <f t="shared" si="9"/>
        <v>0</v>
      </c>
      <c r="BI130" s="326">
        <f>IF(BH130="","",IF($AW$4=0,BH130,0))</f>
        <v>0</v>
      </c>
      <c r="BJ130" s="95" t="e">
        <f>VLOOKUP(BD130,CENY!$B$11:$M$2025,12,FALSE)</f>
        <v>#N/A</v>
      </c>
      <c r="BK130" s="95" t="e">
        <f t="shared" si="7"/>
        <v>#N/A</v>
      </c>
    </row>
    <row r="131" spans="47:63">
      <c r="AU131" s="20"/>
      <c r="AV131" s="21"/>
      <c r="AW131" s="22"/>
      <c r="AX131" s="22"/>
      <c r="AY131" s="23"/>
      <c r="AZ131" s="326" t="str">
        <f t="shared" si="5"/>
        <v/>
      </c>
      <c r="BA131" s="95"/>
      <c r="BB131" s="95" t="str">
        <f t="shared" si="4"/>
        <v/>
      </c>
      <c r="BD131" s="319">
        <f>OBJ!B225</f>
        <v>9283229</v>
      </c>
      <c r="BE131" s="21" t="str">
        <f>VLOOKUP(BD131,CENY!$B$11:$G$1054,2,FALSE)</f>
        <v>AvanY-sklo pre vnút.čelo /v66/s600/hr18</v>
      </c>
      <c r="BF131" s="22">
        <f>VLOOKUP(BD131,CENY!$B$11:$G$1054,3,FALSE)</f>
        <v>1</v>
      </c>
      <c r="BG131" s="22"/>
      <c r="BH131" s="23">
        <f t="shared" si="9"/>
        <v>0</v>
      </c>
      <c r="BI131" s="326">
        <f>IF(BH131="","",IF($AW$4=0,BH131,0))</f>
        <v>0</v>
      </c>
      <c r="BJ131" s="95">
        <f>VLOOKUP(BD131,CENY!$B$11:$M$2025,12,FALSE)</f>
        <v>19.680150000000001</v>
      </c>
      <c r="BK131" s="95">
        <f t="shared" si="7"/>
        <v>0</v>
      </c>
    </row>
    <row r="132" spans="47:63">
      <c r="AU132" s="20"/>
      <c r="AV132" s="21"/>
      <c r="AW132" s="22"/>
      <c r="AX132" s="22"/>
      <c r="AY132" s="23"/>
      <c r="AZ132" s="326" t="str">
        <f t="shared" si="5"/>
        <v/>
      </c>
      <c r="BA132" s="95"/>
      <c r="BB132" s="95" t="str">
        <f t="shared" si="4"/>
        <v/>
      </c>
      <c r="BD132" s="319">
        <f>OBJ!B226</f>
        <v>9283231</v>
      </c>
      <c r="BE132" s="21" t="str">
        <f>VLOOKUP(BD132,CENY!$B$11:$G$1054,2,FALSE)</f>
        <v>AvanY-sklo pre vnút.čelo /v66/s900/hr18</v>
      </c>
      <c r="BF132" s="22">
        <f>VLOOKUP(BD132,CENY!$B$11:$G$1054,3,FALSE)</f>
        <v>1</v>
      </c>
      <c r="BG132" s="22"/>
      <c r="BH132" s="23">
        <f t="shared" si="9"/>
        <v>0</v>
      </c>
      <c r="BI132" s="326">
        <f t="shared" ref="BI132:BI137" si="10">IF(BH132="","",IF($AW$4=0,BH132,0))</f>
        <v>0</v>
      </c>
      <c r="BJ132" s="95">
        <f>VLOOKUP(BD132,CENY!$B$11:$M$2025,12,FALSE)</f>
        <v>34.754010000000001</v>
      </c>
      <c r="BK132" s="95">
        <f t="shared" si="7"/>
        <v>0</v>
      </c>
    </row>
    <row r="133" spans="47:63">
      <c r="AU133" s="20"/>
      <c r="AV133" s="21"/>
      <c r="AW133" s="22"/>
      <c r="AX133" s="22"/>
      <c r="AY133" s="23"/>
      <c r="AZ133" s="326" t="str">
        <f t="shared" si="5"/>
        <v/>
      </c>
      <c r="BA133" s="95"/>
      <c r="BB133" s="95" t="str">
        <f>IF(BA133="","",BA133*AY133)</f>
        <v/>
      </c>
      <c r="BD133" s="319">
        <f>OBJ!B227</f>
        <v>9283232</v>
      </c>
      <c r="BE133" s="21" t="str">
        <f>VLOOKUP(BD133,CENY!$B$11:$G$1054,2,FALSE)</f>
        <v>AvanY-sklo pre vnút.čelo /v66/s1200/hr18</v>
      </c>
      <c r="BF133" s="22">
        <f>VLOOKUP(BD133,CENY!$B$11:$G$1054,3,FALSE)</f>
        <v>1</v>
      </c>
      <c r="BG133" s="22"/>
      <c r="BH133" s="23">
        <f t="shared" si="9"/>
        <v>0</v>
      </c>
      <c r="BI133" s="326">
        <f t="shared" si="10"/>
        <v>0</v>
      </c>
      <c r="BJ133" s="95">
        <f>VLOOKUP(BD133,CENY!$B$11:$M$2025,12,FALSE)</f>
        <v>44.803019999999997</v>
      </c>
      <c r="BK133" s="95">
        <f t="shared" si="7"/>
        <v>0</v>
      </c>
    </row>
    <row r="134" spans="47:63">
      <c r="AU134" s="20"/>
      <c r="AV134" s="21"/>
      <c r="AW134" s="22"/>
      <c r="AX134" s="22"/>
      <c r="AY134" s="23"/>
      <c r="AZ134" s="326" t="str">
        <f>IF(AY134="","",IF($AW$4=1,AY134,0))</f>
        <v/>
      </c>
      <c r="BA134" s="95"/>
      <c r="BB134" s="95"/>
      <c r="BD134" s="319">
        <f>OBJ!B228</f>
        <v>9283233</v>
      </c>
      <c r="BE134" s="21" t="str">
        <f>VLOOKUP(BD134,CENY!$B$11:$G$1054,2,FALSE)</f>
        <v>AvanY-sklo pre vnút.čelo /v130/s450/hr18</v>
      </c>
      <c r="BF134" s="22">
        <f>VLOOKUP(BD134,CENY!$B$11:$G$1054,3,FALSE)</f>
        <v>1</v>
      </c>
      <c r="BG134" s="22"/>
      <c r="BH134" s="23">
        <f t="shared" si="9"/>
        <v>0</v>
      </c>
      <c r="BI134" s="326">
        <f t="shared" si="10"/>
        <v>0</v>
      </c>
      <c r="BJ134" s="95">
        <f>VLOOKUP(BD134,CENY!$B$11:$M$2025,12,FALSE)</f>
        <v>27.140440000000002</v>
      </c>
      <c r="BK134" s="95">
        <f>IF(BJ134="","",BJ134*BH134)</f>
        <v>0</v>
      </c>
    </row>
    <row r="135" spans="47:63">
      <c r="AU135" s="20"/>
      <c r="AV135" s="21"/>
      <c r="AW135" s="22"/>
      <c r="AX135" s="22"/>
      <c r="AY135" s="23"/>
      <c r="AZ135" s="326" t="str">
        <f>IF(AY135="","",IF($AW$4=1,AY135,0))</f>
        <v/>
      </c>
      <c r="BA135" s="95"/>
      <c r="BB135" s="95"/>
      <c r="BD135" s="319">
        <f>OBJ!B229</f>
        <v>9283235</v>
      </c>
      <c r="BE135" s="21" t="str">
        <f>VLOOKUP(BD135,CENY!$B$11:$G$1054,2,FALSE)</f>
        <v>AvanY-sklo pre vnút.čelo /v130/s600/hr18</v>
      </c>
      <c r="BF135" s="22">
        <f>VLOOKUP(BD135,CENY!$B$11:$G$1054,3,FALSE)</f>
        <v>1</v>
      </c>
      <c r="BG135" s="22"/>
      <c r="BH135" s="23">
        <f t="shared" si="9"/>
        <v>0</v>
      </c>
      <c r="BI135" s="326">
        <f t="shared" si="10"/>
        <v>0</v>
      </c>
      <c r="BJ135" s="95">
        <f>VLOOKUP(BD135,CENY!$B$11:$M$2025,12,FALSE)</f>
        <v>30.842929999999999</v>
      </c>
      <c r="BK135" s="95">
        <f>IF(BJ135="","",BJ135*BH135)</f>
        <v>0</v>
      </c>
    </row>
    <row r="136" spans="47:63">
      <c r="AU136" s="20"/>
      <c r="AV136" s="21"/>
      <c r="AW136" s="22"/>
      <c r="AX136" s="22"/>
      <c r="AY136" s="23"/>
      <c r="AZ136" s="326" t="str">
        <f>IF(AY136="","",IF($AW$4=1,AY136,0))</f>
        <v/>
      </c>
      <c r="BA136" s="95"/>
      <c r="BB136" s="95"/>
      <c r="BD136" s="319">
        <f>OBJ!B230</f>
        <v>9283237</v>
      </c>
      <c r="BE136" s="21" t="str">
        <f>VLOOKUP(BD136,CENY!$B$11:$G$1054,2,FALSE)</f>
        <v>AvanY-sklo pre vnút.čelo /v130/s900/hr18</v>
      </c>
      <c r="BF136" s="22">
        <f>VLOOKUP(BD136,CENY!$B$11:$G$1054,3,FALSE)</f>
        <v>1</v>
      </c>
      <c r="BG136" s="22"/>
      <c r="BH136" s="23">
        <f t="shared" si="9"/>
        <v>0</v>
      </c>
      <c r="BI136" s="326">
        <f t="shared" si="10"/>
        <v>0</v>
      </c>
      <c r="BJ136" s="95">
        <f>VLOOKUP(BD136,CENY!$B$11:$M$2025,12,FALSE)</f>
        <v>51.404679999999999</v>
      </c>
      <c r="BK136" s="95">
        <f>IF(BJ136="","",BJ136*BH136)</f>
        <v>0</v>
      </c>
    </row>
    <row r="137" spans="47:63">
      <c r="AU137" s="20"/>
      <c r="AV137" s="21"/>
      <c r="AW137" s="22"/>
      <c r="AX137" s="22"/>
      <c r="AY137" s="23"/>
      <c r="AZ137" s="326" t="str">
        <f>IF(AY137="","",IF($AW$4=1,AY137,0))</f>
        <v/>
      </c>
      <c r="BA137" s="95"/>
      <c r="BB137" s="95" t="str">
        <f>IF(BA137="","",BA137*AY137)</f>
        <v/>
      </c>
      <c r="BD137" s="319">
        <f>OBJ!B231</f>
        <v>9283238</v>
      </c>
      <c r="BE137" s="21" t="str">
        <f>VLOOKUP(BD137,CENY!$B$11:$G$1054,2,FALSE)</f>
        <v>AvanY-sklo pre vnút.čelo /v130/s1200/hr18</v>
      </c>
      <c r="BF137" s="22">
        <f>VLOOKUP(BD137,CENY!$B$11:$G$1054,3,FALSE)</f>
        <v>1</v>
      </c>
      <c r="BG137" s="22"/>
      <c r="BH137" s="23">
        <f t="shared" si="9"/>
        <v>0</v>
      </c>
      <c r="BI137" s="326">
        <f t="shared" si="10"/>
        <v>0</v>
      </c>
      <c r="BJ137" s="95">
        <f>VLOOKUP(BD137,CENY!$B$11:$M$2025,12,FALSE)</f>
        <v>66.209140000000005</v>
      </c>
      <c r="BK137" s="95">
        <f>IF(BJ137="","",BJ137*BH137)</f>
        <v>0</v>
      </c>
    </row>
    <row r="138" spans="47:63">
      <c r="AU138" s="20"/>
      <c r="AV138" s="21"/>
      <c r="AW138" s="22"/>
      <c r="AX138" s="22"/>
      <c r="AY138" s="23"/>
      <c r="AZ138" s="326"/>
      <c r="BA138" s="95"/>
      <c r="BB138" s="95"/>
      <c r="BD138" s="319"/>
      <c r="BE138" s="21"/>
      <c r="BF138" s="22"/>
      <c r="BG138" s="22"/>
      <c r="BH138" s="23"/>
      <c r="BI138" s="326"/>
      <c r="BJ138" s="95"/>
      <c r="BK138" s="95"/>
    </row>
    <row r="139" spans="47:63">
      <c r="AU139" s="319">
        <f>OBJ!B361</f>
        <v>45167</v>
      </c>
      <c r="AV139" s="21" t="str">
        <f>VLOOKUP(AU139,CENY!$B$11:$G$1054,2,FALSE)</f>
        <v>Skrutka s polgul.hlavou 3,5x12mm</v>
      </c>
      <c r="AW139" s="22">
        <f>VLOOKUP(AU139,CENY!$B$11:$G$1054,3,FALSE)</f>
        <v>200</v>
      </c>
      <c r="AX139" s="22"/>
      <c r="AY139" s="23">
        <f>SUMPRODUCT(AX5:AX13,AY5:AY13)</f>
        <v>0</v>
      </c>
      <c r="AZ139" s="326">
        <f>IF(AY139="","",IF($AW$4=1,AY139,0))</f>
        <v>0</v>
      </c>
      <c r="BA139" s="95">
        <f>VLOOKUP(AU139,CENY!$B$11:$M$2025,12,FALSE)</f>
        <v>3.4759999999999999E-2</v>
      </c>
      <c r="BB139" s="95">
        <f>IF(BA139="","",BA139*AY139)</f>
        <v>0</v>
      </c>
      <c r="BC139" s="86" t="s">
        <v>396</v>
      </c>
      <c r="BD139" s="319">
        <f>OBJ!B361</f>
        <v>45167</v>
      </c>
      <c r="BE139" s="21" t="str">
        <f>VLOOKUP(BD139,CENY!$B$11:$G$1054,2,FALSE)</f>
        <v>Skrutka s polgul.hlavou 3,5x12mm</v>
      </c>
      <c r="BF139" s="22">
        <f>VLOOKUP(BD139,CENY!$B$11:$G$1054,3,FALSE)</f>
        <v>200</v>
      </c>
      <c r="BG139" s="22"/>
      <c r="BH139" s="23">
        <f>AY139+BH25*2</f>
        <v>0</v>
      </c>
      <c r="BI139" s="326">
        <f>IF(BH139="","",IF($AW$4=0,BH139,0))</f>
        <v>0</v>
      </c>
      <c r="BJ139" s="95">
        <f>VLOOKUP(BD139,CENY!$B$11:$M$2025,12,FALSE)</f>
        <v>3.4759999999999999E-2</v>
      </c>
      <c r="BK139" s="95">
        <f>IF(BJ139="","",BJ139*BH139)</f>
        <v>0</v>
      </c>
    </row>
    <row r="140" spans="47:63">
      <c r="AU140" s="319">
        <f>OBJ!B362</f>
        <v>45168</v>
      </c>
      <c r="AV140" s="21" t="str">
        <f>VLOOKUP(AU140,CENY!$B$11:$G$1054,2,FALSE)</f>
        <v>Skrutka s polgul.hlavou 3,5x20mm</v>
      </c>
      <c r="AW140" s="22">
        <f>VLOOKUP(AU140,CENY!$B$11:$G$1054,3,FALSE)</f>
        <v>200</v>
      </c>
      <c r="AX140" s="22"/>
      <c r="AY140" s="360">
        <v>0</v>
      </c>
      <c r="AZ140" s="326">
        <f>IF(AY140="","",IF($AW$4=1,AY140,0))</f>
        <v>0</v>
      </c>
      <c r="BA140" s="95">
        <f>VLOOKUP(AU140,CENY!$B$11:$M$2025,12,FALSE)</f>
        <v>4.9860000000000002E-2</v>
      </c>
      <c r="BB140" s="95">
        <f>IF(BA140="","",BA140*AY140)</f>
        <v>0</v>
      </c>
      <c r="BC140" s="86" t="s">
        <v>397</v>
      </c>
      <c r="BD140" s="319">
        <f>OBJ!B362</f>
        <v>45168</v>
      </c>
      <c r="BE140" s="21" t="str">
        <f>VLOOKUP(BD140,CENY!$B$11:$G$1054,2,FALSE)</f>
        <v>Skrutka s polgul.hlavou 3,5x20mm</v>
      </c>
      <c r="BF140" s="22">
        <f>VLOOKUP(BD140,CENY!$B$11:$G$1054,3,FALSE)</f>
        <v>200</v>
      </c>
      <c r="BG140" s="22"/>
      <c r="BH140" s="360">
        <v>0</v>
      </c>
      <c r="BI140" s="326">
        <f>IF(BH140="","",IF($AW$4=0,BH140,0))</f>
        <v>0</v>
      </c>
      <c r="BJ140" s="95">
        <f>VLOOKUP(BD140,CENY!$B$11:$M$2025,12,FALSE)</f>
        <v>4.9860000000000002E-2</v>
      </c>
      <c r="BK140" s="95">
        <f>IF(BJ140="","",BJ140*BH140)</f>
        <v>0</v>
      </c>
    </row>
    <row r="141" spans="47:63">
      <c r="AU141" s="319">
        <f>OBJ!B363</f>
        <v>9278224</v>
      </c>
      <c r="AV141" s="21" t="str">
        <f>VLOOKUP(AU141,CENY!$B$11:$G$1054,2,FALSE)</f>
        <v>Skrutka s polgul.hlavou 3,5x30mm</v>
      </c>
      <c r="AW141" s="22">
        <f>VLOOKUP(AU141,CENY!$B$11:$G$1054,3,FALSE)</f>
        <v>200</v>
      </c>
      <c r="AX141" s="22"/>
      <c r="AY141" s="360">
        <v>0</v>
      </c>
      <c r="AZ141" s="326">
        <f>IF(AY141="","",IF($AW$4=1,AY141,0))</f>
        <v>0</v>
      </c>
      <c r="BA141" s="95">
        <f>VLOOKUP(AU141,CENY!$B$11:$M$2025,12,FALSE)</f>
        <v>4.299E-2</v>
      </c>
      <c r="BB141" s="95">
        <f>IF(BA141="","",BA141*AY141)</f>
        <v>0</v>
      </c>
      <c r="BC141" s="86" t="s">
        <v>398</v>
      </c>
      <c r="BD141" s="319">
        <f>OBJ!B363</f>
        <v>9278224</v>
      </c>
      <c r="BE141" s="21" t="str">
        <f>VLOOKUP(BD141,CENY!$B$11:$G$1054,2,FALSE)</f>
        <v>Skrutka s polgul.hlavou 3,5x30mm</v>
      </c>
      <c r="BF141" s="22">
        <f>VLOOKUP(BD141,CENY!$B$11:$G$1054,3,FALSE)</f>
        <v>200</v>
      </c>
      <c r="BG141" s="22"/>
      <c r="BH141" s="360">
        <f>2*SUM(BH5:BH22)</f>
        <v>0</v>
      </c>
      <c r="BI141" s="326">
        <f>IF(BH141="","",IF($AW$4=0,BH141,0))</f>
        <v>0</v>
      </c>
      <c r="BJ141" s="95">
        <f>VLOOKUP(BD141,CENY!$B$11:$M$2025,12,FALSE)</f>
        <v>4.299E-2</v>
      </c>
      <c r="BK141" s="95">
        <f>IF(BJ141="","",BJ141*BH141)</f>
        <v>0</v>
      </c>
    </row>
    <row r="142" spans="47:63">
      <c r="AU142" s="319">
        <f>OBJ!B364</f>
        <v>9279197</v>
      </c>
      <c r="AV142" s="21" t="str">
        <f>VLOOKUP(AU142,CENY!$B$11:$G$1054,2,FALSE)</f>
        <v>Skrutka s polgul.hlavou M3,5x12mm</v>
      </c>
      <c r="AW142" s="22">
        <f>VLOOKUP(AU142,CENY!$B$11:$G$1054,3,FALSE)</f>
        <v>1000</v>
      </c>
      <c r="AX142" s="22"/>
      <c r="AY142" s="68">
        <v>0</v>
      </c>
      <c r="AZ142" s="326">
        <f>IF(AY142="","",IF($AW$4=1,AY142,0))</f>
        <v>0</v>
      </c>
      <c r="BA142" s="95" t="e">
        <f>VLOOKUP(AU142,CENY!$B$11:$M$2025,12,FALSE)</f>
        <v>#N/A</v>
      </c>
      <c r="BB142" s="95" t="e">
        <f>IF(BA142="","",BA142*AY142)</f>
        <v>#N/A</v>
      </c>
      <c r="BC142" s="86" t="s">
        <v>399</v>
      </c>
      <c r="BD142" s="319">
        <f>OBJ!B364</f>
        <v>9279197</v>
      </c>
      <c r="BE142" s="21" t="str">
        <f>VLOOKUP(BD142,CENY!$B$11:$G$1054,2,FALSE)</f>
        <v>Skrutka s polgul.hlavou M3,5x12mm</v>
      </c>
      <c r="BF142" s="22">
        <f>VLOOKUP(BD142,CENY!$B$11:$G$1054,3,FALSE)</f>
        <v>1000</v>
      </c>
      <c r="BG142" s="22"/>
      <c r="BH142" s="68">
        <v>0</v>
      </c>
      <c r="BI142" s="326">
        <f>IF(BH142="","",IF($AW$4=0,BH142,0))</f>
        <v>0</v>
      </c>
      <c r="BJ142" s="95" t="e">
        <f>VLOOKUP(BD142,CENY!$B$11:$M$2025,12,FALSE)</f>
        <v>#N/A</v>
      </c>
      <c r="BK142" s="95" t="e">
        <f>IF(BJ142="","",BJ142*BH142)</f>
        <v>#N/A</v>
      </c>
    </row>
    <row r="143" spans="47:63">
      <c r="AU143" s="319">
        <f>OBJ!B365</f>
        <v>9137114</v>
      </c>
      <c r="AV143" s="21" t="str">
        <f>VLOOKUP(AU143,CENY!$B$11:$G$1054,2,FALSE)</f>
        <v>EURO-skrutka  6,0x14mm / niklovaná</v>
      </c>
      <c r="AW143" s="22">
        <f>VLOOKUP(AU143,CENY!$B$11:$G$1054,3,FALSE)</f>
        <v>200</v>
      </c>
      <c r="AX143" s="22"/>
      <c r="AY143" s="23">
        <f>SUMPRODUCT(AX25:AX74,AY25:AY74)</f>
        <v>0</v>
      </c>
      <c r="AZ143" s="326">
        <f>IF(AY143="","",IF($AW$4=1,AY143,0))</f>
        <v>0</v>
      </c>
      <c r="BA143" s="95">
        <f>VLOOKUP(AU143,CENY!$B$11:$M$2025,12,FALSE)</f>
        <v>7.7280000000000001E-2</v>
      </c>
      <c r="BB143" s="95">
        <f>IF(BA143="","",BA143*AY143)</f>
        <v>0</v>
      </c>
      <c r="BC143" s="86" t="s">
        <v>400</v>
      </c>
      <c r="BD143" s="319">
        <f>OBJ!B365</f>
        <v>9137114</v>
      </c>
      <c r="BE143" s="21" t="str">
        <f>VLOOKUP(BD143,CENY!$B$11:$G$1054,2,FALSE)</f>
        <v>EURO-skrutka  6,0x14mm / niklovaná</v>
      </c>
      <c r="BF143" s="22">
        <f>VLOOKUP(BD143,CENY!$B$11:$G$1054,3,FALSE)</f>
        <v>200</v>
      </c>
      <c r="BG143" s="22"/>
      <c r="BH143" s="23">
        <f>AY143</f>
        <v>0</v>
      </c>
      <c r="BI143" s="326">
        <f>IF(BH143="","",IF($AW$4=0,BH143,0))</f>
        <v>0</v>
      </c>
      <c r="BJ143" s="95">
        <f>VLOOKUP(BD143,CENY!$B$11:$M$2025,12,FALSE)</f>
        <v>7.7280000000000001E-2</v>
      </c>
      <c r="BK143" s="95">
        <f>IF(BJ143="","",BJ143*BH143)</f>
        <v>0</v>
      </c>
    </row>
    <row r="144" spans="47:63">
      <c r="AU144" s="20"/>
      <c r="AV144" s="21"/>
      <c r="AW144" s="22"/>
      <c r="AX144" s="22"/>
      <c r="AY144" s="23"/>
      <c r="AZ144" s="326"/>
      <c r="BA144" s="95"/>
      <c r="BB144" s="95"/>
      <c r="BD144" s="319"/>
      <c r="BE144" s="21"/>
      <c r="BF144" s="22"/>
      <c r="BG144" s="22"/>
      <c r="BH144" s="23"/>
      <c r="BI144" s="326"/>
      <c r="BJ144" s="95"/>
      <c r="BK144" s="95"/>
    </row>
    <row r="145" spans="47:63">
      <c r="AU145" s="20"/>
      <c r="AV145" s="21"/>
      <c r="AW145" s="22"/>
      <c r="AX145" s="22"/>
      <c r="AY145" s="23"/>
      <c r="AZ145" s="326"/>
      <c r="BA145" s="95"/>
      <c r="BB145" s="95"/>
      <c r="BD145" s="319"/>
      <c r="BE145" s="21"/>
      <c r="BF145" s="22"/>
      <c r="BG145" s="22"/>
      <c r="BH145" s="23"/>
      <c r="BI145" s="326"/>
      <c r="BJ145" s="95"/>
      <c r="BK145" s="95"/>
    </row>
    <row r="146" spans="47:63">
      <c r="AU146" s="20"/>
      <c r="AV146" s="21"/>
      <c r="AW146" s="22"/>
      <c r="AX146" s="22"/>
      <c r="AY146" s="23"/>
      <c r="AZ146" s="326" t="str">
        <f>IF(AY146="","",IF($AW$4=1,AY146,0))</f>
        <v/>
      </c>
      <c r="BA146" s="95"/>
      <c r="BB146" s="95" t="str">
        <f>IF(BA146="","",BA146*AY146)</f>
        <v/>
      </c>
      <c r="BD146" s="319"/>
      <c r="BE146" s="21"/>
      <c r="BF146" s="22"/>
      <c r="BG146" s="22"/>
      <c r="BH146" s="23"/>
      <c r="BI146" s="326" t="str">
        <f>IF(BH146="","",IF($AW$4=0,BH146,0))</f>
        <v/>
      </c>
      <c r="BJ146" s="95"/>
      <c r="BK146" s="95" t="str">
        <f>IF(BJ146="","",BJ146*BH146)</f>
        <v/>
      </c>
    </row>
  </sheetData>
  <sheetProtection algorithmName="SHA-512" hashValue="XVDGc9bnlrMxkyDt/iCqNj3/xFRAXKq+iNEl0QgBWleAnI84WvHrour9bHbRvIjQNOOmxSzXLBVeqcak5rA3vA==" saltValue="3BCI1c6OeuqPxx972cv7LQ==" spinCount="100000" sheet="1" objects="1" scenarios="1"/>
  <mergeCells count="177"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U2:Y2"/>
    <mergeCell ref="AA2:AE2"/>
    <mergeCell ref="AI2:AM2"/>
    <mergeCell ref="B12:E12"/>
    <mergeCell ref="F12:I12"/>
    <mergeCell ref="J12:K12"/>
    <mergeCell ref="B13:E13"/>
    <mergeCell ref="F13:I13"/>
    <mergeCell ref="J13:K13"/>
    <mergeCell ref="B9:E9"/>
    <mergeCell ref="F9:K9"/>
    <mergeCell ref="AK9:AP10"/>
    <mergeCell ref="B10:E10"/>
    <mergeCell ref="F10:K10"/>
    <mergeCell ref="B11:E11"/>
    <mergeCell ref="F11:K11"/>
    <mergeCell ref="O17:AF17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M20:N20"/>
    <mergeCell ref="O20:P20"/>
    <mergeCell ref="Q20:R20"/>
    <mergeCell ref="S20:T20"/>
    <mergeCell ref="AE18:AF18"/>
    <mergeCell ref="AI18:AO18"/>
    <mergeCell ref="B19:G19"/>
    <mergeCell ref="H19:L19"/>
    <mergeCell ref="M19:N19"/>
    <mergeCell ref="O19:P19"/>
    <mergeCell ref="Q19:R19"/>
    <mergeCell ref="S19:T19"/>
    <mergeCell ref="AN19:AO19"/>
    <mergeCell ref="Y22:Z22"/>
    <mergeCell ref="AA22:AB22"/>
    <mergeCell ref="AC22:AD22"/>
    <mergeCell ref="AE22:AF22"/>
    <mergeCell ref="AN22:AO22"/>
    <mergeCell ref="AI25:AO25"/>
    <mergeCell ref="AN20:AO20"/>
    <mergeCell ref="AN21:AO21"/>
    <mergeCell ref="B22:G22"/>
    <mergeCell ref="H22:L22"/>
    <mergeCell ref="M22:N22"/>
    <mergeCell ref="O22:P22"/>
    <mergeCell ref="Q22:R22"/>
    <mergeCell ref="S22:T22"/>
    <mergeCell ref="U22:V22"/>
    <mergeCell ref="W22:X22"/>
    <mergeCell ref="U20:V20"/>
    <mergeCell ref="W20:X20"/>
    <mergeCell ref="Y20:Z20"/>
    <mergeCell ref="AA20:AB20"/>
    <mergeCell ref="AC20:AD20"/>
    <mergeCell ref="AE20:AF20"/>
    <mergeCell ref="B20:G20"/>
    <mergeCell ref="H20:L20"/>
    <mergeCell ref="AA26:AB26"/>
    <mergeCell ref="AC26:AD26"/>
    <mergeCell ref="AI26:AO26"/>
    <mergeCell ref="B27:G27"/>
    <mergeCell ref="H27:L27"/>
    <mergeCell ref="M27:N27"/>
    <mergeCell ref="O27:P27"/>
    <mergeCell ref="Q27:R27"/>
    <mergeCell ref="S27:T27"/>
    <mergeCell ref="AN27:AO27"/>
    <mergeCell ref="O26:P26"/>
    <mergeCell ref="Q26:R26"/>
    <mergeCell ref="S26:T26"/>
    <mergeCell ref="U26:V26"/>
    <mergeCell ref="W26:X26"/>
    <mergeCell ref="Y26:Z26"/>
    <mergeCell ref="U28:V28"/>
    <mergeCell ref="W28:X28"/>
    <mergeCell ref="Y28:Z28"/>
    <mergeCell ref="AA28:AB28"/>
    <mergeCell ref="AC28:AD28"/>
    <mergeCell ref="AN28:AO28"/>
    <mergeCell ref="B28:G28"/>
    <mergeCell ref="H28:L28"/>
    <mergeCell ref="M28:N28"/>
    <mergeCell ref="O28:P28"/>
    <mergeCell ref="Q28:R28"/>
    <mergeCell ref="S28:T28"/>
    <mergeCell ref="AN29:AO29"/>
    <mergeCell ref="B30:G30"/>
    <mergeCell ref="H30:L30"/>
    <mergeCell ref="M30:N30"/>
    <mergeCell ref="O30:P30"/>
    <mergeCell ref="Q30:R30"/>
    <mergeCell ref="S30:T30"/>
    <mergeCell ref="U30:V30"/>
    <mergeCell ref="W30:X30"/>
    <mergeCell ref="Y30:Z30"/>
    <mergeCell ref="AI67:AM67"/>
    <mergeCell ref="AO67:AR67"/>
    <mergeCell ref="AC80:AD80"/>
    <mergeCell ref="AE80:AF80"/>
    <mergeCell ref="AG80:AH80"/>
    <mergeCell ref="AI80:AJ80"/>
    <mergeCell ref="AA30:AB30"/>
    <mergeCell ref="AC30:AD30"/>
    <mergeCell ref="A66:A105"/>
    <mergeCell ref="B67:E67"/>
    <mergeCell ref="G67:K67"/>
    <mergeCell ref="O67:S67"/>
    <mergeCell ref="U67:Y67"/>
    <mergeCell ref="AA67:AE67"/>
    <mergeCell ref="AA80:AB80"/>
    <mergeCell ref="O80:P80"/>
    <mergeCell ref="AI79:AJ79"/>
    <mergeCell ref="AA79:AB79"/>
    <mergeCell ref="AA83:AB83"/>
    <mergeCell ref="Q80:R80"/>
    <mergeCell ref="S80:T80"/>
    <mergeCell ref="U80:V80"/>
    <mergeCell ref="W80:X80"/>
    <mergeCell ref="Y80:Z80"/>
    <mergeCell ref="M84:N84"/>
    <mergeCell ref="O84:P84"/>
    <mergeCell ref="Q84:R84"/>
    <mergeCell ref="S84:T84"/>
    <mergeCell ref="U84:V84"/>
    <mergeCell ref="O83:P83"/>
    <mergeCell ref="Q83:R83"/>
    <mergeCell ref="S83:T83"/>
    <mergeCell ref="U83:V83"/>
    <mergeCell ref="O79:P79"/>
    <mergeCell ref="Q79:R79"/>
    <mergeCell ref="S79:T79"/>
    <mergeCell ref="U79:V79"/>
    <mergeCell ref="W79:X79"/>
    <mergeCell ref="Y79:Z79"/>
    <mergeCell ref="AC83:AD83"/>
    <mergeCell ref="AE83:AF83"/>
    <mergeCell ref="AG83:AH83"/>
    <mergeCell ref="AC79:AD79"/>
    <mergeCell ref="AE79:AF79"/>
    <mergeCell ref="AG79:AH79"/>
    <mergeCell ref="AG85:AH85"/>
    <mergeCell ref="AI85:AJ85"/>
    <mergeCell ref="V87:AC92"/>
    <mergeCell ref="O81:AJ81"/>
    <mergeCell ref="AA82:AB82"/>
    <mergeCell ref="O82:V82"/>
    <mergeCell ref="AC82:AJ82"/>
    <mergeCell ref="AI84:AJ84"/>
    <mergeCell ref="O85:P85"/>
    <mergeCell ref="Q85:R85"/>
    <mergeCell ref="S85:T85"/>
    <mergeCell ref="U85:V85"/>
    <mergeCell ref="W85:X85"/>
    <mergeCell ref="Y85:Z85"/>
    <mergeCell ref="AA85:AB85"/>
    <mergeCell ref="AC85:AD85"/>
    <mergeCell ref="AE85:AF85"/>
    <mergeCell ref="AC84:AD84"/>
    <mergeCell ref="AE84:AF84"/>
    <mergeCell ref="AG84:AH84"/>
    <mergeCell ref="AI83:AJ83"/>
  </mergeCells>
  <conditionalFormatting sqref="BH26:BH85 AY5:AY42 BH5:BH24 AY93:AY95 AY106:AY138 BH146:BI146 AY144:AY146">
    <cfRule type="cellIs" dxfId="502" priority="56" stopIfTrue="1" operator="equal">
      <formula>0</formula>
    </cfRule>
  </conditionalFormatting>
  <conditionalFormatting sqref="AY53:AY56 AY66:AY69 AY43:AY50">
    <cfRule type="cellIs" dxfId="501" priority="54" stopIfTrue="1" operator="equal">
      <formula>0</formula>
    </cfRule>
  </conditionalFormatting>
  <conditionalFormatting sqref="O17:AF17 O19:T19 O20:AD20 W22:AF22 O27:T27 O28:AD28 O30:AD30">
    <cfRule type="expression" dxfId="500" priority="55" stopIfTrue="1">
      <formula>$AW$4=0</formula>
    </cfRule>
  </conditionalFormatting>
  <conditionalFormatting sqref="AY76:AY77 AY79 AY81:AY82">
    <cfRule type="cellIs" dxfId="499" priority="53" stopIfTrue="1" operator="equal">
      <formula>0</formula>
    </cfRule>
  </conditionalFormatting>
  <conditionalFormatting sqref="AY103:AY105">
    <cfRule type="cellIs" dxfId="498" priority="52" stopIfTrue="1" operator="equal">
      <formula>0</formula>
    </cfRule>
  </conditionalFormatting>
  <conditionalFormatting sqref="BH25">
    <cfRule type="cellIs" dxfId="497" priority="51" stopIfTrue="1" operator="equal">
      <formula>0</formula>
    </cfRule>
  </conditionalFormatting>
  <conditionalFormatting sqref="AY51:AY52">
    <cfRule type="cellIs" dxfId="496" priority="50" stopIfTrue="1" operator="equal">
      <formula>0</formula>
    </cfRule>
  </conditionalFormatting>
  <conditionalFormatting sqref="AY57:AY63">
    <cfRule type="cellIs" dxfId="495" priority="49" stopIfTrue="1" operator="equal">
      <formula>0</formula>
    </cfRule>
  </conditionalFormatting>
  <conditionalFormatting sqref="AY70:AY73">
    <cfRule type="cellIs" dxfId="494" priority="48" stopIfTrue="1" operator="equal">
      <formula>0</formula>
    </cfRule>
  </conditionalFormatting>
  <conditionalFormatting sqref="AY74">
    <cfRule type="cellIs" dxfId="493" priority="47" stopIfTrue="1" operator="equal">
      <formula>0</formula>
    </cfRule>
  </conditionalFormatting>
  <conditionalFormatting sqref="AY75">
    <cfRule type="cellIs" dxfId="492" priority="46" stopIfTrue="1" operator="equal">
      <formula>0</formula>
    </cfRule>
  </conditionalFormatting>
  <conditionalFormatting sqref="AY78">
    <cfRule type="cellIs" dxfId="491" priority="45" stopIfTrue="1" operator="equal">
      <formula>0</formula>
    </cfRule>
  </conditionalFormatting>
  <conditionalFormatting sqref="BH101:BH106">
    <cfRule type="cellIs" dxfId="490" priority="44" stopIfTrue="1" operator="equal">
      <formula>0</formula>
    </cfRule>
  </conditionalFormatting>
  <conditionalFormatting sqref="BH122:BH124 BH126:BH127">
    <cfRule type="cellIs" dxfId="489" priority="43" stopIfTrue="1" operator="equal">
      <formula>0</formula>
    </cfRule>
  </conditionalFormatting>
  <conditionalFormatting sqref="AY64:AY65">
    <cfRule type="cellIs" dxfId="488" priority="41" stopIfTrue="1" operator="equal">
      <formula>0</formula>
    </cfRule>
  </conditionalFormatting>
  <conditionalFormatting sqref="BH86:BH100">
    <cfRule type="cellIs" dxfId="487" priority="40" stopIfTrue="1" operator="equal">
      <formula>0</formula>
    </cfRule>
  </conditionalFormatting>
  <conditionalFormatting sqref="BH107:BH121">
    <cfRule type="cellIs" dxfId="486" priority="39" stopIfTrue="1" operator="equal">
      <formula>0</formula>
    </cfRule>
  </conditionalFormatting>
  <conditionalFormatting sqref="AY80">
    <cfRule type="cellIs" dxfId="485" priority="38" stopIfTrue="1" operator="equal">
      <formula>0</formula>
    </cfRule>
  </conditionalFormatting>
  <conditionalFormatting sqref="BH125">
    <cfRule type="cellIs" dxfId="484" priority="37" stopIfTrue="1" operator="equal">
      <formula>0</formula>
    </cfRule>
  </conditionalFormatting>
  <conditionalFormatting sqref="F13:K13">
    <cfRule type="expression" dxfId="483" priority="36" stopIfTrue="1">
      <formula>$AW$4=1</formula>
    </cfRule>
  </conditionalFormatting>
  <conditionalFormatting sqref="AZ5">
    <cfRule type="cellIs" dxfId="482" priority="35" stopIfTrue="1" operator="equal">
      <formula>0</formula>
    </cfRule>
  </conditionalFormatting>
  <conditionalFormatting sqref="BI5">
    <cfRule type="cellIs" dxfId="481" priority="34" stopIfTrue="1" operator="equal">
      <formula>0</formula>
    </cfRule>
  </conditionalFormatting>
  <conditionalFormatting sqref="BI6:BI127">
    <cfRule type="cellIs" dxfId="480" priority="33" stopIfTrue="1" operator="equal">
      <formula>0</formula>
    </cfRule>
  </conditionalFormatting>
  <conditionalFormatting sqref="AR87">
    <cfRule type="expression" dxfId="479" priority="32" stopIfTrue="1">
      <formula>$AU$95=AU97</formula>
    </cfRule>
  </conditionalFormatting>
  <conditionalFormatting sqref="AY102">
    <cfRule type="cellIs" dxfId="478" priority="30" stopIfTrue="1" operator="equal">
      <formula>0</formula>
    </cfRule>
  </conditionalFormatting>
  <conditionalFormatting sqref="AY96:AY101">
    <cfRule type="cellIs" dxfId="477" priority="28" stopIfTrue="1" operator="equal">
      <formula>0</formula>
    </cfRule>
  </conditionalFormatting>
  <conditionalFormatting sqref="AY83:AY84">
    <cfRule type="cellIs" dxfId="476" priority="25" stopIfTrue="1" operator="equal">
      <formula>0</formula>
    </cfRule>
  </conditionalFormatting>
  <conditionalFormatting sqref="BH128">
    <cfRule type="cellIs" dxfId="475" priority="24" stopIfTrue="1" operator="equal">
      <formula>0</formula>
    </cfRule>
  </conditionalFormatting>
  <conditionalFormatting sqref="BI128">
    <cfRule type="cellIs" dxfId="474" priority="23" stopIfTrue="1" operator="equal">
      <formula>0</formula>
    </cfRule>
  </conditionalFormatting>
  <conditionalFormatting sqref="BI130:BI131">
    <cfRule type="cellIs" dxfId="473" priority="21" stopIfTrue="1" operator="equal">
      <formula>0</formula>
    </cfRule>
  </conditionalFormatting>
  <conditionalFormatting sqref="AY85:AY89">
    <cfRule type="cellIs" dxfId="472" priority="17" stopIfTrue="1" operator="equal">
      <formula>0</formula>
    </cfRule>
  </conditionalFormatting>
  <conditionalFormatting sqref="V87:AC92">
    <cfRule type="expression" dxfId="471" priority="19" stopIfTrue="1">
      <formula>OR($AU$97=0,$AU$97=$AU$95)</formula>
    </cfRule>
  </conditionalFormatting>
  <conditionalFormatting sqref="AY90:AY92">
    <cfRule type="cellIs" dxfId="470" priority="14" stopIfTrue="1" operator="equal">
      <formula>0</formula>
    </cfRule>
  </conditionalFormatting>
  <conditionalFormatting sqref="BI132:BI138 BI144:BI145">
    <cfRule type="cellIs" dxfId="469" priority="12" stopIfTrue="1" operator="equal">
      <formula>0</formula>
    </cfRule>
  </conditionalFormatting>
  <conditionalFormatting sqref="AZ6:AZ138 AZ144:AZ146">
    <cfRule type="cellIs" dxfId="468" priority="11" stopIfTrue="1" operator="equal">
      <formula>0</formula>
    </cfRule>
  </conditionalFormatting>
  <conditionalFormatting sqref="BI129">
    <cfRule type="cellIs" dxfId="467" priority="9" stopIfTrue="1" operator="equal">
      <formula>0</formula>
    </cfRule>
  </conditionalFormatting>
  <conditionalFormatting sqref="BH129:BH138 BH144:BH145">
    <cfRule type="cellIs" dxfId="466" priority="8" stopIfTrue="1" operator="equal">
      <formula>0</formula>
    </cfRule>
  </conditionalFormatting>
  <conditionalFormatting sqref="AZ139:AZ143">
    <cfRule type="cellIs" dxfId="465" priority="7" stopIfTrue="1" operator="equal">
      <formula>0</formula>
    </cfRule>
  </conditionalFormatting>
  <conditionalFormatting sqref="AY139:AY143">
    <cfRule type="cellIs" dxfId="464" priority="6" stopIfTrue="1" operator="equal">
      <formula>0</formula>
    </cfRule>
  </conditionalFormatting>
  <conditionalFormatting sqref="BH139 BH142:BH143">
    <cfRule type="cellIs" dxfId="463" priority="5" stopIfTrue="1" operator="equal">
      <formula>0</formula>
    </cfRule>
  </conditionalFormatting>
  <conditionalFormatting sqref="BI139:BI143">
    <cfRule type="cellIs" dxfId="462" priority="4" stopIfTrue="1" operator="equal">
      <formula>0</formula>
    </cfRule>
  </conditionalFormatting>
  <conditionalFormatting sqref="BH140:BH141">
    <cfRule type="cellIs" dxfId="461" priority="3" stopIfTrue="1" operator="equal">
      <formula>0</formula>
    </cfRule>
  </conditionalFormatting>
  <conditionalFormatting sqref="AI17:AO17">
    <cfRule type="expression" dxfId="460" priority="2" stopIfTrue="1">
      <formula>$AW$4=0</formula>
    </cfRule>
  </conditionalFormatting>
  <conditionalFormatting sqref="AI25:AO25">
    <cfRule type="expression" dxfId="459" priority="1" stopIfTrue="1">
      <formula>$AW$4=0</formula>
    </cfRule>
  </conditionalFormatting>
  <hyperlinks>
    <hyperlink ref="M4" location="MENU!A1" display="MENU!A1" xr:uid="{00000000-0004-0000-0E00-000000000000}"/>
    <hyperlink ref="M10" location="OBJ!A1" display="OBJ!A1" xr:uid="{00000000-0004-0000-0E00-000001000000}"/>
    <hyperlink ref="M9" location="suhrn!A1" display="suhrn!A1" xr:uid="{00000000-0004-0000-0E00-000002000000}"/>
    <hyperlink ref="O2:S2" location="MENU!A5" display="MENU!A5" xr:uid="{00000000-0004-0000-0E00-000003000000}"/>
    <hyperlink ref="M69" location="MENU!A1" display="MENU!A1" xr:uid="{00000000-0004-0000-0E00-000004000000}"/>
    <hyperlink ref="B67:E67" location="'AVT187(vn-S)'!A1" display="'AVT187(vn-S)'!A1" xr:uid="{00000000-0004-0000-0E00-000005000000}"/>
    <hyperlink ref="AK9:AO10" location="'IT70(vn100)'!A66" display="'IT70(vn100)'!A66" xr:uid="{00000000-0004-0000-0E00-000006000000}"/>
    <hyperlink ref="AK9:AP10" location="'AVT187(vn-S)'!A66" display="'AVT187(vn-S)'!A66" xr:uid="{00000000-0004-0000-0E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55">
    <tabColor rgb="FF00B050"/>
  </sheetPr>
  <dimension ref="A1:BK122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187 Inlay"</f>
        <v>Zásuvka AVANTECH YOU 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SUM(BB5:BB979)</f>
        <v>#N/A</v>
      </c>
      <c r="BD4" s="94" t="s">
        <v>34</v>
      </c>
      <c r="BK4" s="322" t="e">
        <f>SUM(BK5:BK968)</f>
        <v>#N/A</v>
      </c>
    </row>
    <row r="5" spans="1:63" ht="14.45" customHeight="1">
      <c r="AU5" s="319">
        <f>OBJ!B168</f>
        <v>9353283</v>
      </c>
      <c r="AV5" s="21" t="str">
        <f>VLOOKUP(AU5,CENY!$B$11:$G$1054,2,FALSE)</f>
        <v>AvanY-sólo boky Inlay-NW 187/350mm/strieb.</v>
      </c>
      <c r="AW5" s="22">
        <f>VLOOKUP(AU5,CENY!$B$11:$G$1054,3,FALSE)</f>
        <v>1</v>
      </c>
      <c r="AX5" s="362">
        <v>6</v>
      </c>
      <c r="AY5" s="23">
        <f>S19+S20+S27+S28+S30</f>
        <v>0</v>
      </c>
      <c r="AZ5" s="326">
        <f>IF(AY5="","",IF($AW$4=1,AY5,0))</f>
        <v>0</v>
      </c>
      <c r="BA5" s="95">
        <f>VLOOKUP(AU5,CENY!$B$11:$M$2025,12,FALSE)</f>
        <v>40.415970000000002</v>
      </c>
      <c r="BB5" s="95">
        <f t="shared" ref="BB5:BB68" si="0">IF(BA5="","",BA5*AY5)</f>
        <v>0</v>
      </c>
      <c r="BD5" s="319">
        <f>OBJ!B176</f>
        <v>9257131</v>
      </c>
      <c r="BE5" s="21" t="str">
        <f>VLOOKUP(BD5,CENY!$B$11:$G$1054,2,FALSE)</f>
        <v>AvanY-bok Inlay ľavý /v187/h350/ strieb.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18.284949999999998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343</v>
      </c>
      <c r="G6" s="566"/>
      <c r="H6" s="566"/>
      <c r="I6" s="566"/>
      <c r="J6" s="566"/>
      <c r="K6" s="566"/>
      <c r="AU6" s="319">
        <f>OBJ!B169</f>
        <v>9353284</v>
      </c>
      <c r="AV6" s="21" t="str">
        <f>VLOOKUP(AU6,CENY!$B$11:$G$1054,2,FALSE)</f>
        <v>AvanY-sólo boky Inlay-NW 187/400mm/strieb.</v>
      </c>
      <c r="AW6" s="22">
        <f>VLOOKUP(AU6,CENY!$B$11:$G$1054,3,FALSE)</f>
        <v>1</v>
      </c>
      <c r="AX6" s="362">
        <v>6</v>
      </c>
      <c r="AY6" s="23">
        <f>U20+U28+U30</f>
        <v>0</v>
      </c>
      <c r="AZ6" s="326">
        <f t="shared" ref="AZ6:AZ69" si="1">IF(AY6="","",IF($AW$4=1,AY6,0))</f>
        <v>0</v>
      </c>
      <c r="BA6" s="95">
        <f>VLOOKUP(AU6,CENY!$B$11:$M$2025,12,FALSE)</f>
        <v>40.990609999999997</v>
      </c>
      <c r="BB6" s="95">
        <f t="shared" si="0"/>
        <v>0</v>
      </c>
      <c r="BD6" s="319">
        <f>OBJ!B177</f>
        <v>9257132</v>
      </c>
      <c r="BE6" s="21" t="str">
        <f>VLOOKUP(BD6,CENY!$B$11:$G$1054,2,FALSE)</f>
        <v>AvanY-bok Inlay pravý /v187/h350/ strieb.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9" si="2">IF(BH6="","",IF($AW$4=0,BH6,0))</f>
        <v>0</v>
      </c>
      <c r="BJ6" s="95">
        <f>VLOOKUP(BD6,CENY!$B$11:$M$2025,12,FALSE)</f>
        <v>18.284949999999998</v>
      </c>
      <c r="BK6" s="95">
        <f t="shared" ref="BK6:BK69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OBJ!B170</f>
        <v>9353285</v>
      </c>
      <c r="AV7" s="21" t="str">
        <f>VLOOKUP(AU7,CENY!$B$11:$G$1054,2,FALSE)</f>
        <v>AvanY-sólo boky Inlay-NW 187/450mm/strieb.</v>
      </c>
      <c r="AW7" s="22">
        <f>VLOOKUP(AU7,CENY!$B$11:$G$1054,3,FALSE)</f>
        <v>1</v>
      </c>
      <c r="AX7" s="362">
        <v>6</v>
      </c>
      <c r="AY7" s="23">
        <f>W20+W22+W28+W30</f>
        <v>0</v>
      </c>
      <c r="AZ7" s="326">
        <f t="shared" si="1"/>
        <v>0</v>
      </c>
      <c r="BA7" s="95">
        <f>VLOOKUP(AU7,CENY!$B$11:$M$2025,12,FALSE)</f>
        <v>39.585979999999999</v>
      </c>
      <c r="BB7" s="95">
        <f t="shared" si="0"/>
        <v>0</v>
      </c>
      <c r="BD7" s="319">
        <f>OBJ!B178</f>
        <v>9257133</v>
      </c>
      <c r="BE7" s="21" t="str">
        <f>VLOOKUP(BD7,CENY!$B$11:$G$1054,2,FALSE)</f>
        <v>AvanY-bok Inlay ľavý /v187/h400/ strieb.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18.615220000000001</v>
      </c>
      <c r="BK7" s="95">
        <f t="shared" si="3"/>
        <v>0</v>
      </c>
    </row>
    <row r="8" spans="1:63" ht="14.45" customHeight="1" thickBo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OBJ!B171</f>
        <v>9353286</v>
      </c>
      <c r="AV8" s="21" t="str">
        <f>VLOOKUP(AU8,CENY!$B$11:$G$1054,2,FALSE)</f>
        <v>AvanY-sólo boky Inlay-NW 187/500mm/strieb.</v>
      </c>
      <c r="AW8" s="22">
        <f>VLOOKUP(AU8,CENY!$B$11:$G$1054,3,FALSE)</f>
        <v>1</v>
      </c>
      <c r="AX8" s="362">
        <v>8</v>
      </c>
      <c r="AY8" s="23">
        <f>Y20+Y22+Y28+Y30</f>
        <v>0</v>
      </c>
      <c r="AZ8" s="326">
        <f t="shared" si="1"/>
        <v>0</v>
      </c>
      <c r="BA8" s="95">
        <f>VLOOKUP(AU8,CENY!$B$11:$M$2025,12,FALSE)</f>
        <v>40.13326</v>
      </c>
      <c r="BB8" s="95">
        <f t="shared" si="0"/>
        <v>0</v>
      </c>
      <c r="BD8" s="319">
        <f>OBJ!B179</f>
        <v>9257134</v>
      </c>
      <c r="BE8" s="21" t="str">
        <f>VLOOKUP(BD8,CENY!$B$11:$G$1054,2,FALSE)</f>
        <v>AvanY-bok Inlay pravý /v187/h400/ strieb.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18.615220000000001</v>
      </c>
      <c r="BK8" s="95">
        <f t="shared" si="3"/>
        <v>0</v>
      </c>
    </row>
    <row r="9" spans="1:63" ht="14.45" customHeight="1" thickTop="1">
      <c r="B9" s="551"/>
      <c r="C9" s="551"/>
      <c r="D9" s="551"/>
      <c r="E9" s="551"/>
      <c r="F9" s="566"/>
      <c r="G9" s="566"/>
      <c r="H9" s="566"/>
      <c r="I9" s="566"/>
      <c r="J9" s="566"/>
      <c r="K9" s="566"/>
      <c r="AK9" s="587" t="str">
        <f>verze!E160</f>
        <v>Je nutné natypovať šírky čiel ?</v>
      </c>
      <c r="AL9" s="588"/>
      <c r="AM9" s="588"/>
      <c r="AN9" s="588"/>
      <c r="AO9" s="588"/>
      <c r="AP9" s="589"/>
      <c r="AU9" s="319">
        <f>OBJ!B172</f>
        <v>9353287</v>
      </c>
      <c r="AV9" s="21" t="str">
        <f>VLOOKUP(AU9,CENY!$B$11:$G$1054,2,FALSE)</f>
        <v>AvanY-sólo boky Inlay-NW 187/550mm/strieb.</v>
      </c>
      <c r="AW9" s="22">
        <f>VLOOKUP(AU9,CENY!$B$11:$G$1054,3,FALSE)</f>
        <v>1</v>
      </c>
      <c r="AX9" s="362">
        <v>8</v>
      </c>
      <c r="AY9" s="23">
        <f>AA20+AA22+AA28+AA30</f>
        <v>0</v>
      </c>
      <c r="AZ9" s="326">
        <f t="shared" si="1"/>
        <v>0</v>
      </c>
      <c r="BA9" s="95">
        <f>VLOOKUP(AU9,CENY!$B$11:$M$2025,12,FALSE)</f>
        <v>42.714669999999998</v>
      </c>
      <c r="BB9" s="95">
        <f t="shared" si="0"/>
        <v>0</v>
      </c>
      <c r="BD9" s="319">
        <f>OBJ!B180</f>
        <v>9257135</v>
      </c>
      <c r="BE9" s="21" t="str">
        <f>VLOOKUP(BD9,CENY!$B$11:$G$1054,2,FALSE)</f>
        <v>AvanY-bok Inlay ľavý /v187/h450/ strieb.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18.945989999999998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K10" s="590"/>
      <c r="AL10" s="591"/>
      <c r="AM10" s="591"/>
      <c r="AN10" s="591"/>
      <c r="AO10" s="591"/>
      <c r="AP10" s="592"/>
      <c r="AU10" s="319">
        <f>OBJ!B173</f>
        <v>9353288</v>
      </c>
      <c r="AV10" s="21" t="str">
        <f>VLOOKUP(AU10,CENY!$B$11:$G$1054,2,FALSE)</f>
        <v>AvanY-sólo boky Inlay-NW 187/600mm/strieb.</v>
      </c>
      <c r="AW10" s="22">
        <f>VLOOKUP(AU10,CENY!$B$11:$G$1054,3,FALSE)</f>
        <v>1</v>
      </c>
      <c r="AX10" s="362">
        <v>8</v>
      </c>
      <c r="AY10" s="23">
        <f>AC20+AC22+AC28+AC30</f>
        <v>0</v>
      </c>
      <c r="AZ10" s="326">
        <f t="shared" si="1"/>
        <v>0</v>
      </c>
      <c r="BA10" s="95">
        <f>VLOOKUP(AU10,CENY!$B$11:$M$2025,12,FALSE)</f>
        <v>43.581359999999997</v>
      </c>
      <c r="BB10" s="95">
        <f t="shared" si="0"/>
        <v>0</v>
      </c>
      <c r="BD10" s="319">
        <f>OBJ!B181</f>
        <v>9257136</v>
      </c>
      <c r="BE10" s="21" t="str">
        <f>VLOOKUP(BD10,CENY!$B$11:$G$1054,2,FALSE)</f>
        <v>AvanY-bok Inlay pravý /v187/h450/ strieb.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18.945989999999998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OBJ!B174</f>
        <v>9353289</v>
      </c>
      <c r="AV11" s="21" t="str">
        <f>VLOOKUP(AU11,CENY!$B$11:$G$1054,2,FALSE)</f>
        <v>AvanY-sólo boky Inlay-NW 187/650mm/strieb.</v>
      </c>
      <c r="AW11" s="22">
        <f>VLOOKUP(AU11,CENY!$B$11:$G$1054,3,FALSE)</f>
        <v>1</v>
      </c>
      <c r="AX11" s="362">
        <v>10</v>
      </c>
      <c r="AY11" s="23">
        <f>AE22</f>
        <v>0</v>
      </c>
      <c r="AZ11" s="326">
        <f t="shared" si="1"/>
        <v>0</v>
      </c>
      <c r="BA11" s="95">
        <f>VLOOKUP(AU11,CENY!$B$11:$M$2025,12,FALSE)</f>
        <v>44.76003</v>
      </c>
      <c r="BB11" s="95">
        <f t="shared" si="0"/>
        <v>0</v>
      </c>
      <c r="BD11" s="319">
        <f>OBJ!B182</f>
        <v>9257137</v>
      </c>
      <c r="BE11" s="21" t="str">
        <f>VLOOKUP(BD11,CENY!$B$11:$G$1054,2,FALSE)</f>
        <v>AvanY-bok Inlay ľavý /v187/h500/ strieb.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18.358360000000001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66"/>
      <c r="G12" s="566"/>
      <c r="H12" s="566"/>
      <c r="I12" s="566"/>
      <c r="J12" s="566"/>
      <c r="K12" s="566"/>
      <c r="AU12" s="319"/>
      <c r="AV12" s="21"/>
      <c r="AW12" s="22"/>
      <c r="AX12" s="22"/>
      <c r="AY12" s="23"/>
      <c r="AZ12" s="326" t="str">
        <f t="shared" si="1"/>
        <v/>
      </c>
      <c r="BA12" s="95"/>
      <c r="BB12" s="95" t="str">
        <f t="shared" si="0"/>
        <v/>
      </c>
      <c r="BD12" s="319">
        <f>OBJ!B183</f>
        <v>9257138</v>
      </c>
      <c r="BE12" s="21" t="str">
        <f>VLOOKUP(BD12,CENY!$B$11:$G$1054,2,FALSE)</f>
        <v>AvanY-bok Inlay pravý /v187/h500/ strieb.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18.358360000000001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OBJ!B216</f>
        <v>9283178</v>
      </c>
      <c r="AV13" s="21" t="str">
        <f>VLOOKUP(AU13,CENY!$B$11:$G$1054,2,FALSE)</f>
        <v>AvanY-Inlay sklenené boky 350mm; 2 x sklo</v>
      </c>
      <c r="AW13" s="22">
        <f>VLOOKUP(AU13,CENY!$B$11:$G$1054,3,FALSE)</f>
        <v>1</v>
      </c>
      <c r="AX13" s="22"/>
      <c r="AY13" s="23">
        <f>1*(S19+S20+S27+S28+S30)</f>
        <v>0</v>
      </c>
      <c r="AZ13" s="326">
        <f t="shared" si="1"/>
        <v>0</v>
      </c>
      <c r="BA13" s="95">
        <f>VLOOKUP(AU13,CENY!$B$11:$M$2025,12,FALSE)</f>
        <v>39.701169999999998</v>
      </c>
      <c r="BB13" s="95">
        <f t="shared" si="0"/>
        <v>0</v>
      </c>
      <c r="BD13" s="319">
        <f>OBJ!B184</f>
        <v>9257139</v>
      </c>
      <c r="BE13" s="21" t="str">
        <f>VLOOKUP(BD13,CENY!$B$11:$G$1054,2,FALSE)</f>
        <v>AvanY-bok Inlay ľavý /v187/h550/ strieb.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19.60652</v>
      </c>
      <c r="BK13" s="95">
        <f t="shared" si="3"/>
        <v>0</v>
      </c>
    </row>
    <row r="14" spans="1:63" ht="14.45" customHeight="1">
      <c r="AU14" s="319">
        <f>OBJ!B217</f>
        <v>9283179</v>
      </c>
      <c r="AV14" s="21" t="str">
        <f>VLOOKUP(AU14,CENY!$B$11:$G$1054,2,FALSE)</f>
        <v>AvanY-Inlay sklenené boky 400mm; 2 x sklo</v>
      </c>
      <c r="AW14" s="22">
        <f>VLOOKUP(AU14,CENY!$B$11:$G$1054,3,FALSE)</f>
        <v>1</v>
      </c>
      <c r="AX14" s="22"/>
      <c r="AY14" s="23">
        <f>1*(U20+U28+U30)</f>
        <v>0</v>
      </c>
      <c r="AZ14" s="326">
        <f t="shared" si="1"/>
        <v>0</v>
      </c>
      <c r="BA14" s="95">
        <f>VLOOKUP(AU14,CENY!$B$11:$M$2025,12,FALSE)</f>
        <v>41.949010000000001</v>
      </c>
      <c r="BB14" s="95">
        <f t="shared" si="0"/>
        <v>0</v>
      </c>
      <c r="BD14" s="319">
        <f>OBJ!B185</f>
        <v>9257140</v>
      </c>
      <c r="BE14" s="21" t="str">
        <f>VLOOKUP(BD14,CENY!$B$11:$G$1054,2,FALSE)</f>
        <v>AvanY-bok Inlay pravý /v187/h550/ strieb.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19.60652</v>
      </c>
      <c r="BK14" s="95">
        <f t="shared" si="3"/>
        <v>0</v>
      </c>
    </row>
    <row r="15" spans="1:63" ht="14.45" customHeight="1">
      <c r="AU15" s="319">
        <f>OBJ!B218</f>
        <v>9283180</v>
      </c>
      <c r="AV15" s="21" t="str">
        <f>VLOOKUP(AU15,CENY!$B$11:$G$1054,2,FALSE)</f>
        <v>AvanY-Inlay sklenené boky 450mm; 2 x sklo</v>
      </c>
      <c r="AW15" s="22">
        <f>VLOOKUP(AU15,CENY!$B$11:$G$1054,3,FALSE)</f>
        <v>1</v>
      </c>
      <c r="AX15" s="22"/>
      <c r="AY15" s="23">
        <f>1*(W20+W22+W28+W30)</f>
        <v>0</v>
      </c>
      <c r="AZ15" s="326">
        <f t="shared" si="1"/>
        <v>0</v>
      </c>
      <c r="BA15" s="95">
        <f>VLOOKUP(AU15,CENY!$B$11:$M$2025,12,FALSE)</f>
        <v>44.197099999999999</v>
      </c>
      <c r="BB15" s="95">
        <f t="shared" si="0"/>
        <v>0</v>
      </c>
      <c r="BD15" s="319">
        <f>OBJ!B186</f>
        <v>9257141</v>
      </c>
      <c r="BE15" s="21" t="str">
        <f>VLOOKUP(BD15,CENY!$B$11:$G$1054,2,FALSE)</f>
        <v>AvanY-bok Inlay ľavý /v187/h600/ strieb.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20.105229999999999</v>
      </c>
      <c r="BK15" s="95">
        <f t="shared" si="3"/>
        <v>0</v>
      </c>
    </row>
    <row r="16" spans="1:63" ht="14.45" customHeight="1">
      <c r="AU16" s="319">
        <f>OBJ!B219</f>
        <v>9283181</v>
      </c>
      <c r="AV16" s="21" t="str">
        <f>VLOOKUP(AU16,CENY!$B$11:$G$1054,2,FALSE)</f>
        <v>AvanY-Inlay sklenené boky 500mm; 2 x sklo</v>
      </c>
      <c r="AW16" s="22">
        <f>VLOOKUP(AU16,CENY!$B$11:$G$1054,3,FALSE)</f>
        <v>1</v>
      </c>
      <c r="AX16" s="22"/>
      <c r="AY16" s="23">
        <f>1*(Y20+Y22+Y28+Y30)</f>
        <v>0</v>
      </c>
      <c r="AZ16" s="326">
        <f t="shared" si="1"/>
        <v>0</v>
      </c>
      <c r="BA16" s="95">
        <f>VLOOKUP(AU16,CENY!$B$11:$M$2025,12,FALSE)</f>
        <v>46.445340000000002</v>
      </c>
      <c r="BB16" s="95">
        <f t="shared" si="0"/>
        <v>0</v>
      </c>
      <c r="BD16" s="319">
        <f>OBJ!B187</f>
        <v>9257142</v>
      </c>
      <c r="BE16" s="21" t="str">
        <f>VLOOKUP(BD16,CENY!$B$11:$G$1054,2,FALSE)</f>
        <v>AvanY-bok Inlay pravý /v187/h600/ strieb.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20.105229999999999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I17" s="542" t="str">
        <f>verze!E198</f>
        <v>P2O Silent pre Actro</v>
      </c>
      <c r="AJ17" s="543"/>
      <c r="AK17" s="543"/>
      <c r="AL17" s="543"/>
      <c r="AM17" s="543"/>
      <c r="AN17" s="543"/>
      <c r="AO17" s="543"/>
      <c r="AU17" s="319">
        <f>OBJ!B220</f>
        <v>9283182</v>
      </c>
      <c r="AV17" s="21" t="str">
        <f>VLOOKUP(AU17,CENY!$B$11:$G$1054,2,FALSE)</f>
        <v>AvanY-Inlay sklenené boky 550mm; 2 x sklo</v>
      </c>
      <c r="AW17" s="22">
        <f>VLOOKUP(AU17,CENY!$B$11:$G$1054,3,FALSE)</f>
        <v>1</v>
      </c>
      <c r="AX17" s="22"/>
      <c r="AY17" s="23">
        <f>1*(AA20+AA22+AA28+AA30)</f>
        <v>0</v>
      </c>
      <c r="AZ17" s="326">
        <f t="shared" si="1"/>
        <v>0</v>
      </c>
      <c r="BA17" s="95">
        <f>VLOOKUP(AU17,CENY!$B$11:$M$2025,12,FALSE)</f>
        <v>50.939869999999999</v>
      </c>
      <c r="BB17" s="95">
        <f t="shared" si="0"/>
        <v>0</v>
      </c>
      <c r="BD17" s="319">
        <f>OBJ!B188</f>
        <v>9257143</v>
      </c>
      <c r="BE17" s="21" t="str">
        <f>VLOOKUP(BD17,CENY!$B$11:$G$1054,2,FALSE)</f>
        <v>AvanY-bok Inlay ľavý /v187/h650/ strieb.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20.782730000000001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I18" s="545" t="s">
        <v>299</v>
      </c>
      <c r="AJ18" s="545"/>
      <c r="AK18" s="545"/>
      <c r="AL18" s="545"/>
      <c r="AM18" s="545"/>
      <c r="AN18" s="545"/>
      <c r="AO18" s="545"/>
      <c r="AU18" s="319">
        <f>OBJ!B221</f>
        <v>9283183</v>
      </c>
      <c r="AV18" s="21" t="str">
        <f>VLOOKUP(AU18,CENY!$B$11:$G$1054,2,FALSE)</f>
        <v>AvanY-Inlay sklenené boky 600mm; 2 x sklo</v>
      </c>
      <c r="AW18" s="22">
        <f>VLOOKUP(AU18,CENY!$B$11:$G$1054,3,FALSE)</f>
        <v>1</v>
      </c>
      <c r="AX18" s="22"/>
      <c r="AY18" s="23">
        <f>1*(AC20+AC22+AC28+AC30)</f>
        <v>0</v>
      </c>
      <c r="AZ18" s="326">
        <f t="shared" si="1"/>
        <v>0</v>
      </c>
      <c r="BA18" s="95">
        <f>VLOOKUP(AU18,CENY!$B$11:$M$2025,12,FALSE)</f>
        <v>55.43441</v>
      </c>
      <c r="BB18" s="95">
        <f t="shared" si="0"/>
        <v>0</v>
      </c>
      <c r="BD18" s="319">
        <f>OBJ!B189</f>
        <v>9257144</v>
      </c>
      <c r="BE18" s="21" t="str">
        <f>VLOOKUP(BD18,CENY!$B$11:$G$1054,2,FALSE)</f>
        <v>AvanY-bok Inlay pravý /v187/h650/ strieb.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20.782730000000001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71"/>
      <c r="P19" s="572"/>
      <c r="Q19" s="571"/>
      <c r="R19" s="572"/>
      <c r="S19" s="569"/>
      <c r="T19" s="570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I19" s="289"/>
      <c r="AJ19" s="290"/>
      <c r="AK19" s="289"/>
      <c r="AL19" s="290"/>
      <c r="AM19" s="291" t="s">
        <v>295</v>
      </c>
      <c r="AN19" s="536"/>
      <c r="AO19" s="536"/>
      <c r="AU19" s="319">
        <f>OBJ!B222</f>
        <v>9283184</v>
      </c>
      <c r="AV19" s="21" t="str">
        <f>VLOOKUP(AU19,CENY!$B$11:$G$1054,2,FALSE)</f>
        <v>AvanY-Inlay sklenené boky 650mm; 2 x sklo</v>
      </c>
      <c r="AW19" s="22">
        <f>VLOOKUP(AU19,CENY!$B$11:$G$1054,3,FALSE)</f>
        <v>1</v>
      </c>
      <c r="AX19" s="22"/>
      <c r="AY19" s="23">
        <f>1*(AE22)</f>
        <v>0</v>
      </c>
      <c r="AZ19" s="326">
        <f t="shared" si="1"/>
        <v>0</v>
      </c>
      <c r="BA19" s="95">
        <f>VLOOKUP(AU19,CENY!$B$11:$M$2025,12,FALSE)</f>
        <v>59.929090000000002</v>
      </c>
      <c r="BB19" s="95">
        <f t="shared" si="0"/>
        <v>0</v>
      </c>
      <c r="BD19" s="319"/>
      <c r="BE19" s="21"/>
      <c r="BF19" s="22"/>
      <c r="BG19" s="22"/>
      <c r="BH19" s="23"/>
      <c r="BI19" s="326" t="str">
        <f t="shared" si="2"/>
        <v/>
      </c>
      <c r="BJ19" s="95"/>
      <c r="BK19" s="95" t="str">
        <f t="shared" si="3"/>
        <v/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20"/>
      <c r="P20" s="521"/>
      <c r="Q20" s="520"/>
      <c r="R20" s="521"/>
      <c r="S20" s="518"/>
      <c r="T20" s="519"/>
      <c r="U20" s="518"/>
      <c r="V20" s="519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I20" s="287"/>
      <c r="AJ20" s="288"/>
      <c r="AK20" s="287"/>
      <c r="AL20" s="288"/>
      <c r="AM20" s="286" t="s">
        <v>294</v>
      </c>
      <c r="AN20" s="522"/>
      <c r="AO20" s="522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20">
        <v>9257258</v>
      </c>
      <c r="BE20" s="321" t="str">
        <f>VLOOKUP(BD20,CENY!$B$11:$G$1054,2,FALSE)</f>
        <v>AvanY-prích.čela Inlay s rozp.púzdrom/ v187</v>
      </c>
      <c r="BF20" s="22">
        <f>VLOOKUP(BD20,CENY!$B$11:$G$1054,3,FALSE)</f>
        <v>100</v>
      </c>
      <c r="BG20" s="22"/>
      <c r="BH20" s="23">
        <f>AY64</f>
        <v>0</v>
      </c>
      <c r="BI20" s="326">
        <f t="shared" si="2"/>
        <v>0</v>
      </c>
      <c r="BJ20" s="95">
        <f>VLOOKUP(BD20,CENY!$B$11:$M$2025,12,FALSE)</f>
        <v>2.4704600000000001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I21" s="287"/>
      <c r="AJ21" s="288"/>
      <c r="AK21" s="287"/>
      <c r="AL21" s="288"/>
      <c r="AM21" s="286" t="s">
        <v>296</v>
      </c>
      <c r="AN21" s="544"/>
      <c r="AO21" s="544"/>
      <c r="AU21" s="319">
        <f>OBJ!B235</f>
        <v>9318160</v>
      </c>
      <c r="AV21" s="21" t="str">
        <f>VLOOKUP(AU21,CENY!$B$11:$G$1054,2,FALSE)</f>
        <v>Actro You(S) 350/SiSy 10kg; EB21</v>
      </c>
      <c r="AW21" s="22">
        <f>VLOOKUP(AU21,CENY!$B$11:$G$1054,3,FALSE)</f>
        <v>1</v>
      </c>
      <c r="AX21" s="362">
        <v>4</v>
      </c>
      <c r="AY21" s="23">
        <f>S19</f>
        <v>0</v>
      </c>
      <c r="AZ21" s="326">
        <f t="shared" si="1"/>
        <v>0</v>
      </c>
      <c r="BA21" s="95">
        <f>VLOOKUP(AU21,CENY!$B$11:$M$2025,12,FALSE)</f>
        <v>31.62575</v>
      </c>
      <c r="BB21" s="95">
        <f t="shared" si="0"/>
        <v>0</v>
      </c>
      <c r="BD21" s="319">
        <f>OBJ!B48</f>
        <v>9257702</v>
      </c>
      <c r="BE21" s="21" t="str">
        <f>VLOOKUP(BD21,CENY!$B$11:$G$1054,2,FALSE)</f>
        <v>AvanY-stabilizátor chrbáta</v>
      </c>
      <c r="BF21" s="22">
        <f>VLOOKUP(BD21,CENY!$B$11:$G$1054,3,FALSE)</f>
        <v>200</v>
      </c>
      <c r="BG21" s="22"/>
      <c r="BH21" s="23">
        <f>2*(SUM(S19)+SUM(S20:AD20)+SUM(W22:AF22)+SUM(S27)+SUM(S28:AD28)+SUM(S30:AD30))</f>
        <v>0</v>
      </c>
      <c r="BI21" s="326">
        <f t="shared" si="2"/>
        <v>0</v>
      </c>
      <c r="BJ21" s="95">
        <f>VLOOKUP(BD21,CENY!$B$11:$M$2025,12,FALSE)</f>
        <v>0.74794000000000005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18"/>
      <c r="AF22" s="519"/>
      <c r="AI22" s="287"/>
      <c r="AJ22" s="288"/>
      <c r="AK22" s="287"/>
      <c r="AL22" s="288"/>
      <c r="AM22" s="286" t="s">
        <v>297</v>
      </c>
      <c r="AN22" s="541"/>
      <c r="AO22" s="541"/>
      <c r="AU22" s="319"/>
      <c r="AV22" s="21"/>
      <c r="AW22" s="22"/>
      <c r="AX22" s="22"/>
      <c r="AY22" s="23"/>
      <c r="AZ22" s="326" t="str">
        <f t="shared" si="1"/>
        <v/>
      </c>
      <c r="BA22" s="95"/>
      <c r="BB22" s="95" t="str">
        <f t="shared" si="0"/>
        <v/>
      </c>
      <c r="BD22" s="319"/>
      <c r="BE22" s="21"/>
      <c r="BF22" s="22"/>
      <c r="BG22" s="22"/>
      <c r="BH22" s="23"/>
      <c r="BI22" s="326" t="str">
        <f t="shared" si="2"/>
        <v/>
      </c>
      <c r="BJ22" s="95"/>
      <c r="BK22" s="95" t="str">
        <f t="shared" si="3"/>
        <v/>
      </c>
    </row>
    <row r="23" spans="2:63" ht="14.45" customHeight="1">
      <c r="O23" s="4"/>
      <c r="P23" s="4"/>
      <c r="AU23" s="319">
        <f>OBJ!B245</f>
        <v>9318188</v>
      </c>
      <c r="AV23" s="21" t="str">
        <f>VLOOKUP(AU23,CENY!$B$11:$G$1054,2,FALSE)</f>
        <v>Actro You(L) 350/SiSy 40kg; EB21</v>
      </c>
      <c r="AW23" s="22">
        <f>VLOOKUP(AU23,CENY!$B$11:$G$1054,3,FALSE)</f>
        <v>1</v>
      </c>
      <c r="AX23" s="362">
        <v>8</v>
      </c>
      <c r="AY23" s="23">
        <f>S20</f>
        <v>0</v>
      </c>
      <c r="AZ23" s="326">
        <f t="shared" si="1"/>
        <v>0</v>
      </c>
      <c r="BA23" s="95">
        <f>VLOOKUP(AU23,CENY!$B$11:$M$2025,12,FALSE)</f>
        <v>31.62575</v>
      </c>
      <c r="BB23" s="95">
        <f t="shared" si="0"/>
        <v>0</v>
      </c>
      <c r="BD23" s="319">
        <f>OBJ!B216</f>
        <v>9283178</v>
      </c>
      <c r="BE23" s="21" t="str">
        <f>VLOOKUP(BD23,CENY!$B$11:$G$1054,2,FALSE)</f>
        <v>AvanY-Inlay sklenené boky 350mm; 2 x sklo</v>
      </c>
      <c r="BF23" s="22">
        <f>VLOOKUP(BD23,CENY!$B$11:$G$1054,3,FALSE)</f>
        <v>1</v>
      </c>
      <c r="BG23" s="22"/>
      <c r="BH23" s="23">
        <f>1*(S19+S20+S27+S28+S30)</f>
        <v>0</v>
      </c>
      <c r="BI23" s="326">
        <f t="shared" si="2"/>
        <v>0</v>
      </c>
      <c r="BJ23" s="95">
        <f>VLOOKUP(BD23,CENY!$B$11:$M$2025,12,FALSE)</f>
        <v>39.701169999999998</v>
      </c>
      <c r="BK23" s="95">
        <f t="shared" si="3"/>
        <v>0</v>
      </c>
    </row>
    <row r="24" spans="2:63" ht="14.45" customHeight="1">
      <c r="AU24" s="319">
        <f>OBJ!B246</f>
        <v>9318190</v>
      </c>
      <c r="AV24" s="21" t="str">
        <f>VLOOKUP(AU24,CENY!$B$11:$G$1054,2,FALSE)</f>
        <v>Actro You(L) 400/SiSy 40kg; EB21</v>
      </c>
      <c r="AW24" s="22">
        <f>VLOOKUP(AU24,CENY!$B$11:$G$1054,3,FALSE)</f>
        <v>1</v>
      </c>
      <c r="AX24" s="362">
        <v>8</v>
      </c>
      <c r="AY24" s="23">
        <f>U20</f>
        <v>0</v>
      </c>
      <c r="AZ24" s="326">
        <f t="shared" si="1"/>
        <v>0</v>
      </c>
      <c r="BA24" s="95">
        <f>VLOOKUP(AU24,CENY!$B$11:$M$2025,12,FALSE)</f>
        <v>31.976389999999999</v>
      </c>
      <c r="BB24" s="95">
        <f t="shared" si="0"/>
        <v>0</v>
      </c>
      <c r="BD24" s="319">
        <f>OBJ!B217</f>
        <v>9283179</v>
      </c>
      <c r="BE24" s="21" t="str">
        <f>VLOOKUP(BD24,CENY!$B$11:$G$1054,2,FALSE)</f>
        <v>AvanY-Inlay sklenené boky 400mm; 2 x sklo</v>
      </c>
      <c r="BF24" s="22">
        <f>VLOOKUP(BD24,CENY!$B$11:$G$1054,3,FALSE)</f>
        <v>1</v>
      </c>
      <c r="BG24" s="22"/>
      <c r="BH24" s="23">
        <f>1*(U20+U28+U30)</f>
        <v>0</v>
      </c>
      <c r="BI24" s="326">
        <f t="shared" si="2"/>
        <v>0</v>
      </c>
      <c r="BJ24" s="95">
        <f>VLOOKUP(BD24,CENY!$B$11:$M$2025,12,FALSE)</f>
        <v>41.949010000000001</v>
      </c>
      <c r="BK24" s="95">
        <f t="shared" si="3"/>
        <v>0</v>
      </c>
    </row>
    <row r="25" spans="2:63" ht="14.45" customHeight="1" thickBot="1">
      <c r="B25" s="2" t="s">
        <v>285</v>
      </c>
      <c r="AI25" s="542" t="str">
        <f>verze!E199</f>
        <v>P2O Silent pre Quadro</v>
      </c>
      <c r="AJ25" s="543"/>
      <c r="AK25" s="543"/>
      <c r="AL25" s="543"/>
      <c r="AM25" s="543"/>
      <c r="AN25" s="543"/>
      <c r="AO25" s="543"/>
      <c r="AU25" s="319">
        <f>OBJ!B247</f>
        <v>9318191</v>
      </c>
      <c r="AV25" s="21" t="str">
        <f>VLOOKUP(AU25,CENY!$B$11:$G$1054,2,FALSE)</f>
        <v>Actro You(L) 450/SiSy 40kg; EB21</v>
      </c>
      <c r="AW25" s="22">
        <f>VLOOKUP(AU25,CENY!$B$11:$G$1054,3,FALSE)</f>
        <v>1</v>
      </c>
      <c r="AX25" s="362">
        <v>10</v>
      </c>
      <c r="AY25" s="23">
        <f>W20</f>
        <v>0</v>
      </c>
      <c r="AZ25" s="326">
        <f t="shared" si="1"/>
        <v>0</v>
      </c>
      <c r="BA25" s="95">
        <f>VLOOKUP(AU25,CENY!$B$11:$M$2025,12,FALSE)</f>
        <v>32.324420000000003</v>
      </c>
      <c r="BB25" s="95">
        <f t="shared" si="0"/>
        <v>0</v>
      </c>
      <c r="BD25" s="319">
        <f>OBJ!B218</f>
        <v>9283180</v>
      </c>
      <c r="BE25" s="21" t="str">
        <f>VLOOKUP(BD25,CENY!$B$11:$G$1054,2,FALSE)</f>
        <v>AvanY-Inlay sklenené boky 450mm; 2 x sklo</v>
      </c>
      <c r="BF25" s="22">
        <f>VLOOKUP(BD25,CENY!$B$11:$G$1054,3,FALSE)</f>
        <v>1</v>
      </c>
      <c r="BG25" s="22"/>
      <c r="BH25" s="23">
        <f>1*(W20+W22+W28+W30)</f>
        <v>0</v>
      </c>
      <c r="BI25" s="326">
        <f t="shared" si="2"/>
        <v>0</v>
      </c>
      <c r="BJ25" s="95">
        <f>VLOOKUP(BD25,CENY!$B$11:$M$2025,12,FALSE)</f>
        <v>44.197099999999999</v>
      </c>
      <c r="BK25" s="95">
        <f t="shared" si="3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I26" s="545" t="s">
        <v>299</v>
      </c>
      <c r="AJ26" s="545"/>
      <c r="AK26" s="545"/>
      <c r="AL26" s="545"/>
      <c r="AM26" s="545"/>
      <c r="AN26" s="545"/>
      <c r="AO26" s="545"/>
      <c r="AU26" s="319">
        <f>OBJ!B248</f>
        <v>9318192</v>
      </c>
      <c r="AV26" s="21" t="str">
        <f>VLOOKUP(AU26,CENY!$B$11:$G$1054,2,FALSE)</f>
        <v>Actro You(L) 500/SiSy 40kg; EB21</v>
      </c>
      <c r="AW26" s="22">
        <f>VLOOKUP(AU26,CENY!$B$11:$G$1054,3,FALSE)</f>
        <v>1</v>
      </c>
      <c r="AX26" s="362">
        <v>10</v>
      </c>
      <c r="AY26" s="23">
        <f>Y20</f>
        <v>0</v>
      </c>
      <c r="AZ26" s="326">
        <f t="shared" si="1"/>
        <v>0</v>
      </c>
      <c r="BA26" s="95">
        <f>VLOOKUP(AU26,CENY!$B$11:$M$2025,12,FALSE)</f>
        <v>6.5957299999999996</v>
      </c>
      <c r="BB26" s="95">
        <f t="shared" si="0"/>
        <v>0</v>
      </c>
      <c r="BD26" s="319">
        <f>OBJ!B219</f>
        <v>9283181</v>
      </c>
      <c r="BE26" s="21" t="str">
        <f>VLOOKUP(BD26,CENY!$B$11:$G$1054,2,FALSE)</f>
        <v>AvanY-Inlay sklenené boky 500mm; 2 x sklo</v>
      </c>
      <c r="BF26" s="22">
        <f>VLOOKUP(BD26,CENY!$B$11:$G$1054,3,FALSE)</f>
        <v>1</v>
      </c>
      <c r="BG26" s="22"/>
      <c r="BH26" s="23">
        <f>1*(Y20+Y22+Y28+Y30)</f>
        <v>0</v>
      </c>
      <c r="BI26" s="326">
        <f t="shared" si="2"/>
        <v>0</v>
      </c>
      <c r="BJ26" s="95">
        <f>VLOOKUP(BD26,CENY!$B$11:$M$2025,12,FALSE)</f>
        <v>46.445340000000002</v>
      </c>
      <c r="BK26" s="95">
        <f t="shared" si="3"/>
        <v>0</v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75"/>
      <c r="P27" s="576"/>
      <c r="Q27" s="575"/>
      <c r="R27" s="576"/>
      <c r="S27" s="569"/>
      <c r="T27" s="570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I27" s="289"/>
      <c r="AJ27" s="290"/>
      <c r="AK27" s="289"/>
      <c r="AL27" s="290"/>
      <c r="AM27" s="291" t="s">
        <v>295</v>
      </c>
      <c r="AN27" s="536"/>
      <c r="AO27" s="536"/>
      <c r="AU27" s="319">
        <f>OBJ!B249</f>
        <v>9318194</v>
      </c>
      <c r="AV27" s="21" t="str">
        <f>VLOOKUP(AU27,CENY!$B$11:$G$1054,2,FALSE)</f>
        <v>Actro You(L) 550/SiSy 40kg; EB21</v>
      </c>
      <c r="AW27" s="22">
        <f>VLOOKUP(AU27,CENY!$B$11:$G$1054,3,FALSE)</f>
        <v>1</v>
      </c>
      <c r="AX27" s="362">
        <v>10</v>
      </c>
      <c r="AY27" s="23">
        <f>AA20</f>
        <v>0</v>
      </c>
      <c r="AZ27" s="326">
        <f t="shared" si="1"/>
        <v>0</v>
      </c>
      <c r="BA27" s="95">
        <f>VLOOKUP(AU27,CENY!$B$11:$M$2025,12,FALSE)</f>
        <v>6.9728000000000003</v>
      </c>
      <c r="BB27" s="95">
        <f t="shared" si="0"/>
        <v>0</v>
      </c>
      <c r="BD27" s="319">
        <f>OBJ!B220</f>
        <v>9283182</v>
      </c>
      <c r="BE27" s="21" t="str">
        <f>VLOOKUP(BD27,CENY!$B$11:$G$1054,2,FALSE)</f>
        <v>AvanY-Inlay sklenené boky 550mm; 2 x sklo</v>
      </c>
      <c r="BF27" s="22">
        <f>VLOOKUP(BD27,CENY!$B$11:$G$1054,3,FALSE)</f>
        <v>1</v>
      </c>
      <c r="BG27" s="22"/>
      <c r="BH27" s="23">
        <f>1*(AA20+AA22+AA28+AA30)</f>
        <v>0</v>
      </c>
      <c r="BI27" s="326">
        <f t="shared" si="2"/>
        <v>0</v>
      </c>
      <c r="BJ27" s="95">
        <f>VLOOKUP(BD27,CENY!$B$11:$M$2025,12,FALSE)</f>
        <v>50.939869999999999</v>
      </c>
      <c r="BK27" s="95">
        <f t="shared" si="3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73"/>
      <c r="P28" s="574"/>
      <c r="Q28" s="573"/>
      <c r="R28" s="574"/>
      <c r="S28" s="518"/>
      <c r="T28" s="519"/>
      <c r="U28" s="518"/>
      <c r="V28" s="519"/>
      <c r="W28" s="518"/>
      <c r="X28" s="519"/>
      <c r="Y28" s="518"/>
      <c r="Z28" s="519"/>
      <c r="AA28" s="518"/>
      <c r="AB28" s="519"/>
      <c r="AC28" s="518"/>
      <c r="AD28" s="519"/>
      <c r="AI28" s="287"/>
      <c r="AJ28" s="288"/>
      <c r="AK28" s="287"/>
      <c r="AL28" s="288"/>
      <c r="AM28" s="286" t="s">
        <v>294</v>
      </c>
      <c r="AN28" s="522"/>
      <c r="AO28" s="522"/>
      <c r="AU28" s="319">
        <f>OBJ!B250</f>
        <v>9318196</v>
      </c>
      <c r="AV28" s="21" t="str">
        <f>VLOOKUP(AU28,CENY!$B$11:$G$1054,2,FALSE)</f>
        <v>Actro You(L) 600/SiSy 40kg; EB21</v>
      </c>
      <c r="AW28" s="22">
        <f>VLOOKUP(AU28,CENY!$B$11:$G$1054,3,FALSE)</f>
        <v>1</v>
      </c>
      <c r="AX28" s="362">
        <v>10</v>
      </c>
      <c r="AY28" s="23">
        <f>AC20</f>
        <v>0</v>
      </c>
      <c r="AZ28" s="326">
        <f t="shared" si="1"/>
        <v>0</v>
      </c>
      <c r="BA28" s="95">
        <f>VLOOKUP(AU28,CENY!$B$11:$M$2025,12,FALSE)</f>
        <v>34.956960000000002</v>
      </c>
      <c r="BB28" s="95">
        <f t="shared" si="0"/>
        <v>0</v>
      </c>
      <c r="BD28" s="319">
        <f>OBJ!B221</f>
        <v>9283183</v>
      </c>
      <c r="BE28" s="21" t="str">
        <f>VLOOKUP(BD28,CENY!$B$11:$G$1054,2,FALSE)</f>
        <v>AvanY-Inlay sklenené boky 600mm; 2 x sklo</v>
      </c>
      <c r="BF28" s="22">
        <f>VLOOKUP(BD28,CENY!$B$11:$G$1054,3,FALSE)</f>
        <v>1</v>
      </c>
      <c r="BG28" s="22"/>
      <c r="BH28" s="23">
        <f>1*(AC20+AC22+AC28+AC30)</f>
        <v>0</v>
      </c>
      <c r="BI28" s="326">
        <f t="shared" si="2"/>
        <v>0</v>
      </c>
      <c r="BJ28" s="95">
        <f>VLOOKUP(BD28,CENY!$B$11:$M$2025,12,FALSE)</f>
        <v>55.43441</v>
      </c>
      <c r="BK28" s="95">
        <f t="shared" si="3"/>
        <v>0</v>
      </c>
    </row>
    <row r="29" spans="2:63" ht="14.45" customHeight="1" thickBot="1">
      <c r="O29" s="283"/>
      <c r="P29" s="284"/>
      <c r="Q29" s="283"/>
      <c r="R29" s="284"/>
      <c r="S29" s="283"/>
      <c r="T29" s="284"/>
      <c r="U29" s="283"/>
      <c r="V29" s="284"/>
      <c r="W29" s="283"/>
      <c r="X29" s="284"/>
      <c r="Y29" s="283"/>
      <c r="Z29" s="284"/>
      <c r="AA29" s="283"/>
      <c r="AB29" s="284"/>
      <c r="AC29" s="283"/>
      <c r="AD29" s="284"/>
      <c r="AI29" s="287"/>
      <c r="AJ29" s="288"/>
      <c r="AK29" s="287"/>
      <c r="AL29" s="288"/>
      <c r="AM29" s="286" t="s">
        <v>298</v>
      </c>
      <c r="AN29" s="529"/>
      <c r="AO29" s="529"/>
      <c r="AU29" s="319"/>
      <c r="AV29" s="21"/>
      <c r="AW29" s="22"/>
      <c r="AX29" s="22"/>
      <c r="AY29" s="23"/>
      <c r="AZ29" s="326" t="str">
        <f t="shared" si="1"/>
        <v/>
      </c>
      <c r="BA29" s="95"/>
      <c r="BB29" s="95" t="str">
        <f t="shared" si="0"/>
        <v/>
      </c>
      <c r="BD29" s="319">
        <f>OBJ!B222</f>
        <v>9283184</v>
      </c>
      <c r="BE29" s="21" t="str">
        <f>VLOOKUP(BD29,CENY!$B$11:$G$1054,2,FALSE)</f>
        <v>AvanY-Inlay sklenené boky 650mm; 2 x sklo</v>
      </c>
      <c r="BF29" s="22">
        <f>VLOOKUP(BD29,CENY!$B$11:$G$1054,3,FALSE)</f>
        <v>1</v>
      </c>
      <c r="BG29" s="22"/>
      <c r="BH29" s="23">
        <f>1*(AE22)</f>
        <v>0</v>
      </c>
      <c r="BI29" s="326">
        <f t="shared" si="2"/>
        <v>0</v>
      </c>
      <c r="BJ29" s="95">
        <f>VLOOKUP(BD29,CENY!$B$11:$M$2025,12,FALSE)</f>
        <v>59.929090000000002</v>
      </c>
      <c r="BK29" s="95">
        <f t="shared" si="3"/>
        <v>0</v>
      </c>
    </row>
    <row r="30" spans="2:63" ht="14.45" customHeight="1" thickBot="1">
      <c r="B30" s="530" t="s">
        <v>373</v>
      </c>
      <c r="C30" s="530"/>
      <c r="D30" s="530"/>
      <c r="E30" s="530"/>
      <c r="F30" s="530"/>
      <c r="G30" s="530"/>
      <c r="H30" s="531" t="str">
        <f>verze!E18</f>
        <v>plnovýsuv</v>
      </c>
      <c r="I30" s="531"/>
      <c r="J30" s="531"/>
      <c r="K30" s="531"/>
      <c r="L30" s="531"/>
      <c r="M30" s="525" t="s">
        <v>1</v>
      </c>
      <c r="N30" s="526"/>
      <c r="O30" s="283"/>
      <c r="P30" s="284"/>
      <c r="Q30" s="283"/>
      <c r="R30" s="284"/>
      <c r="S30" s="518"/>
      <c r="T30" s="519"/>
      <c r="U30" s="518"/>
      <c r="V30" s="519"/>
      <c r="W30" s="518"/>
      <c r="X30" s="519"/>
      <c r="Y30" s="518"/>
      <c r="Z30" s="519"/>
      <c r="AA30" s="518"/>
      <c r="AB30" s="519"/>
      <c r="AC30" s="567"/>
      <c r="AD30" s="568"/>
      <c r="AU30" s="319">
        <f>OBJ!B268</f>
        <v>9318215</v>
      </c>
      <c r="AV30" s="21" t="str">
        <f>VLOOKUP(AU30,CENY!$B$11:$G$1054,2,FALSE)</f>
        <v>Actro You(XL) 450/SiSy 70kg; EB21</v>
      </c>
      <c r="AW30" s="22">
        <f>VLOOKUP(AU30,CENY!$B$11:$G$1054,3,FALSE)</f>
        <v>1</v>
      </c>
      <c r="AX30" s="362">
        <v>10</v>
      </c>
      <c r="AY30" s="23">
        <f>W22</f>
        <v>0</v>
      </c>
      <c r="AZ30" s="326">
        <f t="shared" si="1"/>
        <v>0</v>
      </c>
      <c r="BA30" s="95">
        <f>VLOOKUP(AU30,CENY!$B$11:$M$2025,12,FALSE)</f>
        <v>7.9265800000000004</v>
      </c>
      <c r="BB30" s="95">
        <f t="shared" si="0"/>
        <v>0</v>
      </c>
      <c r="BD30" s="319"/>
      <c r="BE30" s="21"/>
      <c r="BF30" s="22"/>
      <c r="BG30" s="22"/>
      <c r="BH30" s="23"/>
      <c r="BI30" s="326" t="str">
        <f t="shared" si="2"/>
        <v/>
      </c>
      <c r="BJ30" s="95"/>
      <c r="BK30" s="95" t="str">
        <f t="shared" si="3"/>
        <v/>
      </c>
    </row>
    <row r="31" spans="2:63" ht="14.45" customHeight="1">
      <c r="AU31" s="319">
        <f>OBJ!B269</f>
        <v>9318216</v>
      </c>
      <c r="AV31" s="21" t="str">
        <f>VLOOKUP(AU31,CENY!$B$11:$G$1054,2,FALSE)</f>
        <v>Actro You(XL) 500/SiSy 70kg; EB21</v>
      </c>
      <c r="AW31" s="22">
        <f>VLOOKUP(AU31,CENY!$B$11:$G$1054,3,FALSE)</f>
        <v>1</v>
      </c>
      <c r="AX31" s="362">
        <v>10</v>
      </c>
      <c r="AY31" s="23">
        <f>Y22</f>
        <v>0</v>
      </c>
      <c r="AZ31" s="326">
        <f t="shared" si="1"/>
        <v>0</v>
      </c>
      <c r="BA31" s="95">
        <f>VLOOKUP(AU31,CENY!$B$11:$M$2025,12,FALSE)</f>
        <v>39.622210000000003</v>
      </c>
      <c r="BB31" s="95">
        <f t="shared" si="0"/>
        <v>0</v>
      </c>
      <c r="BD31" s="319">
        <f>OBJ!B240</f>
        <v>9318149</v>
      </c>
      <c r="BE31" s="21" t="str">
        <f>VLOOKUP(BD31,CENY!$B$11:$G$1054,2,FALSE)</f>
        <v>Actro You(S) 350/SiSy 10kg; EB21; ľavý</v>
      </c>
      <c r="BF31" s="22">
        <f>VLOOKUP(BD31,CENY!$B$11:$G$1054,3,FALSE)</f>
        <v>10</v>
      </c>
      <c r="BG31" s="22"/>
      <c r="BH31" s="23">
        <f>AY21</f>
        <v>0</v>
      </c>
      <c r="BI31" s="326">
        <f t="shared" si="2"/>
        <v>0</v>
      </c>
      <c r="BJ31" s="95">
        <f>VLOOKUP(BD31,CENY!$B$11:$M$2025,12,FALSE)</f>
        <v>14.37729</v>
      </c>
      <c r="BK31" s="95">
        <f t="shared" si="3"/>
        <v>0</v>
      </c>
    </row>
    <row r="32" spans="2:63" ht="14.45" customHeight="1">
      <c r="B32" s="366" t="str">
        <f>verze!E201</f>
        <v>SiSy = tlmenie Silent System</v>
      </c>
      <c r="AU32" s="319">
        <f>OBJ!B270</f>
        <v>9318217</v>
      </c>
      <c r="AV32" s="21" t="str">
        <f>VLOOKUP(AU32,CENY!$B$11:$G$1054,2,FALSE)</f>
        <v>Actro You(XL) 550/SiSy 70kg; EB21</v>
      </c>
      <c r="AW32" s="22">
        <f>VLOOKUP(AU32,CENY!$B$11:$G$1054,3,FALSE)</f>
        <v>1</v>
      </c>
      <c r="AX32" s="362">
        <v>10</v>
      </c>
      <c r="AY32" s="23">
        <f>AA22</f>
        <v>0</v>
      </c>
      <c r="AZ32" s="326">
        <f t="shared" si="1"/>
        <v>0</v>
      </c>
      <c r="BA32" s="95">
        <f>VLOOKUP(AU32,CENY!$B$11:$M$2025,12,FALSE)</f>
        <v>41.504899999999999</v>
      </c>
      <c r="BB32" s="95">
        <f t="shared" si="0"/>
        <v>0</v>
      </c>
      <c r="BD32" s="319">
        <f>OBJ!B241</f>
        <v>9318150</v>
      </c>
      <c r="BE32" s="21" t="str">
        <f>VLOOKUP(BD32,CENY!$B$11:$G$1054,2,FALSE)</f>
        <v>Actro You(S) 350/SiSy 10kg; EB21; pravý</v>
      </c>
      <c r="BF32" s="22">
        <f>VLOOKUP(BD32,CENY!$B$11:$G$1054,3,FALSE)</f>
        <v>10</v>
      </c>
      <c r="BG32" s="22"/>
      <c r="BH32" s="23">
        <f>AY21</f>
        <v>0</v>
      </c>
      <c r="BI32" s="326">
        <f t="shared" si="2"/>
        <v>0</v>
      </c>
      <c r="BJ32" s="95">
        <f>VLOOKUP(BD32,CENY!$B$11:$M$2025,12,FALSE)</f>
        <v>14.37729</v>
      </c>
      <c r="BK32" s="95">
        <f t="shared" si="3"/>
        <v>0</v>
      </c>
    </row>
    <row r="33" spans="2:63" ht="14.45" customHeight="1">
      <c r="B33" s="366" t="str">
        <f>verze!E204</f>
        <v>P2O = otváranie bez úchytky Push to open</v>
      </c>
      <c r="AU33" s="319">
        <f>OBJ!B271</f>
        <v>9318218</v>
      </c>
      <c r="AV33" s="21" t="str">
        <f>VLOOKUP(AU33,CENY!$B$11:$G$1054,2,FALSE)</f>
        <v>Actro You(XL) 600/SiSy 70kg; EB21</v>
      </c>
      <c r="AW33" s="22">
        <f>VLOOKUP(AU33,CENY!$B$11:$G$1054,3,FALSE)</f>
        <v>1</v>
      </c>
      <c r="AX33" s="362">
        <v>10</v>
      </c>
      <c r="AY33" s="23">
        <f>AC22</f>
        <v>0</v>
      </c>
      <c r="AZ33" s="326">
        <f t="shared" si="1"/>
        <v>0</v>
      </c>
      <c r="BA33" s="95">
        <f>VLOOKUP(AU33,CENY!$B$11:$M$2025,12,FALSE)</f>
        <v>45.308109999999999</v>
      </c>
      <c r="BB33" s="95">
        <f t="shared" si="0"/>
        <v>0</v>
      </c>
      <c r="BD33" s="319"/>
      <c r="BE33" s="21"/>
      <c r="BF33" s="22"/>
      <c r="BG33" s="22"/>
      <c r="BH33" s="23"/>
      <c r="BI33" s="326" t="str">
        <f t="shared" si="2"/>
        <v/>
      </c>
      <c r="BJ33" s="95"/>
      <c r="BK33" s="95" t="str">
        <f t="shared" si="3"/>
        <v/>
      </c>
    </row>
    <row r="34" spans="2:63" ht="14.45" customHeight="1">
      <c r="B34" s="366" t="str">
        <f>verze!E203</f>
        <v>P2O Silent = tlmenie s otváraním bez úchytky Push to open Silent</v>
      </c>
      <c r="AU34" s="319">
        <f>OBJ!B272</f>
        <v>9318219</v>
      </c>
      <c r="AV34" s="21" t="str">
        <f>VLOOKUP(AU34,CENY!$B$11:$G$1054,2,FALSE)</f>
        <v>Actro You(XL) 650/SiSy 70kg; EB21</v>
      </c>
      <c r="AW34" s="22">
        <f>VLOOKUP(AU34,CENY!$B$11:$G$1054,3,FALSE)</f>
        <v>1</v>
      </c>
      <c r="AX34" s="362">
        <v>10</v>
      </c>
      <c r="AY34" s="23">
        <f>AE22</f>
        <v>0</v>
      </c>
      <c r="AZ34" s="326">
        <f t="shared" si="1"/>
        <v>0</v>
      </c>
      <c r="BA34" s="95">
        <f>VLOOKUP(AU34,CENY!$B$11:$M$2025,12,FALSE)</f>
        <v>47.02431</v>
      </c>
      <c r="BB34" s="95">
        <f t="shared" si="0"/>
        <v>0</v>
      </c>
      <c r="BD34" s="319">
        <f>OBJ!B255</f>
        <v>9318173</v>
      </c>
      <c r="BE34" s="21" t="str">
        <f>VLOOKUP(BD34,CENY!$B$11:$G$1054,2,FALSE)</f>
        <v>Actro You(L) 350/SiSy 40kg; EB21; ľavý</v>
      </c>
      <c r="BF34" s="22">
        <f>VLOOKUP(BD34,CENY!$B$11:$G$1054,3,FALSE)</f>
        <v>10</v>
      </c>
      <c r="BG34" s="22"/>
      <c r="BH34" s="23">
        <f>AY23</f>
        <v>0</v>
      </c>
      <c r="BI34" s="326">
        <f t="shared" si="2"/>
        <v>0</v>
      </c>
      <c r="BJ34" s="95">
        <f>VLOOKUP(BD34,CENY!$B$11:$M$2025,12,FALSE)</f>
        <v>14.37729</v>
      </c>
      <c r="BK34" s="95">
        <f t="shared" si="3"/>
        <v>0</v>
      </c>
    </row>
    <row r="35" spans="2:63" ht="14.45" customHeight="1">
      <c r="AU35" s="319"/>
      <c r="AV35" s="21"/>
      <c r="AW35" s="22"/>
      <c r="AX35" s="22"/>
      <c r="AY35" s="23"/>
      <c r="AZ35" s="326" t="str">
        <f t="shared" si="1"/>
        <v/>
      </c>
      <c r="BA35" s="95"/>
      <c r="BB35" s="95" t="str">
        <f t="shared" si="0"/>
        <v/>
      </c>
      <c r="BD35" s="319">
        <f>OBJ!B256</f>
        <v>9318174</v>
      </c>
      <c r="BE35" s="21" t="str">
        <f>VLOOKUP(BD35,CENY!$B$11:$G$1054,2,FALSE)</f>
        <v>Actro You(L) 350/SiSy 40kg; EB21; pravý</v>
      </c>
      <c r="BF35" s="22">
        <f>VLOOKUP(BD35,CENY!$B$11:$G$1054,3,FALSE)</f>
        <v>10</v>
      </c>
      <c r="BG35" s="22"/>
      <c r="BH35" s="23">
        <f>AY23</f>
        <v>0</v>
      </c>
      <c r="BI35" s="326">
        <f t="shared" si="2"/>
        <v>0</v>
      </c>
      <c r="BJ35" s="95" t="e">
        <f>VLOOKUP(BD35,CENY!$B$11:$M$2025,12,FALSE)</f>
        <v>#N/A</v>
      </c>
      <c r="BK35" s="95" t="e">
        <f t="shared" si="3"/>
        <v>#N/A</v>
      </c>
    </row>
    <row r="36" spans="2:63" ht="14.45" customHeight="1">
      <c r="AU36" s="319">
        <f>OBJ!B284</f>
        <v>9257890</v>
      </c>
      <c r="AV36" s="21" t="str">
        <f>VLOOKUP(AU36,CENY!$B$11:$G$1054,2,FALSE)</f>
        <v>Actro You - Push to open Silent; &lt;10kg</v>
      </c>
      <c r="AW36" s="22">
        <f>VLOOKUP(AU36,CENY!$B$11:$G$1054,3,FALSE)</f>
        <v>1</v>
      </c>
      <c r="AX36" s="22"/>
      <c r="AY36" s="23">
        <f>AN19</f>
        <v>0</v>
      </c>
      <c r="AZ36" s="326">
        <f t="shared" si="1"/>
        <v>0</v>
      </c>
      <c r="BA36" s="95">
        <f>VLOOKUP(AU36,CENY!$B$11:$M$2025,12,FALSE)</f>
        <v>23.177009999999999</v>
      </c>
      <c r="BB36" s="95">
        <f t="shared" si="0"/>
        <v>0</v>
      </c>
      <c r="BD36" s="319">
        <f>OBJ!B257</f>
        <v>9318175</v>
      </c>
      <c r="BE36" s="21" t="str">
        <f>VLOOKUP(BD36,CENY!$B$11:$G$1054,2,FALSE)</f>
        <v>Actro You(L) 400/SiSy 40kg; EB21; ľavý</v>
      </c>
      <c r="BF36" s="22">
        <f>VLOOKUP(BD36,CENY!$B$11:$G$1054,3,FALSE)</f>
        <v>10</v>
      </c>
      <c r="BG36" s="22"/>
      <c r="BH36" s="23">
        <f>AY24</f>
        <v>0</v>
      </c>
      <c r="BI36" s="326">
        <f t="shared" si="2"/>
        <v>0</v>
      </c>
      <c r="BJ36" s="95">
        <f>VLOOKUP(BD36,CENY!$B$11:$M$2025,12,FALSE)</f>
        <v>14.56085</v>
      </c>
      <c r="BK36" s="95">
        <f t="shared" si="3"/>
        <v>0</v>
      </c>
    </row>
    <row r="37" spans="2:63" ht="14.45" customHeight="1">
      <c r="AU37" s="319">
        <f>OBJ!B285</f>
        <v>9257891</v>
      </c>
      <c r="AV37" s="21" t="str">
        <f>VLOOKUP(AU37,CENY!$B$11:$G$1054,2,FALSE)</f>
        <v>Actro You - Push to open Silent; 8-20kg</v>
      </c>
      <c r="AW37" s="22">
        <f>VLOOKUP(AU37,CENY!$B$11:$G$1054,3,FALSE)</f>
        <v>1</v>
      </c>
      <c r="AX37" s="22"/>
      <c r="AY37" s="23">
        <f>AN20</f>
        <v>0</v>
      </c>
      <c r="AZ37" s="326">
        <f t="shared" si="1"/>
        <v>0</v>
      </c>
      <c r="BA37" s="95">
        <f>VLOOKUP(AU37,CENY!$B$11:$M$2025,12,FALSE)</f>
        <v>23.177009999999999</v>
      </c>
      <c r="BB37" s="95">
        <f t="shared" si="0"/>
        <v>0</v>
      </c>
      <c r="BD37" s="319">
        <f>OBJ!B258</f>
        <v>9318176</v>
      </c>
      <c r="BE37" s="21" t="str">
        <f>VLOOKUP(BD37,CENY!$B$11:$G$1054,2,FALSE)</f>
        <v>Actro You(L) 400/SiSy 40kg; EB21; pravý</v>
      </c>
      <c r="BF37" s="22">
        <f>VLOOKUP(BD37,CENY!$B$11:$G$1054,3,FALSE)</f>
        <v>10</v>
      </c>
      <c r="BG37" s="22"/>
      <c r="BH37" s="23">
        <f>AY24</f>
        <v>0</v>
      </c>
      <c r="BI37" s="326">
        <f t="shared" si="2"/>
        <v>0</v>
      </c>
      <c r="BJ37" s="95">
        <f>VLOOKUP(BD37,CENY!$B$11:$M$2025,12,FALSE)</f>
        <v>14.56085</v>
      </c>
      <c r="BK37" s="95">
        <f t="shared" si="3"/>
        <v>0</v>
      </c>
    </row>
    <row r="38" spans="2:63" ht="14.45" customHeight="1">
      <c r="AU38" s="319">
        <f>OBJ!B286</f>
        <v>9257892</v>
      </c>
      <c r="AV38" s="21" t="str">
        <f>VLOOKUP(AU38,CENY!$B$11:$G$1054,2,FALSE)</f>
        <v>Actro You - Push to open Silent; 10-40kg</v>
      </c>
      <c r="AW38" s="22">
        <f>VLOOKUP(AU38,CENY!$B$11:$G$1054,3,FALSE)</f>
        <v>1</v>
      </c>
      <c r="AX38" s="22"/>
      <c r="AY38" s="23">
        <f>AN21</f>
        <v>0</v>
      </c>
      <c r="AZ38" s="326">
        <f t="shared" si="1"/>
        <v>0</v>
      </c>
      <c r="BA38" s="95">
        <f>VLOOKUP(AU38,CENY!$B$11:$M$2025,12,FALSE)</f>
        <v>23.177009999999999</v>
      </c>
      <c r="BB38" s="95">
        <f t="shared" si="0"/>
        <v>0</v>
      </c>
      <c r="BD38" s="319">
        <f>OBJ!B259</f>
        <v>9318177</v>
      </c>
      <c r="BE38" s="21" t="str">
        <f>VLOOKUP(BD38,CENY!$B$11:$G$1054,2,FALSE)</f>
        <v>Actro You(L) 450/SiSy 40kg; EB21; ľavý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 t="e">
        <f>VLOOKUP(BD38,CENY!$B$11:$M$2025,12,FALSE)</f>
        <v>#N/A</v>
      </c>
      <c r="BK38" s="95" t="e">
        <f t="shared" si="3"/>
        <v>#N/A</v>
      </c>
    </row>
    <row r="39" spans="2:63" ht="14.45" customHeight="1">
      <c r="AU39" s="319">
        <f>OBJ!B287</f>
        <v>9257893</v>
      </c>
      <c r="AV39" s="21" t="str">
        <f>VLOOKUP(AU39,CENY!$B$11:$G$1054,2,FALSE)</f>
        <v>Actro You - Push to open Silent; 20-70kg</v>
      </c>
      <c r="AW39" s="22">
        <f>VLOOKUP(AU39,CENY!$B$11:$G$1054,3,FALSE)</f>
        <v>1</v>
      </c>
      <c r="AX39" s="22"/>
      <c r="AY39" s="23">
        <f>AN22</f>
        <v>0</v>
      </c>
      <c r="AZ39" s="326">
        <f t="shared" si="1"/>
        <v>0</v>
      </c>
      <c r="BA39" s="95">
        <f>VLOOKUP(AU39,CENY!$B$11:$M$2025,12,FALSE)</f>
        <v>23.177009999999999</v>
      </c>
      <c r="BB39" s="95">
        <f t="shared" si="0"/>
        <v>0</v>
      </c>
      <c r="BD39" s="319">
        <f>OBJ!B260</f>
        <v>9318178</v>
      </c>
      <c r="BE39" s="21" t="str">
        <f>VLOOKUP(BD39,CENY!$B$11:$G$1054,2,FALSE)</f>
        <v>Actro You(L) 450/SiSy 40kg; EB21; pravý</v>
      </c>
      <c r="BF39" s="22">
        <f>VLOOKUP(BD39,CENY!$B$11:$G$1054,3,FALSE)</f>
        <v>10</v>
      </c>
      <c r="BG39" s="22"/>
      <c r="BH39" s="23">
        <f>AY25</f>
        <v>0</v>
      </c>
      <c r="BI39" s="326">
        <f t="shared" si="2"/>
        <v>0</v>
      </c>
      <c r="BJ39" s="95">
        <f>VLOOKUP(BD39,CENY!$B$11:$M$2025,12,FALSE)</f>
        <v>14.040839999999999</v>
      </c>
      <c r="BK39" s="95">
        <f t="shared" si="3"/>
        <v>0</v>
      </c>
    </row>
    <row r="40" spans="2:63" ht="14.45" customHeight="1">
      <c r="AU40" s="319">
        <f>OBJ!B288</f>
        <v>9236718</v>
      </c>
      <c r="AV40" s="21" t="str">
        <f>VLOOKUP(AU40,CENY!$B$11:$G$1054,2,FALSE)</f>
        <v>Push to open Synchro / tyč 2.000 mm</v>
      </c>
      <c r="AW40" s="22">
        <f>VLOOKUP(AU40,CENY!$B$11:$G$1054,3,FALSE)</f>
        <v>100</v>
      </c>
      <c r="AX40" s="22"/>
      <c r="AY40" s="23">
        <f>IF(SUM(AN19:AO22)+SUM(AN27:AO29)+SUM(S30:AD30)=0,0,AY83)</f>
        <v>0</v>
      </c>
      <c r="AZ40" s="326">
        <f t="shared" si="1"/>
        <v>0</v>
      </c>
      <c r="BA40" s="95">
        <f>VLOOKUP(AU40,CENY!$B$11:$M$2025,12,FALSE)</f>
        <v>8.7567500000000003</v>
      </c>
      <c r="BB40" s="95">
        <f t="shared" si="0"/>
        <v>0</v>
      </c>
      <c r="BD40" s="319">
        <f>OBJ!B261</f>
        <v>9318179</v>
      </c>
      <c r="BE40" s="21" t="str">
        <f>VLOOKUP(BD40,CENY!$B$11:$G$1054,2,FALSE)</f>
        <v>Actro You(L) 500/SiSy 40kg; EB21; ľavý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13.931559999999999</v>
      </c>
      <c r="BK40" s="95">
        <f t="shared" si="3"/>
        <v>0</v>
      </c>
    </row>
    <row r="41" spans="2:63" ht="14.45" customHeight="1">
      <c r="AU41" s="319"/>
      <c r="AV41" s="21"/>
      <c r="AW41" s="22"/>
      <c r="AX41" s="22"/>
      <c r="AY41" s="23"/>
      <c r="AZ41" s="326" t="str">
        <f t="shared" si="1"/>
        <v/>
      </c>
      <c r="BA41" s="95"/>
      <c r="BB41" s="95" t="str">
        <f t="shared" si="0"/>
        <v/>
      </c>
      <c r="BD41" s="319">
        <f>OBJ!B262</f>
        <v>9318180</v>
      </c>
      <c r="BE41" s="21" t="str">
        <f>VLOOKUP(BD41,CENY!$B$11:$G$1054,2,FALSE)</f>
        <v>Actro You(L) 500/SiSy 40kg; EB21; pravý</v>
      </c>
      <c r="BF41" s="22">
        <f>VLOOKUP(BD41,CENY!$B$11:$G$1054,3,FALSE)</f>
        <v>10</v>
      </c>
      <c r="BG41" s="22"/>
      <c r="BH41" s="23">
        <f>AY26</f>
        <v>0</v>
      </c>
      <c r="BI41" s="326">
        <f t="shared" si="2"/>
        <v>0</v>
      </c>
      <c r="BJ41" s="95">
        <f>VLOOKUP(BD41,CENY!$B$11:$M$2025,12,FALSE)</f>
        <v>13.931559999999999</v>
      </c>
      <c r="BK41" s="95">
        <f t="shared" si="3"/>
        <v>0</v>
      </c>
    </row>
    <row r="42" spans="2:63" ht="14.45" customHeight="1">
      <c r="AU42" s="319">
        <f>OBJ!B296</f>
        <v>9256956</v>
      </c>
      <c r="AV42" s="21" t="str">
        <f>VLOOKUP(AU42,CENY!$B$11:$G$1054,2,FALSE)</f>
        <v>Quadro You(S) 350/SiSy 10kg; EB21</v>
      </c>
      <c r="AW42" s="22">
        <f>VLOOKUP(AU42,CENY!$B$11:$G$1054,3,FALSE)</f>
        <v>1</v>
      </c>
      <c r="AX42" s="362">
        <v>4</v>
      </c>
      <c r="AY42" s="23">
        <f>S27</f>
        <v>0</v>
      </c>
      <c r="AZ42" s="326">
        <f t="shared" si="1"/>
        <v>0</v>
      </c>
      <c r="BA42" s="95">
        <f>VLOOKUP(AU42,CENY!$B$11:$M$2025,12,FALSE)</f>
        <v>23.536069999999999</v>
      </c>
      <c r="BB42" s="95">
        <f t="shared" si="0"/>
        <v>0</v>
      </c>
      <c r="BD42" s="319">
        <f>OBJ!B263</f>
        <v>9318181</v>
      </c>
      <c r="BE42" s="21" t="str">
        <f>VLOOKUP(BD42,CENY!$B$11:$G$1054,2,FALSE)</f>
        <v>Actro You(L) 550/SiSy 40kg; EB21; ľavý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>
        <f>VLOOKUP(BD42,CENY!$B$11:$M$2025,12,FALSE)</f>
        <v>15.147040000000001</v>
      </c>
      <c r="BK42" s="95">
        <f t="shared" si="3"/>
        <v>0</v>
      </c>
    </row>
    <row r="43" spans="2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OBJ!B264</f>
        <v>9318182</v>
      </c>
      <c r="BE43" s="21" t="str">
        <f>VLOOKUP(BD43,CENY!$B$11:$G$1054,2,FALSE)</f>
        <v>Actro You(L) 550/SiSy 40kg; EB21; pravý</v>
      </c>
      <c r="BF43" s="22">
        <f>VLOOKUP(BD43,CENY!$B$11:$G$1054,3,FALSE)</f>
        <v>10</v>
      </c>
      <c r="BG43" s="22"/>
      <c r="BH43" s="23">
        <f>AY27</f>
        <v>0</v>
      </c>
      <c r="BI43" s="326">
        <f t="shared" si="2"/>
        <v>0</v>
      </c>
      <c r="BJ43" s="95">
        <f>VLOOKUP(BD43,CENY!$B$11:$M$2025,12,FALSE)</f>
        <v>15.147040000000001</v>
      </c>
      <c r="BK43" s="95">
        <f t="shared" si="3"/>
        <v>0</v>
      </c>
    </row>
    <row r="44" spans="2:63" ht="14.45" customHeight="1">
      <c r="AU44" s="319">
        <f>OBJ!B306</f>
        <v>9256886</v>
      </c>
      <c r="AV44" s="21" t="str">
        <f>VLOOKUP(AU44,CENY!$B$11:$G$1054,2,FALSE)</f>
        <v>Quadro You(M) 350/SiSy 25kg; EB21</v>
      </c>
      <c r="AW44" s="22">
        <f>VLOOKUP(AU44,CENY!$B$11:$G$1054,3,FALSE)</f>
        <v>1</v>
      </c>
      <c r="AX44" s="362">
        <v>8</v>
      </c>
      <c r="AY44" s="23">
        <f>S28</f>
        <v>0</v>
      </c>
      <c r="AZ44" s="326">
        <f t="shared" si="1"/>
        <v>0</v>
      </c>
      <c r="BA44" s="95" t="e">
        <f>VLOOKUP(AU44,CENY!$B$11:$M$2025,12,FALSE)</f>
        <v>#N/A</v>
      </c>
      <c r="BB44" s="95" t="e">
        <f t="shared" si="0"/>
        <v>#N/A</v>
      </c>
      <c r="BD44" s="319">
        <f>OBJ!B265</f>
        <v>9318183</v>
      </c>
      <c r="BE44" s="21" t="str">
        <f>VLOOKUP(BD44,CENY!$B$11:$G$1054,2,FALSE)</f>
        <v>Actro You(L) 600/SiSy 40kg; EB21; ľavý</v>
      </c>
      <c r="BF44" s="22">
        <f>VLOOKUP(BD44,CENY!$B$11:$G$1054,3,FALSE)</f>
        <v>10</v>
      </c>
      <c r="BG44" s="22"/>
      <c r="BH44" s="23">
        <f>AY28</f>
        <v>0</v>
      </c>
      <c r="BI44" s="326">
        <f t="shared" si="2"/>
        <v>0</v>
      </c>
      <c r="BJ44" s="95">
        <f>VLOOKUP(BD44,CENY!$B$11:$M$2025,12,FALSE)</f>
        <v>15.35308</v>
      </c>
      <c r="BK44" s="95">
        <f t="shared" si="3"/>
        <v>0</v>
      </c>
    </row>
    <row r="45" spans="2:63" ht="14.45" customHeight="1">
      <c r="AU45" s="319">
        <f>OBJ!B307</f>
        <v>9256888</v>
      </c>
      <c r="AV45" s="21" t="str">
        <f>VLOOKUP(AU45,CENY!$B$11:$G$1054,2,FALSE)</f>
        <v>Quadro You(M) 400/SiSy 30kg; EB21</v>
      </c>
      <c r="AW45" s="22">
        <f>VLOOKUP(AU45,CENY!$B$11:$G$1054,3,FALSE)</f>
        <v>1</v>
      </c>
      <c r="AX45" s="362">
        <v>8</v>
      </c>
      <c r="AY45" s="23">
        <f>U28</f>
        <v>0</v>
      </c>
      <c r="AZ45" s="326">
        <f t="shared" si="1"/>
        <v>0</v>
      </c>
      <c r="BA45" s="95">
        <f>VLOOKUP(AU45,CENY!$B$11:$M$2025,12,FALSE)</f>
        <v>24.002659999999999</v>
      </c>
      <c r="BB45" s="95">
        <f t="shared" si="0"/>
        <v>0</v>
      </c>
      <c r="BD45" s="319">
        <f>OBJ!B266</f>
        <v>9318184</v>
      </c>
      <c r="BE45" s="21" t="str">
        <f>VLOOKUP(BD45,CENY!$B$11:$G$1054,2,FALSE)</f>
        <v>Actro You(L) 600/SiSy 40kg; EB21; pravý</v>
      </c>
      <c r="BF45" s="22">
        <f>VLOOKUP(BD45,CENY!$B$11:$G$1054,3,FALSE)</f>
        <v>10</v>
      </c>
      <c r="BG45" s="22"/>
      <c r="BH45" s="23">
        <f>AY28</f>
        <v>0</v>
      </c>
      <c r="BI45" s="326">
        <f t="shared" si="2"/>
        <v>0</v>
      </c>
      <c r="BJ45" s="95" t="e">
        <f>VLOOKUP(BD45,CENY!$B$11:$M$2025,12,FALSE)</f>
        <v>#N/A</v>
      </c>
      <c r="BK45" s="95" t="e">
        <f t="shared" si="3"/>
        <v>#N/A</v>
      </c>
    </row>
    <row r="46" spans="2:63" ht="14.45" customHeight="1">
      <c r="AU46" s="319">
        <f>OBJ!B308</f>
        <v>9256890</v>
      </c>
      <c r="AV46" s="21" t="str">
        <f>VLOOKUP(AU46,CENY!$B$11:$G$1054,2,FALSE)</f>
        <v>Quadro You(M) 450/SiSy 30kg; EB21</v>
      </c>
      <c r="AW46" s="22">
        <f>VLOOKUP(AU46,CENY!$B$11:$G$1054,3,FALSE)</f>
        <v>1</v>
      </c>
      <c r="AX46" s="362">
        <v>8</v>
      </c>
      <c r="AY46" s="23">
        <f>W28</f>
        <v>0</v>
      </c>
      <c r="AZ46" s="326">
        <f t="shared" si="1"/>
        <v>0</v>
      </c>
      <c r="BA46" s="95">
        <f>VLOOKUP(AU46,CENY!$B$11:$M$2025,12,FALSE)</f>
        <v>4.9393000000000002</v>
      </c>
      <c r="BB46" s="95">
        <f t="shared" si="0"/>
        <v>0</v>
      </c>
      <c r="BD46" s="319"/>
      <c r="BE46" s="21"/>
      <c r="BF46" s="22"/>
      <c r="BG46" s="22"/>
      <c r="BH46" s="23"/>
      <c r="BI46" s="326" t="str">
        <f t="shared" si="2"/>
        <v/>
      </c>
      <c r="BJ46" s="95"/>
      <c r="BK46" s="95" t="str">
        <f t="shared" si="3"/>
        <v/>
      </c>
    </row>
    <row r="47" spans="2:63" ht="14.45" customHeight="1">
      <c r="AU47" s="319">
        <f>OBJ!B309</f>
        <v>9256892</v>
      </c>
      <c r="AV47" s="21" t="str">
        <f>VLOOKUP(AU47,CENY!$B$11:$G$1054,2,FALSE)</f>
        <v>Quadro You(M) 500/SiSy 30kg; EB21</v>
      </c>
      <c r="AW47" s="22">
        <f>VLOOKUP(AU47,CENY!$B$11:$G$1054,3,FALSE)</f>
        <v>1</v>
      </c>
      <c r="AX47" s="362">
        <v>8</v>
      </c>
      <c r="AY47" s="23">
        <f>Y28</f>
        <v>0</v>
      </c>
      <c r="AZ47" s="326">
        <f t="shared" si="1"/>
        <v>0</v>
      </c>
      <c r="BA47" s="95">
        <f>VLOOKUP(AU47,CENY!$B$11:$M$2025,12,FALSE)</f>
        <v>23.748699999999999</v>
      </c>
      <c r="BB47" s="95">
        <f t="shared" si="0"/>
        <v>0</v>
      </c>
      <c r="BD47" s="319">
        <f>OBJ!B273</f>
        <v>9318198</v>
      </c>
      <c r="BE47" s="21" t="str">
        <f>VLOOKUP(BD47,CENY!$B$11:$G$1054,2,FALSE)</f>
        <v>Actro You(XL) 450/SiSy 70kg; EB21; ľavý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 t="e">
        <f>VLOOKUP(BD47,CENY!$B$11:$M$2025,12,FALSE)</f>
        <v>#N/A</v>
      </c>
      <c r="BK47" s="95" t="e">
        <f t="shared" si="3"/>
        <v>#N/A</v>
      </c>
    </row>
    <row r="48" spans="2:63" ht="14.45" customHeight="1">
      <c r="AU48" s="319">
        <f>OBJ!B310</f>
        <v>9256894</v>
      </c>
      <c r="AV48" s="21" t="str">
        <f>VLOOKUP(AU48,CENY!$B$11:$G$1054,2,FALSE)</f>
        <v>Quadro You(M) 550/SiSy 30kg; EB21</v>
      </c>
      <c r="AW48" s="22">
        <f>VLOOKUP(AU48,CENY!$B$11:$G$1054,3,FALSE)</f>
        <v>1</v>
      </c>
      <c r="AX48" s="362">
        <v>8</v>
      </c>
      <c r="AY48" s="23">
        <f>AA28</f>
        <v>0</v>
      </c>
      <c r="AZ48" s="326">
        <f t="shared" si="1"/>
        <v>0</v>
      </c>
      <c r="BA48" s="95">
        <f>VLOOKUP(AU48,CENY!$B$11:$M$2025,12,FALSE)</f>
        <v>5.1277499999999998</v>
      </c>
      <c r="BB48" s="95">
        <f t="shared" si="0"/>
        <v>0</v>
      </c>
      <c r="BD48" s="319">
        <f>OBJ!B274</f>
        <v>9318199</v>
      </c>
      <c r="BE48" s="21" t="str">
        <f>VLOOKUP(BD48,CENY!$B$11:$G$1054,2,FALSE)</f>
        <v>Actro You(XL) 450/SiSy 70kg; EB21; pravý</v>
      </c>
      <c r="BF48" s="22">
        <f>VLOOKUP(BD48,CENY!$B$11:$G$1054,3,FALSE)</f>
        <v>10</v>
      </c>
      <c r="BG48" s="22"/>
      <c r="BH48" s="23">
        <f>AY30</f>
        <v>0</v>
      </c>
      <c r="BI48" s="326">
        <f t="shared" si="2"/>
        <v>0</v>
      </c>
      <c r="BJ48" s="95" t="e">
        <f>VLOOKUP(BD48,CENY!$B$11:$M$2025,12,FALSE)</f>
        <v>#N/A</v>
      </c>
      <c r="BK48" s="95" t="e">
        <f t="shared" si="3"/>
        <v>#N/A</v>
      </c>
    </row>
    <row r="49" spans="47:63" ht="14.45" customHeight="1">
      <c r="AU49" s="319">
        <f>OBJ!B311</f>
        <v>9256896</v>
      </c>
      <c r="AV49" s="21" t="str">
        <f>VLOOKUP(AU49,CENY!$B$11:$G$1054,2,FALSE)</f>
        <v>Quadro You(M) 600/SiSy 25kg; EB21</v>
      </c>
      <c r="AW49" s="22">
        <f>VLOOKUP(AU49,CENY!$B$11:$G$1054,3,FALSE)</f>
        <v>1</v>
      </c>
      <c r="AX49" s="362">
        <v>8</v>
      </c>
      <c r="AY49" s="23">
        <f>AC28</f>
        <v>0</v>
      </c>
      <c r="AZ49" s="326">
        <f t="shared" si="1"/>
        <v>0</v>
      </c>
      <c r="BA49" s="95">
        <f>VLOOKUP(AU49,CENY!$B$11:$M$2025,12,FALSE)</f>
        <v>25.86984</v>
      </c>
      <c r="BB49" s="95">
        <f t="shared" si="0"/>
        <v>0</v>
      </c>
      <c r="BD49" s="319">
        <f>OBJ!B275</f>
        <v>9318201</v>
      </c>
      <c r="BE49" s="21" t="str">
        <f>VLOOKUP(BD49,CENY!$B$11:$G$1054,2,FALSE)</f>
        <v>Actro You(XL) 500/SiSy 70kg; EB21; ľavý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17.52394</v>
      </c>
      <c r="BK49" s="95">
        <f t="shared" si="3"/>
        <v>0</v>
      </c>
    </row>
    <row r="50" spans="47:63" ht="14.45" customHeight="1">
      <c r="AU50" s="319"/>
      <c r="AV50" s="21"/>
      <c r="AW50" s="22"/>
      <c r="AX50" s="22"/>
      <c r="AY50" s="23"/>
      <c r="AZ50" s="326" t="str">
        <f t="shared" si="1"/>
        <v/>
      </c>
      <c r="BA50" s="95"/>
      <c r="BB50" s="95" t="str">
        <f t="shared" si="0"/>
        <v/>
      </c>
      <c r="BD50" s="319">
        <f>OBJ!B276</f>
        <v>9318203</v>
      </c>
      <c r="BE50" s="21" t="str">
        <f>VLOOKUP(BD50,CENY!$B$11:$G$1054,2,FALSE)</f>
        <v>Actro You(XL) 500/SiSy 70kg; EB21; pravý</v>
      </c>
      <c r="BF50" s="22">
        <f>VLOOKUP(BD50,CENY!$B$11:$G$1054,3,FALSE)</f>
        <v>10</v>
      </c>
      <c r="BG50" s="22"/>
      <c r="BH50" s="23">
        <f>AY31</f>
        <v>0</v>
      </c>
      <c r="BI50" s="326">
        <f t="shared" si="2"/>
        <v>0</v>
      </c>
      <c r="BJ50" s="95">
        <f>VLOOKUP(BD50,CENY!$B$11:$M$2025,12,FALSE)</f>
        <v>17.52394</v>
      </c>
      <c r="BK50" s="95">
        <f t="shared" si="3"/>
        <v>0</v>
      </c>
    </row>
    <row r="51" spans="47:63" ht="14.45" customHeight="1">
      <c r="AU51" s="319">
        <f>OBJ!B329</f>
        <v>9257894</v>
      </c>
      <c r="AV51" s="21" t="str">
        <f>VLOOKUP(AU51,CENY!$B$11:$G$1054,2,FALSE)</f>
        <v>Quadro You - Push to open Silent; &lt;10kg</v>
      </c>
      <c r="AW51" s="22">
        <f>VLOOKUP(AU51,CENY!$B$11:$G$1054,3,FALSE)</f>
        <v>1</v>
      </c>
      <c r="AX51" s="22"/>
      <c r="AY51" s="23">
        <f>AN27</f>
        <v>0</v>
      </c>
      <c r="AZ51" s="326">
        <f t="shared" si="1"/>
        <v>0</v>
      </c>
      <c r="BA51" s="95">
        <f>VLOOKUP(AU51,CENY!$B$11:$M$2025,12,FALSE)</f>
        <v>23.114239999999999</v>
      </c>
      <c r="BB51" s="95">
        <f t="shared" si="0"/>
        <v>0</v>
      </c>
      <c r="BD51" s="319">
        <f>OBJ!B277</f>
        <v>9318208</v>
      </c>
      <c r="BE51" s="21" t="str">
        <f>VLOOKUP(BD51,CENY!$B$11:$G$1054,2,FALSE)</f>
        <v>Actro You(XL) 550/SiSy 70kg; EB21; ľavý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18.45496</v>
      </c>
      <c r="BK51" s="95">
        <f t="shared" si="3"/>
        <v>0</v>
      </c>
    </row>
    <row r="52" spans="47:63" ht="14.45" customHeight="1">
      <c r="AU52" s="319">
        <f>OBJ!B330</f>
        <v>9257895</v>
      </c>
      <c r="AV52" s="21" t="str">
        <f>VLOOKUP(AU52,CENY!$B$11:$G$1054,2,FALSE)</f>
        <v>Quadro You - Push to open Silent; 8-20kg</v>
      </c>
      <c r="AW52" s="22">
        <f>VLOOKUP(AU52,CENY!$B$11:$G$1054,3,FALSE)</f>
        <v>1</v>
      </c>
      <c r="AX52" s="22"/>
      <c r="AY52" s="23">
        <f>AN28</f>
        <v>0</v>
      </c>
      <c r="AZ52" s="326">
        <f t="shared" si="1"/>
        <v>0</v>
      </c>
      <c r="BA52" s="95">
        <f>VLOOKUP(AU52,CENY!$B$11:$M$2025,12,FALSE)</f>
        <v>23.114239999999999</v>
      </c>
      <c r="BB52" s="95">
        <f t="shared" si="0"/>
        <v>0</v>
      </c>
      <c r="BD52" s="319">
        <f>OBJ!B278</f>
        <v>9318209</v>
      </c>
      <c r="BE52" s="21" t="str">
        <f>VLOOKUP(BD52,CENY!$B$11:$G$1054,2,FALSE)</f>
        <v>Actro You(XL) 550/SiSy 70kg; EB21; pravý</v>
      </c>
      <c r="BF52" s="22">
        <f>VLOOKUP(BD52,CENY!$B$11:$G$1054,3,FALSE)</f>
        <v>10</v>
      </c>
      <c r="BG52" s="22"/>
      <c r="BH52" s="23">
        <f>AY32</f>
        <v>0</v>
      </c>
      <c r="BI52" s="326">
        <f t="shared" si="2"/>
        <v>0</v>
      </c>
      <c r="BJ52" s="95">
        <f>VLOOKUP(BD52,CENY!$B$11:$M$2025,12,FALSE)</f>
        <v>18.45496</v>
      </c>
      <c r="BK52" s="95">
        <f t="shared" si="3"/>
        <v>0</v>
      </c>
    </row>
    <row r="53" spans="47:63" ht="14.45" customHeight="1">
      <c r="AU53" s="319">
        <f>OBJ!B331</f>
        <v>9257896</v>
      </c>
      <c r="AV53" s="21" t="str">
        <f>VLOOKUP(AU53,CENY!$B$11:$G$1054,2,FALSE)</f>
        <v>Quadro You - Push to open Silent; 10-30kg</v>
      </c>
      <c r="AW53" s="22">
        <f>VLOOKUP(AU53,CENY!$B$11:$G$1054,3,FALSE)</f>
        <v>1</v>
      </c>
      <c r="AX53" s="22"/>
      <c r="AY53" s="23">
        <f>AN29</f>
        <v>0</v>
      </c>
      <c r="AZ53" s="326">
        <f t="shared" si="1"/>
        <v>0</v>
      </c>
      <c r="BA53" s="95">
        <f>VLOOKUP(AU53,CENY!$B$11:$M$2025,12,FALSE)</f>
        <v>23.114239999999999</v>
      </c>
      <c r="BB53" s="95">
        <f t="shared" si="0"/>
        <v>0</v>
      </c>
      <c r="BD53" s="319">
        <f>OBJ!B279</f>
        <v>9318211</v>
      </c>
      <c r="BE53" s="21" t="str">
        <f>VLOOKUP(BD53,CENY!$B$11:$G$1054,2,FALSE)</f>
        <v>Actro You(XL) 600/SiSy 70kg; EB21; ľavý</v>
      </c>
      <c r="BF53" s="22">
        <f>VLOOKUP(BD53,CENY!$B$11:$G$1054,3,FALSE)</f>
        <v>10</v>
      </c>
      <c r="BG53" s="22"/>
      <c r="BH53" s="23">
        <f>AY33</f>
        <v>0</v>
      </c>
      <c r="BI53" s="326">
        <f t="shared" si="2"/>
        <v>0</v>
      </c>
      <c r="BJ53" s="95">
        <f>VLOOKUP(BD53,CENY!$B$11:$M$2025,12,FALSE)</f>
        <v>21.352720000000001</v>
      </c>
      <c r="BK53" s="95">
        <f t="shared" si="3"/>
        <v>0</v>
      </c>
    </row>
    <row r="54" spans="47:63" ht="14.45" customHeight="1">
      <c r="AU54" s="319"/>
      <c r="AV54" s="21"/>
      <c r="AW54" s="22"/>
      <c r="AX54" s="22"/>
      <c r="AY54" s="23"/>
      <c r="AZ54" s="326" t="str">
        <f t="shared" si="1"/>
        <v/>
      </c>
      <c r="BA54" s="95"/>
      <c r="BB54" s="95" t="str">
        <f t="shared" si="0"/>
        <v/>
      </c>
      <c r="BD54" s="319">
        <f>OBJ!B280</f>
        <v>9318212</v>
      </c>
      <c r="BE54" s="21" t="str">
        <f>VLOOKUP(BD54,CENY!$B$11:$G$1054,2,FALSE)</f>
        <v>Actro You(XL) 600/SiSy 70kg; EB21; pravý</v>
      </c>
      <c r="BF54" s="22">
        <f>VLOOKUP(BD54,CENY!$B$11:$G$1054,3,FALSE)</f>
        <v>10</v>
      </c>
      <c r="BG54" s="22"/>
      <c r="BH54" s="23">
        <f>AY33</f>
        <v>0</v>
      </c>
      <c r="BI54" s="326">
        <f t="shared" si="2"/>
        <v>0</v>
      </c>
      <c r="BJ54" s="95">
        <f>VLOOKUP(BD54,CENY!$B$11:$M$2025,12,FALSE)</f>
        <v>21.352720000000001</v>
      </c>
      <c r="BK54" s="95">
        <f t="shared" si="3"/>
        <v>0</v>
      </c>
    </row>
    <row r="55" spans="47:63" ht="14.45" customHeight="1">
      <c r="AU55" s="319">
        <f>OBJ!B335</f>
        <v>9256931</v>
      </c>
      <c r="AV55" s="21" t="str">
        <f>VLOOKUP(AU55,CENY!$B$11:$G$1054,2,FALSE)</f>
        <v>Quadro You(M) 350/P2O 25kg; EB21</v>
      </c>
      <c r="AW55" s="22">
        <f>VLOOKUP(AU55,CENY!$B$11:$G$1054,3,FALSE)</f>
        <v>1</v>
      </c>
      <c r="AX55" s="362">
        <v>8</v>
      </c>
      <c r="AY55" s="23">
        <f>S30</f>
        <v>0</v>
      </c>
      <c r="AZ55" s="326">
        <f t="shared" si="1"/>
        <v>0</v>
      </c>
      <c r="BA55" s="95">
        <f>VLOOKUP(AU55,CENY!$B$11:$M$2025,12,FALSE)</f>
        <v>26.336690000000001</v>
      </c>
      <c r="BB55" s="95">
        <f t="shared" si="0"/>
        <v>0</v>
      </c>
      <c r="BD55" s="319">
        <f>OBJ!B281</f>
        <v>9318213</v>
      </c>
      <c r="BE55" s="21" t="str">
        <f>VLOOKUP(BD55,CENY!$B$11:$G$1054,2,FALSE)</f>
        <v>Actro You(XL) 650/SiSy 70kg; EB21; ľavý</v>
      </c>
      <c r="BF55" s="22">
        <f>VLOOKUP(BD55,CENY!$B$11:$G$1054,3,FALSE)</f>
        <v>5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22.243659999999998</v>
      </c>
      <c r="BK55" s="95">
        <f t="shared" si="3"/>
        <v>0</v>
      </c>
    </row>
    <row r="56" spans="47:63" ht="14.45" customHeight="1">
      <c r="AU56" s="319">
        <f>OBJ!B336</f>
        <v>9256933</v>
      </c>
      <c r="AV56" s="21" t="str">
        <f>VLOOKUP(AU56,CENY!$B$11:$G$1054,2,FALSE)</f>
        <v>Quadro You(M) 400/P2O 30kg; EB21</v>
      </c>
      <c r="AW56" s="22">
        <f>VLOOKUP(AU56,CENY!$B$11:$G$1054,3,FALSE)</f>
        <v>1</v>
      </c>
      <c r="AX56" s="362">
        <v>8</v>
      </c>
      <c r="AY56" s="23">
        <f>U30</f>
        <v>0</v>
      </c>
      <c r="AZ56" s="326">
        <f t="shared" si="1"/>
        <v>0</v>
      </c>
      <c r="BA56" s="95">
        <f>VLOOKUP(AU56,CENY!$B$11:$M$2025,12,FALSE)</f>
        <v>26.80339</v>
      </c>
      <c r="BB56" s="95">
        <f t="shared" si="0"/>
        <v>0</v>
      </c>
      <c r="BD56" s="319">
        <f>OBJ!B282</f>
        <v>9318214</v>
      </c>
      <c r="BE56" s="21" t="str">
        <f>VLOOKUP(BD56,CENY!$B$11:$G$1054,2,FALSE)</f>
        <v>Actro You(XL) 650/SiSy 70kg; EB21; pravý</v>
      </c>
      <c r="BF56" s="22">
        <f>VLOOKUP(BD56,CENY!$B$11:$G$1054,3,FALSE)</f>
        <v>5</v>
      </c>
      <c r="BG56" s="22"/>
      <c r="BH56" s="23">
        <f>AY34</f>
        <v>0</v>
      </c>
      <c r="BI56" s="326">
        <f t="shared" si="2"/>
        <v>0</v>
      </c>
      <c r="BJ56" s="95">
        <f>VLOOKUP(BD56,CENY!$B$11:$M$2025,12,FALSE)</f>
        <v>22.243659999999998</v>
      </c>
      <c r="BK56" s="95">
        <f t="shared" si="3"/>
        <v>0</v>
      </c>
    </row>
    <row r="57" spans="47:63" ht="14.45" customHeight="1">
      <c r="AU57" s="319">
        <f>OBJ!B337</f>
        <v>9256935</v>
      </c>
      <c r="AV57" s="21" t="str">
        <f>VLOOKUP(AU57,CENY!$B$11:$G$1054,2,FALSE)</f>
        <v>Quadro You(M) 450/P2O 30kg; EB21</v>
      </c>
      <c r="AW57" s="22">
        <f>VLOOKUP(AU57,CENY!$B$11:$G$1054,3,FALSE)</f>
        <v>1</v>
      </c>
      <c r="AX57" s="362">
        <v>8</v>
      </c>
      <c r="AY57" s="23">
        <f>W30</f>
        <v>0</v>
      </c>
      <c r="AZ57" s="326">
        <f t="shared" si="1"/>
        <v>0</v>
      </c>
      <c r="BA57" s="95">
        <f>VLOOKUP(AU57,CENY!$B$11:$M$2025,12,FALSE)</f>
        <v>27.270389999999999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5" customHeight="1">
      <c r="AU58" s="319">
        <f>OBJ!B338</f>
        <v>9256937</v>
      </c>
      <c r="AV58" s="21" t="str">
        <f>VLOOKUP(AU58,CENY!$B$11:$G$1054,2,FALSE)</f>
        <v>Quadro You(M) 500/P2O 30kg; EB21</v>
      </c>
      <c r="AW58" s="22">
        <f>VLOOKUP(AU58,CENY!$B$11:$G$1054,3,FALSE)</f>
        <v>1</v>
      </c>
      <c r="AX58" s="362">
        <v>8</v>
      </c>
      <c r="AY58" s="23">
        <f>Y30</f>
        <v>0</v>
      </c>
      <c r="AZ58" s="326">
        <f t="shared" si="1"/>
        <v>0</v>
      </c>
      <c r="BA58" s="95">
        <f>VLOOKUP(AU58,CENY!$B$11:$M$2025,12,FALSE)</f>
        <v>5.5988800000000003</v>
      </c>
      <c r="BB58" s="95">
        <f t="shared" si="0"/>
        <v>0</v>
      </c>
      <c r="BD58" s="319">
        <f>OBJ!B284</f>
        <v>9257890</v>
      </c>
      <c r="BE58" s="21" t="str">
        <f>VLOOKUP(BD58,CENY!$B$11:$G$1054,2,FALSE)</f>
        <v>Actro You - Push to open Silent; &lt;10kg</v>
      </c>
      <c r="BF58" s="22">
        <f>VLOOKUP(BD58,CENY!$B$11:$G$1054,3,FALSE)</f>
        <v>1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23.177009999999999</v>
      </c>
      <c r="BK58" s="95">
        <f t="shared" si="3"/>
        <v>0</v>
      </c>
    </row>
    <row r="59" spans="47:63" ht="14.45" customHeight="1">
      <c r="AU59" s="319">
        <f>OBJ!B339</f>
        <v>9256939</v>
      </c>
      <c r="AV59" s="21" t="str">
        <f>VLOOKUP(AU59,CENY!$B$11:$G$1054,2,FALSE)</f>
        <v>Quadro You(M) 550/P2O 30kg; EB21</v>
      </c>
      <c r="AW59" s="22">
        <f>VLOOKUP(AU59,CENY!$B$11:$G$1054,3,FALSE)</f>
        <v>1</v>
      </c>
      <c r="AX59" s="362">
        <v>8</v>
      </c>
      <c r="AY59" s="23">
        <f>AA30</f>
        <v>0</v>
      </c>
      <c r="AZ59" s="326">
        <f t="shared" si="1"/>
        <v>0</v>
      </c>
      <c r="BA59" s="95">
        <f>VLOOKUP(AU59,CENY!$B$11:$M$2025,12,FALSE)</f>
        <v>28.20382</v>
      </c>
      <c r="BB59" s="95">
        <f t="shared" si="0"/>
        <v>0</v>
      </c>
      <c r="BD59" s="319">
        <f>OBJ!B285</f>
        <v>9257891</v>
      </c>
      <c r="BE59" s="21" t="str">
        <f>VLOOKUP(BD59,CENY!$B$11:$G$1054,2,FALSE)</f>
        <v>Actro You - Push to open Silent; 8-20kg</v>
      </c>
      <c r="BF59" s="22">
        <f>VLOOKUP(BD59,CENY!$B$11:$G$1054,3,FALSE)</f>
        <v>1</v>
      </c>
      <c r="BG59" s="22"/>
      <c r="BH59" s="23">
        <f>AY37</f>
        <v>0</v>
      </c>
      <c r="BI59" s="326">
        <f t="shared" si="2"/>
        <v>0</v>
      </c>
      <c r="BJ59" s="95">
        <f>VLOOKUP(BD59,CENY!$B$11:$M$2025,12,FALSE)</f>
        <v>23.177009999999999</v>
      </c>
      <c r="BK59" s="95">
        <f t="shared" si="3"/>
        <v>0</v>
      </c>
    </row>
    <row r="60" spans="47:63" ht="14.45" customHeight="1">
      <c r="AU60" s="319">
        <f>OBJ!B340</f>
        <v>9256941</v>
      </c>
      <c r="AV60" s="21" t="str">
        <f>VLOOKUP(AU60,CENY!$B$11:$G$1054,2,FALSE)</f>
        <v>Quadro You(M) 600/P2O 25kg; EB21</v>
      </c>
      <c r="AW60" s="22">
        <f>VLOOKUP(AU60,CENY!$B$11:$G$1054,3,FALSE)</f>
        <v>1</v>
      </c>
      <c r="AX60" s="362">
        <v>8</v>
      </c>
      <c r="AY60" s="23">
        <f>AC30</f>
        <v>0</v>
      </c>
      <c r="AZ60" s="326">
        <f t="shared" si="1"/>
        <v>0</v>
      </c>
      <c r="BA60" s="95">
        <f>VLOOKUP(AU60,CENY!$B$11:$M$2025,12,FALSE)</f>
        <v>28.670570000000001</v>
      </c>
      <c r="BB60" s="95">
        <f t="shared" si="0"/>
        <v>0</v>
      </c>
      <c r="BD60" s="319">
        <f>OBJ!B286</f>
        <v>9257892</v>
      </c>
      <c r="BE60" s="21" t="str">
        <f>VLOOKUP(BD60,CENY!$B$11:$G$1054,2,FALSE)</f>
        <v>Actro You - Push to open Silent; 10-40kg</v>
      </c>
      <c r="BF60" s="22">
        <f>VLOOKUP(BD60,CENY!$B$11:$G$1054,3,FALSE)</f>
        <v>1</v>
      </c>
      <c r="BG60" s="22"/>
      <c r="BH60" s="23">
        <f>AY38</f>
        <v>0</v>
      </c>
      <c r="BI60" s="326">
        <f t="shared" si="2"/>
        <v>0</v>
      </c>
      <c r="BJ60" s="95">
        <f>VLOOKUP(BD60,CENY!$B$11:$M$2025,12,FALSE)</f>
        <v>23.177009999999999</v>
      </c>
      <c r="BK60" s="95">
        <f t="shared" si="3"/>
        <v>0</v>
      </c>
    </row>
    <row r="61" spans="47:63" ht="14.45" customHeight="1">
      <c r="AU61" s="319"/>
      <c r="AV61" s="21"/>
      <c r="AW61" s="22"/>
      <c r="AX61" s="22"/>
      <c r="AY61" s="23"/>
      <c r="AZ61" s="326" t="str">
        <f t="shared" si="1"/>
        <v/>
      </c>
      <c r="BA61" s="95"/>
      <c r="BB61" s="95" t="str">
        <f t="shared" si="0"/>
        <v/>
      </c>
      <c r="BD61" s="319">
        <f>OBJ!B287</f>
        <v>9257893</v>
      </c>
      <c r="BE61" s="21" t="str">
        <f>VLOOKUP(BD61,CENY!$B$11:$G$1054,2,FALSE)</f>
        <v>Actro You - Push to open Silent; 20-70kg</v>
      </c>
      <c r="BF61" s="22">
        <f>VLOOKUP(BD61,CENY!$B$11:$G$1054,3,FALSE)</f>
        <v>1</v>
      </c>
      <c r="BG61" s="22"/>
      <c r="BH61" s="23">
        <f>AY39</f>
        <v>0</v>
      </c>
      <c r="BI61" s="326">
        <f t="shared" si="2"/>
        <v>0</v>
      </c>
      <c r="BJ61" s="95">
        <f>VLOOKUP(BD61,CENY!$B$11:$M$2025,12,FALSE)</f>
        <v>23.177009999999999</v>
      </c>
      <c r="BK61" s="95">
        <f t="shared" si="3"/>
        <v>0</v>
      </c>
    </row>
    <row r="62" spans="47:63" ht="14.45" customHeight="1">
      <c r="AU62" s="319">
        <f>OBJ!B358</f>
        <v>9219966</v>
      </c>
      <c r="AV62" s="21" t="str">
        <f>VLOOKUP(AU62,CENY!$B$11:$G$1054,2,FALSE)</f>
        <v>Push to open Synchro / adaptér typ A</v>
      </c>
      <c r="AW62" s="22">
        <f>VLOOKUP(AU62,CENY!$B$11:$G$1054,3,FALSE)</f>
        <v>200</v>
      </c>
      <c r="AX62" s="22"/>
      <c r="AY62" s="23">
        <f>2*SUM(Q30:AD30)</f>
        <v>0</v>
      </c>
      <c r="AZ62" s="326">
        <f t="shared" si="1"/>
        <v>0</v>
      </c>
      <c r="BA62" s="95">
        <f>VLOOKUP(AU62,CENY!$B$11:$M$2025,12,FALSE)</f>
        <v>0.79318999999999995</v>
      </c>
      <c r="BB62" s="95">
        <f t="shared" si="0"/>
        <v>0</v>
      </c>
      <c r="BD62" s="319">
        <f>OBJ!B288</f>
        <v>9236718</v>
      </c>
      <c r="BE62" s="21" t="str">
        <f>VLOOKUP(BD62,CENY!$B$11:$G$1054,2,FALSE)</f>
        <v>Push to open Synchro / tyč 2.000 mm</v>
      </c>
      <c r="BF62" s="22">
        <f>VLOOKUP(BD62,CENY!$B$11:$G$1054,3,FALSE)</f>
        <v>100</v>
      </c>
      <c r="BG62" s="22"/>
      <c r="BH62" s="23">
        <f>AY40</f>
        <v>0</v>
      </c>
      <c r="BI62" s="326">
        <f t="shared" si="2"/>
        <v>0</v>
      </c>
      <c r="BJ62" s="95">
        <f>VLOOKUP(BD62,CENY!$B$11:$M$2025,12,FALSE)</f>
        <v>8.7567500000000003</v>
      </c>
      <c r="BK62" s="95">
        <f t="shared" si="3"/>
        <v>0</v>
      </c>
    </row>
    <row r="63" spans="47:63" ht="14.45" customHeight="1">
      <c r="AU63" s="319"/>
      <c r="AV63" s="21"/>
      <c r="AW63" s="22"/>
      <c r="AX63" s="22"/>
      <c r="AY63" s="23"/>
      <c r="AZ63" s="326" t="str">
        <f t="shared" si="1"/>
        <v/>
      </c>
      <c r="BA63" s="95"/>
      <c r="BB63" s="95" t="str">
        <f t="shared" si="0"/>
        <v/>
      </c>
      <c r="BD63" s="319"/>
      <c r="BE63" s="21"/>
      <c r="BF63" s="22"/>
      <c r="BG63" s="22"/>
      <c r="BH63" s="23"/>
      <c r="BI63" s="326" t="str">
        <f t="shared" si="2"/>
        <v/>
      </c>
      <c r="BJ63" s="95"/>
      <c r="BK63" s="95" t="str">
        <f t="shared" si="3"/>
        <v/>
      </c>
    </row>
    <row r="64" spans="47:63" ht="14.45" customHeight="1">
      <c r="AU64" s="320">
        <v>9257258</v>
      </c>
      <c r="AV64" s="321" t="str">
        <f>VLOOKUP(AU64,CENY!$B$11:$G$1054,2,FALSE)</f>
        <v>AvanY-prích.čela Inlay s rozp.púzdrom/ v187</v>
      </c>
      <c r="AW64" s="22">
        <f>VLOOKUP(AU64,CENY!$B$11:$G$1054,3,FALSE)</f>
        <v>100</v>
      </c>
      <c r="AX64" s="22"/>
      <c r="AY64" s="68">
        <v>0</v>
      </c>
      <c r="AZ64" s="326">
        <f t="shared" si="1"/>
        <v>0</v>
      </c>
      <c r="BA64" s="95">
        <f>VLOOKUP(AU64,CENY!$B$11:$M$2025,12,FALSE)</f>
        <v>2.4704600000000001</v>
      </c>
      <c r="BB64" s="95">
        <f t="shared" si="0"/>
        <v>0</v>
      </c>
      <c r="BD64" s="319">
        <f>OBJ!B301</f>
        <v>9256950</v>
      </c>
      <c r="BE64" s="21" t="str">
        <f>VLOOKUP(BD64,CENY!$B$11:$G$1054,2,FALSE)</f>
        <v>Quadro You(S) 350/SiSy 10kg; EB21; ľavý</v>
      </c>
      <c r="BF64" s="22">
        <f>VLOOKUP(BD64,CENY!$B$11:$G$1054,3,FALSE)</f>
        <v>20</v>
      </c>
      <c r="BG64" s="22"/>
      <c r="BH64" s="23">
        <f>AY42</f>
        <v>0</v>
      </c>
      <c r="BI64" s="326">
        <f t="shared" si="2"/>
        <v>0</v>
      </c>
      <c r="BJ64" s="95">
        <f>VLOOKUP(BD64,CENY!$B$11:$M$2025,12,FALSE)</f>
        <v>11.02122</v>
      </c>
      <c r="BK64" s="95">
        <f t="shared" si="3"/>
        <v>0</v>
      </c>
    </row>
    <row r="65" spans="1:63" ht="14.45" customHeight="1">
      <c r="AU65" s="319"/>
      <c r="AV65" s="21"/>
      <c r="AW65" s="22"/>
      <c r="AX65" s="22"/>
      <c r="AY65" s="23"/>
      <c r="AZ65" s="326" t="str">
        <f t="shared" si="1"/>
        <v/>
      </c>
      <c r="BA65" s="95"/>
      <c r="BB65" s="95" t="str">
        <f t="shared" si="0"/>
        <v/>
      </c>
      <c r="BD65" s="319">
        <f>OBJ!B302</f>
        <v>9256951</v>
      </c>
      <c r="BE65" s="21" t="str">
        <f>VLOOKUP(BD65,CENY!$B$11:$G$1054,2,FALSE)</f>
        <v>Quadro You(S) 350/SiSy 10kg; EB21; pravý</v>
      </c>
      <c r="BF65" s="22">
        <f>VLOOKUP(BD65,CENY!$B$11:$G$1054,3,FALSE)</f>
        <v>20</v>
      </c>
      <c r="BG65" s="22"/>
      <c r="BH65" s="23">
        <f>AY42</f>
        <v>0</v>
      </c>
      <c r="BI65" s="326">
        <f t="shared" si="2"/>
        <v>0</v>
      </c>
      <c r="BJ65" s="95">
        <f>VLOOKUP(BD65,CENY!$B$11:$M$2025,12,FALSE)</f>
        <v>11.02122</v>
      </c>
      <c r="BK65" s="95">
        <f t="shared" si="3"/>
        <v>0</v>
      </c>
    </row>
    <row r="66" spans="1:63" ht="12.95" customHeight="1" thickBot="1">
      <c r="A66" s="579"/>
      <c r="AU66" s="319">
        <f>OBJ!B214</f>
        <v>0</v>
      </c>
      <c r="AV66" s="21" t="e">
        <f>VLOOKUP(AU66,CENY!$B$11:$G$1054,2,FALSE)</f>
        <v>#N/A</v>
      </c>
      <c r="AW66" s="22" t="e">
        <f>VLOOKUP(AU66,CENY!$B$11:$G$1054,3,FALSE)</f>
        <v>#N/A</v>
      </c>
      <c r="AX66" s="22"/>
      <c r="AY66" s="68">
        <f>IF(FORM!AM21&lt;&gt;FORM!AW16,(2*(+SUM(O19:T19)+SUM(O20:AD20)+SUM(W22:AF22)+SUM(O27:T27)+SUM(O28:AD28)+SUM(O30:AD30))),0)</f>
        <v>0</v>
      </c>
      <c r="AZ66" s="326">
        <f t="shared" si="1"/>
        <v>0</v>
      </c>
      <c r="BA66" s="324" t="str">
        <f>IF(AU66=0,"",VLOOKUP(AU66,CENY!$B$11:$M$2025,12,FALSE))</f>
        <v/>
      </c>
      <c r="BB66" s="95" t="str">
        <f t="shared" si="0"/>
        <v/>
      </c>
      <c r="BD66" s="319"/>
      <c r="BE66" s="21"/>
      <c r="BF66" s="22"/>
      <c r="BG66" s="22"/>
      <c r="BH66" s="23"/>
      <c r="BI66" s="326" t="str">
        <f t="shared" si="2"/>
        <v/>
      </c>
      <c r="BJ66" s="95"/>
      <c r="BK66" s="95" t="str">
        <f t="shared" si="3"/>
        <v/>
      </c>
    </row>
    <row r="67" spans="1:63" ht="23.1" customHeight="1" thickBot="1">
      <c r="A67" s="579"/>
      <c r="B67" s="486" t="str">
        <f>verze!E13</f>
        <v>&lt;&lt;  späť</v>
      </c>
      <c r="C67" s="487"/>
      <c r="D67" s="487"/>
      <c r="E67" s="488"/>
      <c r="G67" s="515" t="str">
        <f>verze!E6</f>
        <v xml:space="preserve"> Úvod</v>
      </c>
      <c r="H67" s="516"/>
      <c r="I67" s="516"/>
      <c r="J67" s="516"/>
      <c r="K67" s="517"/>
      <c r="O67" s="515" t="str">
        <f>verze!E7</f>
        <v xml:space="preserve"> Výber zásuviek</v>
      </c>
      <c r="P67" s="516"/>
      <c r="Q67" s="516"/>
      <c r="R67" s="516"/>
      <c r="S67" s="517"/>
      <c r="U67" s="515" t="str">
        <f>verze!E8</f>
        <v xml:space="preserve"> </v>
      </c>
      <c r="V67" s="516"/>
      <c r="W67" s="516"/>
      <c r="X67" s="516"/>
      <c r="Y67" s="517"/>
      <c r="AA67" s="515" t="str">
        <f>verze!E9</f>
        <v xml:space="preserve"> </v>
      </c>
      <c r="AB67" s="516"/>
      <c r="AC67" s="516"/>
      <c r="AD67" s="516"/>
      <c r="AE67" s="517"/>
      <c r="AI67" s="515" t="str">
        <f>verze!E10</f>
        <v xml:space="preserve"> Objednávka</v>
      </c>
      <c r="AJ67" s="516"/>
      <c r="AK67" s="516"/>
      <c r="AL67" s="516"/>
      <c r="AM67" s="517"/>
      <c r="AO67" s="477" t="str">
        <f>verze!E14</f>
        <v>vpred  &gt;&gt;</v>
      </c>
      <c r="AP67" s="478"/>
      <c r="AQ67" s="478"/>
      <c r="AR67" s="479"/>
      <c r="AU67" s="319"/>
      <c r="AV67" s="21"/>
      <c r="AW67" s="22"/>
      <c r="AX67" s="22"/>
      <c r="AY67" s="23"/>
      <c r="AZ67" s="326" t="str">
        <f t="shared" si="1"/>
        <v/>
      </c>
      <c r="BA67" s="95"/>
      <c r="BB67" s="95" t="str">
        <f t="shared" si="0"/>
        <v/>
      </c>
      <c r="BD67" s="319">
        <f>OBJ!B316</f>
        <v>9256860</v>
      </c>
      <c r="BE67" s="21" t="str">
        <f>VLOOKUP(BD67,CENY!$B$11:$G$1054,2,FALSE)</f>
        <v>Quadro You(M) 350/SiSy 25kg; EB21; ľavý</v>
      </c>
      <c r="BF67" s="22">
        <f>VLOOKUP(BD67,CENY!$B$11:$G$1054,3,FALSE)</f>
        <v>20</v>
      </c>
      <c r="BG67" s="22"/>
      <c r="BH67" s="23">
        <f>AY44</f>
        <v>0</v>
      </c>
      <c r="BI67" s="326">
        <f t="shared" si="2"/>
        <v>0</v>
      </c>
      <c r="BJ67" s="95">
        <f>VLOOKUP(BD67,CENY!$B$11:$M$2025,12,FALSE)</f>
        <v>11.02122</v>
      </c>
      <c r="BK67" s="95">
        <f t="shared" si="3"/>
        <v>0</v>
      </c>
    </row>
    <row r="68" spans="1:63" ht="12.95" customHeight="1">
      <c r="A68" s="579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OBJ!B317</f>
        <v>9256861</v>
      </c>
      <c r="BE68" s="21" t="str">
        <f>VLOOKUP(BD68,CENY!$B$11:$G$1054,2,FALSE)</f>
        <v>Quadro You(M) 350/SiSy 25kg; EB21; pravý</v>
      </c>
      <c r="BF68" s="22">
        <f>VLOOKUP(BD68,CENY!$B$11:$G$1054,3,FALSE)</f>
        <v>20</v>
      </c>
      <c r="BG68" s="22"/>
      <c r="BH68" s="23">
        <f>AY44</f>
        <v>0</v>
      </c>
      <c r="BI68" s="326">
        <f t="shared" si="2"/>
        <v>0</v>
      </c>
      <c r="BJ68" s="95">
        <f>VLOOKUP(BD68,CENY!$B$11:$M$2025,12,FALSE)</f>
        <v>11.02122</v>
      </c>
      <c r="BK68" s="95">
        <f t="shared" si="3"/>
        <v>0</v>
      </c>
    </row>
    <row r="69" spans="1:63" ht="23.1" customHeight="1">
      <c r="A69" s="579"/>
      <c r="B69" s="93" t="str">
        <f>B4</f>
        <v>Zásuvka AVANTECH YOU  187 Inlay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/>
      <c r="AV69" s="21"/>
      <c r="AW69" s="22"/>
      <c r="AX69" s="22"/>
      <c r="AY69" s="23"/>
      <c r="AZ69" s="326" t="str">
        <f t="shared" si="1"/>
        <v/>
      </c>
      <c r="BA69" s="95"/>
      <c r="BB69" s="95" t="str">
        <f t="shared" ref="BB69:BB119" si="4">IF(BA69="","",BA69*AY69)</f>
        <v/>
      </c>
      <c r="BD69" s="319">
        <f>OBJ!B318</f>
        <v>9256864</v>
      </c>
      <c r="BE69" s="21" t="str">
        <f>VLOOKUP(BD69,CENY!$B$11:$G$1054,2,FALSE)</f>
        <v>Quadro You(M) 400/SiSy 30kg; EB21; ľavý</v>
      </c>
      <c r="BF69" s="22">
        <f>VLOOKUP(BD69,CENY!$B$11:$G$1054,3,FALSE)</f>
        <v>20</v>
      </c>
      <c r="BG69" s="22"/>
      <c r="BH69" s="23">
        <f>AY45</f>
        <v>0</v>
      </c>
      <c r="BI69" s="326">
        <f t="shared" si="2"/>
        <v>0</v>
      </c>
      <c r="BJ69" s="95">
        <f>VLOOKUP(BD69,CENY!$B$11:$M$2025,12,FALSE)</f>
        <v>11.25459</v>
      </c>
      <c r="BK69" s="95">
        <f t="shared" si="3"/>
        <v>0</v>
      </c>
    </row>
    <row r="70" spans="1:63" ht="14.45" customHeight="1">
      <c r="A70" s="579"/>
      <c r="AU70" s="319"/>
      <c r="AV70" s="21"/>
      <c r="AW70" s="22"/>
      <c r="AX70" s="22"/>
      <c r="AY70" s="23"/>
      <c r="AZ70" s="326" t="str">
        <f t="shared" ref="AZ70:AZ122" si="5">IF(AY70="","",IF($AW$4=1,AY70,0))</f>
        <v/>
      </c>
      <c r="BA70" s="95"/>
      <c r="BB70" s="95" t="str">
        <f t="shared" si="4"/>
        <v/>
      </c>
      <c r="BD70" s="319">
        <f>OBJ!B319</f>
        <v>9256865</v>
      </c>
      <c r="BE70" s="21" t="str">
        <f>VLOOKUP(BD70,CENY!$B$11:$G$1054,2,FALSE)</f>
        <v>Quadro You(M) 400/SiSy 30kg; EB21; pravý</v>
      </c>
      <c r="BF70" s="22">
        <f>VLOOKUP(BD70,CENY!$B$11:$G$1054,3,FALSE)</f>
        <v>20</v>
      </c>
      <c r="BG70" s="22"/>
      <c r="BH70" s="23">
        <f>AY45</f>
        <v>0</v>
      </c>
      <c r="BI70" s="326">
        <f t="shared" ref="BI70:BI122" si="6">IF(BH70="","",IF($AW$4=0,BH70,0))</f>
        <v>0</v>
      </c>
      <c r="BJ70" s="95">
        <f>VLOOKUP(BD70,CENY!$B$11:$M$2025,12,FALSE)</f>
        <v>11.25459</v>
      </c>
      <c r="BK70" s="95">
        <f t="shared" ref="BK70:BK122" si="7">IF(BJ70="","",BJ70*BH70)</f>
        <v>0</v>
      </c>
    </row>
    <row r="71" spans="1:63" ht="14.45" customHeight="1">
      <c r="A71" s="579"/>
      <c r="AU71" s="319"/>
      <c r="AV71" s="21"/>
      <c r="AW71" s="22"/>
      <c r="AX71" s="22"/>
      <c r="AY71" s="23"/>
      <c r="AZ71" s="326" t="str">
        <f t="shared" si="5"/>
        <v/>
      </c>
      <c r="BA71" s="95"/>
      <c r="BB71" s="95" t="str">
        <f t="shared" si="4"/>
        <v/>
      </c>
      <c r="BD71" s="319">
        <f>OBJ!B320</f>
        <v>9256868</v>
      </c>
      <c r="BE71" s="21" t="str">
        <f>VLOOKUP(BD71,CENY!$B$11:$G$1054,2,FALSE)</f>
        <v>Quadro You(M) 450/SiSy 30kg; EB21; ľavý</v>
      </c>
      <c r="BF71" s="22">
        <f>VLOOKUP(BD71,CENY!$B$11:$G$1054,3,FALSE)</f>
        <v>20</v>
      </c>
      <c r="BG71" s="22"/>
      <c r="BH71" s="23">
        <f>AY46</f>
        <v>0</v>
      </c>
      <c r="BI71" s="326">
        <f t="shared" si="6"/>
        <v>0</v>
      </c>
      <c r="BJ71" s="95">
        <f>VLOOKUP(BD71,CENY!$B$11:$M$2025,12,FALSE)</f>
        <v>11.487740000000001</v>
      </c>
      <c r="BK71" s="95">
        <f t="shared" si="7"/>
        <v>0</v>
      </c>
    </row>
    <row r="72" spans="1:63" ht="14.45" customHeight="1">
      <c r="A72" s="579"/>
      <c r="AU72" s="319"/>
      <c r="AV72" s="21"/>
      <c r="AW72" s="22"/>
      <c r="AX72" s="22"/>
      <c r="AY72" s="23"/>
      <c r="AZ72" s="326" t="str">
        <f t="shared" si="5"/>
        <v/>
      </c>
      <c r="BA72" s="95"/>
      <c r="BB72" s="95" t="str">
        <f t="shared" si="4"/>
        <v/>
      </c>
      <c r="BD72" s="319">
        <f>OBJ!B321</f>
        <v>9256869</v>
      </c>
      <c r="BE72" s="21" t="str">
        <f>VLOOKUP(BD72,CENY!$B$11:$G$1054,2,FALSE)</f>
        <v>Quadro You(M) 450/SiSy 30kg; EB21; pravý</v>
      </c>
      <c r="BF72" s="22">
        <f>VLOOKUP(BD72,CENY!$B$11:$G$1054,3,FALSE)</f>
        <v>20</v>
      </c>
      <c r="BG72" s="22"/>
      <c r="BH72" s="23">
        <f>AY46</f>
        <v>0</v>
      </c>
      <c r="BI72" s="326">
        <f t="shared" si="6"/>
        <v>0</v>
      </c>
      <c r="BJ72" s="95">
        <f>VLOOKUP(BD72,CENY!$B$11:$M$2025,12,FALSE)</f>
        <v>11.487740000000001</v>
      </c>
      <c r="BK72" s="95">
        <f t="shared" si="7"/>
        <v>0</v>
      </c>
    </row>
    <row r="73" spans="1:63" ht="14.45" customHeight="1">
      <c r="A73" s="579"/>
      <c r="AU73" s="319"/>
      <c r="AV73" s="21"/>
      <c r="AW73" s="22"/>
      <c r="AX73" s="22"/>
      <c r="AY73" s="23"/>
      <c r="AZ73" s="326" t="str">
        <f t="shared" si="5"/>
        <v/>
      </c>
      <c r="BA73" s="95"/>
      <c r="BB73" s="95" t="str">
        <f t="shared" si="4"/>
        <v/>
      </c>
      <c r="BD73" s="319">
        <f>OBJ!B322</f>
        <v>9256872</v>
      </c>
      <c r="BE73" s="21" t="str">
        <f>VLOOKUP(BD73,CENY!$B$11:$G$1054,2,FALSE)</f>
        <v>Quadro You(M) 500/SiSy 30kg; EB21; ľavý</v>
      </c>
      <c r="BF73" s="22">
        <f>VLOOKUP(BD73,CENY!$B$11:$G$1054,3,FALSE)</f>
        <v>20</v>
      </c>
      <c r="BG73" s="22"/>
      <c r="BH73" s="23">
        <f>AY47</f>
        <v>0</v>
      </c>
      <c r="BI73" s="326">
        <f t="shared" si="6"/>
        <v>0</v>
      </c>
      <c r="BJ73" s="95">
        <f>VLOOKUP(BD73,CENY!$B$11:$M$2025,12,FALSE)</f>
        <v>11.163180000000001</v>
      </c>
      <c r="BK73" s="95">
        <f t="shared" si="7"/>
        <v>0</v>
      </c>
    </row>
    <row r="74" spans="1:63" ht="14.45" customHeight="1">
      <c r="A74" s="579"/>
      <c r="AU74" s="319"/>
      <c r="AV74" s="21"/>
      <c r="AW74" s="22"/>
      <c r="AX74" s="22"/>
      <c r="AY74" s="23"/>
      <c r="AZ74" s="326" t="str">
        <f t="shared" si="5"/>
        <v/>
      </c>
      <c r="BA74" s="95"/>
      <c r="BB74" s="95" t="str">
        <f t="shared" si="4"/>
        <v/>
      </c>
      <c r="BD74" s="319">
        <f>OBJ!B323</f>
        <v>9256873</v>
      </c>
      <c r="BE74" s="21" t="str">
        <f>VLOOKUP(BD74,CENY!$B$11:$G$1054,2,FALSE)</f>
        <v>Quadro You(M) 500/SiSy 30kg; EB21; pravý</v>
      </c>
      <c r="BF74" s="22">
        <f>VLOOKUP(BD74,CENY!$B$11:$G$1054,3,FALSE)</f>
        <v>20</v>
      </c>
      <c r="BG74" s="22"/>
      <c r="BH74" s="23">
        <f>AY47</f>
        <v>0</v>
      </c>
      <c r="BI74" s="326">
        <f t="shared" si="6"/>
        <v>0</v>
      </c>
      <c r="BJ74" s="95">
        <f>VLOOKUP(BD74,CENY!$B$11:$M$2025,12,FALSE)</f>
        <v>11.163180000000001</v>
      </c>
      <c r="BK74" s="95">
        <f t="shared" si="7"/>
        <v>0</v>
      </c>
    </row>
    <row r="75" spans="1:63" ht="14.45" customHeight="1">
      <c r="A75" s="579"/>
      <c r="AU75" s="319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OBJ!B324</f>
        <v>9256876</v>
      </c>
      <c r="BE75" s="21" t="str">
        <f>VLOOKUP(BD75,CENY!$B$11:$G$1054,2,FALSE)</f>
        <v>Quadro You(M) 550/SiSy 30kg; EB21; ľavý</v>
      </c>
      <c r="BF75" s="22">
        <f>VLOOKUP(BD75,CENY!$B$11:$G$1054,3,FALSE)</f>
        <v>20</v>
      </c>
      <c r="BG75" s="22"/>
      <c r="BH75" s="23">
        <f>AY48</f>
        <v>0</v>
      </c>
      <c r="BI75" s="326">
        <f t="shared" si="6"/>
        <v>0</v>
      </c>
      <c r="BJ75" s="95">
        <f>VLOOKUP(BD75,CENY!$B$11:$M$2025,12,FALSE)</f>
        <v>11.38542</v>
      </c>
      <c r="BK75" s="95">
        <f t="shared" si="7"/>
        <v>0</v>
      </c>
    </row>
    <row r="76" spans="1:63" ht="14.45" customHeight="1">
      <c r="A76" s="579"/>
      <c r="AU76" s="319"/>
      <c r="AV76" s="21"/>
      <c r="AW76" s="22"/>
      <c r="AX76" s="22"/>
      <c r="AY76" s="23"/>
      <c r="AZ76" s="326" t="str">
        <f t="shared" si="5"/>
        <v/>
      </c>
      <c r="BA76" s="95"/>
      <c r="BB76" s="95" t="str">
        <f t="shared" si="4"/>
        <v/>
      </c>
      <c r="BD76" s="319">
        <f>OBJ!B325</f>
        <v>9256877</v>
      </c>
      <c r="BE76" s="21" t="str">
        <f>VLOOKUP(BD76,CENY!$B$11:$G$1054,2,FALSE)</f>
        <v>Quadro You(M) 550/SiSy 30kg; EB21; pravý</v>
      </c>
      <c r="BF76" s="22">
        <f>VLOOKUP(BD76,CENY!$B$11:$G$1054,3,FALSE)</f>
        <v>20</v>
      </c>
      <c r="BG76" s="22"/>
      <c r="BH76" s="23">
        <f>AY48</f>
        <v>0</v>
      </c>
      <c r="BI76" s="326">
        <f t="shared" si="6"/>
        <v>0</v>
      </c>
      <c r="BJ76" s="95">
        <f>VLOOKUP(BD76,CENY!$B$11:$M$2025,12,FALSE)</f>
        <v>11.954689999999999</v>
      </c>
      <c r="BK76" s="95">
        <f t="shared" si="7"/>
        <v>0</v>
      </c>
    </row>
    <row r="77" spans="1:63" ht="14.45" customHeight="1">
      <c r="A77" s="579"/>
      <c r="AU77" s="319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>
        <f>OBJ!B326</f>
        <v>9256880</v>
      </c>
      <c r="BE77" s="21" t="str">
        <f>VLOOKUP(BD77,CENY!$B$11:$G$1054,2,FALSE)</f>
        <v>Quadro You(M) 600/SiSy 25kg; EB21; ľavý</v>
      </c>
      <c r="BF77" s="22">
        <f>VLOOKUP(BD77,CENY!$B$11:$G$1054,3,FALSE)</f>
        <v>20</v>
      </c>
      <c r="BG77" s="22"/>
      <c r="BH77" s="23">
        <f>AY49</f>
        <v>0</v>
      </c>
      <c r="BI77" s="326">
        <f t="shared" si="6"/>
        <v>0</v>
      </c>
      <c r="BJ77" s="95">
        <f>VLOOKUP(BD77,CENY!$B$11:$M$2025,12,FALSE)</f>
        <v>12.187939999999999</v>
      </c>
      <c r="BK77" s="95">
        <f t="shared" si="7"/>
        <v>0</v>
      </c>
    </row>
    <row r="78" spans="1:63" ht="14.45" customHeight="1">
      <c r="A78" s="579"/>
      <c r="AU78" s="319"/>
      <c r="AV78" s="21"/>
      <c r="AW78" s="22"/>
      <c r="AX78" s="22"/>
      <c r="AY78" s="23"/>
      <c r="AZ78" s="326" t="str">
        <f t="shared" si="5"/>
        <v/>
      </c>
      <c r="BA78" s="95"/>
      <c r="BB78" s="95" t="str">
        <f t="shared" si="4"/>
        <v/>
      </c>
      <c r="BD78" s="319">
        <f>OBJ!B327</f>
        <v>9256881</v>
      </c>
      <c r="BE78" s="21" t="str">
        <f>VLOOKUP(BD78,CENY!$B$11:$G$1054,2,FALSE)</f>
        <v>Quadro You(M) 600/SiSy 25kg; EB21; pravý</v>
      </c>
      <c r="BF78" s="22">
        <f>VLOOKUP(BD78,CENY!$B$11:$G$1054,3,FALSE)</f>
        <v>20</v>
      </c>
      <c r="BG78" s="22"/>
      <c r="BH78" s="23">
        <f>AY49</f>
        <v>0</v>
      </c>
      <c r="BI78" s="326">
        <f t="shared" si="6"/>
        <v>0</v>
      </c>
      <c r="BJ78" s="95">
        <f>VLOOKUP(BD78,CENY!$B$11:$M$2025,12,FALSE)</f>
        <v>12.187939999999999</v>
      </c>
      <c r="BK78" s="95">
        <f t="shared" si="7"/>
        <v>0</v>
      </c>
    </row>
    <row r="79" spans="1:63" ht="14.45" customHeight="1">
      <c r="A79" s="579"/>
      <c r="O79" s="578">
        <f>CEILING(O84/FLOOR(2000/O85,1),1)</f>
        <v>0</v>
      </c>
      <c r="P79" s="578"/>
      <c r="Q79" s="578">
        <f>CEILING(Q84/FLOOR(2000/Q85,1),1)</f>
        <v>0</v>
      </c>
      <c r="R79" s="578"/>
      <c r="S79" s="578">
        <f>CEILING(S84/FLOOR(2000/S85,1),1)</f>
        <v>0</v>
      </c>
      <c r="T79" s="578"/>
      <c r="U79" s="578">
        <f>CEILING(U84/FLOOR(2000/U85,1),1)</f>
        <v>0</v>
      </c>
      <c r="V79" s="578"/>
      <c r="W79" s="578"/>
      <c r="X79" s="578"/>
      <c r="Y79" s="578"/>
      <c r="Z79" s="578"/>
      <c r="AA79" s="578"/>
      <c r="AB79" s="578"/>
      <c r="AC79" s="578">
        <f>CEILING(AC84/FLOOR(2000/AC85,1),1)</f>
        <v>0</v>
      </c>
      <c r="AD79" s="578"/>
      <c r="AE79" s="578">
        <f>CEILING(AE84/FLOOR(2000/AE85,1),1)</f>
        <v>0</v>
      </c>
      <c r="AF79" s="578"/>
      <c r="AG79" s="578">
        <f>CEILING(AG84/FLOOR(2000/AG85,1),1)</f>
        <v>0</v>
      </c>
      <c r="AH79" s="578"/>
      <c r="AI79" s="578">
        <f>CEILING(AI84/FLOOR(2000/AI85,1),1)</f>
        <v>0</v>
      </c>
      <c r="AJ79" s="578"/>
      <c r="AU79" s="319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/>
      <c r="BE79" s="21"/>
      <c r="BF79" s="22"/>
      <c r="BG79" s="22"/>
      <c r="BH79" s="23"/>
      <c r="BI79" s="326" t="str">
        <f t="shared" si="6"/>
        <v/>
      </c>
      <c r="BJ79" s="95"/>
      <c r="BK79" s="95" t="str">
        <f t="shared" si="7"/>
        <v/>
      </c>
    </row>
    <row r="80" spans="1:63" ht="14.45" customHeight="1">
      <c r="A80" s="579"/>
      <c r="O80" s="577">
        <f>O85*O84</f>
        <v>0</v>
      </c>
      <c r="P80" s="577"/>
      <c r="Q80" s="577">
        <f>Q85*Q84</f>
        <v>0</v>
      </c>
      <c r="R80" s="577"/>
      <c r="S80" s="577">
        <f>S85*S84</f>
        <v>0</v>
      </c>
      <c r="T80" s="577"/>
      <c r="U80" s="577">
        <f>U85*U84</f>
        <v>0</v>
      </c>
      <c r="V80" s="577"/>
      <c r="W80" s="577"/>
      <c r="X80" s="577"/>
      <c r="Y80" s="577"/>
      <c r="Z80" s="577"/>
      <c r="AA80" s="577"/>
      <c r="AB80" s="577"/>
      <c r="AC80" s="577">
        <f>AC85*AC84</f>
        <v>0</v>
      </c>
      <c r="AD80" s="577"/>
      <c r="AE80" s="577">
        <f>AE85*AE84</f>
        <v>0</v>
      </c>
      <c r="AF80" s="577"/>
      <c r="AG80" s="577">
        <f>AG85*AG84</f>
        <v>0</v>
      </c>
      <c r="AH80" s="577"/>
      <c r="AI80" s="577">
        <f>AI85*AI84</f>
        <v>0</v>
      </c>
      <c r="AJ80" s="577"/>
      <c r="AU80" s="319"/>
      <c r="AV80" s="21"/>
      <c r="AW80" s="22"/>
      <c r="AX80" s="22"/>
      <c r="AY80" s="23"/>
      <c r="AZ80" s="326" t="str">
        <f t="shared" si="5"/>
        <v/>
      </c>
      <c r="BA80" s="95"/>
      <c r="BB80" s="95" t="str">
        <f t="shared" si="4"/>
        <v/>
      </c>
      <c r="BD80" s="319">
        <f>OBJ!B329</f>
        <v>9257894</v>
      </c>
      <c r="BE80" s="21" t="str">
        <f>VLOOKUP(BD80,CENY!$B$11:$G$1054,2,FALSE)</f>
        <v>Quadro You - Push to open Silent; &lt;10kg</v>
      </c>
      <c r="BF80" s="22">
        <f>VLOOKUP(BD80,CENY!$B$11:$G$1054,3,FALSE)</f>
        <v>1</v>
      </c>
      <c r="BG80" s="22"/>
      <c r="BH80" s="23">
        <f>AY51</f>
        <v>0</v>
      </c>
      <c r="BI80" s="326">
        <f t="shared" si="6"/>
        <v>0</v>
      </c>
      <c r="BJ80" s="95">
        <f>VLOOKUP(BD80,CENY!$B$11:$M$2025,12,FALSE)</f>
        <v>23.114239999999999</v>
      </c>
      <c r="BK80" s="95">
        <f t="shared" si="7"/>
        <v>0</v>
      </c>
    </row>
    <row r="81" spans="1:63" ht="14.45" customHeight="1" thickBot="1">
      <c r="A81" s="579"/>
      <c r="O81" s="583" t="str">
        <f>verze!E163</f>
        <v>vonkajšie rozmery zásuvkovej skrinky [mm]</v>
      </c>
      <c r="P81" s="584"/>
      <c r="Q81" s="584"/>
      <c r="R81" s="584"/>
      <c r="S81" s="584"/>
      <c r="T81" s="584"/>
      <c r="U81" s="584"/>
      <c r="V81" s="584"/>
      <c r="W81" s="584"/>
      <c r="X81" s="584"/>
      <c r="Y81" s="584"/>
      <c r="Z81" s="584"/>
      <c r="AA81" s="584"/>
      <c r="AB81" s="584"/>
      <c r="AC81" s="584"/>
      <c r="AD81" s="584"/>
      <c r="AE81" s="584"/>
      <c r="AF81" s="584"/>
      <c r="AG81" s="584"/>
      <c r="AH81" s="584"/>
      <c r="AI81" s="584"/>
      <c r="AJ81" s="584"/>
      <c r="AU81" s="319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>
        <f>OBJ!B330</f>
        <v>9257895</v>
      </c>
      <c r="BE81" s="21" t="str">
        <f>VLOOKUP(BD81,CENY!$B$11:$G$1054,2,FALSE)</f>
        <v>Quadro You - Push to open Silent; 8-20kg</v>
      </c>
      <c r="BF81" s="22">
        <f>VLOOKUP(BD81,CENY!$B$11:$G$1054,3,FALSE)</f>
        <v>1</v>
      </c>
      <c r="BG81" s="22"/>
      <c r="BH81" s="23">
        <f>AY52</f>
        <v>0</v>
      </c>
      <c r="BI81" s="326">
        <f t="shared" si="6"/>
        <v>0</v>
      </c>
      <c r="BJ81" s="95">
        <f>VLOOKUP(BD81,CENY!$B$11:$M$2025,12,FALSE)</f>
        <v>23.114239999999999</v>
      </c>
      <c r="BK81" s="95">
        <f t="shared" si="7"/>
        <v>0</v>
      </c>
    </row>
    <row r="82" spans="1:63" ht="14.45" customHeight="1" thickBot="1">
      <c r="A82" s="579"/>
      <c r="B82" s="1" t="str">
        <f>verze!E162</f>
        <v>Čelo na vnútornú zásuvku</v>
      </c>
      <c r="O82" s="597" t="str">
        <f>verze!E164</f>
        <v>nízke čelo = 66 mm</v>
      </c>
      <c r="P82" s="598"/>
      <c r="Q82" s="598"/>
      <c r="R82" s="598"/>
      <c r="S82" s="598"/>
      <c r="T82" s="598"/>
      <c r="U82" s="598"/>
      <c r="V82" s="598"/>
      <c r="W82" s="334"/>
      <c r="X82" s="334"/>
      <c r="Y82" s="334"/>
      <c r="Z82" s="334"/>
      <c r="AA82" s="596"/>
      <c r="AB82" s="596"/>
      <c r="AC82" s="598" t="str">
        <f>verze!E165</f>
        <v>vysoké čelo = 130 mm</v>
      </c>
      <c r="AD82" s="598"/>
      <c r="AE82" s="598"/>
      <c r="AF82" s="598"/>
      <c r="AG82" s="598"/>
      <c r="AH82" s="598"/>
      <c r="AI82" s="598"/>
      <c r="AJ82" s="598"/>
      <c r="AU82" s="319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OBJ!B331</f>
        <v>9257896</v>
      </c>
      <c r="BE82" s="21" t="str">
        <f>VLOOKUP(BD82,CENY!$B$11:$G$1054,2,FALSE)</f>
        <v>Quadro You - Push to open Silent; 10-30kg</v>
      </c>
      <c r="BF82" s="22">
        <f>VLOOKUP(BD82,CENY!$B$11:$G$1054,3,FALSE)</f>
        <v>1</v>
      </c>
      <c r="BG82" s="22"/>
      <c r="BH82" s="23">
        <f>AY53</f>
        <v>0</v>
      </c>
      <c r="BI82" s="326">
        <f t="shared" si="6"/>
        <v>0</v>
      </c>
      <c r="BJ82" s="95">
        <f>VLOOKUP(BD82,CENY!$B$11:$M$2025,12,FALSE)</f>
        <v>23.114239999999999</v>
      </c>
      <c r="BK82" s="95">
        <f t="shared" si="7"/>
        <v>0</v>
      </c>
    </row>
    <row r="83" spans="1:63" ht="14.45" customHeight="1" thickBot="1">
      <c r="A83" s="579"/>
      <c r="B83" s="96"/>
      <c r="C83" s="96"/>
      <c r="D83" s="96"/>
      <c r="E83" s="96"/>
      <c r="F83" s="96"/>
      <c r="G83" s="96"/>
      <c r="H83" s="72"/>
      <c r="I83" s="72"/>
      <c r="J83" s="72"/>
      <c r="K83" s="72"/>
      <c r="L83" s="72"/>
      <c r="M83" s="72"/>
      <c r="N83" s="72" t="str">
        <f>verze!E166&amp;" "</f>
        <v xml:space="preserve">Šírka korpusu: </v>
      </c>
      <c r="O83" s="600">
        <v>450</v>
      </c>
      <c r="P83" s="601"/>
      <c r="Q83" s="603">
        <v>600</v>
      </c>
      <c r="R83" s="603"/>
      <c r="S83" s="603">
        <v>900</v>
      </c>
      <c r="T83" s="603"/>
      <c r="U83" s="603">
        <v>1200</v>
      </c>
      <c r="V83" s="600"/>
      <c r="W83" s="334"/>
      <c r="X83" s="334"/>
      <c r="Y83" s="334"/>
      <c r="Z83" s="334"/>
      <c r="AA83" s="596"/>
      <c r="AB83" s="596"/>
      <c r="AC83" s="602">
        <v>450</v>
      </c>
      <c r="AD83" s="603"/>
      <c r="AE83" s="602">
        <v>600</v>
      </c>
      <c r="AF83" s="603"/>
      <c r="AG83" s="600">
        <v>900</v>
      </c>
      <c r="AH83" s="601"/>
      <c r="AI83" s="600">
        <v>1200</v>
      </c>
      <c r="AJ83" s="601"/>
      <c r="AU83" s="319">
        <f>OBJ!B210</f>
        <v>9257663</v>
      </c>
      <c r="AV83" s="21" t="str">
        <f>VLOOKUP(AU83,CENY!$B$11:$G$1054,2,FALSE)</f>
        <v>AvanY-indiv.čelo vnút.zásuv./d2000/strieb.</v>
      </c>
      <c r="AW83" s="22">
        <f>VLOOKUP(AU83,CENY!$B$11:$G$1054,3,FALSE)</f>
        <v>1</v>
      </c>
      <c r="AX83" s="22"/>
      <c r="AY83" s="23">
        <f>IF(AU95=0,0,IF(AU101&lt;2000,1,SUM(O79:AJ79)))</f>
        <v>0</v>
      </c>
      <c r="AZ83" s="326">
        <f t="shared" si="5"/>
        <v>0</v>
      </c>
      <c r="BA83" s="95">
        <f>VLOOKUP(AU83,CENY!$B$11:$M$2025,12,FALSE)</f>
        <v>35.672049999999999</v>
      </c>
      <c r="BB83" s="95">
        <f t="shared" si="4"/>
        <v>0</v>
      </c>
      <c r="BD83" s="319"/>
      <c r="BE83" s="21"/>
      <c r="BF83" s="22"/>
      <c r="BG83" s="22"/>
      <c r="BH83" s="23"/>
      <c r="BI83" s="326" t="str">
        <f t="shared" si="6"/>
        <v/>
      </c>
      <c r="BJ83" s="95"/>
      <c r="BK83" s="95" t="str">
        <f t="shared" si="7"/>
        <v/>
      </c>
    </row>
    <row r="84" spans="1:63" ht="14.45" customHeight="1" thickBot="1">
      <c r="A84" s="579"/>
      <c r="B84" s="158" t="str">
        <f>" "&amp;verze!E167</f>
        <v xml:space="preserve"> ALU čelo</v>
      </c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525"/>
      <c r="N84" s="548"/>
      <c r="O84" s="580"/>
      <c r="P84" s="581"/>
      <c r="Q84" s="599"/>
      <c r="R84" s="599"/>
      <c r="S84" s="599"/>
      <c r="T84" s="599"/>
      <c r="U84" s="599"/>
      <c r="V84" s="580"/>
      <c r="W84" s="336"/>
      <c r="X84" s="336"/>
      <c r="Y84" s="336"/>
      <c r="Z84" s="336"/>
      <c r="AA84" s="336"/>
      <c r="AB84" s="336"/>
      <c r="AC84" s="581"/>
      <c r="AD84" s="599"/>
      <c r="AE84" s="581"/>
      <c r="AF84" s="599"/>
      <c r="AG84" s="585"/>
      <c r="AH84" s="581"/>
      <c r="AI84" s="580"/>
      <c r="AJ84" s="585"/>
      <c r="AU84" s="319">
        <f>OBJ!B212</f>
        <v>9257657</v>
      </c>
      <c r="AV84" s="21" t="str">
        <f>VLOOKUP(AU84,CENY!$B$11:$G$1054,2,FALSE)</f>
        <v>AvanY-spojky indiv.čela vn.Inlay/v187/strieb.</v>
      </c>
      <c r="AW84" s="22">
        <f>VLOOKUP(AU84,CENY!$B$11:$G$1054,3,FALSE)</f>
        <v>1</v>
      </c>
      <c r="AX84" s="22"/>
      <c r="AY84" s="23">
        <f>1*(+SUM(O19:T19)+SUM(O20:AD20)+SUM(W22:AF22)+SUM(O27:T27)+SUM(O28:AD28)+SUM(O30:AD30))</f>
        <v>0</v>
      </c>
      <c r="AZ84" s="326">
        <f t="shared" si="5"/>
        <v>0</v>
      </c>
      <c r="BA84" s="95">
        <f>VLOOKUP(AU84,CENY!$B$11:$M$2025,12,FALSE)</f>
        <v>26.795850000000002</v>
      </c>
      <c r="BB84" s="95">
        <f t="shared" si="4"/>
        <v>0</v>
      </c>
      <c r="BD84" s="319">
        <f>OBJ!B345</f>
        <v>9256905</v>
      </c>
      <c r="BE84" s="21" t="str">
        <f>VLOOKUP(BD84,CENY!$B$11:$G$1054,2,FALSE)</f>
        <v>Quadro You(M) 350/P2O 25kg; EB21; ľavý</v>
      </c>
      <c r="BF84" s="22">
        <f>VLOOKUP(BD84,CENY!$B$11:$G$1054,3,FALSE)</f>
        <v>20</v>
      </c>
      <c r="BG84" s="22"/>
      <c r="BH84" s="23">
        <f>AY55</f>
        <v>0</v>
      </c>
      <c r="BI84" s="326">
        <f t="shared" si="6"/>
        <v>0</v>
      </c>
      <c r="BJ84" s="95">
        <f>VLOOKUP(BD84,CENY!$B$11:$M$2025,12,FALSE)</f>
        <v>12.42154</v>
      </c>
      <c r="BK84" s="95">
        <f t="shared" si="7"/>
        <v>0</v>
      </c>
    </row>
    <row r="85" spans="1:63" ht="14.45" customHeight="1">
      <c r="A85" s="579"/>
      <c r="O85" s="582">
        <f>O83-2*FORM!$AM$24-66</f>
        <v>348</v>
      </c>
      <c r="P85" s="582"/>
      <c r="Q85" s="582">
        <f>Q83-2*FORM!$AM$24-66</f>
        <v>498</v>
      </c>
      <c r="R85" s="582"/>
      <c r="S85" s="582">
        <f>S83-2*FORM!$AM$24-66</f>
        <v>798</v>
      </c>
      <c r="T85" s="582"/>
      <c r="U85" s="582">
        <f>U83-2*FORM!$AM$24-66</f>
        <v>1098</v>
      </c>
      <c r="V85" s="582"/>
      <c r="W85" s="577"/>
      <c r="X85" s="577"/>
      <c r="Y85" s="577"/>
      <c r="Z85" s="577"/>
      <c r="AA85" s="577"/>
      <c r="AB85" s="577"/>
      <c r="AC85" s="582">
        <f>AC83-2*FORM!$AM$24-66</f>
        <v>348</v>
      </c>
      <c r="AD85" s="582"/>
      <c r="AE85" s="582">
        <f>AE83-2*FORM!$AM$24-66</f>
        <v>498</v>
      </c>
      <c r="AF85" s="582"/>
      <c r="AG85" s="582">
        <f>AG83-2*FORM!$AM$24-66</f>
        <v>798</v>
      </c>
      <c r="AH85" s="582"/>
      <c r="AI85" s="582">
        <f>AI83-2*FORM!$AM$24-66</f>
        <v>1098</v>
      </c>
      <c r="AJ85" s="582"/>
      <c r="AU85" s="319">
        <f>OBJ!B224</f>
        <v>9283228</v>
      </c>
      <c r="AV85" s="21" t="str">
        <f>VLOOKUP(AU85,CENY!$B$11:$G$1054,2,FALSE)</f>
        <v>AvanY-sklo pre vnút.čelo /v66/s450/hr18</v>
      </c>
      <c r="AW85" s="22">
        <f>VLOOKUP(AU85,CENY!$B$11:$G$1054,3,FALSE)</f>
        <v>1</v>
      </c>
      <c r="AX85" s="22"/>
      <c r="AY85" s="23">
        <f>O84</f>
        <v>0</v>
      </c>
      <c r="AZ85" s="326">
        <f t="shared" si="5"/>
        <v>0</v>
      </c>
      <c r="BA85" s="95" t="e">
        <f>VLOOKUP(AU85,CENY!$B$11:$M$2025,12,FALSE)</f>
        <v>#N/A</v>
      </c>
      <c r="BB85" s="95" t="e">
        <f t="shared" si="4"/>
        <v>#N/A</v>
      </c>
      <c r="BD85" s="319">
        <f>OBJ!B346</f>
        <v>9256906</v>
      </c>
      <c r="BE85" s="21" t="str">
        <f>VLOOKUP(BD85,CENY!$B$11:$G$1054,2,FALSE)</f>
        <v>Quadro You(M) 350/P2O 25kg; EB21; pravý</v>
      </c>
      <c r="BF85" s="22">
        <f>VLOOKUP(BD85,CENY!$B$11:$G$1054,3,FALSE)</f>
        <v>20</v>
      </c>
      <c r="BG85" s="22"/>
      <c r="BH85" s="23">
        <f>AY55</f>
        <v>0</v>
      </c>
      <c r="BI85" s="326">
        <f t="shared" si="6"/>
        <v>0</v>
      </c>
      <c r="BJ85" s="95">
        <f>VLOOKUP(BD85,CENY!$B$11:$M$2025,12,FALSE)</f>
        <v>12.42154</v>
      </c>
      <c r="BK85" s="95">
        <f t="shared" si="7"/>
        <v>0</v>
      </c>
    </row>
    <row r="86" spans="1:63" ht="14.45" customHeight="1">
      <c r="A86" s="579"/>
      <c r="AR86" s="157"/>
      <c r="AU86" s="319">
        <f>OBJ!B225</f>
        <v>9283229</v>
      </c>
      <c r="AV86" s="21" t="str">
        <f>VLOOKUP(AU86,CENY!$B$11:$G$1054,2,FALSE)</f>
        <v>AvanY-sklo pre vnút.čelo /v66/s600/hr18</v>
      </c>
      <c r="AW86" s="22">
        <f>VLOOKUP(AU86,CENY!$B$11:$G$1054,3,FALSE)</f>
        <v>1</v>
      </c>
      <c r="AX86" s="22"/>
      <c r="AY86" s="23">
        <f>Q84</f>
        <v>0</v>
      </c>
      <c r="AZ86" s="326">
        <f t="shared" si="5"/>
        <v>0</v>
      </c>
      <c r="BA86" s="95">
        <f>VLOOKUP(AU86,CENY!$B$11:$M$2025,12,FALSE)</f>
        <v>19.680150000000001</v>
      </c>
      <c r="BB86" s="95">
        <f t="shared" si="4"/>
        <v>0</v>
      </c>
      <c r="BD86" s="319">
        <f>OBJ!B347</f>
        <v>9256909</v>
      </c>
      <c r="BE86" s="21" t="str">
        <f>VLOOKUP(BD86,CENY!$B$11:$G$1054,2,FALSE)</f>
        <v>Quadro You(M) 400/P2O 30kg; EB21; ľavý</v>
      </c>
      <c r="BF86" s="22">
        <f>VLOOKUP(BD86,CENY!$B$11:$G$1054,3,FALSE)</f>
        <v>20</v>
      </c>
      <c r="BG86" s="22"/>
      <c r="BH86" s="23">
        <f>AY56</f>
        <v>0</v>
      </c>
      <c r="BI86" s="326">
        <f t="shared" si="6"/>
        <v>0</v>
      </c>
      <c r="BJ86" s="95">
        <f>VLOOKUP(BD86,CENY!$B$11:$M$2025,12,FALSE)</f>
        <v>12.654769999999999</v>
      </c>
      <c r="BK86" s="95">
        <f t="shared" si="7"/>
        <v>0</v>
      </c>
    </row>
    <row r="87" spans="1:63" ht="14.45" customHeight="1">
      <c r="A87" s="579"/>
      <c r="V87" s="595" t="str">
        <f>IF(AU97=0,AU103,AU104)</f>
        <v>Je potrebné vybrať 0 ks vnútorných čiel.</v>
      </c>
      <c r="W87" s="595"/>
      <c r="X87" s="595"/>
      <c r="Y87" s="595"/>
      <c r="Z87" s="595"/>
      <c r="AA87" s="595"/>
      <c r="AB87" s="595"/>
      <c r="AC87" s="595"/>
      <c r="AR87" s="332"/>
      <c r="AU87" s="319">
        <f>OBJ!B226</f>
        <v>9283231</v>
      </c>
      <c r="AV87" s="21" t="str">
        <f>VLOOKUP(AU87,CENY!$B$11:$G$1054,2,FALSE)</f>
        <v>AvanY-sklo pre vnút.čelo /v66/s900/hr18</v>
      </c>
      <c r="AW87" s="22">
        <f>VLOOKUP(AU87,CENY!$B$11:$G$1054,3,FALSE)</f>
        <v>1</v>
      </c>
      <c r="AX87" s="22"/>
      <c r="AY87" s="23">
        <f>S84</f>
        <v>0</v>
      </c>
      <c r="AZ87" s="326">
        <f t="shared" si="5"/>
        <v>0</v>
      </c>
      <c r="BA87" s="95">
        <f>VLOOKUP(AU87,CENY!$B$11:$M$2025,12,FALSE)</f>
        <v>34.754010000000001</v>
      </c>
      <c r="BB87" s="95">
        <f t="shared" si="4"/>
        <v>0</v>
      </c>
      <c r="BD87" s="319">
        <f>OBJ!B348</f>
        <v>9256910</v>
      </c>
      <c r="BE87" s="21" t="str">
        <f>VLOOKUP(BD87,CENY!$B$11:$G$1054,2,FALSE)</f>
        <v>Quadro You(M) 400/P2O 30kg; EB21; pravý</v>
      </c>
      <c r="BF87" s="22">
        <f>VLOOKUP(BD87,CENY!$B$11:$G$1054,3,FALSE)</f>
        <v>20</v>
      </c>
      <c r="BG87" s="22"/>
      <c r="BH87" s="23">
        <f>AY56</f>
        <v>0</v>
      </c>
      <c r="BI87" s="326">
        <f t="shared" si="6"/>
        <v>0</v>
      </c>
      <c r="BJ87" s="95">
        <f>VLOOKUP(BD87,CENY!$B$11:$M$2025,12,FALSE)</f>
        <v>12.654769999999999</v>
      </c>
      <c r="BK87" s="95">
        <f t="shared" si="7"/>
        <v>0</v>
      </c>
    </row>
    <row r="88" spans="1:63" ht="14.45" customHeight="1">
      <c r="A88" s="579"/>
      <c r="V88" s="595"/>
      <c r="W88" s="595"/>
      <c r="X88" s="595"/>
      <c r="Y88" s="595"/>
      <c r="Z88" s="595"/>
      <c r="AA88" s="595"/>
      <c r="AB88" s="595"/>
      <c r="AC88" s="595"/>
      <c r="AU88" s="319">
        <f>OBJ!B227</f>
        <v>9283232</v>
      </c>
      <c r="AV88" s="21" t="str">
        <f>VLOOKUP(AU88,CENY!$B$11:$G$1054,2,FALSE)</f>
        <v>AvanY-sklo pre vnút.čelo /v66/s1200/hr18</v>
      </c>
      <c r="AW88" s="22">
        <f>VLOOKUP(AU88,CENY!$B$11:$G$1054,3,FALSE)</f>
        <v>1</v>
      </c>
      <c r="AX88" s="22"/>
      <c r="AY88" s="23">
        <f>U84</f>
        <v>0</v>
      </c>
      <c r="AZ88" s="326">
        <f t="shared" si="5"/>
        <v>0</v>
      </c>
      <c r="BA88" s="95">
        <f>VLOOKUP(AU88,CENY!$B$11:$M$2025,12,FALSE)</f>
        <v>44.803019999999997</v>
      </c>
      <c r="BB88" s="95">
        <f t="shared" si="4"/>
        <v>0</v>
      </c>
      <c r="BD88" s="319">
        <f>OBJ!B349</f>
        <v>9256913</v>
      </c>
      <c r="BE88" s="21" t="str">
        <f>VLOOKUP(BD88,CENY!$B$11:$G$1054,2,FALSE)</f>
        <v>Quadro You(M) 450/P2O 30kg; EB21; ľavý</v>
      </c>
      <c r="BF88" s="22">
        <f>VLOOKUP(BD88,CENY!$B$11:$G$1054,3,FALSE)</f>
        <v>20</v>
      </c>
      <c r="BG88" s="22"/>
      <c r="BH88" s="23">
        <f>AY57</f>
        <v>0</v>
      </c>
      <c r="BI88" s="326">
        <f t="shared" si="6"/>
        <v>0</v>
      </c>
      <c r="BJ88" s="95">
        <f>VLOOKUP(BD88,CENY!$B$11:$M$2025,12,FALSE)</f>
        <v>12.888019999999999</v>
      </c>
      <c r="BK88" s="95">
        <f t="shared" si="7"/>
        <v>0</v>
      </c>
    </row>
    <row r="89" spans="1:63" ht="14.45" customHeight="1">
      <c r="A89" s="579"/>
      <c r="V89" s="595"/>
      <c r="W89" s="595"/>
      <c r="X89" s="595"/>
      <c r="Y89" s="595"/>
      <c r="Z89" s="595"/>
      <c r="AA89" s="595"/>
      <c r="AB89" s="595"/>
      <c r="AC89" s="595"/>
      <c r="AU89" s="319">
        <f>OBJ!B228</f>
        <v>9283233</v>
      </c>
      <c r="AV89" s="21" t="str">
        <f>VLOOKUP(AU89,CENY!$B$11:$G$1054,2,FALSE)</f>
        <v>AvanY-sklo pre vnút.čelo /v130/s450/hr18</v>
      </c>
      <c r="AW89" s="22">
        <f>VLOOKUP(AU89,CENY!$B$11:$G$1054,3,FALSE)</f>
        <v>1</v>
      </c>
      <c r="AX89" s="22"/>
      <c r="AY89" s="23">
        <f>AC84</f>
        <v>0</v>
      </c>
      <c r="AZ89" s="326">
        <f t="shared" si="5"/>
        <v>0</v>
      </c>
      <c r="BA89" s="95">
        <f>VLOOKUP(AU89,CENY!$B$11:$M$2025,12,FALSE)</f>
        <v>27.140440000000002</v>
      </c>
      <c r="BB89" s="95">
        <f t="shared" si="4"/>
        <v>0</v>
      </c>
      <c r="BD89" s="319">
        <f>OBJ!B350</f>
        <v>9256914</v>
      </c>
      <c r="BE89" s="21" t="str">
        <f>VLOOKUP(BD89,CENY!$B$11:$G$1054,2,FALSE)</f>
        <v>Quadro You(M) 450/P2O 30kg; EB21; pravý</v>
      </c>
      <c r="BF89" s="22">
        <f>VLOOKUP(BD89,CENY!$B$11:$G$1054,3,FALSE)</f>
        <v>20</v>
      </c>
      <c r="BG89" s="22"/>
      <c r="BH89" s="23">
        <f>AY57</f>
        <v>0</v>
      </c>
      <c r="BI89" s="326">
        <f t="shared" si="6"/>
        <v>0</v>
      </c>
      <c r="BJ89" s="95">
        <f>VLOOKUP(BD89,CENY!$B$11:$M$2025,12,FALSE)</f>
        <v>12.888019999999999</v>
      </c>
      <c r="BK89" s="95">
        <f t="shared" si="7"/>
        <v>0</v>
      </c>
    </row>
    <row r="90" spans="1:63" ht="14.45" customHeight="1">
      <c r="A90" s="579"/>
      <c r="V90" s="595"/>
      <c r="W90" s="595"/>
      <c r="X90" s="595"/>
      <c r="Y90" s="595"/>
      <c r="Z90" s="595"/>
      <c r="AA90" s="595"/>
      <c r="AB90" s="595"/>
      <c r="AC90" s="595"/>
      <c r="AU90" s="319">
        <f>OBJ!B229</f>
        <v>9283235</v>
      </c>
      <c r="AV90" s="21" t="str">
        <f>VLOOKUP(AU90,CENY!$B$11:$G$1054,2,FALSE)</f>
        <v>AvanY-sklo pre vnút.čelo /v130/s600/hr18</v>
      </c>
      <c r="AW90" s="22">
        <f>VLOOKUP(AU90,CENY!$B$11:$G$1054,3,FALSE)</f>
        <v>1</v>
      </c>
      <c r="AX90" s="22"/>
      <c r="AY90" s="23">
        <f>AE84</f>
        <v>0</v>
      </c>
      <c r="AZ90" s="326">
        <f t="shared" si="5"/>
        <v>0</v>
      </c>
      <c r="BA90" s="95">
        <f>VLOOKUP(AU90,CENY!$B$11:$M$2025,12,FALSE)</f>
        <v>30.842929999999999</v>
      </c>
      <c r="BB90" s="95">
        <f t="shared" si="4"/>
        <v>0</v>
      </c>
      <c r="BD90" s="319">
        <f>OBJ!B351</f>
        <v>9256917</v>
      </c>
      <c r="BE90" s="21" t="str">
        <f>VLOOKUP(BD90,CENY!$B$11:$G$1054,2,FALSE)</f>
        <v>Quadro You(M) 500/P2O 30kg; EB21; ľavý</v>
      </c>
      <c r="BF90" s="22">
        <f>VLOOKUP(BD90,CENY!$B$11:$G$1054,3,FALSE)</f>
        <v>20</v>
      </c>
      <c r="BG90" s="22"/>
      <c r="BH90" s="23">
        <f>AY58</f>
        <v>0</v>
      </c>
      <c r="BI90" s="326">
        <f t="shared" si="6"/>
        <v>0</v>
      </c>
      <c r="BJ90" s="95">
        <f>VLOOKUP(BD90,CENY!$B$11:$M$2025,12,FALSE)</f>
        <v>12.496779999999999</v>
      </c>
      <c r="BK90" s="95">
        <f t="shared" si="7"/>
        <v>0</v>
      </c>
    </row>
    <row r="91" spans="1:63" ht="14.45" customHeight="1">
      <c r="A91" s="579"/>
      <c r="V91" s="595"/>
      <c r="W91" s="595"/>
      <c r="X91" s="595"/>
      <c r="Y91" s="595"/>
      <c r="Z91" s="595"/>
      <c r="AA91" s="595"/>
      <c r="AB91" s="595"/>
      <c r="AC91" s="595"/>
      <c r="AU91" s="319">
        <f>OBJ!B230</f>
        <v>9283237</v>
      </c>
      <c r="AV91" s="21" t="str">
        <f>VLOOKUP(AU91,CENY!$B$11:$G$1054,2,FALSE)</f>
        <v>AvanY-sklo pre vnút.čelo /v130/s900/hr18</v>
      </c>
      <c r="AW91" s="22">
        <f>VLOOKUP(AU91,CENY!$B$11:$G$1054,3,FALSE)</f>
        <v>1</v>
      </c>
      <c r="AX91" s="22"/>
      <c r="AY91" s="23">
        <f>AG84</f>
        <v>0</v>
      </c>
      <c r="AZ91" s="326">
        <f t="shared" si="5"/>
        <v>0</v>
      </c>
      <c r="BA91" s="95">
        <f>VLOOKUP(AU91,CENY!$B$11:$M$2025,12,FALSE)</f>
        <v>51.404679999999999</v>
      </c>
      <c r="BB91" s="95">
        <f t="shared" si="4"/>
        <v>0</v>
      </c>
      <c r="BD91" s="319">
        <f>OBJ!B352</f>
        <v>9256918</v>
      </c>
      <c r="BE91" s="21" t="str">
        <f>VLOOKUP(BD91,CENY!$B$11:$G$1054,2,FALSE)</f>
        <v>Quadro You(M) 500/P2O 30kg; EB21; pravý</v>
      </c>
      <c r="BF91" s="22">
        <f>VLOOKUP(BD91,CENY!$B$11:$G$1054,3,FALSE)</f>
        <v>20</v>
      </c>
      <c r="BG91" s="22"/>
      <c r="BH91" s="23">
        <f>AY58</f>
        <v>0</v>
      </c>
      <c r="BI91" s="326">
        <f t="shared" si="6"/>
        <v>0</v>
      </c>
      <c r="BJ91" s="95">
        <f>VLOOKUP(BD91,CENY!$B$11:$M$2025,12,FALSE)</f>
        <v>12.496779999999999</v>
      </c>
      <c r="BK91" s="95">
        <f t="shared" si="7"/>
        <v>0</v>
      </c>
    </row>
    <row r="92" spans="1:63" ht="14.45" customHeight="1">
      <c r="A92" s="579"/>
      <c r="V92" s="595"/>
      <c r="W92" s="595"/>
      <c r="X92" s="595"/>
      <c r="Y92" s="595"/>
      <c r="Z92" s="595"/>
      <c r="AA92" s="595"/>
      <c r="AB92" s="595"/>
      <c r="AC92" s="595"/>
      <c r="AU92" s="319">
        <f>OBJ!B231</f>
        <v>9283238</v>
      </c>
      <c r="AV92" s="21" t="str">
        <f>VLOOKUP(AU92,CENY!$B$11:$G$1054,2,FALSE)</f>
        <v>AvanY-sklo pre vnút.čelo /v130/s1200/hr18</v>
      </c>
      <c r="AW92" s="22">
        <f>VLOOKUP(AU92,CENY!$B$11:$G$1054,3,FALSE)</f>
        <v>1</v>
      </c>
      <c r="AX92" s="22"/>
      <c r="AY92" s="23">
        <f>AI84</f>
        <v>0</v>
      </c>
      <c r="AZ92" s="326">
        <f t="shared" si="5"/>
        <v>0</v>
      </c>
      <c r="BA92" s="95">
        <f>VLOOKUP(AU92,CENY!$B$11:$M$2025,12,FALSE)</f>
        <v>66.209140000000005</v>
      </c>
      <c r="BB92" s="95">
        <f t="shared" si="4"/>
        <v>0</v>
      </c>
      <c r="BD92" s="319">
        <f>OBJ!B353</f>
        <v>9256921</v>
      </c>
      <c r="BE92" s="21" t="str">
        <f>VLOOKUP(BD92,CENY!$B$11:$G$1054,2,FALSE)</f>
        <v>Quadro You(M) 550/P2O 30kg; EB21; ľavý</v>
      </c>
      <c r="BF92" s="22">
        <f>VLOOKUP(BD92,CENY!$B$11:$G$1054,3,FALSE)</f>
        <v>20</v>
      </c>
      <c r="BG92" s="22"/>
      <c r="BH92" s="23">
        <f>AY59</f>
        <v>0</v>
      </c>
      <c r="BI92" s="326">
        <f t="shared" si="6"/>
        <v>0</v>
      </c>
      <c r="BJ92" s="95">
        <f>VLOOKUP(BD92,CENY!$B$11:$M$2025,12,FALSE)</f>
        <v>12.718019999999999</v>
      </c>
      <c r="BK92" s="95">
        <f t="shared" si="7"/>
        <v>0</v>
      </c>
    </row>
    <row r="93" spans="1:63" ht="14.45" customHeight="1">
      <c r="A93" s="579"/>
      <c r="AU93" s="319"/>
      <c r="AV93" s="21"/>
      <c r="AW93" s="22"/>
      <c r="AX93" s="22"/>
      <c r="AY93" s="23"/>
      <c r="AZ93" s="326" t="str">
        <f t="shared" si="5"/>
        <v/>
      </c>
      <c r="BA93" s="95"/>
      <c r="BB93" s="95"/>
      <c r="BD93" s="319">
        <f>OBJ!B354</f>
        <v>9256922</v>
      </c>
      <c r="BE93" s="21" t="str">
        <f>VLOOKUP(BD93,CENY!$B$11:$G$1054,2,FALSE)</f>
        <v>Quadro You(M) 550/P2O 30kg; EB21; pravý</v>
      </c>
      <c r="BF93" s="22">
        <f>VLOOKUP(BD93,CENY!$B$11:$G$1054,3,FALSE)</f>
        <v>20</v>
      </c>
      <c r="BG93" s="22"/>
      <c r="BH93" s="23">
        <f>AY59</f>
        <v>0</v>
      </c>
      <c r="BI93" s="326">
        <f t="shared" si="6"/>
        <v>0</v>
      </c>
      <c r="BJ93" s="95">
        <f>VLOOKUP(BD93,CENY!$B$11:$M$2025,12,FALSE)</f>
        <v>13.35392</v>
      </c>
      <c r="BK93" s="95">
        <f t="shared" si="7"/>
        <v>0</v>
      </c>
    </row>
    <row r="94" spans="1:63" ht="14.45" customHeight="1">
      <c r="A94" s="579"/>
      <c r="AU94" s="319"/>
      <c r="AV94" s="21"/>
      <c r="AW94" s="22"/>
      <c r="AX94" s="22"/>
      <c r="AY94" s="23"/>
      <c r="AZ94" s="326" t="str">
        <f t="shared" si="5"/>
        <v/>
      </c>
      <c r="BA94" s="95"/>
      <c r="BB94" s="95" t="str">
        <f t="shared" si="4"/>
        <v/>
      </c>
      <c r="BD94" s="319">
        <f>OBJ!B355</f>
        <v>9256925</v>
      </c>
      <c r="BE94" s="21" t="str">
        <f>VLOOKUP(BD94,CENY!$B$11:$G$1054,2,FALSE)</f>
        <v>Quadro You(M) 600/P2O 25kg; EB21; ľavý</v>
      </c>
      <c r="BF94" s="22">
        <f>VLOOKUP(BD94,CENY!$B$11:$G$1054,3,FALSE)</f>
        <v>20</v>
      </c>
      <c r="BG94" s="22"/>
      <c r="BH94" s="23">
        <f>AY60</f>
        <v>0</v>
      </c>
      <c r="BI94" s="326">
        <f t="shared" si="6"/>
        <v>0</v>
      </c>
      <c r="BJ94" s="95">
        <f>VLOOKUP(BD94,CENY!$B$11:$M$2025,12,FALSE)</f>
        <v>13.58704</v>
      </c>
      <c r="BK94" s="95">
        <f t="shared" si="7"/>
        <v>0</v>
      </c>
    </row>
    <row r="95" spans="1:63" ht="14.45" customHeight="1">
      <c r="A95" s="579"/>
      <c r="AU95" s="330">
        <f>1*(+SUM(O19:T19)+SUM(O20:AD20)+SUM(W22:AF22)+SUM(O27:T27)+SUM(O28:AD28)+SUM(O30:AD30))</f>
        <v>0</v>
      </c>
      <c r="AV95" s="329" t="s">
        <v>356</v>
      </c>
      <c r="AW95" s="22"/>
      <c r="AX95" s="22"/>
      <c r="AY95" s="23"/>
      <c r="AZ95" s="326" t="str">
        <f t="shared" si="5"/>
        <v/>
      </c>
      <c r="BA95" s="95"/>
      <c r="BB95" s="95" t="str">
        <f t="shared" si="4"/>
        <v/>
      </c>
      <c r="BD95" s="319">
        <f>OBJ!B356</f>
        <v>9256926</v>
      </c>
      <c r="BE95" s="21" t="str">
        <f>VLOOKUP(BD95,CENY!$B$11:$G$1054,2,FALSE)</f>
        <v>Quadro You(M) 600/P2O 25kg; EB21; pravý</v>
      </c>
      <c r="BF95" s="22">
        <f>VLOOKUP(BD95,CENY!$B$11:$G$1054,3,FALSE)</f>
        <v>20</v>
      </c>
      <c r="BG95" s="22"/>
      <c r="BH95" s="23">
        <f>AY60</f>
        <v>0</v>
      </c>
      <c r="BI95" s="326">
        <f t="shared" si="6"/>
        <v>0</v>
      </c>
      <c r="BJ95" s="95">
        <f>VLOOKUP(BD95,CENY!$B$11:$M$2025,12,FALSE)</f>
        <v>13.58704</v>
      </c>
      <c r="BK95" s="95">
        <f t="shared" si="7"/>
        <v>0</v>
      </c>
    </row>
    <row r="96" spans="1:63" ht="14.45" customHeight="1">
      <c r="A96" s="579"/>
      <c r="AU96" s="20"/>
      <c r="AV96" s="21"/>
      <c r="AW96" s="22"/>
      <c r="AX96" s="22"/>
      <c r="AY96" s="23"/>
      <c r="AZ96" s="326" t="str">
        <f t="shared" si="5"/>
        <v/>
      </c>
      <c r="BA96" s="95"/>
      <c r="BB96" s="95" t="str">
        <f t="shared" si="4"/>
        <v/>
      </c>
      <c r="BD96" s="319"/>
      <c r="BE96" s="21"/>
      <c r="BF96" s="22"/>
      <c r="BG96" s="22"/>
      <c r="BH96" s="23"/>
      <c r="BI96" s="326" t="str">
        <f t="shared" si="6"/>
        <v/>
      </c>
      <c r="BJ96" s="95"/>
      <c r="BK96" s="95" t="str">
        <f t="shared" si="7"/>
        <v/>
      </c>
    </row>
    <row r="97" spans="1:63" ht="14.45" customHeight="1">
      <c r="A97" s="579"/>
      <c r="AU97" s="331">
        <f>SUM(O84:AJ84)</f>
        <v>0</v>
      </c>
      <c r="AV97" s="21" t="s">
        <v>357</v>
      </c>
      <c r="AW97" s="22"/>
      <c r="AX97" s="22"/>
      <c r="AY97" s="23"/>
      <c r="AZ97" s="326" t="str">
        <f t="shared" si="5"/>
        <v/>
      </c>
      <c r="BA97" s="95"/>
      <c r="BB97" s="95" t="str">
        <f t="shared" si="4"/>
        <v/>
      </c>
      <c r="BD97" s="319">
        <f>OBJ!B358</f>
        <v>9219966</v>
      </c>
      <c r="BE97" s="21" t="str">
        <f>VLOOKUP(BD97,CENY!$B$11:$G$1054,2,FALSE)</f>
        <v>Push to open Synchro / adaptér typ A</v>
      </c>
      <c r="BF97" s="22">
        <f>VLOOKUP(BD97,CENY!$B$11:$G$1054,3,FALSE)</f>
        <v>200</v>
      </c>
      <c r="BG97" s="22"/>
      <c r="BH97" s="23">
        <f>AY62</f>
        <v>0</v>
      </c>
      <c r="BI97" s="326">
        <f t="shared" si="6"/>
        <v>0</v>
      </c>
      <c r="BJ97" s="95">
        <f>VLOOKUP(BD97,CENY!$B$11:$M$2025,12,FALSE)</f>
        <v>0.79318999999999995</v>
      </c>
      <c r="BK97" s="95">
        <f t="shared" si="7"/>
        <v>0</v>
      </c>
    </row>
    <row r="98" spans="1:63" ht="14.45" customHeight="1">
      <c r="A98" s="579"/>
      <c r="AU98" s="22">
        <f>AU95-AU97</f>
        <v>0</v>
      </c>
      <c r="AV98" s="21"/>
      <c r="AW98" s="22"/>
      <c r="AX98" s="22"/>
      <c r="AY98" s="23"/>
      <c r="AZ98" s="326" t="str">
        <f t="shared" si="5"/>
        <v/>
      </c>
      <c r="BA98" s="95"/>
      <c r="BB98" s="95" t="str">
        <f t="shared" si="4"/>
        <v/>
      </c>
      <c r="BD98" s="319"/>
      <c r="BE98" s="21"/>
      <c r="BF98" s="22"/>
      <c r="BG98" s="22"/>
      <c r="BH98" s="23"/>
      <c r="BI98" s="326" t="str">
        <f t="shared" si="6"/>
        <v/>
      </c>
      <c r="BJ98" s="95"/>
      <c r="BK98" s="95" t="str">
        <f t="shared" si="7"/>
        <v/>
      </c>
    </row>
    <row r="99" spans="1:63" ht="14.45" customHeight="1">
      <c r="A99" s="579"/>
      <c r="AU99" s="22">
        <f>ABS(AU98)</f>
        <v>0</v>
      </c>
      <c r="AV99" s="21"/>
      <c r="AW99" s="22"/>
      <c r="AX99" s="22"/>
      <c r="AY99" s="23"/>
      <c r="AZ99" s="326" t="str">
        <f t="shared" si="5"/>
        <v/>
      </c>
      <c r="BA99" s="95"/>
      <c r="BB99" s="95" t="str">
        <f t="shared" si="4"/>
        <v/>
      </c>
      <c r="BD99" s="319">
        <f>OBJ!B214</f>
        <v>0</v>
      </c>
      <c r="BE99" s="21" t="e">
        <f>VLOOKUP(BD99,CENY!$B$11:$G$1054,2,FALSE)</f>
        <v>#N/A</v>
      </c>
      <c r="BF99" s="22" t="e">
        <f>VLOOKUP(BD99,CENY!$B$11:$G$1054,3,FALSE)</f>
        <v>#N/A</v>
      </c>
      <c r="BG99" s="22"/>
      <c r="BH99" s="23">
        <f>AY66</f>
        <v>0</v>
      </c>
      <c r="BI99" s="326">
        <f t="shared" si="6"/>
        <v>0</v>
      </c>
      <c r="BJ99" s="324" t="str">
        <f>IF(BD99=0,"",VLOOKUP(BD99,CENY!$B$11:$M$2025,12,FALSE))</f>
        <v/>
      </c>
      <c r="BK99" s="95" t="str">
        <f t="shared" si="7"/>
        <v/>
      </c>
    </row>
    <row r="100" spans="1:63" ht="14.45" customHeight="1">
      <c r="A100" s="579"/>
      <c r="AU100" s="20"/>
      <c r="AV100" s="21"/>
      <c r="AW100" s="22"/>
      <c r="AX100" s="22"/>
      <c r="AY100" s="23"/>
      <c r="AZ100" s="326" t="str">
        <f t="shared" si="5"/>
        <v/>
      </c>
      <c r="BA100" s="95"/>
      <c r="BB100" s="95" t="str">
        <f t="shared" si="4"/>
        <v/>
      </c>
      <c r="BD100" s="319"/>
      <c r="BE100" s="21"/>
      <c r="BF100" s="22"/>
      <c r="BG100" s="22"/>
      <c r="BH100" s="23"/>
      <c r="BI100" s="326" t="str">
        <f t="shared" si="6"/>
        <v/>
      </c>
      <c r="BJ100" s="95"/>
      <c r="BK100" s="95" t="str">
        <f t="shared" si="7"/>
        <v/>
      </c>
    </row>
    <row r="101" spans="1:63">
      <c r="A101" s="579"/>
      <c r="AU101" s="22">
        <f>(AU97-1)*4+SUM(O80:AJ80)</f>
        <v>-4</v>
      </c>
      <c r="AV101" s="21" t="s">
        <v>358</v>
      </c>
      <c r="AW101" s="22"/>
      <c r="AX101" s="22"/>
      <c r="AY101" s="23"/>
      <c r="AZ101" s="326" t="str">
        <f t="shared" si="5"/>
        <v/>
      </c>
      <c r="BA101" s="95"/>
      <c r="BB101" s="95" t="str">
        <f t="shared" si="4"/>
        <v/>
      </c>
      <c r="BD101" s="319"/>
      <c r="BE101" s="21"/>
      <c r="BF101" s="22"/>
      <c r="BG101" s="22"/>
      <c r="BH101" s="23"/>
      <c r="BI101" s="326" t="str">
        <f t="shared" si="6"/>
        <v/>
      </c>
      <c r="BJ101" s="95"/>
      <c r="BK101" s="95" t="str">
        <f t="shared" si="7"/>
        <v/>
      </c>
    </row>
    <row r="102" spans="1:63">
      <c r="A102" s="579"/>
      <c r="AU102" s="20"/>
      <c r="AV102" s="21"/>
      <c r="AW102" s="22"/>
      <c r="AX102" s="22"/>
      <c r="AY102" s="23"/>
      <c r="AZ102" s="326" t="str">
        <f t="shared" si="5"/>
        <v/>
      </c>
      <c r="BA102" s="95"/>
      <c r="BB102" s="95" t="str">
        <f t="shared" si="4"/>
        <v/>
      </c>
      <c r="BD102" s="319">
        <f>OBJ!B210</f>
        <v>9257663</v>
      </c>
      <c r="BE102" s="21" t="str">
        <f>VLOOKUP(BD102,CENY!$B$11:$G$1054,2,FALSE)</f>
        <v>AvanY-indiv.čelo vnút.zásuv./d2000/strieb.</v>
      </c>
      <c r="BF102" s="22">
        <f>VLOOKUP(BD102,CENY!$B$11:$G$1054,3,FALSE)</f>
        <v>1</v>
      </c>
      <c r="BG102" s="22"/>
      <c r="BH102" s="23">
        <f>AY83</f>
        <v>0</v>
      </c>
      <c r="BI102" s="326">
        <f t="shared" si="6"/>
        <v>0</v>
      </c>
      <c r="BJ102" s="95">
        <f>VLOOKUP(BD102,CENY!$B$11:$M$2025,12,FALSE)</f>
        <v>35.672049999999999</v>
      </c>
      <c r="BK102" s="95">
        <f t="shared" si="7"/>
        <v>0</v>
      </c>
    </row>
    <row r="103" spans="1:63">
      <c r="A103" s="579"/>
      <c r="AU103" s="335" t="str">
        <f>IF(AU97=0,verze!E169&amp;" "&amp;AU95&amp;" "&amp;verze!E170,"")</f>
        <v>Je potrebné vybrať 0 ks vnútorných čiel.</v>
      </c>
      <c r="AV103" s="21"/>
      <c r="AW103" s="22"/>
      <c r="AX103" s="22"/>
      <c r="AY103" s="23"/>
      <c r="AZ103" s="326" t="str">
        <f t="shared" si="5"/>
        <v/>
      </c>
      <c r="BA103" s="95"/>
      <c r="BB103" s="95" t="str">
        <f t="shared" si="4"/>
        <v/>
      </c>
      <c r="BD103" s="319">
        <f>OBJ!B212</f>
        <v>9257657</v>
      </c>
      <c r="BE103" s="21" t="str">
        <f>VLOOKUP(BD103,CENY!$B$11:$G$1054,2,FALSE)</f>
        <v>AvanY-spojky indiv.čela vn.Inlay/v187/strieb.</v>
      </c>
      <c r="BF103" s="22">
        <f>VLOOKUP(BD103,CENY!$B$11:$G$1054,3,FALSE)</f>
        <v>1</v>
      </c>
      <c r="BG103" s="22"/>
      <c r="BH103" s="23">
        <f t="shared" ref="BH103:BH111" si="8">AY84</f>
        <v>0</v>
      </c>
      <c r="BI103" s="326">
        <f t="shared" si="6"/>
        <v>0</v>
      </c>
      <c r="BJ103" s="95">
        <f>VLOOKUP(BD103,CENY!$B$11:$M$2025,12,FALSE)</f>
        <v>26.795850000000002</v>
      </c>
      <c r="BK103" s="95">
        <f t="shared" si="7"/>
        <v>0</v>
      </c>
    </row>
    <row r="104" spans="1:63">
      <c r="A104" s="579"/>
      <c r="AU104" s="335" t="str">
        <f>IF(AU97=0,"",IF(AU95=AU97,verze!E174,IF(AU98&gt;0,verze!E171&amp;" "&amp;AU98&amp;" "&amp;verze!E170,verze!E172&amp;" "&amp;AU99&amp;" "&amp;verze!E173)))</f>
        <v/>
      </c>
      <c r="AV104" s="21"/>
      <c r="AW104" s="22"/>
      <c r="AX104" s="22"/>
      <c r="AY104" s="23"/>
      <c r="AZ104" s="326" t="str">
        <f t="shared" si="5"/>
        <v/>
      </c>
      <c r="BA104" s="95"/>
      <c r="BB104" s="95" t="str">
        <f t="shared" si="4"/>
        <v/>
      </c>
      <c r="BD104" s="319">
        <f>OBJ!B224</f>
        <v>9283228</v>
      </c>
      <c r="BE104" s="21" t="str">
        <f>VLOOKUP(BD104,CENY!$B$11:$G$1054,2,FALSE)</f>
        <v>AvanY-sklo pre vnút.čelo /v66/s450/hr18</v>
      </c>
      <c r="BF104" s="22">
        <f>VLOOKUP(BD104,CENY!$B$11:$G$1054,3,FALSE)</f>
        <v>1</v>
      </c>
      <c r="BG104" s="22"/>
      <c r="BH104" s="23">
        <f t="shared" si="8"/>
        <v>0</v>
      </c>
      <c r="BI104" s="326">
        <f t="shared" si="6"/>
        <v>0</v>
      </c>
      <c r="BJ104" s="95" t="e">
        <f>VLOOKUP(BD104,CENY!$B$11:$M$2025,12,FALSE)</f>
        <v>#N/A</v>
      </c>
      <c r="BK104" s="95" t="e">
        <f t="shared" si="7"/>
        <v>#N/A</v>
      </c>
    </row>
    <row r="105" spans="1:63">
      <c r="A105" s="579"/>
      <c r="AU105" s="20"/>
      <c r="AV105" s="21"/>
      <c r="AW105" s="22"/>
      <c r="AX105" s="22"/>
      <c r="AY105" s="23"/>
      <c r="AZ105" s="326" t="str">
        <f t="shared" si="5"/>
        <v/>
      </c>
      <c r="BA105" s="95"/>
      <c r="BB105" s="95" t="str">
        <f t="shared" si="4"/>
        <v/>
      </c>
      <c r="BD105" s="319">
        <f>OBJ!B225</f>
        <v>9283229</v>
      </c>
      <c r="BE105" s="21" t="str">
        <f>VLOOKUP(BD105,CENY!$B$11:$G$1054,2,FALSE)</f>
        <v>AvanY-sklo pre vnút.čelo /v66/s600/hr18</v>
      </c>
      <c r="BF105" s="22">
        <f>VLOOKUP(BD105,CENY!$B$11:$G$1054,3,FALSE)</f>
        <v>1</v>
      </c>
      <c r="BG105" s="22"/>
      <c r="BH105" s="23">
        <f t="shared" si="8"/>
        <v>0</v>
      </c>
      <c r="BI105" s="326">
        <f t="shared" si="6"/>
        <v>0</v>
      </c>
      <c r="BJ105" s="95">
        <f>VLOOKUP(BD105,CENY!$B$11:$M$2025,12,FALSE)</f>
        <v>19.680150000000001</v>
      </c>
      <c r="BK105" s="95">
        <f t="shared" si="7"/>
        <v>0</v>
      </c>
    </row>
    <row r="106" spans="1:63">
      <c r="AU106" s="20"/>
      <c r="AV106" s="21"/>
      <c r="AW106" s="22"/>
      <c r="AX106" s="22"/>
      <c r="AY106" s="23"/>
      <c r="AZ106" s="326" t="str">
        <f t="shared" si="5"/>
        <v/>
      </c>
      <c r="BA106" s="95"/>
      <c r="BB106" s="95" t="str">
        <f t="shared" si="4"/>
        <v/>
      </c>
      <c r="BD106" s="319">
        <f>OBJ!B226</f>
        <v>9283231</v>
      </c>
      <c r="BE106" s="21" t="str">
        <f>VLOOKUP(BD106,CENY!$B$11:$G$1054,2,FALSE)</f>
        <v>AvanY-sklo pre vnút.čelo /v66/s900/hr18</v>
      </c>
      <c r="BF106" s="22">
        <f>VLOOKUP(BD106,CENY!$B$11:$G$1054,3,FALSE)</f>
        <v>1</v>
      </c>
      <c r="BG106" s="22"/>
      <c r="BH106" s="23">
        <f t="shared" si="8"/>
        <v>0</v>
      </c>
      <c r="BI106" s="326">
        <f t="shared" si="6"/>
        <v>0</v>
      </c>
      <c r="BJ106" s="95">
        <f>VLOOKUP(BD106,CENY!$B$11:$M$2025,12,FALSE)</f>
        <v>34.754010000000001</v>
      </c>
      <c r="BK106" s="95">
        <f t="shared" si="7"/>
        <v>0</v>
      </c>
    </row>
    <row r="107" spans="1:63">
      <c r="AU107" s="20"/>
      <c r="AV107" s="21"/>
      <c r="AW107" s="22"/>
      <c r="AX107" s="22"/>
      <c r="AY107" s="23"/>
      <c r="AZ107" s="326" t="str">
        <f t="shared" si="5"/>
        <v/>
      </c>
      <c r="BA107" s="95"/>
      <c r="BB107" s="95" t="str">
        <f t="shared" si="4"/>
        <v/>
      </c>
      <c r="BD107" s="319">
        <f>OBJ!B227</f>
        <v>9283232</v>
      </c>
      <c r="BE107" s="21" t="str">
        <f>VLOOKUP(BD107,CENY!$B$11:$G$1054,2,FALSE)</f>
        <v>AvanY-sklo pre vnút.čelo /v66/s1200/hr18</v>
      </c>
      <c r="BF107" s="22">
        <f>VLOOKUP(BD107,CENY!$B$11:$G$1054,3,FALSE)</f>
        <v>1</v>
      </c>
      <c r="BG107" s="22"/>
      <c r="BH107" s="23">
        <f t="shared" si="8"/>
        <v>0</v>
      </c>
      <c r="BI107" s="326">
        <f t="shared" si="6"/>
        <v>0</v>
      </c>
      <c r="BJ107" s="95">
        <f>VLOOKUP(BD107,CENY!$B$11:$M$2025,12,FALSE)</f>
        <v>44.803019999999997</v>
      </c>
      <c r="BK107" s="95">
        <f t="shared" si="7"/>
        <v>0</v>
      </c>
    </row>
    <row r="108" spans="1:63">
      <c r="AU108" s="20"/>
      <c r="AV108" s="21"/>
      <c r="AW108" s="22"/>
      <c r="AX108" s="22"/>
      <c r="AY108" s="23"/>
      <c r="AZ108" s="326" t="str">
        <f t="shared" si="5"/>
        <v/>
      </c>
      <c r="BA108" s="95"/>
      <c r="BB108" s="95" t="str">
        <f t="shared" si="4"/>
        <v/>
      </c>
      <c r="BD108" s="319">
        <f>OBJ!B228</f>
        <v>9283233</v>
      </c>
      <c r="BE108" s="21" t="str">
        <f>VLOOKUP(BD108,CENY!$B$11:$G$1054,2,FALSE)</f>
        <v>AvanY-sklo pre vnút.čelo /v130/s450/hr18</v>
      </c>
      <c r="BF108" s="22">
        <f>VLOOKUP(BD108,CENY!$B$11:$G$1054,3,FALSE)</f>
        <v>1</v>
      </c>
      <c r="BG108" s="22"/>
      <c r="BH108" s="23">
        <f t="shared" si="8"/>
        <v>0</v>
      </c>
      <c r="BI108" s="326">
        <f t="shared" si="6"/>
        <v>0</v>
      </c>
      <c r="BJ108" s="95">
        <f>VLOOKUP(BD108,CENY!$B$11:$M$2025,12,FALSE)</f>
        <v>27.140440000000002</v>
      </c>
      <c r="BK108" s="95">
        <f t="shared" si="7"/>
        <v>0</v>
      </c>
    </row>
    <row r="109" spans="1:63">
      <c r="AU109" s="20"/>
      <c r="AV109" s="21"/>
      <c r="AW109" s="22"/>
      <c r="AX109" s="22"/>
      <c r="AY109" s="23"/>
      <c r="AZ109" s="326" t="str">
        <f t="shared" si="5"/>
        <v/>
      </c>
      <c r="BA109" s="95"/>
      <c r="BB109" s="95" t="str">
        <f t="shared" si="4"/>
        <v/>
      </c>
      <c r="BD109" s="319">
        <f>OBJ!B229</f>
        <v>9283235</v>
      </c>
      <c r="BE109" s="21" t="str">
        <f>VLOOKUP(BD109,CENY!$B$11:$G$1054,2,FALSE)</f>
        <v>AvanY-sklo pre vnút.čelo /v130/s600/hr18</v>
      </c>
      <c r="BF109" s="22">
        <f>VLOOKUP(BD109,CENY!$B$11:$G$1054,3,FALSE)</f>
        <v>1</v>
      </c>
      <c r="BG109" s="22"/>
      <c r="BH109" s="23">
        <f t="shared" si="8"/>
        <v>0</v>
      </c>
      <c r="BI109" s="326">
        <f t="shared" si="6"/>
        <v>0</v>
      </c>
      <c r="BJ109" s="95">
        <f>VLOOKUP(BD109,CENY!$B$11:$M$2025,12,FALSE)</f>
        <v>30.842929999999999</v>
      </c>
      <c r="BK109" s="95">
        <f t="shared" si="7"/>
        <v>0</v>
      </c>
    </row>
    <row r="110" spans="1:63">
      <c r="AU110" s="20"/>
      <c r="AV110" s="21"/>
      <c r="AW110" s="22"/>
      <c r="AX110" s="22"/>
      <c r="AY110" s="23"/>
      <c r="AZ110" s="326" t="str">
        <f t="shared" si="5"/>
        <v/>
      </c>
      <c r="BA110" s="95"/>
      <c r="BB110" s="95" t="str">
        <f t="shared" si="4"/>
        <v/>
      </c>
      <c r="BD110" s="319">
        <f>OBJ!B230</f>
        <v>9283237</v>
      </c>
      <c r="BE110" s="21" t="str">
        <f>VLOOKUP(BD110,CENY!$B$11:$G$1054,2,FALSE)</f>
        <v>AvanY-sklo pre vnút.čelo /v130/s900/hr18</v>
      </c>
      <c r="BF110" s="22">
        <f>VLOOKUP(BD110,CENY!$B$11:$G$1054,3,FALSE)</f>
        <v>1</v>
      </c>
      <c r="BG110" s="22"/>
      <c r="BH110" s="23">
        <f t="shared" si="8"/>
        <v>0</v>
      </c>
      <c r="BI110" s="326">
        <f t="shared" si="6"/>
        <v>0</v>
      </c>
      <c r="BJ110" s="95">
        <f>VLOOKUP(BD110,CENY!$B$11:$M$2025,12,FALSE)</f>
        <v>51.404679999999999</v>
      </c>
      <c r="BK110" s="95">
        <f t="shared" si="7"/>
        <v>0</v>
      </c>
    </row>
    <row r="111" spans="1:63">
      <c r="AU111" s="20"/>
      <c r="AV111" s="21"/>
      <c r="AW111" s="22"/>
      <c r="AX111" s="22"/>
      <c r="AY111" s="23"/>
      <c r="AZ111" s="326" t="str">
        <f t="shared" si="5"/>
        <v/>
      </c>
      <c r="BA111" s="95"/>
      <c r="BB111" s="95" t="str">
        <f t="shared" si="4"/>
        <v/>
      </c>
      <c r="BD111" s="319">
        <f>OBJ!B231</f>
        <v>9283238</v>
      </c>
      <c r="BE111" s="21" t="str">
        <f>VLOOKUP(BD111,CENY!$B$11:$G$1054,2,FALSE)</f>
        <v>AvanY-sklo pre vnút.čelo /v130/s1200/hr18</v>
      </c>
      <c r="BF111" s="22">
        <f>VLOOKUP(BD111,CENY!$B$11:$G$1054,3,FALSE)</f>
        <v>1</v>
      </c>
      <c r="BG111" s="22"/>
      <c r="BH111" s="23">
        <f t="shared" si="8"/>
        <v>0</v>
      </c>
      <c r="BI111" s="326">
        <f t="shared" si="6"/>
        <v>0</v>
      </c>
      <c r="BJ111" s="95">
        <f>VLOOKUP(BD111,CENY!$B$11:$M$2025,12,FALSE)</f>
        <v>66.209140000000005</v>
      </c>
      <c r="BK111" s="95">
        <f t="shared" si="7"/>
        <v>0</v>
      </c>
    </row>
    <row r="112" spans="1:63">
      <c r="AU112" s="20"/>
      <c r="AV112" s="21"/>
      <c r="AW112" s="22"/>
      <c r="AX112" s="22"/>
      <c r="AY112" s="23"/>
      <c r="AZ112" s="326"/>
      <c r="BA112" s="95"/>
      <c r="BB112" s="95"/>
      <c r="BD112" s="319"/>
      <c r="BE112" s="21"/>
      <c r="BF112" s="22"/>
      <c r="BG112" s="22"/>
      <c r="BH112" s="23"/>
      <c r="BI112" s="326"/>
      <c r="BJ112" s="95"/>
      <c r="BK112" s="95"/>
    </row>
    <row r="113" spans="47:63">
      <c r="AU113" s="319">
        <f>OBJ!B361</f>
        <v>45167</v>
      </c>
      <c r="AV113" s="21" t="str">
        <f>VLOOKUP(AU113,CENY!$B$11:$G$1054,2,FALSE)</f>
        <v>Skrutka s polgul.hlavou 3,5x12mm</v>
      </c>
      <c r="AW113" s="22">
        <f>VLOOKUP(AU113,CENY!$B$11:$G$1054,3,FALSE)</f>
        <v>200</v>
      </c>
      <c r="AX113" s="22"/>
      <c r="AY113" s="23">
        <f>SUMPRODUCT(AX5:AX11,AY5:AY11)</f>
        <v>0</v>
      </c>
      <c r="AZ113" s="326">
        <f>IF(AY113="","",IF($AW$4=1,AY113,0))</f>
        <v>0</v>
      </c>
      <c r="BA113" s="95">
        <f>VLOOKUP(AU113,CENY!$B$11:$M$2025,12,FALSE)</f>
        <v>3.4759999999999999E-2</v>
      </c>
      <c r="BB113" s="95">
        <f>IF(BA113="","",BA113*AY113)</f>
        <v>0</v>
      </c>
      <c r="BC113" s="86" t="s">
        <v>396</v>
      </c>
      <c r="BD113" s="319">
        <f>OBJ!B361</f>
        <v>45167</v>
      </c>
      <c r="BE113" s="21" t="str">
        <f>VLOOKUP(BD113,CENY!$B$11:$G$1054,2,FALSE)</f>
        <v>Skrutka s polgul.hlavou 3,5x12mm</v>
      </c>
      <c r="BF113" s="22">
        <f>VLOOKUP(BD113,CENY!$B$11:$G$1054,3,FALSE)</f>
        <v>200</v>
      </c>
      <c r="BG113" s="22"/>
      <c r="BH113" s="23">
        <f>AY113+BH21*2</f>
        <v>0</v>
      </c>
      <c r="BI113" s="326">
        <f>IF(BH113="","",IF($AW$4=0,BH113,0))</f>
        <v>0</v>
      </c>
      <c r="BJ113" s="95">
        <f>VLOOKUP(BD113,CENY!$B$11:$M$2025,12,FALSE)</f>
        <v>3.4759999999999999E-2</v>
      </c>
      <c r="BK113" s="95">
        <f>IF(BJ113="","",BJ113*BH113)</f>
        <v>0</v>
      </c>
    </row>
    <row r="114" spans="47:63">
      <c r="AU114" s="319">
        <f>OBJ!B362</f>
        <v>45168</v>
      </c>
      <c r="AV114" s="21" t="str">
        <f>VLOOKUP(AU114,CENY!$B$11:$G$1054,2,FALSE)</f>
        <v>Skrutka s polgul.hlavou 3,5x20mm</v>
      </c>
      <c r="AW114" s="22">
        <f>VLOOKUP(AU114,CENY!$B$11:$G$1054,3,FALSE)</f>
        <v>200</v>
      </c>
      <c r="AX114" s="22"/>
      <c r="AY114" s="360">
        <v>0</v>
      </c>
      <c r="AZ114" s="326">
        <f>IF(AY114="","",IF($AW$4=1,AY114,0))</f>
        <v>0</v>
      </c>
      <c r="BA114" s="95">
        <f>VLOOKUP(AU114,CENY!$B$11:$M$2025,12,FALSE)</f>
        <v>4.9860000000000002E-2</v>
      </c>
      <c r="BB114" s="95">
        <f>IF(BA114="","",BA114*AY114)</f>
        <v>0</v>
      </c>
      <c r="BC114" s="86" t="s">
        <v>397</v>
      </c>
      <c r="BD114" s="319">
        <f>OBJ!B362</f>
        <v>45168</v>
      </c>
      <c r="BE114" s="21" t="str">
        <f>VLOOKUP(BD114,CENY!$B$11:$G$1054,2,FALSE)</f>
        <v>Skrutka s polgul.hlavou 3,5x20mm</v>
      </c>
      <c r="BF114" s="22">
        <f>VLOOKUP(BD114,CENY!$B$11:$G$1054,3,FALSE)</f>
        <v>200</v>
      </c>
      <c r="BG114" s="22"/>
      <c r="BH114" s="360">
        <v>0</v>
      </c>
      <c r="BI114" s="326">
        <f>IF(BH114="","",IF($AW$4=0,BH114,0))</f>
        <v>0</v>
      </c>
      <c r="BJ114" s="95">
        <f>VLOOKUP(BD114,CENY!$B$11:$M$2025,12,FALSE)</f>
        <v>4.9860000000000002E-2</v>
      </c>
      <c r="BK114" s="95">
        <f>IF(BJ114="","",BJ114*BH114)</f>
        <v>0</v>
      </c>
    </row>
    <row r="115" spans="47:63">
      <c r="AU115" s="319">
        <f>OBJ!B363</f>
        <v>9278224</v>
      </c>
      <c r="AV115" s="21" t="str">
        <f>VLOOKUP(AU115,CENY!$B$11:$G$1054,2,FALSE)</f>
        <v>Skrutka s polgul.hlavou 3,5x30mm</v>
      </c>
      <c r="AW115" s="22">
        <f>VLOOKUP(AU115,CENY!$B$11:$G$1054,3,FALSE)</f>
        <v>200</v>
      </c>
      <c r="AX115" s="22"/>
      <c r="AY115" s="360">
        <v>0</v>
      </c>
      <c r="AZ115" s="326">
        <f>IF(AY115="","",IF($AW$4=1,AY115,0))</f>
        <v>0</v>
      </c>
      <c r="BA115" s="95">
        <f>VLOOKUP(AU115,CENY!$B$11:$M$2025,12,FALSE)</f>
        <v>4.299E-2</v>
      </c>
      <c r="BB115" s="95">
        <f>IF(BA115="","",BA115*AY115)</f>
        <v>0</v>
      </c>
      <c r="BC115" s="86" t="s">
        <v>398</v>
      </c>
      <c r="BD115" s="319">
        <f>OBJ!B363</f>
        <v>9278224</v>
      </c>
      <c r="BE115" s="21" t="str">
        <f>VLOOKUP(BD115,CENY!$B$11:$G$1054,2,FALSE)</f>
        <v>Skrutka s polgul.hlavou 3,5x30mm</v>
      </c>
      <c r="BF115" s="22">
        <f>VLOOKUP(BD115,CENY!$B$11:$G$1054,3,FALSE)</f>
        <v>200</v>
      </c>
      <c r="BG115" s="22"/>
      <c r="BH115" s="360">
        <f>2*SUM(BH5:BH18)</f>
        <v>0</v>
      </c>
      <c r="BI115" s="326">
        <f>IF(BH115="","",IF($AW$4=0,BH115,0))</f>
        <v>0</v>
      </c>
      <c r="BJ115" s="95">
        <f>VLOOKUP(BD115,CENY!$B$11:$M$2025,12,FALSE)</f>
        <v>4.299E-2</v>
      </c>
      <c r="BK115" s="95">
        <f>IF(BJ115="","",BJ115*BH115)</f>
        <v>0</v>
      </c>
    </row>
    <row r="116" spans="47:63">
      <c r="AU116" s="319">
        <f>OBJ!B364</f>
        <v>9279197</v>
      </c>
      <c r="AV116" s="21" t="str">
        <f>VLOOKUP(AU116,CENY!$B$11:$G$1054,2,FALSE)</f>
        <v>Skrutka s polgul.hlavou M3,5x12mm</v>
      </c>
      <c r="AW116" s="22">
        <f>VLOOKUP(AU116,CENY!$B$11:$G$1054,3,FALSE)</f>
        <v>1000</v>
      </c>
      <c r="AX116" s="22"/>
      <c r="AY116" s="68">
        <v>0</v>
      </c>
      <c r="AZ116" s="326">
        <f>IF(AY116="","",IF($AW$4=1,AY116,0))</f>
        <v>0</v>
      </c>
      <c r="BA116" s="95" t="e">
        <f>VLOOKUP(AU116,CENY!$B$11:$M$2025,12,FALSE)</f>
        <v>#N/A</v>
      </c>
      <c r="BB116" s="95" t="e">
        <f>IF(BA116="","",BA116*AY116)</f>
        <v>#N/A</v>
      </c>
      <c r="BC116" s="86" t="s">
        <v>399</v>
      </c>
      <c r="BD116" s="319">
        <f>OBJ!B364</f>
        <v>9279197</v>
      </c>
      <c r="BE116" s="21" t="str">
        <f>VLOOKUP(BD116,CENY!$B$11:$G$1054,2,FALSE)</f>
        <v>Skrutka s polgul.hlavou M3,5x12mm</v>
      </c>
      <c r="BF116" s="22">
        <f>VLOOKUP(BD116,CENY!$B$11:$G$1054,3,FALSE)</f>
        <v>1000</v>
      </c>
      <c r="BG116" s="22"/>
      <c r="BH116" s="68">
        <v>0</v>
      </c>
      <c r="BI116" s="326">
        <f>IF(BH116="","",IF($AW$4=0,BH116,0))</f>
        <v>0</v>
      </c>
      <c r="BJ116" s="95" t="e">
        <f>VLOOKUP(BD116,CENY!$B$11:$M$2025,12,FALSE)</f>
        <v>#N/A</v>
      </c>
      <c r="BK116" s="95" t="e">
        <f>IF(BJ116="","",BJ116*BH116)</f>
        <v>#N/A</v>
      </c>
    </row>
    <row r="117" spans="47:63">
      <c r="AU117" s="319">
        <f>OBJ!B365</f>
        <v>9137114</v>
      </c>
      <c r="AV117" s="21" t="str">
        <f>VLOOKUP(AU117,CENY!$B$11:$G$1054,2,FALSE)</f>
        <v>EURO-skrutka  6,0x14mm / niklovaná</v>
      </c>
      <c r="AW117" s="22">
        <f>VLOOKUP(AU117,CENY!$B$11:$G$1054,3,FALSE)</f>
        <v>200</v>
      </c>
      <c r="AX117" s="22"/>
      <c r="AY117" s="23">
        <f>SUMPRODUCT(AX21:AX60,AY21:AY60)</f>
        <v>0</v>
      </c>
      <c r="AZ117" s="326">
        <f>IF(AY117="","",IF($AW$4=1,AY117,0))</f>
        <v>0</v>
      </c>
      <c r="BA117" s="95">
        <f>VLOOKUP(AU117,CENY!$B$11:$M$2025,12,FALSE)</f>
        <v>7.7280000000000001E-2</v>
      </c>
      <c r="BB117" s="95">
        <f>IF(BA117="","",BA117*AY117)</f>
        <v>0</v>
      </c>
      <c r="BC117" s="86" t="s">
        <v>400</v>
      </c>
      <c r="BD117" s="319">
        <f>OBJ!B365</f>
        <v>9137114</v>
      </c>
      <c r="BE117" s="21" t="str">
        <f>VLOOKUP(BD117,CENY!$B$11:$G$1054,2,FALSE)</f>
        <v>EURO-skrutka  6,0x14mm / niklovaná</v>
      </c>
      <c r="BF117" s="22">
        <f>VLOOKUP(BD117,CENY!$B$11:$G$1054,3,FALSE)</f>
        <v>200</v>
      </c>
      <c r="BG117" s="22"/>
      <c r="BH117" s="23">
        <f>AY117</f>
        <v>0</v>
      </c>
      <c r="BI117" s="326">
        <f>IF(BH117="","",IF($AW$4=0,BH117,0))</f>
        <v>0</v>
      </c>
      <c r="BJ117" s="95">
        <f>VLOOKUP(BD117,CENY!$B$11:$M$2025,12,FALSE)</f>
        <v>7.7280000000000001E-2</v>
      </c>
      <c r="BK117" s="95">
        <f>IF(BJ117="","",BJ117*BH117)</f>
        <v>0</v>
      </c>
    </row>
    <row r="118" spans="47:63">
      <c r="AU118" s="20"/>
      <c r="AV118" s="21"/>
      <c r="AW118" s="22"/>
      <c r="AX118" s="22"/>
      <c r="AY118" s="23"/>
      <c r="AZ118" s="326" t="str">
        <f t="shared" si="5"/>
        <v/>
      </c>
      <c r="BA118" s="95"/>
      <c r="BB118" s="95" t="str">
        <f t="shared" si="4"/>
        <v/>
      </c>
      <c r="BD118" s="319"/>
      <c r="BE118" s="21"/>
      <c r="BF118" s="22"/>
      <c r="BG118" s="22"/>
      <c r="BH118" s="23"/>
      <c r="BI118" s="326" t="str">
        <f t="shared" si="6"/>
        <v/>
      </c>
      <c r="BJ118" s="95"/>
      <c r="BK118" s="95" t="str">
        <f t="shared" si="7"/>
        <v/>
      </c>
    </row>
    <row r="119" spans="47:63">
      <c r="AU119" s="20"/>
      <c r="AV119" s="21"/>
      <c r="AW119" s="22"/>
      <c r="AX119" s="22"/>
      <c r="AY119" s="23"/>
      <c r="AZ119" s="326" t="str">
        <f t="shared" si="5"/>
        <v/>
      </c>
      <c r="BA119" s="95"/>
      <c r="BB119" s="95" t="str">
        <f t="shared" si="4"/>
        <v/>
      </c>
      <c r="BD119" s="319"/>
      <c r="BE119" s="21"/>
      <c r="BF119" s="22"/>
      <c r="BG119" s="22"/>
      <c r="BH119" s="23"/>
      <c r="BI119" s="326" t="str">
        <f t="shared" si="6"/>
        <v/>
      </c>
      <c r="BJ119" s="95"/>
      <c r="BK119" s="95" t="str">
        <f t="shared" si="7"/>
        <v/>
      </c>
    </row>
    <row r="120" spans="47:63">
      <c r="AU120" s="20"/>
      <c r="AV120" s="21"/>
      <c r="AW120" s="22"/>
      <c r="AX120" s="22"/>
      <c r="AY120" s="23"/>
      <c r="AZ120" s="326" t="str">
        <f t="shared" si="5"/>
        <v/>
      </c>
      <c r="BA120" s="95"/>
      <c r="BB120" s="95" t="str">
        <f>IF(BA120="","",BA120*AY120)</f>
        <v/>
      </c>
      <c r="BD120" s="319"/>
      <c r="BE120" s="21"/>
      <c r="BF120" s="22"/>
      <c r="BG120" s="22"/>
      <c r="BH120" s="23"/>
      <c r="BI120" s="326" t="str">
        <f t="shared" si="6"/>
        <v/>
      </c>
      <c r="BJ120" s="95"/>
      <c r="BK120" s="95" t="str">
        <f t="shared" si="7"/>
        <v/>
      </c>
    </row>
    <row r="121" spans="47:63">
      <c r="AU121" s="20"/>
      <c r="AV121" s="21"/>
      <c r="AW121" s="22"/>
      <c r="AX121" s="22"/>
      <c r="AY121" s="23"/>
      <c r="AZ121" s="326" t="str">
        <f t="shared" si="5"/>
        <v/>
      </c>
      <c r="BA121" s="95"/>
      <c r="BB121" s="95" t="str">
        <f>IF(BA121="","",BA121*AY121)</f>
        <v/>
      </c>
      <c r="BD121" s="319"/>
      <c r="BE121" s="21"/>
      <c r="BF121" s="22"/>
      <c r="BG121" s="22"/>
      <c r="BH121" s="23"/>
      <c r="BI121" s="326" t="str">
        <f t="shared" si="6"/>
        <v/>
      </c>
      <c r="BJ121" s="95"/>
      <c r="BK121" s="95" t="str">
        <f t="shared" si="7"/>
        <v/>
      </c>
    </row>
    <row r="122" spans="47:63">
      <c r="AU122" s="20"/>
      <c r="AV122" s="21"/>
      <c r="AW122" s="22"/>
      <c r="AX122" s="22"/>
      <c r="AY122" s="23"/>
      <c r="AZ122" s="326" t="str">
        <f t="shared" si="5"/>
        <v/>
      </c>
      <c r="BA122" s="95"/>
      <c r="BB122" s="95" t="str">
        <f>IF(BA122="","",BA122*AY122)</f>
        <v/>
      </c>
      <c r="BD122" s="319"/>
      <c r="BE122" s="21"/>
      <c r="BF122" s="22"/>
      <c r="BG122" s="22"/>
      <c r="BH122" s="23"/>
      <c r="BI122" s="326" t="str">
        <f t="shared" si="6"/>
        <v/>
      </c>
      <c r="BJ122" s="95"/>
      <c r="BK122" s="95" t="str">
        <f t="shared" si="7"/>
        <v/>
      </c>
    </row>
  </sheetData>
  <sheetProtection algorithmName="SHA-512" hashValue="uFLpJMtJlZ6Xmqf+iP8mVnZlSaVSSE30a75GGlW0nx1yqFfF4RYjCVZ4ezusMYi3PhVjuuYp/cT9NiFUqqgy3w==" saltValue="BwA1oQjfrR0G767dSWhbQg==" spinCount="100000" sheet="1" objects="1" scenarios="1"/>
  <mergeCells count="174"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U2:Y2"/>
    <mergeCell ref="AA2:AE2"/>
    <mergeCell ref="AI2:AM2"/>
    <mergeCell ref="B12:E12"/>
    <mergeCell ref="F12:K12"/>
    <mergeCell ref="B13:E13"/>
    <mergeCell ref="F13:I13"/>
    <mergeCell ref="J13:K13"/>
    <mergeCell ref="O17:AF17"/>
    <mergeCell ref="B9:E9"/>
    <mergeCell ref="F9:K9"/>
    <mergeCell ref="B10:E10"/>
    <mergeCell ref="F10:K10"/>
    <mergeCell ref="B11:E11"/>
    <mergeCell ref="F11:K11"/>
    <mergeCell ref="AI18:AO18"/>
    <mergeCell ref="B19:G19"/>
    <mergeCell ref="H19:L19"/>
    <mergeCell ref="M19:N19"/>
    <mergeCell ref="O19:P19"/>
    <mergeCell ref="Q19:R19"/>
    <mergeCell ref="S19:T19"/>
    <mergeCell ref="AN19:AO19"/>
    <mergeCell ref="AI17:AO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22:G22"/>
    <mergeCell ref="H22:L22"/>
    <mergeCell ref="M22:N22"/>
    <mergeCell ref="O22:P22"/>
    <mergeCell ref="Q22:R22"/>
    <mergeCell ref="S22:T22"/>
    <mergeCell ref="U20:V20"/>
    <mergeCell ref="W20:X20"/>
    <mergeCell ref="Y20:Z20"/>
    <mergeCell ref="B20:G20"/>
    <mergeCell ref="H20:L20"/>
    <mergeCell ref="M20:N20"/>
    <mergeCell ref="O20:P20"/>
    <mergeCell ref="Q20:R20"/>
    <mergeCell ref="S20:T20"/>
    <mergeCell ref="U22:V22"/>
    <mergeCell ref="W22:X22"/>
    <mergeCell ref="B27:G27"/>
    <mergeCell ref="H27:L27"/>
    <mergeCell ref="M27:N27"/>
    <mergeCell ref="O27:P27"/>
    <mergeCell ref="Q27:R27"/>
    <mergeCell ref="S27:T27"/>
    <mergeCell ref="AN27:AO27"/>
    <mergeCell ref="O26:P26"/>
    <mergeCell ref="Q26:R26"/>
    <mergeCell ref="S26:T26"/>
    <mergeCell ref="U26:V26"/>
    <mergeCell ref="W26:X26"/>
    <mergeCell ref="Y26:Z26"/>
    <mergeCell ref="B30:G30"/>
    <mergeCell ref="H30:L30"/>
    <mergeCell ref="M30:N30"/>
    <mergeCell ref="S30:T30"/>
    <mergeCell ref="U30:V30"/>
    <mergeCell ref="W30:X30"/>
    <mergeCell ref="U28:V28"/>
    <mergeCell ref="W28:X28"/>
    <mergeCell ref="Y28:Z28"/>
    <mergeCell ref="B28:G28"/>
    <mergeCell ref="H28:L28"/>
    <mergeCell ref="M28:N28"/>
    <mergeCell ref="O28:P28"/>
    <mergeCell ref="Q28:R28"/>
    <mergeCell ref="S28:T28"/>
    <mergeCell ref="A66:A105"/>
    <mergeCell ref="B67:E67"/>
    <mergeCell ref="G67:K67"/>
    <mergeCell ref="O67:S67"/>
    <mergeCell ref="U67:Y67"/>
    <mergeCell ref="AA67:AE67"/>
    <mergeCell ref="O80:P80"/>
    <mergeCell ref="S80:T80"/>
    <mergeCell ref="U80:V80"/>
    <mergeCell ref="W80:X80"/>
    <mergeCell ref="O81:AJ81"/>
    <mergeCell ref="AC80:AD80"/>
    <mergeCell ref="AE80:AF80"/>
    <mergeCell ref="AG80:AH80"/>
    <mergeCell ref="AI80:AJ80"/>
    <mergeCell ref="Q80:R80"/>
    <mergeCell ref="Y80:Z80"/>
    <mergeCell ref="AA80:AB80"/>
    <mergeCell ref="AI83:AJ83"/>
    <mergeCell ref="M84:N84"/>
    <mergeCell ref="V87:AC92"/>
    <mergeCell ref="AA79:AB79"/>
    <mergeCell ref="AC79:AD79"/>
    <mergeCell ref="AE79:AF79"/>
    <mergeCell ref="AK9:AP10"/>
    <mergeCell ref="AI67:AM67"/>
    <mergeCell ref="AO67:AR67"/>
    <mergeCell ref="AN29:AO29"/>
    <mergeCell ref="Y30:Z30"/>
    <mergeCell ref="AA30:AB30"/>
    <mergeCell ref="AC30:AD30"/>
    <mergeCell ref="AA26:AB26"/>
    <mergeCell ref="AA28:AB28"/>
    <mergeCell ref="AC28:AD28"/>
    <mergeCell ref="AN28:AO28"/>
    <mergeCell ref="AC26:AD26"/>
    <mergeCell ref="AI26:AO26"/>
    <mergeCell ref="Y22:Z22"/>
    <mergeCell ref="AA22:AB22"/>
    <mergeCell ref="AC22:AD22"/>
    <mergeCell ref="AE22:AF22"/>
    <mergeCell ref="AN22:AO22"/>
    <mergeCell ref="AI25:AO25"/>
    <mergeCell ref="AN20:AO20"/>
    <mergeCell ref="AN21:AO21"/>
    <mergeCell ref="AA20:AB20"/>
    <mergeCell ref="AC20:AD20"/>
    <mergeCell ref="AE20:AF20"/>
    <mergeCell ref="W85:X85"/>
    <mergeCell ref="Y85:Z85"/>
    <mergeCell ref="AG83:AH83"/>
    <mergeCell ref="O84:P84"/>
    <mergeCell ref="Q84:R84"/>
    <mergeCell ref="S84:T84"/>
    <mergeCell ref="U84:V84"/>
    <mergeCell ref="O83:P83"/>
    <mergeCell ref="Q83:R83"/>
    <mergeCell ref="S83:T83"/>
    <mergeCell ref="U83:V83"/>
    <mergeCell ref="AA83:AB83"/>
    <mergeCell ref="AC83:AD83"/>
    <mergeCell ref="AE83:AF83"/>
    <mergeCell ref="O82:V82"/>
    <mergeCell ref="AA82:AB82"/>
    <mergeCell ref="AC82:AJ82"/>
    <mergeCell ref="Y79:Z79"/>
    <mergeCell ref="AG79:AH79"/>
    <mergeCell ref="AI79:AJ79"/>
    <mergeCell ref="AA85:AB85"/>
    <mergeCell ref="AC85:AD85"/>
    <mergeCell ref="AE85:AF85"/>
    <mergeCell ref="AG85:AH85"/>
    <mergeCell ref="AI85:AJ85"/>
    <mergeCell ref="O79:P79"/>
    <mergeCell ref="Q79:R79"/>
    <mergeCell ref="S79:T79"/>
    <mergeCell ref="U79:V79"/>
    <mergeCell ref="W79:X79"/>
    <mergeCell ref="AC84:AD84"/>
    <mergeCell ref="AE84:AF84"/>
    <mergeCell ref="AG84:AH84"/>
    <mergeCell ref="AI84:AJ84"/>
    <mergeCell ref="O85:P85"/>
    <mergeCell ref="Q85:R85"/>
    <mergeCell ref="S85:T85"/>
    <mergeCell ref="U85:V85"/>
  </mergeCells>
  <conditionalFormatting sqref="AY24:AY29 AY37:AY40 BH35:BH40 BH42:BH47 BH72:BH77 AY31:AY35 BH49:BH57 AY15:AY22 AY54:AY57 BH30:BH33 BH63:BH70 BH79:BH92 BH5:BH22 AY5:AY13 AZ6:AZ82 BH118:BI122 AZ118:AZ122 AY105:AZ112 BH112 BI6:BI112">
    <cfRule type="cellIs" dxfId="458" priority="85" stopIfTrue="1" operator="equal">
      <formula>0</formula>
    </cfRule>
  </conditionalFormatting>
  <conditionalFormatting sqref="AY50:AY53 AY63 AY42:AY43 AY47 AY65 AY45">
    <cfRule type="cellIs" dxfId="457" priority="83" stopIfTrue="1" operator="equal">
      <formula>0</formula>
    </cfRule>
  </conditionalFormatting>
  <conditionalFormatting sqref="O17:AF17 S19:T19 S20:AD20 W22:AD22 S27:T27 S28:AD28 S30:AD30">
    <cfRule type="expression" dxfId="456" priority="84" stopIfTrue="1">
      <formula>$AW$4=0</formula>
    </cfRule>
  </conditionalFormatting>
  <conditionalFormatting sqref="AY72 AY78:AY79">
    <cfRule type="cellIs" dxfId="455" priority="82" stopIfTrue="1" operator="equal">
      <formula>0</formula>
    </cfRule>
  </conditionalFormatting>
  <conditionalFormatting sqref="AY80">
    <cfRule type="cellIs" dxfId="454" priority="81" stopIfTrue="1" operator="equal">
      <formula>0</formula>
    </cfRule>
  </conditionalFormatting>
  <conditionalFormatting sqref="AY60:AY61">
    <cfRule type="cellIs" dxfId="453" priority="70" stopIfTrue="1" operator="equal">
      <formula>0</formula>
    </cfRule>
  </conditionalFormatting>
  <conditionalFormatting sqref="AY48:AY49">
    <cfRule type="cellIs" dxfId="452" priority="79" stopIfTrue="1" operator="equal">
      <formula>0</formula>
    </cfRule>
  </conditionalFormatting>
  <conditionalFormatting sqref="AY59">
    <cfRule type="cellIs" dxfId="451" priority="78" stopIfTrue="1" operator="equal">
      <formula>0</formula>
    </cfRule>
  </conditionalFormatting>
  <conditionalFormatting sqref="AY67:AY69">
    <cfRule type="cellIs" dxfId="450" priority="77" stopIfTrue="1" operator="equal">
      <formula>0</formula>
    </cfRule>
  </conditionalFormatting>
  <conditionalFormatting sqref="AY70">
    <cfRule type="cellIs" dxfId="449" priority="76" stopIfTrue="1" operator="equal">
      <formula>0</formula>
    </cfRule>
  </conditionalFormatting>
  <conditionalFormatting sqref="AY71">
    <cfRule type="cellIs" dxfId="448" priority="75" stopIfTrue="1" operator="equal">
      <formula>0</formula>
    </cfRule>
  </conditionalFormatting>
  <conditionalFormatting sqref="AY81:AY82">
    <cfRule type="cellIs" dxfId="447" priority="74" stopIfTrue="1" operator="equal">
      <formula>0</formula>
    </cfRule>
  </conditionalFormatting>
  <conditionalFormatting sqref="BH94:BH96 BH98">
    <cfRule type="cellIs" dxfId="446" priority="73" stopIfTrue="1" operator="equal">
      <formula>0</formula>
    </cfRule>
  </conditionalFormatting>
  <conditionalFormatting sqref="AY118:AY122">
    <cfRule type="cellIs" dxfId="445" priority="71" stopIfTrue="1" operator="equal">
      <formula>0</formula>
    </cfRule>
  </conditionalFormatting>
  <conditionalFormatting sqref="BH99:BH101">
    <cfRule type="cellIs" dxfId="444" priority="69" stopIfTrue="1" operator="equal">
      <formula>0</formula>
    </cfRule>
  </conditionalFormatting>
  <conditionalFormatting sqref="AY14">
    <cfRule type="cellIs" dxfId="443" priority="68" stopIfTrue="1" operator="equal">
      <formula>0</formula>
    </cfRule>
  </conditionalFormatting>
  <conditionalFormatting sqref="AY23">
    <cfRule type="cellIs" dxfId="442" priority="67" stopIfTrue="1" operator="equal">
      <formula>0</formula>
    </cfRule>
  </conditionalFormatting>
  <conditionalFormatting sqref="AY36">
    <cfRule type="cellIs" dxfId="441" priority="66" stopIfTrue="1" operator="equal">
      <formula>0</formula>
    </cfRule>
  </conditionalFormatting>
  <conditionalFormatting sqref="AY41">
    <cfRule type="cellIs" dxfId="440" priority="65" stopIfTrue="1" operator="equal">
      <formula>0</formula>
    </cfRule>
  </conditionalFormatting>
  <conditionalFormatting sqref="AY46">
    <cfRule type="cellIs" dxfId="439" priority="64" stopIfTrue="1" operator="equal">
      <formula>0</formula>
    </cfRule>
  </conditionalFormatting>
  <conditionalFormatting sqref="AY58">
    <cfRule type="cellIs" dxfId="438" priority="63" stopIfTrue="1" operator="equal">
      <formula>0</formula>
    </cfRule>
  </conditionalFormatting>
  <conditionalFormatting sqref="AY62">
    <cfRule type="cellIs" dxfId="437" priority="62" stopIfTrue="1" operator="equal">
      <formula>0</formula>
    </cfRule>
  </conditionalFormatting>
  <conditionalFormatting sqref="AY64">
    <cfRule type="cellIs" dxfId="436" priority="61" stopIfTrue="1" operator="equal">
      <formula>0</formula>
    </cfRule>
  </conditionalFormatting>
  <conditionalFormatting sqref="AY66">
    <cfRule type="cellIs" dxfId="435" priority="60" stopIfTrue="1" operator="equal">
      <formula>0</formula>
    </cfRule>
  </conditionalFormatting>
  <conditionalFormatting sqref="AY73:AY77">
    <cfRule type="cellIs" dxfId="434" priority="59" stopIfTrue="1" operator="equal">
      <formula>0</formula>
    </cfRule>
  </conditionalFormatting>
  <conditionalFormatting sqref="F13:K13">
    <cfRule type="expression" dxfId="433" priority="58" stopIfTrue="1">
      <formula>$AW$4=1</formula>
    </cfRule>
  </conditionalFormatting>
  <conditionalFormatting sqref="BH23:BH26">
    <cfRule type="cellIs" dxfId="432" priority="57" stopIfTrue="1" operator="equal">
      <formula>0</formula>
    </cfRule>
  </conditionalFormatting>
  <conditionalFormatting sqref="BH27">
    <cfRule type="cellIs" dxfId="431" priority="56" stopIfTrue="1" operator="equal">
      <formula>0</formula>
    </cfRule>
  </conditionalFormatting>
  <conditionalFormatting sqref="BH28">
    <cfRule type="cellIs" dxfId="430" priority="55" stopIfTrue="1" operator="equal">
      <formula>0</formula>
    </cfRule>
  </conditionalFormatting>
  <conditionalFormatting sqref="BH29">
    <cfRule type="cellIs" dxfId="429" priority="54" stopIfTrue="1" operator="equal">
      <formula>0</formula>
    </cfRule>
  </conditionalFormatting>
  <conditionalFormatting sqref="BH34">
    <cfRule type="cellIs" dxfId="428" priority="53" stopIfTrue="1" operator="equal">
      <formula>0</formula>
    </cfRule>
  </conditionalFormatting>
  <conditionalFormatting sqref="BH41">
    <cfRule type="cellIs" dxfId="427" priority="52" stopIfTrue="1" operator="equal">
      <formula>0</formula>
    </cfRule>
  </conditionalFormatting>
  <conditionalFormatting sqref="BH58">
    <cfRule type="cellIs" dxfId="426" priority="51" stopIfTrue="1" operator="equal">
      <formula>0</formula>
    </cfRule>
  </conditionalFormatting>
  <conditionalFormatting sqref="BH59:BH62">
    <cfRule type="cellIs" dxfId="425" priority="50" stopIfTrue="1" operator="equal">
      <formula>0</formula>
    </cfRule>
  </conditionalFormatting>
  <conditionalFormatting sqref="BH71">
    <cfRule type="cellIs" dxfId="424" priority="49" stopIfTrue="1" operator="equal">
      <formula>0</formula>
    </cfRule>
  </conditionalFormatting>
  <conditionalFormatting sqref="BH78">
    <cfRule type="cellIs" dxfId="423" priority="48" stopIfTrue="1" operator="equal">
      <formula>0</formula>
    </cfRule>
  </conditionalFormatting>
  <conditionalFormatting sqref="BH93">
    <cfRule type="cellIs" dxfId="422" priority="47" stopIfTrue="1" operator="equal">
      <formula>0</formula>
    </cfRule>
  </conditionalFormatting>
  <conditionalFormatting sqref="BH97">
    <cfRule type="cellIs" dxfId="421" priority="46" stopIfTrue="1" operator="equal">
      <formula>0</formula>
    </cfRule>
  </conditionalFormatting>
  <conditionalFormatting sqref="AE22:AF22">
    <cfRule type="expression" dxfId="420" priority="44" stopIfTrue="1">
      <formula>$AW$4=0</formula>
    </cfRule>
  </conditionalFormatting>
  <conditionalFormatting sqref="AY44">
    <cfRule type="cellIs" dxfId="419" priority="41" stopIfTrue="1" operator="equal">
      <formula>0</formula>
    </cfRule>
  </conditionalFormatting>
  <conditionalFormatting sqref="AY30">
    <cfRule type="cellIs" dxfId="418" priority="43" stopIfTrue="1" operator="equal">
      <formula>0</formula>
    </cfRule>
  </conditionalFormatting>
  <conditionalFormatting sqref="BH48">
    <cfRule type="cellIs" dxfId="417" priority="42" stopIfTrue="1" operator="equal">
      <formula>0</formula>
    </cfRule>
  </conditionalFormatting>
  <conditionalFormatting sqref="AZ5">
    <cfRule type="cellIs" dxfId="416" priority="40" stopIfTrue="1" operator="equal">
      <formula>0</formula>
    </cfRule>
  </conditionalFormatting>
  <conditionalFormatting sqref="BI5">
    <cfRule type="cellIs" dxfId="415" priority="39" stopIfTrue="1" operator="equal">
      <formula>0</formula>
    </cfRule>
  </conditionalFormatting>
  <conditionalFormatting sqref="AY83:AY84">
    <cfRule type="cellIs" dxfId="414" priority="19" stopIfTrue="1" operator="equal">
      <formula>0</formula>
    </cfRule>
  </conditionalFormatting>
  <conditionalFormatting sqref="AY85:AY89">
    <cfRule type="cellIs" dxfId="413" priority="18" stopIfTrue="1" operator="equal">
      <formula>0</formula>
    </cfRule>
  </conditionalFormatting>
  <conditionalFormatting sqref="AY90:AY92">
    <cfRule type="cellIs" dxfId="412" priority="17" stopIfTrue="1" operator="equal">
      <formula>0</formula>
    </cfRule>
  </conditionalFormatting>
  <conditionalFormatting sqref="AZ83:AZ104">
    <cfRule type="cellIs" dxfId="411" priority="16" stopIfTrue="1" operator="equal">
      <formula>0</formula>
    </cfRule>
  </conditionalFormatting>
  <conditionalFormatting sqref="BH102">
    <cfRule type="cellIs" dxfId="410" priority="15" stopIfTrue="1" operator="equal">
      <formula>0</formula>
    </cfRule>
  </conditionalFormatting>
  <conditionalFormatting sqref="AY103:AY104">
    <cfRule type="cellIs" dxfId="409" priority="22" stopIfTrue="1" operator="equal">
      <formula>0</formula>
    </cfRule>
  </conditionalFormatting>
  <conditionalFormatting sqref="AY102">
    <cfRule type="cellIs" dxfId="408" priority="21" stopIfTrue="1" operator="equal">
      <formula>0</formula>
    </cfRule>
  </conditionalFormatting>
  <conditionalFormatting sqref="AY96:AY101">
    <cfRule type="cellIs" dxfId="407" priority="20" stopIfTrue="1" operator="equal">
      <formula>0</formula>
    </cfRule>
  </conditionalFormatting>
  <conditionalFormatting sqref="AR87">
    <cfRule type="expression" dxfId="406" priority="25" stopIfTrue="1">
      <formula>$AU$95=AU97</formula>
    </cfRule>
  </conditionalFormatting>
  <conditionalFormatting sqref="V87:AC92">
    <cfRule type="expression" dxfId="405" priority="24" stopIfTrue="1">
      <formula>OR($AU$97=0,$AU$97=$AU$95)</formula>
    </cfRule>
  </conditionalFormatting>
  <conditionalFormatting sqref="AY93:AY95">
    <cfRule type="cellIs" dxfId="404" priority="23" stopIfTrue="1" operator="equal">
      <formula>0</formula>
    </cfRule>
  </conditionalFormatting>
  <conditionalFormatting sqref="BH103:BH111">
    <cfRule type="cellIs" dxfId="403" priority="9" stopIfTrue="1" operator="equal">
      <formula>0</formula>
    </cfRule>
  </conditionalFormatting>
  <conditionalFormatting sqref="AZ113:AZ117">
    <cfRule type="cellIs" dxfId="402" priority="7" stopIfTrue="1" operator="equal">
      <formula>0</formula>
    </cfRule>
  </conditionalFormatting>
  <conditionalFormatting sqref="AY113:AY117">
    <cfRule type="cellIs" dxfId="401" priority="6" stopIfTrue="1" operator="equal">
      <formula>0</formula>
    </cfRule>
  </conditionalFormatting>
  <conditionalFormatting sqref="BH113 BH116:BH117">
    <cfRule type="cellIs" dxfId="400" priority="5" stopIfTrue="1" operator="equal">
      <formula>0</formula>
    </cfRule>
  </conditionalFormatting>
  <conditionalFormatting sqref="BI113:BI117">
    <cfRule type="cellIs" dxfId="399" priority="4" stopIfTrue="1" operator="equal">
      <formula>0</formula>
    </cfRule>
  </conditionalFormatting>
  <conditionalFormatting sqref="BH114:BH115">
    <cfRule type="cellIs" dxfId="398" priority="3" stopIfTrue="1" operator="equal">
      <formula>0</formula>
    </cfRule>
  </conditionalFormatting>
  <conditionalFormatting sqref="AI17:AO17">
    <cfRule type="expression" dxfId="397" priority="2" stopIfTrue="1">
      <formula>$AW$4=0</formula>
    </cfRule>
  </conditionalFormatting>
  <conditionalFormatting sqref="AI25:AO25">
    <cfRule type="expression" dxfId="396" priority="1" stopIfTrue="1">
      <formula>$AW$4=0</formula>
    </cfRule>
  </conditionalFormatting>
  <hyperlinks>
    <hyperlink ref="M4" location="MENU!A1" display="MENU!A1" xr:uid="{00000000-0004-0000-0F00-000000000000}"/>
    <hyperlink ref="M10" location="OBJ!A1" display="OBJ!A1" xr:uid="{00000000-0004-0000-0F00-000001000000}"/>
    <hyperlink ref="M9" location="suhrn!A1" display="suhrn!A1" xr:uid="{00000000-0004-0000-0F00-000002000000}"/>
    <hyperlink ref="O2:S2" location="MENU!A5" display="MENU!A5" xr:uid="{00000000-0004-0000-0F00-000003000000}"/>
    <hyperlink ref="AK9:AO10" location="'IT70(vn100)'!A66" display="'IT70(vn100)'!A66" xr:uid="{00000000-0004-0000-0F00-000004000000}"/>
    <hyperlink ref="AK9:AP10" location="'AVT187In(vn-S)'!A66" display="'AVT187In(vn-S)'!A66" xr:uid="{00000000-0004-0000-0F00-000005000000}"/>
    <hyperlink ref="M69" location="MENU!A1" display="MENU!A1" xr:uid="{00000000-0004-0000-0F00-000006000000}"/>
    <hyperlink ref="B67:E67" location="'AVT187In(vn-S)'!A1" display="'AVT187In(vn-S)'!A1" xr:uid="{00000000-0004-0000-0F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7">
    <tabColor theme="9" tint="-0.249977111117893"/>
  </sheetPr>
  <dimension ref="A1:BK117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101 / 187"</f>
        <v>Zásuvka AVANTECH YOU  101 /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SUM(BB5:BB974)</f>
        <v>#N/A</v>
      </c>
      <c r="BD4" s="94" t="s">
        <v>34</v>
      </c>
      <c r="BK4" s="322" t="e">
        <f>SUM(BK5:BK967)</f>
        <v>#N/A</v>
      </c>
    </row>
    <row r="5" spans="1:63" ht="14.45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23">
        <f>O19+O25</f>
        <v>0</v>
      </c>
      <c r="AZ5" s="326">
        <f>IF(AY5="","",IF($AW$4=1,AY5,0))</f>
        <v>0</v>
      </c>
      <c r="BA5" s="95">
        <f>VLOOKUP(AU5,CENY!$B$11:$M$2025,12,FALSE)</f>
        <v>26.248429999999999</v>
      </c>
      <c r="BB5" s="95">
        <f t="shared" ref="BB5:BB58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10.00929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387</v>
      </c>
      <c r="G6" s="566"/>
      <c r="H6" s="566"/>
      <c r="I6" s="566"/>
      <c r="J6" s="566"/>
      <c r="K6" s="566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23">
        <f>Q19+Q25</f>
        <v>0</v>
      </c>
      <c r="AZ6" s="326">
        <f t="shared" ref="AZ6:AZ55" si="1">IF(AY6="","",IF($AW$4=1,AY6,0))</f>
        <v>0</v>
      </c>
      <c r="BA6" s="95">
        <f>VLOOKUP(AU6,CENY!$B$11:$M$2025,12,FALSE)</f>
        <v>26.467459999999999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23">
        <f>AY5</f>
        <v>0</v>
      </c>
      <c r="BI6" s="326">
        <f t="shared" ref="BI6:BI82" si="2">IF(BH6="","",IF($AW$4=0,BH6,0))</f>
        <v>0</v>
      </c>
      <c r="BJ6" s="95">
        <f>VLOOKUP(BD6,CENY!$B$11:$M$2025,12,FALSE)</f>
        <v>10.00929</v>
      </c>
      <c r="BK6" s="95">
        <f t="shared" ref="BK6:BK82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23">
        <f>S19+S25</f>
        <v>0</v>
      </c>
      <c r="AZ7" s="326">
        <f t="shared" si="1"/>
        <v>0</v>
      </c>
      <c r="BA7" s="95">
        <f>VLOOKUP(AU7,CENY!$B$11:$M$2025,12,FALSE)</f>
        <v>26.833570000000002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10.12106</v>
      </c>
      <c r="BK7" s="95">
        <f t="shared" si="3"/>
        <v>0</v>
      </c>
    </row>
    <row r="8" spans="1:63" ht="14.45" customHeigh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23">
        <f>U19+U25</f>
        <v>0</v>
      </c>
      <c r="AZ8" s="326">
        <f t="shared" si="1"/>
        <v>0</v>
      </c>
      <c r="BA8" s="95">
        <f>VLOOKUP(AU8,CENY!$B$11:$M$2025,12,FALSE)</f>
        <v>27.19903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10.12106</v>
      </c>
      <c r="BK8" s="95">
        <f t="shared" si="3"/>
        <v>0</v>
      </c>
    </row>
    <row r="9" spans="1:63" ht="14.45" customHeight="1">
      <c r="B9" s="552"/>
      <c r="C9" s="560"/>
      <c r="D9" s="560"/>
      <c r="E9" s="561"/>
      <c r="F9" s="562"/>
      <c r="G9" s="563"/>
      <c r="H9" s="563"/>
      <c r="I9" s="563"/>
      <c r="J9" s="563"/>
      <c r="K9" s="564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W19+W20+W25</f>
        <v>0</v>
      </c>
      <c r="AZ9" s="326">
        <f t="shared" si="1"/>
        <v>0</v>
      </c>
      <c r="BA9" s="95">
        <f>VLOOKUP(AU9,CENY!$B$11:$M$2025,12,FALSE)</f>
        <v>26.252320000000001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10.307510000000001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Y19+Y20+Y25</f>
        <v>0</v>
      </c>
      <c r="AZ10" s="326">
        <f t="shared" si="1"/>
        <v>0</v>
      </c>
      <c r="BA10" s="95">
        <f>VLOOKUP(AU10,CENY!$B$11:$M$2025,12,FALSE)</f>
        <v>26.6005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10.307510000000001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AA19+AA20+AA25</f>
        <v>0</v>
      </c>
      <c r="AZ11" s="326">
        <f t="shared" si="1"/>
        <v>0</v>
      </c>
      <c r="BA11" s="95">
        <f>VLOOKUP(AU11,CENY!$B$11:$M$2025,12,FALSE)</f>
        <v>28.296320000000001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10.49362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AC19+AC20+AC25</f>
        <v>0</v>
      </c>
      <c r="AZ12" s="326">
        <f t="shared" si="1"/>
        <v>0</v>
      </c>
      <c r="BA12" s="95">
        <f>VLOOKUP(AU12,CENY!$B$11:$M$2025,12,FALSE)</f>
        <v>28.89237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10.49362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AE20</f>
        <v>0</v>
      </c>
      <c r="AZ13" s="326">
        <f t="shared" si="1"/>
        <v>0</v>
      </c>
      <c r="BA13" s="95">
        <f>VLOOKUP(AU13,CENY!$B$11:$M$2025,12,FALSE)</f>
        <v>29.75958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10.680099999999999</v>
      </c>
      <c r="BK13" s="95">
        <f t="shared" si="3"/>
        <v>0</v>
      </c>
    </row>
    <row r="14" spans="1:63" ht="14.45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10.680099999999999</v>
      </c>
      <c r="BK14" s="95">
        <f t="shared" si="3"/>
        <v>0</v>
      </c>
    </row>
    <row r="15" spans="1:63" ht="14.45" customHeight="1">
      <c r="AU15" s="319">
        <f>OBJ!B112</f>
        <v>9353353</v>
      </c>
      <c r="AV15" s="21" t="str">
        <f>VLOOKUP(AU15,CENY!$B$11:$G$1054,2,FALSE)</f>
        <v>AvanY-sólo oceľ.boky-NW 187/270mm/strieb.</v>
      </c>
      <c r="AW15" s="22">
        <f>VLOOKUP(AU15,CENY!$B$11:$G$1054,3,FALSE)</f>
        <v>1</v>
      </c>
      <c r="AX15" s="362">
        <v>4</v>
      </c>
      <c r="AY15" s="23">
        <f t="shared" ref="AY15:AY23" si="4">AY5</f>
        <v>0</v>
      </c>
      <c r="AZ15" s="326">
        <f t="shared" si="1"/>
        <v>0</v>
      </c>
      <c r="BA15" s="95">
        <f>VLOOKUP(AU15,CENY!$B$11:$M$2025,12,FALSE)</f>
        <v>37.606110000000001</v>
      </c>
      <c r="BB15" s="95">
        <f t="shared" si="0"/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10.348739999999999</v>
      </c>
      <c r="BK15" s="95">
        <f t="shared" si="3"/>
        <v>0</v>
      </c>
    </row>
    <row r="16" spans="1:63" ht="14.45" customHeight="1">
      <c r="AU16" s="319">
        <f>OBJ!B113</f>
        <v>9353354</v>
      </c>
      <c r="AV16" s="21" t="str">
        <f>VLOOKUP(AU16,CENY!$B$11:$G$1054,2,FALSE)</f>
        <v>AvanY-sólo oceľ.boky-NW 187/300mm/strieb.</v>
      </c>
      <c r="AW16" s="22">
        <f>VLOOKUP(AU16,CENY!$B$11:$G$1054,3,FALSE)</f>
        <v>1</v>
      </c>
      <c r="AX16" s="362">
        <v>4</v>
      </c>
      <c r="AY16" s="23">
        <f t="shared" si="4"/>
        <v>0</v>
      </c>
      <c r="AZ16" s="326">
        <f t="shared" si="1"/>
        <v>0</v>
      </c>
      <c r="BA16" s="95">
        <f>VLOOKUP(AU16,CENY!$B$11:$M$2025,12,FALSE)</f>
        <v>37.95196</v>
      </c>
      <c r="BB16" s="95">
        <f t="shared" si="0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10.348739999999999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U17" s="319">
        <f>OBJ!B114</f>
        <v>9353355</v>
      </c>
      <c r="AV17" s="21" t="str">
        <f>VLOOKUP(AU17,CENY!$B$11:$G$1054,2,FALSE)</f>
        <v>AvanY-sólo oceľ.boky-NW 187/350mm/strieb.</v>
      </c>
      <c r="AW17" s="22">
        <f>VLOOKUP(AU17,CENY!$B$11:$G$1054,3,FALSE)</f>
        <v>1</v>
      </c>
      <c r="AX17" s="362">
        <v>6</v>
      </c>
      <c r="AY17" s="23">
        <f t="shared" si="4"/>
        <v>0</v>
      </c>
      <c r="AZ17" s="326">
        <f t="shared" si="1"/>
        <v>0</v>
      </c>
      <c r="BA17" s="95">
        <f>VLOOKUP(AU17,CENY!$B$11:$M$2025,12,FALSE)</f>
        <v>38.529060000000001</v>
      </c>
      <c r="BB17" s="95">
        <f t="shared" si="0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11.052530000000001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U18" s="319">
        <f>OBJ!B115</f>
        <v>9353356</v>
      </c>
      <c r="AV18" s="21" t="str">
        <f>VLOOKUP(AU18,CENY!$B$11:$G$1054,2,FALSE)</f>
        <v>AvanY-sólo oceľ.boky-NW 187/400mm/strieb.</v>
      </c>
      <c r="AW18" s="22">
        <f>VLOOKUP(AU18,CENY!$B$11:$G$1054,3,FALSE)</f>
        <v>1</v>
      </c>
      <c r="AX18" s="362">
        <v>6</v>
      </c>
      <c r="AY18" s="23">
        <f t="shared" si="4"/>
        <v>0</v>
      </c>
      <c r="AZ18" s="326">
        <f t="shared" si="1"/>
        <v>0</v>
      </c>
      <c r="BA18" s="95">
        <f>VLOOKUP(AU18,CENY!$B$11:$M$2025,12,FALSE)</f>
        <v>39.106140000000003</v>
      </c>
      <c r="BB18" s="95">
        <f t="shared" si="0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11.052530000000001</v>
      </c>
      <c r="BK18" s="95">
        <f t="shared" si="3"/>
        <v>0</v>
      </c>
    </row>
    <row r="19" spans="2:63" ht="14.45" customHeight="1" thickBot="1">
      <c r="B19" s="523" t="s">
        <v>290</v>
      </c>
      <c r="C19" s="523"/>
      <c r="D19" s="523"/>
      <c r="E19" s="523"/>
      <c r="F19" s="523"/>
      <c r="G19" s="523"/>
      <c r="H19" s="524" t="str">
        <f>verze!E18</f>
        <v>plnovýsuv</v>
      </c>
      <c r="I19" s="524"/>
      <c r="J19" s="524"/>
      <c r="K19" s="524"/>
      <c r="L19" s="524"/>
      <c r="M19" s="534" t="s">
        <v>287</v>
      </c>
      <c r="N19" s="535"/>
      <c r="O19" s="569"/>
      <c r="P19" s="605"/>
      <c r="Q19" s="606"/>
      <c r="R19" s="570"/>
      <c r="S19" s="569"/>
      <c r="T19" s="570"/>
      <c r="U19" s="569"/>
      <c r="V19" s="570"/>
      <c r="W19" s="569"/>
      <c r="X19" s="570"/>
      <c r="Y19" s="569"/>
      <c r="Z19" s="570"/>
      <c r="AA19" s="569"/>
      <c r="AB19" s="570"/>
      <c r="AC19" s="569"/>
      <c r="AD19" s="605"/>
      <c r="AE19" s="280"/>
      <c r="AF19" s="281"/>
      <c r="AU19" s="319">
        <f>OBJ!B116</f>
        <v>9353357</v>
      </c>
      <c r="AV19" s="21" t="str">
        <f>VLOOKUP(AU19,CENY!$B$11:$G$1054,2,FALSE)</f>
        <v>AvanY-sólo oceľ.boky-NW 187/450mm/strieb.</v>
      </c>
      <c r="AW19" s="22">
        <f>VLOOKUP(AU19,CENY!$B$11:$G$1054,3,FALSE)</f>
        <v>1</v>
      </c>
      <c r="AX19" s="362">
        <v>6</v>
      </c>
      <c r="AY19" s="23">
        <f t="shared" si="4"/>
        <v>0</v>
      </c>
      <c r="AZ19" s="326">
        <f t="shared" si="1"/>
        <v>0</v>
      </c>
      <c r="BA19" s="95">
        <f>VLOOKUP(AU19,CENY!$B$11:$M$2025,12,FALSE)</f>
        <v>37.79374</v>
      </c>
      <c r="BB19" s="95">
        <f t="shared" si="0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11.33343</v>
      </c>
      <c r="BK19" s="95">
        <f t="shared" si="3"/>
        <v>0</v>
      </c>
    </row>
    <row r="20" spans="2:63" ht="14.45" customHeight="1" thickBot="1">
      <c r="B20" s="546" t="s">
        <v>291</v>
      </c>
      <c r="C20" s="546"/>
      <c r="D20" s="546"/>
      <c r="E20" s="546"/>
      <c r="F20" s="546"/>
      <c r="G20" s="546"/>
      <c r="H20" s="547" t="str">
        <f>verze!E18</f>
        <v>plnovýsuv</v>
      </c>
      <c r="I20" s="547"/>
      <c r="J20" s="547"/>
      <c r="K20" s="547"/>
      <c r="L20" s="547"/>
      <c r="M20" s="525" t="s">
        <v>288</v>
      </c>
      <c r="N20" s="526"/>
      <c r="O20" s="520"/>
      <c r="P20" s="521"/>
      <c r="Q20" s="520"/>
      <c r="R20" s="521"/>
      <c r="S20" s="520"/>
      <c r="T20" s="521"/>
      <c r="U20" s="520"/>
      <c r="V20" s="521"/>
      <c r="W20" s="518"/>
      <c r="X20" s="519"/>
      <c r="Y20" s="518"/>
      <c r="Z20" s="519"/>
      <c r="AA20" s="518"/>
      <c r="AB20" s="519"/>
      <c r="AC20" s="518"/>
      <c r="AD20" s="519"/>
      <c r="AE20" s="567"/>
      <c r="AF20" s="607"/>
      <c r="AU20" s="319">
        <f>OBJ!B117</f>
        <v>9353358</v>
      </c>
      <c r="AV20" s="21" t="str">
        <f>VLOOKUP(AU20,CENY!$B$11:$G$1054,2,FALSE)</f>
        <v>AvanY-sólo oceľ.boky-NW 187/500mm/strieb.</v>
      </c>
      <c r="AW20" s="22">
        <f>VLOOKUP(AU20,CENY!$B$11:$G$1054,3,FALSE)</f>
        <v>1</v>
      </c>
      <c r="AX20" s="362">
        <v>8</v>
      </c>
      <c r="AY20" s="23">
        <f t="shared" si="4"/>
        <v>0</v>
      </c>
      <c r="AZ20" s="326">
        <f t="shared" si="1"/>
        <v>0</v>
      </c>
      <c r="BA20" s="95">
        <f>VLOOKUP(AU20,CENY!$B$11:$M$2025,12,FALSE)</f>
        <v>38.343159999999997</v>
      </c>
      <c r="BB20" s="95">
        <f t="shared" si="0"/>
        <v>0</v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11.33343</v>
      </c>
      <c r="BK20" s="95">
        <f t="shared" si="3"/>
        <v>0</v>
      </c>
    </row>
    <row r="21" spans="2:63" ht="14.45" customHeight="1">
      <c r="O21" s="4"/>
      <c r="P21" s="4"/>
      <c r="AU21" s="319">
        <f>OBJ!B118</f>
        <v>9353359</v>
      </c>
      <c r="AV21" s="21" t="str">
        <f>VLOOKUP(AU21,CENY!$B$11:$G$1054,2,FALSE)</f>
        <v>AvanY-sólo oceľ.boky-NW 187/550mm/strieb.</v>
      </c>
      <c r="AW21" s="22">
        <f>VLOOKUP(AU21,CENY!$B$11:$G$1054,3,FALSE)</f>
        <v>1</v>
      </c>
      <c r="AX21" s="362">
        <v>8</v>
      </c>
      <c r="AY21" s="23">
        <f t="shared" si="4"/>
        <v>0</v>
      </c>
      <c r="AZ21" s="326">
        <f t="shared" si="1"/>
        <v>0</v>
      </c>
      <c r="BA21" s="95">
        <f>VLOOKUP(AU21,CENY!$B$11:$M$2025,12,FALSE)</f>
        <v>40.83719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11.715400000000001</v>
      </c>
      <c r="BK21" s="95">
        <f t="shared" si="3"/>
        <v>0</v>
      </c>
    </row>
    <row r="22" spans="2:63" ht="14.45" customHeight="1">
      <c r="AU22" s="319">
        <f>OBJ!B119</f>
        <v>9353360</v>
      </c>
      <c r="AV22" s="21" t="str">
        <f>VLOOKUP(AU22,CENY!$B$11:$G$1054,2,FALSE)</f>
        <v>AvanY-sólo oceľ.boky-NW 187/600mm/strieb.</v>
      </c>
      <c r="AW22" s="22">
        <f>VLOOKUP(AU22,CENY!$B$11:$G$1054,3,FALSE)</f>
        <v>1</v>
      </c>
      <c r="AX22" s="362">
        <v>8</v>
      </c>
      <c r="AY22" s="23">
        <f t="shared" si="4"/>
        <v>0</v>
      </c>
      <c r="AZ22" s="326">
        <f t="shared" si="1"/>
        <v>0</v>
      </c>
      <c r="BA22" s="95">
        <f>VLOOKUP(AU22,CENY!$B$11:$M$2025,12,FALSE)</f>
        <v>41.752409999999998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11.715400000000001</v>
      </c>
      <c r="BK22" s="95">
        <f t="shared" si="3"/>
        <v>0</v>
      </c>
    </row>
    <row r="23" spans="2:63" ht="14.45" customHeight="1" thickBot="1">
      <c r="B23" s="2" t="s">
        <v>285</v>
      </c>
      <c r="AU23" s="319">
        <f>OBJ!B120</f>
        <v>9353371</v>
      </c>
      <c r="AV23" s="21" t="str">
        <f>VLOOKUP(AU23,CENY!$B$11:$G$1054,2,FALSE)</f>
        <v>AvanY-sólo oceľ.boky-NW 187/650mm/strieb.</v>
      </c>
      <c r="AW23" s="22">
        <f>VLOOKUP(AU23,CENY!$B$11:$G$1054,3,FALSE)</f>
        <v>1</v>
      </c>
      <c r="AX23" s="362">
        <v>10</v>
      </c>
      <c r="AY23" s="23">
        <f t="shared" si="4"/>
        <v>0</v>
      </c>
      <c r="AZ23" s="326">
        <f t="shared" si="1"/>
        <v>0</v>
      </c>
      <c r="BA23" s="95">
        <f>VLOOKUP(AU23,CENY!$B$11:$M$2025,12,FALSE)</f>
        <v>43.053130000000003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ref="BI23:BI42" si="5">IF(BH23="","",IF($AW$4=0,BH23,0))</f>
        <v/>
      </c>
      <c r="BJ23" s="95"/>
      <c r="BK23" s="95" t="str">
        <f t="shared" ref="BK23:BK42" si="6">IF(BJ23="","",BJ23*BH23)</f>
        <v/>
      </c>
    </row>
    <row r="24" spans="2:63" ht="14.45" customHeight="1" thickBot="1">
      <c r="B24" s="96"/>
      <c r="C24" s="96"/>
      <c r="D24" s="96"/>
      <c r="E24" s="96"/>
      <c r="F24" s="96"/>
      <c r="G24" s="96"/>
      <c r="H24" s="72"/>
      <c r="I24" s="72"/>
      <c r="J24" s="72"/>
      <c r="K24" s="72"/>
      <c r="L24" s="72"/>
      <c r="M24" s="72"/>
      <c r="N24" s="72" t="str">
        <f>verze!$E$20&amp;" "</f>
        <v xml:space="preserve">Menovitá dĺžka: </v>
      </c>
      <c r="O24" s="537">
        <v>270</v>
      </c>
      <c r="P24" s="538"/>
      <c r="Q24" s="537">
        <v>300</v>
      </c>
      <c r="R24" s="538"/>
      <c r="S24" s="537">
        <v>350</v>
      </c>
      <c r="T24" s="538"/>
      <c r="U24" s="537">
        <v>400</v>
      </c>
      <c r="V24" s="538"/>
      <c r="W24" s="537">
        <v>450</v>
      </c>
      <c r="X24" s="538"/>
      <c r="Y24" s="539">
        <v>500</v>
      </c>
      <c r="Z24" s="540"/>
      <c r="AA24" s="537">
        <v>550</v>
      </c>
      <c r="AB24" s="538"/>
      <c r="AC24" s="537">
        <v>600</v>
      </c>
      <c r="AD24" s="538"/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19">
        <f>OBJ!B122</f>
        <v>9255044</v>
      </c>
      <c r="BE24" s="21" t="str">
        <f>VLOOKUP(BD24,CENY!$B$11:$G$1054,2,FALSE)</f>
        <v>AvanY-bok ľavý /v187/h270/ strieborná</v>
      </c>
      <c r="BF24" s="22">
        <f>VLOOKUP(BD24,CENY!$B$11:$G$1054,3,FALSE)</f>
        <v>10</v>
      </c>
      <c r="BG24" s="22"/>
      <c r="BH24" s="23">
        <f>BH5</f>
        <v>0</v>
      </c>
      <c r="BI24" s="326">
        <f t="shared" si="5"/>
        <v>0</v>
      </c>
      <c r="BJ24" s="95">
        <f>VLOOKUP(BD24,CENY!$B$11:$M$2025,12,FALSE)</f>
        <v>16.540590000000002</v>
      </c>
      <c r="BK24" s="95">
        <f t="shared" si="6"/>
        <v>0</v>
      </c>
    </row>
    <row r="25" spans="2:63" ht="14.45" customHeight="1" thickBot="1">
      <c r="B25" s="523" t="s">
        <v>372</v>
      </c>
      <c r="C25" s="523"/>
      <c r="D25" s="523"/>
      <c r="E25" s="523"/>
      <c r="F25" s="523"/>
      <c r="G25" s="523"/>
      <c r="H25" s="524" t="str">
        <f>verze!E18</f>
        <v>plnovýsuv</v>
      </c>
      <c r="I25" s="524"/>
      <c r="J25" s="524"/>
      <c r="K25" s="524"/>
      <c r="L25" s="524"/>
      <c r="M25" s="534" t="s">
        <v>1</v>
      </c>
      <c r="N25" s="535"/>
      <c r="O25" s="569"/>
      <c r="P25" s="605"/>
      <c r="Q25" s="606"/>
      <c r="R25" s="605"/>
      <c r="S25" s="606"/>
      <c r="T25" s="570"/>
      <c r="U25" s="606"/>
      <c r="V25" s="570"/>
      <c r="W25" s="606"/>
      <c r="X25" s="570"/>
      <c r="Y25" s="606"/>
      <c r="Z25" s="570"/>
      <c r="AA25" s="606"/>
      <c r="AB25" s="570"/>
      <c r="AC25" s="518"/>
      <c r="AD25" s="604"/>
      <c r="AU25" s="319">
        <f>OBJ!B71</f>
        <v>9347502</v>
      </c>
      <c r="AV25" s="21" t="str">
        <f>VLOOKUP(AU25,CENY!$B$11:$G$1054,2,FALSE)</f>
        <v>AvanY-design ALprofil Hybrid na bok 270/ strieb.</v>
      </c>
      <c r="AW25" s="22">
        <f>VLOOKUP(AU25,CENY!$B$11:$G$1054,3,FALSE)</f>
        <v>200</v>
      </c>
      <c r="AX25" s="22"/>
      <c r="AY25" s="23">
        <f>IF(FORM!AM18=FORM!AU16,0,4*(O19+O25))</f>
        <v>0</v>
      </c>
      <c r="AZ25" s="326">
        <f t="shared" si="1"/>
        <v>0</v>
      </c>
      <c r="BA25" s="95">
        <f>VLOOKUP(AU25,CENY!$B$11:$M$2025,12,FALSE)</f>
        <v>0.95189000000000001</v>
      </c>
      <c r="BB25" s="95">
        <f t="shared" si="0"/>
        <v>0</v>
      </c>
      <c r="BD25" s="319">
        <f>OBJ!B123</f>
        <v>9255045</v>
      </c>
      <c r="BE25" s="21" t="str">
        <f>VLOOKUP(BD25,CENY!$B$11:$G$1054,2,FALSE)</f>
        <v>AvanY-bok pravý /v187/h270/ strieborná</v>
      </c>
      <c r="BF25" s="22">
        <f>VLOOKUP(BD25,CENY!$B$11:$G$1054,3,FALSE)</f>
        <v>10</v>
      </c>
      <c r="BG25" s="22"/>
      <c r="BH25" s="23">
        <f t="shared" ref="BH25:BH41" si="7">BH6</f>
        <v>0</v>
      </c>
      <c r="BI25" s="326">
        <f t="shared" si="5"/>
        <v>0</v>
      </c>
      <c r="BJ25" s="95">
        <f>VLOOKUP(BD25,CENY!$B$11:$M$2025,12,FALSE)</f>
        <v>16.540590000000002</v>
      </c>
      <c r="BK25" s="95">
        <f t="shared" si="6"/>
        <v>0</v>
      </c>
    </row>
    <row r="26" spans="2:63" ht="14.45" customHeight="1" thickBot="1">
      <c r="O26" s="342"/>
      <c r="P26" s="343"/>
      <c r="Q26" s="342"/>
      <c r="R26" s="343"/>
      <c r="S26" s="342"/>
      <c r="T26" s="343"/>
      <c r="U26" s="342"/>
      <c r="V26" s="343"/>
      <c r="W26" s="342"/>
      <c r="X26" s="343"/>
      <c r="Y26" s="342"/>
      <c r="Z26" s="343"/>
      <c r="AA26" s="342"/>
      <c r="AB26" s="343"/>
      <c r="AC26" s="342"/>
      <c r="AD26" s="343"/>
      <c r="AU26" s="319">
        <f>OBJ!B72</f>
        <v>9347503</v>
      </c>
      <c r="AV26" s="21" t="str">
        <f>VLOOKUP(AU26,CENY!$B$11:$G$1054,2,FALSE)</f>
        <v>AvanY-design ALprofil Hybrid na bok 300/ strieb.</v>
      </c>
      <c r="AW26" s="22">
        <f>VLOOKUP(AU26,CENY!$B$11:$G$1054,3,FALSE)</f>
        <v>200</v>
      </c>
      <c r="AX26" s="22"/>
      <c r="AY26" s="23">
        <f>IF(FORM!AM18=FORM!AU16,0,4*(Q19+Q25))</f>
        <v>0</v>
      </c>
      <c r="AZ26" s="326">
        <f t="shared" si="1"/>
        <v>0</v>
      </c>
      <c r="BA26" s="95">
        <f>VLOOKUP(AU26,CENY!$B$11:$M$2025,12,FALSE)</f>
        <v>0.96240999999999999</v>
      </c>
      <c r="BB26" s="95">
        <f t="shared" si="0"/>
        <v>0</v>
      </c>
      <c r="BD26" s="319">
        <f>OBJ!B124</f>
        <v>9255046</v>
      </c>
      <c r="BE26" s="21" t="str">
        <f>VLOOKUP(BD26,CENY!$B$11:$G$1054,2,FALSE)</f>
        <v>AvanY-bok ľavý /v187/h300/ strieborná</v>
      </c>
      <c r="BF26" s="22">
        <f>VLOOKUP(BD26,CENY!$B$11:$G$1054,3,FALSE)</f>
        <v>10</v>
      </c>
      <c r="BG26" s="22"/>
      <c r="BH26" s="23">
        <f t="shared" si="7"/>
        <v>0</v>
      </c>
      <c r="BI26" s="326">
        <f t="shared" si="5"/>
        <v>0</v>
      </c>
      <c r="BJ26" s="95">
        <f>VLOOKUP(BD26,CENY!$B$11:$M$2025,12,FALSE)</f>
        <v>16.72522</v>
      </c>
      <c r="BK26" s="95">
        <f t="shared" si="6"/>
        <v>0</v>
      </c>
    </row>
    <row r="27" spans="2:63" ht="14.45" customHeight="1">
      <c r="B27" s="366" t="str">
        <f>verze!E201</f>
        <v>SiSy = tlmenie Silent System</v>
      </c>
      <c r="AU27" s="319">
        <f>OBJ!B73</f>
        <v>9347504</v>
      </c>
      <c r="AV27" s="21" t="str">
        <f>VLOOKUP(AU27,CENY!$B$11:$G$1054,2,FALSE)</f>
        <v>AvanY-design ALprofil Hybrid na bok 350/ strieb.</v>
      </c>
      <c r="AW27" s="22">
        <f>VLOOKUP(AU27,CENY!$B$11:$G$1054,3,FALSE)</f>
        <v>200</v>
      </c>
      <c r="AX27" s="22"/>
      <c r="AY27" s="23">
        <f>IF(FORM!AM18=FORM!AU16,0,4*(S19+S25))</f>
        <v>0</v>
      </c>
      <c r="AZ27" s="326">
        <f t="shared" si="1"/>
        <v>0</v>
      </c>
      <c r="BA27" s="95">
        <f>VLOOKUP(AU27,CENY!$B$11:$M$2025,12,FALSE)</f>
        <v>0.98018000000000005</v>
      </c>
      <c r="BB27" s="95">
        <f t="shared" si="0"/>
        <v>0</v>
      </c>
      <c r="BD27" s="319">
        <f>OBJ!B125</f>
        <v>9255047</v>
      </c>
      <c r="BE27" s="21" t="str">
        <f>VLOOKUP(BD27,CENY!$B$11:$G$1054,2,FALSE)</f>
        <v>AvanY-bok pravý /v187/h300/ strieborná</v>
      </c>
      <c r="BF27" s="22">
        <f>VLOOKUP(BD27,CENY!$B$11:$G$1054,3,FALSE)</f>
        <v>10</v>
      </c>
      <c r="BG27" s="22"/>
      <c r="BH27" s="23">
        <f t="shared" si="7"/>
        <v>0</v>
      </c>
      <c r="BI27" s="326">
        <f t="shared" si="5"/>
        <v>0</v>
      </c>
      <c r="BJ27" s="95">
        <f>VLOOKUP(BD27,CENY!$B$11:$M$2025,12,FALSE)</f>
        <v>16.72522</v>
      </c>
      <c r="BK27" s="95">
        <f t="shared" si="6"/>
        <v>0</v>
      </c>
    </row>
    <row r="28" spans="2:63" ht="14.45" customHeight="1">
      <c r="B28" s="366"/>
      <c r="O28" s="341" t="str">
        <f>verze!E189</f>
        <v>Maximálna výška korpusu skrinky = 750mm.   Maximálna šírka korpusu skrinky = 300mm.</v>
      </c>
      <c r="AU28" s="319">
        <f>OBJ!B74</f>
        <v>9347505</v>
      </c>
      <c r="AV28" s="21" t="str">
        <f>VLOOKUP(AU28,CENY!$B$11:$G$1054,2,FALSE)</f>
        <v>AvanY-design ALprofil Hybrid na bok 400/ strieb.</v>
      </c>
      <c r="AW28" s="22">
        <f>VLOOKUP(AU28,CENY!$B$11:$G$1054,3,FALSE)</f>
        <v>200</v>
      </c>
      <c r="AX28" s="22"/>
      <c r="AY28" s="23">
        <f>IF(FORM!AM18=FORM!AU16,0,4*(U19+U25))</f>
        <v>0</v>
      </c>
      <c r="AZ28" s="326">
        <f t="shared" si="1"/>
        <v>0</v>
      </c>
      <c r="BA28" s="95">
        <f>VLOOKUP(AU28,CENY!$B$11:$M$2025,12,FALSE)</f>
        <v>0.99777000000000005</v>
      </c>
      <c r="BB28" s="95">
        <f t="shared" si="0"/>
        <v>0</v>
      </c>
      <c r="BD28" s="319">
        <f>OBJ!B126</f>
        <v>9255048</v>
      </c>
      <c r="BE28" s="21" t="str">
        <f>VLOOKUP(BD28,CENY!$B$11:$G$1054,2,FALSE)</f>
        <v>AvanY-bok ľavý /v187/h350/ strieborná</v>
      </c>
      <c r="BF28" s="22">
        <f>VLOOKUP(BD28,CENY!$B$11:$G$1054,3,FALSE)</f>
        <v>10</v>
      </c>
      <c r="BG28" s="22"/>
      <c r="BH28" s="23">
        <f t="shared" si="7"/>
        <v>0</v>
      </c>
      <c r="BI28" s="326">
        <f t="shared" si="5"/>
        <v>0</v>
      </c>
      <c r="BJ28" s="95">
        <f>VLOOKUP(BD28,CENY!$B$11:$M$2025,12,FALSE)</f>
        <v>17.033180000000002</v>
      </c>
      <c r="BK28" s="95">
        <f t="shared" si="6"/>
        <v>0</v>
      </c>
    </row>
    <row r="29" spans="2:63" ht="14.45" customHeight="1">
      <c r="B29" s="366"/>
      <c r="Q29" s="341"/>
      <c r="AU29" s="319">
        <f>OBJ!B75</f>
        <v>9347506</v>
      </c>
      <c r="AV29" s="21" t="str">
        <f>VLOOKUP(AU29,CENY!$B$11:$G$1054,2,FALSE)</f>
        <v>AvanY-design ALprofil Hybrid na bok 450/ strieb.</v>
      </c>
      <c r="AW29" s="22">
        <f>VLOOKUP(AU29,CENY!$B$11:$G$1054,3,FALSE)</f>
        <v>200</v>
      </c>
      <c r="AX29" s="22"/>
      <c r="AY29" s="23">
        <f>IF(FORM!AM18=FORM!AU16,0,4*(W19+W20+W25))</f>
        <v>0</v>
      </c>
      <c r="AZ29" s="326">
        <f t="shared" si="1"/>
        <v>0</v>
      </c>
      <c r="BA29" s="95">
        <f>VLOOKUP(AU29,CENY!$B$11:$M$2025,12,FALSE)</f>
        <v>1.01556</v>
      </c>
      <c r="BB29" s="95">
        <f t="shared" si="0"/>
        <v>0</v>
      </c>
      <c r="BD29" s="319">
        <f>OBJ!B127</f>
        <v>9255049</v>
      </c>
      <c r="BE29" s="21" t="str">
        <f>VLOOKUP(BD29,CENY!$B$11:$G$1054,2,FALSE)</f>
        <v>AvanY-bok pravý /v187/h350/ strieborná</v>
      </c>
      <c r="BF29" s="22">
        <f>VLOOKUP(BD29,CENY!$B$11:$G$1054,3,FALSE)</f>
        <v>10</v>
      </c>
      <c r="BG29" s="22"/>
      <c r="BH29" s="23">
        <f t="shared" si="7"/>
        <v>0</v>
      </c>
      <c r="BI29" s="326">
        <f t="shared" si="5"/>
        <v>0</v>
      </c>
      <c r="BJ29" s="95">
        <f>VLOOKUP(BD29,CENY!$B$11:$M$2025,12,FALSE)</f>
        <v>17.033180000000002</v>
      </c>
      <c r="BK29" s="95">
        <f t="shared" si="6"/>
        <v>0</v>
      </c>
    </row>
    <row r="30" spans="2:63" ht="14.45" customHeight="1">
      <c r="AU30" s="319">
        <f>OBJ!B76</f>
        <v>9347507</v>
      </c>
      <c r="AV30" s="21" t="str">
        <f>VLOOKUP(AU30,CENY!$B$11:$G$1054,2,FALSE)</f>
        <v>AvanY-design ALprofil Hybrid na bok 500/ strieb.</v>
      </c>
      <c r="AW30" s="22">
        <f>VLOOKUP(AU30,CENY!$B$11:$G$1054,3,FALSE)</f>
        <v>200</v>
      </c>
      <c r="AX30" s="22"/>
      <c r="AY30" s="23">
        <f>IF(FORM!AM18=FORM!AU16,0,4*(Y19+Y20+Y25))</f>
        <v>0</v>
      </c>
      <c r="AZ30" s="326">
        <f t="shared" si="1"/>
        <v>0</v>
      </c>
      <c r="BA30" s="95">
        <f>VLOOKUP(AU30,CENY!$B$11:$M$2025,12,FALSE)</f>
        <v>1.0332399999999999</v>
      </c>
      <c r="BB30" s="95">
        <f t="shared" si="0"/>
        <v>0</v>
      </c>
      <c r="BD30" s="319">
        <f>OBJ!B128</f>
        <v>9255050</v>
      </c>
      <c r="BE30" s="21" t="str">
        <f>VLOOKUP(BD30,CENY!$B$11:$G$1054,2,FALSE)</f>
        <v>AvanY-bok ľavý /v187/h400/ strieborná</v>
      </c>
      <c r="BF30" s="22">
        <f>VLOOKUP(BD30,CENY!$B$11:$G$1054,3,FALSE)</f>
        <v>10</v>
      </c>
      <c r="BG30" s="22"/>
      <c r="BH30" s="23">
        <f t="shared" si="7"/>
        <v>0</v>
      </c>
      <c r="BI30" s="326">
        <f t="shared" si="5"/>
        <v>0</v>
      </c>
      <c r="BJ30" s="95">
        <f>VLOOKUP(BD30,CENY!$B$11:$M$2025,12,FALSE)</f>
        <v>17.340789999999998</v>
      </c>
      <c r="BK30" s="95">
        <f t="shared" si="6"/>
        <v>0</v>
      </c>
    </row>
    <row r="31" spans="2:63" ht="14.45" customHeight="1">
      <c r="AU31" s="319">
        <f>OBJ!B77</f>
        <v>9347508</v>
      </c>
      <c r="AV31" s="21" t="str">
        <f>VLOOKUP(AU31,CENY!$B$11:$G$1054,2,FALSE)</f>
        <v>AvanY-design ALprofil Hybrid na bok 550/ strieb.</v>
      </c>
      <c r="AW31" s="22">
        <f>VLOOKUP(AU31,CENY!$B$11:$G$1054,3,FALSE)</f>
        <v>200</v>
      </c>
      <c r="AX31" s="22"/>
      <c r="AY31" s="23">
        <f>IF(FORM!AM18=FORM!AU16,0,4*(AA19+AA20+AA25))</f>
        <v>0</v>
      </c>
      <c r="AZ31" s="326">
        <f t="shared" si="1"/>
        <v>0</v>
      </c>
      <c r="BA31" s="95">
        <f>VLOOKUP(AU31,CENY!$B$11:$M$2025,12,FALSE)</f>
        <v>1.0508599999999999</v>
      </c>
      <c r="BB31" s="95">
        <f t="shared" si="0"/>
        <v>0</v>
      </c>
      <c r="BD31" s="319">
        <f>OBJ!B129</f>
        <v>9255051</v>
      </c>
      <c r="BE31" s="21" t="str">
        <f>VLOOKUP(BD31,CENY!$B$11:$G$1054,2,FALSE)</f>
        <v>AvanY-bok pravý /v187/h400/ strieborná</v>
      </c>
      <c r="BF31" s="22">
        <f>VLOOKUP(BD31,CENY!$B$11:$G$1054,3,FALSE)</f>
        <v>10</v>
      </c>
      <c r="BG31" s="22"/>
      <c r="BH31" s="23">
        <f t="shared" si="7"/>
        <v>0</v>
      </c>
      <c r="BI31" s="326">
        <f t="shared" si="5"/>
        <v>0</v>
      </c>
      <c r="BJ31" s="95">
        <f>VLOOKUP(BD31,CENY!$B$11:$M$2025,12,FALSE)</f>
        <v>17.340789999999998</v>
      </c>
      <c r="BK31" s="95">
        <f t="shared" si="6"/>
        <v>0</v>
      </c>
    </row>
    <row r="32" spans="2:63" ht="14.45" customHeight="1">
      <c r="AU32" s="319">
        <f>OBJ!B78</f>
        <v>9347509</v>
      </c>
      <c r="AV32" s="21" t="str">
        <f>VLOOKUP(AU32,CENY!$B$11:$G$1054,2,FALSE)</f>
        <v>AvanY-design ALprofil Hybrid na bok 600/ strieb.</v>
      </c>
      <c r="AW32" s="22">
        <f>VLOOKUP(AU32,CENY!$B$11:$G$1054,3,FALSE)</f>
        <v>200</v>
      </c>
      <c r="AX32" s="22"/>
      <c r="AY32" s="23">
        <f>IF(FORM!AM18=FORM!AU16,0,4*(AC19+AC20+AC25))</f>
        <v>0</v>
      </c>
      <c r="AZ32" s="326">
        <f t="shared" si="1"/>
        <v>0</v>
      </c>
      <c r="BA32" s="95">
        <f>VLOOKUP(AU32,CENY!$B$11:$M$2025,12,FALSE)</f>
        <v>1.09639</v>
      </c>
      <c r="BB32" s="95">
        <f t="shared" si="0"/>
        <v>0</v>
      </c>
      <c r="BD32" s="319">
        <f>OBJ!B130</f>
        <v>9255052</v>
      </c>
      <c r="BE32" s="21" t="str">
        <f>VLOOKUP(BD32,CENY!$B$11:$G$1054,2,FALSE)</f>
        <v>AvanY-bok ľavý /v187/h450/ strieborná</v>
      </c>
      <c r="BF32" s="22">
        <f>VLOOKUP(BD32,CENY!$B$11:$G$1054,3,FALSE)</f>
        <v>10</v>
      </c>
      <c r="BG32" s="22"/>
      <c r="BH32" s="23">
        <f t="shared" si="7"/>
        <v>0</v>
      </c>
      <c r="BI32" s="326">
        <f t="shared" si="5"/>
        <v>0</v>
      </c>
      <c r="BJ32" s="95">
        <f>VLOOKUP(BD32,CENY!$B$11:$M$2025,12,FALSE)</f>
        <v>16.80836</v>
      </c>
      <c r="BK32" s="95">
        <f t="shared" si="6"/>
        <v>0</v>
      </c>
    </row>
    <row r="33" spans="47:63" ht="14.45" customHeight="1">
      <c r="AU33" s="319">
        <f>OBJ!B79</f>
        <v>9347510</v>
      </c>
      <c r="AV33" s="21" t="str">
        <f>VLOOKUP(AU33,CENY!$B$11:$G$1054,2,FALSE)</f>
        <v>AvanY-design ALprofil Hybrid na bok 650/ strieb.</v>
      </c>
      <c r="AW33" s="22">
        <f>VLOOKUP(AU33,CENY!$B$11:$G$1054,3,FALSE)</f>
        <v>200</v>
      </c>
      <c r="AX33" s="22"/>
      <c r="AY33" s="23">
        <f>IF(FORM!AM18=FORM!AU16,0,4*AE20)</f>
        <v>0</v>
      </c>
      <c r="AZ33" s="326">
        <f t="shared" si="1"/>
        <v>0</v>
      </c>
      <c r="BA33" s="95">
        <f>VLOOKUP(AU33,CENY!$B$11:$M$2025,12,FALSE)</f>
        <v>1.1824300000000001</v>
      </c>
      <c r="BB33" s="95">
        <f t="shared" si="0"/>
        <v>0</v>
      </c>
      <c r="BD33" s="319">
        <f>OBJ!B131</f>
        <v>9255053</v>
      </c>
      <c r="BE33" s="21" t="str">
        <f>VLOOKUP(BD33,CENY!$B$11:$G$1054,2,FALSE)</f>
        <v>AvanY-bok pravý /v187/h450/ strieborná</v>
      </c>
      <c r="BF33" s="22">
        <f>VLOOKUP(BD33,CENY!$B$11:$G$1054,3,FALSE)</f>
        <v>10</v>
      </c>
      <c r="BG33" s="22"/>
      <c r="BH33" s="23">
        <f t="shared" si="7"/>
        <v>0</v>
      </c>
      <c r="BI33" s="326">
        <f t="shared" si="5"/>
        <v>0</v>
      </c>
      <c r="BJ33" s="95">
        <f>VLOOKUP(BD33,CENY!$B$11:$M$2025,12,FALSE)</f>
        <v>16.80836</v>
      </c>
      <c r="BK33" s="95">
        <f t="shared" si="6"/>
        <v>0</v>
      </c>
    </row>
    <row r="34" spans="47:63" ht="14.45" customHeight="1">
      <c r="AU34" s="319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>
        <f>OBJ!B132</f>
        <v>9255054</v>
      </c>
      <c r="BE34" s="21" t="str">
        <f>VLOOKUP(BD34,CENY!$B$11:$G$1054,2,FALSE)</f>
        <v>AvanY-bok ľavý /v187/h500/ strieborná</v>
      </c>
      <c r="BF34" s="22">
        <f>VLOOKUP(BD34,CENY!$B$11:$G$1054,3,FALSE)</f>
        <v>10</v>
      </c>
      <c r="BG34" s="22"/>
      <c r="BH34" s="23">
        <f t="shared" si="7"/>
        <v>0</v>
      </c>
      <c r="BI34" s="326">
        <f t="shared" si="5"/>
        <v>0</v>
      </c>
      <c r="BJ34" s="95">
        <f>VLOOKUP(BD34,CENY!$B$11:$M$2025,12,FALSE)</f>
        <v>17.10154</v>
      </c>
      <c r="BK34" s="95">
        <f t="shared" si="6"/>
        <v>0</v>
      </c>
    </row>
    <row r="35" spans="47:63" ht="14.45" customHeight="1">
      <c r="AU35" s="319">
        <f>OBJ!B243</f>
        <v>9318186</v>
      </c>
      <c r="AV35" s="21" t="str">
        <f>VLOOKUP(AU35,CENY!$B$11:$G$1054,2,FALSE)</f>
        <v>Actro You(L) 270/SiSy 40kg; EB21</v>
      </c>
      <c r="AW35" s="22">
        <f>VLOOKUP(AU35,CENY!$B$11:$G$1054,3,FALSE)</f>
        <v>1</v>
      </c>
      <c r="AX35" s="362">
        <v>8</v>
      </c>
      <c r="AY35" s="23">
        <f>O19</f>
        <v>0</v>
      </c>
      <c r="AZ35" s="326">
        <f t="shared" si="1"/>
        <v>0</v>
      </c>
      <c r="BA35" s="95">
        <f>VLOOKUP(AU35,CENY!$B$11:$M$2025,12,FALSE)</f>
        <v>31.62575</v>
      </c>
      <c r="BB35" s="95">
        <f t="shared" si="0"/>
        <v>0</v>
      </c>
      <c r="BD35" s="319">
        <f>OBJ!B133</f>
        <v>9255055</v>
      </c>
      <c r="BE35" s="21" t="str">
        <f>VLOOKUP(BD35,CENY!$B$11:$G$1054,2,FALSE)</f>
        <v>AvanY-bok pravý /v187/h500/ strieborná</v>
      </c>
      <c r="BF35" s="22">
        <f>VLOOKUP(BD35,CENY!$B$11:$G$1054,3,FALSE)</f>
        <v>10</v>
      </c>
      <c r="BG35" s="22"/>
      <c r="BH35" s="23">
        <f t="shared" si="7"/>
        <v>0</v>
      </c>
      <c r="BI35" s="326">
        <f t="shared" si="5"/>
        <v>0</v>
      </c>
      <c r="BJ35" s="95">
        <f>VLOOKUP(BD35,CENY!$B$11:$M$2025,12,FALSE)</f>
        <v>17.10154</v>
      </c>
      <c r="BK35" s="95">
        <f t="shared" si="6"/>
        <v>0</v>
      </c>
    </row>
    <row r="36" spans="47:63" ht="14.45" customHeight="1">
      <c r="AU36" s="319">
        <f>OBJ!B244</f>
        <v>9318187</v>
      </c>
      <c r="AV36" s="21" t="str">
        <f>VLOOKUP(AU36,CENY!$B$11:$G$1054,2,FALSE)</f>
        <v>Actro You(L) 300/SiSy 40kg; EB21</v>
      </c>
      <c r="AW36" s="22">
        <f>VLOOKUP(AU36,CENY!$B$11:$G$1054,3,FALSE)</f>
        <v>1</v>
      </c>
      <c r="AX36" s="362">
        <v>8</v>
      </c>
      <c r="AY36" s="23">
        <f>Q19</f>
        <v>0</v>
      </c>
      <c r="AZ36" s="326">
        <f t="shared" si="1"/>
        <v>0</v>
      </c>
      <c r="BA36" s="95">
        <f>VLOOKUP(AU36,CENY!$B$11:$M$2025,12,FALSE)</f>
        <v>31.62575</v>
      </c>
      <c r="BB36" s="95">
        <f t="shared" si="0"/>
        <v>0</v>
      </c>
      <c r="BD36" s="319">
        <f>OBJ!B134</f>
        <v>9255056</v>
      </c>
      <c r="BE36" s="21" t="str">
        <f>VLOOKUP(BD36,CENY!$B$11:$G$1054,2,FALSE)</f>
        <v>AvanY-bok ľavý /v187/h550/ strieborná</v>
      </c>
      <c r="BF36" s="22">
        <f>VLOOKUP(BD36,CENY!$B$11:$G$1054,3,FALSE)</f>
        <v>10</v>
      </c>
      <c r="BG36" s="22"/>
      <c r="BH36" s="23">
        <f t="shared" si="7"/>
        <v>0</v>
      </c>
      <c r="BI36" s="326">
        <f t="shared" si="5"/>
        <v>0</v>
      </c>
      <c r="BJ36" s="95">
        <f>VLOOKUP(BD36,CENY!$B$11:$M$2025,12,FALSE)</f>
        <v>18.264230000000001</v>
      </c>
      <c r="BK36" s="95">
        <f t="shared" si="6"/>
        <v>0</v>
      </c>
    </row>
    <row r="37" spans="47:63" ht="14.45" customHeight="1">
      <c r="AU37" s="319">
        <f>OBJ!B245</f>
        <v>9318188</v>
      </c>
      <c r="AV37" s="21" t="str">
        <f>VLOOKUP(AU37,CENY!$B$11:$G$1054,2,FALSE)</f>
        <v>Actro You(L) 350/SiSy 40kg; EB21</v>
      </c>
      <c r="AW37" s="22">
        <f>VLOOKUP(AU37,CENY!$B$11:$G$1054,3,FALSE)</f>
        <v>1</v>
      </c>
      <c r="AX37" s="362">
        <v>8</v>
      </c>
      <c r="AY37" s="23">
        <f>S19</f>
        <v>0</v>
      </c>
      <c r="AZ37" s="326">
        <f t="shared" si="1"/>
        <v>0</v>
      </c>
      <c r="BA37" s="95">
        <f>VLOOKUP(AU37,CENY!$B$11:$M$2025,12,FALSE)</f>
        <v>31.62575</v>
      </c>
      <c r="BB37" s="95">
        <f t="shared" si="0"/>
        <v>0</v>
      </c>
      <c r="BD37" s="319">
        <f>OBJ!B135</f>
        <v>9255057</v>
      </c>
      <c r="BE37" s="21" t="str">
        <f>VLOOKUP(BD37,CENY!$B$11:$G$1054,2,FALSE)</f>
        <v>AvanY-bok pravý /v187/h550/ strieborná</v>
      </c>
      <c r="BF37" s="22">
        <f>VLOOKUP(BD37,CENY!$B$11:$G$1054,3,FALSE)</f>
        <v>10</v>
      </c>
      <c r="BG37" s="22"/>
      <c r="BH37" s="23">
        <f t="shared" si="7"/>
        <v>0</v>
      </c>
      <c r="BI37" s="326">
        <f t="shared" si="5"/>
        <v>0</v>
      </c>
      <c r="BJ37" s="95">
        <f>VLOOKUP(BD37,CENY!$B$11:$M$2025,12,FALSE)</f>
        <v>18.264230000000001</v>
      </c>
      <c r="BK37" s="95">
        <f t="shared" si="6"/>
        <v>0</v>
      </c>
    </row>
    <row r="38" spans="47:63" ht="14.45" customHeight="1">
      <c r="AU38" s="319">
        <f>OBJ!B246</f>
        <v>9318190</v>
      </c>
      <c r="AV38" s="21" t="str">
        <f>VLOOKUP(AU38,CENY!$B$11:$G$1054,2,FALSE)</f>
        <v>Actro You(L) 400/SiSy 40kg; EB21</v>
      </c>
      <c r="AW38" s="22">
        <f>VLOOKUP(AU38,CENY!$B$11:$G$1054,3,FALSE)</f>
        <v>1</v>
      </c>
      <c r="AX38" s="362">
        <v>8</v>
      </c>
      <c r="AY38" s="23">
        <f>U19</f>
        <v>0</v>
      </c>
      <c r="AZ38" s="326">
        <f t="shared" si="1"/>
        <v>0</v>
      </c>
      <c r="BA38" s="95">
        <f>VLOOKUP(AU38,CENY!$B$11:$M$2025,12,FALSE)</f>
        <v>31.976389999999999</v>
      </c>
      <c r="BB38" s="95">
        <f t="shared" si="0"/>
        <v>0</v>
      </c>
      <c r="BD38" s="319">
        <f>OBJ!B136</f>
        <v>9255058</v>
      </c>
      <c r="BE38" s="21" t="str">
        <f>VLOOKUP(BD38,CENY!$B$11:$G$1054,2,FALSE)</f>
        <v>AvanY-bok ľavý /v187/h600/ strieborná</v>
      </c>
      <c r="BF38" s="22">
        <f>VLOOKUP(BD38,CENY!$B$11:$G$1054,3,FALSE)</f>
        <v>10</v>
      </c>
      <c r="BG38" s="22"/>
      <c r="BH38" s="23">
        <f t="shared" si="7"/>
        <v>0</v>
      </c>
      <c r="BI38" s="326">
        <f t="shared" si="5"/>
        <v>0</v>
      </c>
      <c r="BJ38" s="95">
        <f>VLOOKUP(BD38,CENY!$B$11:$M$2025,12,FALSE)</f>
        <v>18.728680000000001</v>
      </c>
      <c r="BK38" s="95">
        <f t="shared" si="6"/>
        <v>0</v>
      </c>
    </row>
    <row r="39" spans="47:63" ht="14.45" customHeight="1">
      <c r="AU39" s="319">
        <f>OBJ!B247</f>
        <v>9318191</v>
      </c>
      <c r="AV39" s="21" t="str">
        <f>VLOOKUP(AU39,CENY!$B$11:$G$1054,2,FALSE)</f>
        <v>Actro You(L) 450/SiSy 40kg; EB21</v>
      </c>
      <c r="AW39" s="22">
        <f>VLOOKUP(AU39,CENY!$B$11:$G$1054,3,FALSE)</f>
        <v>1</v>
      </c>
      <c r="AX39" s="362">
        <v>10</v>
      </c>
      <c r="AY39" s="23">
        <f>W19</f>
        <v>0</v>
      </c>
      <c r="AZ39" s="326">
        <f t="shared" si="1"/>
        <v>0</v>
      </c>
      <c r="BA39" s="95">
        <f>VLOOKUP(AU39,CENY!$B$11:$M$2025,12,FALSE)</f>
        <v>32.324420000000003</v>
      </c>
      <c r="BB39" s="95">
        <f t="shared" si="0"/>
        <v>0</v>
      </c>
      <c r="BD39" s="319">
        <f>OBJ!B137</f>
        <v>9255059</v>
      </c>
      <c r="BE39" s="21" t="str">
        <f>VLOOKUP(BD39,CENY!$B$11:$G$1054,2,FALSE)</f>
        <v>AvanY-bok pravý /v187/h600/ strieborná</v>
      </c>
      <c r="BF39" s="22">
        <f>VLOOKUP(BD39,CENY!$B$11:$G$1054,3,FALSE)</f>
        <v>10</v>
      </c>
      <c r="BG39" s="22"/>
      <c r="BH39" s="23">
        <f t="shared" si="7"/>
        <v>0</v>
      </c>
      <c r="BI39" s="326">
        <f t="shared" si="5"/>
        <v>0</v>
      </c>
      <c r="BJ39" s="95">
        <f>VLOOKUP(BD39,CENY!$B$11:$M$2025,12,FALSE)</f>
        <v>18.728680000000001</v>
      </c>
      <c r="BK39" s="95">
        <f t="shared" si="6"/>
        <v>0</v>
      </c>
    </row>
    <row r="40" spans="47:63" ht="14.45" customHeight="1">
      <c r="AU40" s="319">
        <f>OBJ!B248</f>
        <v>9318192</v>
      </c>
      <c r="AV40" s="21" t="str">
        <f>VLOOKUP(AU40,CENY!$B$11:$G$1054,2,FALSE)</f>
        <v>Actro You(L) 500/SiSy 40kg; EB21</v>
      </c>
      <c r="AW40" s="22">
        <f>VLOOKUP(AU40,CENY!$B$11:$G$1054,3,FALSE)</f>
        <v>1</v>
      </c>
      <c r="AX40" s="362">
        <v>10</v>
      </c>
      <c r="AY40" s="23">
        <f>Y19</f>
        <v>0</v>
      </c>
      <c r="AZ40" s="326">
        <f t="shared" si="1"/>
        <v>0</v>
      </c>
      <c r="BA40" s="95">
        <f>VLOOKUP(AU40,CENY!$B$11:$M$2025,12,FALSE)</f>
        <v>6.5957299999999996</v>
      </c>
      <c r="BB40" s="95">
        <f t="shared" si="0"/>
        <v>0</v>
      </c>
      <c r="BD40" s="319">
        <f>OBJ!B138</f>
        <v>9255060</v>
      </c>
      <c r="BE40" s="21" t="str">
        <f>VLOOKUP(BD40,CENY!$B$11:$G$1054,2,FALSE)</f>
        <v>AvanY-bok ľavý /v187/h650/ strieborná</v>
      </c>
      <c r="BF40" s="22">
        <f>VLOOKUP(BD40,CENY!$B$11:$G$1054,3,FALSE)</f>
        <v>10</v>
      </c>
      <c r="BG40" s="22"/>
      <c r="BH40" s="23">
        <f t="shared" si="7"/>
        <v>0</v>
      </c>
      <c r="BI40" s="326">
        <f t="shared" si="5"/>
        <v>0</v>
      </c>
      <c r="BJ40" s="95">
        <f>VLOOKUP(BD40,CENY!$B$11:$M$2025,12,FALSE)</f>
        <v>19.35998</v>
      </c>
      <c r="BK40" s="95">
        <f t="shared" si="6"/>
        <v>0</v>
      </c>
    </row>
    <row r="41" spans="47:63" ht="14.45" customHeight="1">
      <c r="AU41" s="319">
        <f>OBJ!B249</f>
        <v>9318194</v>
      </c>
      <c r="AV41" s="21" t="str">
        <f>VLOOKUP(AU41,CENY!$B$11:$G$1054,2,FALSE)</f>
        <v>Actro You(L) 550/SiSy 40kg; EB21</v>
      </c>
      <c r="AW41" s="22">
        <f>VLOOKUP(AU41,CENY!$B$11:$G$1054,3,FALSE)</f>
        <v>1</v>
      </c>
      <c r="AX41" s="362">
        <v>10</v>
      </c>
      <c r="AY41" s="23">
        <f>AA19</f>
        <v>0</v>
      </c>
      <c r="AZ41" s="326">
        <f t="shared" si="1"/>
        <v>0</v>
      </c>
      <c r="BA41" s="95">
        <f>VLOOKUP(AU41,CENY!$B$11:$M$2025,12,FALSE)</f>
        <v>6.9728000000000003</v>
      </c>
      <c r="BB41" s="95">
        <f t="shared" si="0"/>
        <v>0</v>
      </c>
      <c r="BD41" s="319">
        <f>OBJ!B139</f>
        <v>9255061</v>
      </c>
      <c r="BE41" s="21" t="str">
        <f>VLOOKUP(BD41,CENY!$B$11:$G$1054,2,FALSE)</f>
        <v>AvanY-bok pravý /v187/h650/ strieborná</v>
      </c>
      <c r="BF41" s="22">
        <f>VLOOKUP(BD41,CENY!$B$11:$G$1054,3,FALSE)</f>
        <v>10</v>
      </c>
      <c r="BG41" s="22"/>
      <c r="BH41" s="23">
        <f t="shared" si="7"/>
        <v>0</v>
      </c>
      <c r="BI41" s="326">
        <f t="shared" si="5"/>
        <v>0</v>
      </c>
      <c r="BJ41" s="95">
        <f>VLOOKUP(BD41,CENY!$B$11:$M$2025,12,FALSE)</f>
        <v>19.35998</v>
      </c>
      <c r="BK41" s="95">
        <f t="shared" si="6"/>
        <v>0</v>
      </c>
    </row>
    <row r="42" spans="47:63" ht="14.45" customHeight="1">
      <c r="AU42" s="319">
        <f>OBJ!B250</f>
        <v>9318196</v>
      </c>
      <c r="AV42" s="21" t="str">
        <f>VLOOKUP(AU42,CENY!$B$11:$G$1054,2,FALSE)</f>
        <v>Actro You(L) 600/SiSy 40kg; EB21</v>
      </c>
      <c r="AW42" s="22">
        <f>VLOOKUP(AU42,CENY!$B$11:$G$1054,3,FALSE)</f>
        <v>1</v>
      </c>
      <c r="AX42" s="362">
        <v>10</v>
      </c>
      <c r="AY42" s="23">
        <f>AC19</f>
        <v>0</v>
      </c>
      <c r="AZ42" s="326">
        <f t="shared" si="1"/>
        <v>0</v>
      </c>
      <c r="BA42" s="95">
        <f>VLOOKUP(AU42,CENY!$B$11:$M$2025,12,FALSE)</f>
        <v>34.956960000000002</v>
      </c>
      <c r="BB42" s="95">
        <f t="shared" si="0"/>
        <v>0</v>
      </c>
      <c r="BD42" s="319"/>
      <c r="BE42" s="21"/>
      <c r="BF42" s="22"/>
      <c r="BG42" s="22"/>
      <c r="BH42" s="23"/>
      <c r="BI42" s="326" t="str">
        <f t="shared" si="5"/>
        <v/>
      </c>
      <c r="BJ42" s="95"/>
      <c r="BK42" s="95" t="str">
        <f t="shared" si="6"/>
        <v/>
      </c>
    </row>
    <row r="43" spans="47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OBJ!B69</f>
        <v>9255835</v>
      </c>
      <c r="BE43" s="21" t="str">
        <f>VLOOKUP(BD43,CENY!$B$11:$G$1054,2,FALSE)</f>
        <v>AvanY-príchytka čela k naskrutk./ v101</v>
      </c>
      <c r="BF43" s="22">
        <f>VLOOKUP(BD43,CENY!$B$11:$G$1054,3,FALSE)</f>
        <v>200</v>
      </c>
      <c r="BG43" s="22"/>
      <c r="BH43" s="23">
        <f>2*(SUM(O19:AD19)+SUM(W20:AF20)+SUM(O25:AD25))</f>
        <v>0</v>
      </c>
      <c r="BI43" s="326">
        <f t="shared" si="2"/>
        <v>0</v>
      </c>
      <c r="BJ43" s="95">
        <f>VLOOKUP(BD43,CENY!$B$11:$M$2025,12,FALSE)</f>
        <v>1.1621999999999999</v>
      </c>
      <c r="BK43" s="95">
        <f t="shared" si="3"/>
        <v>0</v>
      </c>
    </row>
    <row r="44" spans="47:63" ht="14.45" customHeight="1">
      <c r="AU44" s="319">
        <f>OBJ!B268</f>
        <v>9318215</v>
      </c>
      <c r="AV44" s="21" t="str">
        <f>VLOOKUP(AU44,CENY!$B$11:$G$1054,2,FALSE)</f>
        <v>Actro You(XL) 450/SiSy 70kg; EB21</v>
      </c>
      <c r="AW44" s="22">
        <f>VLOOKUP(AU44,CENY!$B$11:$G$1054,3,FALSE)</f>
        <v>1</v>
      </c>
      <c r="AX44" s="362">
        <v>10</v>
      </c>
      <c r="AY44" s="23">
        <f>W20</f>
        <v>0</v>
      </c>
      <c r="AZ44" s="326">
        <f t="shared" si="1"/>
        <v>0</v>
      </c>
      <c r="BA44" s="95">
        <f>VLOOKUP(AU44,CENY!$B$11:$M$2025,12,FALSE)</f>
        <v>7.9265800000000004</v>
      </c>
      <c r="BB44" s="95">
        <f t="shared" si="0"/>
        <v>0</v>
      </c>
      <c r="BD44" s="319">
        <f>OBJ!B141</f>
        <v>9255838</v>
      </c>
      <c r="BE44" s="21" t="str">
        <f>VLOOKUP(BD44,CENY!$B$11:$G$1054,2,FALSE)</f>
        <v>AvanY-prích.čela k naskrutk./ v187-251</v>
      </c>
      <c r="BF44" s="22">
        <f>VLOOKUP(BD44,CENY!$B$11:$G$1054,3,FALSE)</f>
        <v>200</v>
      </c>
      <c r="BG44" s="22"/>
      <c r="BH44" s="23">
        <f>BH43</f>
        <v>0</v>
      </c>
      <c r="BI44" s="326">
        <f>IF(BH44="","",IF($AW$4=0,BH44,0))</f>
        <v>0</v>
      </c>
      <c r="BJ44" s="95">
        <f>VLOOKUP(BD44,CENY!$B$11:$M$2025,12,FALSE)</f>
        <v>2.32422</v>
      </c>
      <c r="BK44" s="95">
        <f>IF(BJ44="","",BJ44*BH44)</f>
        <v>0</v>
      </c>
    </row>
    <row r="45" spans="47:63" ht="14.45" customHeight="1">
      <c r="AU45" s="319">
        <f>OBJ!B269</f>
        <v>9318216</v>
      </c>
      <c r="AV45" s="21" t="str">
        <f>VLOOKUP(AU45,CENY!$B$11:$G$1054,2,FALSE)</f>
        <v>Actro You(XL) 500/SiSy 70kg; EB21</v>
      </c>
      <c r="AW45" s="22">
        <f>VLOOKUP(AU45,CENY!$B$11:$G$1054,3,FALSE)</f>
        <v>1</v>
      </c>
      <c r="AX45" s="362">
        <v>10</v>
      </c>
      <c r="AY45" s="23">
        <f>Y20</f>
        <v>0</v>
      </c>
      <c r="AZ45" s="326">
        <f t="shared" si="1"/>
        <v>0</v>
      </c>
      <c r="BA45" s="95">
        <f>VLOOKUP(AU45,CENY!$B$11:$M$2025,12,FALSE)</f>
        <v>39.622210000000003</v>
      </c>
      <c r="BB45" s="95">
        <f t="shared" si="0"/>
        <v>0</v>
      </c>
      <c r="BD45" s="319">
        <f>OBJ!B48</f>
        <v>9257702</v>
      </c>
      <c r="BE45" s="21" t="str">
        <f>VLOOKUP(BD45,CENY!$B$11:$G$1054,2,FALSE)</f>
        <v>AvanY-stabilizátor chrbáta</v>
      </c>
      <c r="BF45" s="22">
        <f>VLOOKUP(BD45,CENY!$B$11:$G$1054,3,FALSE)</f>
        <v>200</v>
      </c>
      <c r="BG45" s="22"/>
      <c r="BH45" s="23">
        <f>0*(SUM(O19:AD19)+SUM(W20:AF20)+SUM(O25:AD25))</f>
        <v>0</v>
      </c>
      <c r="BI45" s="326">
        <f t="shared" si="2"/>
        <v>0</v>
      </c>
      <c r="BJ45" s="95">
        <f>VLOOKUP(BD45,CENY!$B$11:$M$2025,12,FALSE)</f>
        <v>0.74794000000000005</v>
      </c>
      <c r="BK45" s="95">
        <f t="shared" si="3"/>
        <v>0</v>
      </c>
    </row>
    <row r="46" spans="47:63" ht="14.45" customHeight="1">
      <c r="AU46" s="319">
        <f>OBJ!B270</f>
        <v>9318217</v>
      </c>
      <c r="AV46" s="21" t="str">
        <f>VLOOKUP(AU46,CENY!$B$11:$G$1054,2,FALSE)</f>
        <v>Actro You(XL) 550/SiSy 70kg; EB21</v>
      </c>
      <c r="AW46" s="22">
        <f>VLOOKUP(AU46,CENY!$B$11:$G$1054,3,FALSE)</f>
        <v>1</v>
      </c>
      <c r="AX46" s="362">
        <v>10</v>
      </c>
      <c r="AY46" s="23">
        <f>AA20</f>
        <v>0</v>
      </c>
      <c r="AZ46" s="326">
        <f t="shared" si="1"/>
        <v>0</v>
      </c>
      <c r="BA46" s="95">
        <f>VLOOKUP(AU46,CENY!$B$11:$M$2025,12,FALSE)</f>
        <v>41.504899999999999</v>
      </c>
      <c r="BB46" s="95">
        <f t="shared" si="0"/>
        <v>0</v>
      </c>
      <c r="BD46" s="20"/>
      <c r="BE46" s="21"/>
      <c r="BF46" s="22"/>
      <c r="BG46" s="22"/>
      <c r="BH46" s="23"/>
      <c r="BI46" s="326" t="str">
        <f t="shared" si="2"/>
        <v/>
      </c>
      <c r="BJ46" s="95"/>
      <c r="BK46" s="95" t="str">
        <f t="shared" si="3"/>
        <v/>
      </c>
    </row>
    <row r="47" spans="47:63" ht="14.45" customHeight="1">
      <c r="AU47" s="319">
        <f>OBJ!B271</f>
        <v>9318218</v>
      </c>
      <c r="AV47" s="21" t="str">
        <f>VLOOKUP(AU47,CENY!$B$11:$G$1054,2,FALSE)</f>
        <v>Actro You(XL) 600/SiSy 70kg; EB21</v>
      </c>
      <c r="AW47" s="22">
        <f>VLOOKUP(AU47,CENY!$B$11:$G$1054,3,FALSE)</f>
        <v>1</v>
      </c>
      <c r="AX47" s="362">
        <v>10</v>
      </c>
      <c r="AY47" s="23">
        <f>AC20</f>
        <v>0</v>
      </c>
      <c r="AZ47" s="326">
        <f t="shared" si="1"/>
        <v>0</v>
      </c>
      <c r="BA47" s="95">
        <f>VLOOKUP(AU47,CENY!$B$11:$M$2025,12,FALSE)</f>
        <v>45.308109999999999</v>
      </c>
      <c r="BB47" s="95">
        <f t="shared" si="0"/>
        <v>0</v>
      </c>
      <c r="BD47" s="319">
        <f>OBJ!B71</f>
        <v>9347502</v>
      </c>
      <c r="BE47" s="21" t="str">
        <f>VLOOKUP(BD47,CENY!$B$11:$G$1054,2,FALSE)</f>
        <v>AvanY-design ALprofil Hybrid na bok 270/ strieb.</v>
      </c>
      <c r="BF47" s="22">
        <f>VLOOKUP(BD47,CENY!$B$11:$G$1054,3,FALSE)</f>
        <v>200</v>
      </c>
      <c r="BG47" s="22"/>
      <c r="BH47" s="23">
        <f>4*(O19+O25)</f>
        <v>0</v>
      </c>
      <c r="BI47" s="326">
        <f t="shared" si="2"/>
        <v>0</v>
      </c>
      <c r="BJ47" s="95">
        <f>VLOOKUP(BD47,CENY!$B$11:$M$2025,12,FALSE)</f>
        <v>0.95189000000000001</v>
      </c>
      <c r="BK47" s="95">
        <f t="shared" si="3"/>
        <v>0</v>
      </c>
    </row>
    <row r="48" spans="47:63" ht="14.45" customHeight="1">
      <c r="AU48" s="319">
        <f>OBJ!B272</f>
        <v>9318219</v>
      </c>
      <c r="AV48" s="21" t="str">
        <f>VLOOKUP(AU48,CENY!$B$11:$G$1054,2,FALSE)</f>
        <v>Actro You(XL) 650/SiSy 70kg; EB21</v>
      </c>
      <c r="AW48" s="22">
        <f>VLOOKUP(AU48,CENY!$B$11:$G$1054,3,FALSE)</f>
        <v>1</v>
      </c>
      <c r="AX48" s="362">
        <v>10</v>
      </c>
      <c r="AY48" s="23">
        <f>AE20</f>
        <v>0</v>
      </c>
      <c r="AZ48" s="326">
        <f t="shared" si="1"/>
        <v>0</v>
      </c>
      <c r="BA48" s="95">
        <f>VLOOKUP(AU48,CENY!$B$11:$M$2025,12,FALSE)</f>
        <v>47.02431</v>
      </c>
      <c r="BB48" s="95">
        <f t="shared" si="0"/>
        <v>0</v>
      </c>
      <c r="BD48" s="319">
        <f>OBJ!B72</f>
        <v>9347503</v>
      </c>
      <c r="BE48" s="21" t="str">
        <f>VLOOKUP(BD48,CENY!$B$11:$G$1054,2,FALSE)</f>
        <v>AvanY-design ALprofil Hybrid na bok 300/ strieb.</v>
      </c>
      <c r="BF48" s="22">
        <f>VLOOKUP(BD48,CENY!$B$11:$G$1054,3,FALSE)</f>
        <v>200</v>
      </c>
      <c r="BG48" s="22"/>
      <c r="BH48" s="23">
        <f>4*(Q19+Q25)</f>
        <v>0</v>
      </c>
      <c r="BI48" s="326">
        <f t="shared" si="2"/>
        <v>0</v>
      </c>
      <c r="BJ48" s="95">
        <f>VLOOKUP(BD48,CENY!$B$11:$M$2025,12,FALSE)</f>
        <v>0.96240999999999999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OBJ!B73</f>
        <v>9347504</v>
      </c>
      <c r="BE49" s="21" t="str">
        <f>VLOOKUP(BD49,CENY!$B$11:$G$1054,2,FALSE)</f>
        <v>AvanY-design ALprofil Hybrid na bok 350/ strieb.</v>
      </c>
      <c r="BF49" s="22">
        <f>VLOOKUP(BD49,CENY!$B$11:$G$1054,3,FALSE)</f>
        <v>200</v>
      </c>
      <c r="BG49" s="22"/>
      <c r="BH49" s="23">
        <f>4*(S19+S25)</f>
        <v>0</v>
      </c>
      <c r="BI49" s="326">
        <f t="shared" si="2"/>
        <v>0</v>
      </c>
      <c r="BJ49" s="95">
        <f>VLOOKUP(BD49,CENY!$B$11:$M$2025,12,FALSE)</f>
        <v>0.98018000000000005</v>
      </c>
      <c r="BK49" s="95">
        <f t="shared" si="3"/>
        <v>0</v>
      </c>
    </row>
    <row r="50" spans="47:63" ht="14.45" customHeight="1">
      <c r="AU50" s="319">
        <f>OBJ!B304</f>
        <v>9256883</v>
      </c>
      <c r="AV50" s="21" t="str">
        <f>VLOOKUP(AU50,CENY!$B$11:$G$1054,2,FALSE)</f>
        <v>Quadro You(M) 270/SiSy 20kg; EB21</v>
      </c>
      <c r="AW50" s="22">
        <f>VLOOKUP(AU50,CENY!$B$11:$G$1054,3,FALSE)</f>
        <v>1</v>
      </c>
      <c r="AX50" s="362">
        <v>8</v>
      </c>
      <c r="AY50" s="23">
        <f>O25</f>
        <v>0</v>
      </c>
      <c r="AZ50" s="326">
        <f t="shared" si="1"/>
        <v>0</v>
      </c>
      <c r="BA50" s="95">
        <f>VLOOKUP(AU50,CENY!$B$11:$M$2025,12,FALSE)</f>
        <v>23.022449999999999</v>
      </c>
      <c r="BB50" s="95">
        <f t="shared" si="0"/>
        <v>0</v>
      </c>
      <c r="BD50" s="319">
        <f>OBJ!B74</f>
        <v>9347505</v>
      </c>
      <c r="BE50" s="21" t="str">
        <f>VLOOKUP(BD50,CENY!$B$11:$G$1054,2,FALSE)</f>
        <v>AvanY-design ALprofil Hybrid na bok 400/ strieb.</v>
      </c>
      <c r="BF50" s="22">
        <f>VLOOKUP(BD50,CENY!$B$11:$G$1054,3,FALSE)</f>
        <v>200</v>
      </c>
      <c r="BG50" s="22"/>
      <c r="BH50" s="23">
        <f>4*(U19+U25)</f>
        <v>0</v>
      </c>
      <c r="BI50" s="326">
        <f t="shared" si="2"/>
        <v>0</v>
      </c>
      <c r="BJ50" s="95">
        <f>VLOOKUP(BD50,CENY!$B$11:$M$2025,12,FALSE)</f>
        <v>0.99777000000000005</v>
      </c>
      <c r="BK50" s="95">
        <f t="shared" si="3"/>
        <v>0</v>
      </c>
    </row>
    <row r="51" spans="47:63" ht="14.45" customHeight="1">
      <c r="AU51" s="319">
        <f>OBJ!B305</f>
        <v>9256884</v>
      </c>
      <c r="AV51" s="21" t="str">
        <f>VLOOKUP(AU51,CENY!$B$11:$G$1054,2,FALSE)</f>
        <v>Quadro You(M) 300/SiSy 20kg; EB21</v>
      </c>
      <c r="AW51" s="22">
        <f>VLOOKUP(AU51,CENY!$B$11:$G$1054,3,FALSE)</f>
        <v>1</v>
      </c>
      <c r="AX51" s="362">
        <v>8</v>
      </c>
      <c r="AY51" s="23">
        <f>Q25</f>
        <v>0</v>
      </c>
      <c r="AZ51" s="326">
        <f t="shared" si="1"/>
        <v>0</v>
      </c>
      <c r="BA51" s="95">
        <f>VLOOKUP(AU51,CENY!$B$11:$M$2025,12,FALSE)</f>
        <v>23.069210000000002</v>
      </c>
      <c r="BB51" s="95">
        <f t="shared" si="0"/>
        <v>0</v>
      </c>
      <c r="BD51" s="319">
        <f>OBJ!B75</f>
        <v>9347506</v>
      </c>
      <c r="BE51" s="21" t="str">
        <f>VLOOKUP(BD51,CENY!$B$11:$G$1054,2,FALSE)</f>
        <v>AvanY-design ALprofil Hybrid na bok 450/ strieb.</v>
      </c>
      <c r="BF51" s="22">
        <f>VLOOKUP(BD51,CENY!$B$11:$G$1054,3,FALSE)</f>
        <v>200</v>
      </c>
      <c r="BG51" s="22"/>
      <c r="BH51" s="23">
        <f>4*(W19+W20+W25)</f>
        <v>0</v>
      </c>
      <c r="BI51" s="326">
        <f t="shared" si="2"/>
        <v>0</v>
      </c>
      <c r="BJ51" s="95">
        <f>VLOOKUP(BD51,CENY!$B$11:$M$2025,12,FALSE)</f>
        <v>1.01556</v>
      </c>
      <c r="BK51" s="95">
        <f t="shared" si="3"/>
        <v>0</v>
      </c>
    </row>
    <row r="52" spans="47:63" ht="14.45" customHeight="1">
      <c r="AU52" s="319">
        <f>OBJ!B306</f>
        <v>9256886</v>
      </c>
      <c r="AV52" s="21" t="str">
        <f>VLOOKUP(AU52,CENY!$B$11:$G$1054,2,FALSE)</f>
        <v>Quadro You(M) 350/SiSy 25kg; EB21</v>
      </c>
      <c r="AW52" s="22">
        <f>VLOOKUP(AU52,CENY!$B$11:$G$1054,3,FALSE)</f>
        <v>1</v>
      </c>
      <c r="AX52" s="362">
        <v>8</v>
      </c>
      <c r="AY52" s="23">
        <f>S25</f>
        <v>0</v>
      </c>
      <c r="AZ52" s="326">
        <f t="shared" si="1"/>
        <v>0</v>
      </c>
      <c r="BA52" s="95" t="e">
        <f>VLOOKUP(AU52,CENY!$B$11:$M$2025,12,FALSE)</f>
        <v>#N/A</v>
      </c>
      <c r="BB52" s="95" t="e">
        <f t="shared" si="0"/>
        <v>#N/A</v>
      </c>
      <c r="BD52" s="319">
        <f>OBJ!B76</f>
        <v>9347507</v>
      </c>
      <c r="BE52" s="21" t="str">
        <f>VLOOKUP(BD52,CENY!$B$11:$G$1054,2,FALSE)</f>
        <v>AvanY-design ALprofil Hybrid na bok 500/ strieb.</v>
      </c>
      <c r="BF52" s="22">
        <f>VLOOKUP(BD52,CENY!$B$11:$G$1054,3,FALSE)</f>
        <v>200</v>
      </c>
      <c r="BG52" s="22"/>
      <c r="BH52" s="23">
        <f>4*(Y19+Y20+Y25)</f>
        <v>0</v>
      </c>
      <c r="BI52" s="326">
        <f t="shared" si="2"/>
        <v>0</v>
      </c>
      <c r="BJ52" s="95">
        <f>VLOOKUP(BD52,CENY!$B$11:$M$2025,12,FALSE)</f>
        <v>1.0332399999999999</v>
      </c>
      <c r="BK52" s="95">
        <f t="shared" si="3"/>
        <v>0</v>
      </c>
    </row>
    <row r="53" spans="47:63" ht="14.45" customHeight="1">
      <c r="AU53" s="319">
        <f>OBJ!B307</f>
        <v>9256888</v>
      </c>
      <c r="AV53" s="21" t="str">
        <f>VLOOKUP(AU53,CENY!$B$11:$G$1054,2,FALSE)</f>
        <v>Quadro You(M) 400/SiSy 30kg; EB21</v>
      </c>
      <c r="AW53" s="22">
        <f>VLOOKUP(AU53,CENY!$B$11:$G$1054,3,FALSE)</f>
        <v>1</v>
      </c>
      <c r="AX53" s="362">
        <v>8</v>
      </c>
      <c r="AY53" s="23">
        <f>U25</f>
        <v>0</v>
      </c>
      <c r="AZ53" s="326">
        <f t="shared" si="1"/>
        <v>0</v>
      </c>
      <c r="BA53" s="95">
        <f>VLOOKUP(AU53,CENY!$B$11:$M$2025,12,FALSE)</f>
        <v>24.002659999999999</v>
      </c>
      <c r="BB53" s="95">
        <f t="shared" si="0"/>
        <v>0</v>
      </c>
      <c r="BD53" s="319">
        <f>OBJ!B77</f>
        <v>9347508</v>
      </c>
      <c r="BE53" s="21" t="str">
        <f>VLOOKUP(BD53,CENY!$B$11:$G$1054,2,FALSE)</f>
        <v>AvanY-design ALprofil Hybrid na bok 550/ strieb.</v>
      </c>
      <c r="BF53" s="22">
        <f>VLOOKUP(BD53,CENY!$B$11:$G$1054,3,FALSE)</f>
        <v>200</v>
      </c>
      <c r="BG53" s="22"/>
      <c r="BH53" s="23">
        <f>4*(AA19+AA20+AA25)</f>
        <v>0</v>
      </c>
      <c r="BI53" s="326">
        <f t="shared" si="2"/>
        <v>0</v>
      </c>
      <c r="BJ53" s="95">
        <f>VLOOKUP(BD53,CENY!$B$11:$M$2025,12,FALSE)</f>
        <v>1.0508599999999999</v>
      </c>
      <c r="BK53" s="95">
        <f t="shared" si="3"/>
        <v>0</v>
      </c>
    </row>
    <row r="54" spans="47:63" ht="14.45" customHeight="1">
      <c r="AU54" s="319">
        <f>OBJ!B308</f>
        <v>9256890</v>
      </c>
      <c r="AV54" s="21" t="str">
        <f>VLOOKUP(AU54,CENY!$B$11:$G$1054,2,FALSE)</f>
        <v>Quadro You(M) 450/SiSy 30kg; EB21</v>
      </c>
      <c r="AW54" s="22">
        <f>VLOOKUP(AU54,CENY!$B$11:$G$1054,3,FALSE)</f>
        <v>1</v>
      </c>
      <c r="AX54" s="362">
        <v>8</v>
      </c>
      <c r="AY54" s="23">
        <f>W25</f>
        <v>0</v>
      </c>
      <c r="AZ54" s="326">
        <f t="shared" si="1"/>
        <v>0</v>
      </c>
      <c r="BA54" s="95">
        <f>VLOOKUP(AU54,CENY!$B$11:$M$2025,12,FALSE)</f>
        <v>4.9393000000000002</v>
      </c>
      <c r="BB54" s="95">
        <f t="shared" si="0"/>
        <v>0</v>
      </c>
      <c r="BD54" s="319">
        <f>OBJ!B78</f>
        <v>9347509</v>
      </c>
      <c r="BE54" s="21" t="str">
        <f>VLOOKUP(BD54,CENY!$B$11:$G$1054,2,FALSE)</f>
        <v>AvanY-design ALprofil Hybrid na bok 600/ strieb.</v>
      </c>
      <c r="BF54" s="22">
        <f>VLOOKUP(BD54,CENY!$B$11:$G$1054,3,FALSE)</f>
        <v>200</v>
      </c>
      <c r="BG54" s="22"/>
      <c r="BH54" s="23">
        <f>4*(AC19+AC20+AC25)</f>
        <v>0</v>
      </c>
      <c r="BI54" s="326">
        <f t="shared" si="2"/>
        <v>0</v>
      </c>
      <c r="BJ54" s="95">
        <f>VLOOKUP(BD54,CENY!$B$11:$M$2025,12,FALSE)</f>
        <v>1.09639</v>
      </c>
      <c r="BK54" s="95">
        <f t="shared" si="3"/>
        <v>0</v>
      </c>
    </row>
    <row r="55" spans="47:63" ht="14.45" customHeight="1">
      <c r="AU55" s="319">
        <f>OBJ!B309</f>
        <v>9256892</v>
      </c>
      <c r="AV55" s="21" t="str">
        <f>VLOOKUP(AU55,CENY!$B$11:$G$1054,2,FALSE)</f>
        <v>Quadro You(M) 500/SiSy 30kg; EB21</v>
      </c>
      <c r="AW55" s="22">
        <f>VLOOKUP(AU55,CENY!$B$11:$G$1054,3,FALSE)</f>
        <v>1</v>
      </c>
      <c r="AX55" s="362">
        <v>8</v>
      </c>
      <c r="AY55" s="23">
        <f>Y25</f>
        <v>0</v>
      </c>
      <c r="AZ55" s="326">
        <f t="shared" si="1"/>
        <v>0</v>
      </c>
      <c r="BA55" s="95">
        <f>VLOOKUP(AU55,CENY!$B$11:$M$2025,12,FALSE)</f>
        <v>23.748699999999999</v>
      </c>
      <c r="BB55" s="95">
        <f t="shared" si="0"/>
        <v>0</v>
      </c>
      <c r="BD55" s="319">
        <f>OBJ!B79</f>
        <v>9347510</v>
      </c>
      <c r="BE55" s="21" t="str">
        <f>VLOOKUP(BD55,CENY!$B$11:$G$1054,2,FALSE)</f>
        <v>AvanY-design ALprofil Hybrid na bok 650/ strieb.</v>
      </c>
      <c r="BF55" s="22">
        <f>VLOOKUP(BD55,CENY!$B$11:$G$1054,3,FALSE)</f>
        <v>200</v>
      </c>
      <c r="BG55" s="22"/>
      <c r="BH55" s="23">
        <f>4*AE20</f>
        <v>0</v>
      </c>
      <c r="BI55" s="326">
        <f t="shared" si="2"/>
        <v>0</v>
      </c>
      <c r="BJ55" s="95">
        <f>VLOOKUP(BD55,CENY!$B$11:$M$2025,12,FALSE)</f>
        <v>1.1824300000000001</v>
      </c>
      <c r="BK55" s="95">
        <f t="shared" si="3"/>
        <v>0</v>
      </c>
    </row>
    <row r="56" spans="47:63" ht="14.45" customHeight="1">
      <c r="AU56" s="319">
        <f>OBJ!B310</f>
        <v>9256894</v>
      </c>
      <c r="AV56" s="21" t="str">
        <f>VLOOKUP(AU56,CENY!$B$11:$G$1054,2,FALSE)</f>
        <v>Quadro You(M) 550/SiSy 30kg; EB21</v>
      </c>
      <c r="AW56" s="22">
        <f>VLOOKUP(AU56,CENY!$B$11:$G$1054,3,FALSE)</f>
        <v>1</v>
      </c>
      <c r="AX56" s="362">
        <v>8</v>
      </c>
      <c r="AY56" s="23">
        <f>AA25</f>
        <v>0</v>
      </c>
      <c r="AZ56" s="326">
        <f t="shared" ref="AZ56:AZ103" si="8">IF(AY56="","",IF($AW$4=1,AY56,0))</f>
        <v>0</v>
      </c>
      <c r="BA56" s="95">
        <f>VLOOKUP(AU56,CENY!$B$11:$M$2025,12,FALSE)</f>
        <v>5.1277499999999998</v>
      </c>
      <c r="BB56" s="95">
        <f t="shared" si="0"/>
        <v>0</v>
      </c>
      <c r="BD56" s="319"/>
      <c r="BE56" s="21"/>
      <c r="BF56" s="22"/>
      <c r="BG56" s="22"/>
      <c r="BH56" s="23"/>
      <c r="BI56" s="326" t="str">
        <f t="shared" si="2"/>
        <v/>
      </c>
      <c r="BJ56" s="95"/>
      <c r="BK56" s="95" t="str">
        <f t="shared" si="3"/>
        <v/>
      </c>
    </row>
    <row r="57" spans="47:63" ht="14.45" customHeight="1">
      <c r="AU57" s="319">
        <f>OBJ!B311</f>
        <v>9256896</v>
      </c>
      <c r="AV57" s="21" t="str">
        <f>VLOOKUP(AU57,CENY!$B$11:$G$1054,2,FALSE)</f>
        <v>Quadro You(M) 600/SiSy 25kg; EB21</v>
      </c>
      <c r="AW57" s="22">
        <f>VLOOKUP(AU57,CENY!$B$11:$G$1054,3,FALSE)</f>
        <v>1</v>
      </c>
      <c r="AX57" s="362">
        <v>8</v>
      </c>
      <c r="AY57" s="23">
        <f>AC25</f>
        <v>0</v>
      </c>
      <c r="AZ57" s="326">
        <f t="shared" si="8"/>
        <v>0</v>
      </c>
      <c r="BA57" s="95">
        <f>VLOOKUP(AU57,CENY!$B$11:$M$2025,12,FALSE)</f>
        <v>25.86984</v>
      </c>
      <c r="BB57" s="95">
        <f t="shared" si="0"/>
        <v>0</v>
      </c>
      <c r="BD57" s="319">
        <f>OBJ!B251</f>
        <v>9318167</v>
      </c>
      <c r="BE57" s="21" t="str">
        <f>VLOOKUP(BD57,CENY!$B$11:$G$1054,2,FALSE)</f>
        <v>Actro You(L) 270/SiSy 40kg; EB21; ľavý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 t="e">
        <f>VLOOKUP(BD57,CENY!$B$11:$M$2025,12,FALSE)</f>
        <v>#N/A</v>
      </c>
      <c r="BK57" s="95" t="e">
        <f t="shared" si="3"/>
        <v>#N/A</v>
      </c>
    </row>
    <row r="58" spans="47:63" ht="14.45" customHeight="1">
      <c r="AU58" s="319"/>
      <c r="AV58" s="21"/>
      <c r="AW58" s="22"/>
      <c r="AX58" s="22"/>
      <c r="AY58" s="23"/>
      <c r="AZ58" s="326" t="str">
        <f t="shared" si="8"/>
        <v/>
      </c>
      <c r="BA58" s="95"/>
      <c r="BB58" s="95" t="str">
        <f t="shared" si="0"/>
        <v/>
      </c>
      <c r="BD58" s="319">
        <f>OBJ!B252</f>
        <v>9318170</v>
      </c>
      <c r="BE58" s="21" t="str">
        <f>VLOOKUP(BD58,CENY!$B$11:$G$1054,2,FALSE)</f>
        <v>Actro You(L) 270/SiSy 40kg; EB21; pravý</v>
      </c>
      <c r="BF58" s="22">
        <f>VLOOKUP(BD58,CENY!$B$11:$G$1054,3,FALSE)</f>
        <v>10</v>
      </c>
      <c r="BG58" s="22"/>
      <c r="BH58" s="23">
        <f>AY35</f>
        <v>0</v>
      </c>
      <c r="BI58" s="326">
        <f t="shared" si="2"/>
        <v>0</v>
      </c>
      <c r="BJ58" s="95" t="e">
        <f>VLOOKUP(BD58,CENY!$B$11:$M$2025,12,FALSE)</f>
        <v>#N/A</v>
      </c>
      <c r="BK58" s="95" t="e">
        <f t="shared" si="3"/>
        <v>#N/A</v>
      </c>
    </row>
    <row r="59" spans="47:63" ht="14.45" customHeight="1">
      <c r="AU59" s="442">
        <f>OBJ!B69</f>
        <v>9255835</v>
      </c>
      <c r="AV59" s="443" t="str">
        <f>VLOOKUP(AU59,CENY!$B$11:$G$1054,2,FALSE)</f>
        <v>AvanY-príchytka čela k naskrutk./ v101</v>
      </c>
      <c r="AW59" s="22">
        <f>VLOOKUP(AU59,CENY!$B$11:$G$1054,3,FALSE)</f>
        <v>200</v>
      </c>
      <c r="AX59" s="22"/>
      <c r="AY59" s="68">
        <f>2*(SUM(O19:AD19)+SUM(W20:AF20)+SUM(O25:AD25))</f>
        <v>0</v>
      </c>
      <c r="AZ59" s="326">
        <f t="shared" si="8"/>
        <v>0</v>
      </c>
      <c r="BA59" s="95">
        <f>VLOOKUP(AU59,CENY!$B$11:$M$2025,12,FALSE)</f>
        <v>1.1621999999999999</v>
      </c>
      <c r="BB59" s="95">
        <f t="shared" ref="BB59:BB116" si="9">IF(BA59="","",BA59*AY59)</f>
        <v>0</v>
      </c>
      <c r="BD59" s="319">
        <f>OBJ!B253</f>
        <v>9318171</v>
      </c>
      <c r="BE59" s="21" t="str">
        <f>VLOOKUP(BD59,CENY!$B$11:$G$1054,2,FALSE)</f>
        <v>Actro You(L) 300/SiSy 40kg; EB21; ľavý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>
        <f>VLOOKUP(BD59,CENY!$B$11:$M$2025,12,FALSE)</f>
        <v>14.37729</v>
      </c>
      <c r="BK59" s="95">
        <f t="shared" si="3"/>
        <v>0</v>
      </c>
    </row>
    <row r="60" spans="47:63" ht="14.45" customHeight="1">
      <c r="AU60" s="442">
        <f>OBJ!B141</f>
        <v>9255838</v>
      </c>
      <c r="AV60" s="443" t="str">
        <f>VLOOKUP(AU60,CENY!$B$11:$G$1054,2,FALSE)</f>
        <v>AvanY-prích.čela k naskrutk./ v187-251</v>
      </c>
      <c r="AW60" s="22">
        <f>VLOOKUP(AU60,CENY!$B$11:$G$1054,3,FALSE)</f>
        <v>200</v>
      </c>
      <c r="AX60" s="22"/>
      <c r="AY60" s="68">
        <f>AY59</f>
        <v>0</v>
      </c>
      <c r="AZ60" s="326">
        <f>IF(AY60="","",IF($AW$4=1,AY60,0))</f>
        <v>0</v>
      </c>
      <c r="BA60" s="95">
        <f>VLOOKUP(AU60,CENY!$B$11:$M$2025,12,FALSE)</f>
        <v>2.32422</v>
      </c>
      <c r="BB60" s="95">
        <f>IF(BA60="","",BA60*AY60)</f>
        <v>0</v>
      </c>
      <c r="BD60" s="319">
        <f>OBJ!B254</f>
        <v>9318172</v>
      </c>
      <c r="BE60" s="21" t="str">
        <f>VLOOKUP(BD60,CENY!$B$11:$G$1054,2,FALSE)</f>
        <v>Actro You(L) 300/SiSy 40kg; EB21; pravý</v>
      </c>
      <c r="BF60" s="22">
        <f>VLOOKUP(BD60,CENY!$B$11:$G$1054,3,FALSE)</f>
        <v>10</v>
      </c>
      <c r="BG60" s="22"/>
      <c r="BH60" s="23">
        <f>AY36</f>
        <v>0</v>
      </c>
      <c r="BI60" s="326">
        <f t="shared" si="2"/>
        <v>0</v>
      </c>
      <c r="BJ60" s="95">
        <f>VLOOKUP(BD60,CENY!$B$11:$M$2025,12,FALSE)</f>
        <v>14.37729</v>
      </c>
      <c r="BK60" s="95">
        <f t="shared" si="3"/>
        <v>0</v>
      </c>
    </row>
    <row r="61" spans="47:63" ht="14.45" customHeight="1">
      <c r="AU61" s="319"/>
      <c r="AV61" s="21"/>
      <c r="AW61" s="22"/>
      <c r="AX61" s="22"/>
      <c r="AY61" s="23"/>
      <c r="AZ61" s="326" t="str">
        <f t="shared" si="8"/>
        <v/>
      </c>
      <c r="BA61" s="95"/>
      <c r="BB61" s="95" t="str">
        <f t="shared" si="9"/>
        <v/>
      </c>
      <c r="BD61" s="319">
        <f>OBJ!B255</f>
        <v>9318173</v>
      </c>
      <c r="BE61" s="21" t="str">
        <f>VLOOKUP(BD61,CENY!$B$11:$G$1054,2,FALSE)</f>
        <v>Actro You(L) 350/SiSy 40kg; EB21; ľavý</v>
      </c>
      <c r="BF61" s="22">
        <f>VLOOKUP(BD61,CENY!$B$11:$G$1054,3,FALSE)</f>
        <v>10</v>
      </c>
      <c r="BG61" s="22"/>
      <c r="BH61" s="23">
        <f>AY37</f>
        <v>0</v>
      </c>
      <c r="BI61" s="326">
        <f t="shared" si="2"/>
        <v>0</v>
      </c>
      <c r="BJ61" s="95">
        <f>VLOOKUP(BD61,CENY!$B$11:$M$2025,12,FALSE)</f>
        <v>14.37729</v>
      </c>
      <c r="BK61" s="95">
        <f t="shared" si="3"/>
        <v>0</v>
      </c>
    </row>
    <row r="62" spans="47:63" ht="14.45" customHeight="1">
      <c r="AU62" s="320">
        <f>OBJ!B214</f>
        <v>0</v>
      </c>
      <c r="AV62" s="321" t="e">
        <f>VLOOKUP(AU62,CENY!$B$11:$G$1054,2,FALSE)</f>
        <v>#N/A</v>
      </c>
      <c r="AW62" s="22" t="e">
        <f>VLOOKUP(AU62,CENY!$B$11:$G$1054,3,FALSE)</f>
        <v>#N/A</v>
      </c>
      <c r="AX62" s="22"/>
      <c r="AY62" s="68">
        <f>IF(FORM!AM21&lt;&gt;FORM!AW16,(4*(SUM(O19:AD19)+SUM(W20:AF20)+SUM(O25:AD25))),0)</f>
        <v>0</v>
      </c>
      <c r="AZ62" s="326">
        <f t="shared" si="8"/>
        <v>0</v>
      </c>
      <c r="BA62" s="324" t="str">
        <f>IF(AU62=0,"",VLOOKUP(AU62,CENY!$B$11:$M$2025,12,FALSE))</f>
        <v/>
      </c>
      <c r="BB62" s="95" t="str">
        <f t="shared" si="9"/>
        <v/>
      </c>
      <c r="BD62" s="319">
        <f>OBJ!B256</f>
        <v>9318174</v>
      </c>
      <c r="BE62" s="21" t="str">
        <f>VLOOKUP(BD62,CENY!$B$11:$G$1054,2,FALSE)</f>
        <v>Actro You(L) 350/SiSy 40kg; EB21; pravý</v>
      </c>
      <c r="BF62" s="22">
        <f>VLOOKUP(BD62,CENY!$B$11:$G$1054,3,FALSE)</f>
        <v>10</v>
      </c>
      <c r="BG62" s="22"/>
      <c r="BH62" s="23">
        <f>AY37</f>
        <v>0</v>
      </c>
      <c r="BI62" s="326">
        <f t="shared" si="2"/>
        <v>0</v>
      </c>
      <c r="BJ62" s="95" t="e">
        <f>VLOOKUP(BD62,CENY!$B$11:$M$2025,12,FALSE)</f>
        <v>#N/A</v>
      </c>
      <c r="BK62" s="95" t="e">
        <f t="shared" si="3"/>
        <v>#N/A</v>
      </c>
    </row>
    <row r="63" spans="47:63" ht="14.45" customHeight="1">
      <c r="AU63" s="319"/>
      <c r="AV63" s="21"/>
      <c r="AW63" s="22"/>
      <c r="AX63" s="22"/>
      <c r="AY63" s="23"/>
      <c r="AZ63" s="326" t="str">
        <f t="shared" si="8"/>
        <v/>
      </c>
      <c r="BA63" s="95"/>
      <c r="BB63" s="95" t="str">
        <f t="shared" si="9"/>
        <v/>
      </c>
      <c r="BD63" s="319">
        <f>OBJ!B257</f>
        <v>9318175</v>
      </c>
      <c r="BE63" s="21" t="str">
        <f>VLOOKUP(BD63,CENY!$B$11:$G$1054,2,FALSE)</f>
        <v>Actro You(L) 400/SiSy 40kg; EB21; ľavý</v>
      </c>
      <c r="BF63" s="22">
        <f>VLOOKUP(BD63,CENY!$B$11:$G$1054,3,FALSE)</f>
        <v>10</v>
      </c>
      <c r="BG63" s="22"/>
      <c r="BH63" s="23">
        <f>AY38</f>
        <v>0</v>
      </c>
      <c r="BI63" s="326">
        <f t="shared" si="2"/>
        <v>0</v>
      </c>
      <c r="BJ63" s="95">
        <f>VLOOKUP(BD63,CENY!$B$11:$M$2025,12,FALSE)</f>
        <v>14.56085</v>
      </c>
      <c r="BK63" s="95">
        <f t="shared" si="3"/>
        <v>0</v>
      </c>
    </row>
    <row r="64" spans="47:63" ht="14.45" customHeight="1">
      <c r="AU64" s="319"/>
      <c r="AV64" s="21"/>
      <c r="AW64" s="22"/>
      <c r="AX64" s="22"/>
      <c r="AY64" s="23"/>
      <c r="AZ64" s="326" t="str">
        <f t="shared" si="8"/>
        <v/>
      </c>
      <c r="BA64" s="95"/>
      <c r="BB64" s="95" t="str">
        <f t="shared" si="9"/>
        <v/>
      </c>
      <c r="BD64" s="319">
        <f>OBJ!B258</f>
        <v>9318176</v>
      </c>
      <c r="BE64" s="21" t="str">
        <f>VLOOKUP(BD64,CENY!$B$11:$G$1054,2,FALSE)</f>
        <v>Actro You(L) 400/SiSy 40kg; EB21; pravý</v>
      </c>
      <c r="BF64" s="22">
        <f>VLOOKUP(BD64,CENY!$B$11:$G$1054,3,FALSE)</f>
        <v>10</v>
      </c>
      <c r="BG64" s="22"/>
      <c r="BH64" s="23">
        <f>AY38</f>
        <v>0</v>
      </c>
      <c r="BI64" s="326">
        <f t="shared" si="2"/>
        <v>0</v>
      </c>
      <c r="BJ64" s="95">
        <f>VLOOKUP(BD64,CENY!$B$11:$M$2025,12,FALSE)</f>
        <v>14.56085</v>
      </c>
      <c r="BK64" s="95">
        <f t="shared" si="3"/>
        <v>0</v>
      </c>
    </row>
    <row r="65" spans="47:63" ht="14.45" customHeight="1">
      <c r="AU65" s="319"/>
      <c r="AV65" s="21"/>
      <c r="AW65" s="22"/>
      <c r="AX65" s="22"/>
      <c r="AY65" s="23"/>
      <c r="AZ65" s="326" t="str">
        <f t="shared" si="8"/>
        <v/>
      </c>
      <c r="BA65" s="95"/>
      <c r="BB65" s="95" t="str">
        <f t="shared" si="9"/>
        <v/>
      </c>
      <c r="BD65" s="319">
        <f>OBJ!B259</f>
        <v>9318177</v>
      </c>
      <c r="BE65" s="21" t="str">
        <f>VLOOKUP(BD65,CENY!$B$11:$G$1054,2,FALSE)</f>
        <v>Actro You(L) 450/SiSy 40kg; EB21; ľavý</v>
      </c>
      <c r="BF65" s="22">
        <f>VLOOKUP(BD65,CENY!$B$11:$G$1054,3,FALSE)</f>
        <v>10</v>
      </c>
      <c r="BG65" s="22"/>
      <c r="BH65" s="23">
        <f>AY39</f>
        <v>0</v>
      </c>
      <c r="BI65" s="326">
        <f t="shared" si="2"/>
        <v>0</v>
      </c>
      <c r="BJ65" s="95" t="e">
        <f>VLOOKUP(BD65,CENY!$B$11:$M$2025,12,FALSE)</f>
        <v>#N/A</v>
      </c>
      <c r="BK65" s="95" t="e">
        <f t="shared" si="3"/>
        <v>#N/A</v>
      </c>
    </row>
    <row r="66" spans="47:63" ht="14.45" customHeight="1">
      <c r="AU66" s="319"/>
      <c r="AV66" s="21"/>
      <c r="AW66" s="22"/>
      <c r="AX66" s="22"/>
      <c r="AY66" s="23"/>
      <c r="AZ66" s="326" t="str">
        <f t="shared" si="8"/>
        <v/>
      </c>
      <c r="BA66" s="95"/>
      <c r="BB66" s="95" t="str">
        <f t="shared" si="9"/>
        <v/>
      </c>
      <c r="BD66" s="319">
        <f>OBJ!B260</f>
        <v>9318178</v>
      </c>
      <c r="BE66" s="21" t="str">
        <f>VLOOKUP(BD66,CENY!$B$11:$G$1054,2,FALSE)</f>
        <v>Actro You(L) 450/SiSy 40kg; EB21; pravý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>
        <f>VLOOKUP(BD66,CENY!$B$11:$M$2025,12,FALSE)</f>
        <v>14.040839999999999</v>
      </c>
      <c r="BK66" s="95">
        <f t="shared" si="3"/>
        <v>0</v>
      </c>
    </row>
    <row r="67" spans="47:63" ht="14.45" customHeight="1">
      <c r="AU67" s="319"/>
      <c r="AV67" s="21"/>
      <c r="AW67" s="22"/>
      <c r="AX67" s="22"/>
      <c r="AY67" s="23"/>
      <c r="AZ67" s="326" t="str">
        <f t="shared" si="8"/>
        <v/>
      </c>
      <c r="BA67" s="95"/>
      <c r="BB67" s="95" t="str">
        <f t="shared" si="9"/>
        <v/>
      </c>
      <c r="BD67" s="319">
        <f>OBJ!B261</f>
        <v>9318179</v>
      </c>
      <c r="BE67" s="21" t="str">
        <f>VLOOKUP(BD67,CENY!$B$11:$G$1054,2,FALSE)</f>
        <v>Actro You(L) 500/SiSy 40kg; EB21; ľavý</v>
      </c>
      <c r="BF67" s="22">
        <f>VLOOKUP(BD67,CENY!$B$11:$G$1054,3,FALSE)</f>
        <v>10</v>
      </c>
      <c r="BG67" s="22"/>
      <c r="BH67" s="23">
        <f>AY40</f>
        <v>0</v>
      </c>
      <c r="BI67" s="326">
        <f t="shared" si="2"/>
        <v>0</v>
      </c>
      <c r="BJ67" s="95">
        <f>VLOOKUP(BD67,CENY!$B$11:$M$2025,12,FALSE)</f>
        <v>13.931559999999999</v>
      </c>
      <c r="BK67" s="95">
        <f t="shared" si="3"/>
        <v>0</v>
      </c>
    </row>
    <row r="68" spans="47:63" ht="14.45" customHeight="1">
      <c r="AU68" s="319"/>
      <c r="AV68" s="21"/>
      <c r="AW68" s="22"/>
      <c r="AX68" s="22"/>
      <c r="AY68" s="23"/>
      <c r="AZ68" s="326" t="str">
        <f t="shared" si="8"/>
        <v/>
      </c>
      <c r="BA68" s="95"/>
      <c r="BB68" s="95" t="str">
        <f t="shared" si="9"/>
        <v/>
      </c>
      <c r="BD68" s="319">
        <f>OBJ!B262</f>
        <v>9318180</v>
      </c>
      <c r="BE68" s="21" t="str">
        <f>VLOOKUP(BD68,CENY!$B$11:$G$1054,2,FALSE)</f>
        <v>Actro You(L) 500/SiSy 40kg; EB21; pravý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13.931559999999999</v>
      </c>
      <c r="BK68" s="95">
        <f t="shared" si="3"/>
        <v>0</v>
      </c>
    </row>
    <row r="69" spans="47:63" ht="14.45" customHeight="1">
      <c r="AU69" s="319"/>
      <c r="AV69" s="21"/>
      <c r="AW69" s="22"/>
      <c r="AX69" s="22"/>
      <c r="AY69" s="23"/>
      <c r="AZ69" s="326" t="str">
        <f t="shared" si="8"/>
        <v/>
      </c>
      <c r="BA69" s="95"/>
      <c r="BB69" s="95" t="str">
        <f t="shared" si="9"/>
        <v/>
      </c>
      <c r="BD69" s="319">
        <f>OBJ!B263</f>
        <v>9318181</v>
      </c>
      <c r="BE69" s="21" t="str">
        <f>VLOOKUP(BD69,CENY!$B$11:$G$1054,2,FALSE)</f>
        <v>Actro You(L) 550/SiSy 40kg; EB21; ľavý</v>
      </c>
      <c r="BF69" s="22">
        <f>VLOOKUP(BD69,CENY!$B$11:$G$1054,3,FALSE)</f>
        <v>10</v>
      </c>
      <c r="BG69" s="22"/>
      <c r="BH69" s="23">
        <f>AY41</f>
        <v>0</v>
      </c>
      <c r="BI69" s="326">
        <f t="shared" si="2"/>
        <v>0</v>
      </c>
      <c r="BJ69" s="95">
        <f>VLOOKUP(BD69,CENY!$B$11:$M$2025,12,FALSE)</f>
        <v>15.147040000000001</v>
      </c>
      <c r="BK69" s="95">
        <f t="shared" si="3"/>
        <v>0</v>
      </c>
    </row>
    <row r="70" spans="47:63" ht="14.45" customHeight="1">
      <c r="AU70" s="20"/>
      <c r="AV70" s="21"/>
      <c r="AW70" s="22"/>
      <c r="AX70" s="22"/>
      <c r="AY70" s="23"/>
      <c r="AZ70" s="326" t="str">
        <f t="shared" si="8"/>
        <v/>
      </c>
      <c r="BA70" s="95"/>
      <c r="BB70" s="95" t="str">
        <f t="shared" si="9"/>
        <v/>
      </c>
      <c r="BD70" s="319">
        <f>OBJ!B264</f>
        <v>9318182</v>
      </c>
      <c r="BE70" s="21" t="str">
        <f>VLOOKUP(BD70,CENY!$B$11:$G$1054,2,FALSE)</f>
        <v>Actro You(L) 550/SiSy 40kg; EB21; pravý</v>
      </c>
      <c r="BF70" s="22">
        <f>VLOOKUP(BD70,CENY!$B$11:$G$1054,3,FALSE)</f>
        <v>10</v>
      </c>
      <c r="BG70" s="22"/>
      <c r="BH70" s="23">
        <f>AY41</f>
        <v>0</v>
      </c>
      <c r="BI70" s="326">
        <f t="shared" si="2"/>
        <v>0</v>
      </c>
      <c r="BJ70" s="95">
        <f>VLOOKUP(BD70,CENY!$B$11:$M$2025,12,FALSE)</f>
        <v>15.147040000000001</v>
      </c>
      <c r="BK70" s="95">
        <f t="shared" si="3"/>
        <v>0</v>
      </c>
    </row>
    <row r="71" spans="47:63" ht="14.45" customHeight="1">
      <c r="AU71" s="20"/>
      <c r="AV71" s="21"/>
      <c r="AW71" s="22"/>
      <c r="AX71" s="22"/>
      <c r="AY71" s="23"/>
      <c r="AZ71" s="326" t="str">
        <f t="shared" si="8"/>
        <v/>
      </c>
      <c r="BA71" s="95"/>
      <c r="BB71" s="95" t="str">
        <f t="shared" si="9"/>
        <v/>
      </c>
      <c r="BD71" s="319">
        <f>OBJ!B265</f>
        <v>9318183</v>
      </c>
      <c r="BE71" s="21" t="str">
        <f>VLOOKUP(BD71,CENY!$B$11:$G$1054,2,FALSE)</f>
        <v>Actro You(L) 600/SiSy 40kg; EB21; ľavý</v>
      </c>
      <c r="BF71" s="22">
        <f>VLOOKUP(BD71,CENY!$B$11:$G$1054,3,FALSE)</f>
        <v>10</v>
      </c>
      <c r="BG71" s="22"/>
      <c r="BH71" s="23">
        <f>AY42</f>
        <v>0</v>
      </c>
      <c r="BI71" s="326">
        <f t="shared" si="2"/>
        <v>0</v>
      </c>
      <c r="BJ71" s="95">
        <f>VLOOKUP(BD71,CENY!$B$11:$M$2025,12,FALSE)</f>
        <v>15.35308</v>
      </c>
      <c r="BK71" s="95">
        <f t="shared" si="3"/>
        <v>0</v>
      </c>
    </row>
    <row r="72" spans="47:63" ht="14.45" customHeight="1">
      <c r="AU72" s="20"/>
      <c r="AV72" s="21"/>
      <c r="AW72" s="22"/>
      <c r="AX72" s="22"/>
      <c r="AY72" s="23"/>
      <c r="AZ72" s="326" t="str">
        <f t="shared" si="8"/>
        <v/>
      </c>
      <c r="BA72" s="95"/>
      <c r="BB72" s="95" t="str">
        <f t="shared" si="9"/>
        <v/>
      </c>
      <c r="BD72" s="319">
        <f>OBJ!B266</f>
        <v>9318184</v>
      </c>
      <c r="BE72" s="21" t="str">
        <f>VLOOKUP(BD72,CENY!$B$11:$G$1054,2,FALSE)</f>
        <v>Actro You(L) 600/SiSy 40kg; EB21; pravý</v>
      </c>
      <c r="BF72" s="22">
        <f>VLOOKUP(BD72,CENY!$B$11:$G$1054,3,FALSE)</f>
        <v>10</v>
      </c>
      <c r="BG72" s="22"/>
      <c r="BH72" s="23">
        <f>AY42</f>
        <v>0</v>
      </c>
      <c r="BI72" s="326">
        <f t="shared" si="2"/>
        <v>0</v>
      </c>
      <c r="BJ72" s="95" t="e">
        <f>VLOOKUP(BD72,CENY!$B$11:$M$2025,12,FALSE)</f>
        <v>#N/A</v>
      </c>
      <c r="BK72" s="95" t="e">
        <f t="shared" si="3"/>
        <v>#N/A</v>
      </c>
    </row>
    <row r="73" spans="47:63" ht="14.45" customHeight="1">
      <c r="AU73" s="20"/>
      <c r="AV73" s="21"/>
      <c r="AW73" s="22"/>
      <c r="AX73" s="22"/>
      <c r="AY73" s="23"/>
      <c r="AZ73" s="326" t="str">
        <f t="shared" si="8"/>
        <v/>
      </c>
      <c r="BA73" s="95"/>
      <c r="BB73" s="95" t="str">
        <f t="shared" si="9"/>
        <v/>
      </c>
      <c r="BD73" s="319"/>
      <c r="BE73" s="21"/>
      <c r="BF73" s="22"/>
      <c r="BG73" s="22"/>
      <c r="BH73" s="23"/>
      <c r="BI73" s="326" t="str">
        <f t="shared" si="2"/>
        <v/>
      </c>
      <c r="BJ73" s="95"/>
      <c r="BK73" s="95" t="str">
        <f t="shared" si="3"/>
        <v/>
      </c>
    </row>
    <row r="74" spans="47:63" ht="14.45" customHeight="1">
      <c r="AU74" s="20"/>
      <c r="AV74" s="21"/>
      <c r="AW74" s="22"/>
      <c r="AX74" s="22"/>
      <c r="AY74" s="23"/>
      <c r="AZ74" s="326" t="str">
        <f t="shared" si="8"/>
        <v/>
      </c>
      <c r="BA74" s="95"/>
      <c r="BB74" s="95" t="str">
        <f t="shared" si="9"/>
        <v/>
      </c>
      <c r="BD74" s="319">
        <f>OBJ!B273</f>
        <v>9318198</v>
      </c>
      <c r="BE74" s="21" t="str">
        <f>VLOOKUP(BD74,CENY!$B$11:$G$1054,2,FALSE)</f>
        <v>Actro You(XL) 450/SiSy 70kg; EB21; ľavý</v>
      </c>
      <c r="BF74" s="22">
        <f>VLOOKUP(BD74,CENY!$B$11:$G$1054,3,FALSE)</f>
        <v>10</v>
      </c>
      <c r="BG74" s="22"/>
      <c r="BH74" s="23">
        <f>AY44</f>
        <v>0</v>
      </c>
      <c r="BI74" s="326">
        <f t="shared" si="2"/>
        <v>0</v>
      </c>
      <c r="BJ74" s="95" t="e">
        <f>VLOOKUP(BD74,CENY!$B$11:$M$2025,12,FALSE)</f>
        <v>#N/A</v>
      </c>
      <c r="BK74" s="95" t="e">
        <f t="shared" si="3"/>
        <v>#N/A</v>
      </c>
    </row>
    <row r="75" spans="47:63" ht="14.45" customHeight="1">
      <c r="AU75" s="20"/>
      <c r="AV75" s="21"/>
      <c r="AW75" s="22"/>
      <c r="AX75" s="22"/>
      <c r="AY75" s="23"/>
      <c r="AZ75" s="326" t="str">
        <f t="shared" si="8"/>
        <v/>
      </c>
      <c r="BA75" s="95"/>
      <c r="BB75" s="95" t="str">
        <f t="shared" si="9"/>
        <v/>
      </c>
      <c r="BD75" s="319">
        <f>OBJ!B274</f>
        <v>9318199</v>
      </c>
      <c r="BE75" s="21" t="str">
        <f>VLOOKUP(BD75,CENY!$B$11:$G$1054,2,FALSE)</f>
        <v>Actro You(XL) 450/SiSy 70kg; EB21; pravý</v>
      </c>
      <c r="BF75" s="22">
        <f>VLOOKUP(BD75,CENY!$B$11:$G$1054,3,FALSE)</f>
        <v>10</v>
      </c>
      <c r="BG75" s="22"/>
      <c r="BH75" s="23">
        <f>AY44</f>
        <v>0</v>
      </c>
      <c r="BI75" s="326">
        <f t="shared" si="2"/>
        <v>0</v>
      </c>
      <c r="BJ75" s="95" t="e">
        <f>VLOOKUP(BD75,CENY!$B$11:$M$2025,12,FALSE)</f>
        <v>#N/A</v>
      </c>
      <c r="BK75" s="95" t="e">
        <f t="shared" si="3"/>
        <v>#N/A</v>
      </c>
    </row>
    <row r="76" spans="47:63" ht="14.45" customHeight="1">
      <c r="AU76" s="20"/>
      <c r="AV76" s="21"/>
      <c r="AW76" s="22"/>
      <c r="AX76" s="22"/>
      <c r="AY76" s="23"/>
      <c r="AZ76" s="326" t="str">
        <f t="shared" si="8"/>
        <v/>
      </c>
      <c r="BA76" s="95"/>
      <c r="BB76" s="95" t="str">
        <f t="shared" si="9"/>
        <v/>
      </c>
      <c r="BD76" s="319">
        <f>OBJ!B275</f>
        <v>9318201</v>
      </c>
      <c r="BE76" s="21" t="str">
        <f>VLOOKUP(BD76,CENY!$B$11:$G$1054,2,FALSE)</f>
        <v>Actro You(XL) 500/SiSy 70kg; EB21; ľavý</v>
      </c>
      <c r="BF76" s="22">
        <f>VLOOKUP(BD76,CENY!$B$11:$G$1054,3,FALSE)</f>
        <v>10</v>
      </c>
      <c r="BG76" s="22"/>
      <c r="BH76" s="23">
        <f>AY45</f>
        <v>0</v>
      </c>
      <c r="BI76" s="326">
        <f t="shared" si="2"/>
        <v>0</v>
      </c>
      <c r="BJ76" s="95">
        <f>VLOOKUP(BD76,CENY!$B$11:$M$2025,12,FALSE)</f>
        <v>17.52394</v>
      </c>
      <c r="BK76" s="95">
        <f t="shared" si="3"/>
        <v>0</v>
      </c>
    </row>
    <row r="77" spans="47:63" ht="14.45" customHeight="1">
      <c r="AU77" s="20"/>
      <c r="AV77" s="21"/>
      <c r="AW77" s="22"/>
      <c r="AX77" s="22"/>
      <c r="AY77" s="23"/>
      <c r="AZ77" s="326" t="str">
        <f t="shared" si="8"/>
        <v/>
      </c>
      <c r="BA77" s="95"/>
      <c r="BB77" s="95" t="str">
        <f t="shared" si="9"/>
        <v/>
      </c>
      <c r="BD77" s="319">
        <f>OBJ!B276</f>
        <v>9318203</v>
      </c>
      <c r="BE77" s="21" t="str">
        <f>VLOOKUP(BD77,CENY!$B$11:$G$1054,2,FALSE)</f>
        <v>Actro You(XL) 500/SiSy 70kg; EB21; pravý</v>
      </c>
      <c r="BF77" s="22">
        <f>VLOOKUP(BD77,CENY!$B$11:$G$1054,3,FALSE)</f>
        <v>10</v>
      </c>
      <c r="BG77" s="22"/>
      <c r="BH77" s="23">
        <f>AY45</f>
        <v>0</v>
      </c>
      <c r="BI77" s="326">
        <f t="shared" si="2"/>
        <v>0</v>
      </c>
      <c r="BJ77" s="95">
        <f>VLOOKUP(BD77,CENY!$B$11:$M$2025,12,FALSE)</f>
        <v>17.52394</v>
      </c>
      <c r="BK77" s="95">
        <f t="shared" si="3"/>
        <v>0</v>
      </c>
    </row>
    <row r="78" spans="47:63" ht="14.45" customHeight="1">
      <c r="AU78" s="20"/>
      <c r="AV78" s="21"/>
      <c r="AW78" s="22"/>
      <c r="AX78" s="22"/>
      <c r="AY78" s="23"/>
      <c r="AZ78" s="326" t="str">
        <f t="shared" si="8"/>
        <v/>
      </c>
      <c r="BA78" s="95"/>
      <c r="BB78" s="95" t="str">
        <f t="shared" si="9"/>
        <v/>
      </c>
      <c r="BD78" s="319">
        <f>OBJ!B277</f>
        <v>9318208</v>
      </c>
      <c r="BE78" s="21" t="str">
        <f>VLOOKUP(BD78,CENY!$B$11:$G$1054,2,FALSE)</f>
        <v>Actro You(XL) 550/SiSy 70kg; EB21; ľavý</v>
      </c>
      <c r="BF78" s="22">
        <f>VLOOKUP(BD78,CENY!$B$11:$G$1054,3,FALSE)</f>
        <v>10</v>
      </c>
      <c r="BG78" s="22"/>
      <c r="BH78" s="23">
        <f>AY46</f>
        <v>0</v>
      </c>
      <c r="BI78" s="326">
        <f t="shared" si="2"/>
        <v>0</v>
      </c>
      <c r="BJ78" s="95">
        <f>VLOOKUP(BD78,CENY!$B$11:$M$2025,12,FALSE)</f>
        <v>18.45496</v>
      </c>
      <c r="BK78" s="95">
        <f t="shared" si="3"/>
        <v>0</v>
      </c>
    </row>
    <row r="79" spans="47:63" ht="14.45" customHeight="1">
      <c r="AU79" s="20"/>
      <c r="AV79" s="21"/>
      <c r="AW79" s="22"/>
      <c r="AX79" s="22"/>
      <c r="AY79" s="23"/>
      <c r="AZ79" s="326" t="str">
        <f t="shared" si="8"/>
        <v/>
      </c>
      <c r="BA79" s="95"/>
      <c r="BB79" s="95" t="str">
        <f t="shared" si="9"/>
        <v/>
      </c>
      <c r="BD79" s="319">
        <f>OBJ!B278</f>
        <v>9318209</v>
      </c>
      <c r="BE79" s="21" t="str">
        <f>VLOOKUP(BD79,CENY!$B$11:$G$1054,2,FALSE)</f>
        <v>Actro You(XL) 550/SiSy 70kg; EB21; pravý</v>
      </c>
      <c r="BF79" s="22">
        <f>VLOOKUP(BD79,CENY!$B$11:$G$1054,3,FALSE)</f>
        <v>10</v>
      </c>
      <c r="BG79" s="22"/>
      <c r="BH79" s="23">
        <f>AY46</f>
        <v>0</v>
      </c>
      <c r="BI79" s="326">
        <f t="shared" si="2"/>
        <v>0</v>
      </c>
      <c r="BJ79" s="95">
        <f>VLOOKUP(BD79,CENY!$B$11:$M$2025,12,FALSE)</f>
        <v>18.45496</v>
      </c>
      <c r="BK79" s="95">
        <f t="shared" si="3"/>
        <v>0</v>
      </c>
    </row>
    <row r="80" spans="47:63" ht="14.45" customHeight="1">
      <c r="AU80" s="20"/>
      <c r="AV80" s="21"/>
      <c r="AW80" s="22"/>
      <c r="AX80" s="22"/>
      <c r="AY80" s="23"/>
      <c r="AZ80" s="326" t="str">
        <f t="shared" si="8"/>
        <v/>
      </c>
      <c r="BA80" s="95"/>
      <c r="BB80" s="95" t="str">
        <f t="shared" si="9"/>
        <v/>
      </c>
      <c r="BD80" s="319">
        <f>OBJ!B279</f>
        <v>9318211</v>
      </c>
      <c r="BE80" s="21" t="str">
        <f>VLOOKUP(BD80,CENY!$B$11:$G$1054,2,FALSE)</f>
        <v>Actro You(XL) 600/SiSy 70kg; EB21; ľavý</v>
      </c>
      <c r="BF80" s="22">
        <f>VLOOKUP(BD80,CENY!$B$11:$G$1054,3,FALSE)</f>
        <v>10</v>
      </c>
      <c r="BG80" s="22"/>
      <c r="BH80" s="23">
        <f>AY47</f>
        <v>0</v>
      </c>
      <c r="BI80" s="326">
        <f t="shared" si="2"/>
        <v>0</v>
      </c>
      <c r="BJ80" s="95">
        <f>VLOOKUP(BD80,CENY!$B$11:$M$2025,12,FALSE)</f>
        <v>21.352720000000001</v>
      </c>
      <c r="BK80" s="95">
        <f t="shared" si="3"/>
        <v>0</v>
      </c>
    </row>
    <row r="81" spans="47:63" ht="14.45" customHeight="1">
      <c r="AU81" s="20"/>
      <c r="AV81" s="21"/>
      <c r="AW81" s="22"/>
      <c r="AX81" s="22"/>
      <c r="AY81" s="23"/>
      <c r="AZ81" s="326" t="str">
        <f t="shared" si="8"/>
        <v/>
      </c>
      <c r="BA81" s="95"/>
      <c r="BB81" s="95" t="str">
        <f t="shared" si="9"/>
        <v/>
      </c>
      <c r="BD81" s="319">
        <f>OBJ!B280</f>
        <v>9318212</v>
      </c>
      <c r="BE81" s="21" t="str">
        <f>VLOOKUP(BD81,CENY!$B$11:$G$1054,2,FALSE)</f>
        <v>Actro You(XL) 600/SiSy 70kg; EB21; pravý</v>
      </c>
      <c r="BF81" s="22">
        <f>VLOOKUP(BD81,CENY!$B$11:$G$1054,3,FALSE)</f>
        <v>10</v>
      </c>
      <c r="BG81" s="22"/>
      <c r="BH81" s="23">
        <f>AY47</f>
        <v>0</v>
      </c>
      <c r="BI81" s="326">
        <f t="shared" si="2"/>
        <v>0</v>
      </c>
      <c r="BJ81" s="95">
        <f>VLOOKUP(BD81,CENY!$B$11:$M$2025,12,FALSE)</f>
        <v>21.352720000000001</v>
      </c>
      <c r="BK81" s="95">
        <f t="shared" si="3"/>
        <v>0</v>
      </c>
    </row>
    <row r="82" spans="47:63" ht="14.45" customHeight="1">
      <c r="AU82" s="20"/>
      <c r="AV82" s="21"/>
      <c r="AW82" s="22"/>
      <c r="AX82" s="22"/>
      <c r="AY82" s="23"/>
      <c r="AZ82" s="326" t="str">
        <f t="shared" si="8"/>
        <v/>
      </c>
      <c r="BA82" s="95"/>
      <c r="BB82" s="95" t="str">
        <f t="shared" si="9"/>
        <v/>
      </c>
      <c r="BD82" s="319">
        <f>OBJ!B281</f>
        <v>9318213</v>
      </c>
      <c r="BE82" s="21" t="str">
        <f>VLOOKUP(BD82,CENY!$B$11:$G$1054,2,FALSE)</f>
        <v>Actro You(XL) 650/SiSy 70kg; EB21; ľavý</v>
      </c>
      <c r="BF82" s="22">
        <f>VLOOKUP(BD82,CENY!$B$11:$G$1054,3,FALSE)</f>
        <v>5</v>
      </c>
      <c r="BG82" s="22"/>
      <c r="BH82" s="23">
        <f>AY48</f>
        <v>0</v>
      </c>
      <c r="BI82" s="326">
        <f t="shared" si="2"/>
        <v>0</v>
      </c>
      <c r="BJ82" s="95">
        <f>VLOOKUP(BD82,CENY!$B$11:$M$2025,12,FALSE)</f>
        <v>22.243659999999998</v>
      </c>
      <c r="BK82" s="95">
        <f t="shared" si="3"/>
        <v>0</v>
      </c>
    </row>
    <row r="83" spans="47:63" ht="14.45" customHeight="1">
      <c r="AU83" s="20"/>
      <c r="AV83" s="21"/>
      <c r="AW83" s="22"/>
      <c r="AX83" s="22"/>
      <c r="AY83" s="23"/>
      <c r="AZ83" s="326" t="str">
        <f t="shared" si="8"/>
        <v/>
      </c>
      <c r="BA83" s="95"/>
      <c r="BB83" s="95" t="str">
        <f t="shared" si="9"/>
        <v/>
      </c>
      <c r="BD83" s="319">
        <f>OBJ!B282</f>
        <v>9318214</v>
      </c>
      <c r="BE83" s="21" t="str">
        <f>VLOOKUP(BD83,CENY!$B$11:$G$1054,2,FALSE)</f>
        <v>Actro You(XL) 650/SiSy 70kg; EB21; pravý</v>
      </c>
      <c r="BF83" s="22">
        <f>VLOOKUP(BD83,CENY!$B$11:$G$1054,3,FALSE)</f>
        <v>5</v>
      </c>
      <c r="BG83" s="22"/>
      <c r="BH83" s="23">
        <f>AY48</f>
        <v>0</v>
      </c>
      <c r="BI83" s="326">
        <f t="shared" ref="BI83:BI115" si="10">IF(BH83="","",IF($AW$4=0,BH83,0))</f>
        <v>0</v>
      </c>
      <c r="BJ83" s="95">
        <f>VLOOKUP(BD83,CENY!$B$11:$M$2025,12,FALSE)</f>
        <v>22.243659999999998</v>
      </c>
      <c r="BK83" s="95">
        <f t="shared" ref="BK83:BK115" si="11">IF(BJ83="","",BJ83*BH83)</f>
        <v>0</v>
      </c>
    </row>
    <row r="84" spans="47:63" ht="14.45" customHeight="1">
      <c r="AU84" s="20"/>
      <c r="AV84" s="21"/>
      <c r="AW84" s="22"/>
      <c r="AX84" s="22"/>
      <c r="AY84" s="23"/>
      <c r="AZ84" s="326" t="str">
        <f t="shared" si="8"/>
        <v/>
      </c>
      <c r="BA84" s="95"/>
      <c r="BB84" s="95" t="str">
        <f t="shared" si="9"/>
        <v/>
      </c>
      <c r="BD84" s="319"/>
      <c r="BE84" s="21"/>
      <c r="BF84" s="22"/>
      <c r="BG84" s="22"/>
      <c r="BH84" s="23"/>
      <c r="BI84" s="326" t="str">
        <f t="shared" si="10"/>
        <v/>
      </c>
      <c r="BJ84" s="95"/>
      <c r="BK84" s="95" t="str">
        <f t="shared" si="11"/>
        <v/>
      </c>
    </row>
    <row r="85" spans="47:63" ht="14.45" customHeight="1">
      <c r="AU85" s="20"/>
      <c r="AV85" s="21"/>
      <c r="AW85" s="22"/>
      <c r="AX85" s="22"/>
      <c r="AY85" s="23"/>
      <c r="AZ85" s="326" t="str">
        <f t="shared" si="8"/>
        <v/>
      </c>
      <c r="BA85" s="95"/>
      <c r="BB85" s="95" t="str">
        <f t="shared" si="9"/>
        <v/>
      </c>
      <c r="BD85" s="319">
        <f>OBJ!B312</f>
        <v>9256854</v>
      </c>
      <c r="BE85" s="21" t="str">
        <f>VLOOKUP(BD85,CENY!$B$11:$G$1054,2,FALSE)</f>
        <v>Quadro You(M) 270/SiSy 20kg; EB21; ľavý</v>
      </c>
      <c r="BF85" s="22">
        <f>VLOOKUP(BD85,CENY!$B$11:$G$1054,3,FALSE)</f>
        <v>20</v>
      </c>
      <c r="BG85" s="22"/>
      <c r="BH85" s="23">
        <f>AY50</f>
        <v>0</v>
      </c>
      <c r="BI85" s="326">
        <f t="shared" si="10"/>
        <v>0</v>
      </c>
      <c r="BJ85" s="95">
        <f>VLOOKUP(BD85,CENY!$B$11:$M$2025,12,FALSE)</f>
        <v>10.7646</v>
      </c>
      <c r="BK85" s="95">
        <f t="shared" si="11"/>
        <v>0</v>
      </c>
    </row>
    <row r="86" spans="47:63" ht="14.45" customHeight="1">
      <c r="AU86" s="20"/>
      <c r="AV86" s="21"/>
      <c r="AW86" s="22"/>
      <c r="AX86" s="22"/>
      <c r="AY86" s="23"/>
      <c r="AZ86" s="326" t="str">
        <f t="shared" si="8"/>
        <v/>
      </c>
      <c r="BA86" s="95"/>
      <c r="BB86" s="95" t="str">
        <f t="shared" si="9"/>
        <v/>
      </c>
      <c r="BD86" s="319">
        <f>OBJ!B313</f>
        <v>9256855</v>
      </c>
      <c r="BE86" s="21" t="str">
        <f>VLOOKUP(BD86,CENY!$B$11:$G$1054,2,FALSE)</f>
        <v>Quadro You(M) 270/SiSy 20kg; EB21; pravý</v>
      </c>
      <c r="BF86" s="22">
        <f>VLOOKUP(BD86,CENY!$B$11:$G$1054,3,FALSE)</f>
        <v>20</v>
      </c>
      <c r="BG86" s="22"/>
      <c r="BH86" s="23">
        <f>AY50</f>
        <v>0</v>
      </c>
      <c r="BI86" s="326">
        <f t="shared" si="10"/>
        <v>0</v>
      </c>
      <c r="BJ86" s="95">
        <f>VLOOKUP(BD86,CENY!$B$11:$M$2025,12,FALSE)</f>
        <v>10.7646</v>
      </c>
      <c r="BK86" s="95">
        <f t="shared" si="11"/>
        <v>0</v>
      </c>
    </row>
    <row r="87" spans="47:63" ht="14.45" customHeight="1">
      <c r="AU87" s="20"/>
      <c r="AV87" s="21"/>
      <c r="AW87" s="22"/>
      <c r="AX87" s="22"/>
      <c r="AY87" s="23"/>
      <c r="AZ87" s="326" t="str">
        <f t="shared" si="8"/>
        <v/>
      </c>
      <c r="BA87" s="95"/>
      <c r="BB87" s="95" t="str">
        <f t="shared" si="9"/>
        <v/>
      </c>
      <c r="BD87" s="319">
        <f>OBJ!B314</f>
        <v>9256856</v>
      </c>
      <c r="BE87" s="21" t="str">
        <f>VLOOKUP(BD87,CENY!$B$11:$G$1054,2,FALSE)</f>
        <v>Quadro You(M) 300/SiSy 20kg; EB21; ľavý</v>
      </c>
      <c r="BF87" s="22">
        <f>VLOOKUP(BD87,CENY!$B$11:$G$1054,3,FALSE)</f>
        <v>20</v>
      </c>
      <c r="BG87" s="22"/>
      <c r="BH87" s="23">
        <f>AY51</f>
        <v>0</v>
      </c>
      <c r="BI87" s="326">
        <f t="shared" si="10"/>
        <v>0</v>
      </c>
      <c r="BJ87" s="95">
        <f>VLOOKUP(BD87,CENY!$B$11:$M$2025,12,FALSE)</f>
        <v>10.787739999999999</v>
      </c>
      <c r="BK87" s="95">
        <f t="shared" si="11"/>
        <v>0</v>
      </c>
    </row>
    <row r="88" spans="47:63" ht="14.45" customHeight="1">
      <c r="AU88" s="20"/>
      <c r="AV88" s="21"/>
      <c r="AW88" s="22"/>
      <c r="AX88" s="22"/>
      <c r="AY88" s="23"/>
      <c r="AZ88" s="326" t="str">
        <f t="shared" si="8"/>
        <v/>
      </c>
      <c r="BA88" s="95"/>
      <c r="BB88" s="95" t="str">
        <f t="shared" si="9"/>
        <v/>
      </c>
      <c r="BD88" s="319">
        <f>OBJ!B315</f>
        <v>9256857</v>
      </c>
      <c r="BE88" s="21" t="str">
        <f>VLOOKUP(BD88,CENY!$B$11:$G$1054,2,FALSE)</f>
        <v>Quadro You(M) 300/SiSy 20kg; EB21; pravý</v>
      </c>
      <c r="BF88" s="22">
        <f>VLOOKUP(BD88,CENY!$B$11:$G$1054,3,FALSE)</f>
        <v>20</v>
      </c>
      <c r="BG88" s="22"/>
      <c r="BH88" s="23">
        <f>AY51</f>
        <v>0</v>
      </c>
      <c r="BI88" s="326">
        <f t="shared" si="10"/>
        <v>0</v>
      </c>
      <c r="BJ88" s="95">
        <f>VLOOKUP(BD88,CENY!$B$11:$M$2025,12,FALSE)</f>
        <v>10.787739999999999</v>
      </c>
      <c r="BK88" s="95">
        <f t="shared" si="11"/>
        <v>0</v>
      </c>
    </row>
    <row r="89" spans="47:63" ht="14.45" customHeight="1">
      <c r="AU89" s="20"/>
      <c r="AV89" s="21"/>
      <c r="AW89" s="22"/>
      <c r="AX89" s="22"/>
      <c r="AY89" s="23"/>
      <c r="AZ89" s="326" t="str">
        <f t="shared" si="8"/>
        <v/>
      </c>
      <c r="BA89" s="95"/>
      <c r="BB89" s="95" t="str">
        <f t="shared" si="9"/>
        <v/>
      </c>
      <c r="BD89" s="319">
        <f>OBJ!B316</f>
        <v>9256860</v>
      </c>
      <c r="BE89" s="21" t="str">
        <f>VLOOKUP(BD89,CENY!$B$11:$G$1054,2,FALSE)</f>
        <v>Quadro You(M) 350/SiSy 25kg; EB21; ľavý</v>
      </c>
      <c r="BF89" s="22">
        <f>VLOOKUP(BD89,CENY!$B$11:$G$1054,3,FALSE)</f>
        <v>20</v>
      </c>
      <c r="BG89" s="22"/>
      <c r="BH89" s="23">
        <f>AY52</f>
        <v>0</v>
      </c>
      <c r="BI89" s="326">
        <f t="shared" si="10"/>
        <v>0</v>
      </c>
      <c r="BJ89" s="95">
        <f>VLOOKUP(BD89,CENY!$B$11:$M$2025,12,FALSE)</f>
        <v>11.02122</v>
      </c>
      <c r="BK89" s="95">
        <f t="shared" si="11"/>
        <v>0</v>
      </c>
    </row>
    <row r="90" spans="47:63" ht="14.45" customHeight="1">
      <c r="AU90" s="20"/>
      <c r="AV90" s="21"/>
      <c r="AW90" s="22"/>
      <c r="AX90" s="22"/>
      <c r="AY90" s="23"/>
      <c r="AZ90" s="326" t="str">
        <f t="shared" si="8"/>
        <v/>
      </c>
      <c r="BA90" s="95"/>
      <c r="BB90" s="95" t="str">
        <f t="shared" si="9"/>
        <v/>
      </c>
      <c r="BD90" s="319">
        <f>OBJ!B317</f>
        <v>9256861</v>
      </c>
      <c r="BE90" s="21" t="str">
        <f>VLOOKUP(BD90,CENY!$B$11:$G$1054,2,FALSE)</f>
        <v>Quadro You(M) 350/SiSy 25kg; EB21; pravý</v>
      </c>
      <c r="BF90" s="22">
        <f>VLOOKUP(BD90,CENY!$B$11:$G$1054,3,FALSE)</f>
        <v>20</v>
      </c>
      <c r="BG90" s="22"/>
      <c r="BH90" s="23">
        <f>AY52</f>
        <v>0</v>
      </c>
      <c r="BI90" s="326">
        <f t="shared" si="10"/>
        <v>0</v>
      </c>
      <c r="BJ90" s="95">
        <f>VLOOKUP(BD90,CENY!$B$11:$M$2025,12,FALSE)</f>
        <v>11.02122</v>
      </c>
      <c r="BK90" s="95">
        <f t="shared" si="11"/>
        <v>0</v>
      </c>
    </row>
    <row r="91" spans="47:63" ht="14.45" customHeight="1">
      <c r="AU91" s="20"/>
      <c r="AV91" s="21"/>
      <c r="AW91" s="22"/>
      <c r="AX91" s="22"/>
      <c r="AY91" s="23"/>
      <c r="AZ91" s="326" t="str">
        <f t="shared" si="8"/>
        <v/>
      </c>
      <c r="BA91" s="95"/>
      <c r="BB91" s="95" t="str">
        <f t="shared" si="9"/>
        <v/>
      </c>
      <c r="BD91" s="319">
        <f>OBJ!B318</f>
        <v>9256864</v>
      </c>
      <c r="BE91" s="21" t="str">
        <f>VLOOKUP(BD91,CENY!$B$11:$G$1054,2,FALSE)</f>
        <v>Quadro You(M) 400/SiSy 30kg; EB21; ľavý</v>
      </c>
      <c r="BF91" s="22">
        <f>VLOOKUP(BD91,CENY!$B$11:$G$1054,3,FALSE)</f>
        <v>20</v>
      </c>
      <c r="BG91" s="22"/>
      <c r="BH91" s="23">
        <f>AY53</f>
        <v>0</v>
      </c>
      <c r="BI91" s="326">
        <f t="shared" si="10"/>
        <v>0</v>
      </c>
      <c r="BJ91" s="95">
        <f>VLOOKUP(BD91,CENY!$B$11:$M$2025,12,FALSE)</f>
        <v>11.25459</v>
      </c>
      <c r="BK91" s="95">
        <f t="shared" si="11"/>
        <v>0</v>
      </c>
    </row>
    <row r="92" spans="47:63" ht="14.45" customHeight="1">
      <c r="AU92" s="20"/>
      <c r="AV92" s="21"/>
      <c r="AW92" s="22"/>
      <c r="AX92" s="22"/>
      <c r="AY92" s="23"/>
      <c r="AZ92" s="326" t="str">
        <f t="shared" si="8"/>
        <v/>
      </c>
      <c r="BA92" s="95"/>
      <c r="BB92" s="95" t="str">
        <f t="shared" si="9"/>
        <v/>
      </c>
      <c r="BD92" s="319">
        <f>OBJ!B319</f>
        <v>9256865</v>
      </c>
      <c r="BE92" s="21" t="str">
        <f>VLOOKUP(BD92,CENY!$B$11:$G$1054,2,FALSE)</f>
        <v>Quadro You(M) 400/SiSy 30kg; EB21; pravý</v>
      </c>
      <c r="BF92" s="22">
        <f>VLOOKUP(BD92,CENY!$B$11:$G$1054,3,FALSE)</f>
        <v>20</v>
      </c>
      <c r="BG92" s="22"/>
      <c r="BH92" s="23">
        <f>AY53</f>
        <v>0</v>
      </c>
      <c r="BI92" s="326">
        <f t="shared" si="10"/>
        <v>0</v>
      </c>
      <c r="BJ92" s="95">
        <f>VLOOKUP(BD92,CENY!$B$11:$M$2025,12,FALSE)</f>
        <v>11.25459</v>
      </c>
      <c r="BK92" s="95">
        <f t="shared" si="11"/>
        <v>0</v>
      </c>
    </row>
    <row r="93" spans="47:63" ht="14.45" customHeight="1">
      <c r="AU93" s="20"/>
      <c r="AV93" s="21"/>
      <c r="AW93" s="22"/>
      <c r="AX93" s="22"/>
      <c r="AY93" s="23"/>
      <c r="AZ93" s="326" t="str">
        <f t="shared" si="8"/>
        <v/>
      </c>
      <c r="BA93" s="95"/>
      <c r="BB93" s="95" t="str">
        <f t="shared" si="9"/>
        <v/>
      </c>
      <c r="BD93" s="319">
        <f>OBJ!B320</f>
        <v>9256868</v>
      </c>
      <c r="BE93" s="21" t="str">
        <f>VLOOKUP(BD93,CENY!$B$11:$G$1054,2,FALSE)</f>
        <v>Quadro You(M) 450/SiSy 30kg; EB21; ľavý</v>
      </c>
      <c r="BF93" s="22">
        <f>VLOOKUP(BD93,CENY!$B$11:$G$1054,3,FALSE)</f>
        <v>20</v>
      </c>
      <c r="BG93" s="22"/>
      <c r="BH93" s="23">
        <f>AY54</f>
        <v>0</v>
      </c>
      <c r="BI93" s="326">
        <f t="shared" si="10"/>
        <v>0</v>
      </c>
      <c r="BJ93" s="95">
        <f>VLOOKUP(BD93,CENY!$B$11:$M$2025,12,FALSE)</f>
        <v>11.487740000000001</v>
      </c>
      <c r="BK93" s="95">
        <f t="shared" si="11"/>
        <v>0</v>
      </c>
    </row>
    <row r="94" spans="47:63" ht="14.45" customHeight="1">
      <c r="AU94" s="20"/>
      <c r="AV94" s="21"/>
      <c r="AW94" s="22"/>
      <c r="AX94" s="22"/>
      <c r="AY94" s="23"/>
      <c r="AZ94" s="326" t="str">
        <f t="shared" si="8"/>
        <v/>
      </c>
      <c r="BA94" s="95"/>
      <c r="BB94" s="95" t="str">
        <f t="shared" si="9"/>
        <v/>
      </c>
      <c r="BD94" s="319">
        <f>OBJ!B321</f>
        <v>9256869</v>
      </c>
      <c r="BE94" s="21" t="str">
        <f>VLOOKUP(BD94,CENY!$B$11:$G$1054,2,FALSE)</f>
        <v>Quadro You(M) 450/SiSy 30kg; EB21; pravý</v>
      </c>
      <c r="BF94" s="22">
        <f>VLOOKUP(BD94,CENY!$B$11:$G$1054,3,FALSE)</f>
        <v>20</v>
      </c>
      <c r="BG94" s="22"/>
      <c r="BH94" s="23">
        <f>AY54</f>
        <v>0</v>
      </c>
      <c r="BI94" s="326">
        <f t="shared" si="10"/>
        <v>0</v>
      </c>
      <c r="BJ94" s="95">
        <f>VLOOKUP(BD94,CENY!$B$11:$M$2025,12,FALSE)</f>
        <v>11.487740000000001</v>
      </c>
      <c r="BK94" s="95">
        <f t="shared" si="11"/>
        <v>0</v>
      </c>
    </row>
    <row r="95" spans="47:63" ht="14.45" customHeight="1">
      <c r="AU95" s="20"/>
      <c r="AV95" s="21"/>
      <c r="AW95" s="22"/>
      <c r="AX95" s="22"/>
      <c r="AY95" s="23"/>
      <c r="AZ95" s="326" t="str">
        <f t="shared" si="8"/>
        <v/>
      </c>
      <c r="BA95" s="95"/>
      <c r="BB95" s="95" t="str">
        <f t="shared" si="9"/>
        <v/>
      </c>
      <c r="BD95" s="319">
        <f>OBJ!B322</f>
        <v>9256872</v>
      </c>
      <c r="BE95" s="21" t="str">
        <f>VLOOKUP(BD95,CENY!$B$11:$G$1054,2,FALSE)</f>
        <v>Quadro You(M) 500/SiSy 30kg; EB21; ľavý</v>
      </c>
      <c r="BF95" s="22">
        <f>VLOOKUP(BD95,CENY!$B$11:$G$1054,3,FALSE)</f>
        <v>20</v>
      </c>
      <c r="BG95" s="22"/>
      <c r="BH95" s="23">
        <f>AY55</f>
        <v>0</v>
      </c>
      <c r="BI95" s="326">
        <f t="shared" si="10"/>
        <v>0</v>
      </c>
      <c r="BJ95" s="95">
        <f>VLOOKUP(BD95,CENY!$B$11:$M$2025,12,FALSE)</f>
        <v>11.163180000000001</v>
      </c>
      <c r="BK95" s="95">
        <f t="shared" si="11"/>
        <v>0</v>
      </c>
    </row>
    <row r="96" spans="47:63" ht="14.45" customHeight="1">
      <c r="AU96" s="20"/>
      <c r="AV96" s="21"/>
      <c r="AW96" s="22"/>
      <c r="AX96" s="22"/>
      <c r="AY96" s="23"/>
      <c r="AZ96" s="326" t="str">
        <f t="shared" si="8"/>
        <v/>
      </c>
      <c r="BA96" s="95"/>
      <c r="BB96" s="95" t="str">
        <f t="shared" si="9"/>
        <v/>
      </c>
      <c r="BD96" s="319">
        <f>OBJ!B323</f>
        <v>9256873</v>
      </c>
      <c r="BE96" s="21" t="str">
        <f>VLOOKUP(BD96,CENY!$B$11:$G$1054,2,FALSE)</f>
        <v>Quadro You(M) 500/SiSy 30kg; EB21; pravý</v>
      </c>
      <c r="BF96" s="22">
        <f>VLOOKUP(BD96,CENY!$B$11:$G$1054,3,FALSE)</f>
        <v>20</v>
      </c>
      <c r="BG96" s="22"/>
      <c r="BH96" s="23">
        <f>AY55</f>
        <v>0</v>
      </c>
      <c r="BI96" s="326">
        <f t="shared" si="10"/>
        <v>0</v>
      </c>
      <c r="BJ96" s="95">
        <f>VLOOKUP(BD96,CENY!$B$11:$M$2025,12,FALSE)</f>
        <v>11.163180000000001</v>
      </c>
      <c r="BK96" s="95">
        <f t="shared" si="11"/>
        <v>0</v>
      </c>
    </row>
    <row r="97" spans="47:63" ht="14.45" customHeight="1">
      <c r="AU97" s="20"/>
      <c r="AV97" s="21"/>
      <c r="AW97" s="22"/>
      <c r="AX97" s="22"/>
      <c r="AY97" s="23"/>
      <c r="AZ97" s="326" t="str">
        <f t="shared" si="8"/>
        <v/>
      </c>
      <c r="BA97" s="95"/>
      <c r="BB97" s="95" t="str">
        <f t="shared" si="9"/>
        <v/>
      </c>
      <c r="BD97" s="319">
        <f>OBJ!B324</f>
        <v>9256876</v>
      </c>
      <c r="BE97" s="21" t="str">
        <f>VLOOKUP(BD97,CENY!$B$11:$G$1054,2,FALSE)</f>
        <v>Quadro You(M) 550/SiSy 30kg; EB21; ľavý</v>
      </c>
      <c r="BF97" s="22">
        <f>VLOOKUP(BD97,CENY!$B$11:$G$1054,3,FALSE)</f>
        <v>20</v>
      </c>
      <c r="BG97" s="22"/>
      <c r="BH97" s="23">
        <f>AY56</f>
        <v>0</v>
      </c>
      <c r="BI97" s="326">
        <f t="shared" si="10"/>
        <v>0</v>
      </c>
      <c r="BJ97" s="95">
        <f>VLOOKUP(BD97,CENY!$B$11:$M$2025,12,FALSE)</f>
        <v>11.38542</v>
      </c>
      <c r="BK97" s="95">
        <f t="shared" si="11"/>
        <v>0</v>
      </c>
    </row>
    <row r="98" spans="47:63" ht="14.45" customHeight="1">
      <c r="AU98" s="20"/>
      <c r="AV98" s="21"/>
      <c r="AW98" s="22"/>
      <c r="AX98" s="22"/>
      <c r="AY98" s="23"/>
      <c r="AZ98" s="326" t="str">
        <f t="shared" si="8"/>
        <v/>
      </c>
      <c r="BA98" s="95"/>
      <c r="BB98" s="95" t="str">
        <f t="shared" si="9"/>
        <v/>
      </c>
      <c r="BD98" s="319">
        <f>OBJ!B325</f>
        <v>9256877</v>
      </c>
      <c r="BE98" s="21" t="str">
        <f>VLOOKUP(BD98,CENY!$B$11:$G$1054,2,FALSE)</f>
        <v>Quadro You(M) 550/SiSy 30kg; EB21; pravý</v>
      </c>
      <c r="BF98" s="22">
        <f>VLOOKUP(BD98,CENY!$B$11:$G$1054,3,FALSE)</f>
        <v>20</v>
      </c>
      <c r="BG98" s="22"/>
      <c r="BH98" s="23">
        <f>AY56</f>
        <v>0</v>
      </c>
      <c r="BI98" s="326">
        <f t="shared" si="10"/>
        <v>0</v>
      </c>
      <c r="BJ98" s="95">
        <f>VLOOKUP(BD98,CENY!$B$11:$M$2025,12,FALSE)</f>
        <v>11.954689999999999</v>
      </c>
      <c r="BK98" s="95">
        <f t="shared" si="11"/>
        <v>0</v>
      </c>
    </row>
    <row r="99" spans="47:63" ht="14.45" customHeight="1">
      <c r="AU99" s="20"/>
      <c r="AV99" s="21"/>
      <c r="AW99" s="22"/>
      <c r="AX99" s="22"/>
      <c r="AY99" s="23"/>
      <c r="AZ99" s="326" t="str">
        <f t="shared" si="8"/>
        <v/>
      </c>
      <c r="BA99" s="95"/>
      <c r="BB99" s="95" t="str">
        <f t="shared" si="9"/>
        <v/>
      </c>
      <c r="BD99" s="319">
        <f>OBJ!B326</f>
        <v>9256880</v>
      </c>
      <c r="BE99" s="21" t="str">
        <f>VLOOKUP(BD99,CENY!$B$11:$G$1054,2,FALSE)</f>
        <v>Quadro You(M) 600/SiSy 25kg; EB21; ľavý</v>
      </c>
      <c r="BF99" s="22">
        <f>VLOOKUP(BD99,CENY!$B$11:$G$1054,3,FALSE)</f>
        <v>20</v>
      </c>
      <c r="BG99" s="22"/>
      <c r="BH99" s="23">
        <f>AY57</f>
        <v>0</v>
      </c>
      <c r="BI99" s="326">
        <f t="shared" si="10"/>
        <v>0</v>
      </c>
      <c r="BJ99" s="95">
        <f>VLOOKUP(BD99,CENY!$B$11:$M$2025,12,FALSE)</f>
        <v>12.187939999999999</v>
      </c>
      <c r="BK99" s="95">
        <f t="shared" si="11"/>
        <v>0</v>
      </c>
    </row>
    <row r="100" spans="47:63" ht="14.45" customHeight="1">
      <c r="AU100" s="20"/>
      <c r="AV100" s="21"/>
      <c r="AW100" s="22"/>
      <c r="AX100" s="22"/>
      <c r="AY100" s="23"/>
      <c r="AZ100" s="326" t="str">
        <f t="shared" si="8"/>
        <v/>
      </c>
      <c r="BA100" s="95"/>
      <c r="BB100" s="95" t="str">
        <f t="shared" si="9"/>
        <v/>
      </c>
      <c r="BD100" s="319">
        <f>OBJ!B327</f>
        <v>9256881</v>
      </c>
      <c r="BE100" s="21" t="str">
        <f>VLOOKUP(BD100,CENY!$B$11:$G$1054,2,FALSE)</f>
        <v>Quadro You(M) 600/SiSy 25kg; EB21; pravý</v>
      </c>
      <c r="BF100" s="22">
        <f>VLOOKUP(BD100,CENY!$B$11:$G$1054,3,FALSE)</f>
        <v>20</v>
      </c>
      <c r="BG100" s="22"/>
      <c r="BH100" s="23">
        <f>AY57</f>
        <v>0</v>
      </c>
      <c r="BI100" s="326">
        <f t="shared" si="10"/>
        <v>0</v>
      </c>
      <c r="BJ100" s="95">
        <f>VLOOKUP(BD100,CENY!$B$11:$M$2025,12,FALSE)</f>
        <v>12.187939999999999</v>
      </c>
      <c r="BK100" s="95">
        <f t="shared" si="11"/>
        <v>0</v>
      </c>
    </row>
    <row r="101" spans="47:63">
      <c r="AU101" s="20"/>
      <c r="AV101" s="21"/>
      <c r="AW101" s="22"/>
      <c r="AX101" s="22"/>
      <c r="AY101" s="23"/>
      <c r="AZ101" s="326" t="str">
        <f t="shared" si="8"/>
        <v/>
      </c>
      <c r="BA101" s="95"/>
      <c r="BB101" s="95" t="str">
        <f t="shared" si="9"/>
        <v/>
      </c>
      <c r="BD101" s="319"/>
      <c r="BE101" s="21"/>
      <c r="BF101" s="22"/>
      <c r="BG101" s="22"/>
      <c r="BH101" s="23"/>
      <c r="BI101" s="326" t="str">
        <f t="shared" si="10"/>
        <v/>
      </c>
      <c r="BJ101" s="95"/>
      <c r="BK101" s="95" t="str">
        <f t="shared" si="11"/>
        <v/>
      </c>
    </row>
    <row r="102" spans="47:63">
      <c r="AU102" s="20"/>
      <c r="AV102" s="21"/>
      <c r="AW102" s="22"/>
      <c r="AX102" s="22"/>
      <c r="AY102" s="23"/>
      <c r="AZ102" s="326" t="str">
        <f t="shared" si="8"/>
        <v/>
      </c>
      <c r="BA102" s="95"/>
      <c r="BB102" s="95" t="str">
        <f t="shared" si="9"/>
        <v/>
      </c>
      <c r="BD102" s="319">
        <f>OBJ!B214</f>
        <v>0</v>
      </c>
      <c r="BE102" s="21" t="e">
        <f>VLOOKUP(BD102,CENY!$B$11:$G$1054,2,FALSE)</f>
        <v>#N/A</v>
      </c>
      <c r="BF102" s="22" t="e">
        <f>VLOOKUP(BD102,CENY!$B$11:$G$1054,3,FALSE)</f>
        <v>#N/A</v>
      </c>
      <c r="BG102" s="22"/>
      <c r="BH102" s="23">
        <f>AY62</f>
        <v>0</v>
      </c>
      <c r="BI102" s="326">
        <f t="shared" si="10"/>
        <v>0</v>
      </c>
      <c r="BJ102" s="324" t="str">
        <f>IF(BD102=0,"",VLOOKUP(BD102,CENY!$B$11:$M$2025,12,FALSE))</f>
        <v/>
      </c>
      <c r="BK102" s="95" t="str">
        <f>IF(BJ102="","",BJ102*BH102)</f>
        <v/>
      </c>
    </row>
    <row r="103" spans="47:63">
      <c r="AU103" s="20"/>
      <c r="AV103" s="21"/>
      <c r="AW103" s="22"/>
      <c r="AX103" s="22"/>
      <c r="AY103" s="23"/>
      <c r="AZ103" s="326" t="str">
        <f t="shared" si="8"/>
        <v/>
      </c>
      <c r="BA103" s="95"/>
      <c r="BB103" s="95" t="str">
        <f t="shared" si="9"/>
        <v/>
      </c>
      <c r="BD103" s="319"/>
      <c r="BE103" s="21"/>
      <c r="BF103" s="22"/>
      <c r="BG103" s="22"/>
      <c r="BH103" s="23"/>
      <c r="BI103" s="326" t="str">
        <f t="shared" si="10"/>
        <v/>
      </c>
      <c r="BJ103" s="95"/>
      <c r="BK103" s="95" t="str">
        <f t="shared" si="11"/>
        <v/>
      </c>
    </row>
    <row r="104" spans="47:63">
      <c r="AU104" s="319">
        <f>OBJ!B361</f>
        <v>45167</v>
      </c>
      <c r="AV104" s="21" t="str">
        <f>VLOOKUP(AU104,CENY!$B$11:$G$1054,2,FALSE)</f>
        <v>Skrutka s polgul.hlavou 3,5x12mm</v>
      </c>
      <c r="AW104" s="22">
        <f>VLOOKUP(AU104,CENY!$B$11:$G$1054,3,FALSE)</f>
        <v>200</v>
      </c>
      <c r="AX104" s="22"/>
      <c r="AY104" s="23">
        <f>SUMPRODUCT(AX5:AX23,AY5:AY23)</f>
        <v>0</v>
      </c>
      <c r="AZ104" s="326">
        <f>IF(AY104="","",IF($AW$4=1,AY104,0))</f>
        <v>0</v>
      </c>
      <c r="BA104" s="95">
        <f>VLOOKUP(AU104,CENY!$B$11:$M$2025,12,FALSE)</f>
        <v>3.4759999999999999E-2</v>
      </c>
      <c r="BB104" s="95">
        <f>IF(BA104="","",BA104*AY104)</f>
        <v>0</v>
      </c>
      <c r="BC104" s="86" t="s">
        <v>396</v>
      </c>
      <c r="BD104" s="319">
        <f>OBJ!B361</f>
        <v>45167</v>
      </c>
      <c r="BE104" s="21" t="str">
        <f>VLOOKUP(BD104,CENY!$B$11:$G$1054,2,FALSE)</f>
        <v>Skrutka s polgul.hlavou 3,5x12mm</v>
      </c>
      <c r="BF104" s="22">
        <f>VLOOKUP(BD104,CENY!$B$11:$G$1054,3,FALSE)</f>
        <v>200</v>
      </c>
      <c r="BG104" s="22"/>
      <c r="BH104" s="23">
        <f>AY104</f>
        <v>0</v>
      </c>
      <c r="BI104" s="326">
        <f>IF(BH104="","",IF($AW$4=0,BH104,0))</f>
        <v>0</v>
      </c>
      <c r="BJ104" s="95">
        <f>VLOOKUP(BD104,CENY!$B$11:$M$2025,12,FALSE)</f>
        <v>3.4759999999999999E-2</v>
      </c>
      <c r="BK104" s="95">
        <f>IF(BJ104="","",BJ104*BH104)</f>
        <v>0</v>
      </c>
    </row>
    <row r="105" spans="47:63">
      <c r="AU105" s="319">
        <f>OBJ!B362</f>
        <v>45168</v>
      </c>
      <c r="AV105" s="21" t="str">
        <f>VLOOKUP(AU105,CENY!$B$11:$G$1054,2,FALSE)</f>
        <v>Skrutka s polgul.hlavou 3,5x20mm</v>
      </c>
      <c r="AW105" s="22">
        <f>VLOOKUP(AU105,CENY!$B$11:$G$1054,3,FALSE)</f>
        <v>200</v>
      </c>
      <c r="AX105" s="22"/>
      <c r="AY105" s="360">
        <v>0</v>
      </c>
      <c r="AZ105" s="326">
        <f>IF(AY105="","",IF($AW$4=1,AY105,0))</f>
        <v>0</v>
      </c>
      <c r="BA105" s="95">
        <f>VLOOKUP(AU105,CENY!$B$11:$M$2025,12,FALSE)</f>
        <v>4.9860000000000002E-2</v>
      </c>
      <c r="BB105" s="95">
        <f>IF(BA105="","",BA105*AY105)</f>
        <v>0</v>
      </c>
      <c r="BC105" s="86" t="s">
        <v>397</v>
      </c>
      <c r="BD105" s="319">
        <f>OBJ!B362</f>
        <v>45168</v>
      </c>
      <c r="BE105" s="21" t="str">
        <f>VLOOKUP(BD105,CENY!$B$11:$G$1054,2,FALSE)</f>
        <v>Skrutka s polgul.hlavou 3,5x20mm</v>
      </c>
      <c r="BF105" s="22">
        <f>VLOOKUP(BD105,CENY!$B$11:$G$1054,3,FALSE)</f>
        <v>200</v>
      </c>
      <c r="BG105" s="22"/>
      <c r="BH105" s="360">
        <f>IF(FORM!$AM$8=FORM!$AU$10,(BH43*2+BH44*4),0)</f>
        <v>0</v>
      </c>
      <c r="BI105" s="326">
        <f>IF(BH105="","",IF($AW$4=0,BH105,0))</f>
        <v>0</v>
      </c>
      <c r="BJ105" s="95">
        <f>VLOOKUP(BD105,CENY!$B$11:$M$2025,12,FALSE)</f>
        <v>4.9860000000000002E-2</v>
      </c>
      <c r="BK105" s="95">
        <f>IF(BJ105="","",BJ105*BH105)</f>
        <v>0</v>
      </c>
    </row>
    <row r="106" spans="47:63">
      <c r="AU106" s="319">
        <f>OBJ!B363</f>
        <v>9278224</v>
      </c>
      <c r="AV106" s="21" t="str">
        <f>VLOOKUP(AU106,CENY!$B$11:$G$1054,2,FALSE)</f>
        <v>Skrutka s polgul.hlavou 3,5x30mm</v>
      </c>
      <c r="AW106" s="22">
        <f>VLOOKUP(AU106,CENY!$B$11:$G$1054,3,FALSE)</f>
        <v>200</v>
      </c>
      <c r="AX106" s="22"/>
      <c r="AY106" s="360">
        <v>0</v>
      </c>
      <c r="AZ106" s="326">
        <f>IF(AY106="","",IF($AW$4=1,AY106,0))</f>
        <v>0</v>
      </c>
      <c r="BA106" s="95">
        <f>VLOOKUP(AU106,CENY!$B$11:$M$2025,12,FALSE)</f>
        <v>4.299E-2</v>
      </c>
      <c r="BB106" s="95">
        <f>IF(BA106="","",BA106*AY106)</f>
        <v>0</v>
      </c>
      <c r="BC106" s="86" t="s">
        <v>398</v>
      </c>
      <c r="BD106" s="319">
        <f>OBJ!B363</f>
        <v>9278224</v>
      </c>
      <c r="BE106" s="21" t="str">
        <f>VLOOKUP(BD106,CENY!$B$11:$G$1054,2,FALSE)</f>
        <v>Skrutka s polgul.hlavou 3,5x30mm</v>
      </c>
      <c r="BF106" s="22">
        <f>VLOOKUP(BD106,CENY!$B$11:$G$1054,3,FALSE)</f>
        <v>200</v>
      </c>
      <c r="BG106" s="22"/>
      <c r="BH106" s="360">
        <f>SUM(BH5:BH22)+2*SUM(BH24:BH41)</f>
        <v>0</v>
      </c>
      <c r="BI106" s="326">
        <f>IF(BH106="","",IF($AW$4=0,BH106,0))</f>
        <v>0</v>
      </c>
      <c r="BJ106" s="95">
        <f>VLOOKUP(BD106,CENY!$B$11:$M$2025,12,FALSE)</f>
        <v>4.299E-2</v>
      </c>
      <c r="BK106" s="95">
        <f>IF(BJ106="","",BJ106*BH106)</f>
        <v>0</v>
      </c>
    </row>
    <row r="107" spans="47:63">
      <c r="AU107" s="319">
        <f>OBJ!B364</f>
        <v>9279197</v>
      </c>
      <c r="AV107" s="21" t="str">
        <f>VLOOKUP(AU107,CENY!$B$11:$G$1054,2,FALSE)</f>
        <v>Skrutka s polgul.hlavou M3,5x12mm</v>
      </c>
      <c r="AW107" s="22">
        <f>VLOOKUP(AU107,CENY!$B$11:$G$1054,3,FALSE)</f>
        <v>1000</v>
      </c>
      <c r="AX107" s="22"/>
      <c r="AY107" s="68">
        <v>0</v>
      </c>
      <c r="AZ107" s="326">
        <f>IF(AY107="","",IF($AW$4=1,AY107,0))</f>
        <v>0</v>
      </c>
      <c r="BA107" s="95" t="e">
        <f>VLOOKUP(AU107,CENY!$B$11:$M$2025,12,FALSE)</f>
        <v>#N/A</v>
      </c>
      <c r="BB107" s="95" t="e">
        <f>IF(BA107="","",BA107*AY107)</f>
        <v>#N/A</v>
      </c>
      <c r="BC107" s="86" t="s">
        <v>399</v>
      </c>
      <c r="BD107" s="319">
        <f>OBJ!B364</f>
        <v>9279197</v>
      </c>
      <c r="BE107" s="21" t="str">
        <f>VLOOKUP(BD107,CENY!$B$11:$G$1054,2,FALSE)</f>
        <v>Skrutka s polgul.hlavou M3,5x12mm</v>
      </c>
      <c r="BF107" s="22">
        <f>VLOOKUP(BD107,CENY!$B$11:$G$1054,3,FALSE)</f>
        <v>1000</v>
      </c>
      <c r="BG107" s="22"/>
      <c r="BH107" s="68">
        <f>AY107</f>
        <v>0</v>
      </c>
      <c r="BI107" s="326">
        <f>IF(BH107="","",IF($AW$4=0,BH107,0))</f>
        <v>0</v>
      </c>
      <c r="BJ107" s="95" t="e">
        <f>VLOOKUP(BD107,CENY!$B$11:$M$2025,12,FALSE)</f>
        <v>#N/A</v>
      </c>
      <c r="BK107" s="95" t="e">
        <f>IF(BJ107="","",BJ107*BH107)</f>
        <v>#N/A</v>
      </c>
    </row>
    <row r="108" spans="47:63">
      <c r="AU108" s="319">
        <f>OBJ!B365</f>
        <v>9137114</v>
      </c>
      <c r="AV108" s="21" t="str">
        <f>VLOOKUP(AU108,CENY!$B$11:$G$1054,2,FALSE)</f>
        <v>EURO-skrutka  6,0x14mm / niklovaná</v>
      </c>
      <c r="AW108" s="22">
        <f>VLOOKUP(AU108,CENY!$B$11:$G$1054,3,FALSE)</f>
        <v>200</v>
      </c>
      <c r="AX108" s="22"/>
      <c r="AY108" s="23">
        <f>SUMPRODUCT(AX35:AX57,AY35:AY57)</f>
        <v>0</v>
      </c>
      <c r="AZ108" s="326">
        <f>IF(AY108="","",IF($AW$4=1,AY108,0))</f>
        <v>0</v>
      </c>
      <c r="BA108" s="95">
        <f>VLOOKUP(AU108,CENY!$B$11:$M$2025,12,FALSE)</f>
        <v>7.7280000000000001E-2</v>
      </c>
      <c r="BB108" s="95">
        <f>IF(BA108="","",BA108*AY108)</f>
        <v>0</v>
      </c>
      <c r="BC108" s="86" t="s">
        <v>400</v>
      </c>
      <c r="BD108" s="319">
        <f>OBJ!B365</f>
        <v>9137114</v>
      </c>
      <c r="BE108" s="21" t="str">
        <f>VLOOKUP(BD108,CENY!$B$11:$G$1054,2,FALSE)</f>
        <v>EURO-skrutka  6,0x14mm / niklovaná</v>
      </c>
      <c r="BF108" s="22">
        <f>VLOOKUP(BD108,CENY!$B$11:$G$1054,3,FALSE)</f>
        <v>200</v>
      </c>
      <c r="BG108" s="22"/>
      <c r="BH108" s="23">
        <f>AY108</f>
        <v>0</v>
      </c>
      <c r="BI108" s="326">
        <f>IF(BH108="","",IF($AW$4=0,BH108,0))</f>
        <v>0</v>
      </c>
      <c r="BJ108" s="95">
        <f>VLOOKUP(BD108,CENY!$B$11:$M$2025,12,FALSE)</f>
        <v>7.7280000000000001E-2</v>
      </c>
      <c r="BK108" s="95">
        <f>IF(BJ108="","",BJ108*BH108)</f>
        <v>0</v>
      </c>
    </row>
    <row r="109" spans="47:63">
      <c r="AU109" s="20"/>
      <c r="AV109" s="21"/>
      <c r="AW109" s="22"/>
      <c r="AX109" s="22"/>
      <c r="AY109" s="23"/>
      <c r="AZ109" s="326"/>
      <c r="BA109" s="95"/>
      <c r="BB109" s="95"/>
      <c r="BD109" s="319"/>
      <c r="BE109" s="21"/>
      <c r="BF109" s="22"/>
      <c r="BG109" s="22"/>
      <c r="BH109" s="23"/>
      <c r="BI109" s="326"/>
      <c r="BJ109" s="95"/>
      <c r="BK109" s="95"/>
    </row>
    <row r="110" spans="47:63">
      <c r="AU110" s="20"/>
      <c r="AV110" s="21"/>
      <c r="AW110" s="22"/>
      <c r="AX110" s="22"/>
      <c r="AY110" s="23"/>
      <c r="AZ110" s="326"/>
      <c r="BA110" s="95"/>
      <c r="BB110" s="95"/>
      <c r="BD110" s="319"/>
      <c r="BE110" s="21"/>
      <c r="BF110" s="22"/>
      <c r="BG110" s="22"/>
      <c r="BH110" s="23"/>
      <c r="BI110" s="326"/>
      <c r="BJ110" s="95"/>
      <c r="BK110" s="95"/>
    </row>
    <row r="111" spans="47:63">
      <c r="AU111" s="20"/>
      <c r="AV111" s="21"/>
      <c r="AW111" s="22"/>
      <c r="AX111" s="22"/>
      <c r="AY111" s="23"/>
      <c r="AZ111" s="326"/>
      <c r="BA111" s="95"/>
      <c r="BB111" s="95"/>
      <c r="BD111" s="319"/>
      <c r="BE111" s="21"/>
      <c r="BF111" s="22"/>
      <c r="BG111" s="22"/>
      <c r="BH111" s="23"/>
      <c r="BI111" s="326"/>
      <c r="BJ111" s="95"/>
      <c r="BK111" s="95"/>
    </row>
    <row r="112" spans="47:63">
      <c r="AU112" s="20"/>
      <c r="AV112" s="21"/>
      <c r="AW112" s="22"/>
      <c r="AX112" s="22"/>
      <c r="AY112" s="23"/>
      <c r="AZ112" s="326"/>
      <c r="BA112" s="95"/>
      <c r="BB112" s="95"/>
      <c r="BD112" s="319"/>
      <c r="BE112" s="21"/>
      <c r="BF112" s="22"/>
      <c r="BG112" s="22"/>
      <c r="BH112" s="23"/>
      <c r="BI112" s="326"/>
      <c r="BJ112" s="95"/>
      <c r="BK112" s="95"/>
    </row>
    <row r="113" spans="47:63">
      <c r="AU113" s="20"/>
      <c r="AV113" s="21"/>
      <c r="AW113" s="22"/>
      <c r="AX113" s="22"/>
      <c r="AY113" s="23"/>
      <c r="AZ113" s="326" t="str">
        <f>IF(AY113="","",IF($AW$4=1,AY113,0))</f>
        <v/>
      </c>
      <c r="BA113" s="95"/>
      <c r="BB113" s="95" t="str">
        <f t="shared" si="9"/>
        <v/>
      </c>
      <c r="BD113" s="319"/>
      <c r="BE113" s="21"/>
      <c r="BF113" s="22"/>
      <c r="BG113" s="22"/>
      <c r="BH113" s="23"/>
      <c r="BI113" s="326" t="str">
        <f t="shared" si="10"/>
        <v/>
      </c>
      <c r="BJ113" s="95"/>
      <c r="BK113" s="95" t="str">
        <f t="shared" si="11"/>
        <v/>
      </c>
    </row>
    <row r="114" spans="47:63">
      <c r="AU114" s="20"/>
      <c r="AV114" s="21"/>
      <c r="AW114" s="22"/>
      <c r="AX114" s="22"/>
      <c r="AY114" s="23"/>
      <c r="AZ114" s="326" t="str">
        <f>IF(AY114="","",IF($AW$4=1,AY114,0))</f>
        <v/>
      </c>
      <c r="BA114" s="95"/>
      <c r="BB114" s="95" t="str">
        <f t="shared" si="9"/>
        <v/>
      </c>
      <c r="BD114" s="319"/>
      <c r="BE114" s="21"/>
      <c r="BF114" s="22"/>
      <c r="BG114" s="22"/>
      <c r="BH114" s="23"/>
      <c r="BI114" s="326" t="str">
        <f t="shared" si="10"/>
        <v/>
      </c>
      <c r="BJ114" s="95"/>
      <c r="BK114" s="95" t="str">
        <f t="shared" si="11"/>
        <v/>
      </c>
    </row>
    <row r="115" spans="47:63">
      <c r="AU115" s="20"/>
      <c r="AV115" s="21"/>
      <c r="AW115" s="22"/>
      <c r="AX115" s="22"/>
      <c r="AY115" s="23"/>
      <c r="AZ115" s="326" t="str">
        <f>IF(AY115="","",IF($AW$4=1,AY115,0))</f>
        <v/>
      </c>
      <c r="BA115" s="95"/>
      <c r="BB115" s="95" t="str">
        <f t="shared" si="9"/>
        <v/>
      </c>
      <c r="BD115" s="319"/>
      <c r="BE115" s="21"/>
      <c r="BF115" s="22"/>
      <c r="BG115" s="22"/>
      <c r="BH115" s="23"/>
      <c r="BI115" s="326" t="str">
        <f t="shared" si="10"/>
        <v/>
      </c>
      <c r="BJ115" s="95"/>
      <c r="BK115" s="95" t="str">
        <f t="shared" si="11"/>
        <v/>
      </c>
    </row>
    <row r="116" spans="47:63">
      <c r="AU116" s="20"/>
      <c r="AV116" s="21"/>
      <c r="AW116" s="22"/>
      <c r="AX116" s="22"/>
      <c r="AY116" s="23"/>
      <c r="AZ116" s="326" t="str">
        <f>IF(AY116="","",IF($AW$4=1,AY116,0))</f>
        <v/>
      </c>
      <c r="BA116" s="95"/>
      <c r="BB116" s="95" t="str">
        <f t="shared" si="9"/>
        <v/>
      </c>
      <c r="BD116" s="319"/>
      <c r="BE116" s="21"/>
      <c r="BF116" s="22"/>
      <c r="BG116" s="22"/>
      <c r="BH116" s="23"/>
      <c r="BI116" s="326" t="str">
        <f>IF(BH116="","",IF($AW$4=0,BH116,0))</f>
        <v/>
      </c>
      <c r="BJ116" s="95"/>
      <c r="BK116" s="95" t="str">
        <f>IF(BJ116="","",BJ116*BH116)</f>
        <v/>
      </c>
    </row>
    <row r="117" spans="47:63">
      <c r="AU117" s="20"/>
      <c r="AV117" s="21"/>
      <c r="AW117" s="22"/>
      <c r="AX117" s="22"/>
      <c r="AY117" s="23"/>
      <c r="AZ117" s="326" t="str">
        <f>IF(AY117="","",IF($AW$4=1,AY117,0))</f>
        <v/>
      </c>
      <c r="BA117" s="95"/>
      <c r="BB117" s="95" t="str">
        <f>IF(BA117="","",BA117*AY117)</f>
        <v/>
      </c>
      <c r="BD117" s="319"/>
      <c r="BE117" s="21"/>
      <c r="BF117" s="22"/>
      <c r="BG117" s="22"/>
      <c r="BH117" s="23"/>
      <c r="BI117" s="326" t="str">
        <f>IF(BH117="","",IF($AW$4=0,BH117,0))</f>
        <v/>
      </c>
      <c r="BJ117" s="95"/>
      <c r="BK117" s="95" t="str">
        <f>IF(BJ117="","",BJ117*BH117)</f>
        <v/>
      </c>
    </row>
  </sheetData>
  <sheetProtection algorithmName="SHA-512" hashValue="VHBZa1tVJdzz/R/hBliTqleBU1OlD25ZlPUSLQZotuS5XYgLIzzgSsbjuv5zddv3Wto7CSrm7WtEdL1v6PCNgQ==" saltValue="ckDktxfTxfP/d13va7SHXg==" spinCount="100000" sheet="1" objects="1" scenarios="1"/>
  <mergeCells count="77">
    <mergeCell ref="U2:Y2"/>
    <mergeCell ref="AA2:AE2"/>
    <mergeCell ref="AI2:AM2"/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B12:E12"/>
    <mergeCell ref="F12:I12"/>
    <mergeCell ref="J12:K12"/>
    <mergeCell ref="B13:E13"/>
    <mergeCell ref="F13:I13"/>
    <mergeCell ref="J13:K13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19:G19"/>
    <mergeCell ref="H19:L19"/>
    <mergeCell ref="M19:N19"/>
    <mergeCell ref="O19:P19"/>
    <mergeCell ref="Q19:R19"/>
    <mergeCell ref="AE20:AF20"/>
    <mergeCell ref="B20:G20"/>
    <mergeCell ref="H20:L20"/>
    <mergeCell ref="M20:N20"/>
    <mergeCell ref="O20:P20"/>
    <mergeCell ref="Q20:R20"/>
    <mergeCell ref="S20:T20"/>
    <mergeCell ref="U20:V20"/>
    <mergeCell ref="W20:X20"/>
    <mergeCell ref="S25:T25"/>
    <mergeCell ref="O24:P24"/>
    <mergeCell ref="Q24:R24"/>
    <mergeCell ref="AA25:AB25"/>
    <mergeCell ref="S24:T24"/>
    <mergeCell ref="U24:V24"/>
    <mergeCell ref="W24:X24"/>
    <mergeCell ref="Y24:Z24"/>
    <mergeCell ref="AA24:AB24"/>
    <mergeCell ref="B25:G25"/>
    <mergeCell ref="H25:L25"/>
    <mergeCell ref="M25:N25"/>
    <mergeCell ref="O25:P25"/>
    <mergeCell ref="Q25:R25"/>
    <mergeCell ref="AC25:AD25"/>
    <mergeCell ref="U19:V19"/>
    <mergeCell ref="W19:X19"/>
    <mergeCell ref="Y19:Z19"/>
    <mergeCell ref="AA19:AB19"/>
    <mergeCell ref="AC19:AD19"/>
    <mergeCell ref="U25:V25"/>
    <mergeCell ref="W25:X25"/>
    <mergeCell ref="Y25:Z25"/>
    <mergeCell ref="AC24:AD24"/>
    <mergeCell ref="Y20:Z20"/>
    <mergeCell ref="AA20:AB20"/>
    <mergeCell ref="AC20:AD20"/>
  </mergeCells>
  <conditionalFormatting sqref="BH5:BI5 AY5:AZ5 BH6:BH23 BI6:BI22 AY6:AY14 BH42:BH43 AY24:AY52 BH46:BH85 AZ6:AZ59 BI43 BI45:BI103 AZ61:AZ103 AY80:AY103 AY109:AZ117 BI109:BI117">
    <cfRule type="cellIs" dxfId="395" priority="42" stopIfTrue="1" operator="equal">
      <formula>0</formula>
    </cfRule>
  </conditionalFormatting>
  <conditionalFormatting sqref="O17:AF17 O19:T19 W20:AF20 O25:T25">
    <cfRule type="expression" dxfId="394" priority="41" stopIfTrue="1">
      <formula>$AW$4=0</formula>
    </cfRule>
  </conditionalFormatting>
  <conditionalFormatting sqref="AY61 AY63:AY65">
    <cfRule type="cellIs" dxfId="393" priority="39" stopIfTrue="1" operator="equal">
      <formula>0</formula>
    </cfRule>
  </conditionalFormatting>
  <conditionalFormatting sqref="AY66">
    <cfRule type="cellIs" dxfId="392" priority="38" stopIfTrue="1" operator="equal">
      <formula>0</formula>
    </cfRule>
  </conditionalFormatting>
  <conditionalFormatting sqref="AY70:AY79">
    <cfRule type="cellIs" dxfId="391" priority="37" stopIfTrue="1" operator="equal">
      <formula>0</formula>
    </cfRule>
  </conditionalFormatting>
  <conditionalFormatting sqref="BH45">
    <cfRule type="cellIs" dxfId="390" priority="36" stopIfTrue="1" operator="equal">
      <formula>0</formula>
    </cfRule>
  </conditionalFormatting>
  <conditionalFormatting sqref="AY53:AY58">
    <cfRule type="cellIs" dxfId="389" priority="34" stopIfTrue="1" operator="equal">
      <formula>0</formula>
    </cfRule>
  </conditionalFormatting>
  <conditionalFormatting sqref="AY59">
    <cfRule type="cellIs" dxfId="388" priority="30" stopIfTrue="1" operator="equal">
      <formula>0</formula>
    </cfRule>
  </conditionalFormatting>
  <conditionalFormatting sqref="AY67:AY69">
    <cfRule type="cellIs" dxfId="387" priority="29" stopIfTrue="1" operator="equal">
      <formula>0</formula>
    </cfRule>
  </conditionalFormatting>
  <conditionalFormatting sqref="BH101">
    <cfRule type="cellIs" dxfId="386" priority="28" stopIfTrue="1" operator="equal">
      <formula>0</formula>
    </cfRule>
  </conditionalFormatting>
  <conditionalFormatting sqref="BH103 BH109:BH117">
    <cfRule type="cellIs" dxfId="385" priority="27" stopIfTrue="1" operator="equal">
      <formula>0</formula>
    </cfRule>
  </conditionalFormatting>
  <conditionalFormatting sqref="BH86:BH100">
    <cfRule type="cellIs" dxfId="384" priority="24" stopIfTrue="1" operator="equal">
      <formula>0</formula>
    </cfRule>
  </conditionalFormatting>
  <conditionalFormatting sqref="AY62">
    <cfRule type="cellIs" dxfId="383" priority="22" stopIfTrue="1" operator="equal">
      <formula>0</formula>
    </cfRule>
  </conditionalFormatting>
  <conditionalFormatting sqref="BH102">
    <cfRule type="cellIs" dxfId="382" priority="21" stopIfTrue="1" operator="equal">
      <formula>0</formula>
    </cfRule>
  </conditionalFormatting>
  <conditionalFormatting sqref="F13:K13">
    <cfRule type="expression" dxfId="381" priority="20" stopIfTrue="1">
      <formula>$AW$4=1</formula>
    </cfRule>
  </conditionalFormatting>
  <conditionalFormatting sqref="AY15:AY23">
    <cfRule type="cellIs" dxfId="380" priority="18" stopIfTrue="1" operator="equal">
      <formula>0</formula>
    </cfRule>
  </conditionalFormatting>
  <conditionalFormatting sqref="BI23:BI42">
    <cfRule type="cellIs" dxfId="379" priority="16" stopIfTrue="1" operator="equal">
      <formula>0</formula>
    </cfRule>
  </conditionalFormatting>
  <conditionalFormatting sqref="BH24:BH41">
    <cfRule type="cellIs" dxfId="378" priority="15" stopIfTrue="1" operator="equal">
      <formula>0</formula>
    </cfRule>
  </conditionalFormatting>
  <conditionalFormatting sqref="U19:AD19">
    <cfRule type="expression" dxfId="377" priority="14" stopIfTrue="1">
      <formula>$AW$4=0</formula>
    </cfRule>
  </conditionalFormatting>
  <conditionalFormatting sqref="AC25:AD25">
    <cfRule type="expression" dxfId="376" priority="9" stopIfTrue="1">
      <formula>$AW$4=0</formula>
    </cfRule>
  </conditionalFormatting>
  <conditionalFormatting sqref="U25:V25">
    <cfRule type="expression" dxfId="375" priority="13" stopIfTrue="1">
      <formula>$AW$4=0</formula>
    </cfRule>
  </conditionalFormatting>
  <conditionalFormatting sqref="W25:X25">
    <cfRule type="expression" dxfId="374" priority="12" stopIfTrue="1">
      <formula>$AW$4=0</formula>
    </cfRule>
  </conditionalFormatting>
  <conditionalFormatting sqref="Y25:Z25">
    <cfRule type="expression" dxfId="373" priority="11" stopIfTrue="1">
      <formula>$AW$4=0</formula>
    </cfRule>
  </conditionalFormatting>
  <conditionalFormatting sqref="AA25:AB25">
    <cfRule type="expression" dxfId="372" priority="10" stopIfTrue="1">
      <formula>$AW$4=0</formula>
    </cfRule>
  </conditionalFormatting>
  <conditionalFormatting sqref="AZ60">
    <cfRule type="cellIs" dxfId="371" priority="8" stopIfTrue="1" operator="equal">
      <formula>0</formula>
    </cfRule>
  </conditionalFormatting>
  <conditionalFormatting sqref="AY60">
    <cfRule type="cellIs" dxfId="370" priority="7" stopIfTrue="1" operator="equal">
      <formula>0</formula>
    </cfRule>
  </conditionalFormatting>
  <conditionalFormatting sqref="BH44:BI44">
    <cfRule type="cellIs" dxfId="369" priority="6" stopIfTrue="1" operator="equal">
      <formula>0</formula>
    </cfRule>
  </conditionalFormatting>
  <conditionalFormatting sqref="AZ104:AZ108">
    <cfRule type="cellIs" dxfId="368" priority="5" stopIfTrue="1" operator="equal">
      <formula>0</formula>
    </cfRule>
  </conditionalFormatting>
  <conditionalFormatting sqref="AY104:AY108">
    <cfRule type="cellIs" dxfId="367" priority="4" stopIfTrue="1" operator="equal">
      <formula>0</formula>
    </cfRule>
  </conditionalFormatting>
  <conditionalFormatting sqref="BH104 BH107:BH108">
    <cfRule type="cellIs" dxfId="366" priority="3" stopIfTrue="1" operator="equal">
      <formula>0</formula>
    </cfRule>
  </conditionalFormatting>
  <conditionalFormatting sqref="BI104:BI108">
    <cfRule type="cellIs" dxfId="365" priority="2" stopIfTrue="1" operator="equal">
      <formula>0</formula>
    </cfRule>
  </conditionalFormatting>
  <conditionalFormatting sqref="BH105:BH106">
    <cfRule type="cellIs" dxfId="364" priority="1" stopIfTrue="1" operator="equal">
      <formula>0</formula>
    </cfRule>
  </conditionalFormatting>
  <hyperlinks>
    <hyperlink ref="M4" location="MENU!A1" display="MENU!A1" xr:uid="{00000000-0004-0000-1000-000000000000}"/>
    <hyperlink ref="M10" location="OBJ!A1" display="OBJ!A1" xr:uid="{00000000-0004-0000-1000-000001000000}"/>
    <hyperlink ref="M9" location="suhrn!A1" display="suhrn!A1" xr:uid="{00000000-0004-0000-1000-000002000000}"/>
    <hyperlink ref="O2:S2" location="MENU!A5" display="MENU!A5" xr:uid="{00000000-0004-0000-10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8">
    <tabColor theme="9" tint="-0.249977111117893"/>
  </sheetPr>
  <dimension ref="A1:BK96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139 / 187"</f>
        <v>Zásuvka AVANTECH YOU  139 /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SUM(BB5:BB953)</f>
        <v>#N/A</v>
      </c>
      <c r="BD4" s="94" t="s">
        <v>34</v>
      </c>
      <c r="BK4" s="322" t="e">
        <f>SUM(BK5:BK946)</f>
        <v>#N/A</v>
      </c>
    </row>
    <row r="5" spans="1:63" ht="14.45" customHeight="1">
      <c r="AU5" s="319">
        <f>OBJ!B82</f>
        <v>9353345</v>
      </c>
      <c r="AV5" s="21" t="str">
        <f>VLOOKUP(AU5,CENY!$B$11:$G$1054,2,FALSE)</f>
        <v>AvanY-sólo oceľ.boky-NW 139/300mm/strieb.</v>
      </c>
      <c r="AW5" s="22">
        <f>VLOOKUP(AU5,CENY!$B$11:$G$1054,3,FALSE)</f>
        <v>1</v>
      </c>
      <c r="AX5" s="362">
        <v>4</v>
      </c>
      <c r="AY5" s="23">
        <f>Q19+Q25</f>
        <v>0</v>
      </c>
      <c r="AZ5" s="326">
        <f t="shared" ref="AZ5:AZ61" si="0">IF(AY5="","",IF($AW$4=1,AY5,0))</f>
        <v>0</v>
      </c>
      <c r="BA5" s="95">
        <f>VLOOKUP(AU5,CENY!$B$11:$M$2025,12,FALSE)</f>
        <v>31.29269</v>
      </c>
      <c r="BB5" s="95">
        <f t="shared" ref="BB5:BB60" si="1">IF(BA5="","",BA5*AY5)</f>
        <v>0</v>
      </c>
      <c r="BD5" s="319">
        <f>OBJ!B93</f>
        <v>9255028</v>
      </c>
      <c r="BE5" s="21" t="str">
        <f>VLOOKUP(BD5,CENY!$B$11:$G$1054,2,FALSE)</f>
        <v>AvanY-bok ľavý /v139/h300/ strieborná</v>
      </c>
      <c r="BF5" s="22">
        <f>VLOOKUP(BD5,CENY!$B$11:$G$1054,3,FALSE)</f>
        <v>20</v>
      </c>
      <c r="BG5" s="22"/>
      <c r="BH5" s="23">
        <f>AY5</f>
        <v>0</v>
      </c>
      <c r="BI5" s="326">
        <f t="shared" ref="BI5:BI69" si="2">IF(BH5="","",IF($AW$4=0,BH5,0))</f>
        <v>0</v>
      </c>
      <c r="BJ5" s="95">
        <f>VLOOKUP(BD5,CENY!$B$11:$M$2025,12,FALSE)</f>
        <v>12.895490000000001</v>
      </c>
      <c r="BK5" s="95">
        <f t="shared" ref="BK5:BK69" si="3"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388</v>
      </c>
      <c r="G6" s="566"/>
      <c r="H6" s="566"/>
      <c r="I6" s="566"/>
      <c r="J6" s="566"/>
      <c r="K6" s="566"/>
      <c r="AU6" s="319">
        <f>OBJ!B83</f>
        <v>9353346</v>
      </c>
      <c r="AV6" s="21" t="str">
        <f>VLOOKUP(AU6,CENY!$B$11:$G$1054,2,FALSE)</f>
        <v>AvanY-sólo oceľ.boky-NW 139/350mm/strieb.</v>
      </c>
      <c r="AW6" s="22">
        <f>VLOOKUP(AU6,CENY!$B$11:$G$1054,3,FALSE)</f>
        <v>1</v>
      </c>
      <c r="AX6" s="362">
        <v>6</v>
      </c>
      <c r="AY6" s="23">
        <f>S19+S25</f>
        <v>0</v>
      </c>
      <c r="AZ6" s="326">
        <f t="shared" si="0"/>
        <v>0</v>
      </c>
      <c r="BA6" s="95">
        <f>VLOOKUP(AU6,CENY!$B$11:$M$2025,12,FALSE)</f>
        <v>31.74728</v>
      </c>
      <c r="BB6" s="95">
        <f t="shared" si="1"/>
        <v>0</v>
      </c>
      <c r="BD6" s="319">
        <f>OBJ!B94</f>
        <v>9255029</v>
      </c>
      <c r="BE6" s="21" t="str">
        <f>VLOOKUP(BD6,CENY!$B$11:$G$1054,2,FALSE)</f>
        <v>AvanY-bok pravý /v139/h300/ strieborná</v>
      </c>
      <c r="BF6" s="22">
        <f>VLOOKUP(BD6,CENY!$B$11:$G$1054,3,FALSE)</f>
        <v>20</v>
      </c>
      <c r="BG6" s="22"/>
      <c r="BH6" s="23">
        <f>AY5</f>
        <v>0</v>
      </c>
      <c r="BI6" s="326">
        <f t="shared" si="2"/>
        <v>0</v>
      </c>
      <c r="BJ6" s="95">
        <f>VLOOKUP(BD6,CENY!$B$11:$M$2025,12,FALSE)</f>
        <v>12.895490000000001</v>
      </c>
      <c r="BK6" s="95">
        <f t="shared" si="3"/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OBJ!B84</f>
        <v>9353347</v>
      </c>
      <c r="AV7" s="21" t="str">
        <f>VLOOKUP(AU7,CENY!$B$11:$G$1054,2,FALSE)</f>
        <v>AvanY-sólo oceľ.boky-NW 139/400mm/strieb.</v>
      </c>
      <c r="AW7" s="22">
        <f>VLOOKUP(AU7,CENY!$B$11:$G$1054,3,FALSE)</f>
        <v>1</v>
      </c>
      <c r="AX7" s="362">
        <v>6</v>
      </c>
      <c r="AY7" s="23">
        <f>U19+U25</f>
        <v>0</v>
      </c>
      <c r="AZ7" s="326">
        <f t="shared" si="0"/>
        <v>0</v>
      </c>
      <c r="BA7" s="95">
        <f>VLOOKUP(AU7,CENY!$B$11:$M$2025,12,FALSE)</f>
        <v>32.201650000000001</v>
      </c>
      <c r="BB7" s="95">
        <f t="shared" si="1"/>
        <v>0</v>
      </c>
      <c r="BD7" s="319">
        <f>OBJ!B95</f>
        <v>9255030</v>
      </c>
      <c r="BE7" s="21" t="str">
        <f>VLOOKUP(BD7,CENY!$B$11:$G$1054,2,FALSE)</f>
        <v>AvanY-bok ľavý /v139/h350/ strieborná</v>
      </c>
      <c r="BF7" s="22">
        <f>VLOOKUP(BD7,CENY!$B$11:$G$1054,3,FALSE)</f>
        <v>20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13.132899999999999</v>
      </c>
      <c r="BK7" s="95">
        <f t="shared" si="3"/>
        <v>0</v>
      </c>
    </row>
    <row r="8" spans="1:63" ht="14.45" customHeigh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OBJ!B85</f>
        <v>9353348</v>
      </c>
      <c r="AV8" s="21" t="str">
        <f>VLOOKUP(AU8,CENY!$B$11:$G$1054,2,FALSE)</f>
        <v>AvanY-sólo oceľ.boky-NW 139/450mm/strieb.</v>
      </c>
      <c r="AW8" s="22">
        <f>VLOOKUP(AU8,CENY!$B$11:$G$1054,3,FALSE)</f>
        <v>1</v>
      </c>
      <c r="AX8" s="362">
        <v>6</v>
      </c>
      <c r="AY8" s="23">
        <f>W19+W20+W25</f>
        <v>0</v>
      </c>
      <c r="AZ8" s="326">
        <f t="shared" si="0"/>
        <v>0</v>
      </c>
      <c r="BA8" s="95">
        <f>VLOOKUP(AU8,CENY!$B$11:$M$2025,12,FALSE)</f>
        <v>31.101500000000001</v>
      </c>
      <c r="BB8" s="95">
        <f t="shared" si="1"/>
        <v>0</v>
      </c>
      <c r="BD8" s="319">
        <f>OBJ!B96</f>
        <v>9255031</v>
      </c>
      <c r="BE8" s="21" t="str">
        <f>VLOOKUP(BD8,CENY!$B$11:$G$1054,2,FALSE)</f>
        <v>AvanY-bok pravý /v139/h350/ strieborná</v>
      </c>
      <c r="BF8" s="22">
        <f>VLOOKUP(BD8,CENY!$B$11:$G$1054,3,FALSE)</f>
        <v>20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13.132899999999999</v>
      </c>
      <c r="BK8" s="95">
        <f t="shared" si="3"/>
        <v>0</v>
      </c>
    </row>
    <row r="9" spans="1:63" ht="14.45" customHeight="1">
      <c r="B9" s="552"/>
      <c r="C9" s="560"/>
      <c r="D9" s="560"/>
      <c r="E9" s="561"/>
      <c r="F9" s="562"/>
      <c r="G9" s="563"/>
      <c r="H9" s="563"/>
      <c r="I9" s="563"/>
      <c r="J9" s="563"/>
      <c r="K9" s="564"/>
      <c r="AU9" s="319">
        <f>OBJ!B86</f>
        <v>9353349</v>
      </c>
      <c r="AV9" s="21" t="str">
        <f>VLOOKUP(AU9,CENY!$B$11:$G$1054,2,FALSE)</f>
        <v>AvanY-sólo oceľ.boky-NW 139/500mm/strieb.</v>
      </c>
      <c r="AW9" s="22">
        <f>VLOOKUP(AU9,CENY!$B$11:$G$1054,3,FALSE)</f>
        <v>1</v>
      </c>
      <c r="AX9" s="362">
        <v>8</v>
      </c>
      <c r="AY9" s="23">
        <f>Y19+Y20+Y25</f>
        <v>0</v>
      </c>
      <c r="AZ9" s="326">
        <f t="shared" si="0"/>
        <v>0</v>
      </c>
      <c r="BA9" s="95">
        <f>VLOOKUP(AU9,CENY!$B$11:$M$2025,12,FALSE)</f>
        <v>31.53424</v>
      </c>
      <c r="BB9" s="95">
        <f t="shared" si="1"/>
        <v>0</v>
      </c>
      <c r="BD9" s="319">
        <f>OBJ!B97</f>
        <v>9255032</v>
      </c>
      <c r="BE9" s="21" t="str">
        <f>VLOOKUP(BD9,CENY!$B$11:$G$1054,2,FALSE)</f>
        <v>AvanY-bok ľavý /v139/h400/ strieborná</v>
      </c>
      <c r="BF9" s="22">
        <f>VLOOKUP(BD9,CENY!$B$11:$G$1054,3,FALSE)</f>
        <v>20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13.370430000000001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U10" s="319">
        <f>OBJ!B87</f>
        <v>9353350</v>
      </c>
      <c r="AV10" s="21" t="str">
        <f>VLOOKUP(AU10,CENY!$B$11:$G$1054,2,FALSE)</f>
        <v>AvanY-sólo oceľ.boky-NW 139/550mm/strieb.</v>
      </c>
      <c r="AW10" s="22">
        <f>VLOOKUP(AU10,CENY!$B$11:$G$1054,3,FALSE)</f>
        <v>1</v>
      </c>
      <c r="AX10" s="362">
        <v>8</v>
      </c>
      <c r="AY10" s="23">
        <f>AA19+AA20+AA25</f>
        <v>0</v>
      </c>
      <c r="AZ10" s="326">
        <f t="shared" si="0"/>
        <v>0</v>
      </c>
      <c r="BA10" s="95">
        <f>VLOOKUP(AU10,CENY!$B$11:$M$2025,12,FALSE)</f>
        <v>33.565219999999997</v>
      </c>
      <c r="BB10" s="95">
        <f t="shared" si="1"/>
        <v>0</v>
      </c>
      <c r="BD10" s="319">
        <f>OBJ!B98</f>
        <v>9255033</v>
      </c>
      <c r="BE10" s="21" t="str">
        <f>VLOOKUP(BD10,CENY!$B$11:$G$1054,2,FALSE)</f>
        <v>AvanY-bok pravý /v139/h400/ strieborná</v>
      </c>
      <c r="BF10" s="22">
        <f>VLOOKUP(BD10,CENY!$B$11:$G$1054,3,FALSE)</f>
        <v>20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13.370430000000001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OBJ!B88</f>
        <v>9353351</v>
      </c>
      <c r="AV11" s="21" t="str">
        <f>VLOOKUP(AU11,CENY!$B$11:$G$1054,2,FALSE)</f>
        <v>AvanY-sólo oceľ.boky-NW 139/600mm/strieb.</v>
      </c>
      <c r="AW11" s="22">
        <f>VLOOKUP(AU11,CENY!$B$11:$G$1054,3,FALSE)</f>
        <v>1</v>
      </c>
      <c r="AX11" s="362">
        <v>8</v>
      </c>
      <c r="AY11" s="23">
        <f>AC19+AC20+AC25</f>
        <v>0</v>
      </c>
      <c r="AZ11" s="326">
        <f t="shared" si="0"/>
        <v>0</v>
      </c>
      <c r="BA11" s="95">
        <f>VLOOKUP(AU11,CENY!$B$11:$M$2025,12,FALSE)</f>
        <v>34.295520000000003</v>
      </c>
      <c r="BB11" s="95">
        <f t="shared" si="1"/>
        <v>0</v>
      </c>
      <c r="BD11" s="319">
        <f>OBJ!B99</f>
        <v>9255034</v>
      </c>
      <c r="BE11" s="21" t="str">
        <f>VLOOKUP(BD11,CENY!$B$11:$G$1054,2,FALSE)</f>
        <v>AvanY-bok ľavý /v139/h450/ strieborná</v>
      </c>
      <c r="BF11" s="22">
        <f>VLOOKUP(BD11,CENY!$B$11:$G$1054,3,FALSE)</f>
        <v>20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13.60773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/>
      <c r="AV12" s="21"/>
      <c r="AW12" s="22"/>
      <c r="AX12" s="22"/>
      <c r="AY12" s="23"/>
      <c r="AZ12" s="326" t="str">
        <f t="shared" si="0"/>
        <v/>
      </c>
      <c r="BA12" s="95"/>
      <c r="BB12" s="95" t="str">
        <f t="shared" si="1"/>
        <v/>
      </c>
      <c r="BD12" s="319">
        <f>OBJ!B100</f>
        <v>9255035</v>
      </c>
      <c r="BE12" s="21" t="str">
        <f>VLOOKUP(BD12,CENY!$B$11:$G$1054,2,FALSE)</f>
        <v>AvanY-bok pravý /v139/h450/ strieborná</v>
      </c>
      <c r="BF12" s="22">
        <f>VLOOKUP(BD12,CENY!$B$11:$G$1054,3,FALSE)</f>
        <v>20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13.60773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OBJ!B113</f>
        <v>9353354</v>
      </c>
      <c r="AV13" s="21" t="str">
        <f>VLOOKUP(AU13,CENY!$B$11:$G$1054,2,FALSE)</f>
        <v>AvanY-sólo oceľ.boky-NW 187/300mm/strieb.</v>
      </c>
      <c r="AW13" s="22">
        <f>VLOOKUP(AU13,CENY!$B$11:$G$1054,3,FALSE)</f>
        <v>1</v>
      </c>
      <c r="AX13" s="362">
        <v>4</v>
      </c>
      <c r="AY13" s="23">
        <f t="shared" ref="AY13:AY19" si="4">AY5</f>
        <v>0</v>
      </c>
      <c r="AZ13" s="326">
        <f t="shared" si="0"/>
        <v>0</v>
      </c>
      <c r="BA13" s="95">
        <f>VLOOKUP(AU13,CENY!$B$11:$M$2025,12,FALSE)</f>
        <v>37.95196</v>
      </c>
      <c r="BB13" s="95">
        <f t="shared" si="1"/>
        <v>0</v>
      </c>
      <c r="BD13" s="319">
        <f>OBJ!B101</f>
        <v>9255036</v>
      </c>
      <c r="BE13" s="21" t="str">
        <f>VLOOKUP(BD13,CENY!$B$11:$G$1054,2,FALSE)</f>
        <v>AvanY-bok ľavý /v139/h500/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13.185700000000001</v>
      </c>
      <c r="BK13" s="95">
        <f t="shared" si="3"/>
        <v>0</v>
      </c>
    </row>
    <row r="14" spans="1:63" ht="14.45" customHeight="1">
      <c r="AU14" s="319">
        <f>OBJ!B114</f>
        <v>9353355</v>
      </c>
      <c r="AV14" s="21" t="str">
        <f>VLOOKUP(AU14,CENY!$B$11:$G$1054,2,FALSE)</f>
        <v>AvanY-sólo oceľ.boky-NW 187/350mm/strieb.</v>
      </c>
      <c r="AW14" s="22">
        <f>VLOOKUP(AU14,CENY!$B$11:$G$1054,3,FALSE)</f>
        <v>1</v>
      </c>
      <c r="AX14" s="362">
        <v>6</v>
      </c>
      <c r="AY14" s="23">
        <f t="shared" si="4"/>
        <v>0</v>
      </c>
      <c r="AZ14" s="326">
        <f t="shared" si="0"/>
        <v>0</v>
      </c>
      <c r="BA14" s="95">
        <f>VLOOKUP(AU14,CENY!$B$11:$M$2025,12,FALSE)</f>
        <v>38.529060000000001</v>
      </c>
      <c r="BB14" s="95">
        <f t="shared" si="1"/>
        <v>0</v>
      </c>
      <c r="BD14" s="319">
        <f>OBJ!B102</f>
        <v>9255037</v>
      </c>
      <c r="BE14" s="21" t="str">
        <f>VLOOKUP(BD14,CENY!$B$11:$G$1054,2,FALSE)</f>
        <v>AvanY-bok pravý /v139/h500/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13.185700000000001</v>
      </c>
      <c r="BK14" s="95">
        <f t="shared" si="3"/>
        <v>0</v>
      </c>
    </row>
    <row r="15" spans="1:63" ht="14.45" customHeight="1">
      <c r="AU15" s="319">
        <f>OBJ!B115</f>
        <v>9353356</v>
      </c>
      <c r="AV15" s="21" t="str">
        <f>VLOOKUP(AU15,CENY!$B$11:$G$1054,2,FALSE)</f>
        <v>AvanY-sólo oceľ.boky-NW 187/400mm/strieb.</v>
      </c>
      <c r="AW15" s="22">
        <f>VLOOKUP(AU15,CENY!$B$11:$G$1054,3,FALSE)</f>
        <v>1</v>
      </c>
      <c r="AX15" s="362">
        <v>6</v>
      </c>
      <c r="AY15" s="23">
        <f t="shared" si="4"/>
        <v>0</v>
      </c>
      <c r="AZ15" s="326">
        <f t="shared" si="0"/>
        <v>0</v>
      </c>
      <c r="BA15" s="95">
        <f>VLOOKUP(AU15,CENY!$B$11:$M$2025,12,FALSE)</f>
        <v>39.106140000000003</v>
      </c>
      <c r="BB15" s="95">
        <f t="shared" si="1"/>
        <v>0</v>
      </c>
      <c r="BD15" s="319">
        <f>OBJ!B103</f>
        <v>9255038</v>
      </c>
      <c r="BE15" s="21" t="str">
        <f>VLOOKUP(BD15,CENY!$B$11:$G$1054,2,FALSE)</f>
        <v>AvanY-bok ľavý /v139/h550/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14.08229</v>
      </c>
      <c r="BK15" s="95">
        <f t="shared" si="3"/>
        <v>0</v>
      </c>
    </row>
    <row r="16" spans="1:63" ht="14.45" customHeight="1">
      <c r="AU16" s="319">
        <f>OBJ!B116</f>
        <v>9353357</v>
      </c>
      <c r="AV16" s="21" t="str">
        <f>VLOOKUP(AU16,CENY!$B$11:$G$1054,2,FALSE)</f>
        <v>AvanY-sólo oceľ.boky-NW 187/450mm/strieb.</v>
      </c>
      <c r="AW16" s="22">
        <f>VLOOKUP(AU16,CENY!$B$11:$G$1054,3,FALSE)</f>
        <v>1</v>
      </c>
      <c r="AX16" s="362">
        <v>6</v>
      </c>
      <c r="AY16" s="23">
        <f t="shared" si="4"/>
        <v>0</v>
      </c>
      <c r="AZ16" s="326">
        <f t="shared" si="0"/>
        <v>0</v>
      </c>
      <c r="BA16" s="95">
        <f>VLOOKUP(AU16,CENY!$B$11:$M$2025,12,FALSE)</f>
        <v>37.79374</v>
      </c>
      <c r="BB16" s="95">
        <f t="shared" si="1"/>
        <v>0</v>
      </c>
      <c r="BD16" s="319">
        <f>OBJ!B104</f>
        <v>9255039</v>
      </c>
      <c r="BE16" s="21" t="str">
        <f>VLOOKUP(BD16,CENY!$B$11:$G$1054,2,FALSE)</f>
        <v>AvanY-bok pravý /v139/h550/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14.08229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U17" s="319">
        <f>OBJ!B117</f>
        <v>9353358</v>
      </c>
      <c r="AV17" s="21" t="str">
        <f>VLOOKUP(AU17,CENY!$B$11:$G$1054,2,FALSE)</f>
        <v>AvanY-sólo oceľ.boky-NW 187/500mm/strieb.</v>
      </c>
      <c r="AW17" s="22">
        <f>VLOOKUP(AU17,CENY!$B$11:$G$1054,3,FALSE)</f>
        <v>1</v>
      </c>
      <c r="AX17" s="362">
        <v>8</v>
      </c>
      <c r="AY17" s="23">
        <f t="shared" si="4"/>
        <v>0</v>
      </c>
      <c r="AZ17" s="326">
        <f t="shared" si="0"/>
        <v>0</v>
      </c>
      <c r="BA17" s="95">
        <f>VLOOKUP(AU17,CENY!$B$11:$M$2025,12,FALSE)</f>
        <v>38.343159999999997</v>
      </c>
      <c r="BB17" s="95">
        <f t="shared" si="1"/>
        <v>0</v>
      </c>
      <c r="BD17" s="319">
        <f>OBJ!B105</f>
        <v>9255040</v>
      </c>
      <c r="BE17" s="21" t="str">
        <f>VLOOKUP(BD17,CENY!$B$11:$G$1054,2,FALSE)</f>
        <v>AvanY-bok ľavý /v139/h600/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14.44021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U18" s="319">
        <f>OBJ!B118</f>
        <v>9353359</v>
      </c>
      <c r="AV18" s="21" t="str">
        <f>VLOOKUP(AU18,CENY!$B$11:$G$1054,2,FALSE)</f>
        <v>AvanY-sólo oceľ.boky-NW 187/550mm/strieb.</v>
      </c>
      <c r="AW18" s="22">
        <f>VLOOKUP(AU18,CENY!$B$11:$G$1054,3,FALSE)</f>
        <v>1</v>
      </c>
      <c r="AX18" s="362">
        <v>8</v>
      </c>
      <c r="AY18" s="23">
        <f t="shared" si="4"/>
        <v>0</v>
      </c>
      <c r="AZ18" s="326">
        <f t="shared" si="0"/>
        <v>0</v>
      </c>
      <c r="BA18" s="95">
        <f>VLOOKUP(AU18,CENY!$B$11:$M$2025,12,FALSE)</f>
        <v>40.83719</v>
      </c>
      <c r="BB18" s="95">
        <f t="shared" si="1"/>
        <v>0</v>
      </c>
      <c r="BD18" s="319">
        <f>OBJ!B106</f>
        <v>9255041</v>
      </c>
      <c r="BE18" s="21" t="str">
        <f>VLOOKUP(BD18,CENY!$B$11:$G$1054,2,FALSE)</f>
        <v>AvanY-bok pravý /v139/h600/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14.44021</v>
      </c>
      <c r="BK18" s="95">
        <f t="shared" si="3"/>
        <v>0</v>
      </c>
    </row>
    <row r="19" spans="2:63" ht="14.45" customHeight="1" thickBot="1">
      <c r="B19" s="523" t="s">
        <v>290</v>
      </c>
      <c r="C19" s="523"/>
      <c r="D19" s="523"/>
      <c r="E19" s="523"/>
      <c r="F19" s="523"/>
      <c r="G19" s="523"/>
      <c r="H19" s="524" t="str">
        <f>verze!E18</f>
        <v>plnovýsuv</v>
      </c>
      <c r="I19" s="524"/>
      <c r="J19" s="524"/>
      <c r="K19" s="524"/>
      <c r="L19" s="524"/>
      <c r="M19" s="534" t="s">
        <v>287</v>
      </c>
      <c r="N19" s="535"/>
      <c r="O19" s="280"/>
      <c r="P19" s="281"/>
      <c r="Q19" s="606"/>
      <c r="R19" s="570"/>
      <c r="S19" s="569"/>
      <c r="T19" s="570"/>
      <c r="U19" s="569"/>
      <c r="V19" s="570"/>
      <c r="W19" s="569"/>
      <c r="X19" s="570"/>
      <c r="Y19" s="569"/>
      <c r="Z19" s="570"/>
      <c r="AA19" s="569"/>
      <c r="AB19" s="570"/>
      <c r="AC19" s="569"/>
      <c r="AD19" s="605"/>
      <c r="AE19" s="280"/>
      <c r="AF19" s="281"/>
      <c r="AU19" s="319">
        <f>OBJ!B119</f>
        <v>9353360</v>
      </c>
      <c r="AV19" s="21" t="str">
        <f>VLOOKUP(AU19,CENY!$B$11:$G$1054,2,FALSE)</f>
        <v>AvanY-sólo oceľ.boky-NW 187/600mm/strieb.</v>
      </c>
      <c r="AW19" s="22">
        <f>VLOOKUP(AU19,CENY!$B$11:$G$1054,3,FALSE)</f>
        <v>1</v>
      </c>
      <c r="AX19" s="362">
        <v>8</v>
      </c>
      <c r="AY19" s="23">
        <f t="shared" si="4"/>
        <v>0</v>
      </c>
      <c r="AZ19" s="326">
        <f t="shared" si="0"/>
        <v>0</v>
      </c>
      <c r="BA19" s="95">
        <f>VLOOKUP(AU19,CENY!$B$11:$M$2025,12,FALSE)</f>
        <v>41.752409999999998</v>
      </c>
      <c r="BB19" s="95">
        <f t="shared" si="1"/>
        <v>0</v>
      </c>
      <c r="BD19" s="319"/>
      <c r="BE19" s="21"/>
      <c r="BF19" s="22"/>
      <c r="BG19" s="22"/>
      <c r="BH19" s="23"/>
      <c r="BI19" s="326" t="str">
        <f t="shared" si="2"/>
        <v/>
      </c>
      <c r="BJ19" s="95"/>
      <c r="BK19" s="95" t="str">
        <f t="shared" si="3"/>
        <v/>
      </c>
    </row>
    <row r="20" spans="2:63" ht="14.45" customHeight="1" thickBot="1">
      <c r="B20" s="546" t="s">
        <v>291</v>
      </c>
      <c r="C20" s="546"/>
      <c r="D20" s="546"/>
      <c r="E20" s="546"/>
      <c r="F20" s="546"/>
      <c r="G20" s="546"/>
      <c r="H20" s="547" t="str">
        <f>verze!E18</f>
        <v>plnovýsuv</v>
      </c>
      <c r="I20" s="547"/>
      <c r="J20" s="547"/>
      <c r="K20" s="547"/>
      <c r="L20" s="547"/>
      <c r="M20" s="525" t="s">
        <v>288</v>
      </c>
      <c r="N20" s="526"/>
      <c r="O20" s="520"/>
      <c r="P20" s="521"/>
      <c r="Q20" s="520"/>
      <c r="R20" s="521"/>
      <c r="S20" s="520"/>
      <c r="T20" s="521"/>
      <c r="U20" s="520"/>
      <c r="V20" s="521"/>
      <c r="W20" s="518"/>
      <c r="X20" s="519"/>
      <c r="Y20" s="518"/>
      <c r="Z20" s="519"/>
      <c r="AA20" s="518"/>
      <c r="AB20" s="519"/>
      <c r="AC20" s="518"/>
      <c r="AD20" s="519"/>
      <c r="AE20" s="610"/>
      <c r="AF20" s="611"/>
      <c r="AU20" s="319"/>
      <c r="AV20" s="21"/>
      <c r="AW20" s="22"/>
      <c r="AX20" s="22"/>
      <c r="AY20" s="23"/>
      <c r="AZ20" s="326" t="str">
        <f t="shared" si="0"/>
        <v/>
      </c>
      <c r="BA20" s="95"/>
      <c r="BB20" s="95" t="str">
        <f t="shared" si="1"/>
        <v/>
      </c>
      <c r="BD20" s="319">
        <f>OBJ!B124</f>
        <v>9255046</v>
      </c>
      <c r="BE20" s="21" t="str">
        <f>VLOOKUP(BD20,CENY!$B$11:$G$1054,2,FALSE)</f>
        <v>AvanY-bok ľavý /v187/h300/ strieborná</v>
      </c>
      <c r="BF20" s="22">
        <f>VLOOKUP(BD20,CENY!$B$11:$G$1054,3,FALSE)</f>
        <v>10</v>
      </c>
      <c r="BG20" s="22"/>
      <c r="BH20" s="23">
        <f t="shared" ref="BH20:BH33" si="5">BH5</f>
        <v>0</v>
      </c>
      <c r="BI20" s="326">
        <f t="shared" si="2"/>
        <v>0</v>
      </c>
      <c r="BJ20" s="95">
        <f>VLOOKUP(BD20,CENY!$B$11:$M$2025,12,FALSE)</f>
        <v>16.72522</v>
      </c>
      <c r="BK20" s="95">
        <f t="shared" si="3"/>
        <v>0</v>
      </c>
    </row>
    <row r="21" spans="2:63" ht="14.45" customHeight="1">
      <c r="O21" s="4"/>
      <c r="P21" s="4"/>
      <c r="AU21" s="319">
        <f>OBJ!B72</f>
        <v>9347503</v>
      </c>
      <c r="AV21" s="21" t="str">
        <f>VLOOKUP(AU21,CENY!$B$11:$G$1054,2,FALSE)</f>
        <v>AvanY-design ALprofil Hybrid na bok 300/ strieb.</v>
      </c>
      <c r="AW21" s="22">
        <f>VLOOKUP(AU21,CENY!$B$11:$G$1054,3,FALSE)</f>
        <v>200</v>
      </c>
      <c r="AX21" s="22"/>
      <c r="AY21" s="23">
        <f>IF(FORM!AM18=FORM!AU16,0,4*(Q19+Q25))</f>
        <v>0</v>
      </c>
      <c r="AZ21" s="326">
        <f t="shared" si="0"/>
        <v>0</v>
      </c>
      <c r="BA21" s="95">
        <f>VLOOKUP(AU21,CENY!$B$11:$M$2025,12,FALSE)</f>
        <v>0.96240999999999999</v>
      </c>
      <c r="BB21" s="95">
        <f t="shared" si="1"/>
        <v>0</v>
      </c>
      <c r="BD21" s="319">
        <f>OBJ!B125</f>
        <v>9255047</v>
      </c>
      <c r="BE21" s="21" t="str">
        <f>VLOOKUP(BD21,CENY!$B$11:$G$1054,2,FALSE)</f>
        <v>AvanY-bok pravý /v187/h300/ strieborná</v>
      </c>
      <c r="BF21" s="22">
        <f>VLOOKUP(BD21,CENY!$B$11:$G$1054,3,FALSE)</f>
        <v>10</v>
      </c>
      <c r="BG21" s="22"/>
      <c r="BH21" s="23">
        <f t="shared" si="5"/>
        <v>0</v>
      </c>
      <c r="BI21" s="326">
        <f t="shared" si="2"/>
        <v>0</v>
      </c>
      <c r="BJ21" s="95">
        <f>VLOOKUP(BD21,CENY!$B$11:$M$2025,12,FALSE)</f>
        <v>16.72522</v>
      </c>
      <c r="BK21" s="95">
        <f t="shared" si="3"/>
        <v>0</v>
      </c>
    </row>
    <row r="22" spans="2:63" ht="14.45" customHeight="1">
      <c r="AU22" s="319">
        <f>OBJ!B73</f>
        <v>9347504</v>
      </c>
      <c r="AV22" s="21" t="str">
        <f>VLOOKUP(AU22,CENY!$B$11:$G$1054,2,FALSE)</f>
        <v>AvanY-design ALprofil Hybrid na bok 350/ strieb.</v>
      </c>
      <c r="AW22" s="22">
        <f>VLOOKUP(AU22,CENY!$B$11:$G$1054,3,FALSE)</f>
        <v>200</v>
      </c>
      <c r="AX22" s="22"/>
      <c r="AY22" s="23">
        <f>IF(FORM!AM18=FORM!AU16,0,4*(S19+S25))</f>
        <v>0</v>
      </c>
      <c r="AZ22" s="326">
        <f t="shared" si="0"/>
        <v>0</v>
      </c>
      <c r="BA22" s="95">
        <f>VLOOKUP(AU22,CENY!$B$11:$M$2025,12,FALSE)</f>
        <v>0.98018000000000005</v>
      </c>
      <c r="BB22" s="95">
        <f t="shared" si="1"/>
        <v>0</v>
      </c>
      <c r="BD22" s="319">
        <f>OBJ!B126</f>
        <v>9255048</v>
      </c>
      <c r="BE22" s="21" t="str">
        <f>VLOOKUP(BD22,CENY!$B$11:$G$1054,2,FALSE)</f>
        <v>AvanY-bok ľavý /v187/h350/ strieborná</v>
      </c>
      <c r="BF22" s="22">
        <f>VLOOKUP(BD22,CENY!$B$11:$G$1054,3,FALSE)</f>
        <v>10</v>
      </c>
      <c r="BG22" s="22"/>
      <c r="BH22" s="23">
        <f t="shared" si="5"/>
        <v>0</v>
      </c>
      <c r="BI22" s="326">
        <f t="shared" si="2"/>
        <v>0</v>
      </c>
      <c r="BJ22" s="95">
        <f>VLOOKUP(BD22,CENY!$B$11:$M$2025,12,FALSE)</f>
        <v>17.033180000000002</v>
      </c>
      <c r="BK22" s="95">
        <f t="shared" si="3"/>
        <v>0</v>
      </c>
    </row>
    <row r="23" spans="2:63" ht="14.45" customHeight="1" thickBot="1">
      <c r="B23" s="2" t="s">
        <v>285</v>
      </c>
      <c r="AU23" s="319">
        <f>OBJ!B74</f>
        <v>9347505</v>
      </c>
      <c r="AV23" s="21" t="str">
        <f>VLOOKUP(AU23,CENY!$B$11:$G$1054,2,FALSE)</f>
        <v>AvanY-design ALprofil Hybrid na bok 400/ strieb.</v>
      </c>
      <c r="AW23" s="22">
        <f>VLOOKUP(AU23,CENY!$B$11:$G$1054,3,FALSE)</f>
        <v>200</v>
      </c>
      <c r="AX23" s="22"/>
      <c r="AY23" s="23">
        <f>IF(FORM!AM18=FORM!AU16,0,4*(U19+U25))</f>
        <v>0</v>
      </c>
      <c r="AZ23" s="326">
        <f t="shared" si="0"/>
        <v>0</v>
      </c>
      <c r="BA23" s="95">
        <f>VLOOKUP(AU23,CENY!$B$11:$M$2025,12,FALSE)</f>
        <v>0.99777000000000005</v>
      </c>
      <c r="BB23" s="95">
        <f t="shared" si="1"/>
        <v>0</v>
      </c>
      <c r="BD23" s="319">
        <f>OBJ!B127</f>
        <v>9255049</v>
      </c>
      <c r="BE23" s="21" t="str">
        <f>VLOOKUP(BD23,CENY!$B$11:$G$1054,2,FALSE)</f>
        <v>AvanY-bok pravý /v187/h350/ strieborná</v>
      </c>
      <c r="BF23" s="22">
        <f>VLOOKUP(BD23,CENY!$B$11:$G$1054,3,FALSE)</f>
        <v>10</v>
      </c>
      <c r="BG23" s="22"/>
      <c r="BH23" s="23">
        <f t="shared" si="5"/>
        <v>0</v>
      </c>
      <c r="BI23" s="326">
        <f t="shared" si="2"/>
        <v>0</v>
      </c>
      <c r="BJ23" s="95">
        <f>VLOOKUP(BD23,CENY!$B$11:$M$2025,12,FALSE)</f>
        <v>17.033180000000002</v>
      </c>
      <c r="BK23" s="95">
        <f t="shared" si="3"/>
        <v>0</v>
      </c>
    </row>
    <row r="24" spans="2:63" ht="14.45" customHeight="1" thickBot="1">
      <c r="B24" s="96"/>
      <c r="C24" s="96"/>
      <c r="D24" s="96"/>
      <c r="E24" s="96"/>
      <c r="F24" s="96"/>
      <c r="G24" s="96"/>
      <c r="H24" s="72"/>
      <c r="I24" s="72"/>
      <c r="J24" s="72"/>
      <c r="K24" s="72"/>
      <c r="L24" s="72"/>
      <c r="M24" s="72"/>
      <c r="N24" s="72" t="str">
        <f>verze!$E$20&amp;" "</f>
        <v xml:space="preserve">Menovitá dĺžka: </v>
      </c>
      <c r="O24" s="537">
        <v>270</v>
      </c>
      <c r="P24" s="538"/>
      <c r="Q24" s="537">
        <v>300</v>
      </c>
      <c r="R24" s="538"/>
      <c r="S24" s="537">
        <v>350</v>
      </c>
      <c r="T24" s="538"/>
      <c r="U24" s="537">
        <v>400</v>
      </c>
      <c r="V24" s="538"/>
      <c r="W24" s="537">
        <v>450</v>
      </c>
      <c r="X24" s="538"/>
      <c r="Y24" s="539">
        <v>500</v>
      </c>
      <c r="Z24" s="540"/>
      <c r="AA24" s="537">
        <v>550</v>
      </c>
      <c r="AB24" s="538"/>
      <c r="AC24" s="537">
        <v>600</v>
      </c>
      <c r="AD24" s="538"/>
      <c r="AU24" s="319">
        <f>OBJ!B75</f>
        <v>9347506</v>
      </c>
      <c r="AV24" s="21" t="str">
        <f>VLOOKUP(AU24,CENY!$B$11:$G$1054,2,FALSE)</f>
        <v>AvanY-design ALprofil Hybrid na bok 450/ strieb.</v>
      </c>
      <c r="AW24" s="22">
        <f>VLOOKUP(AU24,CENY!$B$11:$G$1054,3,FALSE)</f>
        <v>200</v>
      </c>
      <c r="AX24" s="22"/>
      <c r="AY24" s="23">
        <f>IF(FORM!AM18=FORM!AU16,0,4*(W19+W20+W25))</f>
        <v>0</v>
      </c>
      <c r="AZ24" s="326">
        <f t="shared" si="0"/>
        <v>0</v>
      </c>
      <c r="BA24" s="95">
        <f>VLOOKUP(AU24,CENY!$B$11:$M$2025,12,FALSE)</f>
        <v>1.01556</v>
      </c>
      <c r="BB24" s="95">
        <f t="shared" si="1"/>
        <v>0</v>
      </c>
      <c r="BD24" s="319">
        <f>OBJ!B128</f>
        <v>9255050</v>
      </c>
      <c r="BE24" s="21" t="str">
        <f>VLOOKUP(BD24,CENY!$B$11:$G$1054,2,FALSE)</f>
        <v>AvanY-bok ľavý /v187/h400/ strieborná</v>
      </c>
      <c r="BF24" s="22">
        <f>VLOOKUP(BD24,CENY!$B$11:$G$1054,3,FALSE)</f>
        <v>10</v>
      </c>
      <c r="BG24" s="22"/>
      <c r="BH24" s="23">
        <f t="shared" si="5"/>
        <v>0</v>
      </c>
      <c r="BI24" s="326">
        <f t="shared" si="2"/>
        <v>0</v>
      </c>
      <c r="BJ24" s="95">
        <f>VLOOKUP(BD24,CENY!$B$11:$M$2025,12,FALSE)</f>
        <v>17.340789999999998</v>
      </c>
      <c r="BK24" s="95">
        <f t="shared" si="3"/>
        <v>0</v>
      </c>
    </row>
    <row r="25" spans="2:63" ht="14.45" customHeight="1" thickBot="1">
      <c r="B25" s="523" t="s">
        <v>372</v>
      </c>
      <c r="C25" s="523"/>
      <c r="D25" s="523"/>
      <c r="E25" s="523"/>
      <c r="F25" s="523"/>
      <c r="G25" s="523"/>
      <c r="H25" s="524" t="str">
        <f>verze!E18</f>
        <v>plnovýsuv</v>
      </c>
      <c r="I25" s="524"/>
      <c r="J25" s="524"/>
      <c r="K25" s="524"/>
      <c r="L25" s="524"/>
      <c r="M25" s="534" t="s">
        <v>1</v>
      </c>
      <c r="N25" s="535"/>
      <c r="O25" s="608"/>
      <c r="P25" s="609"/>
      <c r="Q25" s="606"/>
      <c r="R25" s="605"/>
      <c r="S25" s="606"/>
      <c r="T25" s="570"/>
      <c r="U25" s="606"/>
      <c r="V25" s="570"/>
      <c r="W25" s="606"/>
      <c r="X25" s="570"/>
      <c r="Y25" s="606"/>
      <c r="Z25" s="570"/>
      <c r="AA25" s="606"/>
      <c r="AB25" s="570"/>
      <c r="AC25" s="518"/>
      <c r="AD25" s="604"/>
      <c r="AU25" s="319">
        <f>OBJ!B76</f>
        <v>9347507</v>
      </c>
      <c r="AV25" s="21" t="str">
        <f>VLOOKUP(AU25,CENY!$B$11:$G$1054,2,FALSE)</f>
        <v>AvanY-design ALprofil Hybrid na bok 500/ strieb.</v>
      </c>
      <c r="AW25" s="22">
        <f>VLOOKUP(AU25,CENY!$B$11:$G$1054,3,FALSE)</f>
        <v>200</v>
      </c>
      <c r="AX25" s="22"/>
      <c r="AY25" s="23">
        <f>IF(FORM!AM18=FORM!AU16,0,4*(Y19+Y20+Y25))</f>
        <v>0</v>
      </c>
      <c r="AZ25" s="326">
        <f t="shared" si="0"/>
        <v>0</v>
      </c>
      <c r="BA25" s="95">
        <f>VLOOKUP(AU25,CENY!$B$11:$M$2025,12,FALSE)</f>
        <v>1.0332399999999999</v>
      </c>
      <c r="BB25" s="95">
        <f t="shared" si="1"/>
        <v>0</v>
      </c>
      <c r="BD25" s="319">
        <f>OBJ!B129</f>
        <v>9255051</v>
      </c>
      <c r="BE25" s="21" t="str">
        <f>VLOOKUP(BD25,CENY!$B$11:$G$1054,2,FALSE)</f>
        <v>AvanY-bok pravý /v187/h400/ strieborná</v>
      </c>
      <c r="BF25" s="22">
        <f>VLOOKUP(BD25,CENY!$B$11:$G$1054,3,FALSE)</f>
        <v>10</v>
      </c>
      <c r="BG25" s="22"/>
      <c r="BH25" s="23">
        <f t="shared" si="5"/>
        <v>0</v>
      </c>
      <c r="BI25" s="326">
        <f t="shared" si="2"/>
        <v>0</v>
      </c>
      <c r="BJ25" s="95">
        <f>VLOOKUP(BD25,CENY!$B$11:$M$2025,12,FALSE)</f>
        <v>17.340789999999998</v>
      </c>
      <c r="BK25" s="95">
        <f t="shared" si="3"/>
        <v>0</v>
      </c>
    </row>
    <row r="26" spans="2:63" ht="14.45" customHeight="1" thickBot="1">
      <c r="O26" s="342"/>
      <c r="P26" s="343"/>
      <c r="Q26" s="342"/>
      <c r="R26" s="343"/>
      <c r="S26" s="342"/>
      <c r="T26" s="343"/>
      <c r="U26" s="342"/>
      <c r="V26" s="343"/>
      <c r="W26" s="342"/>
      <c r="X26" s="343"/>
      <c r="Y26" s="342"/>
      <c r="Z26" s="343"/>
      <c r="AA26" s="342"/>
      <c r="AB26" s="343"/>
      <c r="AC26" s="342"/>
      <c r="AD26" s="343"/>
      <c r="AU26" s="319">
        <f>OBJ!B77</f>
        <v>9347508</v>
      </c>
      <c r="AV26" s="21" t="str">
        <f>VLOOKUP(AU26,CENY!$B$11:$G$1054,2,FALSE)</f>
        <v>AvanY-design ALprofil Hybrid na bok 550/ strieb.</v>
      </c>
      <c r="AW26" s="22">
        <f>VLOOKUP(AU26,CENY!$B$11:$G$1054,3,FALSE)</f>
        <v>200</v>
      </c>
      <c r="AX26" s="22"/>
      <c r="AY26" s="23">
        <f>IF(FORM!AM18=FORM!AU16,0,4*(AA19+AA20+AA25))</f>
        <v>0</v>
      </c>
      <c r="AZ26" s="326">
        <f t="shared" si="0"/>
        <v>0</v>
      </c>
      <c r="BA26" s="95">
        <f>VLOOKUP(AU26,CENY!$B$11:$M$2025,12,FALSE)</f>
        <v>1.0508599999999999</v>
      </c>
      <c r="BB26" s="95">
        <f t="shared" si="1"/>
        <v>0</v>
      </c>
      <c r="BD26" s="319">
        <f>OBJ!B130</f>
        <v>9255052</v>
      </c>
      <c r="BE26" s="21" t="str">
        <f>VLOOKUP(BD26,CENY!$B$11:$G$1054,2,FALSE)</f>
        <v>AvanY-bok ľavý /v187/h450/ strieborná</v>
      </c>
      <c r="BF26" s="22">
        <f>VLOOKUP(BD26,CENY!$B$11:$G$1054,3,FALSE)</f>
        <v>10</v>
      </c>
      <c r="BG26" s="22"/>
      <c r="BH26" s="23">
        <f t="shared" si="5"/>
        <v>0</v>
      </c>
      <c r="BI26" s="326">
        <f t="shared" si="2"/>
        <v>0</v>
      </c>
      <c r="BJ26" s="95">
        <f>VLOOKUP(BD26,CENY!$B$11:$M$2025,12,FALSE)</f>
        <v>16.80836</v>
      </c>
      <c r="BK26" s="95">
        <f t="shared" si="3"/>
        <v>0</v>
      </c>
    </row>
    <row r="27" spans="2:63" ht="14.45" customHeight="1">
      <c r="B27" s="366" t="str">
        <f>verze!E201</f>
        <v>SiSy = tlmenie Silent System</v>
      </c>
      <c r="AU27" s="319">
        <f>OBJ!B78</f>
        <v>9347509</v>
      </c>
      <c r="AV27" s="21" t="str">
        <f>VLOOKUP(AU27,CENY!$B$11:$G$1054,2,FALSE)</f>
        <v>AvanY-design ALprofil Hybrid na bok 600/ strieb.</v>
      </c>
      <c r="AW27" s="22">
        <f>VLOOKUP(AU27,CENY!$B$11:$G$1054,3,FALSE)</f>
        <v>200</v>
      </c>
      <c r="AX27" s="22"/>
      <c r="AY27" s="23">
        <f>IF(FORM!AM18=FORM!AU16,0,4*(AC19+AC20+AC25))</f>
        <v>0</v>
      </c>
      <c r="AZ27" s="326">
        <f t="shared" si="0"/>
        <v>0</v>
      </c>
      <c r="BA27" s="95">
        <f>VLOOKUP(AU27,CENY!$B$11:$M$2025,12,FALSE)</f>
        <v>1.09639</v>
      </c>
      <c r="BB27" s="95">
        <f t="shared" si="1"/>
        <v>0</v>
      </c>
      <c r="BD27" s="319">
        <f>OBJ!B131</f>
        <v>9255053</v>
      </c>
      <c r="BE27" s="21" t="str">
        <f>VLOOKUP(BD27,CENY!$B$11:$G$1054,2,FALSE)</f>
        <v>AvanY-bok pravý /v187/h450/ strieborná</v>
      </c>
      <c r="BF27" s="22">
        <f>VLOOKUP(BD27,CENY!$B$11:$G$1054,3,FALSE)</f>
        <v>10</v>
      </c>
      <c r="BG27" s="22"/>
      <c r="BH27" s="23">
        <f t="shared" si="5"/>
        <v>0</v>
      </c>
      <c r="BI27" s="326">
        <f t="shared" si="2"/>
        <v>0</v>
      </c>
      <c r="BJ27" s="95">
        <f>VLOOKUP(BD27,CENY!$B$11:$M$2025,12,FALSE)</f>
        <v>16.80836</v>
      </c>
      <c r="BK27" s="95">
        <f t="shared" si="3"/>
        <v>0</v>
      </c>
    </row>
    <row r="28" spans="2:63" ht="14.45" customHeight="1">
      <c r="B28" s="366"/>
      <c r="O28" s="341" t="str">
        <f>verze!E189</f>
        <v>Maximálna výška korpusu skrinky = 750mm.   Maximálna šírka korpusu skrinky = 300mm.</v>
      </c>
      <c r="AU28" s="319"/>
      <c r="AV28" s="21"/>
      <c r="AW28" s="22"/>
      <c r="AX28" s="22"/>
      <c r="AY28" s="23"/>
      <c r="AZ28" s="326" t="str">
        <f t="shared" si="0"/>
        <v/>
      </c>
      <c r="BA28" s="95"/>
      <c r="BB28" s="95" t="str">
        <f t="shared" si="1"/>
        <v/>
      </c>
      <c r="BD28" s="319">
        <f>OBJ!B132</f>
        <v>9255054</v>
      </c>
      <c r="BE28" s="21" t="str">
        <f>VLOOKUP(BD28,CENY!$B$11:$G$1054,2,FALSE)</f>
        <v>AvanY-bok ľavý /v187/h500/ strieborná</v>
      </c>
      <c r="BF28" s="22">
        <f>VLOOKUP(BD28,CENY!$B$11:$G$1054,3,FALSE)</f>
        <v>10</v>
      </c>
      <c r="BG28" s="22"/>
      <c r="BH28" s="23">
        <f t="shared" si="5"/>
        <v>0</v>
      </c>
      <c r="BI28" s="326">
        <f t="shared" si="2"/>
        <v>0</v>
      </c>
      <c r="BJ28" s="95">
        <f>VLOOKUP(BD28,CENY!$B$11:$M$2025,12,FALSE)</f>
        <v>17.10154</v>
      </c>
      <c r="BK28" s="95">
        <f t="shared" si="3"/>
        <v>0</v>
      </c>
    </row>
    <row r="29" spans="2:63" ht="14.45" customHeight="1">
      <c r="B29" s="366"/>
      <c r="Q29" s="341"/>
      <c r="AU29" s="319">
        <f>OBJ!B244</f>
        <v>9318187</v>
      </c>
      <c r="AV29" s="21" t="str">
        <f>VLOOKUP(AU29,CENY!$B$11:$G$1054,2,FALSE)</f>
        <v>Actro You(L) 300/SiSy 40kg; EB21</v>
      </c>
      <c r="AW29" s="22">
        <f>VLOOKUP(AU29,CENY!$B$11:$G$1054,3,FALSE)</f>
        <v>1</v>
      </c>
      <c r="AX29" s="362">
        <v>8</v>
      </c>
      <c r="AY29" s="23">
        <f>Q19</f>
        <v>0</v>
      </c>
      <c r="AZ29" s="326">
        <f t="shared" si="0"/>
        <v>0</v>
      </c>
      <c r="BA29" s="95">
        <f>VLOOKUP(AU29,CENY!$B$11:$M$2025,12,FALSE)</f>
        <v>31.62575</v>
      </c>
      <c r="BB29" s="95">
        <f t="shared" si="1"/>
        <v>0</v>
      </c>
      <c r="BD29" s="319">
        <f>OBJ!B133</f>
        <v>9255055</v>
      </c>
      <c r="BE29" s="21" t="str">
        <f>VLOOKUP(BD29,CENY!$B$11:$G$1054,2,FALSE)</f>
        <v>AvanY-bok pravý /v187/h500/ strieborná</v>
      </c>
      <c r="BF29" s="22">
        <f>VLOOKUP(BD29,CENY!$B$11:$G$1054,3,FALSE)</f>
        <v>10</v>
      </c>
      <c r="BG29" s="22"/>
      <c r="BH29" s="23">
        <f t="shared" si="5"/>
        <v>0</v>
      </c>
      <c r="BI29" s="326">
        <f t="shared" si="2"/>
        <v>0</v>
      </c>
      <c r="BJ29" s="95">
        <f>VLOOKUP(BD29,CENY!$B$11:$M$2025,12,FALSE)</f>
        <v>17.10154</v>
      </c>
      <c r="BK29" s="95">
        <f t="shared" si="3"/>
        <v>0</v>
      </c>
    </row>
    <row r="30" spans="2:63" ht="14.45" customHeight="1">
      <c r="AU30" s="319">
        <f>OBJ!B245</f>
        <v>9318188</v>
      </c>
      <c r="AV30" s="21" t="str">
        <f>VLOOKUP(AU30,CENY!$B$11:$G$1054,2,FALSE)</f>
        <v>Actro You(L) 350/SiSy 40kg; EB21</v>
      </c>
      <c r="AW30" s="22">
        <f>VLOOKUP(AU30,CENY!$B$11:$G$1054,3,FALSE)</f>
        <v>1</v>
      </c>
      <c r="AX30" s="362">
        <v>8</v>
      </c>
      <c r="AY30" s="23">
        <f>S19</f>
        <v>0</v>
      </c>
      <c r="AZ30" s="326">
        <f t="shared" si="0"/>
        <v>0</v>
      </c>
      <c r="BA30" s="95">
        <f>VLOOKUP(AU30,CENY!$B$11:$M$2025,12,FALSE)</f>
        <v>31.62575</v>
      </c>
      <c r="BB30" s="95">
        <f t="shared" si="1"/>
        <v>0</v>
      </c>
      <c r="BD30" s="319">
        <f>OBJ!B134</f>
        <v>9255056</v>
      </c>
      <c r="BE30" s="21" t="str">
        <f>VLOOKUP(BD30,CENY!$B$11:$G$1054,2,FALSE)</f>
        <v>AvanY-bok ľavý /v187/h550/ strieborná</v>
      </c>
      <c r="BF30" s="22">
        <f>VLOOKUP(BD30,CENY!$B$11:$G$1054,3,FALSE)</f>
        <v>10</v>
      </c>
      <c r="BG30" s="22"/>
      <c r="BH30" s="23">
        <f t="shared" si="5"/>
        <v>0</v>
      </c>
      <c r="BI30" s="326">
        <f t="shared" si="2"/>
        <v>0</v>
      </c>
      <c r="BJ30" s="95">
        <f>VLOOKUP(BD30,CENY!$B$11:$M$2025,12,FALSE)</f>
        <v>18.264230000000001</v>
      </c>
      <c r="BK30" s="95">
        <f t="shared" si="3"/>
        <v>0</v>
      </c>
    </row>
    <row r="31" spans="2:63" ht="14.45" customHeight="1">
      <c r="AU31" s="319">
        <f>OBJ!B246</f>
        <v>9318190</v>
      </c>
      <c r="AV31" s="21" t="str">
        <f>VLOOKUP(AU31,CENY!$B$11:$G$1054,2,FALSE)</f>
        <v>Actro You(L) 400/SiSy 40kg; EB21</v>
      </c>
      <c r="AW31" s="22">
        <f>VLOOKUP(AU31,CENY!$B$11:$G$1054,3,FALSE)</f>
        <v>1</v>
      </c>
      <c r="AX31" s="362">
        <v>8</v>
      </c>
      <c r="AY31" s="23">
        <f>U19</f>
        <v>0</v>
      </c>
      <c r="AZ31" s="326">
        <f t="shared" si="0"/>
        <v>0</v>
      </c>
      <c r="BA31" s="95">
        <f>VLOOKUP(AU31,CENY!$B$11:$M$2025,12,FALSE)</f>
        <v>31.976389999999999</v>
      </c>
      <c r="BB31" s="95">
        <f t="shared" si="1"/>
        <v>0</v>
      </c>
      <c r="BD31" s="319">
        <f>OBJ!B135</f>
        <v>9255057</v>
      </c>
      <c r="BE31" s="21" t="str">
        <f>VLOOKUP(BD31,CENY!$B$11:$G$1054,2,FALSE)</f>
        <v>AvanY-bok pravý /v187/h550/ strieborná</v>
      </c>
      <c r="BF31" s="22">
        <f>VLOOKUP(BD31,CENY!$B$11:$G$1054,3,FALSE)</f>
        <v>10</v>
      </c>
      <c r="BG31" s="22"/>
      <c r="BH31" s="23">
        <f t="shared" si="5"/>
        <v>0</v>
      </c>
      <c r="BI31" s="326">
        <f t="shared" si="2"/>
        <v>0</v>
      </c>
      <c r="BJ31" s="95">
        <f>VLOOKUP(BD31,CENY!$B$11:$M$2025,12,FALSE)</f>
        <v>18.264230000000001</v>
      </c>
      <c r="BK31" s="95">
        <f t="shared" si="3"/>
        <v>0</v>
      </c>
    </row>
    <row r="32" spans="2:63" ht="14.45" customHeight="1">
      <c r="AU32" s="319">
        <f>OBJ!B247</f>
        <v>9318191</v>
      </c>
      <c r="AV32" s="21" t="str">
        <f>VLOOKUP(AU32,CENY!$B$11:$G$1054,2,FALSE)</f>
        <v>Actro You(L) 450/SiSy 40kg; EB21</v>
      </c>
      <c r="AW32" s="22">
        <f>VLOOKUP(AU32,CENY!$B$11:$G$1054,3,FALSE)</f>
        <v>1</v>
      </c>
      <c r="AX32" s="362">
        <v>10</v>
      </c>
      <c r="AY32" s="23">
        <f>W19</f>
        <v>0</v>
      </c>
      <c r="AZ32" s="326">
        <f t="shared" si="0"/>
        <v>0</v>
      </c>
      <c r="BA32" s="95">
        <f>VLOOKUP(AU32,CENY!$B$11:$M$2025,12,FALSE)</f>
        <v>32.324420000000003</v>
      </c>
      <c r="BB32" s="95">
        <f t="shared" si="1"/>
        <v>0</v>
      </c>
      <c r="BD32" s="319">
        <f>OBJ!B136</f>
        <v>9255058</v>
      </c>
      <c r="BE32" s="21" t="str">
        <f>VLOOKUP(BD32,CENY!$B$11:$G$1054,2,FALSE)</f>
        <v>AvanY-bok ľavý /v187/h600/ strieborná</v>
      </c>
      <c r="BF32" s="22">
        <f>VLOOKUP(BD32,CENY!$B$11:$G$1054,3,FALSE)</f>
        <v>10</v>
      </c>
      <c r="BG32" s="22"/>
      <c r="BH32" s="23">
        <f t="shared" si="5"/>
        <v>0</v>
      </c>
      <c r="BI32" s="326">
        <f t="shared" si="2"/>
        <v>0</v>
      </c>
      <c r="BJ32" s="95">
        <f>VLOOKUP(BD32,CENY!$B$11:$M$2025,12,FALSE)</f>
        <v>18.728680000000001</v>
      </c>
      <c r="BK32" s="95">
        <f t="shared" si="3"/>
        <v>0</v>
      </c>
    </row>
    <row r="33" spans="47:63" ht="14.45" customHeight="1">
      <c r="AU33" s="319">
        <f>OBJ!B248</f>
        <v>9318192</v>
      </c>
      <c r="AV33" s="21" t="str">
        <f>VLOOKUP(AU33,CENY!$B$11:$G$1054,2,FALSE)</f>
        <v>Actro You(L) 500/SiSy 40kg; EB21</v>
      </c>
      <c r="AW33" s="22">
        <f>VLOOKUP(AU33,CENY!$B$11:$G$1054,3,FALSE)</f>
        <v>1</v>
      </c>
      <c r="AX33" s="362">
        <v>10</v>
      </c>
      <c r="AY33" s="23">
        <f>Y19</f>
        <v>0</v>
      </c>
      <c r="AZ33" s="326">
        <f t="shared" si="0"/>
        <v>0</v>
      </c>
      <c r="BA33" s="95">
        <f>VLOOKUP(AU33,CENY!$B$11:$M$2025,12,FALSE)</f>
        <v>6.5957299999999996</v>
      </c>
      <c r="BB33" s="95">
        <f t="shared" si="1"/>
        <v>0</v>
      </c>
      <c r="BD33" s="319">
        <f>OBJ!B137</f>
        <v>9255059</v>
      </c>
      <c r="BE33" s="21" t="str">
        <f>VLOOKUP(BD33,CENY!$B$11:$G$1054,2,FALSE)</f>
        <v>AvanY-bok pravý /v187/h600/ strieborná</v>
      </c>
      <c r="BF33" s="22">
        <f>VLOOKUP(BD33,CENY!$B$11:$G$1054,3,FALSE)</f>
        <v>10</v>
      </c>
      <c r="BG33" s="22"/>
      <c r="BH33" s="23">
        <f t="shared" si="5"/>
        <v>0</v>
      </c>
      <c r="BI33" s="326">
        <f t="shared" si="2"/>
        <v>0</v>
      </c>
      <c r="BJ33" s="95">
        <f>VLOOKUP(BD33,CENY!$B$11:$M$2025,12,FALSE)</f>
        <v>18.728680000000001</v>
      </c>
      <c r="BK33" s="95">
        <f t="shared" si="3"/>
        <v>0</v>
      </c>
    </row>
    <row r="34" spans="47:63" ht="14.45" customHeight="1">
      <c r="AU34" s="319">
        <f>OBJ!B249</f>
        <v>9318194</v>
      </c>
      <c r="AV34" s="21" t="str">
        <f>VLOOKUP(AU34,CENY!$B$11:$G$1054,2,FALSE)</f>
        <v>Actro You(L) 550/SiSy 40kg; EB21</v>
      </c>
      <c r="AW34" s="22">
        <f>VLOOKUP(AU34,CENY!$B$11:$G$1054,3,FALSE)</f>
        <v>1</v>
      </c>
      <c r="AX34" s="362">
        <v>10</v>
      </c>
      <c r="AY34" s="23">
        <f>AA19</f>
        <v>0</v>
      </c>
      <c r="AZ34" s="326">
        <f t="shared" si="0"/>
        <v>0</v>
      </c>
      <c r="BA34" s="95">
        <f>VLOOKUP(AU34,CENY!$B$11:$M$2025,12,FALSE)</f>
        <v>6.9728000000000003</v>
      </c>
      <c r="BB34" s="95">
        <f t="shared" si="1"/>
        <v>0</v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47:63" ht="14.45" customHeight="1">
      <c r="AU35" s="319">
        <f>OBJ!B250</f>
        <v>9318196</v>
      </c>
      <c r="AV35" s="21" t="str">
        <f>VLOOKUP(AU35,CENY!$B$11:$G$1054,2,FALSE)</f>
        <v>Actro You(L) 600/SiSy 40kg; EB21</v>
      </c>
      <c r="AW35" s="22">
        <f>VLOOKUP(AU35,CENY!$B$11:$G$1054,3,FALSE)</f>
        <v>1</v>
      </c>
      <c r="AX35" s="362">
        <v>10</v>
      </c>
      <c r="AY35" s="23">
        <f>AC19</f>
        <v>0</v>
      </c>
      <c r="AZ35" s="326">
        <f>IF(AY35="","",IF($AW$4=1,AY35,0))</f>
        <v>0</v>
      </c>
      <c r="BA35" s="95">
        <f>VLOOKUP(AU35,CENY!$B$11:$M$2025,12,FALSE)</f>
        <v>34.956960000000002</v>
      </c>
      <c r="BB35" s="95">
        <f>IF(BA35="","",BA35*AY35)</f>
        <v>0</v>
      </c>
      <c r="BD35" s="319">
        <f>OBJ!B110</f>
        <v>9257884</v>
      </c>
      <c r="BE35" s="21" t="str">
        <f>VLOOKUP(BD35,CENY!$B$11:$G$1054,2,FALSE)</f>
        <v>AvanY-príchytka čela k naskrutk./ v139</v>
      </c>
      <c r="BF35" s="22">
        <f>VLOOKUP(BD35,CENY!$B$11:$G$1054,3,FALSE)</f>
        <v>200</v>
      </c>
      <c r="BG35" s="22"/>
      <c r="BH35" s="23">
        <f>2*(SUM(O19:AD19)+SUM(W20:AF20)+SUM(O25:AD25))</f>
        <v>0</v>
      </c>
      <c r="BI35" s="326">
        <f t="shared" si="2"/>
        <v>0</v>
      </c>
      <c r="BJ35" s="95">
        <f>VLOOKUP(BD35,CENY!$B$11:$M$2025,12,FALSE)</f>
        <v>1.5494000000000001</v>
      </c>
      <c r="BK35" s="95">
        <f t="shared" si="3"/>
        <v>0</v>
      </c>
    </row>
    <row r="36" spans="47:63" ht="14.45" customHeight="1">
      <c r="AU36" s="319"/>
      <c r="AV36" s="21"/>
      <c r="AW36" s="22"/>
      <c r="AX36" s="22"/>
      <c r="AY36" s="23"/>
      <c r="AZ36" s="326" t="str">
        <f t="shared" si="0"/>
        <v/>
      </c>
      <c r="BA36" s="95"/>
      <c r="BB36" s="95" t="str">
        <f t="shared" si="1"/>
        <v/>
      </c>
      <c r="BD36" s="319">
        <f>OBJ!B141</f>
        <v>9255838</v>
      </c>
      <c r="BE36" s="21" t="str">
        <f>VLOOKUP(BD36,CENY!$B$11:$G$1054,2,FALSE)</f>
        <v>AvanY-prích.čela k naskrutk./ v187-251</v>
      </c>
      <c r="BF36" s="22">
        <f>VLOOKUP(BD36,CENY!$B$11:$G$1054,3,FALSE)</f>
        <v>200</v>
      </c>
      <c r="BG36" s="22"/>
      <c r="BH36" s="23">
        <f>BH35</f>
        <v>0</v>
      </c>
      <c r="BI36" s="326">
        <f>IF(BH36="","",IF($AW$4=0,BH36,0))</f>
        <v>0</v>
      </c>
      <c r="BJ36" s="95">
        <f>VLOOKUP(BD36,CENY!$B$11:$M$2025,12,FALSE)</f>
        <v>2.32422</v>
      </c>
      <c r="BK36" s="95">
        <f>IF(BJ36="","",BJ36*BH36)</f>
        <v>0</v>
      </c>
    </row>
    <row r="37" spans="47:63" ht="14.45" customHeight="1">
      <c r="AU37" s="319">
        <f>OBJ!B268</f>
        <v>9318215</v>
      </c>
      <c r="AV37" s="21" t="str">
        <f>VLOOKUP(AU37,CENY!$B$11:$G$1054,2,FALSE)</f>
        <v>Actro You(XL) 450/SiSy 70kg; EB21</v>
      </c>
      <c r="AW37" s="22">
        <f>VLOOKUP(AU37,CENY!$B$11:$G$1054,3,FALSE)</f>
        <v>1</v>
      </c>
      <c r="AX37" s="362">
        <v>10</v>
      </c>
      <c r="AY37" s="23">
        <f>W20</f>
        <v>0</v>
      </c>
      <c r="AZ37" s="326">
        <f t="shared" si="0"/>
        <v>0</v>
      </c>
      <c r="BA37" s="95">
        <f>VLOOKUP(AU37,CENY!$B$11:$M$2025,12,FALSE)</f>
        <v>7.9265800000000004</v>
      </c>
      <c r="BB37" s="95">
        <f t="shared" si="1"/>
        <v>0</v>
      </c>
      <c r="BD37" s="319">
        <f>OBJ!B48</f>
        <v>9257702</v>
      </c>
      <c r="BE37" s="21" t="str">
        <f>VLOOKUP(BD37,CENY!$B$11:$G$1054,2,FALSE)</f>
        <v>AvanY-stabilizátor chrbáta</v>
      </c>
      <c r="BF37" s="22">
        <f>VLOOKUP(BD37,CENY!$B$11:$G$1054,3,FALSE)</f>
        <v>200</v>
      </c>
      <c r="BG37" s="22"/>
      <c r="BH37" s="23">
        <f>0*(SUM(O19:AD19)+SUM(W20:AF20)+SUM(O25:AD25))</f>
        <v>0</v>
      </c>
      <c r="BI37" s="326">
        <f t="shared" si="2"/>
        <v>0</v>
      </c>
      <c r="BJ37" s="95">
        <f>VLOOKUP(BD37,CENY!$B$11:$M$2025,12,FALSE)</f>
        <v>0.74794000000000005</v>
      </c>
      <c r="BK37" s="95">
        <f t="shared" si="3"/>
        <v>0</v>
      </c>
    </row>
    <row r="38" spans="47:63" ht="14.45" customHeight="1">
      <c r="AU38" s="319">
        <f>OBJ!B269</f>
        <v>9318216</v>
      </c>
      <c r="AV38" s="21" t="str">
        <f>VLOOKUP(AU38,CENY!$B$11:$G$1054,2,FALSE)</f>
        <v>Actro You(XL) 500/SiSy 70kg; EB21</v>
      </c>
      <c r="AW38" s="22">
        <f>VLOOKUP(AU38,CENY!$B$11:$G$1054,3,FALSE)</f>
        <v>1</v>
      </c>
      <c r="AX38" s="362">
        <v>10</v>
      </c>
      <c r="AY38" s="23">
        <f>Y20</f>
        <v>0</v>
      </c>
      <c r="AZ38" s="326">
        <f t="shared" si="0"/>
        <v>0</v>
      </c>
      <c r="BA38" s="95">
        <f>VLOOKUP(AU38,CENY!$B$11:$M$2025,12,FALSE)</f>
        <v>39.622210000000003</v>
      </c>
      <c r="BB38" s="95">
        <f t="shared" si="1"/>
        <v>0</v>
      </c>
      <c r="BD38" s="20"/>
      <c r="BE38" s="21"/>
      <c r="BF38" s="22"/>
      <c r="BG38" s="22"/>
      <c r="BH38" s="23"/>
      <c r="BI38" s="326" t="str">
        <f t="shared" si="2"/>
        <v/>
      </c>
      <c r="BJ38" s="95"/>
      <c r="BK38" s="95" t="str">
        <f t="shared" si="3"/>
        <v/>
      </c>
    </row>
    <row r="39" spans="47:63" ht="14.45" customHeight="1">
      <c r="AU39" s="319">
        <f>OBJ!B270</f>
        <v>9318217</v>
      </c>
      <c r="AV39" s="21" t="str">
        <f>VLOOKUP(AU39,CENY!$B$11:$G$1054,2,FALSE)</f>
        <v>Actro You(XL) 550/SiSy 70kg; EB21</v>
      </c>
      <c r="AW39" s="22">
        <f>VLOOKUP(AU39,CENY!$B$11:$G$1054,3,FALSE)</f>
        <v>1</v>
      </c>
      <c r="AX39" s="362">
        <v>10</v>
      </c>
      <c r="AY39" s="23">
        <f>AA20</f>
        <v>0</v>
      </c>
      <c r="AZ39" s="326">
        <f t="shared" si="0"/>
        <v>0</v>
      </c>
      <c r="BA39" s="95">
        <f>VLOOKUP(AU39,CENY!$B$11:$M$2025,12,FALSE)</f>
        <v>41.504899999999999</v>
      </c>
      <c r="BB39" s="95">
        <f t="shared" si="1"/>
        <v>0</v>
      </c>
      <c r="BD39" s="319">
        <f>OBJ!B72</f>
        <v>9347503</v>
      </c>
      <c r="BE39" s="21" t="str">
        <f>VLOOKUP(BD39,CENY!$B$11:$G$1054,2,FALSE)</f>
        <v>AvanY-design ALprofil Hybrid na bok 300/ strieb.</v>
      </c>
      <c r="BF39" s="22">
        <f>VLOOKUP(BD39,CENY!$B$11:$G$1054,3,FALSE)</f>
        <v>200</v>
      </c>
      <c r="BG39" s="22"/>
      <c r="BH39" s="23">
        <f>4*(Q19+Q25)</f>
        <v>0</v>
      </c>
      <c r="BI39" s="326">
        <f t="shared" si="2"/>
        <v>0</v>
      </c>
      <c r="BJ39" s="95">
        <f>VLOOKUP(BD39,CENY!$B$11:$M$2025,12,FALSE)</f>
        <v>0.96240999999999999</v>
      </c>
      <c r="BK39" s="95">
        <f t="shared" si="3"/>
        <v>0</v>
      </c>
    </row>
    <row r="40" spans="47:63" ht="14.45" customHeight="1">
      <c r="AU40" s="319">
        <f>OBJ!B271</f>
        <v>9318218</v>
      </c>
      <c r="AV40" s="21" t="str">
        <f>VLOOKUP(AU40,CENY!$B$11:$G$1054,2,FALSE)</f>
        <v>Actro You(XL) 600/SiSy 70kg; EB21</v>
      </c>
      <c r="AW40" s="22">
        <f>VLOOKUP(AU40,CENY!$B$11:$G$1054,3,FALSE)</f>
        <v>1</v>
      </c>
      <c r="AX40" s="362">
        <v>10</v>
      </c>
      <c r="AY40" s="23">
        <f>AC20</f>
        <v>0</v>
      </c>
      <c r="AZ40" s="326">
        <f t="shared" si="0"/>
        <v>0</v>
      </c>
      <c r="BA40" s="95">
        <f>VLOOKUP(AU40,CENY!$B$11:$M$2025,12,FALSE)</f>
        <v>45.308109999999999</v>
      </c>
      <c r="BB40" s="95">
        <f t="shared" si="1"/>
        <v>0</v>
      </c>
      <c r="BD40" s="319">
        <f>OBJ!B73</f>
        <v>9347504</v>
      </c>
      <c r="BE40" s="21" t="str">
        <f>VLOOKUP(BD40,CENY!$B$11:$G$1054,2,FALSE)</f>
        <v>AvanY-design ALprofil Hybrid na bok 350/ strieb.</v>
      </c>
      <c r="BF40" s="22">
        <f>VLOOKUP(BD40,CENY!$B$11:$G$1054,3,FALSE)</f>
        <v>200</v>
      </c>
      <c r="BG40" s="22"/>
      <c r="BH40" s="23">
        <f>4*(S19+S25)</f>
        <v>0</v>
      </c>
      <c r="BI40" s="326">
        <f t="shared" si="2"/>
        <v>0</v>
      </c>
      <c r="BJ40" s="95">
        <f>VLOOKUP(BD40,CENY!$B$11:$M$2025,12,FALSE)</f>
        <v>0.98018000000000005</v>
      </c>
      <c r="BK40" s="95">
        <f t="shared" si="3"/>
        <v>0</v>
      </c>
    </row>
    <row r="41" spans="47:63" ht="14.45" customHeight="1">
      <c r="AU41" s="319"/>
      <c r="AV41" s="21"/>
      <c r="AW41" s="22"/>
      <c r="AX41" s="22"/>
      <c r="AY41" s="23"/>
      <c r="AZ41" s="326" t="str">
        <f t="shared" si="0"/>
        <v/>
      </c>
      <c r="BA41" s="95"/>
      <c r="BB41" s="95" t="str">
        <f t="shared" si="1"/>
        <v/>
      </c>
      <c r="BD41" s="319">
        <f>OBJ!B74</f>
        <v>9347505</v>
      </c>
      <c r="BE41" s="21" t="str">
        <f>VLOOKUP(BD41,CENY!$B$11:$G$1054,2,FALSE)</f>
        <v>AvanY-design ALprofil Hybrid na bok 400/ strieb.</v>
      </c>
      <c r="BF41" s="22">
        <f>VLOOKUP(BD41,CENY!$B$11:$G$1054,3,FALSE)</f>
        <v>200</v>
      </c>
      <c r="BG41" s="22"/>
      <c r="BH41" s="23">
        <f>4*(U19+U25)</f>
        <v>0</v>
      </c>
      <c r="BI41" s="326">
        <f t="shared" si="2"/>
        <v>0</v>
      </c>
      <c r="BJ41" s="95">
        <f>VLOOKUP(BD41,CENY!$B$11:$M$2025,12,FALSE)</f>
        <v>0.99777000000000005</v>
      </c>
      <c r="BK41" s="95">
        <f t="shared" si="3"/>
        <v>0</v>
      </c>
    </row>
    <row r="42" spans="47:63" ht="14.45" customHeight="1">
      <c r="AU42" s="319">
        <f>OBJ!B305</f>
        <v>9256884</v>
      </c>
      <c r="AV42" s="21" t="str">
        <f>VLOOKUP(AU42,CENY!$B$11:$G$1054,2,FALSE)</f>
        <v>Quadro You(M) 300/SiSy 20kg; EB21</v>
      </c>
      <c r="AW42" s="22">
        <f>VLOOKUP(AU42,CENY!$B$11:$G$1054,3,FALSE)</f>
        <v>1</v>
      </c>
      <c r="AX42" s="362">
        <v>8</v>
      </c>
      <c r="AY42" s="23">
        <f>Q25</f>
        <v>0</v>
      </c>
      <c r="AZ42" s="326">
        <f t="shared" si="0"/>
        <v>0</v>
      </c>
      <c r="BA42" s="95">
        <f>VLOOKUP(AU42,CENY!$B$11:$M$2025,12,FALSE)</f>
        <v>23.069210000000002</v>
      </c>
      <c r="BB42" s="95">
        <f t="shared" si="1"/>
        <v>0</v>
      </c>
      <c r="BD42" s="319">
        <f>OBJ!B75</f>
        <v>9347506</v>
      </c>
      <c r="BE42" s="21" t="str">
        <f>VLOOKUP(BD42,CENY!$B$11:$G$1054,2,FALSE)</f>
        <v>AvanY-design ALprofil Hybrid na bok 450/ strieb.</v>
      </c>
      <c r="BF42" s="22">
        <f>VLOOKUP(BD42,CENY!$B$11:$G$1054,3,FALSE)</f>
        <v>200</v>
      </c>
      <c r="BG42" s="22"/>
      <c r="BH42" s="23">
        <f>4*(W19+W20+W25)</f>
        <v>0</v>
      </c>
      <c r="BI42" s="326">
        <f t="shared" si="2"/>
        <v>0</v>
      </c>
      <c r="BJ42" s="95">
        <f>VLOOKUP(BD42,CENY!$B$11:$M$2025,12,FALSE)</f>
        <v>1.01556</v>
      </c>
      <c r="BK42" s="95">
        <f t="shared" si="3"/>
        <v>0</v>
      </c>
    </row>
    <row r="43" spans="47:63" ht="14.45" customHeight="1">
      <c r="AU43" s="319">
        <f>OBJ!B306</f>
        <v>9256886</v>
      </c>
      <c r="AV43" s="21" t="str">
        <f>VLOOKUP(AU43,CENY!$B$11:$G$1054,2,FALSE)</f>
        <v>Quadro You(M) 350/SiSy 25kg; EB21</v>
      </c>
      <c r="AW43" s="22">
        <f>VLOOKUP(AU43,CENY!$B$11:$G$1054,3,FALSE)</f>
        <v>1</v>
      </c>
      <c r="AX43" s="362">
        <v>8</v>
      </c>
      <c r="AY43" s="23">
        <f>S25</f>
        <v>0</v>
      </c>
      <c r="AZ43" s="326">
        <f t="shared" si="0"/>
        <v>0</v>
      </c>
      <c r="BA43" s="95" t="e">
        <f>VLOOKUP(AU43,CENY!$B$11:$M$2025,12,FALSE)</f>
        <v>#N/A</v>
      </c>
      <c r="BB43" s="95" t="e">
        <f t="shared" si="1"/>
        <v>#N/A</v>
      </c>
      <c r="BD43" s="319">
        <f>OBJ!B76</f>
        <v>9347507</v>
      </c>
      <c r="BE43" s="21" t="str">
        <f>VLOOKUP(BD43,CENY!$B$11:$G$1054,2,FALSE)</f>
        <v>AvanY-design ALprofil Hybrid na bok 500/ strieb.</v>
      </c>
      <c r="BF43" s="22">
        <f>VLOOKUP(BD43,CENY!$B$11:$G$1054,3,FALSE)</f>
        <v>200</v>
      </c>
      <c r="BG43" s="22"/>
      <c r="BH43" s="23">
        <f>4*(Y19+Y20+Y25)</f>
        <v>0</v>
      </c>
      <c r="BI43" s="326">
        <f t="shared" si="2"/>
        <v>0</v>
      </c>
      <c r="BJ43" s="95">
        <f>VLOOKUP(BD43,CENY!$B$11:$M$2025,12,FALSE)</f>
        <v>1.0332399999999999</v>
      </c>
      <c r="BK43" s="95">
        <f t="shared" si="3"/>
        <v>0</v>
      </c>
    </row>
    <row r="44" spans="47:63" ht="14.45" customHeight="1">
      <c r="AU44" s="319">
        <f>OBJ!B307</f>
        <v>9256888</v>
      </c>
      <c r="AV44" s="21" t="str">
        <f>VLOOKUP(AU44,CENY!$B$11:$G$1054,2,FALSE)</f>
        <v>Quadro You(M) 400/SiSy 30kg; EB21</v>
      </c>
      <c r="AW44" s="22">
        <f>VLOOKUP(AU44,CENY!$B$11:$G$1054,3,FALSE)</f>
        <v>1</v>
      </c>
      <c r="AX44" s="362">
        <v>8</v>
      </c>
      <c r="AY44" s="23">
        <f>U25</f>
        <v>0</v>
      </c>
      <c r="AZ44" s="326">
        <f t="shared" si="0"/>
        <v>0</v>
      </c>
      <c r="BA44" s="95">
        <f>VLOOKUP(AU44,CENY!$B$11:$M$2025,12,FALSE)</f>
        <v>24.002659999999999</v>
      </c>
      <c r="BB44" s="95">
        <f t="shared" si="1"/>
        <v>0</v>
      </c>
      <c r="BD44" s="319">
        <f>OBJ!B77</f>
        <v>9347508</v>
      </c>
      <c r="BE44" s="21" t="str">
        <f>VLOOKUP(BD44,CENY!$B$11:$G$1054,2,FALSE)</f>
        <v>AvanY-design ALprofil Hybrid na bok 550/ strieb.</v>
      </c>
      <c r="BF44" s="22">
        <f>VLOOKUP(BD44,CENY!$B$11:$G$1054,3,FALSE)</f>
        <v>200</v>
      </c>
      <c r="BG44" s="22"/>
      <c r="BH44" s="23">
        <f>4*(AA19+AA20+AA25)</f>
        <v>0</v>
      </c>
      <c r="BI44" s="326">
        <f t="shared" si="2"/>
        <v>0</v>
      </c>
      <c r="BJ44" s="95">
        <f>VLOOKUP(BD44,CENY!$B$11:$M$2025,12,FALSE)</f>
        <v>1.0508599999999999</v>
      </c>
      <c r="BK44" s="95">
        <f t="shared" si="3"/>
        <v>0</v>
      </c>
    </row>
    <row r="45" spans="47:63" ht="14.45" customHeight="1">
      <c r="AU45" s="319">
        <f>OBJ!B308</f>
        <v>9256890</v>
      </c>
      <c r="AV45" s="21" t="str">
        <f>VLOOKUP(AU45,CENY!$B$11:$G$1054,2,FALSE)</f>
        <v>Quadro You(M) 450/SiSy 30kg; EB21</v>
      </c>
      <c r="AW45" s="22">
        <f>VLOOKUP(AU45,CENY!$B$11:$G$1054,3,FALSE)</f>
        <v>1</v>
      </c>
      <c r="AX45" s="362">
        <v>8</v>
      </c>
      <c r="AY45" s="23">
        <f>W25</f>
        <v>0</v>
      </c>
      <c r="AZ45" s="326">
        <f t="shared" si="0"/>
        <v>0</v>
      </c>
      <c r="BA45" s="95">
        <f>VLOOKUP(AU45,CENY!$B$11:$M$2025,12,FALSE)</f>
        <v>4.9393000000000002</v>
      </c>
      <c r="BB45" s="95">
        <f t="shared" si="1"/>
        <v>0</v>
      </c>
      <c r="BD45" s="319">
        <f>OBJ!B78</f>
        <v>9347509</v>
      </c>
      <c r="BE45" s="21" t="str">
        <f>VLOOKUP(BD45,CENY!$B$11:$G$1054,2,FALSE)</f>
        <v>AvanY-design ALprofil Hybrid na bok 600/ strieb.</v>
      </c>
      <c r="BF45" s="22">
        <f>VLOOKUP(BD45,CENY!$B$11:$G$1054,3,FALSE)</f>
        <v>200</v>
      </c>
      <c r="BG45" s="22"/>
      <c r="BH45" s="23">
        <f>4*(AC19+AC20+AC25)</f>
        <v>0</v>
      </c>
      <c r="BI45" s="326">
        <f t="shared" si="2"/>
        <v>0</v>
      </c>
      <c r="BJ45" s="95">
        <f>VLOOKUP(BD45,CENY!$B$11:$M$2025,12,FALSE)</f>
        <v>1.09639</v>
      </c>
      <c r="BK45" s="95">
        <f t="shared" si="3"/>
        <v>0</v>
      </c>
    </row>
    <row r="46" spans="47:63" ht="14.45" customHeight="1">
      <c r="AU46" s="319">
        <f>OBJ!B309</f>
        <v>9256892</v>
      </c>
      <c r="AV46" s="21" t="str">
        <f>VLOOKUP(AU46,CENY!$B$11:$G$1054,2,FALSE)</f>
        <v>Quadro You(M) 500/SiSy 30kg; EB21</v>
      </c>
      <c r="AW46" s="22">
        <f>VLOOKUP(AU46,CENY!$B$11:$G$1054,3,FALSE)</f>
        <v>1</v>
      </c>
      <c r="AX46" s="362">
        <v>8</v>
      </c>
      <c r="AY46" s="23">
        <f>Y25</f>
        <v>0</v>
      </c>
      <c r="AZ46" s="326">
        <f t="shared" si="0"/>
        <v>0</v>
      </c>
      <c r="BA46" s="95">
        <f>VLOOKUP(AU46,CENY!$B$11:$M$2025,12,FALSE)</f>
        <v>23.748699999999999</v>
      </c>
      <c r="BB46" s="95">
        <f t="shared" si="1"/>
        <v>0</v>
      </c>
      <c r="BD46" s="319"/>
      <c r="BE46" s="21"/>
      <c r="BF46" s="22"/>
      <c r="BG46" s="22"/>
      <c r="BH46" s="23"/>
      <c r="BI46" s="326" t="str">
        <f t="shared" si="2"/>
        <v/>
      </c>
      <c r="BJ46" s="95"/>
      <c r="BK46" s="95" t="str">
        <f t="shared" si="3"/>
        <v/>
      </c>
    </row>
    <row r="47" spans="47:63" ht="14.45" customHeight="1">
      <c r="AU47" s="319">
        <f>OBJ!B310</f>
        <v>9256894</v>
      </c>
      <c r="AV47" s="21" t="str">
        <f>VLOOKUP(AU47,CENY!$B$11:$G$1054,2,FALSE)</f>
        <v>Quadro You(M) 550/SiSy 30kg; EB21</v>
      </c>
      <c r="AW47" s="22">
        <f>VLOOKUP(AU47,CENY!$B$11:$G$1054,3,FALSE)</f>
        <v>1</v>
      </c>
      <c r="AX47" s="362">
        <v>8</v>
      </c>
      <c r="AY47" s="23">
        <f>AA25</f>
        <v>0</v>
      </c>
      <c r="AZ47" s="326">
        <f t="shared" si="0"/>
        <v>0</v>
      </c>
      <c r="BA47" s="95">
        <f>VLOOKUP(AU47,CENY!$B$11:$M$2025,12,FALSE)</f>
        <v>5.1277499999999998</v>
      </c>
      <c r="BB47" s="95">
        <f t="shared" si="1"/>
        <v>0</v>
      </c>
      <c r="BD47" s="319">
        <f>OBJ!B253</f>
        <v>9318171</v>
      </c>
      <c r="BE47" s="21" t="str">
        <f>VLOOKUP(BD47,CENY!$B$11:$G$1054,2,FALSE)</f>
        <v>Actro You(L) 300/SiSy 40kg; EB21; ľavý</v>
      </c>
      <c r="BF47" s="22">
        <f>VLOOKUP(BD47,CENY!$B$11:$G$1054,3,FALSE)</f>
        <v>10</v>
      </c>
      <c r="BG47" s="22"/>
      <c r="BH47" s="23">
        <f>AY29</f>
        <v>0</v>
      </c>
      <c r="BI47" s="326">
        <f t="shared" si="2"/>
        <v>0</v>
      </c>
      <c r="BJ47" s="95">
        <f>VLOOKUP(BD47,CENY!$B$11:$M$2025,12,FALSE)</f>
        <v>14.37729</v>
      </c>
      <c r="BK47" s="95">
        <f t="shared" si="3"/>
        <v>0</v>
      </c>
    </row>
    <row r="48" spans="47:63" ht="14.45" customHeight="1">
      <c r="AU48" s="319">
        <f>OBJ!B311</f>
        <v>9256896</v>
      </c>
      <c r="AV48" s="21" t="str">
        <f>VLOOKUP(AU48,CENY!$B$11:$G$1054,2,FALSE)</f>
        <v>Quadro You(M) 600/SiSy 25kg; EB21</v>
      </c>
      <c r="AW48" s="22">
        <f>VLOOKUP(AU48,CENY!$B$11:$G$1054,3,FALSE)</f>
        <v>1</v>
      </c>
      <c r="AX48" s="362">
        <v>8</v>
      </c>
      <c r="AY48" s="23">
        <f>AC25</f>
        <v>0</v>
      </c>
      <c r="AZ48" s="326">
        <f t="shared" si="0"/>
        <v>0</v>
      </c>
      <c r="BA48" s="95">
        <f>VLOOKUP(AU48,CENY!$B$11:$M$2025,12,FALSE)</f>
        <v>25.86984</v>
      </c>
      <c r="BB48" s="95">
        <f t="shared" si="1"/>
        <v>0</v>
      </c>
      <c r="BD48" s="319">
        <f>OBJ!B254</f>
        <v>9318172</v>
      </c>
      <c r="BE48" s="21" t="str">
        <f>VLOOKUP(BD48,CENY!$B$11:$G$1054,2,FALSE)</f>
        <v>Actro You(L) 300/SiSy 40kg; EB21; pravý</v>
      </c>
      <c r="BF48" s="22">
        <f>VLOOKUP(BD48,CENY!$B$11:$G$1054,3,FALSE)</f>
        <v>10</v>
      </c>
      <c r="BG48" s="22"/>
      <c r="BH48" s="23">
        <f>AY29</f>
        <v>0</v>
      </c>
      <c r="BI48" s="326">
        <f t="shared" si="2"/>
        <v>0</v>
      </c>
      <c r="BJ48" s="95">
        <f>VLOOKUP(BD48,CENY!$B$11:$M$2025,12,FALSE)</f>
        <v>14.37729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0"/>
        <v/>
      </c>
      <c r="BA49" s="95"/>
      <c r="BB49" s="95" t="str">
        <f t="shared" si="1"/>
        <v/>
      </c>
      <c r="BD49" s="319">
        <f>OBJ!B255</f>
        <v>9318173</v>
      </c>
      <c r="BE49" s="21" t="str">
        <f>VLOOKUP(BD49,CENY!$B$11:$G$1054,2,FALSE)</f>
        <v>Actro You(L) 350/SiSy 40kg; EB21; ľavý</v>
      </c>
      <c r="BF49" s="22">
        <f>VLOOKUP(BD49,CENY!$B$11:$G$1054,3,FALSE)</f>
        <v>10</v>
      </c>
      <c r="BG49" s="22"/>
      <c r="BH49" s="23">
        <f>AY30</f>
        <v>0</v>
      </c>
      <c r="BI49" s="326">
        <f t="shared" si="2"/>
        <v>0</v>
      </c>
      <c r="BJ49" s="95">
        <f>VLOOKUP(BD49,CENY!$B$11:$M$2025,12,FALSE)</f>
        <v>14.37729</v>
      </c>
      <c r="BK49" s="95">
        <f t="shared" si="3"/>
        <v>0</v>
      </c>
    </row>
    <row r="50" spans="47:63" ht="14.45" customHeight="1">
      <c r="AU50" s="442">
        <f>OBJ!B110</f>
        <v>9257884</v>
      </c>
      <c r="AV50" s="443" t="str">
        <f>VLOOKUP(AU50,CENY!$B$11:$G$1054,2,FALSE)</f>
        <v>AvanY-príchytka čela k naskrutk./ v139</v>
      </c>
      <c r="AW50" s="22">
        <f>VLOOKUP(AU50,CENY!$B$11:$G$1054,3,FALSE)</f>
        <v>200</v>
      </c>
      <c r="AX50" s="22"/>
      <c r="AY50" s="68">
        <f>2*(SUM(O19:AD19)+SUM(W20:AF20)+SUM(O25:AD25))</f>
        <v>0</v>
      </c>
      <c r="AZ50" s="326">
        <f t="shared" si="0"/>
        <v>0</v>
      </c>
      <c r="BA50" s="95">
        <f>VLOOKUP(AU50,CENY!$B$11:$M$2025,12,FALSE)</f>
        <v>1.5494000000000001</v>
      </c>
      <c r="BB50" s="95">
        <f t="shared" si="1"/>
        <v>0</v>
      </c>
      <c r="BD50" s="319">
        <f>OBJ!B256</f>
        <v>9318174</v>
      </c>
      <c r="BE50" s="21" t="str">
        <f>VLOOKUP(BD50,CENY!$B$11:$G$1054,2,FALSE)</f>
        <v>Actro You(L) 350/SiSy 40kg; EB21; pravý</v>
      </c>
      <c r="BF50" s="22">
        <f>VLOOKUP(BD50,CENY!$B$11:$G$1054,3,FALSE)</f>
        <v>10</v>
      </c>
      <c r="BG50" s="22"/>
      <c r="BH50" s="23">
        <f>AY30</f>
        <v>0</v>
      </c>
      <c r="BI50" s="326">
        <f t="shared" si="2"/>
        <v>0</v>
      </c>
      <c r="BJ50" s="95" t="e">
        <f>VLOOKUP(BD50,CENY!$B$11:$M$2025,12,FALSE)</f>
        <v>#N/A</v>
      </c>
      <c r="BK50" s="95" t="e">
        <f t="shared" si="3"/>
        <v>#N/A</v>
      </c>
    </row>
    <row r="51" spans="47:63" ht="14.45" customHeight="1">
      <c r="AU51" s="442">
        <f>OBJ!B141</f>
        <v>9255838</v>
      </c>
      <c r="AV51" s="443" t="str">
        <f>VLOOKUP(AU51,CENY!$B$11:$G$1054,2,FALSE)</f>
        <v>AvanY-prích.čela k naskrutk./ v187-251</v>
      </c>
      <c r="AW51" s="22">
        <f>VLOOKUP(AU51,CENY!$B$11:$G$1054,3,FALSE)</f>
        <v>200</v>
      </c>
      <c r="AX51" s="22"/>
      <c r="AY51" s="68">
        <f>AY50</f>
        <v>0</v>
      </c>
      <c r="AZ51" s="326">
        <f>IF(AY51="","",IF($AW$4=1,AY51,0))</f>
        <v>0</v>
      </c>
      <c r="BA51" s="95">
        <f>VLOOKUP(AU51,CENY!$B$11:$M$2025,12,FALSE)</f>
        <v>2.32422</v>
      </c>
      <c r="BB51" s="95">
        <f>IF(BA51="","",BA51*AY51)</f>
        <v>0</v>
      </c>
      <c r="BD51" s="319">
        <f>OBJ!B257</f>
        <v>9318175</v>
      </c>
      <c r="BE51" s="21" t="str">
        <f>VLOOKUP(BD51,CENY!$B$11:$G$1054,2,FALSE)</f>
        <v>Actro You(L) 400/SiSy 40kg; EB21; ľavý</v>
      </c>
      <c r="BF51" s="22">
        <f>VLOOKUP(BD51,CENY!$B$11:$G$1054,3,FALSE)</f>
        <v>10</v>
      </c>
      <c r="BG51" s="22"/>
      <c r="BH51" s="23">
        <f>AY31</f>
        <v>0</v>
      </c>
      <c r="BI51" s="326">
        <f t="shared" si="2"/>
        <v>0</v>
      </c>
      <c r="BJ51" s="95">
        <f>VLOOKUP(BD51,CENY!$B$11:$M$2025,12,FALSE)</f>
        <v>14.56085</v>
      </c>
      <c r="BK51" s="95">
        <f t="shared" si="3"/>
        <v>0</v>
      </c>
    </row>
    <row r="52" spans="47:63" ht="14.45" customHeight="1">
      <c r="AU52" s="319"/>
      <c r="AV52" s="21"/>
      <c r="AW52" s="22"/>
      <c r="AX52" s="22"/>
      <c r="AY52" s="23"/>
      <c r="AZ52" s="326" t="str">
        <f t="shared" si="0"/>
        <v/>
      </c>
      <c r="BA52" s="95"/>
      <c r="BB52" s="95" t="str">
        <f t="shared" si="1"/>
        <v/>
      </c>
      <c r="BD52" s="319">
        <f>OBJ!B258</f>
        <v>9318176</v>
      </c>
      <c r="BE52" s="21" t="str">
        <f>VLOOKUP(BD52,CENY!$B$11:$G$1054,2,FALSE)</f>
        <v>Actro You(L) 400/SiSy 40kg; EB21; pravý</v>
      </c>
      <c r="BF52" s="22">
        <f>VLOOKUP(BD52,CENY!$B$11:$G$1054,3,FALSE)</f>
        <v>10</v>
      </c>
      <c r="BG52" s="22"/>
      <c r="BH52" s="23">
        <f>AY31</f>
        <v>0</v>
      </c>
      <c r="BI52" s="326">
        <f t="shared" si="2"/>
        <v>0</v>
      </c>
      <c r="BJ52" s="95">
        <f>VLOOKUP(BD52,CENY!$B$11:$M$2025,12,FALSE)</f>
        <v>14.56085</v>
      </c>
      <c r="BK52" s="95">
        <f t="shared" si="3"/>
        <v>0</v>
      </c>
    </row>
    <row r="53" spans="47:63" ht="14.45" customHeight="1">
      <c r="AU53" s="320">
        <f>OBJ!B214</f>
        <v>0</v>
      </c>
      <c r="AV53" s="321" t="e">
        <f>VLOOKUP(AU53,CENY!$B$11:$G$1054,2,FALSE)</f>
        <v>#N/A</v>
      </c>
      <c r="AW53" s="22" t="e">
        <f>VLOOKUP(AU53,CENY!$B$11:$G$1054,3,FALSE)</f>
        <v>#N/A</v>
      </c>
      <c r="AX53" s="22"/>
      <c r="AY53" s="68">
        <f>IF(FORM!AM21&lt;&gt;FORM!AW16,(4*(SUM(O19:AD19)+SUM(W20:AF20)+SUM(O25:AD25))),0)</f>
        <v>0</v>
      </c>
      <c r="AZ53" s="326">
        <f t="shared" si="0"/>
        <v>0</v>
      </c>
      <c r="BA53" s="324" t="str">
        <f>IF(AU53=0,"",VLOOKUP(AU53,CENY!$B$11:$M$2025,12,FALSE))</f>
        <v/>
      </c>
      <c r="BB53" s="95" t="str">
        <f t="shared" si="1"/>
        <v/>
      </c>
      <c r="BD53" s="319">
        <f>OBJ!B259</f>
        <v>9318177</v>
      </c>
      <c r="BE53" s="21" t="str">
        <f>VLOOKUP(BD53,CENY!$B$11:$G$1054,2,FALSE)</f>
        <v>Actro You(L) 450/SiSy 40kg; EB21; ľavý</v>
      </c>
      <c r="BF53" s="22">
        <f>VLOOKUP(BD53,CENY!$B$11:$G$1054,3,FALSE)</f>
        <v>10</v>
      </c>
      <c r="BG53" s="22"/>
      <c r="BH53" s="23">
        <f>AY32</f>
        <v>0</v>
      </c>
      <c r="BI53" s="326">
        <f t="shared" si="2"/>
        <v>0</v>
      </c>
      <c r="BJ53" s="95" t="e">
        <f>VLOOKUP(BD53,CENY!$B$11:$M$2025,12,FALSE)</f>
        <v>#N/A</v>
      </c>
      <c r="BK53" s="95" t="e">
        <f t="shared" si="3"/>
        <v>#N/A</v>
      </c>
    </row>
    <row r="54" spans="47:63" ht="14.45" customHeight="1">
      <c r="AU54" s="319"/>
      <c r="AV54" s="21"/>
      <c r="AW54" s="22"/>
      <c r="AX54" s="22"/>
      <c r="AY54" s="23"/>
      <c r="AZ54" s="326" t="str">
        <f t="shared" si="0"/>
        <v/>
      </c>
      <c r="BA54" s="95"/>
      <c r="BB54" s="95" t="str">
        <f t="shared" si="1"/>
        <v/>
      </c>
      <c r="BD54" s="319">
        <f>OBJ!B260</f>
        <v>9318178</v>
      </c>
      <c r="BE54" s="21" t="str">
        <f>VLOOKUP(BD54,CENY!$B$11:$G$1054,2,FALSE)</f>
        <v>Actro You(L) 450/SiSy 40kg; EB21; pravý</v>
      </c>
      <c r="BF54" s="22">
        <f>VLOOKUP(BD54,CENY!$B$11:$G$1054,3,FALSE)</f>
        <v>10</v>
      </c>
      <c r="BG54" s="22"/>
      <c r="BH54" s="23">
        <f>AY32</f>
        <v>0</v>
      </c>
      <c r="BI54" s="326">
        <f t="shared" si="2"/>
        <v>0</v>
      </c>
      <c r="BJ54" s="95">
        <f>VLOOKUP(BD54,CENY!$B$11:$M$2025,12,FALSE)</f>
        <v>14.040839999999999</v>
      </c>
      <c r="BK54" s="95">
        <f t="shared" si="3"/>
        <v>0</v>
      </c>
    </row>
    <row r="55" spans="47:63" ht="14.45" customHeight="1">
      <c r="AU55" s="319"/>
      <c r="AV55" s="21"/>
      <c r="AW55" s="22"/>
      <c r="AX55" s="22"/>
      <c r="AY55" s="23"/>
      <c r="AZ55" s="326" t="str">
        <f t="shared" si="0"/>
        <v/>
      </c>
      <c r="BA55" s="95"/>
      <c r="BB55" s="95" t="str">
        <f t="shared" si="1"/>
        <v/>
      </c>
      <c r="BD55" s="319">
        <f>OBJ!B261</f>
        <v>9318179</v>
      </c>
      <c r="BE55" s="21" t="str">
        <f>VLOOKUP(BD55,CENY!$B$11:$G$1054,2,FALSE)</f>
        <v>Actro You(L) 500/SiSy 40kg; EB21; ľavý</v>
      </c>
      <c r="BF55" s="22">
        <f>VLOOKUP(BD55,CENY!$B$11:$G$1054,3,FALSE)</f>
        <v>10</v>
      </c>
      <c r="BG55" s="22"/>
      <c r="BH55" s="23">
        <f>AY33</f>
        <v>0</v>
      </c>
      <c r="BI55" s="326">
        <f t="shared" si="2"/>
        <v>0</v>
      </c>
      <c r="BJ55" s="95">
        <f>VLOOKUP(BD55,CENY!$B$11:$M$2025,12,FALSE)</f>
        <v>13.931559999999999</v>
      </c>
      <c r="BK55" s="95">
        <f t="shared" si="3"/>
        <v>0</v>
      </c>
    </row>
    <row r="56" spans="47:63" ht="14.45" customHeight="1">
      <c r="AU56" s="319"/>
      <c r="AV56" s="21"/>
      <c r="AW56" s="22"/>
      <c r="AX56" s="22"/>
      <c r="AY56" s="23"/>
      <c r="AZ56" s="326" t="str">
        <f t="shared" si="0"/>
        <v/>
      </c>
      <c r="BA56" s="95"/>
      <c r="BB56" s="95" t="str">
        <f t="shared" si="1"/>
        <v/>
      </c>
      <c r="BD56" s="319">
        <f>OBJ!B262</f>
        <v>9318180</v>
      </c>
      <c r="BE56" s="21" t="str">
        <f>VLOOKUP(BD56,CENY!$B$11:$G$1054,2,FALSE)</f>
        <v>Actro You(L) 500/SiSy 40kg; EB21; pravý</v>
      </c>
      <c r="BF56" s="22">
        <f>VLOOKUP(BD56,CENY!$B$11:$G$1054,3,FALSE)</f>
        <v>10</v>
      </c>
      <c r="BG56" s="22"/>
      <c r="BH56" s="23">
        <f>AY33</f>
        <v>0</v>
      </c>
      <c r="BI56" s="326">
        <f t="shared" si="2"/>
        <v>0</v>
      </c>
      <c r="BJ56" s="95">
        <f>VLOOKUP(BD56,CENY!$B$11:$M$2025,12,FALSE)</f>
        <v>13.931559999999999</v>
      </c>
      <c r="BK56" s="95">
        <f t="shared" si="3"/>
        <v>0</v>
      </c>
    </row>
    <row r="57" spans="47:63" ht="14.45" customHeight="1">
      <c r="AU57" s="319"/>
      <c r="AV57" s="21"/>
      <c r="AW57" s="22"/>
      <c r="AX57" s="22"/>
      <c r="AY57" s="23"/>
      <c r="AZ57" s="326" t="str">
        <f t="shared" si="0"/>
        <v/>
      </c>
      <c r="BA57" s="95"/>
      <c r="BB57" s="95" t="str">
        <f t="shared" si="1"/>
        <v/>
      </c>
      <c r="BD57" s="319">
        <f>OBJ!B263</f>
        <v>9318181</v>
      </c>
      <c r="BE57" s="21" t="str">
        <f>VLOOKUP(BD57,CENY!$B$11:$G$1054,2,FALSE)</f>
        <v>Actro You(L) 550/SiSy 40kg; EB21; ľavý</v>
      </c>
      <c r="BF57" s="22">
        <f>VLOOKUP(BD57,CENY!$B$11:$G$1054,3,FALSE)</f>
        <v>10</v>
      </c>
      <c r="BG57" s="22"/>
      <c r="BH57" s="23">
        <f>AY34</f>
        <v>0</v>
      </c>
      <c r="BI57" s="326">
        <f t="shared" si="2"/>
        <v>0</v>
      </c>
      <c r="BJ57" s="95">
        <f>VLOOKUP(BD57,CENY!$B$11:$M$2025,12,FALSE)</f>
        <v>15.147040000000001</v>
      </c>
      <c r="BK57" s="95">
        <f t="shared" si="3"/>
        <v>0</v>
      </c>
    </row>
    <row r="58" spans="47:63" ht="14.45" customHeight="1">
      <c r="AU58" s="319"/>
      <c r="AV58" s="21"/>
      <c r="AW58" s="22"/>
      <c r="AX58" s="22"/>
      <c r="AY58" s="23"/>
      <c r="AZ58" s="326" t="str">
        <f t="shared" si="0"/>
        <v/>
      </c>
      <c r="BA58" s="95"/>
      <c r="BB58" s="95" t="str">
        <f t="shared" si="1"/>
        <v/>
      </c>
      <c r="BD58" s="319">
        <f>OBJ!B264</f>
        <v>9318182</v>
      </c>
      <c r="BE58" s="21" t="str">
        <f>VLOOKUP(BD58,CENY!$B$11:$G$1054,2,FALSE)</f>
        <v>Actro You(L) 550/SiSy 40kg; EB21; pravý</v>
      </c>
      <c r="BF58" s="22">
        <f>VLOOKUP(BD58,CENY!$B$11:$G$1054,3,FALSE)</f>
        <v>10</v>
      </c>
      <c r="BG58" s="22"/>
      <c r="BH58" s="23">
        <f>AY34</f>
        <v>0</v>
      </c>
      <c r="BI58" s="326">
        <f t="shared" si="2"/>
        <v>0</v>
      </c>
      <c r="BJ58" s="95">
        <f>VLOOKUP(BD58,CENY!$B$11:$M$2025,12,FALSE)</f>
        <v>15.147040000000001</v>
      </c>
      <c r="BK58" s="95">
        <f t="shared" si="3"/>
        <v>0</v>
      </c>
    </row>
    <row r="59" spans="47:63" ht="14.45" customHeight="1">
      <c r="AU59" s="319"/>
      <c r="AV59" s="21"/>
      <c r="AW59" s="22"/>
      <c r="AX59" s="22"/>
      <c r="AY59" s="23"/>
      <c r="AZ59" s="326" t="str">
        <f t="shared" si="0"/>
        <v/>
      </c>
      <c r="BA59" s="95"/>
      <c r="BB59" s="95" t="str">
        <f t="shared" si="1"/>
        <v/>
      </c>
      <c r="BD59" s="319">
        <f>OBJ!B265</f>
        <v>9318183</v>
      </c>
      <c r="BE59" s="21" t="str">
        <f>VLOOKUP(BD59,CENY!$B$11:$G$1054,2,FALSE)</f>
        <v>Actro You(L) 600/SiSy 40kg; EB21; ľavý</v>
      </c>
      <c r="BF59" s="22">
        <f>VLOOKUP(BD59,CENY!$B$11:$G$1054,3,FALSE)</f>
        <v>10</v>
      </c>
      <c r="BG59" s="22"/>
      <c r="BH59" s="23">
        <f>AY35</f>
        <v>0</v>
      </c>
      <c r="BI59" s="326">
        <f>IF(BH59="","",IF($AW$4=0,BH59,0))</f>
        <v>0</v>
      </c>
      <c r="BJ59" s="95">
        <f>VLOOKUP(BD59,CENY!$B$11:$M$2025,12,FALSE)</f>
        <v>15.35308</v>
      </c>
      <c r="BK59" s="95">
        <f>IF(BJ59="","",BJ59*BH59)</f>
        <v>0</v>
      </c>
    </row>
    <row r="60" spans="47:63" ht="14.45" customHeight="1">
      <c r="AU60" s="319"/>
      <c r="AV60" s="21"/>
      <c r="AW60" s="22"/>
      <c r="AX60" s="22"/>
      <c r="AY60" s="23"/>
      <c r="AZ60" s="326" t="str">
        <f t="shared" si="0"/>
        <v/>
      </c>
      <c r="BA60" s="95"/>
      <c r="BB60" s="95" t="str">
        <f t="shared" si="1"/>
        <v/>
      </c>
      <c r="BD60" s="319">
        <f>OBJ!B266</f>
        <v>9318184</v>
      </c>
      <c r="BE60" s="21" t="str">
        <f>VLOOKUP(BD60,CENY!$B$11:$G$1054,2,FALSE)</f>
        <v>Actro You(L) 600/SiSy 40kg; EB21; pravý</v>
      </c>
      <c r="BF60" s="22">
        <f>VLOOKUP(BD60,CENY!$B$11:$G$1054,3,FALSE)</f>
        <v>10</v>
      </c>
      <c r="BG60" s="22"/>
      <c r="BH60" s="23">
        <f>AY35</f>
        <v>0</v>
      </c>
      <c r="BI60" s="326">
        <f>IF(BH60="","",IF($AW$4=0,BH60,0))</f>
        <v>0</v>
      </c>
      <c r="BJ60" s="95" t="e">
        <f>VLOOKUP(BD60,CENY!$B$11:$M$2025,12,FALSE)</f>
        <v>#N/A</v>
      </c>
      <c r="BK60" s="95" t="e">
        <f>IF(BJ60="","",BJ60*BH60)</f>
        <v>#N/A</v>
      </c>
    </row>
    <row r="61" spans="47:63" ht="14.45" customHeight="1">
      <c r="AU61" s="20"/>
      <c r="AV61" s="21"/>
      <c r="AW61" s="22"/>
      <c r="AX61" s="22"/>
      <c r="AY61" s="23"/>
      <c r="AZ61" s="326" t="str">
        <f t="shared" si="0"/>
        <v/>
      </c>
      <c r="BA61" s="95"/>
      <c r="BB61" s="95" t="str">
        <f t="shared" ref="BB61:BB96" si="6">IF(BA61="","",BA61*AY61)</f>
        <v/>
      </c>
      <c r="BD61" s="319"/>
      <c r="BE61" s="21"/>
      <c r="BF61" s="22"/>
      <c r="BG61" s="22"/>
      <c r="BH61" s="23"/>
      <c r="BI61" s="326" t="str">
        <f t="shared" si="2"/>
        <v/>
      </c>
      <c r="BJ61" s="95"/>
      <c r="BK61" s="95" t="str">
        <f t="shared" si="3"/>
        <v/>
      </c>
    </row>
    <row r="62" spans="47:63" ht="14.45" customHeight="1">
      <c r="AU62" s="20"/>
      <c r="AV62" s="21"/>
      <c r="AW62" s="22"/>
      <c r="AX62" s="22"/>
      <c r="AY62" s="23"/>
      <c r="AZ62" s="326" t="str">
        <f t="shared" ref="AZ62:AZ96" si="7">IF(AY62="","",IF($AW$4=1,AY62,0))</f>
        <v/>
      </c>
      <c r="BA62" s="95"/>
      <c r="BB62" s="95" t="str">
        <f t="shared" si="6"/>
        <v/>
      </c>
      <c r="BD62" s="319">
        <f>OBJ!B273</f>
        <v>9318198</v>
      </c>
      <c r="BE62" s="21" t="str">
        <f>VLOOKUP(BD62,CENY!$B$11:$G$1054,2,FALSE)</f>
        <v>Actro You(XL) 450/SiSy 70kg; EB21; ľavý</v>
      </c>
      <c r="BF62" s="22">
        <f>VLOOKUP(BD62,CENY!$B$11:$G$1054,3,FALSE)</f>
        <v>10</v>
      </c>
      <c r="BG62" s="22"/>
      <c r="BH62" s="23">
        <f>AY37</f>
        <v>0</v>
      </c>
      <c r="BI62" s="326">
        <f t="shared" si="2"/>
        <v>0</v>
      </c>
      <c r="BJ62" s="95" t="e">
        <f>VLOOKUP(BD62,CENY!$B$11:$M$2025,12,FALSE)</f>
        <v>#N/A</v>
      </c>
      <c r="BK62" s="95" t="e">
        <f t="shared" si="3"/>
        <v>#N/A</v>
      </c>
    </row>
    <row r="63" spans="47:63" ht="14.45" customHeight="1">
      <c r="AU63" s="20"/>
      <c r="AV63" s="21"/>
      <c r="AW63" s="22"/>
      <c r="AX63" s="22"/>
      <c r="AY63" s="23"/>
      <c r="AZ63" s="326" t="str">
        <f t="shared" si="7"/>
        <v/>
      </c>
      <c r="BA63" s="95"/>
      <c r="BB63" s="95" t="str">
        <f t="shared" si="6"/>
        <v/>
      </c>
      <c r="BD63" s="319">
        <f>OBJ!B274</f>
        <v>9318199</v>
      </c>
      <c r="BE63" s="21" t="str">
        <f>VLOOKUP(BD63,CENY!$B$11:$G$1054,2,FALSE)</f>
        <v>Actro You(XL) 450/SiSy 70kg; EB21; pravý</v>
      </c>
      <c r="BF63" s="22">
        <f>VLOOKUP(BD63,CENY!$B$11:$G$1054,3,FALSE)</f>
        <v>10</v>
      </c>
      <c r="BG63" s="22"/>
      <c r="BH63" s="23">
        <f>AY37</f>
        <v>0</v>
      </c>
      <c r="BI63" s="326">
        <f t="shared" si="2"/>
        <v>0</v>
      </c>
      <c r="BJ63" s="95" t="e">
        <f>VLOOKUP(BD63,CENY!$B$11:$M$2025,12,FALSE)</f>
        <v>#N/A</v>
      </c>
      <c r="BK63" s="95" t="e">
        <f t="shared" si="3"/>
        <v>#N/A</v>
      </c>
    </row>
    <row r="64" spans="47:63" ht="14.45" customHeight="1">
      <c r="AU64" s="20"/>
      <c r="AV64" s="21"/>
      <c r="AW64" s="22"/>
      <c r="AX64" s="22"/>
      <c r="AY64" s="23"/>
      <c r="AZ64" s="326" t="str">
        <f t="shared" si="7"/>
        <v/>
      </c>
      <c r="BA64" s="95"/>
      <c r="BB64" s="95" t="str">
        <f t="shared" si="6"/>
        <v/>
      </c>
      <c r="BD64" s="319">
        <f>OBJ!B275</f>
        <v>9318201</v>
      </c>
      <c r="BE64" s="21" t="str">
        <f>VLOOKUP(BD64,CENY!$B$11:$G$1054,2,FALSE)</f>
        <v>Actro You(XL) 500/SiSy 70kg; EB21; ľavý</v>
      </c>
      <c r="BF64" s="22">
        <f>VLOOKUP(BD64,CENY!$B$11:$G$1054,3,FALSE)</f>
        <v>10</v>
      </c>
      <c r="BG64" s="22"/>
      <c r="BH64" s="23">
        <f>AY38</f>
        <v>0</v>
      </c>
      <c r="BI64" s="326">
        <f t="shared" si="2"/>
        <v>0</v>
      </c>
      <c r="BJ64" s="95">
        <f>VLOOKUP(BD64,CENY!$B$11:$M$2025,12,FALSE)</f>
        <v>17.52394</v>
      </c>
      <c r="BK64" s="95">
        <f t="shared" si="3"/>
        <v>0</v>
      </c>
    </row>
    <row r="65" spans="47:63" ht="14.45" customHeight="1">
      <c r="AU65" s="20"/>
      <c r="AV65" s="21"/>
      <c r="AW65" s="22"/>
      <c r="AX65" s="22"/>
      <c r="AY65" s="23"/>
      <c r="AZ65" s="326" t="str">
        <f t="shared" si="7"/>
        <v/>
      </c>
      <c r="BA65" s="95"/>
      <c r="BB65" s="95" t="str">
        <f t="shared" si="6"/>
        <v/>
      </c>
      <c r="BD65" s="319">
        <f>OBJ!B276</f>
        <v>9318203</v>
      </c>
      <c r="BE65" s="21" t="str">
        <f>VLOOKUP(BD65,CENY!$B$11:$G$1054,2,FALSE)</f>
        <v>Actro You(XL) 500/SiSy 70kg; EB21; pravý</v>
      </c>
      <c r="BF65" s="22">
        <f>VLOOKUP(BD65,CENY!$B$11:$G$1054,3,FALSE)</f>
        <v>10</v>
      </c>
      <c r="BG65" s="22"/>
      <c r="BH65" s="23">
        <f>AY38</f>
        <v>0</v>
      </c>
      <c r="BI65" s="326">
        <f t="shared" si="2"/>
        <v>0</v>
      </c>
      <c r="BJ65" s="95">
        <f>VLOOKUP(BD65,CENY!$B$11:$M$2025,12,FALSE)</f>
        <v>17.52394</v>
      </c>
      <c r="BK65" s="95">
        <f t="shared" si="3"/>
        <v>0</v>
      </c>
    </row>
    <row r="66" spans="47:63" ht="14.45" customHeight="1">
      <c r="AU66" s="20"/>
      <c r="AV66" s="21"/>
      <c r="AW66" s="22"/>
      <c r="AX66" s="22"/>
      <c r="AY66" s="23"/>
      <c r="AZ66" s="326" t="str">
        <f t="shared" si="7"/>
        <v/>
      </c>
      <c r="BA66" s="95"/>
      <c r="BB66" s="95" t="str">
        <f t="shared" si="6"/>
        <v/>
      </c>
      <c r="BD66" s="319">
        <f>OBJ!B277</f>
        <v>9318208</v>
      </c>
      <c r="BE66" s="21" t="str">
        <f>VLOOKUP(BD66,CENY!$B$11:$G$1054,2,FALSE)</f>
        <v>Actro You(XL) 550/SiSy 70kg; EB21; ľavý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>
        <f>VLOOKUP(BD66,CENY!$B$11:$M$2025,12,FALSE)</f>
        <v>18.45496</v>
      </c>
      <c r="BK66" s="95">
        <f t="shared" si="3"/>
        <v>0</v>
      </c>
    </row>
    <row r="67" spans="47:63" ht="14.45" customHeight="1">
      <c r="AU67" s="20"/>
      <c r="AV67" s="21"/>
      <c r="AW67" s="22"/>
      <c r="AX67" s="22"/>
      <c r="AY67" s="23"/>
      <c r="AZ67" s="326" t="str">
        <f t="shared" si="7"/>
        <v/>
      </c>
      <c r="BA67" s="95"/>
      <c r="BB67" s="95" t="str">
        <f t="shared" si="6"/>
        <v/>
      </c>
      <c r="BD67" s="319">
        <f>OBJ!B278</f>
        <v>9318209</v>
      </c>
      <c r="BE67" s="21" t="str">
        <f>VLOOKUP(BD67,CENY!$B$11:$G$1054,2,FALSE)</f>
        <v>Actro You(XL) 550/SiSy 70kg; EB21; pravý</v>
      </c>
      <c r="BF67" s="22">
        <f>VLOOKUP(BD67,CENY!$B$11:$G$1054,3,FALSE)</f>
        <v>10</v>
      </c>
      <c r="BG67" s="22"/>
      <c r="BH67" s="23">
        <f>AY39</f>
        <v>0</v>
      </c>
      <c r="BI67" s="326">
        <f t="shared" si="2"/>
        <v>0</v>
      </c>
      <c r="BJ67" s="95">
        <f>VLOOKUP(BD67,CENY!$B$11:$M$2025,12,FALSE)</f>
        <v>18.45496</v>
      </c>
      <c r="BK67" s="95">
        <f t="shared" si="3"/>
        <v>0</v>
      </c>
    </row>
    <row r="68" spans="47:63" ht="14.45" customHeight="1">
      <c r="AU68" s="20"/>
      <c r="AV68" s="21"/>
      <c r="AW68" s="22"/>
      <c r="AX68" s="22"/>
      <c r="AY68" s="23"/>
      <c r="AZ68" s="326" t="str">
        <f t="shared" si="7"/>
        <v/>
      </c>
      <c r="BA68" s="95"/>
      <c r="BB68" s="95" t="str">
        <f t="shared" si="6"/>
        <v/>
      </c>
      <c r="BD68" s="319">
        <f>OBJ!B279</f>
        <v>9318211</v>
      </c>
      <c r="BE68" s="21" t="str">
        <f>VLOOKUP(BD68,CENY!$B$11:$G$1054,2,FALSE)</f>
        <v>Actro You(XL) 600/SiSy 70kg; EB21; ľavý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21.352720000000001</v>
      </c>
      <c r="BK68" s="95">
        <f t="shared" si="3"/>
        <v>0</v>
      </c>
    </row>
    <row r="69" spans="47:63" ht="14.45" customHeight="1">
      <c r="AU69" s="20"/>
      <c r="AV69" s="21"/>
      <c r="AW69" s="22"/>
      <c r="AX69" s="22"/>
      <c r="AY69" s="23"/>
      <c r="AZ69" s="326" t="str">
        <f t="shared" si="7"/>
        <v/>
      </c>
      <c r="BA69" s="95"/>
      <c r="BB69" s="95" t="str">
        <f t="shared" si="6"/>
        <v/>
      </c>
      <c r="BD69" s="319">
        <f>OBJ!B280</f>
        <v>9318212</v>
      </c>
      <c r="BE69" s="21" t="str">
        <f>VLOOKUP(BD69,CENY!$B$11:$G$1054,2,FALSE)</f>
        <v>Actro You(XL) 600/SiSy 70kg; EB21; pravý</v>
      </c>
      <c r="BF69" s="22">
        <f>VLOOKUP(BD69,CENY!$B$11:$G$1054,3,FALSE)</f>
        <v>10</v>
      </c>
      <c r="BG69" s="22"/>
      <c r="BH69" s="23">
        <f>AY40</f>
        <v>0</v>
      </c>
      <c r="BI69" s="326">
        <f t="shared" si="2"/>
        <v>0</v>
      </c>
      <c r="BJ69" s="95">
        <f>VLOOKUP(BD69,CENY!$B$11:$M$2025,12,FALSE)</f>
        <v>21.352720000000001</v>
      </c>
      <c r="BK69" s="95">
        <f t="shared" si="3"/>
        <v>0</v>
      </c>
    </row>
    <row r="70" spans="47:63" ht="14.45" customHeight="1">
      <c r="AU70" s="20"/>
      <c r="AV70" s="21"/>
      <c r="AW70" s="22"/>
      <c r="AX70" s="22"/>
      <c r="AY70" s="23"/>
      <c r="AZ70" s="326" t="str">
        <f t="shared" si="7"/>
        <v/>
      </c>
      <c r="BA70" s="95"/>
      <c r="BB70" s="95" t="str">
        <f t="shared" si="6"/>
        <v/>
      </c>
      <c r="BD70" s="319"/>
      <c r="BE70" s="21"/>
      <c r="BF70" s="22"/>
      <c r="BG70" s="22"/>
      <c r="BH70" s="23"/>
      <c r="BI70" s="326" t="str">
        <f t="shared" ref="BI70:BI96" si="8">IF(BH70="","",IF($AW$4=0,BH70,0))</f>
        <v/>
      </c>
      <c r="BJ70" s="95"/>
      <c r="BK70" s="95" t="str">
        <f t="shared" ref="BK70:BK96" si="9">IF(BJ70="","",BJ70*BH70)</f>
        <v/>
      </c>
    </row>
    <row r="71" spans="47:63" ht="14.45" customHeight="1">
      <c r="AU71" s="20"/>
      <c r="AV71" s="21"/>
      <c r="AW71" s="22"/>
      <c r="AX71" s="22"/>
      <c r="AY71" s="23"/>
      <c r="AZ71" s="326" t="str">
        <f t="shared" si="7"/>
        <v/>
      </c>
      <c r="BA71" s="95"/>
      <c r="BB71" s="95" t="str">
        <f t="shared" si="6"/>
        <v/>
      </c>
      <c r="BD71" s="319">
        <f>OBJ!B314</f>
        <v>9256856</v>
      </c>
      <c r="BE71" s="21" t="str">
        <f>VLOOKUP(BD71,CENY!$B$11:$G$1054,2,FALSE)</f>
        <v>Quadro You(M) 300/SiSy 20kg; EB21; ľavý</v>
      </c>
      <c r="BF71" s="22">
        <f>VLOOKUP(BD71,CENY!$B$11:$G$1054,3,FALSE)</f>
        <v>20</v>
      </c>
      <c r="BG71" s="22"/>
      <c r="BH71" s="23">
        <f>AY42</f>
        <v>0</v>
      </c>
      <c r="BI71" s="326">
        <f t="shared" si="8"/>
        <v>0</v>
      </c>
      <c r="BJ71" s="95">
        <f>VLOOKUP(BD71,CENY!$B$11:$M$2025,12,FALSE)</f>
        <v>10.787739999999999</v>
      </c>
      <c r="BK71" s="95">
        <f t="shared" si="9"/>
        <v>0</v>
      </c>
    </row>
    <row r="72" spans="47:63" ht="14.45" customHeight="1">
      <c r="AU72" s="20"/>
      <c r="AV72" s="21"/>
      <c r="AW72" s="22"/>
      <c r="AX72" s="22"/>
      <c r="AY72" s="23"/>
      <c r="AZ72" s="326" t="str">
        <f t="shared" si="7"/>
        <v/>
      </c>
      <c r="BA72" s="95"/>
      <c r="BB72" s="95" t="str">
        <f t="shared" si="6"/>
        <v/>
      </c>
      <c r="BD72" s="319">
        <f>OBJ!B315</f>
        <v>9256857</v>
      </c>
      <c r="BE72" s="21" t="str">
        <f>VLOOKUP(BD72,CENY!$B$11:$G$1054,2,FALSE)</f>
        <v>Quadro You(M) 300/SiSy 20kg; EB21; pravý</v>
      </c>
      <c r="BF72" s="22">
        <f>VLOOKUP(BD72,CENY!$B$11:$G$1054,3,FALSE)</f>
        <v>20</v>
      </c>
      <c r="BG72" s="22"/>
      <c r="BH72" s="23">
        <f>AY42</f>
        <v>0</v>
      </c>
      <c r="BI72" s="326">
        <f t="shared" si="8"/>
        <v>0</v>
      </c>
      <c r="BJ72" s="95">
        <f>VLOOKUP(BD72,CENY!$B$11:$M$2025,12,FALSE)</f>
        <v>10.787739999999999</v>
      </c>
      <c r="BK72" s="95">
        <f t="shared" si="9"/>
        <v>0</v>
      </c>
    </row>
    <row r="73" spans="47:63" ht="14.45" customHeight="1">
      <c r="AU73" s="20"/>
      <c r="AV73" s="21"/>
      <c r="AW73" s="22"/>
      <c r="AX73" s="22"/>
      <c r="AY73" s="23"/>
      <c r="AZ73" s="326" t="str">
        <f t="shared" si="7"/>
        <v/>
      </c>
      <c r="BA73" s="95"/>
      <c r="BB73" s="95" t="str">
        <f t="shared" si="6"/>
        <v/>
      </c>
      <c r="BD73" s="319">
        <f>OBJ!B316</f>
        <v>9256860</v>
      </c>
      <c r="BE73" s="21" t="str">
        <f>VLOOKUP(BD73,CENY!$B$11:$G$1054,2,FALSE)</f>
        <v>Quadro You(M) 350/SiSy 25kg; EB21; ľavý</v>
      </c>
      <c r="BF73" s="22">
        <f>VLOOKUP(BD73,CENY!$B$11:$G$1054,3,FALSE)</f>
        <v>20</v>
      </c>
      <c r="BG73" s="22"/>
      <c r="BH73" s="23">
        <f>AY43</f>
        <v>0</v>
      </c>
      <c r="BI73" s="326">
        <f t="shared" si="8"/>
        <v>0</v>
      </c>
      <c r="BJ73" s="95">
        <f>VLOOKUP(BD73,CENY!$B$11:$M$2025,12,FALSE)</f>
        <v>11.02122</v>
      </c>
      <c r="BK73" s="95">
        <f t="shared" si="9"/>
        <v>0</v>
      </c>
    </row>
    <row r="74" spans="47:63" ht="14.45" customHeight="1">
      <c r="AU74" s="20"/>
      <c r="AV74" s="21"/>
      <c r="AW74" s="22"/>
      <c r="AX74" s="22"/>
      <c r="AY74" s="23"/>
      <c r="AZ74" s="326" t="str">
        <f t="shared" si="7"/>
        <v/>
      </c>
      <c r="BA74" s="95"/>
      <c r="BB74" s="95" t="str">
        <f t="shared" si="6"/>
        <v/>
      </c>
      <c r="BD74" s="319">
        <f>OBJ!B317</f>
        <v>9256861</v>
      </c>
      <c r="BE74" s="21" t="str">
        <f>VLOOKUP(BD74,CENY!$B$11:$G$1054,2,FALSE)</f>
        <v>Quadro You(M) 350/SiSy 25kg; EB21; pravý</v>
      </c>
      <c r="BF74" s="22">
        <f>VLOOKUP(BD74,CENY!$B$11:$G$1054,3,FALSE)</f>
        <v>20</v>
      </c>
      <c r="BG74" s="22"/>
      <c r="BH74" s="23">
        <f>AY43</f>
        <v>0</v>
      </c>
      <c r="BI74" s="326">
        <f t="shared" si="8"/>
        <v>0</v>
      </c>
      <c r="BJ74" s="95">
        <f>VLOOKUP(BD74,CENY!$B$11:$M$2025,12,FALSE)</f>
        <v>11.02122</v>
      </c>
      <c r="BK74" s="95">
        <f t="shared" si="9"/>
        <v>0</v>
      </c>
    </row>
    <row r="75" spans="47:63" ht="14.45" customHeight="1">
      <c r="AU75" s="20"/>
      <c r="AV75" s="21"/>
      <c r="AW75" s="22"/>
      <c r="AX75" s="22"/>
      <c r="AY75" s="23"/>
      <c r="AZ75" s="326" t="str">
        <f t="shared" si="7"/>
        <v/>
      </c>
      <c r="BA75" s="95"/>
      <c r="BB75" s="95" t="str">
        <f t="shared" si="6"/>
        <v/>
      </c>
      <c r="BD75" s="319">
        <f>OBJ!B318</f>
        <v>9256864</v>
      </c>
      <c r="BE75" s="21" t="str">
        <f>VLOOKUP(BD75,CENY!$B$11:$G$1054,2,FALSE)</f>
        <v>Quadro You(M) 400/SiSy 30kg; EB21; ľavý</v>
      </c>
      <c r="BF75" s="22">
        <f>VLOOKUP(BD75,CENY!$B$11:$G$1054,3,FALSE)</f>
        <v>20</v>
      </c>
      <c r="BG75" s="22"/>
      <c r="BH75" s="23">
        <f>AY44</f>
        <v>0</v>
      </c>
      <c r="BI75" s="326">
        <f t="shared" si="8"/>
        <v>0</v>
      </c>
      <c r="BJ75" s="95">
        <f>VLOOKUP(BD75,CENY!$B$11:$M$2025,12,FALSE)</f>
        <v>11.25459</v>
      </c>
      <c r="BK75" s="95">
        <f t="shared" si="9"/>
        <v>0</v>
      </c>
    </row>
    <row r="76" spans="47:63" ht="14.45" customHeight="1">
      <c r="AU76" s="20"/>
      <c r="AV76" s="21"/>
      <c r="AW76" s="22"/>
      <c r="AX76" s="22"/>
      <c r="AY76" s="23"/>
      <c r="AZ76" s="326" t="str">
        <f t="shared" si="7"/>
        <v/>
      </c>
      <c r="BA76" s="95"/>
      <c r="BB76" s="95" t="str">
        <f t="shared" si="6"/>
        <v/>
      </c>
      <c r="BD76" s="319">
        <f>OBJ!B319</f>
        <v>9256865</v>
      </c>
      <c r="BE76" s="21" t="str">
        <f>VLOOKUP(BD76,CENY!$B$11:$G$1054,2,FALSE)</f>
        <v>Quadro You(M) 400/SiSy 30kg; EB21; pravý</v>
      </c>
      <c r="BF76" s="22">
        <f>VLOOKUP(BD76,CENY!$B$11:$G$1054,3,FALSE)</f>
        <v>20</v>
      </c>
      <c r="BG76" s="22"/>
      <c r="BH76" s="23">
        <f>AY44</f>
        <v>0</v>
      </c>
      <c r="BI76" s="326">
        <f t="shared" si="8"/>
        <v>0</v>
      </c>
      <c r="BJ76" s="95">
        <f>VLOOKUP(BD76,CENY!$B$11:$M$2025,12,FALSE)</f>
        <v>11.25459</v>
      </c>
      <c r="BK76" s="95">
        <f t="shared" si="9"/>
        <v>0</v>
      </c>
    </row>
    <row r="77" spans="47:63" ht="14.45" customHeight="1">
      <c r="AU77" s="20"/>
      <c r="AV77" s="21"/>
      <c r="AW77" s="22"/>
      <c r="AX77" s="22"/>
      <c r="AY77" s="23"/>
      <c r="AZ77" s="326" t="str">
        <f t="shared" si="7"/>
        <v/>
      </c>
      <c r="BA77" s="95"/>
      <c r="BB77" s="95" t="str">
        <f t="shared" si="6"/>
        <v/>
      </c>
      <c r="BD77" s="319">
        <f>OBJ!B320</f>
        <v>9256868</v>
      </c>
      <c r="BE77" s="21" t="str">
        <f>VLOOKUP(BD77,CENY!$B$11:$G$1054,2,FALSE)</f>
        <v>Quadro You(M) 450/SiSy 30kg; EB21; ľavý</v>
      </c>
      <c r="BF77" s="22">
        <f>VLOOKUP(BD77,CENY!$B$11:$G$1054,3,FALSE)</f>
        <v>20</v>
      </c>
      <c r="BG77" s="22"/>
      <c r="BH77" s="23">
        <f>AY45</f>
        <v>0</v>
      </c>
      <c r="BI77" s="326">
        <f t="shared" si="8"/>
        <v>0</v>
      </c>
      <c r="BJ77" s="95">
        <f>VLOOKUP(BD77,CENY!$B$11:$M$2025,12,FALSE)</f>
        <v>11.487740000000001</v>
      </c>
      <c r="BK77" s="95">
        <f t="shared" si="9"/>
        <v>0</v>
      </c>
    </row>
    <row r="78" spans="47:63" ht="14.45" customHeight="1">
      <c r="AU78" s="20"/>
      <c r="AV78" s="21"/>
      <c r="AW78" s="22"/>
      <c r="AX78" s="22"/>
      <c r="AY78" s="23"/>
      <c r="AZ78" s="326" t="str">
        <f t="shared" si="7"/>
        <v/>
      </c>
      <c r="BA78" s="95"/>
      <c r="BB78" s="95" t="str">
        <f t="shared" si="6"/>
        <v/>
      </c>
      <c r="BD78" s="319">
        <f>OBJ!B321</f>
        <v>9256869</v>
      </c>
      <c r="BE78" s="21" t="str">
        <f>VLOOKUP(BD78,CENY!$B$11:$G$1054,2,FALSE)</f>
        <v>Quadro You(M) 450/SiSy 30kg; EB21; pravý</v>
      </c>
      <c r="BF78" s="22">
        <f>VLOOKUP(BD78,CENY!$B$11:$G$1054,3,FALSE)</f>
        <v>20</v>
      </c>
      <c r="BG78" s="22"/>
      <c r="BH78" s="23">
        <f>AY45</f>
        <v>0</v>
      </c>
      <c r="BI78" s="326">
        <f t="shared" si="8"/>
        <v>0</v>
      </c>
      <c r="BJ78" s="95">
        <f>VLOOKUP(BD78,CENY!$B$11:$M$2025,12,FALSE)</f>
        <v>11.487740000000001</v>
      </c>
      <c r="BK78" s="95">
        <f t="shared" si="9"/>
        <v>0</v>
      </c>
    </row>
    <row r="79" spans="47:63" ht="14.45" customHeight="1">
      <c r="AU79" s="20"/>
      <c r="AV79" s="21"/>
      <c r="AW79" s="22"/>
      <c r="AX79" s="22"/>
      <c r="AY79" s="23"/>
      <c r="AZ79" s="326" t="str">
        <f t="shared" si="7"/>
        <v/>
      </c>
      <c r="BA79" s="95"/>
      <c r="BB79" s="95" t="str">
        <f t="shared" si="6"/>
        <v/>
      </c>
      <c r="BD79" s="319">
        <f>OBJ!B322</f>
        <v>9256872</v>
      </c>
      <c r="BE79" s="21" t="str">
        <f>VLOOKUP(BD79,CENY!$B$11:$G$1054,2,FALSE)</f>
        <v>Quadro You(M) 500/SiSy 30kg; EB21; ľavý</v>
      </c>
      <c r="BF79" s="22">
        <f>VLOOKUP(BD79,CENY!$B$11:$G$1054,3,FALSE)</f>
        <v>20</v>
      </c>
      <c r="BG79" s="22"/>
      <c r="BH79" s="23">
        <f>AY46</f>
        <v>0</v>
      </c>
      <c r="BI79" s="326">
        <f t="shared" si="8"/>
        <v>0</v>
      </c>
      <c r="BJ79" s="95">
        <f>VLOOKUP(BD79,CENY!$B$11:$M$2025,12,FALSE)</f>
        <v>11.163180000000001</v>
      </c>
      <c r="BK79" s="95">
        <f t="shared" si="9"/>
        <v>0</v>
      </c>
    </row>
    <row r="80" spans="47:63" ht="14.45" customHeight="1">
      <c r="AU80" s="20"/>
      <c r="AV80" s="21"/>
      <c r="AW80" s="22"/>
      <c r="AX80" s="22"/>
      <c r="AY80" s="23"/>
      <c r="AZ80" s="326" t="str">
        <f t="shared" si="7"/>
        <v/>
      </c>
      <c r="BA80" s="95"/>
      <c r="BB80" s="95" t="str">
        <f t="shared" si="6"/>
        <v/>
      </c>
      <c r="BD80" s="319">
        <f>OBJ!B323</f>
        <v>9256873</v>
      </c>
      <c r="BE80" s="21" t="str">
        <f>VLOOKUP(BD80,CENY!$B$11:$G$1054,2,FALSE)</f>
        <v>Quadro You(M) 500/SiSy 30kg; EB21; pravý</v>
      </c>
      <c r="BF80" s="22">
        <f>VLOOKUP(BD80,CENY!$B$11:$G$1054,3,FALSE)</f>
        <v>20</v>
      </c>
      <c r="BG80" s="22"/>
      <c r="BH80" s="23">
        <f>AY46</f>
        <v>0</v>
      </c>
      <c r="BI80" s="326">
        <f t="shared" si="8"/>
        <v>0</v>
      </c>
      <c r="BJ80" s="95">
        <f>VLOOKUP(BD80,CENY!$B$11:$M$2025,12,FALSE)</f>
        <v>11.163180000000001</v>
      </c>
      <c r="BK80" s="95">
        <f t="shared" si="9"/>
        <v>0</v>
      </c>
    </row>
    <row r="81" spans="47:63" ht="14.45" customHeight="1">
      <c r="AU81" s="20"/>
      <c r="AV81" s="21"/>
      <c r="AW81" s="22"/>
      <c r="AX81" s="22"/>
      <c r="AY81" s="23"/>
      <c r="AZ81" s="326" t="str">
        <f t="shared" si="7"/>
        <v/>
      </c>
      <c r="BA81" s="95"/>
      <c r="BB81" s="95" t="str">
        <f t="shared" si="6"/>
        <v/>
      </c>
      <c r="BD81" s="319">
        <f>OBJ!B324</f>
        <v>9256876</v>
      </c>
      <c r="BE81" s="21" t="str">
        <f>VLOOKUP(BD81,CENY!$B$11:$G$1054,2,FALSE)</f>
        <v>Quadro You(M) 550/SiSy 30kg; EB21; ľavý</v>
      </c>
      <c r="BF81" s="22">
        <f>VLOOKUP(BD81,CENY!$B$11:$G$1054,3,FALSE)</f>
        <v>20</v>
      </c>
      <c r="BG81" s="22"/>
      <c r="BH81" s="23">
        <f>AY47</f>
        <v>0</v>
      </c>
      <c r="BI81" s="326">
        <f t="shared" si="8"/>
        <v>0</v>
      </c>
      <c r="BJ81" s="95">
        <f>VLOOKUP(BD81,CENY!$B$11:$M$2025,12,FALSE)</f>
        <v>11.38542</v>
      </c>
      <c r="BK81" s="95">
        <f t="shared" si="9"/>
        <v>0</v>
      </c>
    </row>
    <row r="82" spans="47:63" ht="14.45" customHeight="1">
      <c r="AU82" s="20"/>
      <c r="AV82" s="21"/>
      <c r="AW82" s="22"/>
      <c r="AX82" s="22"/>
      <c r="AY82" s="23"/>
      <c r="AZ82" s="326" t="str">
        <f t="shared" si="7"/>
        <v/>
      </c>
      <c r="BA82" s="95"/>
      <c r="BB82" s="95" t="str">
        <f t="shared" si="6"/>
        <v/>
      </c>
      <c r="BD82" s="319">
        <f>OBJ!B325</f>
        <v>9256877</v>
      </c>
      <c r="BE82" s="21" t="str">
        <f>VLOOKUP(BD82,CENY!$B$11:$G$1054,2,FALSE)</f>
        <v>Quadro You(M) 550/SiSy 30kg; EB21; pravý</v>
      </c>
      <c r="BF82" s="22">
        <f>VLOOKUP(BD82,CENY!$B$11:$G$1054,3,FALSE)</f>
        <v>20</v>
      </c>
      <c r="BG82" s="22"/>
      <c r="BH82" s="23">
        <f>AY47</f>
        <v>0</v>
      </c>
      <c r="BI82" s="326">
        <f t="shared" si="8"/>
        <v>0</v>
      </c>
      <c r="BJ82" s="95">
        <f>VLOOKUP(BD82,CENY!$B$11:$M$2025,12,FALSE)</f>
        <v>11.954689999999999</v>
      </c>
      <c r="BK82" s="95">
        <f t="shared" si="9"/>
        <v>0</v>
      </c>
    </row>
    <row r="83" spans="47:63" ht="14.45" customHeight="1">
      <c r="AU83" s="20"/>
      <c r="AV83" s="21"/>
      <c r="AW83" s="22"/>
      <c r="AX83" s="22"/>
      <c r="AY83" s="23"/>
      <c r="AZ83" s="326" t="str">
        <f t="shared" si="7"/>
        <v/>
      </c>
      <c r="BA83" s="95"/>
      <c r="BB83" s="95" t="str">
        <f t="shared" si="6"/>
        <v/>
      </c>
      <c r="BD83" s="319">
        <f>OBJ!B326</f>
        <v>9256880</v>
      </c>
      <c r="BE83" s="21" t="str">
        <f>VLOOKUP(BD83,CENY!$B$11:$G$1054,2,FALSE)</f>
        <v>Quadro You(M) 600/SiSy 25kg; EB21; ľavý</v>
      </c>
      <c r="BF83" s="22">
        <f>VLOOKUP(BD83,CENY!$B$11:$G$1054,3,FALSE)</f>
        <v>20</v>
      </c>
      <c r="BG83" s="22"/>
      <c r="BH83" s="23">
        <f>AY48</f>
        <v>0</v>
      </c>
      <c r="BI83" s="326">
        <f t="shared" si="8"/>
        <v>0</v>
      </c>
      <c r="BJ83" s="95">
        <f>VLOOKUP(BD83,CENY!$B$11:$M$2025,12,FALSE)</f>
        <v>12.187939999999999</v>
      </c>
      <c r="BK83" s="95">
        <f t="shared" si="9"/>
        <v>0</v>
      </c>
    </row>
    <row r="84" spans="47:63" ht="14.45" customHeight="1">
      <c r="AU84" s="20"/>
      <c r="AV84" s="21"/>
      <c r="AW84" s="22"/>
      <c r="AX84" s="22"/>
      <c r="AY84" s="23"/>
      <c r="AZ84" s="326" t="str">
        <f t="shared" si="7"/>
        <v/>
      </c>
      <c r="BA84" s="95"/>
      <c r="BB84" s="95" t="str">
        <f t="shared" si="6"/>
        <v/>
      </c>
      <c r="BD84" s="319">
        <f>OBJ!B327</f>
        <v>9256881</v>
      </c>
      <c r="BE84" s="21" t="str">
        <f>VLOOKUP(BD84,CENY!$B$11:$G$1054,2,FALSE)</f>
        <v>Quadro You(M) 600/SiSy 25kg; EB21; pravý</v>
      </c>
      <c r="BF84" s="22">
        <f>VLOOKUP(BD84,CENY!$B$11:$G$1054,3,FALSE)</f>
        <v>20</v>
      </c>
      <c r="BG84" s="22"/>
      <c r="BH84" s="23">
        <f>AY48</f>
        <v>0</v>
      </c>
      <c r="BI84" s="326">
        <f t="shared" si="8"/>
        <v>0</v>
      </c>
      <c r="BJ84" s="95">
        <f>VLOOKUP(BD84,CENY!$B$11:$M$2025,12,FALSE)</f>
        <v>12.187939999999999</v>
      </c>
      <c r="BK84" s="95">
        <f t="shared" si="9"/>
        <v>0</v>
      </c>
    </row>
    <row r="85" spans="47:63" ht="14.45" customHeight="1">
      <c r="AU85" s="20"/>
      <c r="AV85" s="21"/>
      <c r="AW85" s="22"/>
      <c r="AX85" s="22"/>
      <c r="AY85" s="23"/>
      <c r="AZ85" s="326" t="str">
        <f t="shared" si="7"/>
        <v/>
      </c>
      <c r="BA85" s="95"/>
      <c r="BB85" s="95" t="str">
        <f t="shared" si="6"/>
        <v/>
      </c>
      <c r="BD85" s="319"/>
      <c r="BE85" s="21"/>
      <c r="BF85" s="22"/>
      <c r="BG85" s="22"/>
      <c r="BH85" s="23"/>
      <c r="BI85" s="326" t="str">
        <f t="shared" si="8"/>
        <v/>
      </c>
      <c r="BJ85" s="95"/>
      <c r="BK85" s="95" t="str">
        <f t="shared" si="9"/>
        <v/>
      </c>
    </row>
    <row r="86" spans="47:63" ht="14.45" customHeight="1">
      <c r="AU86" s="20"/>
      <c r="AV86" s="21"/>
      <c r="AW86" s="22"/>
      <c r="AX86" s="22"/>
      <c r="AY86" s="23"/>
      <c r="AZ86" s="326" t="str">
        <f t="shared" si="7"/>
        <v/>
      </c>
      <c r="BA86" s="95"/>
      <c r="BB86" s="95" t="str">
        <f t="shared" si="6"/>
        <v/>
      </c>
      <c r="BD86" s="319">
        <f>OBJ!B214</f>
        <v>0</v>
      </c>
      <c r="BE86" s="21" t="e">
        <f>VLOOKUP(BD86,CENY!$B$11:$G$1054,2,FALSE)</f>
        <v>#N/A</v>
      </c>
      <c r="BF86" s="22" t="e">
        <f>VLOOKUP(BD86,CENY!$B$11:$G$1054,3,FALSE)</f>
        <v>#N/A</v>
      </c>
      <c r="BG86" s="22"/>
      <c r="BH86" s="23">
        <f>AY53</f>
        <v>0</v>
      </c>
      <c r="BI86" s="326">
        <f t="shared" si="8"/>
        <v>0</v>
      </c>
      <c r="BJ86" s="324" t="str">
        <f>IF(BD86=0,"",VLOOKUP(BD86,CENY!$B$11:$M$2025,12,FALSE))</f>
        <v/>
      </c>
      <c r="BK86" s="95" t="str">
        <f t="shared" si="9"/>
        <v/>
      </c>
    </row>
    <row r="87" spans="47:63" ht="14.45" customHeight="1">
      <c r="AU87" s="20"/>
      <c r="AV87" s="21"/>
      <c r="AW87" s="22"/>
      <c r="AX87" s="22"/>
      <c r="AY87" s="23"/>
      <c r="AZ87" s="326" t="str">
        <f t="shared" si="7"/>
        <v/>
      </c>
      <c r="BA87" s="95"/>
      <c r="BB87" s="95" t="str">
        <f t="shared" si="6"/>
        <v/>
      </c>
      <c r="BD87" s="319"/>
      <c r="BE87" s="21"/>
      <c r="BF87" s="22"/>
      <c r="BG87" s="22"/>
      <c r="BH87" s="23"/>
      <c r="BI87" s="326" t="str">
        <f t="shared" si="8"/>
        <v/>
      </c>
      <c r="BJ87" s="95"/>
      <c r="BK87" s="95" t="str">
        <f t="shared" si="9"/>
        <v/>
      </c>
    </row>
    <row r="88" spans="47:63">
      <c r="AU88" s="319">
        <f>OBJ!B361</f>
        <v>45167</v>
      </c>
      <c r="AV88" s="21" t="str">
        <f>VLOOKUP(AU88,CENY!$B$11:$G$1054,2,FALSE)</f>
        <v>Skrutka s polgul.hlavou 3,5x12mm</v>
      </c>
      <c r="AW88" s="22">
        <f>VLOOKUP(AU88,CENY!$B$11:$G$1054,3,FALSE)</f>
        <v>200</v>
      </c>
      <c r="AX88" s="22"/>
      <c r="AY88" s="23">
        <f>SUMPRODUCT(AX5:AX19,AY5:AY19)</f>
        <v>0</v>
      </c>
      <c r="AZ88" s="326">
        <f t="shared" si="7"/>
        <v>0</v>
      </c>
      <c r="BA88" s="95">
        <f>VLOOKUP(AU88,CENY!$B$11:$M$2025,12,FALSE)</f>
        <v>3.4759999999999999E-2</v>
      </c>
      <c r="BB88" s="95">
        <f t="shared" si="6"/>
        <v>0</v>
      </c>
      <c r="BC88" s="86" t="s">
        <v>396</v>
      </c>
      <c r="BD88" s="319">
        <f>OBJ!B361</f>
        <v>45167</v>
      </c>
      <c r="BE88" s="21" t="str">
        <f>VLOOKUP(BD88,CENY!$B$11:$G$1054,2,FALSE)</f>
        <v>Skrutka s polgul.hlavou 3,5x12mm</v>
      </c>
      <c r="BF88" s="22">
        <f>VLOOKUP(BD88,CENY!$B$11:$G$1054,3,FALSE)</f>
        <v>200</v>
      </c>
      <c r="BG88" s="22"/>
      <c r="BH88" s="23">
        <f>AY88</f>
        <v>0</v>
      </c>
      <c r="BI88" s="326">
        <f>IF(BH88="","",IF($AW$4=0,BH88,0))</f>
        <v>0</v>
      </c>
      <c r="BJ88" s="95">
        <f>VLOOKUP(BD88,CENY!$B$11:$M$2025,12,FALSE)</f>
        <v>3.4759999999999999E-2</v>
      </c>
      <c r="BK88" s="95">
        <f>IF(BJ88="","",BJ88*BH88)</f>
        <v>0</v>
      </c>
    </row>
    <row r="89" spans="47:63">
      <c r="AU89" s="319">
        <f>OBJ!B362</f>
        <v>45168</v>
      </c>
      <c r="AV89" s="21" t="str">
        <f>VLOOKUP(AU89,CENY!$B$11:$G$1054,2,FALSE)</f>
        <v>Skrutka s polgul.hlavou 3,5x20mm</v>
      </c>
      <c r="AW89" s="22">
        <f>VLOOKUP(AU89,CENY!$B$11:$G$1054,3,FALSE)</f>
        <v>200</v>
      </c>
      <c r="AX89" s="22"/>
      <c r="AY89" s="360">
        <v>0</v>
      </c>
      <c r="AZ89" s="326">
        <f t="shared" si="7"/>
        <v>0</v>
      </c>
      <c r="BA89" s="95">
        <f>VLOOKUP(AU89,CENY!$B$11:$M$2025,12,FALSE)</f>
        <v>4.9860000000000002E-2</v>
      </c>
      <c r="BB89" s="95">
        <f t="shared" si="6"/>
        <v>0</v>
      </c>
      <c r="BC89" s="86" t="s">
        <v>397</v>
      </c>
      <c r="BD89" s="319">
        <f>OBJ!B362</f>
        <v>45168</v>
      </c>
      <c r="BE89" s="21" t="str">
        <f>VLOOKUP(BD89,CENY!$B$11:$G$1054,2,FALSE)</f>
        <v>Skrutka s polgul.hlavou 3,5x20mm</v>
      </c>
      <c r="BF89" s="22">
        <f>VLOOKUP(BD89,CENY!$B$11:$G$1054,3,FALSE)</f>
        <v>200</v>
      </c>
      <c r="BG89" s="22"/>
      <c r="BH89" s="360">
        <f>IF(FORM!$AM$8=FORM!$AU$10,(BH35*3+BH36*4),0)</f>
        <v>0</v>
      </c>
      <c r="BI89" s="326">
        <f>IF(BH89="","",IF($AW$4=0,BH89,0))</f>
        <v>0</v>
      </c>
      <c r="BJ89" s="95">
        <f>VLOOKUP(BD89,CENY!$B$11:$M$2025,12,FALSE)</f>
        <v>4.9860000000000002E-2</v>
      </c>
      <c r="BK89" s="95">
        <f>IF(BJ89="","",BJ89*BH89)</f>
        <v>0</v>
      </c>
    </row>
    <row r="90" spans="47:63">
      <c r="AU90" s="319">
        <f>OBJ!B363</f>
        <v>9278224</v>
      </c>
      <c r="AV90" s="21" t="str">
        <f>VLOOKUP(AU90,CENY!$B$11:$G$1054,2,FALSE)</f>
        <v>Skrutka s polgul.hlavou 3,5x30mm</v>
      </c>
      <c r="AW90" s="22">
        <f>VLOOKUP(AU90,CENY!$B$11:$G$1054,3,FALSE)</f>
        <v>200</v>
      </c>
      <c r="AX90" s="22"/>
      <c r="AY90" s="360">
        <v>0</v>
      </c>
      <c r="AZ90" s="326">
        <f t="shared" si="7"/>
        <v>0</v>
      </c>
      <c r="BA90" s="95">
        <f>VLOOKUP(AU90,CENY!$B$11:$M$2025,12,FALSE)</f>
        <v>4.299E-2</v>
      </c>
      <c r="BB90" s="95">
        <f t="shared" si="6"/>
        <v>0</v>
      </c>
      <c r="BC90" s="86" t="s">
        <v>398</v>
      </c>
      <c r="BD90" s="319">
        <f>OBJ!B363</f>
        <v>9278224</v>
      </c>
      <c r="BE90" s="21" t="str">
        <f>VLOOKUP(BD90,CENY!$B$11:$G$1054,2,FALSE)</f>
        <v>Skrutka s polgul.hlavou 3,5x30mm</v>
      </c>
      <c r="BF90" s="22">
        <f>VLOOKUP(BD90,CENY!$B$11:$G$1054,3,FALSE)</f>
        <v>200</v>
      </c>
      <c r="BG90" s="22"/>
      <c r="BH90" s="360">
        <f>2*SUM(BH5:BH18)+2*SUM(BH20:BH33)</f>
        <v>0</v>
      </c>
      <c r="BI90" s="326">
        <f>IF(BH90="","",IF($AW$4=0,BH90,0))</f>
        <v>0</v>
      </c>
      <c r="BJ90" s="95">
        <f>VLOOKUP(BD90,CENY!$B$11:$M$2025,12,FALSE)</f>
        <v>4.299E-2</v>
      </c>
      <c r="BK90" s="95">
        <f>IF(BJ90="","",BJ90*BH90)</f>
        <v>0</v>
      </c>
    </row>
    <row r="91" spans="47:63">
      <c r="AU91" s="319">
        <f>OBJ!B364</f>
        <v>9279197</v>
      </c>
      <c r="AV91" s="21" t="str">
        <f>VLOOKUP(AU91,CENY!$B$11:$G$1054,2,FALSE)</f>
        <v>Skrutka s polgul.hlavou M3,5x12mm</v>
      </c>
      <c r="AW91" s="22">
        <f>VLOOKUP(AU91,CENY!$B$11:$G$1054,3,FALSE)</f>
        <v>1000</v>
      </c>
      <c r="AX91" s="22"/>
      <c r="AY91" s="68">
        <v>0</v>
      </c>
      <c r="AZ91" s="326">
        <f t="shared" si="7"/>
        <v>0</v>
      </c>
      <c r="BA91" s="95" t="e">
        <f>VLOOKUP(AU91,CENY!$B$11:$M$2025,12,FALSE)</f>
        <v>#N/A</v>
      </c>
      <c r="BB91" s="95" t="e">
        <f t="shared" si="6"/>
        <v>#N/A</v>
      </c>
      <c r="BC91" s="86" t="s">
        <v>399</v>
      </c>
      <c r="BD91" s="319">
        <f>OBJ!B364</f>
        <v>9279197</v>
      </c>
      <c r="BE91" s="21" t="str">
        <f>VLOOKUP(BD91,CENY!$B$11:$G$1054,2,FALSE)</f>
        <v>Skrutka s polgul.hlavou M3,5x12mm</v>
      </c>
      <c r="BF91" s="22">
        <f>VLOOKUP(BD91,CENY!$B$11:$G$1054,3,FALSE)</f>
        <v>1000</v>
      </c>
      <c r="BG91" s="22"/>
      <c r="BH91" s="68">
        <f>AY91</f>
        <v>0</v>
      </c>
      <c r="BI91" s="326">
        <f>IF(BH91="","",IF($AW$4=0,BH91,0))</f>
        <v>0</v>
      </c>
      <c r="BJ91" s="95" t="e">
        <f>VLOOKUP(BD91,CENY!$B$11:$M$2025,12,FALSE)</f>
        <v>#N/A</v>
      </c>
      <c r="BK91" s="95" t="e">
        <f>IF(BJ91="","",BJ91*BH91)</f>
        <v>#N/A</v>
      </c>
    </row>
    <row r="92" spans="47:63">
      <c r="AU92" s="319">
        <f>OBJ!B365</f>
        <v>9137114</v>
      </c>
      <c r="AV92" s="21" t="str">
        <f>VLOOKUP(AU92,CENY!$B$11:$G$1054,2,FALSE)</f>
        <v>EURO-skrutka  6,0x14mm / niklovaná</v>
      </c>
      <c r="AW92" s="22">
        <f>VLOOKUP(AU92,CENY!$B$11:$G$1054,3,FALSE)</f>
        <v>200</v>
      </c>
      <c r="AX92" s="22"/>
      <c r="AY92" s="23">
        <f>SUMPRODUCT(AX29:AX48,AY29:AY48)</f>
        <v>0</v>
      </c>
      <c r="AZ92" s="326">
        <f t="shared" si="7"/>
        <v>0</v>
      </c>
      <c r="BA92" s="95">
        <f>VLOOKUP(AU92,CENY!$B$11:$M$2025,12,FALSE)</f>
        <v>7.7280000000000001E-2</v>
      </c>
      <c r="BB92" s="95">
        <f t="shared" si="6"/>
        <v>0</v>
      </c>
      <c r="BC92" s="86" t="s">
        <v>400</v>
      </c>
      <c r="BD92" s="319">
        <f>OBJ!B365</f>
        <v>9137114</v>
      </c>
      <c r="BE92" s="21" t="str">
        <f>VLOOKUP(BD92,CENY!$B$11:$G$1054,2,FALSE)</f>
        <v>EURO-skrutka  6,0x14mm / niklovaná</v>
      </c>
      <c r="BF92" s="22">
        <f>VLOOKUP(BD92,CENY!$B$11:$G$1054,3,FALSE)</f>
        <v>200</v>
      </c>
      <c r="BG92" s="22"/>
      <c r="BH92" s="23">
        <f>AY92</f>
        <v>0</v>
      </c>
      <c r="BI92" s="326">
        <f>IF(BH92="","",IF($AW$4=0,BH92,0))</f>
        <v>0</v>
      </c>
      <c r="BJ92" s="95">
        <f>VLOOKUP(BD92,CENY!$B$11:$M$2025,12,FALSE)</f>
        <v>7.7280000000000001E-2</v>
      </c>
      <c r="BK92" s="95">
        <f>IF(BJ92="","",BJ92*BH92)</f>
        <v>0</v>
      </c>
    </row>
    <row r="93" spans="47:63">
      <c r="AU93" s="20"/>
      <c r="AV93" s="21"/>
      <c r="AW93" s="22"/>
      <c r="AX93" s="22"/>
      <c r="AY93" s="23"/>
      <c r="AZ93" s="326"/>
      <c r="BA93" s="95"/>
      <c r="BB93" s="95"/>
      <c r="BD93" s="319"/>
      <c r="BE93" s="21"/>
      <c r="BF93" s="22"/>
      <c r="BG93" s="22"/>
      <c r="BH93" s="23"/>
      <c r="BI93" s="326" t="str">
        <f t="shared" si="8"/>
        <v/>
      </c>
      <c r="BJ93" s="95"/>
      <c r="BK93" s="95" t="str">
        <f t="shared" si="9"/>
        <v/>
      </c>
    </row>
    <row r="94" spans="47:63">
      <c r="AU94" s="20"/>
      <c r="AV94" s="21"/>
      <c r="AW94" s="22"/>
      <c r="AX94" s="22"/>
      <c r="AY94" s="23"/>
      <c r="AZ94" s="326" t="str">
        <f t="shared" si="7"/>
        <v/>
      </c>
      <c r="BA94" s="95"/>
      <c r="BB94" s="95" t="str">
        <f t="shared" si="6"/>
        <v/>
      </c>
      <c r="BD94" s="319"/>
      <c r="BE94" s="21"/>
      <c r="BF94" s="22"/>
      <c r="BG94" s="22"/>
      <c r="BH94" s="23"/>
      <c r="BI94" s="326" t="str">
        <f t="shared" si="8"/>
        <v/>
      </c>
      <c r="BJ94" s="95"/>
      <c r="BK94" s="95" t="str">
        <f t="shared" si="9"/>
        <v/>
      </c>
    </row>
    <row r="95" spans="47:63">
      <c r="AU95" s="20"/>
      <c r="AV95" s="21"/>
      <c r="AW95" s="22"/>
      <c r="AX95" s="22"/>
      <c r="AY95" s="23"/>
      <c r="AZ95" s="326" t="str">
        <f t="shared" si="7"/>
        <v/>
      </c>
      <c r="BA95" s="95"/>
      <c r="BB95" s="95" t="str">
        <f t="shared" si="6"/>
        <v/>
      </c>
      <c r="BD95" s="319"/>
      <c r="BE95" s="21"/>
      <c r="BF95" s="22"/>
      <c r="BG95" s="22"/>
      <c r="BH95" s="23"/>
      <c r="BI95" s="326" t="str">
        <f t="shared" si="8"/>
        <v/>
      </c>
      <c r="BJ95" s="95"/>
      <c r="BK95" s="95" t="str">
        <f t="shared" si="9"/>
        <v/>
      </c>
    </row>
    <row r="96" spans="47:63">
      <c r="AU96" s="20"/>
      <c r="AV96" s="21"/>
      <c r="AW96" s="22"/>
      <c r="AX96" s="22"/>
      <c r="AY96" s="23"/>
      <c r="AZ96" s="326" t="str">
        <f t="shared" si="7"/>
        <v/>
      </c>
      <c r="BA96" s="95"/>
      <c r="BB96" s="95" t="str">
        <f t="shared" si="6"/>
        <v/>
      </c>
      <c r="BD96" s="319"/>
      <c r="BE96" s="21"/>
      <c r="BF96" s="22"/>
      <c r="BG96" s="22"/>
      <c r="BH96" s="23"/>
      <c r="BI96" s="326" t="str">
        <f t="shared" si="8"/>
        <v/>
      </c>
      <c r="BJ96" s="95"/>
      <c r="BK96" s="95" t="str">
        <f t="shared" si="9"/>
        <v/>
      </c>
    </row>
  </sheetData>
  <sheetProtection algorithmName="SHA-512" hashValue="td0r4dCA7Neu62YiCPtDQ7nCZjN2UQQHPZin7pXVWKCfbMt2vXr3F4Y5wInipWtdEjRlEyv0Yaa2r1tBuq7oOw==" saltValue="Btcl5hd0d19keQvcN+/nGg==" spinCount="100000" sheet="1" objects="1" scenarios="1"/>
  <mergeCells count="76">
    <mergeCell ref="U2:Y2"/>
    <mergeCell ref="AA2:AE2"/>
    <mergeCell ref="AI2:AM2"/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B12:E12"/>
    <mergeCell ref="F12:I12"/>
    <mergeCell ref="J12:K12"/>
    <mergeCell ref="B13:E13"/>
    <mergeCell ref="F13:I13"/>
    <mergeCell ref="J13:K13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19:G19"/>
    <mergeCell ref="H19:L19"/>
    <mergeCell ref="M19:N19"/>
    <mergeCell ref="Q19:R19"/>
    <mergeCell ref="S19:T19"/>
    <mergeCell ref="B20:G20"/>
    <mergeCell ref="H20:L20"/>
    <mergeCell ref="M20:N20"/>
    <mergeCell ref="O20:P20"/>
    <mergeCell ref="Q20:R20"/>
    <mergeCell ref="U19:V19"/>
    <mergeCell ref="W19:X19"/>
    <mergeCell ref="Y19:Z19"/>
    <mergeCell ref="AA19:AB19"/>
    <mergeCell ref="AC19:AD19"/>
    <mergeCell ref="S25:T25"/>
    <mergeCell ref="AE20:AF20"/>
    <mergeCell ref="O24:P24"/>
    <mergeCell ref="Q24:R24"/>
    <mergeCell ref="S24:T24"/>
    <mergeCell ref="U24:V24"/>
    <mergeCell ref="W24:X24"/>
    <mergeCell ref="Y24:Z24"/>
    <mergeCell ref="AA24:AB24"/>
    <mergeCell ref="AC24:AD24"/>
    <mergeCell ref="S20:T20"/>
    <mergeCell ref="U20:V20"/>
    <mergeCell ref="W20:X20"/>
    <mergeCell ref="Y20:Z20"/>
    <mergeCell ref="AA20:AB20"/>
    <mergeCell ref="AC20:AD20"/>
    <mergeCell ref="B25:G25"/>
    <mergeCell ref="H25:L25"/>
    <mergeCell ref="M25:N25"/>
    <mergeCell ref="O25:P25"/>
    <mergeCell ref="Q25:R25"/>
    <mergeCell ref="U25:V25"/>
    <mergeCell ref="W25:X25"/>
    <mergeCell ref="Y25:Z25"/>
    <mergeCell ref="AA25:AB25"/>
    <mergeCell ref="AC25:AD25"/>
  </mergeCells>
  <conditionalFormatting sqref="AZ52:AZ87 BH5:BI35 BH38:BH58 BI37:BI58 AY5:AZ34 AZ36:AZ50 AY36:AY43 BH61:BH84 BH87 BI61:BI87 BH93:BI96 AZ93:AZ96">
    <cfRule type="cellIs" dxfId="363" priority="35" stopIfTrue="1" operator="equal">
      <formula>0</formula>
    </cfRule>
  </conditionalFormatting>
  <conditionalFormatting sqref="O17:AF17 Q19:T19 W20:AF20 O25:T25">
    <cfRule type="expression" dxfId="362" priority="34" stopIfTrue="1">
      <formula>$AW$4=0</formula>
    </cfRule>
  </conditionalFormatting>
  <conditionalFormatting sqref="AY52 AY54:AY56">
    <cfRule type="cellIs" dxfId="361" priority="33" stopIfTrue="1" operator="equal">
      <formula>0</formula>
    </cfRule>
  </conditionalFormatting>
  <conditionalFormatting sqref="AY57">
    <cfRule type="cellIs" dxfId="360" priority="32" stopIfTrue="1" operator="equal">
      <formula>0</formula>
    </cfRule>
  </conditionalFormatting>
  <conditionalFormatting sqref="AY61:AY70">
    <cfRule type="cellIs" dxfId="359" priority="31" stopIfTrue="1" operator="equal">
      <formula>0</formula>
    </cfRule>
  </conditionalFormatting>
  <conditionalFormatting sqref="BH37">
    <cfRule type="cellIs" dxfId="358" priority="30" stopIfTrue="1" operator="equal">
      <formula>0</formula>
    </cfRule>
  </conditionalFormatting>
  <conditionalFormatting sqref="AY44:AY49">
    <cfRule type="cellIs" dxfId="357" priority="29" stopIfTrue="1" operator="equal">
      <formula>0</formula>
    </cfRule>
  </conditionalFormatting>
  <conditionalFormatting sqref="AY50">
    <cfRule type="cellIs" dxfId="356" priority="28" stopIfTrue="1" operator="equal">
      <formula>0</formula>
    </cfRule>
  </conditionalFormatting>
  <conditionalFormatting sqref="AY58:AY60">
    <cfRule type="cellIs" dxfId="355" priority="27" stopIfTrue="1" operator="equal">
      <formula>0</formula>
    </cfRule>
  </conditionalFormatting>
  <conditionalFormatting sqref="BH85">
    <cfRule type="cellIs" dxfId="354" priority="26" stopIfTrue="1" operator="equal">
      <formula>0</formula>
    </cfRule>
  </conditionalFormatting>
  <conditionalFormatting sqref="AY71:AY87 AY93:AY96">
    <cfRule type="cellIs" dxfId="353" priority="24" stopIfTrue="1" operator="equal">
      <formula>0</formula>
    </cfRule>
  </conditionalFormatting>
  <conditionalFormatting sqref="AY53">
    <cfRule type="cellIs" dxfId="352" priority="22" stopIfTrue="1" operator="equal">
      <formula>0</formula>
    </cfRule>
  </conditionalFormatting>
  <conditionalFormatting sqref="BH86">
    <cfRule type="cellIs" dxfId="351" priority="21" stopIfTrue="1" operator="equal">
      <formula>0</formula>
    </cfRule>
  </conditionalFormatting>
  <conditionalFormatting sqref="F13:K13">
    <cfRule type="expression" dxfId="350" priority="20" stopIfTrue="1">
      <formula>$AW$4=1</formula>
    </cfRule>
  </conditionalFormatting>
  <conditionalFormatting sqref="U19:AD19">
    <cfRule type="expression" dxfId="349" priority="16" stopIfTrue="1">
      <formula>$AW$4=0</formula>
    </cfRule>
  </conditionalFormatting>
  <conditionalFormatting sqref="AC25:AD25">
    <cfRule type="expression" dxfId="348" priority="11" stopIfTrue="1">
      <formula>$AW$4=0</formula>
    </cfRule>
  </conditionalFormatting>
  <conditionalFormatting sqref="U25:V25">
    <cfRule type="expression" dxfId="347" priority="15" stopIfTrue="1">
      <formula>$AW$4=0</formula>
    </cfRule>
  </conditionalFormatting>
  <conditionalFormatting sqref="W25:X25">
    <cfRule type="expression" dxfId="346" priority="14" stopIfTrue="1">
      <formula>$AW$4=0</formula>
    </cfRule>
  </conditionalFormatting>
  <conditionalFormatting sqref="Y25:Z25">
    <cfRule type="expression" dxfId="345" priority="13" stopIfTrue="1">
      <formula>$AW$4=0</formula>
    </cfRule>
  </conditionalFormatting>
  <conditionalFormatting sqref="AA25:AB25">
    <cfRule type="expression" dxfId="344" priority="12" stopIfTrue="1">
      <formula>$AW$4=0</formula>
    </cfRule>
  </conditionalFormatting>
  <conditionalFormatting sqref="AZ51">
    <cfRule type="cellIs" dxfId="343" priority="10" stopIfTrue="1" operator="equal">
      <formula>0</formula>
    </cfRule>
  </conditionalFormatting>
  <conditionalFormatting sqref="AY51">
    <cfRule type="cellIs" dxfId="342" priority="9" stopIfTrue="1" operator="equal">
      <formula>0</formula>
    </cfRule>
  </conditionalFormatting>
  <conditionalFormatting sqref="BH36:BI36">
    <cfRule type="cellIs" dxfId="341" priority="8" stopIfTrue="1" operator="equal">
      <formula>0</formula>
    </cfRule>
  </conditionalFormatting>
  <conditionalFormatting sqref="AY35:AZ35">
    <cfRule type="cellIs" dxfId="340" priority="7" stopIfTrue="1" operator="equal">
      <formula>0</formula>
    </cfRule>
  </conditionalFormatting>
  <conditionalFormatting sqref="BH59:BI60">
    <cfRule type="cellIs" dxfId="339" priority="6" stopIfTrue="1" operator="equal">
      <formula>0</formula>
    </cfRule>
  </conditionalFormatting>
  <conditionalFormatting sqref="AZ88:AZ92">
    <cfRule type="cellIs" dxfId="338" priority="5" stopIfTrue="1" operator="equal">
      <formula>0</formula>
    </cfRule>
  </conditionalFormatting>
  <conditionalFormatting sqref="AY88:AY92">
    <cfRule type="cellIs" dxfId="337" priority="4" stopIfTrue="1" operator="equal">
      <formula>0</formula>
    </cfRule>
  </conditionalFormatting>
  <conditionalFormatting sqref="BH88 BH91:BH92">
    <cfRule type="cellIs" dxfId="336" priority="3" stopIfTrue="1" operator="equal">
      <formula>0</formula>
    </cfRule>
  </conditionalFormatting>
  <conditionalFormatting sqref="BI88:BI92">
    <cfRule type="cellIs" dxfId="335" priority="2" stopIfTrue="1" operator="equal">
      <formula>0</formula>
    </cfRule>
  </conditionalFormatting>
  <conditionalFormatting sqref="BH89:BH90">
    <cfRule type="cellIs" dxfId="334" priority="1" stopIfTrue="1" operator="equal">
      <formula>0</formula>
    </cfRule>
  </conditionalFormatting>
  <hyperlinks>
    <hyperlink ref="M4" location="MENU!A1" display="MENU!A1" xr:uid="{00000000-0004-0000-1100-000000000000}"/>
    <hyperlink ref="M10" location="OBJ!A1" display="OBJ!A1" xr:uid="{00000000-0004-0000-1100-000001000000}"/>
    <hyperlink ref="M9" location="suhrn!A1" display="suhrn!A1" xr:uid="{00000000-0004-0000-1100-000002000000}"/>
    <hyperlink ref="O2:S2" location="MENU!A5" display="MENU!A5" xr:uid="{00000000-0004-0000-11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9">
    <tabColor theme="9" tint="-0.249977111117893"/>
  </sheetPr>
  <dimension ref="A1:BK99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1" s="86" t="s">
        <v>1301</v>
      </c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187 / 187"</f>
        <v>Zásuvka AVANTECH YOU  187 /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SUM(BB5:BB948)</f>
        <v>#N/A</v>
      </c>
      <c r="BD4" s="94" t="s">
        <v>34</v>
      </c>
      <c r="BK4" s="322" t="e">
        <f>SUM(BK5:BK941)</f>
        <v>#N/A</v>
      </c>
    </row>
    <row r="5" spans="1:63" ht="14.45" customHeight="1">
      <c r="AU5" s="319">
        <f>OBJ!B112</f>
        <v>9353353</v>
      </c>
      <c r="AV5" s="21" t="str">
        <f>VLOOKUP(AU5,CENY!$B$11:$G$1054,2,FALSE)</f>
        <v>AvanY-sólo oceľ.boky-NW 187/270mm/strieb.</v>
      </c>
      <c r="AW5" s="22">
        <f>VLOOKUP(AU5,CENY!$B$11:$G$1054,3,FALSE)</f>
        <v>1</v>
      </c>
      <c r="AX5" s="362">
        <v>4</v>
      </c>
      <c r="AY5" s="23">
        <f>2*(O19+O25)</f>
        <v>0</v>
      </c>
      <c r="AZ5" s="326">
        <f>IF(AY5="","",IF($AW$4=1,AY5,0))</f>
        <v>0</v>
      </c>
      <c r="BA5" s="95">
        <f>VLOOKUP(AU5,CENY!$B$11:$M$2025,12,FALSE)</f>
        <v>37.606110000000001</v>
      </c>
      <c r="BB5" s="95">
        <f t="shared" ref="BB5:BB58" si="0">IF(BA5="","",BA5*AY5)</f>
        <v>0</v>
      </c>
      <c r="BD5" s="319">
        <f>OBJ!B122</f>
        <v>9255044</v>
      </c>
      <c r="BE5" s="21" t="str">
        <f>VLOOKUP(BD5,CENY!$B$11:$G$1054,2,FALSE)</f>
        <v>AvanY-bok ľavý /v187/h270/ strieborná</v>
      </c>
      <c r="BF5" s="22">
        <f>VLOOKUP(BD5,CENY!$B$11:$G$1054,3,FALSE)</f>
        <v>10</v>
      </c>
      <c r="BG5" s="22"/>
      <c r="BH5" s="23">
        <f>AY5</f>
        <v>0</v>
      </c>
      <c r="BI5" s="326">
        <f>IF(BH5="","",IF($AW$4=0,BH5,0))</f>
        <v>0</v>
      </c>
      <c r="BJ5" s="95">
        <f>VLOOKUP(BD5,CENY!$B$11:$M$2025,12,FALSE)</f>
        <v>16.540590000000002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389</v>
      </c>
      <c r="G6" s="566"/>
      <c r="H6" s="566"/>
      <c r="I6" s="566"/>
      <c r="J6" s="566"/>
      <c r="K6" s="566"/>
      <c r="AU6" s="319">
        <f>OBJ!B113</f>
        <v>9353354</v>
      </c>
      <c r="AV6" s="21" t="str">
        <f>VLOOKUP(AU6,CENY!$B$11:$G$1054,2,FALSE)</f>
        <v>AvanY-sólo oceľ.boky-NW 187/300mm/strieb.</v>
      </c>
      <c r="AW6" s="22">
        <f>VLOOKUP(AU6,CENY!$B$11:$G$1054,3,FALSE)</f>
        <v>1</v>
      </c>
      <c r="AX6" s="362">
        <v>4</v>
      </c>
      <c r="AY6" s="23">
        <f>2*(Q19+Q25)</f>
        <v>0</v>
      </c>
      <c r="AZ6" s="326">
        <f t="shared" ref="AZ6:AZ59" si="1">IF(AY6="","",IF($AW$4=1,AY6,0))</f>
        <v>0</v>
      </c>
      <c r="BA6" s="95">
        <f>VLOOKUP(AU6,CENY!$B$11:$M$2025,12,FALSE)</f>
        <v>37.95196</v>
      </c>
      <c r="BB6" s="95">
        <f t="shared" si="0"/>
        <v>0</v>
      </c>
      <c r="BD6" s="319">
        <f>OBJ!B123</f>
        <v>9255045</v>
      </c>
      <c r="BE6" s="21" t="str">
        <f>VLOOKUP(BD6,CENY!$B$11:$G$1054,2,FALSE)</f>
        <v>AvanY-bok pravý /v187/h270/ strieborná</v>
      </c>
      <c r="BF6" s="22">
        <f>VLOOKUP(BD6,CENY!$B$11:$G$1054,3,FALSE)</f>
        <v>10</v>
      </c>
      <c r="BG6" s="22"/>
      <c r="BH6" s="23">
        <f>AY5</f>
        <v>0</v>
      </c>
      <c r="BI6" s="326">
        <f t="shared" ref="BI6:BI62" si="2">IF(BH6="","",IF($AW$4=0,BH6,0))</f>
        <v>0</v>
      </c>
      <c r="BJ6" s="95">
        <f>VLOOKUP(BD6,CENY!$B$11:$M$2025,12,FALSE)</f>
        <v>16.540590000000002</v>
      </c>
      <c r="BK6" s="95">
        <f t="shared" ref="BK6:BK62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OBJ!B114</f>
        <v>9353355</v>
      </c>
      <c r="AV7" s="21" t="str">
        <f>VLOOKUP(AU7,CENY!$B$11:$G$1054,2,FALSE)</f>
        <v>AvanY-sólo oceľ.boky-NW 187/350mm/strieb.</v>
      </c>
      <c r="AW7" s="22">
        <f>VLOOKUP(AU7,CENY!$B$11:$G$1054,3,FALSE)</f>
        <v>1</v>
      </c>
      <c r="AX7" s="362">
        <v>6</v>
      </c>
      <c r="AY7" s="23">
        <f>2*(S19+S25)</f>
        <v>0</v>
      </c>
      <c r="AZ7" s="326">
        <f t="shared" si="1"/>
        <v>0</v>
      </c>
      <c r="BA7" s="95">
        <f>VLOOKUP(AU7,CENY!$B$11:$M$2025,12,FALSE)</f>
        <v>38.529060000000001</v>
      </c>
      <c r="BB7" s="95">
        <f t="shared" si="0"/>
        <v>0</v>
      </c>
      <c r="BD7" s="319">
        <f>OBJ!B124</f>
        <v>9255046</v>
      </c>
      <c r="BE7" s="21" t="str">
        <f>VLOOKUP(BD7,CENY!$B$11:$G$1054,2,FALSE)</f>
        <v>AvanY-bok ľavý /v187/h300/ strieborná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16.72522</v>
      </c>
      <c r="BK7" s="95">
        <f t="shared" si="3"/>
        <v>0</v>
      </c>
    </row>
    <row r="8" spans="1:63" ht="14.45" customHeigh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OBJ!B115</f>
        <v>9353356</v>
      </c>
      <c r="AV8" s="21" t="str">
        <f>VLOOKUP(AU8,CENY!$B$11:$G$1054,2,FALSE)</f>
        <v>AvanY-sólo oceľ.boky-NW 187/400mm/strieb.</v>
      </c>
      <c r="AW8" s="22">
        <f>VLOOKUP(AU8,CENY!$B$11:$G$1054,3,FALSE)</f>
        <v>1</v>
      </c>
      <c r="AX8" s="362">
        <v>6</v>
      </c>
      <c r="AY8" s="23">
        <f>2*(U19+U25)</f>
        <v>0</v>
      </c>
      <c r="AZ8" s="326">
        <f t="shared" si="1"/>
        <v>0</v>
      </c>
      <c r="BA8" s="95">
        <f>VLOOKUP(AU8,CENY!$B$11:$M$2025,12,FALSE)</f>
        <v>39.106140000000003</v>
      </c>
      <c r="BB8" s="95">
        <f t="shared" si="0"/>
        <v>0</v>
      </c>
      <c r="BD8" s="319">
        <f>OBJ!B125</f>
        <v>9255047</v>
      </c>
      <c r="BE8" s="21" t="str">
        <f>VLOOKUP(BD8,CENY!$B$11:$G$1054,2,FALSE)</f>
        <v>AvanY-bok pravý /v187/h300/ strieborná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16.72522</v>
      </c>
      <c r="BK8" s="95">
        <f t="shared" si="3"/>
        <v>0</v>
      </c>
    </row>
    <row r="9" spans="1:63" ht="14.45" customHeight="1">
      <c r="B9" s="552"/>
      <c r="C9" s="560"/>
      <c r="D9" s="560"/>
      <c r="E9" s="561"/>
      <c r="F9" s="562"/>
      <c r="G9" s="563"/>
      <c r="H9" s="563"/>
      <c r="I9" s="563"/>
      <c r="J9" s="563"/>
      <c r="K9" s="564"/>
      <c r="AU9" s="319">
        <f>OBJ!B116</f>
        <v>9353357</v>
      </c>
      <c r="AV9" s="21" t="str">
        <f>VLOOKUP(AU9,CENY!$B$11:$G$1054,2,FALSE)</f>
        <v>AvanY-sólo oceľ.boky-NW 187/450mm/strieb.</v>
      </c>
      <c r="AW9" s="22">
        <f>VLOOKUP(AU9,CENY!$B$11:$G$1054,3,FALSE)</f>
        <v>1</v>
      </c>
      <c r="AX9" s="362">
        <v>6</v>
      </c>
      <c r="AY9" s="23">
        <f>2*(W19+W20+W25)</f>
        <v>0</v>
      </c>
      <c r="AZ9" s="326">
        <f t="shared" si="1"/>
        <v>0</v>
      </c>
      <c r="BA9" s="95">
        <f>VLOOKUP(AU9,CENY!$B$11:$M$2025,12,FALSE)</f>
        <v>37.79374</v>
      </c>
      <c r="BB9" s="95">
        <f t="shared" si="0"/>
        <v>0</v>
      </c>
      <c r="BD9" s="319">
        <f>OBJ!B126</f>
        <v>9255048</v>
      </c>
      <c r="BE9" s="21" t="str">
        <f>VLOOKUP(BD9,CENY!$B$11:$G$1054,2,FALSE)</f>
        <v>AvanY-bok ľavý /v187/h350/ strieborná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17.033180000000002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U10" s="319">
        <f>OBJ!B117</f>
        <v>9353358</v>
      </c>
      <c r="AV10" s="21" t="str">
        <f>VLOOKUP(AU10,CENY!$B$11:$G$1054,2,FALSE)</f>
        <v>AvanY-sólo oceľ.boky-NW 187/500mm/strieb.</v>
      </c>
      <c r="AW10" s="22">
        <f>VLOOKUP(AU10,CENY!$B$11:$G$1054,3,FALSE)</f>
        <v>1</v>
      </c>
      <c r="AX10" s="362">
        <v>8</v>
      </c>
      <c r="AY10" s="23">
        <f>2*(Y19+Y20+Y25)</f>
        <v>0</v>
      </c>
      <c r="AZ10" s="326">
        <f t="shared" si="1"/>
        <v>0</v>
      </c>
      <c r="BA10" s="95">
        <f>VLOOKUP(AU10,CENY!$B$11:$M$2025,12,FALSE)</f>
        <v>38.343159999999997</v>
      </c>
      <c r="BB10" s="95">
        <f t="shared" si="0"/>
        <v>0</v>
      </c>
      <c r="BD10" s="319">
        <f>OBJ!B127</f>
        <v>9255049</v>
      </c>
      <c r="BE10" s="21" t="str">
        <f>VLOOKUP(BD10,CENY!$B$11:$G$1054,2,FALSE)</f>
        <v>AvanY-bok pravý /v187/h350/ strieborná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17.033180000000002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OBJ!B118</f>
        <v>9353359</v>
      </c>
      <c r="AV11" s="21" t="str">
        <f>VLOOKUP(AU11,CENY!$B$11:$G$1054,2,FALSE)</f>
        <v>AvanY-sólo oceľ.boky-NW 187/550mm/strieb.</v>
      </c>
      <c r="AW11" s="22">
        <f>VLOOKUP(AU11,CENY!$B$11:$G$1054,3,FALSE)</f>
        <v>1</v>
      </c>
      <c r="AX11" s="362">
        <v>8</v>
      </c>
      <c r="AY11" s="23">
        <f>2*(AA19+AA20+AA25)</f>
        <v>0</v>
      </c>
      <c r="AZ11" s="326">
        <f t="shared" si="1"/>
        <v>0</v>
      </c>
      <c r="BA11" s="95">
        <f>VLOOKUP(AU11,CENY!$B$11:$M$2025,12,FALSE)</f>
        <v>40.83719</v>
      </c>
      <c r="BB11" s="95">
        <f t="shared" si="0"/>
        <v>0</v>
      </c>
      <c r="BD11" s="319">
        <f>OBJ!B128</f>
        <v>9255050</v>
      </c>
      <c r="BE11" s="21" t="str">
        <f>VLOOKUP(BD11,CENY!$B$11:$G$1054,2,FALSE)</f>
        <v>AvanY-bok ľavý /v187/h400/ strieborná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17.340789999999998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OBJ!B119</f>
        <v>9353360</v>
      </c>
      <c r="AV12" s="21" t="str">
        <f>VLOOKUP(AU12,CENY!$B$11:$G$1054,2,FALSE)</f>
        <v>AvanY-sólo oceľ.boky-NW 187/600mm/strieb.</v>
      </c>
      <c r="AW12" s="22">
        <f>VLOOKUP(AU12,CENY!$B$11:$G$1054,3,FALSE)</f>
        <v>1</v>
      </c>
      <c r="AX12" s="362">
        <v>8</v>
      </c>
      <c r="AY12" s="23">
        <f>2*(AC19+AC20+AC25)</f>
        <v>0</v>
      </c>
      <c r="AZ12" s="326">
        <f t="shared" si="1"/>
        <v>0</v>
      </c>
      <c r="BA12" s="95">
        <f>VLOOKUP(AU12,CENY!$B$11:$M$2025,12,FALSE)</f>
        <v>41.752409999999998</v>
      </c>
      <c r="BB12" s="95">
        <f t="shared" si="0"/>
        <v>0</v>
      </c>
      <c r="BD12" s="319">
        <f>OBJ!B129</f>
        <v>9255051</v>
      </c>
      <c r="BE12" s="21" t="str">
        <f>VLOOKUP(BD12,CENY!$B$11:$G$1054,2,FALSE)</f>
        <v>AvanY-bok pravý /v187/h400/ strieborná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17.340789999999998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OBJ!B120</f>
        <v>9353371</v>
      </c>
      <c r="AV13" s="21" t="str">
        <f>VLOOKUP(AU13,CENY!$B$11:$G$1054,2,FALSE)</f>
        <v>AvanY-sólo oceľ.boky-NW 187/650mm/strieb.</v>
      </c>
      <c r="AW13" s="22">
        <f>VLOOKUP(AU13,CENY!$B$11:$G$1054,3,FALSE)</f>
        <v>1</v>
      </c>
      <c r="AX13" s="362">
        <v>10</v>
      </c>
      <c r="AY13" s="23">
        <f>2*(AE20)</f>
        <v>0</v>
      </c>
      <c r="AZ13" s="326">
        <f t="shared" si="1"/>
        <v>0</v>
      </c>
      <c r="BA13" s="95">
        <f>VLOOKUP(AU13,CENY!$B$11:$M$2025,12,FALSE)</f>
        <v>43.053130000000003</v>
      </c>
      <c r="BB13" s="95">
        <f t="shared" si="0"/>
        <v>0</v>
      </c>
      <c r="BD13" s="319">
        <f>OBJ!B130</f>
        <v>9255052</v>
      </c>
      <c r="BE13" s="21" t="str">
        <f>VLOOKUP(BD13,CENY!$B$11:$G$1054,2,FALSE)</f>
        <v>AvanY-bok ľavý /v187/h450/ strieborná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16.80836</v>
      </c>
      <c r="BK13" s="95">
        <f t="shared" si="3"/>
        <v>0</v>
      </c>
    </row>
    <row r="14" spans="1:63" ht="14.45" customHeight="1">
      <c r="AU14" s="319"/>
      <c r="AV14" s="21"/>
      <c r="AW14" s="22"/>
      <c r="AX14" s="22"/>
      <c r="AY14" s="23"/>
      <c r="AZ14" s="326" t="str">
        <f t="shared" si="1"/>
        <v/>
      </c>
      <c r="BA14" s="95"/>
      <c r="BB14" s="95" t="str">
        <f t="shared" si="0"/>
        <v/>
      </c>
      <c r="BD14" s="319">
        <f>OBJ!B131</f>
        <v>9255053</v>
      </c>
      <c r="BE14" s="21" t="str">
        <f>VLOOKUP(BD14,CENY!$B$11:$G$1054,2,FALSE)</f>
        <v>AvanY-bok pravý /v187/h450/ strieborná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16.80836</v>
      </c>
      <c r="BK14" s="95">
        <f t="shared" si="3"/>
        <v>0</v>
      </c>
    </row>
    <row r="15" spans="1:63" ht="14.45" customHeight="1">
      <c r="AU15" s="319">
        <f>OBJ!B71</f>
        <v>9347502</v>
      </c>
      <c r="AV15" s="21" t="str">
        <f>VLOOKUP(AU15,CENY!$B$11:$G$1054,2,FALSE)</f>
        <v>AvanY-design ALprofil Hybrid na bok 270/ strieb.</v>
      </c>
      <c r="AW15" s="22">
        <f>VLOOKUP(AU15,CENY!$B$11:$G$1054,3,FALSE)</f>
        <v>200</v>
      </c>
      <c r="AX15" s="22"/>
      <c r="AY15" s="23">
        <f>IF(FORM!AM18=FORM!AU16,0,4*(O19+O25))</f>
        <v>0</v>
      </c>
      <c r="AZ15" s="326">
        <f t="shared" si="1"/>
        <v>0</v>
      </c>
      <c r="BA15" s="95">
        <f>VLOOKUP(AU15,CENY!$B$11:$M$2025,12,FALSE)</f>
        <v>0.95189000000000001</v>
      </c>
      <c r="BB15" s="95">
        <f t="shared" si="0"/>
        <v>0</v>
      </c>
      <c r="BD15" s="319">
        <f>OBJ!B132</f>
        <v>9255054</v>
      </c>
      <c r="BE15" s="21" t="str">
        <f>VLOOKUP(BD15,CENY!$B$11:$G$1054,2,FALSE)</f>
        <v>AvanY-bok ľavý /v187/h500/ strieborná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17.10154</v>
      </c>
      <c r="BK15" s="95">
        <f t="shared" si="3"/>
        <v>0</v>
      </c>
    </row>
    <row r="16" spans="1:63" ht="14.45" customHeight="1">
      <c r="AU16" s="319">
        <f>OBJ!B72</f>
        <v>9347503</v>
      </c>
      <c r="AV16" s="21" t="str">
        <f>VLOOKUP(AU16,CENY!$B$11:$G$1054,2,FALSE)</f>
        <v>AvanY-design ALprofil Hybrid na bok 300/ strieb.</v>
      </c>
      <c r="AW16" s="22">
        <f>VLOOKUP(AU16,CENY!$B$11:$G$1054,3,FALSE)</f>
        <v>200</v>
      </c>
      <c r="AX16" s="22"/>
      <c r="AY16" s="23">
        <f>IF(FORM!AM18=FORM!AU16,0,4*(Q19+Q25))</f>
        <v>0</v>
      </c>
      <c r="AZ16" s="326">
        <f t="shared" si="1"/>
        <v>0</v>
      </c>
      <c r="BA16" s="95">
        <f>VLOOKUP(AU16,CENY!$B$11:$M$2025,12,FALSE)</f>
        <v>0.96240999999999999</v>
      </c>
      <c r="BB16" s="95">
        <f t="shared" si="0"/>
        <v>0</v>
      </c>
      <c r="BD16" s="319">
        <f>OBJ!B133</f>
        <v>9255055</v>
      </c>
      <c r="BE16" s="21" t="str">
        <f>VLOOKUP(BD16,CENY!$B$11:$G$1054,2,FALSE)</f>
        <v>AvanY-bok pravý /v187/h500/ strieborná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17.10154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U17" s="319">
        <f>OBJ!B73</f>
        <v>9347504</v>
      </c>
      <c r="AV17" s="21" t="str">
        <f>VLOOKUP(AU17,CENY!$B$11:$G$1054,2,FALSE)</f>
        <v>AvanY-design ALprofil Hybrid na bok 350/ strieb.</v>
      </c>
      <c r="AW17" s="22">
        <f>VLOOKUP(AU17,CENY!$B$11:$G$1054,3,FALSE)</f>
        <v>200</v>
      </c>
      <c r="AX17" s="22"/>
      <c r="AY17" s="23">
        <f>IF(FORM!AM18=FORM!AU16,0,4*(S19+S25))</f>
        <v>0</v>
      </c>
      <c r="AZ17" s="326">
        <f t="shared" si="1"/>
        <v>0</v>
      </c>
      <c r="BA17" s="95">
        <f>VLOOKUP(AU17,CENY!$B$11:$M$2025,12,FALSE)</f>
        <v>0.98018000000000005</v>
      </c>
      <c r="BB17" s="95">
        <f t="shared" si="0"/>
        <v>0</v>
      </c>
      <c r="BD17" s="319">
        <f>OBJ!B134</f>
        <v>9255056</v>
      </c>
      <c r="BE17" s="21" t="str">
        <f>VLOOKUP(BD17,CENY!$B$11:$G$1054,2,FALSE)</f>
        <v>AvanY-bok ľavý /v187/h550/ strieborná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18.264230000000001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U18" s="319">
        <f>OBJ!B74</f>
        <v>9347505</v>
      </c>
      <c r="AV18" s="21" t="str">
        <f>VLOOKUP(AU18,CENY!$B$11:$G$1054,2,FALSE)</f>
        <v>AvanY-design ALprofil Hybrid na bok 400/ strieb.</v>
      </c>
      <c r="AW18" s="22">
        <f>VLOOKUP(AU18,CENY!$B$11:$G$1054,3,FALSE)</f>
        <v>200</v>
      </c>
      <c r="AX18" s="22"/>
      <c r="AY18" s="23">
        <f>IF(FORM!AM18=FORM!AU16,0,4*(U19+U25))</f>
        <v>0</v>
      </c>
      <c r="AZ18" s="326">
        <f t="shared" si="1"/>
        <v>0</v>
      </c>
      <c r="BA18" s="95">
        <f>VLOOKUP(AU18,CENY!$B$11:$M$2025,12,FALSE)</f>
        <v>0.99777000000000005</v>
      </c>
      <c r="BB18" s="95">
        <f t="shared" si="0"/>
        <v>0</v>
      </c>
      <c r="BD18" s="319">
        <f>OBJ!B135</f>
        <v>9255057</v>
      </c>
      <c r="BE18" s="21" t="str">
        <f>VLOOKUP(BD18,CENY!$B$11:$G$1054,2,FALSE)</f>
        <v>AvanY-bok pravý /v187/h550/ strieborná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18.264230000000001</v>
      </c>
      <c r="BK18" s="95">
        <f t="shared" si="3"/>
        <v>0</v>
      </c>
    </row>
    <row r="19" spans="2:63" ht="14.45" customHeight="1" thickBot="1">
      <c r="B19" s="523" t="s">
        <v>290</v>
      </c>
      <c r="C19" s="523"/>
      <c r="D19" s="523"/>
      <c r="E19" s="523"/>
      <c r="F19" s="523"/>
      <c r="G19" s="523"/>
      <c r="H19" s="524" t="str">
        <f>verze!E18</f>
        <v>plnovýsuv</v>
      </c>
      <c r="I19" s="524"/>
      <c r="J19" s="524"/>
      <c r="K19" s="524"/>
      <c r="L19" s="524"/>
      <c r="M19" s="534" t="s">
        <v>287</v>
      </c>
      <c r="N19" s="535"/>
      <c r="O19" s="569"/>
      <c r="P19" s="605"/>
      <c r="Q19" s="606"/>
      <c r="R19" s="570"/>
      <c r="S19" s="569"/>
      <c r="T19" s="570"/>
      <c r="U19" s="569"/>
      <c r="V19" s="570"/>
      <c r="W19" s="569"/>
      <c r="X19" s="570"/>
      <c r="Y19" s="569"/>
      <c r="Z19" s="570"/>
      <c r="AA19" s="569"/>
      <c r="AB19" s="570"/>
      <c r="AC19" s="569"/>
      <c r="AD19" s="605"/>
      <c r="AE19" s="280"/>
      <c r="AF19" s="281"/>
      <c r="AU19" s="319">
        <f>OBJ!B75</f>
        <v>9347506</v>
      </c>
      <c r="AV19" s="21" t="str">
        <f>VLOOKUP(AU19,CENY!$B$11:$G$1054,2,FALSE)</f>
        <v>AvanY-design ALprofil Hybrid na bok 450/ strieb.</v>
      </c>
      <c r="AW19" s="22">
        <f>VLOOKUP(AU19,CENY!$B$11:$G$1054,3,FALSE)</f>
        <v>200</v>
      </c>
      <c r="AX19" s="22"/>
      <c r="AY19" s="23">
        <f>IF(FORM!AM18=FORM!AU16,0,4*(W19+W20+W25))</f>
        <v>0</v>
      </c>
      <c r="AZ19" s="326">
        <f t="shared" si="1"/>
        <v>0</v>
      </c>
      <c r="BA19" s="95">
        <f>VLOOKUP(AU19,CENY!$B$11:$M$2025,12,FALSE)</f>
        <v>1.01556</v>
      </c>
      <c r="BB19" s="95">
        <f t="shared" si="0"/>
        <v>0</v>
      </c>
      <c r="BD19" s="319">
        <f>OBJ!B136</f>
        <v>9255058</v>
      </c>
      <c r="BE19" s="21" t="str">
        <f>VLOOKUP(BD19,CENY!$B$11:$G$1054,2,FALSE)</f>
        <v>AvanY-bok ľavý /v187/h600/ strieborná</v>
      </c>
      <c r="BF19" s="22">
        <f>VLOOKUP(BD19,CENY!$B$11:$G$1054,3,FALSE)</f>
        <v>10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18.728680000000001</v>
      </c>
      <c r="BK19" s="95">
        <f t="shared" si="3"/>
        <v>0</v>
      </c>
    </row>
    <row r="20" spans="2:63" ht="14.45" customHeight="1" thickBot="1">
      <c r="B20" s="546" t="s">
        <v>291</v>
      </c>
      <c r="C20" s="546"/>
      <c r="D20" s="546"/>
      <c r="E20" s="546"/>
      <c r="F20" s="546"/>
      <c r="G20" s="546"/>
      <c r="H20" s="547" t="str">
        <f>verze!E18</f>
        <v>plnovýsuv</v>
      </c>
      <c r="I20" s="547"/>
      <c r="J20" s="547"/>
      <c r="K20" s="547"/>
      <c r="L20" s="547"/>
      <c r="M20" s="525" t="s">
        <v>288</v>
      </c>
      <c r="N20" s="526"/>
      <c r="O20" s="520"/>
      <c r="P20" s="521"/>
      <c r="Q20" s="520"/>
      <c r="R20" s="521"/>
      <c r="S20" s="520"/>
      <c r="T20" s="521"/>
      <c r="U20" s="520"/>
      <c r="V20" s="521"/>
      <c r="W20" s="518"/>
      <c r="X20" s="519"/>
      <c r="Y20" s="518"/>
      <c r="Z20" s="519"/>
      <c r="AA20" s="518"/>
      <c r="AB20" s="519"/>
      <c r="AC20" s="518"/>
      <c r="AD20" s="519"/>
      <c r="AE20" s="567"/>
      <c r="AF20" s="607"/>
      <c r="AU20" s="319">
        <f>OBJ!B76</f>
        <v>9347507</v>
      </c>
      <c r="AV20" s="21" t="str">
        <f>VLOOKUP(AU20,CENY!$B$11:$G$1054,2,FALSE)</f>
        <v>AvanY-design ALprofil Hybrid na bok 500/ strieb.</v>
      </c>
      <c r="AW20" s="22">
        <f>VLOOKUP(AU20,CENY!$B$11:$G$1054,3,FALSE)</f>
        <v>200</v>
      </c>
      <c r="AX20" s="22"/>
      <c r="AY20" s="23">
        <f>IF(FORM!AM18=FORM!AU16,0,4*(Y19+Y20+Y25))</f>
        <v>0</v>
      </c>
      <c r="AZ20" s="326">
        <f t="shared" si="1"/>
        <v>0</v>
      </c>
      <c r="BA20" s="95">
        <f>VLOOKUP(AU20,CENY!$B$11:$M$2025,12,FALSE)</f>
        <v>1.0332399999999999</v>
      </c>
      <c r="BB20" s="95">
        <f t="shared" si="0"/>
        <v>0</v>
      </c>
      <c r="BD20" s="319">
        <f>OBJ!B137</f>
        <v>9255059</v>
      </c>
      <c r="BE20" s="21" t="str">
        <f>VLOOKUP(BD20,CENY!$B$11:$G$1054,2,FALSE)</f>
        <v>AvanY-bok pravý /v187/h600/ strieborná</v>
      </c>
      <c r="BF20" s="22">
        <f>VLOOKUP(BD20,CENY!$B$11:$G$1054,3,FALSE)</f>
        <v>10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18.728680000000001</v>
      </c>
      <c r="BK20" s="95">
        <f t="shared" si="3"/>
        <v>0</v>
      </c>
    </row>
    <row r="21" spans="2:63" ht="14.45" customHeight="1">
      <c r="O21" s="4"/>
      <c r="P21" s="4"/>
      <c r="AU21" s="319">
        <f>OBJ!B77</f>
        <v>9347508</v>
      </c>
      <c r="AV21" s="21" t="str">
        <f>VLOOKUP(AU21,CENY!$B$11:$G$1054,2,FALSE)</f>
        <v>AvanY-design ALprofil Hybrid na bok 550/ strieb.</v>
      </c>
      <c r="AW21" s="22">
        <f>VLOOKUP(AU21,CENY!$B$11:$G$1054,3,FALSE)</f>
        <v>200</v>
      </c>
      <c r="AX21" s="22"/>
      <c r="AY21" s="23">
        <f>IF(FORM!AM18=FORM!AU16,0,4*(AA19+AA20+AA25))</f>
        <v>0</v>
      </c>
      <c r="AZ21" s="326">
        <f t="shared" si="1"/>
        <v>0</v>
      </c>
      <c r="BA21" s="95">
        <f>VLOOKUP(AU21,CENY!$B$11:$M$2025,12,FALSE)</f>
        <v>1.0508599999999999</v>
      </c>
      <c r="BB21" s="95">
        <f t="shared" si="0"/>
        <v>0</v>
      </c>
      <c r="BD21" s="319">
        <f>OBJ!B138</f>
        <v>9255060</v>
      </c>
      <c r="BE21" s="21" t="str">
        <f>VLOOKUP(BD21,CENY!$B$11:$G$1054,2,FALSE)</f>
        <v>AvanY-bok ľavý /v187/h650/ strieborná</v>
      </c>
      <c r="BF21" s="22">
        <f>VLOOKUP(BD21,CENY!$B$11:$G$1054,3,FALSE)</f>
        <v>10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19.35998</v>
      </c>
      <c r="BK21" s="95">
        <f t="shared" si="3"/>
        <v>0</v>
      </c>
    </row>
    <row r="22" spans="2:63" ht="14.45" customHeight="1">
      <c r="AU22" s="319">
        <f>OBJ!B78</f>
        <v>9347509</v>
      </c>
      <c r="AV22" s="21" t="str">
        <f>VLOOKUP(AU22,CENY!$B$11:$G$1054,2,FALSE)</f>
        <v>AvanY-design ALprofil Hybrid na bok 600/ strieb.</v>
      </c>
      <c r="AW22" s="22">
        <f>VLOOKUP(AU22,CENY!$B$11:$G$1054,3,FALSE)</f>
        <v>200</v>
      </c>
      <c r="AX22" s="22"/>
      <c r="AY22" s="23">
        <f>IF(FORM!AM18=FORM!AU16,0,4*(AC19+AC20+AC25))</f>
        <v>0</v>
      </c>
      <c r="AZ22" s="326">
        <f t="shared" si="1"/>
        <v>0</v>
      </c>
      <c r="BA22" s="95">
        <f>VLOOKUP(AU22,CENY!$B$11:$M$2025,12,FALSE)</f>
        <v>1.09639</v>
      </c>
      <c r="BB22" s="95">
        <f t="shared" si="0"/>
        <v>0</v>
      </c>
      <c r="BD22" s="319">
        <f>OBJ!B139</f>
        <v>9255061</v>
      </c>
      <c r="BE22" s="21" t="str">
        <f>VLOOKUP(BD22,CENY!$B$11:$G$1054,2,FALSE)</f>
        <v>AvanY-bok pravý /v187/h650/ strieborná</v>
      </c>
      <c r="BF22" s="22">
        <f>VLOOKUP(BD22,CENY!$B$11:$G$1054,3,FALSE)</f>
        <v>10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19.35998</v>
      </c>
      <c r="BK22" s="95">
        <f t="shared" si="3"/>
        <v>0</v>
      </c>
    </row>
    <row r="23" spans="2:63" ht="14.45" customHeight="1" thickBot="1">
      <c r="B23" s="2" t="s">
        <v>285</v>
      </c>
      <c r="AU23" s="319">
        <f>OBJ!B79</f>
        <v>9347510</v>
      </c>
      <c r="AV23" s="21" t="str">
        <f>VLOOKUP(AU23,CENY!$B$11:$G$1054,2,FALSE)</f>
        <v>AvanY-design ALprofil Hybrid na bok 650/ strieb.</v>
      </c>
      <c r="AW23" s="22">
        <f>VLOOKUP(AU23,CENY!$B$11:$G$1054,3,FALSE)</f>
        <v>200</v>
      </c>
      <c r="AX23" s="22"/>
      <c r="AY23" s="23">
        <f>IF(FORM!AM18=FORM!AU16,0,4*AE20)</f>
        <v>0</v>
      </c>
      <c r="AZ23" s="326">
        <f t="shared" si="1"/>
        <v>0</v>
      </c>
      <c r="BA23" s="95">
        <f>VLOOKUP(AU23,CENY!$B$11:$M$2025,12,FALSE)</f>
        <v>1.1824300000000001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 t="str">
        <f t="shared" si="3"/>
        <v/>
      </c>
    </row>
    <row r="24" spans="2:63" ht="14.45" customHeight="1" thickBot="1">
      <c r="B24" s="96"/>
      <c r="C24" s="96"/>
      <c r="D24" s="96"/>
      <c r="E24" s="96"/>
      <c r="F24" s="96"/>
      <c r="G24" s="96"/>
      <c r="H24" s="72"/>
      <c r="I24" s="72"/>
      <c r="J24" s="72"/>
      <c r="K24" s="72"/>
      <c r="L24" s="72"/>
      <c r="M24" s="72"/>
      <c r="N24" s="72" t="str">
        <f>verze!$E$20&amp;" "</f>
        <v xml:space="preserve">Menovitá dĺžka: </v>
      </c>
      <c r="O24" s="537">
        <v>270</v>
      </c>
      <c r="P24" s="538"/>
      <c r="Q24" s="537">
        <v>300</v>
      </c>
      <c r="R24" s="538"/>
      <c r="S24" s="537">
        <v>350</v>
      </c>
      <c r="T24" s="538"/>
      <c r="U24" s="537">
        <v>400</v>
      </c>
      <c r="V24" s="538"/>
      <c r="W24" s="537">
        <v>450</v>
      </c>
      <c r="X24" s="538"/>
      <c r="Y24" s="539">
        <v>500</v>
      </c>
      <c r="Z24" s="540"/>
      <c r="AA24" s="537">
        <v>550</v>
      </c>
      <c r="AB24" s="538"/>
      <c r="AC24" s="537">
        <v>600</v>
      </c>
      <c r="AD24" s="538"/>
      <c r="AU24" s="319"/>
      <c r="AV24" s="21"/>
      <c r="AW24" s="22"/>
      <c r="AX24" s="22"/>
      <c r="AY24" s="23"/>
      <c r="AZ24" s="326" t="str">
        <f t="shared" si="1"/>
        <v/>
      </c>
      <c r="BA24" s="95"/>
      <c r="BB24" s="95" t="str">
        <f t="shared" si="0"/>
        <v/>
      </c>
      <c r="BD24" s="319">
        <f>OBJ!B141</f>
        <v>9255838</v>
      </c>
      <c r="BE24" s="21" t="str">
        <f>VLOOKUP(BD24,CENY!$B$11:$G$1054,2,FALSE)</f>
        <v>AvanY-prích.čela k naskrutk./ v187-251</v>
      </c>
      <c r="BF24" s="22">
        <f>VLOOKUP(BD24,CENY!$B$11:$G$1054,3,FALSE)</f>
        <v>200</v>
      </c>
      <c r="BG24" s="22"/>
      <c r="BH24" s="23">
        <f>4*(SUM(O19:AD19)+SUM(W20:AF20)+SUM(O25:AD25))</f>
        <v>0</v>
      </c>
      <c r="BI24" s="326">
        <f t="shared" si="2"/>
        <v>0</v>
      </c>
      <c r="BJ24" s="95">
        <f>VLOOKUP(BD24,CENY!$B$11:$M$2025,12,FALSE)</f>
        <v>2.32422</v>
      </c>
      <c r="BK24" s="95">
        <f t="shared" si="3"/>
        <v>0</v>
      </c>
    </row>
    <row r="25" spans="2:63" ht="14.45" customHeight="1" thickBot="1">
      <c r="B25" s="523" t="s">
        <v>372</v>
      </c>
      <c r="C25" s="523"/>
      <c r="D25" s="523"/>
      <c r="E25" s="523"/>
      <c r="F25" s="523"/>
      <c r="G25" s="523"/>
      <c r="H25" s="524" t="str">
        <f>verze!E18</f>
        <v>plnovýsuv</v>
      </c>
      <c r="I25" s="524"/>
      <c r="J25" s="524"/>
      <c r="K25" s="524"/>
      <c r="L25" s="524"/>
      <c r="M25" s="534" t="s">
        <v>1</v>
      </c>
      <c r="N25" s="535"/>
      <c r="O25" s="569"/>
      <c r="P25" s="605"/>
      <c r="Q25" s="606"/>
      <c r="R25" s="605"/>
      <c r="S25" s="606"/>
      <c r="T25" s="570"/>
      <c r="U25" s="606"/>
      <c r="V25" s="570"/>
      <c r="W25" s="606"/>
      <c r="X25" s="570"/>
      <c r="Y25" s="606"/>
      <c r="Z25" s="570"/>
      <c r="AA25" s="606"/>
      <c r="AB25" s="570"/>
      <c r="AC25" s="518"/>
      <c r="AD25" s="604"/>
      <c r="AU25" s="319">
        <f>OBJ!B243</f>
        <v>9318186</v>
      </c>
      <c r="AV25" s="21" t="str">
        <f>VLOOKUP(AU25,CENY!$B$11:$G$1054,2,FALSE)</f>
        <v>Actro You(L) 270/SiSy 40kg; EB21</v>
      </c>
      <c r="AW25" s="22">
        <f>VLOOKUP(AU25,CENY!$B$11:$G$1054,3,FALSE)</f>
        <v>1</v>
      </c>
      <c r="AX25" s="362">
        <v>8</v>
      </c>
      <c r="AY25" s="23">
        <f>O19</f>
        <v>0</v>
      </c>
      <c r="AZ25" s="326">
        <f t="shared" si="1"/>
        <v>0</v>
      </c>
      <c r="BA25" s="95">
        <f>VLOOKUP(AU25,CENY!$B$11:$M$2025,12,FALSE)</f>
        <v>31.62575</v>
      </c>
      <c r="BB25" s="95">
        <f t="shared" si="0"/>
        <v>0</v>
      </c>
      <c r="BD25" s="319">
        <f>OBJ!B48</f>
        <v>9257702</v>
      </c>
      <c r="BE25" s="21" t="str">
        <f>VLOOKUP(BD25,CENY!$B$11:$G$1054,2,FALSE)</f>
        <v>AvanY-stabilizátor chrbáta</v>
      </c>
      <c r="BF25" s="22">
        <f>VLOOKUP(BD25,CENY!$B$11:$G$1054,3,FALSE)</f>
        <v>200</v>
      </c>
      <c r="BG25" s="22"/>
      <c r="BH25" s="23">
        <f>0*(SUM(O19:AD19)+SUM(W20:AF20)+SUM(O25:AD25))</f>
        <v>0</v>
      </c>
      <c r="BI25" s="326">
        <f t="shared" si="2"/>
        <v>0</v>
      </c>
      <c r="BJ25" s="95">
        <f>VLOOKUP(BD25,CENY!$B$11:$M$2025,12,FALSE)</f>
        <v>0.74794000000000005</v>
      </c>
      <c r="BK25" s="95">
        <f t="shared" si="3"/>
        <v>0</v>
      </c>
    </row>
    <row r="26" spans="2:63" ht="14.45" customHeight="1" thickBot="1">
      <c r="O26" s="342"/>
      <c r="P26" s="343"/>
      <c r="Q26" s="342"/>
      <c r="R26" s="343"/>
      <c r="S26" s="342"/>
      <c r="T26" s="343"/>
      <c r="U26" s="342"/>
      <c r="V26" s="343"/>
      <c r="W26" s="342"/>
      <c r="X26" s="343"/>
      <c r="Y26" s="342"/>
      <c r="Z26" s="343"/>
      <c r="AA26" s="342"/>
      <c r="AB26" s="343"/>
      <c r="AC26" s="342"/>
      <c r="AD26" s="343"/>
      <c r="AU26" s="319">
        <f>OBJ!B244</f>
        <v>9318187</v>
      </c>
      <c r="AV26" s="21" t="str">
        <f>VLOOKUP(AU26,CENY!$B$11:$G$1054,2,FALSE)</f>
        <v>Actro You(L) 300/SiSy 40kg; EB21</v>
      </c>
      <c r="AW26" s="22">
        <f>VLOOKUP(AU26,CENY!$B$11:$G$1054,3,FALSE)</f>
        <v>1</v>
      </c>
      <c r="AX26" s="362">
        <v>8</v>
      </c>
      <c r="AY26" s="23">
        <f>Q19</f>
        <v>0</v>
      </c>
      <c r="AZ26" s="326">
        <f t="shared" si="1"/>
        <v>0</v>
      </c>
      <c r="BA26" s="95">
        <f>VLOOKUP(AU26,CENY!$B$11:$M$2025,12,FALSE)</f>
        <v>31.62575</v>
      </c>
      <c r="BB26" s="95">
        <f t="shared" si="0"/>
        <v>0</v>
      </c>
      <c r="BD26" s="20"/>
      <c r="BE26" s="21"/>
      <c r="BF26" s="22"/>
      <c r="BG26" s="22"/>
      <c r="BH26" s="23"/>
      <c r="BI26" s="326" t="str">
        <f t="shared" si="2"/>
        <v/>
      </c>
      <c r="BJ26" s="95"/>
      <c r="BK26" s="95" t="str">
        <f t="shared" si="3"/>
        <v/>
      </c>
    </row>
    <row r="27" spans="2:63" ht="14.45" customHeight="1">
      <c r="B27" s="366" t="str">
        <f>verze!E201</f>
        <v>SiSy = tlmenie Silent System</v>
      </c>
      <c r="AU27" s="319">
        <f>OBJ!B245</f>
        <v>9318188</v>
      </c>
      <c r="AV27" s="21" t="str">
        <f>VLOOKUP(AU27,CENY!$B$11:$G$1054,2,FALSE)</f>
        <v>Actro You(L) 350/SiSy 40kg; EB21</v>
      </c>
      <c r="AW27" s="22">
        <f>VLOOKUP(AU27,CENY!$B$11:$G$1054,3,FALSE)</f>
        <v>1</v>
      </c>
      <c r="AX27" s="362">
        <v>8</v>
      </c>
      <c r="AY27" s="23">
        <f>S19</f>
        <v>0</v>
      </c>
      <c r="AZ27" s="326">
        <f t="shared" si="1"/>
        <v>0</v>
      </c>
      <c r="BA27" s="95">
        <f>VLOOKUP(AU27,CENY!$B$11:$M$2025,12,FALSE)</f>
        <v>31.62575</v>
      </c>
      <c r="BB27" s="95">
        <f t="shared" si="0"/>
        <v>0</v>
      </c>
      <c r="BD27" s="319">
        <f>OBJ!B71</f>
        <v>9347502</v>
      </c>
      <c r="BE27" s="21" t="str">
        <f>VLOOKUP(BD27,CENY!$B$11:$G$1054,2,FALSE)</f>
        <v>AvanY-design ALprofil Hybrid na bok 270/ strieb.</v>
      </c>
      <c r="BF27" s="22">
        <f>VLOOKUP(BD27,CENY!$B$11:$G$1054,3,FALSE)</f>
        <v>200</v>
      </c>
      <c r="BG27" s="22"/>
      <c r="BH27" s="23">
        <f>4*(O19+O25)</f>
        <v>0</v>
      </c>
      <c r="BI27" s="326">
        <f t="shared" si="2"/>
        <v>0</v>
      </c>
      <c r="BJ27" s="95">
        <f>VLOOKUP(BD27,CENY!$B$11:$M$2025,12,FALSE)</f>
        <v>0.95189000000000001</v>
      </c>
      <c r="BK27" s="95">
        <f t="shared" si="3"/>
        <v>0</v>
      </c>
    </row>
    <row r="28" spans="2:63" ht="14.45" customHeight="1">
      <c r="B28" s="366"/>
      <c r="O28" s="341" t="str">
        <f>verze!E189</f>
        <v>Maximálna výška korpusu skrinky = 750mm.   Maximálna šírka korpusu skrinky = 300mm.</v>
      </c>
      <c r="AU28" s="319">
        <f>OBJ!B246</f>
        <v>9318190</v>
      </c>
      <c r="AV28" s="21" t="str">
        <f>VLOOKUP(AU28,CENY!$B$11:$G$1054,2,FALSE)</f>
        <v>Actro You(L) 400/SiSy 40kg; EB21</v>
      </c>
      <c r="AW28" s="22">
        <f>VLOOKUP(AU28,CENY!$B$11:$G$1054,3,FALSE)</f>
        <v>1</v>
      </c>
      <c r="AX28" s="362">
        <v>8</v>
      </c>
      <c r="AY28" s="23">
        <f>U19</f>
        <v>0</v>
      </c>
      <c r="AZ28" s="326">
        <f t="shared" si="1"/>
        <v>0</v>
      </c>
      <c r="BA28" s="95">
        <f>VLOOKUP(AU28,CENY!$B$11:$M$2025,12,FALSE)</f>
        <v>31.976389999999999</v>
      </c>
      <c r="BB28" s="95">
        <f t="shared" si="0"/>
        <v>0</v>
      </c>
      <c r="BD28" s="319">
        <f>OBJ!B72</f>
        <v>9347503</v>
      </c>
      <c r="BE28" s="21" t="str">
        <f>VLOOKUP(BD28,CENY!$B$11:$G$1054,2,FALSE)</f>
        <v>AvanY-design ALprofil Hybrid na bok 300/ strieb.</v>
      </c>
      <c r="BF28" s="22">
        <f>VLOOKUP(BD28,CENY!$B$11:$G$1054,3,FALSE)</f>
        <v>200</v>
      </c>
      <c r="BG28" s="22"/>
      <c r="BH28" s="23">
        <f>4*(Q19+Q25)</f>
        <v>0</v>
      </c>
      <c r="BI28" s="326">
        <f t="shared" si="2"/>
        <v>0</v>
      </c>
      <c r="BJ28" s="95">
        <f>VLOOKUP(BD28,CENY!$B$11:$M$2025,12,FALSE)</f>
        <v>0.96240999999999999</v>
      </c>
      <c r="BK28" s="95">
        <f t="shared" si="3"/>
        <v>0</v>
      </c>
    </row>
    <row r="29" spans="2:63" ht="14.45" customHeight="1">
      <c r="B29" s="366"/>
      <c r="Q29" s="341"/>
      <c r="AU29" s="319">
        <f>OBJ!B247</f>
        <v>9318191</v>
      </c>
      <c r="AV29" s="21" t="str">
        <f>VLOOKUP(AU29,CENY!$B$11:$G$1054,2,FALSE)</f>
        <v>Actro You(L) 450/SiSy 40kg; EB21</v>
      </c>
      <c r="AW29" s="22">
        <f>VLOOKUP(AU29,CENY!$B$11:$G$1054,3,FALSE)</f>
        <v>1</v>
      </c>
      <c r="AX29" s="362">
        <v>10</v>
      </c>
      <c r="AY29" s="23">
        <f>W19</f>
        <v>0</v>
      </c>
      <c r="AZ29" s="326">
        <f t="shared" si="1"/>
        <v>0</v>
      </c>
      <c r="BA29" s="95">
        <f>VLOOKUP(AU29,CENY!$B$11:$M$2025,12,FALSE)</f>
        <v>32.324420000000003</v>
      </c>
      <c r="BB29" s="95">
        <f t="shared" si="0"/>
        <v>0</v>
      </c>
      <c r="BD29" s="319">
        <f>OBJ!B73</f>
        <v>9347504</v>
      </c>
      <c r="BE29" s="21" t="str">
        <f>VLOOKUP(BD29,CENY!$B$11:$G$1054,2,FALSE)</f>
        <v>AvanY-design ALprofil Hybrid na bok 350/ strieb.</v>
      </c>
      <c r="BF29" s="22">
        <f>VLOOKUP(BD29,CENY!$B$11:$G$1054,3,FALSE)</f>
        <v>200</v>
      </c>
      <c r="BG29" s="22"/>
      <c r="BH29" s="23">
        <f>4*(S19+S25)</f>
        <v>0</v>
      </c>
      <c r="BI29" s="326">
        <f t="shared" si="2"/>
        <v>0</v>
      </c>
      <c r="BJ29" s="95">
        <f>VLOOKUP(BD29,CENY!$B$11:$M$2025,12,FALSE)</f>
        <v>0.98018000000000005</v>
      </c>
      <c r="BK29" s="95">
        <f t="shared" si="3"/>
        <v>0</v>
      </c>
    </row>
    <row r="30" spans="2:63" ht="14.45" customHeight="1">
      <c r="AU30" s="319">
        <f>OBJ!B248</f>
        <v>9318192</v>
      </c>
      <c r="AV30" s="21" t="str">
        <f>VLOOKUP(AU30,CENY!$B$11:$G$1054,2,FALSE)</f>
        <v>Actro You(L) 500/SiSy 40kg; EB21</v>
      </c>
      <c r="AW30" s="22">
        <f>VLOOKUP(AU30,CENY!$B$11:$G$1054,3,FALSE)</f>
        <v>1</v>
      </c>
      <c r="AX30" s="362">
        <v>10</v>
      </c>
      <c r="AY30" s="23">
        <f>Y19</f>
        <v>0</v>
      </c>
      <c r="AZ30" s="326">
        <f t="shared" si="1"/>
        <v>0</v>
      </c>
      <c r="BA30" s="95">
        <f>VLOOKUP(AU30,CENY!$B$11:$M$2025,12,FALSE)</f>
        <v>6.5957299999999996</v>
      </c>
      <c r="BB30" s="95">
        <f t="shared" si="0"/>
        <v>0</v>
      </c>
      <c r="BD30" s="319">
        <f>OBJ!B74</f>
        <v>9347505</v>
      </c>
      <c r="BE30" s="21" t="str">
        <f>VLOOKUP(BD30,CENY!$B$11:$G$1054,2,FALSE)</f>
        <v>AvanY-design ALprofil Hybrid na bok 400/ strieb.</v>
      </c>
      <c r="BF30" s="22">
        <f>VLOOKUP(BD30,CENY!$B$11:$G$1054,3,FALSE)</f>
        <v>200</v>
      </c>
      <c r="BG30" s="22"/>
      <c r="BH30" s="23">
        <f>4*(U19+U25)</f>
        <v>0</v>
      </c>
      <c r="BI30" s="326">
        <f t="shared" si="2"/>
        <v>0</v>
      </c>
      <c r="BJ30" s="95">
        <f>VLOOKUP(BD30,CENY!$B$11:$M$2025,12,FALSE)</f>
        <v>0.99777000000000005</v>
      </c>
      <c r="BK30" s="95">
        <f t="shared" si="3"/>
        <v>0</v>
      </c>
    </row>
    <row r="31" spans="2:63" ht="14.45" customHeight="1">
      <c r="AU31" s="319">
        <f>OBJ!B249</f>
        <v>9318194</v>
      </c>
      <c r="AV31" s="21" t="str">
        <f>VLOOKUP(AU31,CENY!$B$11:$G$1054,2,FALSE)</f>
        <v>Actro You(L) 550/SiSy 40kg; EB21</v>
      </c>
      <c r="AW31" s="22">
        <f>VLOOKUP(AU31,CENY!$B$11:$G$1054,3,FALSE)</f>
        <v>1</v>
      </c>
      <c r="AX31" s="362">
        <v>10</v>
      </c>
      <c r="AY31" s="23">
        <f>AA19</f>
        <v>0</v>
      </c>
      <c r="AZ31" s="326">
        <f t="shared" si="1"/>
        <v>0</v>
      </c>
      <c r="BA31" s="95">
        <f>VLOOKUP(AU31,CENY!$B$11:$M$2025,12,FALSE)</f>
        <v>6.9728000000000003</v>
      </c>
      <c r="BB31" s="95">
        <f t="shared" si="0"/>
        <v>0</v>
      </c>
      <c r="BD31" s="319">
        <f>OBJ!B75</f>
        <v>9347506</v>
      </c>
      <c r="BE31" s="21" t="str">
        <f>VLOOKUP(BD31,CENY!$B$11:$G$1054,2,FALSE)</f>
        <v>AvanY-design ALprofil Hybrid na bok 450/ strieb.</v>
      </c>
      <c r="BF31" s="22">
        <f>VLOOKUP(BD31,CENY!$B$11:$G$1054,3,FALSE)</f>
        <v>200</v>
      </c>
      <c r="BG31" s="22"/>
      <c r="BH31" s="23">
        <f>4*(W19+W20+W25)</f>
        <v>0</v>
      </c>
      <c r="BI31" s="326">
        <f t="shared" si="2"/>
        <v>0</v>
      </c>
      <c r="BJ31" s="95">
        <f>VLOOKUP(BD31,CENY!$B$11:$M$2025,12,FALSE)</f>
        <v>1.01556</v>
      </c>
      <c r="BK31" s="95">
        <f t="shared" si="3"/>
        <v>0</v>
      </c>
    </row>
    <row r="32" spans="2:63" ht="14.45" customHeight="1">
      <c r="AU32" s="319">
        <f>OBJ!B250</f>
        <v>9318196</v>
      </c>
      <c r="AV32" s="21" t="str">
        <f>VLOOKUP(AU32,CENY!$B$11:$G$1054,2,FALSE)</f>
        <v>Actro You(L) 600/SiSy 40kg; EB21</v>
      </c>
      <c r="AW32" s="22">
        <f>VLOOKUP(AU32,CENY!$B$11:$G$1054,3,FALSE)</f>
        <v>1</v>
      </c>
      <c r="AX32" s="362">
        <v>10</v>
      </c>
      <c r="AY32" s="23">
        <f>AC19</f>
        <v>0</v>
      </c>
      <c r="AZ32" s="326">
        <f t="shared" si="1"/>
        <v>0</v>
      </c>
      <c r="BA32" s="95">
        <f>VLOOKUP(AU32,CENY!$B$11:$M$2025,12,FALSE)</f>
        <v>34.956960000000002</v>
      </c>
      <c r="BB32" s="95">
        <f t="shared" si="0"/>
        <v>0</v>
      </c>
      <c r="BD32" s="319">
        <f>OBJ!B76</f>
        <v>9347507</v>
      </c>
      <c r="BE32" s="21" t="str">
        <f>VLOOKUP(BD32,CENY!$B$11:$G$1054,2,FALSE)</f>
        <v>AvanY-design ALprofil Hybrid na bok 500/ strieb.</v>
      </c>
      <c r="BF32" s="22">
        <f>VLOOKUP(BD32,CENY!$B$11:$G$1054,3,FALSE)</f>
        <v>200</v>
      </c>
      <c r="BG32" s="22"/>
      <c r="BH32" s="23">
        <f>4*(Y19+Y20+Y25)</f>
        <v>0</v>
      </c>
      <c r="BI32" s="326">
        <f t="shared" si="2"/>
        <v>0</v>
      </c>
      <c r="BJ32" s="95">
        <f>VLOOKUP(BD32,CENY!$B$11:$M$2025,12,FALSE)</f>
        <v>1.0332399999999999</v>
      </c>
      <c r="BK32" s="95">
        <f t="shared" si="3"/>
        <v>0</v>
      </c>
    </row>
    <row r="33" spans="47:63" ht="14.45" customHeight="1">
      <c r="AU33" s="319"/>
      <c r="AV33" s="21"/>
      <c r="AW33" s="22"/>
      <c r="AX33" s="22"/>
      <c r="AY33" s="23"/>
      <c r="AZ33" s="326" t="str">
        <f t="shared" si="1"/>
        <v/>
      </c>
      <c r="BA33" s="95"/>
      <c r="BB33" s="95" t="str">
        <f t="shared" si="0"/>
        <v/>
      </c>
      <c r="BD33" s="319">
        <f>OBJ!B77</f>
        <v>9347508</v>
      </c>
      <c r="BE33" s="21" t="str">
        <f>VLOOKUP(BD33,CENY!$B$11:$G$1054,2,FALSE)</f>
        <v>AvanY-design ALprofil Hybrid na bok 550/ strieb.</v>
      </c>
      <c r="BF33" s="22">
        <f>VLOOKUP(BD33,CENY!$B$11:$G$1054,3,FALSE)</f>
        <v>200</v>
      </c>
      <c r="BG33" s="22"/>
      <c r="BH33" s="23">
        <f>4*(AA19+AA20+AA25)</f>
        <v>0</v>
      </c>
      <c r="BI33" s="326">
        <f t="shared" si="2"/>
        <v>0</v>
      </c>
      <c r="BJ33" s="95">
        <f>VLOOKUP(BD33,CENY!$B$11:$M$2025,12,FALSE)</f>
        <v>1.0508599999999999</v>
      </c>
      <c r="BK33" s="95">
        <f t="shared" si="3"/>
        <v>0</v>
      </c>
    </row>
    <row r="34" spans="47:63" ht="14.45" customHeight="1">
      <c r="AU34" s="319">
        <f>OBJ!B268</f>
        <v>9318215</v>
      </c>
      <c r="AV34" s="21" t="str">
        <f>VLOOKUP(AU34,CENY!$B$11:$G$1054,2,FALSE)</f>
        <v>Actro You(XL) 450/SiSy 70kg; EB21</v>
      </c>
      <c r="AW34" s="22">
        <f>VLOOKUP(AU34,CENY!$B$11:$G$1054,3,FALSE)</f>
        <v>1</v>
      </c>
      <c r="AX34" s="362">
        <v>10</v>
      </c>
      <c r="AY34" s="23">
        <f>W20</f>
        <v>0</v>
      </c>
      <c r="AZ34" s="326">
        <f t="shared" si="1"/>
        <v>0</v>
      </c>
      <c r="BA34" s="95">
        <f>VLOOKUP(AU34,CENY!$B$11:$M$2025,12,FALSE)</f>
        <v>7.9265800000000004</v>
      </c>
      <c r="BB34" s="95">
        <f t="shared" si="0"/>
        <v>0</v>
      </c>
      <c r="BD34" s="319">
        <f>OBJ!B78</f>
        <v>9347509</v>
      </c>
      <c r="BE34" s="21" t="str">
        <f>VLOOKUP(BD34,CENY!$B$11:$G$1054,2,FALSE)</f>
        <v>AvanY-design ALprofil Hybrid na bok 600/ strieb.</v>
      </c>
      <c r="BF34" s="22">
        <f>VLOOKUP(BD34,CENY!$B$11:$G$1054,3,FALSE)</f>
        <v>200</v>
      </c>
      <c r="BG34" s="22"/>
      <c r="BH34" s="23">
        <f>4*(AC19+AC20+AC25)</f>
        <v>0</v>
      </c>
      <c r="BI34" s="326">
        <f t="shared" si="2"/>
        <v>0</v>
      </c>
      <c r="BJ34" s="95">
        <f>VLOOKUP(BD34,CENY!$B$11:$M$2025,12,FALSE)</f>
        <v>1.09639</v>
      </c>
      <c r="BK34" s="95">
        <f t="shared" si="3"/>
        <v>0</v>
      </c>
    </row>
    <row r="35" spans="47:63" ht="14.45" customHeight="1">
      <c r="AU35" s="319">
        <f>OBJ!B269</f>
        <v>9318216</v>
      </c>
      <c r="AV35" s="21" t="str">
        <f>VLOOKUP(AU35,CENY!$B$11:$G$1054,2,FALSE)</f>
        <v>Actro You(XL) 500/SiSy 70kg; EB21</v>
      </c>
      <c r="AW35" s="22">
        <f>VLOOKUP(AU35,CENY!$B$11:$G$1054,3,FALSE)</f>
        <v>1</v>
      </c>
      <c r="AX35" s="362">
        <v>10</v>
      </c>
      <c r="AY35" s="23">
        <f>Y20</f>
        <v>0</v>
      </c>
      <c r="AZ35" s="326">
        <f t="shared" si="1"/>
        <v>0</v>
      </c>
      <c r="BA35" s="95">
        <f>VLOOKUP(AU35,CENY!$B$11:$M$2025,12,FALSE)</f>
        <v>39.622210000000003</v>
      </c>
      <c r="BB35" s="95">
        <f t="shared" si="0"/>
        <v>0</v>
      </c>
      <c r="BD35" s="319">
        <f>OBJ!B79</f>
        <v>9347510</v>
      </c>
      <c r="BE35" s="21" t="str">
        <f>VLOOKUP(BD35,CENY!$B$11:$G$1054,2,FALSE)</f>
        <v>AvanY-design ALprofil Hybrid na bok 650/ strieb.</v>
      </c>
      <c r="BF35" s="22">
        <f>VLOOKUP(BD35,CENY!$B$11:$G$1054,3,FALSE)</f>
        <v>200</v>
      </c>
      <c r="BG35" s="22"/>
      <c r="BH35" s="23">
        <f>4*AE20</f>
        <v>0</v>
      </c>
      <c r="BI35" s="326">
        <f t="shared" si="2"/>
        <v>0</v>
      </c>
      <c r="BJ35" s="95">
        <f>VLOOKUP(BD35,CENY!$B$11:$M$2025,12,FALSE)</f>
        <v>1.1824300000000001</v>
      </c>
      <c r="BK35" s="95">
        <f t="shared" si="3"/>
        <v>0</v>
      </c>
    </row>
    <row r="36" spans="47:63" ht="14.45" customHeight="1">
      <c r="AU36" s="319">
        <f>OBJ!B270</f>
        <v>9318217</v>
      </c>
      <c r="AV36" s="21" t="str">
        <f>VLOOKUP(AU36,CENY!$B$11:$G$1054,2,FALSE)</f>
        <v>Actro You(XL) 550/SiSy 70kg; EB21</v>
      </c>
      <c r="AW36" s="22">
        <f>VLOOKUP(AU36,CENY!$B$11:$G$1054,3,FALSE)</f>
        <v>1</v>
      </c>
      <c r="AX36" s="362">
        <v>10</v>
      </c>
      <c r="AY36" s="23">
        <f>AA20</f>
        <v>0</v>
      </c>
      <c r="AZ36" s="326">
        <f t="shared" si="1"/>
        <v>0</v>
      </c>
      <c r="BA36" s="95">
        <f>VLOOKUP(AU36,CENY!$B$11:$M$2025,12,FALSE)</f>
        <v>41.504899999999999</v>
      </c>
      <c r="BB36" s="95">
        <f t="shared" si="0"/>
        <v>0</v>
      </c>
      <c r="BD36" s="319"/>
      <c r="BE36" s="21"/>
      <c r="BF36" s="22"/>
      <c r="BG36" s="22"/>
      <c r="BH36" s="23"/>
      <c r="BI36" s="326" t="str">
        <f t="shared" si="2"/>
        <v/>
      </c>
      <c r="BJ36" s="95"/>
      <c r="BK36" s="95" t="str">
        <f t="shared" si="3"/>
        <v/>
      </c>
    </row>
    <row r="37" spans="47:63" ht="14.45" customHeight="1">
      <c r="AU37" s="319">
        <f>OBJ!B271</f>
        <v>9318218</v>
      </c>
      <c r="AV37" s="21" t="str">
        <f>VLOOKUP(AU37,CENY!$B$11:$G$1054,2,FALSE)</f>
        <v>Actro You(XL) 600/SiSy 70kg; EB21</v>
      </c>
      <c r="AW37" s="22">
        <f>VLOOKUP(AU37,CENY!$B$11:$G$1054,3,FALSE)</f>
        <v>1</v>
      </c>
      <c r="AX37" s="362">
        <v>10</v>
      </c>
      <c r="AY37" s="23">
        <f>AC20</f>
        <v>0</v>
      </c>
      <c r="AZ37" s="326">
        <f t="shared" si="1"/>
        <v>0</v>
      </c>
      <c r="BA37" s="95">
        <f>VLOOKUP(AU37,CENY!$B$11:$M$2025,12,FALSE)</f>
        <v>45.308109999999999</v>
      </c>
      <c r="BB37" s="95">
        <f t="shared" si="0"/>
        <v>0</v>
      </c>
      <c r="BD37" s="319">
        <f>OBJ!B251</f>
        <v>9318167</v>
      </c>
      <c r="BE37" s="21" t="str">
        <f>VLOOKUP(BD37,CENY!$B$11:$G$1054,2,FALSE)</f>
        <v>Actro You(L) 270/SiSy 40kg; EB21; ľavý</v>
      </c>
      <c r="BF37" s="22">
        <f>VLOOKUP(BD37,CENY!$B$11:$G$1054,3,FALSE)</f>
        <v>10</v>
      </c>
      <c r="BG37" s="22"/>
      <c r="BH37" s="23">
        <f>AY25</f>
        <v>0</v>
      </c>
      <c r="BI37" s="326">
        <f t="shared" si="2"/>
        <v>0</v>
      </c>
      <c r="BJ37" s="95" t="e">
        <f>VLOOKUP(BD37,CENY!$B$11:$M$2025,12,FALSE)</f>
        <v>#N/A</v>
      </c>
      <c r="BK37" s="95" t="e">
        <f t="shared" si="3"/>
        <v>#N/A</v>
      </c>
    </row>
    <row r="38" spans="47:63" ht="14.45" customHeight="1">
      <c r="AU38" s="319">
        <f>OBJ!B272</f>
        <v>9318219</v>
      </c>
      <c r="AV38" s="21" t="str">
        <f>VLOOKUP(AU38,CENY!$B$11:$G$1054,2,FALSE)</f>
        <v>Actro You(XL) 650/SiSy 70kg; EB21</v>
      </c>
      <c r="AW38" s="22">
        <f>VLOOKUP(AU38,CENY!$B$11:$G$1054,3,FALSE)</f>
        <v>1</v>
      </c>
      <c r="AX38" s="362">
        <v>10</v>
      </c>
      <c r="AY38" s="23">
        <f>AE20</f>
        <v>0</v>
      </c>
      <c r="AZ38" s="326">
        <f t="shared" si="1"/>
        <v>0</v>
      </c>
      <c r="BA38" s="95">
        <f>VLOOKUP(AU38,CENY!$B$11:$M$2025,12,FALSE)</f>
        <v>47.02431</v>
      </c>
      <c r="BB38" s="95">
        <f t="shared" si="0"/>
        <v>0</v>
      </c>
      <c r="BD38" s="319">
        <f>OBJ!B252</f>
        <v>9318170</v>
      </c>
      <c r="BE38" s="21" t="str">
        <f>VLOOKUP(BD38,CENY!$B$11:$G$1054,2,FALSE)</f>
        <v>Actro You(L) 270/SiSy 40kg; EB21; pravý</v>
      </c>
      <c r="BF38" s="22">
        <f>VLOOKUP(BD38,CENY!$B$11:$G$1054,3,FALSE)</f>
        <v>10</v>
      </c>
      <c r="BG38" s="22"/>
      <c r="BH38" s="23">
        <f>AY25</f>
        <v>0</v>
      </c>
      <c r="BI38" s="326">
        <f t="shared" si="2"/>
        <v>0</v>
      </c>
      <c r="BJ38" s="95" t="e">
        <f>VLOOKUP(BD38,CENY!$B$11:$M$2025,12,FALSE)</f>
        <v>#N/A</v>
      </c>
      <c r="BK38" s="95" t="e">
        <f t="shared" si="3"/>
        <v>#N/A</v>
      </c>
    </row>
    <row r="39" spans="47:63" ht="14.45" customHeight="1">
      <c r="AU39" s="319"/>
      <c r="AV39" s="21"/>
      <c r="AW39" s="22"/>
      <c r="AX39" s="22"/>
      <c r="AY39" s="23"/>
      <c r="AZ39" s="326" t="str">
        <f t="shared" si="1"/>
        <v/>
      </c>
      <c r="BA39" s="95"/>
      <c r="BB39" s="95" t="str">
        <f t="shared" si="0"/>
        <v/>
      </c>
      <c r="BD39" s="319">
        <f>OBJ!B253</f>
        <v>9318171</v>
      </c>
      <c r="BE39" s="21" t="str">
        <f>VLOOKUP(BD39,CENY!$B$11:$G$1054,2,FALSE)</f>
        <v>Actro You(L) 300/SiSy 40kg; EB21; ľavý</v>
      </c>
      <c r="BF39" s="22">
        <f>VLOOKUP(BD39,CENY!$B$11:$G$1054,3,FALSE)</f>
        <v>10</v>
      </c>
      <c r="BG39" s="22"/>
      <c r="BH39" s="23">
        <f>AY26</f>
        <v>0</v>
      </c>
      <c r="BI39" s="326">
        <f t="shared" si="2"/>
        <v>0</v>
      </c>
      <c r="BJ39" s="95">
        <f>VLOOKUP(BD39,CENY!$B$11:$M$2025,12,FALSE)</f>
        <v>14.37729</v>
      </c>
      <c r="BK39" s="95">
        <f t="shared" si="3"/>
        <v>0</v>
      </c>
    </row>
    <row r="40" spans="47:63" ht="14.45" customHeight="1">
      <c r="AU40" s="319">
        <f>OBJ!B304</f>
        <v>9256883</v>
      </c>
      <c r="AV40" s="21" t="str">
        <f>VLOOKUP(AU40,CENY!$B$11:$G$1054,2,FALSE)</f>
        <v>Quadro You(M) 270/SiSy 20kg; EB21</v>
      </c>
      <c r="AW40" s="22">
        <f>VLOOKUP(AU40,CENY!$B$11:$G$1054,3,FALSE)</f>
        <v>1</v>
      </c>
      <c r="AX40" s="362">
        <v>8</v>
      </c>
      <c r="AY40" s="23">
        <f>O25</f>
        <v>0</v>
      </c>
      <c r="AZ40" s="326">
        <f t="shared" si="1"/>
        <v>0</v>
      </c>
      <c r="BA40" s="95">
        <f>VLOOKUP(AU40,CENY!$B$11:$M$2025,12,FALSE)</f>
        <v>23.022449999999999</v>
      </c>
      <c r="BB40" s="95">
        <f t="shared" si="0"/>
        <v>0</v>
      </c>
      <c r="BD40" s="319">
        <f>OBJ!B254</f>
        <v>9318172</v>
      </c>
      <c r="BE40" s="21" t="str">
        <f>VLOOKUP(BD40,CENY!$B$11:$G$1054,2,FALSE)</f>
        <v>Actro You(L) 300/SiSy 40kg; EB21; pravý</v>
      </c>
      <c r="BF40" s="22">
        <f>VLOOKUP(BD40,CENY!$B$11:$G$1054,3,FALSE)</f>
        <v>10</v>
      </c>
      <c r="BG40" s="22"/>
      <c r="BH40" s="23">
        <f>AY26</f>
        <v>0</v>
      </c>
      <c r="BI40" s="326">
        <f t="shared" si="2"/>
        <v>0</v>
      </c>
      <c r="BJ40" s="95">
        <f>VLOOKUP(BD40,CENY!$B$11:$M$2025,12,FALSE)</f>
        <v>14.37729</v>
      </c>
      <c r="BK40" s="95">
        <f t="shared" si="3"/>
        <v>0</v>
      </c>
    </row>
    <row r="41" spans="47:63" ht="14.45" customHeight="1">
      <c r="AU41" s="319">
        <f>OBJ!B305</f>
        <v>9256884</v>
      </c>
      <c r="AV41" s="21" t="str">
        <f>VLOOKUP(AU41,CENY!$B$11:$G$1054,2,FALSE)</f>
        <v>Quadro You(M) 300/SiSy 20kg; EB21</v>
      </c>
      <c r="AW41" s="22">
        <f>VLOOKUP(AU41,CENY!$B$11:$G$1054,3,FALSE)</f>
        <v>1</v>
      </c>
      <c r="AX41" s="362">
        <v>8</v>
      </c>
      <c r="AY41" s="23">
        <f>Q25</f>
        <v>0</v>
      </c>
      <c r="AZ41" s="326">
        <f t="shared" si="1"/>
        <v>0</v>
      </c>
      <c r="BA41" s="95">
        <f>VLOOKUP(AU41,CENY!$B$11:$M$2025,12,FALSE)</f>
        <v>23.069210000000002</v>
      </c>
      <c r="BB41" s="95">
        <f t="shared" si="0"/>
        <v>0</v>
      </c>
      <c r="BD41" s="319">
        <f>OBJ!B255</f>
        <v>9318173</v>
      </c>
      <c r="BE41" s="21" t="str">
        <f>VLOOKUP(BD41,CENY!$B$11:$G$1054,2,FALSE)</f>
        <v>Actro You(L) 350/SiSy 40kg; EB21; ľavý</v>
      </c>
      <c r="BF41" s="22">
        <f>VLOOKUP(BD41,CENY!$B$11:$G$1054,3,FALSE)</f>
        <v>10</v>
      </c>
      <c r="BG41" s="22"/>
      <c r="BH41" s="23">
        <f>AY27</f>
        <v>0</v>
      </c>
      <c r="BI41" s="326">
        <f t="shared" si="2"/>
        <v>0</v>
      </c>
      <c r="BJ41" s="95">
        <f>VLOOKUP(BD41,CENY!$B$11:$M$2025,12,FALSE)</f>
        <v>14.37729</v>
      </c>
      <c r="BK41" s="95">
        <f t="shared" si="3"/>
        <v>0</v>
      </c>
    </row>
    <row r="42" spans="47:63" ht="14.45" customHeight="1">
      <c r="AU42" s="319">
        <f>OBJ!B306</f>
        <v>9256886</v>
      </c>
      <c r="AV42" s="21" t="str">
        <f>VLOOKUP(AU42,CENY!$B$11:$G$1054,2,FALSE)</f>
        <v>Quadro You(M) 350/SiSy 25kg; EB21</v>
      </c>
      <c r="AW42" s="22">
        <f>VLOOKUP(AU42,CENY!$B$11:$G$1054,3,FALSE)</f>
        <v>1</v>
      </c>
      <c r="AX42" s="362">
        <v>8</v>
      </c>
      <c r="AY42" s="23">
        <f>S25</f>
        <v>0</v>
      </c>
      <c r="AZ42" s="326">
        <f t="shared" si="1"/>
        <v>0</v>
      </c>
      <c r="BA42" s="95" t="e">
        <f>VLOOKUP(AU42,CENY!$B$11:$M$2025,12,FALSE)</f>
        <v>#N/A</v>
      </c>
      <c r="BB42" s="95" t="e">
        <f t="shared" si="0"/>
        <v>#N/A</v>
      </c>
      <c r="BD42" s="319">
        <f>OBJ!B256</f>
        <v>9318174</v>
      </c>
      <c r="BE42" s="21" t="str">
        <f>VLOOKUP(BD42,CENY!$B$11:$G$1054,2,FALSE)</f>
        <v>Actro You(L) 350/SiSy 40kg; EB21; pravý</v>
      </c>
      <c r="BF42" s="22">
        <f>VLOOKUP(BD42,CENY!$B$11:$G$1054,3,FALSE)</f>
        <v>10</v>
      </c>
      <c r="BG42" s="22"/>
      <c r="BH42" s="23">
        <f>AY27</f>
        <v>0</v>
      </c>
      <c r="BI42" s="326">
        <f t="shared" si="2"/>
        <v>0</v>
      </c>
      <c r="BJ42" s="95" t="e">
        <f>VLOOKUP(BD42,CENY!$B$11:$M$2025,12,FALSE)</f>
        <v>#N/A</v>
      </c>
      <c r="BK42" s="95" t="e">
        <f t="shared" si="3"/>
        <v>#N/A</v>
      </c>
    </row>
    <row r="43" spans="47:63" ht="14.45" customHeight="1">
      <c r="AU43" s="319">
        <f>OBJ!B307</f>
        <v>9256888</v>
      </c>
      <c r="AV43" s="21" t="str">
        <f>VLOOKUP(AU43,CENY!$B$11:$G$1054,2,FALSE)</f>
        <v>Quadro You(M) 400/SiSy 30kg; EB21</v>
      </c>
      <c r="AW43" s="22">
        <f>VLOOKUP(AU43,CENY!$B$11:$G$1054,3,FALSE)</f>
        <v>1</v>
      </c>
      <c r="AX43" s="362">
        <v>8</v>
      </c>
      <c r="AY43" s="23">
        <f>U25</f>
        <v>0</v>
      </c>
      <c r="AZ43" s="326">
        <f t="shared" si="1"/>
        <v>0</v>
      </c>
      <c r="BA43" s="95">
        <f>VLOOKUP(AU43,CENY!$B$11:$M$2025,12,FALSE)</f>
        <v>24.002659999999999</v>
      </c>
      <c r="BB43" s="95">
        <f t="shared" si="0"/>
        <v>0</v>
      </c>
      <c r="BD43" s="319">
        <f>OBJ!B257</f>
        <v>9318175</v>
      </c>
      <c r="BE43" s="21" t="str">
        <f>VLOOKUP(BD43,CENY!$B$11:$G$1054,2,FALSE)</f>
        <v>Actro You(L) 400/SiSy 40kg; EB21; ľavý</v>
      </c>
      <c r="BF43" s="22">
        <f>VLOOKUP(BD43,CENY!$B$11:$G$1054,3,FALSE)</f>
        <v>10</v>
      </c>
      <c r="BG43" s="22"/>
      <c r="BH43" s="23">
        <f>AY28</f>
        <v>0</v>
      </c>
      <c r="BI43" s="326">
        <f t="shared" si="2"/>
        <v>0</v>
      </c>
      <c r="BJ43" s="95">
        <f>VLOOKUP(BD43,CENY!$B$11:$M$2025,12,FALSE)</f>
        <v>14.56085</v>
      </c>
      <c r="BK43" s="95">
        <f t="shared" si="3"/>
        <v>0</v>
      </c>
    </row>
    <row r="44" spans="47:63" ht="14.45" customHeight="1">
      <c r="AU44" s="319">
        <f>OBJ!B308</f>
        <v>9256890</v>
      </c>
      <c r="AV44" s="21" t="str">
        <f>VLOOKUP(AU44,CENY!$B$11:$G$1054,2,FALSE)</f>
        <v>Quadro You(M) 450/SiSy 30kg; EB21</v>
      </c>
      <c r="AW44" s="22">
        <f>VLOOKUP(AU44,CENY!$B$11:$G$1054,3,FALSE)</f>
        <v>1</v>
      </c>
      <c r="AX44" s="362">
        <v>8</v>
      </c>
      <c r="AY44" s="23">
        <f>W25</f>
        <v>0</v>
      </c>
      <c r="AZ44" s="326">
        <f t="shared" si="1"/>
        <v>0</v>
      </c>
      <c r="BA44" s="95">
        <f>VLOOKUP(AU44,CENY!$B$11:$M$2025,12,FALSE)</f>
        <v>4.9393000000000002</v>
      </c>
      <c r="BB44" s="95">
        <f t="shared" si="0"/>
        <v>0</v>
      </c>
      <c r="BD44" s="319">
        <f>OBJ!B258</f>
        <v>9318176</v>
      </c>
      <c r="BE44" s="21" t="str">
        <f>VLOOKUP(BD44,CENY!$B$11:$G$1054,2,FALSE)</f>
        <v>Actro You(L) 400/SiSy 40kg; EB21; pravý</v>
      </c>
      <c r="BF44" s="22">
        <f>VLOOKUP(BD44,CENY!$B$11:$G$1054,3,FALSE)</f>
        <v>10</v>
      </c>
      <c r="BG44" s="22"/>
      <c r="BH44" s="23">
        <f>AY28</f>
        <v>0</v>
      </c>
      <c r="BI44" s="326">
        <f t="shared" si="2"/>
        <v>0</v>
      </c>
      <c r="BJ44" s="95">
        <f>VLOOKUP(BD44,CENY!$B$11:$M$2025,12,FALSE)</f>
        <v>14.56085</v>
      </c>
      <c r="BK44" s="95">
        <f t="shared" si="3"/>
        <v>0</v>
      </c>
    </row>
    <row r="45" spans="47:63" ht="14.45" customHeight="1">
      <c r="AU45" s="319">
        <f>OBJ!B309</f>
        <v>9256892</v>
      </c>
      <c r="AV45" s="21" t="str">
        <f>VLOOKUP(AU45,CENY!$B$11:$G$1054,2,FALSE)</f>
        <v>Quadro You(M) 500/SiSy 30kg; EB21</v>
      </c>
      <c r="AW45" s="22">
        <f>VLOOKUP(AU45,CENY!$B$11:$G$1054,3,FALSE)</f>
        <v>1</v>
      </c>
      <c r="AX45" s="362">
        <v>8</v>
      </c>
      <c r="AY45" s="23">
        <f>Y25</f>
        <v>0</v>
      </c>
      <c r="AZ45" s="326">
        <f t="shared" si="1"/>
        <v>0</v>
      </c>
      <c r="BA45" s="95">
        <f>VLOOKUP(AU45,CENY!$B$11:$M$2025,12,FALSE)</f>
        <v>23.748699999999999</v>
      </c>
      <c r="BB45" s="95">
        <f t="shared" si="0"/>
        <v>0</v>
      </c>
      <c r="BD45" s="319">
        <f>OBJ!B259</f>
        <v>9318177</v>
      </c>
      <c r="BE45" s="21" t="str">
        <f>VLOOKUP(BD45,CENY!$B$11:$G$1054,2,FALSE)</f>
        <v>Actro You(L) 450/SiSy 40kg; EB21; ľavý</v>
      </c>
      <c r="BF45" s="22">
        <f>VLOOKUP(BD45,CENY!$B$11:$G$1054,3,FALSE)</f>
        <v>10</v>
      </c>
      <c r="BG45" s="22"/>
      <c r="BH45" s="23">
        <f>AY29</f>
        <v>0</v>
      </c>
      <c r="BI45" s="326">
        <f t="shared" si="2"/>
        <v>0</v>
      </c>
      <c r="BJ45" s="95" t="e">
        <f>VLOOKUP(BD45,CENY!$B$11:$M$2025,12,FALSE)</f>
        <v>#N/A</v>
      </c>
      <c r="BK45" s="95" t="e">
        <f t="shared" si="3"/>
        <v>#N/A</v>
      </c>
    </row>
    <row r="46" spans="47:63" ht="14.45" customHeight="1">
      <c r="AU46" s="319">
        <f>OBJ!B310</f>
        <v>9256894</v>
      </c>
      <c r="AV46" s="21" t="str">
        <f>VLOOKUP(AU46,CENY!$B$11:$G$1054,2,FALSE)</f>
        <v>Quadro You(M) 550/SiSy 30kg; EB21</v>
      </c>
      <c r="AW46" s="22">
        <f>VLOOKUP(AU46,CENY!$B$11:$G$1054,3,FALSE)</f>
        <v>1</v>
      </c>
      <c r="AX46" s="362">
        <v>8</v>
      </c>
      <c r="AY46" s="23">
        <f>AA25</f>
        <v>0</v>
      </c>
      <c r="AZ46" s="326">
        <f t="shared" si="1"/>
        <v>0</v>
      </c>
      <c r="BA46" s="95">
        <f>VLOOKUP(AU46,CENY!$B$11:$M$2025,12,FALSE)</f>
        <v>5.1277499999999998</v>
      </c>
      <c r="BB46" s="95">
        <f t="shared" si="0"/>
        <v>0</v>
      </c>
      <c r="BD46" s="319">
        <f>OBJ!B260</f>
        <v>9318178</v>
      </c>
      <c r="BE46" s="21" t="str">
        <f>VLOOKUP(BD46,CENY!$B$11:$G$1054,2,FALSE)</f>
        <v>Actro You(L) 450/SiSy 40kg; EB21; pravý</v>
      </c>
      <c r="BF46" s="22">
        <f>VLOOKUP(BD46,CENY!$B$11:$G$1054,3,FALSE)</f>
        <v>10</v>
      </c>
      <c r="BG46" s="22"/>
      <c r="BH46" s="23">
        <f>AY29</f>
        <v>0</v>
      </c>
      <c r="BI46" s="326">
        <f t="shared" si="2"/>
        <v>0</v>
      </c>
      <c r="BJ46" s="95">
        <f>VLOOKUP(BD46,CENY!$B$11:$M$2025,12,FALSE)</f>
        <v>14.040839999999999</v>
      </c>
      <c r="BK46" s="95">
        <f t="shared" si="3"/>
        <v>0</v>
      </c>
    </row>
    <row r="47" spans="47:63" ht="14.45" customHeight="1">
      <c r="AU47" s="319">
        <f>OBJ!B311</f>
        <v>9256896</v>
      </c>
      <c r="AV47" s="21" t="str">
        <f>VLOOKUP(AU47,CENY!$B$11:$G$1054,2,FALSE)</f>
        <v>Quadro You(M) 600/SiSy 25kg; EB21</v>
      </c>
      <c r="AW47" s="22">
        <f>VLOOKUP(AU47,CENY!$B$11:$G$1054,3,FALSE)</f>
        <v>1</v>
      </c>
      <c r="AX47" s="362">
        <v>8</v>
      </c>
      <c r="AY47" s="23">
        <f>AC25</f>
        <v>0</v>
      </c>
      <c r="AZ47" s="326">
        <f t="shared" si="1"/>
        <v>0</v>
      </c>
      <c r="BA47" s="95">
        <f>VLOOKUP(AU47,CENY!$B$11:$M$2025,12,FALSE)</f>
        <v>25.86984</v>
      </c>
      <c r="BB47" s="95">
        <f t="shared" si="0"/>
        <v>0</v>
      </c>
      <c r="BD47" s="319">
        <f>OBJ!B261</f>
        <v>9318179</v>
      </c>
      <c r="BE47" s="21" t="str">
        <f>VLOOKUP(BD47,CENY!$B$11:$G$1054,2,FALSE)</f>
        <v>Actro You(L) 500/SiSy 40kg; EB21; ľavý</v>
      </c>
      <c r="BF47" s="22">
        <f>VLOOKUP(BD47,CENY!$B$11:$G$1054,3,FALSE)</f>
        <v>10</v>
      </c>
      <c r="BG47" s="22"/>
      <c r="BH47" s="23">
        <f>AY30</f>
        <v>0</v>
      </c>
      <c r="BI47" s="326">
        <f t="shared" si="2"/>
        <v>0</v>
      </c>
      <c r="BJ47" s="95">
        <f>VLOOKUP(BD47,CENY!$B$11:$M$2025,12,FALSE)</f>
        <v>13.931559999999999</v>
      </c>
      <c r="BK47" s="95">
        <f t="shared" si="3"/>
        <v>0</v>
      </c>
    </row>
    <row r="48" spans="47:63" ht="14.45" customHeight="1">
      <c r="AU48" s="319"/>
      <c r="AV48" s="21"/>
      <c r="AW48" s="22"/>
      <c r="AX48" s="22"/>
      <c r="AY48" s="23"/>
      <c r="AZ48" s="326" t="str">
        <f t="shared" si="1"/>
        <v/>
      </c>
      <c r="BA48" s="95"/>
      <c r="BB48" s="95" t="str">
        <f t="shared" si="0"/>
        <v/>
      </c>
      <c r="BD48" s="319">
        <f>OBJ!B262</f>
        <v>9318180</v>
      </c>
      <c r="BE48" s="21" t="str">
        <f>VLOOKUP(BD48,CENY!$B$11:$G$1054,2,FALSE)</f>
        <v>Actro You(L) 500/SiSy 40kg; EB21; pravý</v>
      </c>
      <c r="BF48" s="22">
        <f>VLOOKUP(BD48,CENY!$B$11:$G$1054,3,FALSE)</f>
        <v>10</v>
      </c>
      <c r="BG48" s="22"/>
      <c r="BH48" s="23">
        <f>AY30</f>
        <v>0</v>
      </c>
      <c r="BI48" s="326">
        <f t="shared" si="2"/>
        <v>0</v>
      </c>
      <c r="BJ48" s="95">
        <f>VLOOKUP(BD48,CENY!$B$11:$M$2025,12,FALSE)</f>
        <v>13.931559999999999</v>
      </c>
      <c r="BK48" s="95">
        <f t="shared" si="3"/>
        <v>0</v>
      </c>
    </row>
    <row r="49" spans="47:63" ht="14.45" customHeight="1">
      <c r="AU49" s="442">
        <f>OBJ!B141</f>
        <v>9255838</v>
      </c>
      <c r="AV49" s="443" t="str">
        <f>VLOOKUP(AU49,CENY!$B$11:$G$1054,2,FALSE)</f>
        <v>AvanY-prích.čela k naskrutk./ v187-251</v>
      </c>
      <c r="AW49" s="22">
        <f>VLOOKUP(AU49,CENY!$B$11:$G$1054,3,FALSE)</f>
        <v>200</v>
      </c>
      <c r="AX49" s="22"/>
      <c r="AY49" s="68">
        <f>4*(SUM(O19:AD19)+SUM(W20:AF20)+SUM(O25:AD25))</f>
        <v>0</v>
      </c>
      <c r="AZ49" s="326">
        <f t="shared" si="1"/>
        <v>0</v>
      </c>
      <c r="BA49" s="95">
        <f>VLOOKUP(AU49,CENY!$B$11:$M$2025,12,FALSE)</f>
        <v>2.32422</v>
      </c>
      <c r="BB49" s="95">
        <f t="shared" si="0"/>
        <v>0</v>
      </c>
      <c r="BD49" s="319">
        <f>OBJ!B263</f>
        <v>9318181</v>
      </c>
      <c r="BE49" s="21" t="str">
        <f>VLOOKUP(BD49,CENY!$B$11:$G$1054,2,FALSE)</f>
        <v>Actro You(L) 550/SiSy 40kg; EB21; ľavý</v>
      </c>
      <c r="BF49" s="22">
        <f>VLOOKUP(BD49,CENY!$B$11:$G$1054,3,FALSE)</f>
        <v>10</v>
      </c>
      <c r="BG49" s="22"/>
      <c r="BH49" s="23">
        <f>AY31</f>
        <v>0</v>
      </c>
      <c r="BI49" s="326">
        <f t="shared" si="2"/>
        <v>0</v>
      </c>
      <c r="BJ49" s="95">
        <f>VLOOKUP(BD49,CENY!$B$11:$M$2025,12,FALSE)</f>
        <v>15.147040000000001</v>
      </c>
      <c r="BK49" s="95">
        <f t="shared" si="3"/>
        <v>0</v>
      </c>
    </row>
    <row r="50" spans="47:63" ht="14.45" customHeight="1">
      <c r="AU50" s="319"/>
      <c r="AV50" s="21"/>
      <c r="AW50" s="22"/>
      <c r="AX50" s="22"/>
      <c r="AY50" s="23"/>
      <c r="AZ50" s="326" t="str">
        <f t="shared" si="1"/>
        <v/>
      </c>
      <c r="BA50" s="95"/>
      <c r="BB50" s="95" t="str">
        <f t="shared" si="0"/>
        <v/>
      </c>
      <c r="BD50" s="319">
        <f>OBJ!B264</f>
        <v>9318182</v>
      </c>
      <c r="BE50" s="21" t="str">
        <f>VLOOKUP(BD50,CENY!$B$11:$G$1054,2,FALSE)</f>
        <v>Actro You(L) 550/SiSy 40kg; EB21; pravý</v>
      </c>
      <c r="BF50" s="22">
        <f>VLOOKUP(BD50,CENY!$B$11:$G$1054,3,FALSE)</f>
        <v>10</v>
      </c>
      <c r="BG50" s="22"/>
      <c r="BH50" s="23">
        <f>AY31</f>
        <v>0</v>
      </c>
      <c r="BI50" s="326">
        <f t="shared" si="2"/>
        <v>0</v>
      </c>
      <c r="BJ50" s="95">
        <f>VLOOKUP(BD50,CENY!$B$11:$M$2025,12,FALSE)</f>
        <v>15.147040000000001</v>
      </c>
      <c r="BK50" s="95">
        <f t="shared" si="3"/>
        <v>0</v>
      </c>
    </row>
    <row r="51" spans="47:63" ht="14.45" customHeight="1">
      <c r="AU51" s="320">
        <f>OBJ!B214</f>
        <v>0</v>
      </c>
      <c r="AV51" s="321" t="e">
        <f>VLOOKUP(AU51,CENY!$B$11:$G$1054,2,FALSE)</f>
        <v>#N/A</v>
      </c>
      <c r="AW51" s="22" t="e">
        <f>VLOOKUP(AU51,CENY!$B$11:$G$1054,3,FALSE)</f>
        <v>#N/A</v>
      </c>
      <c r="AX51" s="22"/>
      <c r="AY51" s="68">
        <f>IF(FORM!AM21&lt;&gt;FORM!AW16,(4*(SUM(O19:AD19)+SUM(W20:AF20)+SUM(O25:AD25))),0)</f>
        <v>0</v>
      </c>
      <c r="AZ51" s="326">
        <f t="shared" si="1"/>
        <v>0</v>
      </c>
      <c r="BA51" s="324" t="str">
        <f>IF(AU51=0,"",VLOOKUP(AU51,CENY!$B$11:$M$2025,12,FALSE))</f>
        <v/>
      </c>
      <c r="BB51" s="95" t="str">
        <f t="shared" si="0"/>
        <v/>
      </c>
      <c r="BD51" s="319">
        <f>OBJ!B265</f>
        <v>9318183</v>
      </c>
      <c r="BE51" s="21" t="str">
        <f>VLOOKUP(BD51,CENY!$B$11:$G$1054,2,FALSE)</f>
        <v>Actro You(L) 600/SiSy 40kg; EB21; ľavý</v>
      </c>
      <c r="BF51" s="22">
        <f>VLOOKUP(BD51,CENY!$B$11:$G$1054,3,FALSE)</f>
        <v>10</v>
      </c>
      <c r="BG51" s="22"/>
      <c r="BH51" s="23">
        <f>AY32</f>
        <v>0</v>
      </c>
      <c r="BI51" s="326">
        <f t="shared" si="2"/>
        <v>0</v>
      </c>
      <c r="BJ51" s="95">
        <f>VLOOKUP(BD51,CENY!$B$11:$M$2025,12,FALSE)</f>
        <v>15.35308</v>
      </c>
      <c r="BK51" s="95">
        <f t="shared" si="3"/>
        <v>0</v>
      </c>
    </row>
    <row r="52" spans="47:63" ht="14.45" customHeight="1">
      <c r="AU52" s="319"/>
      <c r="AV52" s="21"/>
      <c r="AW52" s="22"/>
      <c r="AX52" s="22"/>
      <c r="AY52" s="23"/>
      <c r="AZ52" s="326" t="str">
        <f t="shared" si="1"/>
        <v/>
      </c>
      <c r="BA52" s="95"/>
      <c r="BB52" s="95" t="str">
        <f t="shared" si="0"/>
        <v/>
      </c>
      <c r="BD52" s="319">
        <f>OBJ!B266</f>
        <v>9318184</v>
      </c>
      <c r="BE52" s="21" t="str">
        <f>VLOOKUP(BD52,CENY!$B$11:$G$1054,2,FALSE)</f>
        <v>Actro You(L) 600/SiSy 40kg; EB21; pravý</v>
      </c>
      <c r="BF52" s="22">
        <f>VLOOKUP(BD52,CENY!$B$11:$G$1054,3,FALSE)</f>
        <v>10</v>
      </c>
      <c r="BG52" s="22"/>
      <c r="BH52" s="23">
        <f>AY32</f>
        <v>0</v>
      </c>
      <c r="BI52" s="326">
        <f t="shared" si="2"/>
        <v>0</v>
      </c>
      <c r="BJ52" s="95" t="e">
        <f>VLOOKUP(BD52,CENY!$B$11:$M$2025,12,FALSE)</f>
        <v>#N/A</v>
      </c>
      <c r="BK52" s="95" t="e">
        <f t="shared" si="3"/>
        <v>#N/A</v>
      </c>
    </row>
    <row r="53" spans="47:63" ht="14.45" customHeight="1">
      <c r="AU53" s="319"/>
      <c r="AV53" s="21"/>
      <c r="AW53" s="22"/>
      <c r="AX53" s="22"/>
      <c r="AY53" s="23"/>
      <c r="AZ53" s="326" t="str">
        <f t="shared" si="1"/>
        <v/>
      </c>
      <c r="BA53" s="95"/>
      <c r="BB53" s="95" t="str">
        <f t="shared" si="0"/>
        <v/>
      </c>
      <c r="BD53" s="319"/>
      <c r="BE53" s="21"/>
      <c r="BF53" s="22"/>
      <c r="BG53" s="22"/>
      <c r="BH53" s="23"/>
      <c r="BI53" s="326" t="str">
        <f t="shared" si="2"/>
        <v/>
      </c>
      <c r="BJ53" s="95"/>
      <c r="BK53" s="95" t="str">
        <f t="shared" si="3"/>
        <v/>
      </c>
    </row>
    <row r="54" spans="47:63" ht="14.45" customHeight="1">
      <c r="AU54" s="319"/>
      <c r="AV54" s="21"/>
      <c r="AW54" s="22"/>
      <c r="AX54" s="22"/>
      <c r="AY54" s="23"/>
      <c r="AZ54" s="326" t="str">
        <f t="shared" si="1"/>
        <v/>
      </c>
      <c r="BA54" s="95"/>
      <c r="BB54" s="95" t="str">
        <f t="shared" si="0"/>
        <v/>
      </c>
      <c r="BD54" s="319">
        <f>OBJ!B273</f>
        <v>9318198</v>
      </c>
      <c r="BE54" s="21" t="str">
        <f>VLOOKUP(BD54,CENY!$B$11:$G$1054,2,FALSE)</f>
        <v>Actro You(XL) 450/SiSy 70kg; EB21; ľavý</v>
      </c>
      <c r="BF54" s="22">
        <f>VLOOKUP(BD54,CENY!$B$11:$G$1054,3,FALSE)</f>
        <v>10</v>
      </c>
      <c r="BG54" s="22"/>
      <c r="BH54" s="23">
        <f>AY34</f>
        <v>0</v>
      </c>
      <c r="BI54" s="326">
        <f t="shared" si="2"/>
        <v>0</v>
      </c>
      <c r="BJ54" s="95" t="e">
        <f>VLOOKUP(BD54,CENY!$B$11:$M$2025,12,FALSE)</f>
        <v>#N/A</v>
      </c>
      <c r="BK54" s="95" t="e">
        <f t="shared" si="3"/>
        <v>#N/A</v>
      </c>
    </row>
    <row r="55" spans="47:63" ht="14.45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0"/>
        <v/>
      </c>
      <c r="BD55" s="319">
        <f>OBJ!B274</f>
        <v>9318199</v>
      </c>
      <c r="BE55" s="21" t="str">
        <f>VLOOKUP(BD55,CENY!$B$11:$G$1054,2,FALSE)</f>
        <v>Actro You(XL) 450/SiSy 70kg; EB21; pravý</v>
      </c>
      <c r="BF55" s="22">
        <f>VLOOKUP(BD55,CENY!$B$11:$G$1054,3,FALSE)</f>
        <v>10</v>
      </c>
      <c r="BG55" s="22"/>
      <c r="BH55" s="23">
        <f>AY34</f>
        <v>0</v>
      </c>
      <c r="BI55" s="326">
        <f t="shared" si="2"/>
        <v>0</v>
      </c>
      <c r="BJ55" s="95" t="e">
        <f>VLOOKUP(BD55,CENY!$B$11:$M$2025,12,FALSE)</f>
        <v>#N/A</v>
      </c>
      <c r="BK55" s="95" t="e">
        <f t="shared" si="3"/>
        <v>#N/A</v>
      </c>
    </row>
    <row r="56" spans="47:63" ht="14.45" customHeight="1">
      <c r="AU56" s="319"/>
      <c r="AV56" s="21"/>
      <c r="AW56" s="22"/>
      <c r="AX56" s="22"/>
      <c r="AY56" s="23"/>
      <c r="AZ56" s="326" t="str">
        <f t="shared" si="1"/>
        <v/>
      </c>
      <c r="BA56" s="95"/>
      <c r="BB56" s="95" t="str">
        <f t="shared" si="0"/>
        <v/>
      </c>
      <c r="BD56" s="319">
        <f>OBJ!B275</f>
        <v>9318201</v>
      </c>
      <c r="BE56" s="21" t="str">
        <f>VLOOKUP(BD56,CENY!$B$11:$G$1054,2,FALSE)</f>
        <v>Actro You(XL) 500/SiSy 70kg; EB21; ľavý</v>
      </c>
      <c r="BF56" s="22">
        <f>VLOOKUP(BD56,CENY!$B$11:$G$1054,3,FALSE)</f>
        <v>10</v>
      </c>
      <c r="BG56" s="22"/>
      <c r="BH56" s="23">
        <f>AY35</f>
        <v>0</v>
      </c>
      <c r="BI56" s="326">
        <f t="shared" si="2"/>
        <v>0</v>
      </c>
      <c r="BJ56" s="95">
        <f>VLOOKUP(BD56,CENY!$B$11:$M$2025,12,FALSE)</f>
        <v>17.52394</v>
      </c>
      <c r="BK56" s="95">
        <f t="shared" si="3"/>
        <v>0</v>
      </c>
    </row>
    <row r="57" spans="47:63" ht="14.45" customHeight="1">
      <c r="AU57" s="319"/>
      <c r="AV57" s="21"/>
      <c r="AW57" s="22"/>
      <c r="AX57" s="22"/>
      <c r="AY57" s="23"/>
      <c r="AZ57" s="326" t="str">
        <f t="shared" si="1"/>
        <v/>
      </c>
      <c r="BA57" s="95"/>
      <c r="BB57" s="95" t="str">
        <f t="shared" si="0"/>
        <v/>
      </c>
      <c r="BD57" s="319">
        <f>OBJ!B276</f>
        <v>9318203</v>
      </c>
      <c r="BE57" s="21" t="str">
        <f>VLOOKUP(BD57,CENY!$B$11:$G$1054,2,FALSE)</f>
        <v>Actro You(XL) 500/SiSy 70kg; EB21; pravý</v>
      </c>
      <c r="BF57" s="22">
        <f>VLOOKUP(BD57,CENY!$B$11:$G$1054,3,FALSE)</f>
        <v>10</v>
      </c>
      <c r="BG57" s="22"/>
      <c r="BH57" s="23">
        <f>AY35</f>
        <v>0</v>
      </c>
      <c r="BI57" s="326">
        <f t="shared" si="2"/>
        <v>0</v>
      </c>
      <c r="BJ57" s="95">
        <f>VLOOKUP(BD57,CENY!$B$11:$M$2025,12,FALSE)</f>
        <v>17.52394</v>
      </c>
      <c r="BK57" s="95">
        <f t="shared" si="3"/>
        <v>0</v>
      </c>
    </row>
    <row r="58" spans="47:63" ht="14.45" customHeight="1">
      <c r="AU58" s="319"/>
      <c r="AV58" s="21"/>
      <c r="AW58" s="22"/>
      <c r="AX58" s="22"/>
      <c r="AY58" s="23"/>
      <c r="AZ58" s="326" t="str">
        <f t="shared" si="1"/>
        <v/>
      </c>
      <c r="BA58" s="95"/>
      <c r="BB58" s="95" t="str">
        <f t="shared" si="0"/>
        <v/>
      </c>
      <c r="BD58" s="319">
        <f>OBJ!B277</f>
        <v>9318208</v>
      </c>
      <c r="BE58" s="21" t="str">
        <f>VLOOKUP(BD58,CENY!$B$11:$G$1054,2,FALSE)</f>
        <v>Actro You(XL) 550/SiSy 70kg; EB21; ľavý</v>
      </c>
      <c r="BF58" s="22">
        <f>VLOOKUP(BD58,CENY!$B$11:$G$1054,3,FALSE)</f>
        <v>10</v>
      </c>
      <c r="BG58" s="22"/>
      <c r="BH58" s="23">
        <f>AY36</f>
        <v>0</v>
      </c>
      <c r="BI58" s="326">
        <f t="shared" si="2"/>
        <v>0</v>
      </c>
      <c r="BJ58" s="95">
        <f>VLOOKUP(BD58,CENY!$B$11:$M$2025,12,FALSE)</f>
        <v>18.45496</v>
      </c>
      <c r="BK58" s="95">
        <f t="shared" si="3"/>
        <v>0</v>
      </c>
    </row>
    <row r="59" spans="47:63" ht="14.45" customHeight="1">
      <c r="AU59" s="20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ref="BB59:BB91" si="4">IF(BA59="","",BA59*AY59)</f>
        <v/>
      </c>
      <c r="BD59" s="319">
        <f>OBJ!B278</f>
        <v>9318209</v>
      </c>
      <c r="BE59" s="21" t="str">
        <f>VLOOKUP(BD59,CENY!$B$11:$G$1054,2,FALSE)</f>
        <v>Actro You(XL) 550/SiSy 70kg; EB21; pravý</v>
      </c>
      <c r="BF59" s="22">
        <f>VLOOKUP(BD59,CENY!$B$11:$G$1054,3,FALSE)</f>
        <v>10</v>
      </c>
      <c r="BG59" s="22"/>
      <c r="BH59" s="23">
        <f>AY36</f>
        <v>0</v>
      </c>
      <c r="BI59" s="326">
        <f t="shared" si="2"/>
        <v>0</v>
      </c>
      <c r="BJ59" s="95">
        <f>VLOOKUP(BD59,CENY!$B$11:$M$2025,12,FALSE)</f>
        <v>18.45496</v>
      </c>
      <c r="BK59" s="95">
        <f t="shared" si="3"/>
        <v>0</v>
      </c>
    </row>
    <row r="60" spans="47:63" ht="14.45" customHeight="1">
      <c r="AU60" s="20"/>
      <c r="AV60" s="21"/>
      <c r="AW60" s="22"/>
      <c r="AX60" s="22"/>
      <c r="AY60" s="23"/>
      <c r="AZ60" s="326" t="str">
        <f t="shared" ref="AZ60:AZ91" si="5">IF(AY60="","",IF($AW$4=1,AY60,0))</f>
        <v/>
      </c>
      <c r="BA60" s="95"/>
      <c r="BB60" s="95" t="str">
        <f t="shared" si="4"/>
        <v/>
      </c>
      <c r="BD60" s="319">
        <f>OBJ!B279</f>
        <v>9318211</v>
      </c>
      <c r="BE60" s="21" t="str">
        <f>VLOOKUP(BD60,CENY!$B$11:$G$1054,2,FALSE)</f>
        <v>Actro You(XL) 600/SiSy 70kg; EB21; ľavý</v>
      </c>
      <c r="BF60" s="22">
        <f>VLOOKUP(BD60,CENY!$B$11:$G$1054,3,FALSE)</f>
        <v>10</v>
      </c>
      <c r="BG60" s="22"/>
      <c r="BH60" s="23">
        <f>AY37</f>
        <v>0</v>
      </c>
      <c r="BI60" s="326">
        <f t="shared" si="2"/>
        <v>0</v>
      </c>
      <c r="BJ60" s="95">
        <f>VLOOKUP(BD60,CENY!$B$11:$M$2025,12,FALSE)</f>
        <v>21.352720000000001</v>
      </c>
      <c r="BK60" s="95">
        <f t="shared" si="3"/>
        <v>0</v>
      </c>
    </row>
    <row r="61" spans="47:63" ht="14.45" customHeight="1">
      <c r="AU61" s="20"/>
      <c r="AV61" s="21"/>
      <c r="AW61" s="22"/>
      <c r="AX61" s="22"/>
      <c r="AY61" s="23"/>
      <c r="AZ61" s="326" t="str">
        <f t="shared" si="5"/>
        <v/>
      </c>
      <c r="BA61" s="95"/>
      <c r="BB61" s="95" t="str">
        <f t="shared" si="4"/>
        <v/>
      </c>
      <c r="BD61" s="319">
        <f>OBJ!B280</f>
        <v>9318212</v>
      </c>
      <c r="BE61" s="21" t="str">
        <f>VLOOKUP(BD61,CENY!$B$11:$G$1054,2,FALSE)</f>
        <v>Actro You(XL) 600/SiSy 70kg; EB21; pravý</v>
      </c>
      <c r="BF61" s="22">
        <f>VLOOKUP(BD61,CENY!$B$11:$G$1054,3,FALSE)</f>
        <v>10</v>
      </c>
      <c r="BG61" s="22"/>
      <c r="BH61" s="23">
        <f>AY37</f>
        <v>0</v>
      </c>
      <c r="BI61" s="326">
        <f t="shared" si="2"/>
        <v>0</v>
      </c>
      <c r="BJ61" s="95">
        <f>VLOOKUP(BD61,CENY!$B$11:$M$2025,12,FALSE)</f>
        <v>21.352720000000001</v>
      </c>
      <c r="BK61" s="95">
        <f t="shared" si="3"/>
        <v>0</v>
      </c>
    </row>
    <row r="62" spans="47:63" ht="14.45" customHeight="1">
      <c r="AU62" s="20"/>
      <c r="AV62" s="21"/>
      <c r="AW62" s="22"/>
      <c r="AX62" s="22"/>
      <c r="AY62" s="23"/>
      <c r="AZ62" s="326" t="str">
        <f t="shared" si="5"/>
        <v/>
      </c>
      <c r="BA62" s="95"/>
      <c r="BB62" s="95" t="str">
        <f t="shared" si="4"/>
        <v/>
      </c>
      <c r="BD62" s="319">
        <f>OBJ!B281</f>
        <v>9318213</v>
      </c>
      <c r="BE62" s="21" t="str">
        <f>VLOOKUP(BD62,CENY!$B$11:$G$1054,2,FALSE)</f>
        <v>Actro You(XL) 650/SiSy 70kg; EB21; ľavý</v>
      </c>
      <c r="BF62" s="22">
        <f>VLOOKUP(BD62,CENY!$B$11:$G$1054,3,FALSE)</f>
        <v>5</v>
      </c>
      <c r="BG62" s="22"/>
      <c r="BH62" s="23">
        <f>AY38</f>
        <v>0</v>
      </c>
      <c r="BI62" s="326">
        <f t="shared" si="2"/>
        <v>0</v>
      </c>
      <c r="BJ62" s="95">
        <f>VLOOKUP(BD62,CENY!$B$11:$M$2025,12,FALSE)</f>
        <v>22.243659999999998</v>
      </c>
      <c r="BK62" s="95">
        <f t="shared" si="3"/>
        <v>0</v>
      </c>
    </row>
    <row r="63" spans="47:63" ht="14.45" customHeight="1">
      <c r="AU63" s="20"/>
      <c r="AV63" s="21"/>
      <c r="AW63" s="22"/>
      <c r="AX63" s="22"/>
      <c r="AY63" s="23"/>
      <c r="AZ63" s="326" t="str">
        <f t="shared" si="5"/>
        <v/>
      </c>
      <c r="BA63" s="95"/>
      <c r="BB63" s="95" t="str">
        <f t="shared" si="4"/>
        <v/>
      </c>
      <c r="BD63" s="319">
        <f>OBJ!B282</f>
        <v>9318214</v>
      </c>
      <c r="BE63" s="21" t="str">
        <f>VLOOKUP(BD63,CENY!$B$11:$G$1054,2,FALSE)</f>
        <v>Actro You(XL) 650/SiSy 70kg; EB21; pravý</v>
      </c>
      <c r="BF63" s="22">
        <f>VLOOKUP(BD63,CENY!$B$11:$G$1054,3,FALSE)</f>
        <v>5</v>
      </c>
      <c r="BG63" s="22"/>
      <c r="BH63" s="23">
        <f>AY38</f>
        <v>0</v>
      </c>
      <c r="BI63" s="326">
        <f t="shared" ref="BI63:BI83" si="6">IF(BH63="","",IF($AW$4=0,BH63,0))</f>
        <v>0</v>
      </c>
      <c r="BJ63" s="95">
        <f>VLOOKUP(BD63,CENY!$B$11:$M$2025,12,FALSE)</f>
        <v>22.243659999999998</v>
      </c>
      <c r="BK63" s="95">
        <f t="shared" ref="BK63:BK83" si="7">IF(BJ63="","",BJ63*BH63)</f>
        <v>0</v>
      </c>
    </row>
    <row r="64" spans="47:63" ht="14.45" customHeight="1">
      <c r="AU64" s="20"/>
      <c r="AV64" s="21"/>
      <c r="AW64" s="22"/>
      <c r="AX64" s="22"/>
      <c r="AY64" s="23"/>
      <c r="AZ64" s="326" t="str">
        <f t="shared" si="5"/>
        <v/>
      </c>
      <c r="BA64" s="95"/>
      <c r="BB64" s="95" t="str">
        <f t="shared" si="4"/>
        <v/>
      </c>
      <c r="BD64" s="319"/>
      <c r="BE64" s="21"/>
      <c r="BF64" s="22"/>
      <c r="BG64" s="22"/>
      <c r="BH64" s="23"/>
      <c r="BI64" s="326" t="str">
        <f t="shared" si="6"/>
        <v/>
      </c>
      <c r="BJ64" s="95"/>
      <c r="BK64" s="95" t="str">
        <f t="shared" si="7"/>
        <v/>
      </c>
    </row>
    <row r="65" spans="47:63" ht="14.45" customHeight="1">
      <c r="AU65" s="20"/>
      <c r="AV65" s="21"/>
      <c r="AW65" s="22"/>
      <c r="AX65" s="22"/>
      <c r="AY65" s="23"/>
      <c r="AZ65" s="326" t="str">
        <f t="shared" si="5"/>
        <v/>
      </c>
      <c r="BA65" s="95"/>
      <c r="BB65" s="95" t="str">
        <f t="shared" si="4"/>
        <v/>
      </c>
      <c r="BD65" s="319">
        <f>OBJ!B312</f>
        <v>9256854</v>
      </c>
      <c r="BE65" s="21" t="str">
        <f>VLOOKUP(BD65,CENY!$B$11:$G$1054,2,FALSE)</f>
        <v>Quadro You(M) 270/SiSy 20kg; EB21; ľavý</v>
      </c>
      <c r="BF65" s="22">
        <f>VLOOKUP(BD65,CENY!$B$11:$G$1054,3,FALSE)</f>
        <v>20</v>
      </c>
      <c r="BG65" s="22"/>
      <c r="BH65" s="23">
        <f>AY40</f>
        <v>0</v>
      </c>
      <c r="BI65" s="326">
        <f t="shared" si="6"/>
        <v>0</v>
      </c>
      <c r="BJ65" s="95">
        <f>VLOOKUP(BD65,CENY!$B$11:$M$2025,12,FALSE)</f>
        <v>10.7646</v>
      </c>
      <c r="BK65" s="95">
        <f t="shared" si="7"/>
        <v>0</v>
      </c>
    </row>
    <row r="66" spans="47:63" ht="14.45" customHeight="1">
      <c r="AU66" s="20"/>
      <c r="AV66" s="21"/>
      <c r="AW66" s="22"/>
      <c r="AX66" s="22"/>
      <c r="AY66" s="23"/>
      <c r="AZ66" s="326" t="str">
        <f t="shared" si="5"/>
        <v/>
      </c>
      <c r="BA66" s="95"/>
      <c r="BB66" s="95" t="str">
        <f t="shared" si="4"/>
        <v/>
      </c>
      <c r="BD66" s="319">
        <f>OBJ!B313</f>
        <v>9256855</v>
      </c>
      <c r="BE66" s="21" t="str">
        <f>VLOOKUP(BD66,CENY!$B$11:$G$1054,2,FALSE)</f>
        <v>Quadro You(M) 270/SiSy 20kg; EB21; pravý</v>
      </c>
      <c r="BF66" s="22">
        <f>VLOOKUP(BD66,CENY!$B$11:$G$1054,3,FALSE)</f>
        <v>20</v>
      </c>
      <c r="BG66" s="22"/>
      <c r="BH66" s="23">
        <f>AY40</f>
        <v>0</v>
      </c>
      <c r="BI66" s="326">
        <f t="shared" si="6"/>
        <v>0</v>
      </c>
      <c r="BJ66" s="95">
        <f>VLOOKUP(BD66,CENY!$B$11:$M$2025,12,FALSE)</f>
        <v>10.7646</v>
      </c>
      <c r="BK66" s="95">
        <f t="shared" si="7"/>
        <v>0</v>
      </c>
    </row>
    <row r="67" spans="47:63" ht="14.45" customHeight="1">
      <c r="AU67" s="20"/>
      <c r="AV67" s="21"/>
      <c r="AW67" s="22"/>
      <c r="AX67" s="22"/>
      <c r="AY67" s="23"/>
      <c r="AZ67" s="326" t="str">
        <f t="shared" si="5"/>
        <v/>
      </c>
      <c r="BA67" s="95"/>
      <c r="BB67" s="95" t="str">
        <f t="shared" si="4"/>
        <v/>
      </c>
      <c r="BD67" s="319">
        <f>OBJ!B314</f>
        <v>9256856</v>
      </c>
      <c r="BE67" s="21" t="str">
        <f>VLOOKUP(BD67,CENY!$B$11:$G$1054,2,FALSE)</f>
        <v>Quadro You(M) 300/SiSy 20kg; EB21; ľavý</v>
      </c>
      <c r="BF67" s="22">
        <f>VLOOKUP(BD67,CENY!$B$11:$G$1054,3,FALSE)</f>
        <v>20</v>
      </c>
      <c r="BG67" s="22"/>
      <c r="BH67" s="23">
        <f>AY41</f>
        <v>0</v>
      </c>
      <c r="BI67" s="326">
        <f t="shared" si="6"/>
        <v>0</v>
      </c>
      <c r="BJ67" s="95">
        <f>VLOOKUP(BD67,CENY!$B$11:$M$2025,12,FALSE)</f>
        <v>10.787739999999999</v>
      </c>
      <c r="BK67" s="95">
        <f t="shared" si="7"/>
        <v>0</v>
      </c>
    </row>
    <row r="68" spans="47:63" ht="14.45" customHeight="1">
      <c r="AU68" s="20"/>
      <c r="AV68" s="21"/>
      <c r="AW68" s="22"/>
      <c r="AX68" s="22"/>
      <c r="AY68" s="23"/>
      <c r="AZ68" s="326" t="str">
        <f t="shared" si="5"/>
        <v/>
      </c>
      <c r="BA68" s="95"/>
      <c r="BB68" s="95" t="str">
        <f t="shared" si="4"/>
        <v/>
      </c>
      <c r="BD68" s="319">
        <f>OBJ!B315</f>
        <v>9256857</v>
      </c>
      <c r="BE68" s="21" t="str">
        <f>VLOOKUP(BD68,CENY!$B$11:$G$1054,2,FALSE)</f>
        <v>Quadro You(M) 300/SiSy 20kg; EB21; pravý</v>
      </c>
      <c r="BF68" s="22">
        <f>VLOOKUP(BD68,CENY!$B$11:$G$1054,3,FALSE)</f>
        <v>20</v>
      </c>
      <c r="BG68" s="22"/>
      <c r="BH68" s="23">
        <f>AY41</f>
        <v>0</v>
      </c>
      <c r="BI68" s="326">
        <f t="shared" si="6"/>
        <v>0</v>
      </c>
      <c r="BJ68" s="95">
        <f>VLOOKUP(BD68,CENY!$B$11:$M$2025,12,FALSE)</f>
        <v>10.787739999999999</v>
      </c>
      <c r="BK68" s="95">
        <f t="shared" si="7"/>
        <v>0</v>
      </c>
    </row>
    <row r="69" spans="47:63" ht="14.45" customHeight="1">
      <c r="AU69" s="20"/>
      <c r="AV69" s="21"/>
      <c r="AW69" s="22"/>
      <c r="AX69" s="22"/>
      <c r="AY69" s="23"/>
      <c r="AZ69" s="326" t="str">
        <f t="shared" si="5"/>
        <v/>
      </c>
      <c r="BA69" s="95"/>
      <c r="BB69" s="95" t="str">
        <f t="shared" si="4"/>
        <v/>
      </c>
      <c r="BD69" s="319">
        <f>OBJ!B316</f>
        <v>9256860</v>
      </c>
      <c r="BE69" s="21" t="str">
        <f>VLOOKUP(BD69,CENY!$B$11:$G$1054,2,FALSE)</f>
        <v>Quadro You(M) 350/SiSy 25kg; EB21; ľavý</v>
      </c>
      <c r="BF69" s="22">
        <f>VLOOKUP(BD69,CENY!$B$11:$G$1054,3,FALSE)</f>
        <v>20</v>
      </c>
      <c r="BG69" s="22"/>
      <c r="BH69" s="23">
        <f>AY42</f>
        <v>0</v>
      </c>
      <c r="BI69" s="326">
        <f t="shared" si="6"/>
        <v>0</v>
      </c>
      <c r="BJ69" s="95">
        <f>VLOOKUP(BD69,CENY!$B$11:$M$2025,12,FALSE)</f>
        <v>11.02122</v>
      </c>
      <c r="BK69" s="95">
        <f t="shared" si="7"/>
        <v>0</v>
      </c>
    </row>
    <row r="70" spans="47:63" ht="14.45" customHeight="1">
      <c r="AU70" s="20"/>
      <c r="AV70" s="21"/>
      <c r="AW70" s="22"/>
      <c r="AX70" s="22"/>
      <c r="AY70" s="23"/>
      <c r="AZ70" s="326" t="str">
        <f t="shared" si="5"/>
        <v/>
      </c>
      <c r="BA70" s="95"/>
      <c r="BB70" s="95" t="str">
        <f t="shared" si="4"/>
        <v/>
      </c>
      <c r="BD70" s="319">
        <f>OBJ!B317</f>
        <v>9256861</v>
      </c>
      <c r="BE70" s="21" t="str">
        <f>VLOOKUP(BD70,CENY!$B$11:$G$1054,2,FALSE)</f>
        <v>Quadro You(M) 350/SiSy 25kg; EB21; pravý</v>
      </c>
      <c r="BF70" s="22">
        <f>VLOOKUP(BD70,CENY!$B$11:$G$1054,3,FALSE)</f>
        <v>20</v>
      </c>
      <c r="BG70" s="22"/>
      <c r="BH70" s="23">
        <f>AY42</f>
        <v>0</v>
      </c>
      <c r="BI70" s="326">
        <f t="shared" si="6"/>
        <v>0</v>
      </c>
      <c r="BJ70" s="95">
        <f>VLOOKUP(BD70,CENY!$B$11:$M$2025,12,FALSE)</f>
        <v>11.02122</v>
      </c>
      <c r="BK70" s="95">
        <f t="shared" si="7"/>
        <v>0</v>
      </c>
    </row>
    <row r="71" spans="47:63" ht="14.45" customHeight="1">
      <c r="AU71" s="20"/>
      <c r="AV71" s="21"/>
      <c r="AW71" s="22"/>
      <c r="AX71" s="22"/>
      <c r="AY71" s="23"/>
      <c r="AZ71" s="326" t="str">
        <f t="shared" si="5"/>
        <v/>
      </c>
      <c r="BA71" s="95"/>
      <c r="BB71" s="95" t="str">
        <f t="shared" si="4"/>
        <v/>
      </c>
      <c r="BD71" s="319">
        <f>OBJ!B318</f>
        <v>9256864</v>
      </c>
      <c r="BE71" s="21" t="str">
        <f>VLOOKUP(BD71,CENY!$B$11:$G$1054,2,FALSE)</f>
        <v>Quadro You(M) 400/SiSy 30kg; EB21; ľavý</v>
      </c>
      <c r="BF71" s="22">
        <f>VLOOKUP(BD71,CENY!$B$11:$G$1054,3,FALSE)</f>
        <v>20</v>
      </c>
      <c r="BG71" s="22"/>
      <c r="BH71" s="23">
        <f>AY43</f>
        <v>0</v>
      </c>
      <c r="BI71" s="326">
        <f t="shared" si="6"/>
        <v>0</v>
      </c>
      <c r="BJ71" s="95">
        <f>VLOOKUP(BD71,CENY!$B$11:$M$2025,12,FALSE)</f>
        <v>11.25459</v>
      </c>
      <c r="BK71" s="95">
        <f t="shared" si="7"/>
        <v>0</v>
      </c>
    </row>
    <row r="72" spans="47:63" ht="14.45" customHeight="1">
      <c r="AU72" s="20"/>
      <c r="AV72" s="21"/>
      <c r="AW72" s="22"/>
      <c r="AX72" s="22"/>
      <c r="AY72" s="23"/>
      <c r="AZ72" s="326" t="str">
        <f t="shared" si="5"/>
        <v/>
      </c>
      <c r="BA72" s="95"/>
      <c r="BB72" s="95" t="str">
        <f t="shared" si="4"/>
        <v/>
      </c>
      <c r="BD72" s="319">
        <f>OBJ!B319</f>
        <v>9256865</v>
      </c>
      <c r="BE72" s="21" t="str">
        <f>VLOOKUP(BD72,CENY!$B$11:$G$1054,2,FALSE)</f>
        <v>Quadro You(M) 400/SiSy 30kg; EB21; pravý</v>
      </c>
      <c r="BF72" s="22">
        <f>VLOOKUP(BD72,CENY!$B$11:$G$1054,3,FALSE)</f>
        <v>20</v>
      </c>
      <c r="BG72" s="22"/>
      <c r="BH72" s="23">
        <f>AY43</f>
        <v>0</v>
      </c>
      <c r="BI72" s="326">
        <f t="shared" si="6"/>
        <v>0</v>
      </c>
      <c r="BJ72" s="95">
        <f>VLOOKUP(BD72,CENY!$B$11:$M$2025,12,FALSE)</f>
        <v>11.25459</v>
      </c>
      <c r="BK72" s="95">
        <f t="shared" si="7"/>
        <v>0</v>
      </c>
    </row>
    <row r="73" spans="47:63" ht="14.45" customHeight="1">
      <c r="AU73" s="20"/>
      <c r="AV73" s="21"/>
      <c r="AW73" s="22"/>
      <c r="AX73" s="22"/>
      <c r="AY73" s="23"/>
      <c r="AZ73" s="326" t="str">
        <f t="shared" si="5"/>
        <v/>
      </c>
      <c r="BA73" s="95"/>
      <c r="BB73" s="95" t="str">
        <f t="shared" si="4"/>
        <v/>
      </c>
      <c r="BD73" s="319">
        <f>OBJ!B320</f>
        <v>9256868</v>
      </c>
      <c r="BE73" s="21" t="str">
        <f>VLOOKUP(BD73,CENY!$B$11:$G$1054,2,FALSE)</f>
        <v>Quadro You(M) 450/SiSy 30kg; EB21; ľavý</v>
      </c>
      <c r="BF73" s="22">
        <f>VLOOKUP(BD73,CENY!$B$11:$G$1054,3,FALSE)</f>
        <v>20</v>
      </c>
      <c r="BG73" s="22"/>
      <c r="BH73" s="23">
        <f>AY44</f>
        <v>0</v>
      </c>
      <c r="BI73" s="326">
        <f t="shared" si="6"/>
        <v>0</v>
      </c>
      <c r="BJ73" s="95">
        <f>VLOOKUP(BD73,CENY!$B$11:$M$2025,12,FALSE)</f>
        <v>11.487740000000001</v>
      </c>
      <c r="BK73" s="95">
        <f t="shared" si="7"/>
        <v>0</v>
      </c>
    </row>
    <row r="74" spans="47:63" ht="14.45" customHeight="1">
      <c r="AU74" s="20"/>
      <c r="AV74" s="21"/>
      <c r="AW74" s="22"/>
      <c r="AX74" s="22"/>
      <c r="AY74" s="23"/>
      <c r="AZ74" s="326" t="str">
        <f t="shared" si="5"/>
        <v/>
      </c>
      <c r="BA74" s="95"/>
      <c r="BB74" s="95" t="str">
        <f t="shared" si="4"/>
        <v/>
      </c>
      <c r="BD74" s="319">
        <f>OBJ!B321</f>
        <v>9256869</v>
      </c>
      <c r="BE74" s="21" t="str">
        <f>VLOOKUP(BD74,CENY!$B$11:$G$1054,2,FALSE)</f>
        <v>Quadro You(M) 450/SiSy 30kg; EB21; pravý</v>
      </c>
      <c r="BF74" s="22">
        <f>VLOOKUP(BD74,CENY!$B$11:$G$1054,3,FALSE)</f>
        <v>20</v>
      </c>
      <c r="BG74" s="22"/>
      <c r="BH74" s="23">
        <f>AY44</f>
        <v>0</v>
      </c>
      <c r="BI74" s="326">
        <f t="shared" si="6"/>
        <v>0</v>
      </c>
      <c r="BJ74" s="95">
        <f>VLOOKUP(BD74,CENY!$B$11:$M$2025,12,FALSE)</f>
        <v>11.487740000000001</v>
      </c>
      <c r="BK74" s="95">
        <f t="shared" si="7"/>
        <v>0</v>
      </c>
    </row>
    <row r="75" spans="47:63" ht="14.45" customHeight="1">
      <c r="AU75" s="20"/>
      <c r="AV75" s="21"/>
      <c r="AW75" s="22"/>
      <c r="AX75" s="22"/>
      <c r="AY75" s="23"/>
      <c r="AZ75" s="326" t="str">
        <f t="shared" si="5"/>
        <v/>
      </c>
      <c r="BA75" s="95"/>
      <c r="BB75" s="95" t="str">
        <f t="shared" si="4"/>
        <v/>
      </c>
      <c r="BD75" s="319">
        <f>OBJ!B322</f>
        <v>9256872</v>
      </c>
      <c r="BE75" s="21" t="str">
        <f>VLOOKUP(BD75,CENY!$B$11:$G$1054,2,FALSE)</f>
        <v>Quadro You(M) 500/SiSy 30kg; EB21; ľavý</v>
      </c>
      <c r="BF75" s="22">
        <f>VLOOKUP(BD75,CENY!$B$11:$G$1054,3,FALSE)</f>
        <v>20</v>
      </c>
      <c r="BG75" s="22"/>
      <c r="BH75" s="23">
        <f>AY45</f>
        <v>0</v>
      </c>
      <c r="BI75" s="326">
        <f t="shared" si="6"/>
        <v>0</v>
      </c>
      <c r="BJ75" s="95">
        <f>VLOOKUP(BD75,CENY!$B$11:$M$2025,12,FALSE)</f>
        <v>11.163180000000001</v>
      </c>
      <c r="BK75" s="95">
        <f t="shared" si="7"/>
        <v>0</v>
      </c>
    </row>
    <row r="76" spans="47:63" ht="14.45" customHeight="1">
      <c r="AU76" s="20"/>
      <c r="AV76" s="21"/>
      <c r="AW76" s="22"/>
      <c r="AX76" s="22"/>
      <c r="AY76" s="23"/>
      <c r="AZ76" s="326" t="str">
        <f t="shared" si="5"/>
        <v/>
      </c>
      <c r="BA76" s="95"/>
      <c r="BB76" s="95" t="str">
        <f t="shared" si="4"/>
        <v/>
      </c>
      <c r="BD76" s="319">
        <f>OBJ!B323</f>
        <v>9256873</v>
      </c>
      <c r="BE76" s="21" t="str">
        <f>VLOOKUP(BD76,CENY!$B$11:$G$1054,2,FALSE)</f>
        <v>Quadro You(M) 500/SiSy 30kg; EB21; pravý</v>
      </c>
      <c r="BF76" s="22">
        <f>VLOOKUP(BD76,CENY!$B$11:$G$1054,3,FALSE)</f>
        <v>20</v>
      </c>
      <c r="BG76" s="22"/>
      <c r="BH76" s="23">
        <f>AY45</f>
        <v>0</v>
      </c>
      <c r="BI76" s="326">
        <f t="shared" si="6"/>
        <v>0</v>
      </c>
      <c r="BJ76" s="95">
        <f>VLOOKUP(BD76,CENY!$B$11:$M$2025,12,FALSE)</f>
        <v>11.163180000000001</v>
      </c>
      <c r="BK76" s="95">
        <f t="shared" si="7"/>
        <v>0</v>
      </c>
    </row>
    <row r="77" spans="47:63" ht="14.45" customHeight="1">
      <c r="AU77" s="20"/>
      <c r="AV77" s="21"/>
      <c r="AW77" s="22"/>
      <c r="AX77" s="22"/>
      <c r="AY77" s="23"/>
      <c r="AZ77" s="326" t="str">
        <f t="shared" si="5"/>
        <v/>
      </c>
      <c r="BA77" s="95"/>
      <c r="BB77" s="95" t="str">
        <f t="shared" si="4"/>
        <v/>
      </c>
      <c r="BD77" s="319">
        <f>OBJ!B324</f>
        <v>9256876</v>
      </c>
      <c r="BE77" s="21" t="str">
        <f>VLOOKUP(BD77,CENY!$B$11:$G$1054,2,FALSE)</f>
        <v>Quadro You(M) 550/SiSy 30kg; EB21; ľavý</v>
      </c>
      <c r="BF77" s="22">
        <f>VLOOKUP(BD77,CENY!$B$11:$G$1054,3,FALSE)</f>
        <v>20</v>
      </c>
      <c r="BG77" s="22"/>
      <c r="BH77" s="23">
        <f>AY46</f>
        <v>0</v>
      </c>
      <c r="BI77" s="326">
        <f t="shared" si="6"/>
        <v>0</v>
      </c>
      <c r="BJ77" s="95">
        <f>VLOOKUP(BD77,CENY!$B$11:$M$2025,12,FALSE)</f>
        <v>11.38542</v>
      </c>
      <c r="BK77" s="95">
        <f t="shared" si="7"/>
        <v>0</v>
      </c>
    </row>
    <row r="78" spans="47:63" ht="14.45" customHeight="1">
      <c r="AU78" s="20"/>
      <c r="AV78" s="21"/>
      <c r="AW78" s="22"/>
      <c r="AX78" s="22"/>
      <c r="AY78" s="23"/>
      <c r="AZ78" s="326" t="str">
        <f t="shared" si="5"/>
        <v/>
      </c>
      <c r="BA78" s="95"/>
      <c r="BB78" s="95" t="str">
        <f t="shared" si="4"/>
        <v/>
      </c>
      <c r="BD78" s="319">
        <f>OBJ!B325</f>
        <v>9256877</v>
      </c>
      <c r="BE78" s="21" t="str">
        <f>VLOOKUP(BD78,CENY!$B$11:$G$1054,2,FALSE)</f>
        <v>Quadro You(M) 550/SiSy 30kg; EB21; pravý</v>
      </c>
      <c r="BF78" s="22">
        <f>VLOOKUP(BD78,CENY!$B$11:$G$1054,3,FALSE)</f>
        <v>20</v>
      </c>
      <c r="BG78" s="22"/>
      <c r="BH78" s="23">
        <f>AY46</f>
        <v>0</v>
      </c>
      <c r="BI78" s="326">
        <f t="shared" si="6"/>
        <v>0</v>
      </c>
      <c r="BJ78" s="95">
        <f>VLOOKUP(BD78,CENY!$B$11:$M$2025,12,FALSE)</f>
        <v>11.954689999999999</v>
      </c>
      <c r="BK78" s="95">
        <f t="shared" si="7"/>
        <v>0</v>
      </c>
    </row>
    <row r="79" spans="47:63" ht="14.45" customHeight="1">
      <c r="AU79" s="20"/>
      <c r="AV79" s="21"/>
      <c r="AW79" s="22"/>
      <c r="AX79" s="22"/>
      <c r="AY79" s="23"/>
      <c r="AZ79" s="326" t="str">
        <f t="shared" si="5"/>
        <v/>
      </c>
      <c r="BA79" s="95"/>
      <c r="BB79" s="95" t="str">
        <f t="shared" si="4"/>
        <v/>
      </c>
      <c r="BD79" s="319">
        <f>OBJ!B326</f>
        <v>9256880</v>
      </c>
      <c r="BE79" s="21" t="str">
        <f>VLOOKUP(BD79,CENY!$B$11:$G$1054,2,FALSE)</f>
        <v>Quadro You(M) 600/SiSy 25kg; EB21; ľavý</v>
      </c>
      <c r="BF79" s="22">
        <f>VLOOKUP(BD79,CENY!$B$11:$G$1054,3,FALSE)</f>
        <v>20</v>
      </c>
      <c r="BG79" s="22"/>
      <c r="BH79" s="23">
        <f>AY47</f>
        <v>0</v>
      </c>
      <c r="BI79" s="326">
        <f t="shared" si="6"/>
        <v>0</v>
      </c>
      <c r="BJ79" s="95">
        <f>VLOOKUP(BD79,CENY!$B$11:$M$2025,12,FALSE)</f>
        <v>12.187939999999999</v>
      </c>
      <c r="BK79" s="95">
        <f t="shared" si="7"/>
        <v>0</v>
      </c>
    </row>
    <row r="80" spans="47:63" ht="14.45" customHeight="1">
      <c r="AU80" s="20"/>
      <c r="AV80" s="21"/>
      <c r="AW80" s="22"/>
      <c r="AX80" s="22"/>
      <c r="AY80" s="23"/>
      <c r="AZ80" s="326" t="str">
        <f t="shared" si="5"/>
        <v/>
      </c>
      <c r="BA80" s="95"/>
      <c r="BB80" s="95" t="str">
        <f t="shared" si="4"/>
        <v/>
      </c>
      <c r="BD80" s="319">
        <f>OBJ!B327</f>
        <v>9256881</v>
      </c>
      <c r="BE80" s="21" t="str">
        <f>VLOOKUP(BD80,CENY!$B$11:$G$1054,2,FALSE)</f>
        <v>Quadro You(M) 600/SiSy 25kg; EB21; pravý</v>
      </c>
      <c r="BF80" s="22">
        <f>VLOOKUP(BD80,CENY!$B$11:$G$1054,3,FALSE)</f>
        <v>20</v>
      </c>
      <c r="BG80" s="22"/>
      <c r="BH80" s="23">
        <f>AY47</f>
        <v>0</v>
      </c>
      <c r="BI80" s="326">
        <f t="shared" si="6"/>
        <v>0</v>
      </c>
      <c r="BJ80" s="95">
        <f>VLOOKUP(BD80,CENY!$B$11:$M$2025,12,FALSE)</f>
        <v>12.187939999999999</v>
      </c>
      <c r="BK80" s="95">
        <f t="shared" si="7"/>
        <v>0</v>
      </c>
    </row>
    <row r="81" spans="47:63" ht="14.45" customHeight="1">
      <c r="AU81" s="20"/>
      <c r="AV81" s="21"/>
      <c r="AW81" s="22"/>
      <c r="AX81" s="22"/>
      <c r="AY81" s="23"/>
      <c r="AZ81" s="326" t="str">
        <f t="shared" si="5"/>
        <v/>
      </c>
      <c r="BA81" s="95"/>
      <c r="BB81" s="95" t="str">
        <f t="shared" si="4"/>
        <v/>
      </c>
      <c r="BD81" s="319"/>
      <c r="BE81" s="21"/>
      <c r="BF81" s="22"/>
      <c r="BG81" s="22"/>
      <c r="BH81" s="23"/>
      <c r="BI81" s="326" t="str">
        <f t="shared" si="6"/>
        <v/>
      </c>
      <c r="BJ81" s="95"/>
      <c r="BK81" s="95" t="str">
        <f t="shared" si="7"/>
        <v/>
      </c>
    </row>
    <row r="82" spans="47:63" ht="14.45" customHeight="1">
      <c r="AU82" s="20"/>
      <c r="AV82" s="21"/>
      <c r="AW82" s="22"/>
      <c r="AX82" s="22"/>
      <c r="AY82" s="23"/>
      <c r="AZ82" s="326" t="str">
        <f t="shared" si="5"/>
        <v/>
      </c>
      <c r="BA82" s="95"/>
      <c r="BB82" s="95" t="str">
        <f t="shared" si="4"/>
        <v/>
      </c>
      <c r="BD82" s="319">
        <f>OBJ!B214</f>
        <v>0</v>
      </c>
      <c r="BE82" s="21" t="e">
        <f>VLOOKUP(BD82,CENY!$B$11:$G$1054,2,FALSE)</f>
        <v>#N/A</v>
      </c>
      <c r="BF82" s="22" t="e">
        <f>VLOOKUP(BD82,CENY!$B$11:$G$1054,3,FALSE)</f>
        <v>#N/A</v>
      </c>
      <c r="BG82" s="22"/>
      <c r="BH82" s="23">
        <f>AY51</f>
        <v>0</v>
      </c>
      <c r="BI82" s="326">
        <f t="shared" si="6"/>
        <v>0</v>
      </c>
      <c r="BJ82" s="324" t="str">
        <f>IF(BD82=0,"",VLOOKUP(BD82,CENY!$B$11:$M$2025,12,FALSE))</f>
        <v/>
      </c>
      <c r="BK82" s="95" t="str">
        <f>IF(BJ82="","",BJ82*BH82)</f>
        <v/>
      </c>
    </row>
    <row r="83" spans="47:63" ht="14.45" customHeight="1">
      <c r="AU83" s="20"/>
      <c r="AV83" s="21"/>
      <c r="AW83" s="22"/>
      <c r="AX83" s="22"/>
      <c r="AY83" s="23"/>
      <c r="AZ83" s="326" t="str">
        <f t="shared" si="5"/>
        <v/>
      </c>
      <c r="BA83" s="95"/>
      <c r="BB83" s="95" t="str">
        <f t="shared" si="4"/>
        <v/>
      </c>
      <c r="BD83" s="319"/>
      <c r="BE83" s="21"/>
      <c r="BF83" s="22"/>
      <c r="BG83" s="22"/>
      <c r="BH83" s="23"/>
      <c r="BI83" s="326" t="str">
        <f t="shared" si="6"/>
        <v/>
      </c>
      <c r="BJ83" s="95"/>
      <c r="BK83" s="95" t="str">
        <f t="shared" si="7"/>
        <v/>
      </c>
    </row>
    <row r="84" spans="47:63" ht="14.45" customHeight="1">
      <c r="AU84" s="319">
        <f>OBJ!B361</f>
        <v>45167</v>
      </c>
      <c r="AV84" s="21" t="str">
        <f>VLOOKUP(AU84,CENY!$B$11:$G$1054,2,FALSE)</f>
        <v>Skrutka s polgul.hlavou 3,5x12mm</v>
      </c>
      <c r="AW84" s="22">
        <f>VLOOKUP(AU84,CENY!$B$11:$G$1054,3,FALSE)</f>
        <v>200</v>
      </c>
      <c r="AX84" s="22"/>
      <c r="AY84" s="23">
        <f>SUMPRODUCT(AX5:AX13,AY5:AY13)</f>
        <v>0</v>
      </c>
      <c r="AZ84" s="326">
        <f t="shared" si="5"/>
        <v>0</v>
      </c>
      <c r="BA84" s="95">
        <f>VLOOKUP(AU84,CENY!$B$11:$M$2025,12,FALSE)</f>
        <v>3.4759999999999999E-2</v>
      </c>
      <c r="BB84" s="95">
        <f t="shared" si="4"/>
        <v>0</v>
      </c>
      <c r="BC84" s="86" t="s">
        <v>396</v>
      </c>
      <c r="BD84" s="319">
        <f>OBJ!B361</f>
        <v>45167</v>
      </c>
      <c r="BE84" s="21" t="str">
        <f>VLOOKUP(BD84,CENY!$B$11:$G$1054,2,FALSE)</f>
        <v>Skrutka s polgul.hlavou 3,5x12mm</v>
      </c>
      <c r="BF84" s="22">
        <f>VLOOKUP(BD84,CENY!$B$11:$G$1054,3,FALSE)</f>
        <v>200</v>
      </c>
      <c r="BG84" s="22"/>
      <c r="BH84" s="23">
        <f>AY84</f>
        <v>0</v>
      </c>
      <c r="BI84" s="326">
        <f>IF(BH84="","",IF($AW$4=0,BH84,0))</f>
        <v>0</v>
      </c>
      <c r="BJ84" s="95">
        <f>VLOOKUP(BD84,CENY!$B$11:$M$2025,12,FALSE)</f>
        <v>3.4759999999999999E-2</v>
      </c>
      <c r="BK84" s="95">
        <f>IF(BJ84="","",BJ84*BH84)</f>
        <v>0</v>
      </c>
    </row>
    <row r="85" spans="47:63" ht="14.45" customHeight="1">
      <c r="AU85" s="319">
        <f>OBJ!B362</f>
        <v>45168</v>
      </c>
      <c r="AV85" s="21" t="str">
        <f>VLOOKUP(AU85,CENY!$B$11:$G$1054,2,FALSE)</f>
        <v>Skrutka s polgul.hlavou 3,5x20mm</v>
      </c>
      <c r="AW85" s="22">
        <f>VLOOKUP(AU85,CENY!$B$11:$G$1054,3,FALSE)</f>
        <v>200</v>
      </c>
      <c r="AX85" s="22"/>
      <c r="AY85" s="360">
        <v>0</v>
      </c>
      <c r="AZ85" s="326">
        <f t="shared" si="5"/>
        <v>0</v>
      </c>
      <c r="BA85" s="95">
        <f>VLOOKUP(AU85,CENY!$B$11:$M$2025,12,FALSE)</f>
        <v>4.9860000000000002E-2</v>
      </c>
      <c r="BB85" s="95">
        <f t="shared" si="4"/>
        <v>0</v>
      </c>
      <c r="BC85" s="86" t="s">
        <v>397</v>
      </c>
      <c r="BD85" s="319">
        <f>OBJ!B362</f>
        <v>45168</v>
      </c>
      <c r="BE85" s="21" t="str">
        <f>VLOOKUP(BD85,CENY!$B$11:$G$1054,2,FALSE)</f>
        <v>Skrutka s polgul.hlavou 3,5x20mm</v>
      </c>
      <c r="BF85" s="22">
        <f>VLOOKUP(BD85,CENY!$B$11:$G$1054,3,FALSE)</f>
        <v>200</v>
      </c>
      <c r="BG85" s="22"/>
      <c r="BH85" s="360">
        <f>IF(FORM!$AM$8=FORM!$AU$10,BH24*4,0)</f>
        <v>0</v>
      </c>
      <c r="BI85" s="326">
        <f>IF(BH85="","",IF($AW$4=0,BH85,0))</f>
        <v>0</v>
      </c>
      <c r="BJ85" s="95">
        <f>VLOOKUP(BD85,CENY!$B$11:$M$2025,12,FALSE)</f>
        <v>4.9860000000000002E-2</v>
      </c>
      <c r="BK85" s="95">
        <f>IF(BJ85="","",BJ85*BH85)</f>
        <v>0</v>
      </c>
    </row>
    <row r="86" spans="47:63" ht="14.45" customHeight="1">
      <c r="AU86" s="319">
        <f>OBJ!B363</f>
        <v>9278224</v>
      </c>
      <c r="AV86" s="21" t="str">
        <f>VLOOKUP(AU86,CENY!$B$11:$G$1054,2,FALSE)</f>
        <v>Skrutka s polgul.hlavou 3,5x30mm</v>
      </c>
      <c r="AW86" s="22">
        <f>VLOOKUP(AU86,CENY!$B$11:$G$1054,3,FALSE)</f>
        <v>200</v>
      </c>
      <c r="AX86" s="22"/>
      <c r="AY86" s="360">
        <v>0</v>
      </c>
      <c r="AZ86" s="326">
        <f t="shared" si="5"/>
        <v>0</v>
      </c>
      <c r="BA86" s="95">
        <f>VLOOKUP(AU86,CENY!$B$11:$M$2025,12,FALSE)</f>
        <v>4.299E-2</v>
      </c>
      <c r="BB86" s="95">
        <f t="shared" si="4"/>
        <v>0</v>
      </c>
      <c r="BC86" s="86" t="s">
        <v>398</v>
      </c>
      <c r="BD86" s="319">
        <f>OBJ!B363</f>
        <v>9278224</v>
      </c>
      <c r="BE86" s="21" t="str">
        <f>VLOOKUP(BD86,CENY!$B$11:$G$1054,2,FALSE)</f>
        <v>Skrutka s polgul.hlavou 3,5x30mm</v>
      </c>
      <c r="BF86" s="22">
        <f>VLOOKUP(BD86,CENY!$B$11:$G$1054,3,FALSE)</f>
        <v>200</v>
      </c>
      <c r="BG86" s="22"/>
      <c r="BH86" s="360">
        <f>2*SUM(BH5:BH22)</f>
        <v>0</v>
      </c>
      <c r="BI86" s="326">
        <f>IF(BH86="","",IF($AW$4=0,BH86,0))</f>
        <v>0</v>
      </c>
      <c r="BJ86" s="95">
        <f>VLOOKUP(BD86,CENY!$B$11:$M$2025,12,FALSE)</f>
        <v>4.299E-2</v>
      </c>
      <c r="BK86" s="95">
        <f>IF(BJ86="","",BJ86*BH86)</f>
        <v>0</v>
      </c>
    </row>
    <row r="87" spans="47:63" ht="14.45" customHeight="1">
      <c r="AU87" s="319">
        <f>OBJ!B364</f>
        <v>9279197</v>
      </c>
      <c r="AV87" s="21" t="str">
        <f>VLOOKUP(AU87,CENY!$B$11:$G$1054,2,FALSE)</f>
        <v>Skrutka s polgul.hlavou M3,5x12mm</v>
      </c>
      <c r="AW87" s="22">
        <f>VLOOKUP(AU87,CENY!$B$11:$G$1054,3,FALSE)</f>
        <v>1000</v>
      </c>
      <c r="AX87" s="22"/>
      <c r="AY87" s="68">
        <v>0</v>
      </c>
      <c r="AZ87" s="326">
        <f t="shared" si="5"/>
        <v>0</v>
      </c>
      <c r="BA87" s="95" t="e">
        <f>VLOOKUP(AU87,CENY!$B$11:$M$2025,12,FALSE)</f>
        <v>#N/A</v>
      </c>
      <c r="BB87" s="95" t="e">
        <f t="shared" si="4"/>
        <v>#N/A</v>
      </c>
      <c r="BC87" s="86" t="s">
        <v>399</v>
      </c>
      <c r="BD87" s="319">
        <f>OBJ!B364</f>
        <v>9279197</v>
      </c>
      <c r="BE87" s="21" t="str">
        <f>VLOOKUP(BD87,CENY!$B$11:$G$1054,2,FALSE)</f>
        <v>Skrutka s polgul.hlavou M3,5x12mm</v>
      </c>
      <c r="BF87" s="22">
        <f>VLOOKUP(BD87,CENY!$B$11:$G$1054,3,FALSE)</f>
        <v>1000</v>
      </c>
      <c r="BG87" s="22"/>
      <c r="BH87" s="68">
        <f>AY87</f>
        <v>0</v>
      </c>
      <c r="BI87" s="326">
        <f>IF(BH87="","",IF($AW$4=0,BH87,0))</f>
        <v>0</v>
      </c>
      <c r="BJ87" s="95" t="e">
        <f>VLOOKUP(BD87,CENY!$B$11:$M$2025,12,FALSE)</f>
        <v>#N/A</v>
      </c>
      <c r="BK87" s="95" t="e">
        <f>IF(BJ87="","",BJ87*BH87)</f>
        <v>#N/A</v>
      </c>
    </row>
    <row r="88" spans="47:63" ht="14.45" customHeight="1">
      <c r="AU88" s="319">
        <f>OBJ!B365</f>
        <v>9137114</v>
      </c>
      <c r="AV88" s="21" t="str">
        <f>VLOOKUP(AU88,CENY!$B$11:$G$1054,2,FALSE)</f>
        <v>EURO-skrutka  6,0x14mm / niklovaná</v>
      </c>
      <c r="AW88" s="22">
        <f>VLOOKUP(AU88,CENY!$B$11:$G$1054,3,FALSE)</f>
        <v>200</v>
      </c>
      <c r="AX88" s="22"/>
      <c r="AY88" s="23">
        <f>SUMPRODUCT(AX25:AX47,AY25:AY47)</f>
        <v>0</v>
      </c>
      <c r="AZ88" s="326">
        <f t="shared" si="5"/>
        <v>0</v>
      </c>
      <c r="BA88" s="95">
        <f>VLOOKUP(AU88,CENY!$B$11:$M$2025,12,FALSE)</f>
        <v>7.7280000000000001E-2</v>
      </c>
      <c r="BB88" s="95">
        <f t="shared" si="4"/>
        <v>0</v>
      </c>
      <c r="BC88" s="86" t="s">
        <v>400</v>
      </c>
      <c r="BD88" s="319">
        <f>OBJ!B365</f>
        <v>9137114</v>
      </c>
      <c r="BE88" s="21" t="str">
        <f>VLOOKUP(BD88,CENY!$B$11:$G$1054,2,FALSE)</f>
        <v>EURO-skrutka  6,0x14mm / niklovaná</v>
      </c>
      <c r="BF88" s="22">
        <f>VLOOKUP(BD88,CENY!$B$11:$G$1054,3,FALSE)</f>
        <v>200</v>
      </c>
      <c r="BG88" s="22"/>
      <c r="BH88" s="23">
        <f>AY88</f>
        <v>0</v>
      </c>
      <c r="BI88" s="326">
        <f>IF(BH88="","",IF($AW$4=0,BH88,0))</f>
        <v>0</v>
      </c>
      <c r="BJ88" s="95">
        <f>VLOOKUP(BD88,CENY!$B$11:$M$2025,12,FALSE)</f>
        <v>7.7280000000000001E-2</v>
      </c>
      <c r="BK88" s="95">
        <f>IF(BJ88="","",BJ88*BH88)</f>
        <v>0</v>
      </c>
    </row>
    <row r="89" spans="47:63" ht="14.45" customHeight="1">
      <c r="AU89" s="20"/>
      <c r="AV89" s="21"/>
      <c r="AW89" s="22"/>
      <c r="AX89" s="22"/>
      <c r="AY89" s="23"/>
      <c r="AZ89" s="326"/>
      <c r="BA89" s="95"/>
      <c r="BB89" s="95"/>
      <c r="BD89" s="319"/>
      <c r="BE89" s="21"/>
      <c r="BF89" s="22"/>
      <c r="BG89" s="22"/>
      <c r="BH89" s="23"/>
      <c r="BI89" s="326"/>
      <c r="BJ89" s="95"/>
      <c r="BK89" s="95"/>
    </row>
    <row r="90" spans="47:63" ht="14.45" customHeight="1">
      <c r="AU90" s="20"/>
      <c r="AV90" s="21"/>
      <c r="AW90" s="22"/>
      <c r="AX90" s="22"/>
      <c r="AY90" s="23"/>
      <c r="AZ90" s="326" t="str">
        <f t="shared" si="5"/>
        <v/>
      </c>
      <c r="BA90" s="95"/>
      <c r="BB90" s="95" t="str">
        <f t="shared" si="4"/>
        <v/>
      </c>
      <c r="BD90" s="319"/>
      <c r="BE90" s="21"/>
      <c r="BF90" s="22"/>
      <c r="BG90" s="22"/>
      <c r="BH90" s="23"/>
      <c r="BI90" s="326" t="str">
        <f>IF(BH90="","",IF($AW$4=0,BH90,0))</f>
        <v/>
      </c>
      <c r="BJ90" s="95"/>
      <c r="BK90" s="95" t="str">
        <f>IF(BJ90="","",BJ90*BH90)</f>
        <v/>
      </c>
    </row>
    <row r="91" spans="47:63" ht="14.45" customHeight="1">
      <c r="AU91" s="20"/>
      <c r="AV91" s="21"/>
      <c r="AW91" s="22"/>
      <c r="AX91" s="22"/>
      <c r="AY91" s="23"/>
      <c r="AZ91" s="326" t="str">
        <f t="shared" si="5"/>
        <v/>
      </c>
      <c r="BA91" s="95"/>
      <c r="BB91" s="95" t="str">
        <f t="shared" si="4"/>
        <v/>
      </c>
      <c r="BD91" s="319"/>
      <c r="BE91" s="21"/>
      <c r="BF91" s="22"/>
      <c r="BG91" s="22"/>
      <c r="BH91" s="23"/>
      <c r="BI91" s="326" t="str">
        <f>IF(BH91="","",IF($AW$4=0,BH91,0))</f>
        <v/>
      </c>
      <c r="BJ91" s="95"/>
      <c r="BK91" s="95" t="str">
        <f>IF(BJ91="","",BJ91*BH91)</f>
        <v/>
      </c>
    </row>
    <row r="92" spans="47:63" ht="14.45" customHeight="1"/>
    <row r="93" spans="47:63" ht="14.45" customHeight="1"/>
    <row r="94" spans="47:63" ht="14.45" customHeight="1"/>
    <row r="95" spans="47:63" ht="14.45" customHeight="1"/>
    <row r="96" spans="47:63" ht="14.45" customHeight="1"/>
    <row r="97" ht="14.45" customHeight="1"/>
    <row r="98" ht="14.45" customHeight="1"/>
    <row r="99" ht="14.45" customHeight="1"/>
  </sheetData>
  <sheetProtection algorithmName="SHA-512" hashValue="9vFWDGQgpjWPfYKC9r0Z5a0gDvjZNZElrSgD4KLSvXpb3eTOzcz89gj4HBsy0GXmQmCWZa191c3GWzJ0jsWIcA==" saltValue="Qq3NnrBdCkXLpW9Jfz6d7Q==" spinCount="100000" sheet="1" objects="1" scenarios="1"/>
  <mergeCells count="77">
    <mergeCell ref="U2:Y2"/>
    <mergeCell ref="AA2:AE2"/>
    <mergeCell ref="AI2:AM2"/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B12:E12"/>
    <mergeCell ref="F12:I12"/>
    <mergeCell ref="J12:K12"/>
    <mergeCell ref="B13:E13"/>
    <mergeCell ref="F13:I13"/>
    <mergeCell ref="J13:K13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U19:V19"/>
    <mergeCell ref="W19:X19"/>
    <mergeCell ref="Y19:Z19"/>
    <mergeCell ref="AA19:AB19"/>
    <mergeCell ref="AC19:AD19"/>
    <mergeCell ref="B19:G19"/>
    <mergeCell ref="H19:L19"/>
    <mergeCell ref="M19:N19"/>
    <mergeCell ref="O19:P19"/>
    <mergeCell ref="Q19:R19"/>
    <mergeCell ref="B20:G20"/>
    <mergeCell ref="H20:L20"/>
    <mergeCell ref="M20:N20"/>
    <mergeCell ref="O20:P20"/>
    <mergeCell ref="Q20:R20"/>
    <mergeCell ref="S25:T25"/>
    <mergeCell ref="AE20:AF20"/>
    <mergeCell ref="O24:P24"/>
    <mergeCell ref="Q24:R24"/>
    <mergeCell ref="S24:T24"/>
    <mergeCell ref="U24:V24"/>
    <mergeCell ref="W24:X24"/>
    <mergeCell ref="Y24:Z24"/>
    <mergeCell ref="AA24:AB24"/>
    <mergeCell ref="AC24:AD24"/>
    <mergeCell ref="S20:T20"/>
    <mergeCell ref="U20:V20"/>
    <mergeCell ref="W20:X20"/>
    <mergeCell ref="Y20:Z20"/>
    <mergeCell ref="AA20:AB20"/>
    <mergeCell ref="AC20:AD20"/>
    <mergeCell ref="B25:G25"/>
    <mergeCell ref="H25:L25"/>
    <mergeCell ref="M25:N25"/>
    <mergeCell ref="O25:P25"/>
    <mergeCell ref="Q25:R25"/>
    <mergeCell ref="U25:V25"/>
    <mergeCell ref="W25:X25"/>
    <mergeCell ref="Y25:Z25"/>
    <mergeCell ref="AA25:AB25"/>
    <mergeCell ref="AC25:AD25"/>
  </mergeCells>
  <conditionalFormatting sqref="BH5:BI5 AY5:AZ5 BH6:BH24 AY6:AY42 BH26:BH65 AY89:AZ91 BI89:BI91 BI6:BI82 AZ6:AZ83 AY69:AY83 BH83:BI83">
    <cfRule type="cellIs" dxfId="333" priority="30" stopIfTrue="1" operator="equal">
      <formula>0</formula>
    </cfRule>
  </conditionalFormatting>
  <conditionalFormatting sqref="O17:AF17 O19:T19 W20:AF20 O25:T25">
    <cfRule type="expression" dxfId="332" priority="29" stopIfTrue="1">
      <formula>$AW$4=0</formula>
    </cfRule>
  </conditionalFormatting>
  <conditionalFormatting sqref="AY50 AY52:AY54">
    <cfRule type="cellIs" dxfId="331" priority="28" stopIfTrue="1" operator="equal">
      <formula>0</formula>
    </cfRule>
  </conditionalFormatting>
  <conditionalFormatting sqref="AY55">
    <cfRule type="cellIs" dxfId="330" priority="27" stopIfTrue="1" operator="equal">
      <formula>0</formula>
    </cfRule>
  </conditionalFormatting>
  <conditionalFormatting sqref="AY59:AY68">
    <cfRule type="cellIs" dxfId="329" priority="26" stopIfTrue="1" operator="equal">
      <formula>0</formula>
    </cfRule>
  </conditionalFormatting>
  <conditionalFormatting sqref="BH25">
    <cfRule type="cellIs" dxfId="328" priority="25" stopIfTrue="1" operator="equal">
      <formula>0</formula>
    </cfRule>
  </conditionalFormatting>
  <conditionalFormatting sqref="AY43:AY48">
    <cfRule type="cellIs" dxfId="327" priority="24" stopIfTrue="1" operator="equal">
      <formula>0</formula>
    </cfRule>
  </conditionalFormatting>
  <conditionalFormatting sqref="AY49">
    <cfRule type="cellIs" dxfId="326" priority="23" stopIfTrue="1" operator="equal">
      <formula>0</formula>
    </cfRule>
  </conditionalFormatting>
  <conditionalFormatting sqref="AY56:AY58">
    <cfRule type="cellIs" dxfId="325" priority="22" stopIfTrue="1" operator="equal">
      <formula>0</formula>
    </cfRule>
  </conditionalFormatting>
  <conditionalFormatting sqref="BH81">
    <cfRule type="cellIs" dxfId="324" priority="21" stopIfTrue="1" operator="equal">
      <formula>0</formula>
    </cfRule>
  </conditionalFormatting>
  <conditionalFormatting sqref="BH89:BH91">
    <cfRule type="cellIs" dxfId="323" priority="20" stopIfTrue="1" operator="equal">
      <formula>0</formula>
    </cfRule>
  </conditionalFormatting>
  <conditionalFormatting sqref="BH66:BH80">
    <cfRule type="cellIs" dxfId="322" priority="18" stopIfTrue="1" operator="equal">
      <formula>0</formula>
    </cfRule>
  </conditionalFormatting>
  <conditionalFormatting sqref="AY51">
    <cfRule type="cellIs" dxfId="321" priority="17" stopIfTrue="1" operator="equal">
      <formula>0</formula>
    </cfRule>
  </conditionalFormatting>
  <conditionalFormatting sqref="BH82">
    <cfRule type="cellIs" dxfId="320" priority="16" stopIfTrue="1" operator="equal">
      <formula>0</formula>
    </cfRule>
  </conditionalFormatting>
  <conditionalFormatting sqref="F13:K13">
    <cfRule type="expression" dxfId="319" priority="15" stopIfTrue="1">
      <formula>$AW$4=1</formula>
    </cfRule>
  </conditionalFormatting>
  <conditionalFormatting sqref="U19:AD19">
    <cfRule type="expression" dxfId="318" priority="11" stopIfTrue="1">
      <formula>$AW$4=0</formula>
    </cfRule>
  </conditionalFormatting>
  <conditionalFormatting sqref="AC25:AD25">
    <cfRule type="expression" dxfId="317" priority="6" stopIfTrue="1">
      <formula>$AW$4=0</formula>
    </cfRule>
  </conditionalFormatting>
  <conditionalFormatting sqref="U25:V25">
    <cfRule type="expression" dxfId="316" priority="10" stopIfTrue="1">
      <formula>$AW$4=0</formula>
    </cfRule>
  </conditionalFormatting>
  <conditionalFormatting sqref="W25:X25">
    <cfRule type="expression" dxfId="315" priority="9" stopIfTrue="1">
      <formula>$AW$4=0</formula>
    </cfRule>
  </conditionalFormatting>
  <conditionalFormatting sqref="Y25:Z25">
    <cfRule type="expression" dxfId="314" priority="8" stopIfTrue="1">
      <formula>$AW$4=0</formula>
    </cfRule>
  </conditionalFormatting>
  <conditionalFormatting sqref="AA25:AB25">
    <cfRule type="expression" dxfId="313" priority="7" stopIfTrue="1">
      <formula>$AW$4=0</formula>
    </cfRule>
  </conditionalFormatting>
  <conditionalFormatting sqref="AZ84:AZ88">
    <cfRule type="cellIs" dxfId="312" priority="5" stopIfTrue="1" operator="equal">
      <formula>0</formula>
    </cfRule>
  </conditionalFormatting>
  <conditionalFormatting sqref="AY84:AY88">
    <cfRule type="cellIs" dxfId="311" priority="4" stopIfTrue="1" operator="equal">
      <formula>0</formula>
    </cfRule>
  </conditionalFormatting>
  <conditionalFormatting sqref="BH84 BH87:BH88">
    <cfRule type="cellIs" dxfId="310" priority="3" stopIfTrue="1" operator="equal">
      <formula>0</formula>
    </cfRule>
  </conditionalFormatting>
  <conditionalFormatting sqref="BI84:BI88">
    <cfRule type="cellIs" dxfId="309" priority="2" stopIfTrue="1" operator="equal">
      <formula>0</formula>
    </cfRule>
  </conditionalFormatting>
  <conditionalFormatting sqref="BH85:BH86">
    <cfRule type="cellIs" dxfId="308" priority="1" stopIfTrue="1" operator="equal">
      <formula>0</formula>
    </cfRule>
  </conditionalFormatting>
  <hyperlinks>
    <hyperlink ref="M4" location="MENU!A1" display="MENU!A1" xr:uid="{00000000-0004-0000-1200-000000000000}"/>
    <hyperlink ref="M10" location="OBJ!A1" display="OBJ!A1" xr:uid="{00000000-0004-0000-1200-000001000000}"/>
    <hyperlink ref="M9" location="suhrn!A1" display="suhrn!A1" xr:uid="{00000000-0004-0000-1200-000002000000}"/>
    <hyperlink ref="O2:S2" location="MENU!A5" display="MENU!A5" xr:uid="{00000000-0004-0000-12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10">
    <tabColor theme="9" tint="-0.249977111117893"/>
  </sheetPr>
  <dimension ref="A1:BK86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32.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4" width="9" style="86" hidden="1" customWidth="1"/>
    <col min="55" max="55" width="2.625" style="86" hidden="1" customWidth="1"/>
    <col min="56" max="56" width="9" style="86" hidden="1" customWidth="1"/>
    <col min="57" max="57" width="33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1" s="86" t="s">
        <v>1301</v>
      </c>
      <c r="AU1" s="140"/>
      <c r="AV1" s="279"/>
      <c r="AW1" s="279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</row>
    <row r="3" spans="1:63" ht="12.95" customHeight="1">
      <c r="AV3" s="143"/>
      <c r="AW3" s="143"/>
    </row>
    <row r="4" spans="1:63" ht="23.1" customHeight="1">
      <c r="A4" s="89"/>
      <c r="B4" s="93" t="str">
        <f>verze!E206&amp;" AVANTECH YOU  187 Inlay / 187 Inlay"</f>
        <v>Zásuvka AVANTECH YOU  187 Inlay /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BB4" s="322" t="e">
        <f>SUM(BB5:BB939)</f>
        <v>#N/A</v>
      </c>
      <c r="BD4" s="94" t="s">
        <v>34</v>
      </c>
      <c r="BK4" s="322" t="e">
        <f>SUM(BK5:BK932)</f>
        <v>#N/A</v>
      </c>
    </row>
    <row r="5" spans="1:63" ht="14.45" customHeight="1">
      <c r="AU5" s="319">
        <f>OBJ!B168</f>
        <v>9353283</v>
      </c>
      <c r="AV5" s="21" t="str">
        <f>VLOOKUP(AU5,CENY!$B$11:$G$1054,2,FALSE)</f>
        <v>AvanY-sólo boky Inlay-NW 187/350mm/strieb.</v>
      </c>
      <c r="AW5" s="22">
        <f>VLOOKUP(AU5,CENY!$B$11:$G$1054,3,FALSE)</f>
        <v>1</v>
      </c>
      <c r="AX5" s="362">
        <v>6</v>
      </c>
      <c r="AY5" s="23">
        <f>2*(S19+S25)</f>
        <v>0</v>
      </c>
      <c r="AZ5" s="326">
        <f t="shared" ref="AZ5:AZ61" si="0">IF(AY5="","",IF($AW$4=1,AY5,0))</f>
        <v>0</v>
      </c>
      <c r="BA5" s="95">
        <f>VLOOKUP(AU5,CENY!$B$11:$M$2025,12,FALSE)</f>
        <v>40.415970000000002</v>
      </c>
      <c r="BB5" s="95">
        <f t="shared" ref="BB5:BB60" si="1">IF(BA5="","",BA5*AY5)</f>
        <v>0</v>
      </c>
      <c r="BD5" s="319">
        <f>OBJ!B176</f>
        <v>9257131</v>
      </c>
      <c r="BE5" s="21" t="str">
        <f>VLOOKUP(BD5,CENY!$B$11:$G$1054,2,FALSE)</f>
        <v>AvanY-bok Inlay ľavý /v187/h350/ strieb.</v>
      </c>
      <c r="BF5" s="22">
        <f>VLOOKUP(BD5,CENY!$B$11:$G$1054,3,FALSE)</f>
        <v>10</v>
      </c>
      <c r="BG5" s="22"/>
      <c r="BH5" s="23">
        <f>AY5</f>
        <v>0</v>
      </c>
      <c r="BI5" s="326">
        <f t="shared" ref="BI5:BI55" si="2">IF(BH5="","",IF($AW$4=0,BH5,0))</f>
        <v>0</v>
      </c>
      <c r="BJ5" s="95">
        <f>VLOOKUP(BD5,CENY!$B$11:$M$2025,12,FALSE)</f>
        <v>18.284949999999998</v>
      </c>
      <c r="BK5" s="95">
        <f t="shared" ref="BK5:BK55" si="3"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390</v>
      </c>
      <c r="G6" s="566"/>
      <c r="H6" s="566"/>
      <c r="I6" s="566"/>
      <c r="J6" s="566"/>
      <c r="K6" s="566"/>
      <c r="AU6" s="319">
        <f>OBJ!B169</f>
        <v>9353284</v>
      </c>
      <c r="AV6" s="21" t="str">
        <f>VLOOKUP(AU6,CENY!$B$11:$G$1054,2,FALSE)</f>
        <v>AvanY-sólo boky Inlay-NW 187/400mm/strieb.</v>
      </c>
      <c r="AW6" s="22">
        <f>VLOOKUP(AU6,CENY!$B$11:$G$1054,3,FALSE)</f>
        <v>1</v>
      </c>
      <c r="AX6" s="362">
        <v>6</v>
      </c>
      <c r="AY6" s="23">
        <f>2*(U19+U25)</f>
        <v>0</v>
      </c>
      <c r="AZ6" s="326">
        <f t="shared" si="0"/>
        <v>0</v>
      </c>
      <c r="BA6" s="95">
        <f>VLOOKUP(AU6,CENY!$B$11:$M$2025,12,FALSE)</f>
        <v>40.990609999999997</v>
      </c>
      <c r="BB6" s="95">
        <f t="shared" si="1"/>
        <v>0</v>
      </c>
      <c r="BD6" s="319">
        <f>OBJ!B177</f>
        <v>9257132</v>
      </c>
      <c r="BE6" s="21" t="str">
        <f>VLOOKUP(BD6,CENY!$B$11:$G$1054,2,FALSE)</f>
        <v>AvanY-bok Inlay pravý /v187/h350/ strieb.</v>
      </c>
      <c r="BF6" s="22">
        <f>VLOOKUP(BD6,CENY!$B$11:$G$1054,3,FALSE)</f>
        <v>10</v>
      </c>
      <c r="BG6" s="22"/>
      <c r="BH6" s="23">
        <f>AY5</f>
        <v>0</v>
      </c>
      <c r="BI6" s="326">
        <f t="shared" si="2"/>
        <v>0</v>
      </c>
      <c r="BJ6" s="95">
        <f>VLOOKUP(BD6,CENY!$B$11:$M$2025,12,FALSE)</f>
        <v>18.284949999999998</v>
      </c>
      <c r="BK6" s="95">
        <f t="shared" si="3"/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OBJ!B170</f>
        <v>9353285</v>
      </c>
      <c r="AV7" s="21" t="str">
        <f>VLOOKUP(AU7,CENY!$B$11:$G$1054,2,FALSE)</f>
        <v>AvanY-sólo boky Inlay-NW 187/450mm/strieb.</v>
      </c>
      <c r="AW7" s="22">
        <f>VLOOKUP(AU7,CENY!$B$11:$G$1054,3,FALSE)</f>
        <v>1</v>
      </c>
      <c r="AX7" s="362">
        <v>6</v>
      </c>
      <c r="AY7" s="23">
        <f>2*(W19+W20+W25)</f>
        <v>0</v>
      </c>
      <c r="AZ7" s="326">
        <f t="shared" si="0"/>
        <v>0</v>
      </c>
      <c r="BA7" s="95">
        <f>VLOOKUP(AU7,CENY!$B$11:$M$2025,12,FALSE)</f>
        <v>39.585979999999999</v>
      </c>
      <c r="BB7" s="95">
        <f t="shared" si="1"/>
        <v>0</v>
      </c>
      <c r="BD7" s="319">
        <f>OBJ!B178</f>
        <v>9257133</v>
      </c>
      <c r="BE7" s="21" t="str">
        <f>VLOOKUP(BD7,CENY!$B$11:$G$1054,2,FALSE)</f>
        <v>AvanY-bok Inlay ľavý /v187/h400/ strieb.</v>
      </c>
      <c r="BF7" s="22">
        <f>VLOOKUP(BD7,CENY!$B$11:$G$1054,3,FALSE)</f>
        <v>10</v>
      </c>
      <c r="BG7" s="22"/>
      <c r="BH7" s="23">
        <f>AY6</f>
        <v>0</v>
      </c>
      <c r="BI7" s="326">
        <f t="shared" si="2"/>
        <v>0</v>
      </c>
      <c r="BJ7" s="95">
        <f>VLOOKUP(BD7,CENY!$B$11:$M$2025,12,FALSE)</f>
        <v>18.615220000000001</v>
      </c>
      <c r="BK7" s="95">
        <f t="shared" si="3"/>
        <v>0</v>
      </c>
    </row>
    <row r="8" spans="1:63" ht="14.45" customHeigh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OBJ!B171</f>
        <v>9353286</v>
      </c>
      <c r="AV8" s="21" t="str">
        <f>VLOOKUP(AU8,CENY!$B$11:$G$1054,2,FALSE)</f>
        <v>AvanY-sólo boky Inlay-NW 187/500mm/strieb.</v>
      </c>
      <c r="AW8" s="22">
        <f>VLOOKUP(AU8,CENY!$B$11:$G$1054,3,FALSE)</f>
        <v>1</v>
      </c>
      <c r="AX8" s="362">
        <v>8</v>
      </c>
      <c r="AY8" s="23">
        <f>2*(Y19+Y20+Y25)</f>
        <v>0</v>
      </c>
      <c r="AZ8" s="326">
        <f t="shared" si="0"/>
        <v>0</v>
      </c>
      <c r="BA8" s="95">
        <f>VLOOKUP(AU8,CENY!$B$11:$M$2025,12,FALSE)</f>
        <v>40.13326</v>
      </c>
      <c r="BB8" s="95">
        <f t="shared" si="1"/>
        <v>0</v>
      </c>
      <c r="BD8" s="319">
        <f>OBJ!B179</f>
        <v>9257134</v>
      </c>
      <c r="BE8" s="21" t="str">
        <f>VLOOKUP(BD8,CENY!$B$11:$G$1054,2,FALSE)</f>
        <v>AvanY-bok Inlay pravý /v187/h400/ strieb.</v>
      </c>
      <c r="BF8" s="22">
        <f>VLOOKUP(BD8,CENY!$B$11:$G$1054,3,FALSE)</f>
        <v>10</v>
      </c>
      <c r="BG8" s="22"/>
      <c r="BH8" s="23">
        <f>AY6</f>
        <v>0</v>
      </c>
      <c r="BI8" s="326">
        <f t="shared" si="2"/>
        <v>0</v>
      </c>
      <c r="BJ8" s="95">
        <f>VLOOKUP(BD8,CENY!$B$11:$M$2025,12,FALSE)</f>
        <v>18.615220000000001</v>
      </c>
      <c r="BK8" s="95">
        <f t="shared" si="3"/>
        <v>0</v>
      </c>
    </row>
    <row r="9" spans="1:63" ht="14.45" customHeight="1">
      <c r="B9" s="552"/>
      <c r="C9" s="560"/>
      <c r="D9" s="560"/>
      <c r="E9" s="561"/>
      <c r="F9" s="562"/>
      <c r="G9" s="563"/>
      <c r="H9" s="563"/>
      <c r="I9" s="563"/>
      <c r="J9" s="563"/>
      <c r="K9" s="564"/>
      <c r="AU9" s="319">
        <f>OBJ!B172</f>
        <v>9353287</v>
      </c>
      <c r="AV9" s="21" t="str">
        <f>VLOOKUP(AU9,CENY!$B$11:$G$1054,2,FALSE)</f>
        <v>AvanY-sólo boky Inlay-NW 187/550mm/strieb.</v>
      </c>
      <c r="AW9" s="22">
        <f>VLOOKUP(AU9,CENY!$B$11:$G$1054,3,FALSE)</f>
        <v>1</v>
      </c>
      <c r="AX9" s="362">
        <v>8</v>
      </c>
      <c r="AY9" s="23">
        <f>2*(AA19+AA20+AA25)</f>
        <v>0</v>
      </c>
      <c r="AZ9" s="326">
        <f t="shared" si="0"/>
        <v>0</v>
      </c>
      <c r="BA9" s="95">
        <f>VLOOKUP(AU9,CENY!$B$11:$M$2025,12,FALSE)</f>
        <v>42.714669999999998</v>
      </c>
      <c r="BB9" s="95">
        <f t="shared" si="1"/>
        <v>0</v>
      </c>
      <c r="BD9" s="319">
        <f>OBJ!B180</f>
        <v>9257135</v>
      </c>
      <c r="BE9" s="21" t="str">
        <f>VLOOKUP(BD9,CENY!$B$11:$G$1054,2,FALSE)</f>
        <v>AvanY-bok Inlay ľavý /v187/h450/ strieb.</v>
      </c>
      <c r="BF9" s="22">
        <f>VLOOKUP(BD9,CENY!$B$11:$G$1054,3,FALSE)</f>
        <v>10</v>
      </c>
      <c r="BG9" s="22"/>
      <c r="BH9" s="23">
        <f>AY7</f>
        <v>0</v>
      </c>
      <c r="BI9" s="326">
        <f t="shared" si="2"/>
        <v>0</v>
      </c>
      <c r="BJ9" s="95">
        <f>VLOOKUP(BD9,CENY!$B$11:$M$2025,12,FALSE)</f>
        <v>18.945989999999998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U10" s="319">
        <f>OBJ!B173</f>
        <v>9353288</v>
      </c>
      <c r="AV10" s="21" t="str">
        <f>VLOOKUP(AU10,CENY!$B$11:$G$1054,2,FALSE)</f>
        <v>AvanY-sólo boky Inlay-NW 187/600mm/strieb.</v>
      </c>
      <c r="AW10" s="22">
        <f>VLOOKUP(AU10,CENY!$B$11:$G$1054,3,FALSE)</f>
        <v>1</v>
      </c>
      <c r="AX10" s="362">
        <v>8</v>
      </c>
      <c r="AY10" s="23">
        <f>2*(AC19+AC20+AC25)</f>
        <v>0</v>
      </c>
      <c r="AZ10" s="326">
        <f t="shared" si="0"/>
        <v>0</v>
      </c>
      <c r="BA10" s="95">
        <f>VLOOKUP(AU10,CENY!$B$11:$M$2025,12,FALSE)</f>
        <v>43.581359999999997</v>
      </c>
      <c r="BB10" s="95">
        <f t="shared" si="1"/>
        <v>0</v>
      </c>
      <c r="BD10" s="319">
        <f>OBJ!B181</f>
        <v>9257136</v>
      </c>
      <c r="BE10" s="21" t="str">
        <f>VLOOKUP(BD10,CENY!$B$11:$G$1054,2,FALSE)</f>
        <v>AvanY-bok Inlay pravý /v187/h450/ strieb.</v>
      </c>
      <c r="BF10" s="22">
        <f>VLOOKUP(BD10,CENY!$B$11:$G$1054,3,FALSE)</f>
        <v>10</v>
      </c>
      <c r="BG10" s="22"/>
      <c r="BH10" s="23">
        <f>AY7</f>
        <v>0</v>
      </c>
      <c r="BI10" s="326">
        <f t="shared" si="2"/>
        <v>0</v>
      </c>
      <c r="BJ10" s="95">
        <f>VLOOKUP(BD10,CENY!$B$11:$M$2025,12,FALSE)</f>
        <v>18.945989999999998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OBJ!B174</f>
        <v>9353289</v>
      </c>
      <c r="AV11" s="21" t="str">
        <f>VLOOKUP(AU11,CENY!$B$11:$G$1054,2,FALSE)</f>
        <v>AvanY-sólo boky Inlay-NW 187/650mm/strieb.</v>
      </c>
      <c r="AW11" s="22">
        <f>VLOOKUP(AU11,CENY!$B$11:$G$1054,3,FALSE)</f>
        <v>1</v>
      </c>
      <c r="AX11" s="362">
        <v>10</v>
      </c>
      <c r="AY11" s="23">
        <f>2*(AE20)</f>
        <v>0</v>
      </c>
      <c r="AZ11" s="326">
        <f t="shared" si="0"/>
        <v>0</v>
      </c>
      <c r="BA11" s="95">
        <f>VLOOKUP(AU11,CENY!$B$11:$M$2025,12,FALSE)</f>
        <v>44.76003</v>
      </c>
      <c r="BB11" s="95">
        <f t="shared" si="1"/>
        <v>0</v>
      </c>
      <c r="BD11" s="319">
        <f>OBJ!B182</f>
        <v>9257137</v>
      </c>
      <c r="BE11" s="21" t="str">
        <f>VLOOKUP(BD11,CENY!$B$11:$G$1054,2,FALSE)</f>
        <v>AvanY-bok Inlay ľavý /v187/h500/ strieb.</v>
      </c>
      <c r="BF11" s="22">
        <f>VLOOKUP(BD11,CENY!$B$11:$G$1054,3,FALSE)</f>
        <v>10</v>
      </c>
      <c r="BG11" s="22"/>
      <c r="BH11" s="23">
        <f>AY8</f>
        <v>0</v>
      </c>
      <c r="BI11" s="326">
        <f t="shared" si="2"/>
        <v>0</v>
      </c>
      <c r="BJ11" s="95">
        <f>VLOOKUP(BD11,CENY!$B$11:$M$2025,12,FALSE)</f>
        <v>18.358360000000001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/>
      <c r="AV12" s="21"/>
      <c r="AW12" s="22"/>
      <c r="AX12" s="22"/>
      <c r="AY12" s="23"/>
      <c r="AZ12" s="326" t="str">
        <f t="shared" si="0"/>
        <v/>
      </c>
      <c r="BA12" s="95"/>
      <c r="BB12" s="95" t="str">
        <f t="shared" si="1"/>
        <v/>
      </c>
      <c r="BD12" s="319">
        <f>OBJ!B183</f>
        <v>9257138</v>
      </c>
      <c r="BE12" s="21" t="str">
        <f>VLOOKUP(BD12,CENY!$B$11:$G$1054,2,FALSE)</f>
        <v>AvanY-bok Inlay pravý /v187/h500/ strieb.</v>
      </c>
      <c r="BF12" s="22">
        <f>VLOOKUP(BD12,CENY!$B$11:$G$1054,3,FALSE)</f>
        <v>10</v>
      </c>
      <c r="BG12" s="22"/>
      <c r="BH12" s="23">
        <f>AY8</f>
        <v>0</v>
      </c>
      <c r="BI12" s="326">
        <f t="shared" si="2"/>
        <v>0</v>
      </c>
      <c r="BJ12" s="95">
        <f>VLOOKUP(BD12,CENY!$B$11:$M$2025,12,FALSE)</f>
        <v>18.358360000000001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OBJ!B216</f>
        <v>9283178</v>
      </c>
      <c r="AV13" s="21" t="str">
        <f>VLOOKUP(AU13,CENY!$B$11:$G$1054,2,FALSE)</f>
        <v>AvanY-Inlay sklenené boky 350mm; 2 x sklo</v>
      </c>
      <c r="AW13" s="22">
        <f>VLOOKUP(AU13,CENY!$B$11:$G$1054,3,FALSE)</f>
        <v>1</v>
      </c>
      <c r="AX13" s="22"/>
      <c r="AY13" s="23">
        <f>2*(S19+S25)</f>
        <v>0</v>
      </c>
      <c r="AZ13" s="326">
        <f t="shared" si="0"/>
        <v>0</v>
      </c>
      <c r="BA13" s="95">
        <f>VLOOKUP(AU13,CENY!$B$11:$M$2025,12,FALSE)</f>
        <v>39.701169999999998</v>
      </c>
      <c r="BB13" s="95">
        <f t="shared" si="1"/>
        <v>0</v>
      </c>
      <c r="BD13" s="319">
        <f>OBJ!B184</f>
        <v>9257139</v>
      </c>
      <c r="BE13" s="21" t="str">
        <f>VLOOKUP(BD13,CENY!$B$11:$G$1054,2,FALSE)</f>
        <v>AvanY-bok Inlay ľavý /v187/h550/ strieb.</v>
      </c>
      <c r="BF13" s="22">
        <f>VLOOKUP(BD13,CENY!$B$11:$G$1054,3,FALSE)</f>
        <v>10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19.60652</v>
      </c>
      <c r="BK13" s="95">
        <f t="shared" si="3"/>
        <v>0</v>
      </c>
    </row>
    <row r="14" spans="1:63" ht="14.45" customHeight="1">
      <c r="AU14" s="319">
        <f>OBJ!B217</f>
        <v>9283179</v>
      </c>
      <c r="AV14" s="21" t="str">
        <f>VLOOKUP(AU14,CENY!$B$11:$G$1054,2,FALSE)</f>
        <v>AvanY-Inlay sklenené boky 400mm; 2 x sklo</v>
      </c>
      <c r="AW14" s="22">
        <f>VLOOKUP(AU14,CENY!$B$11:$G$1054,3,FALSE)</f>
        <v>1</v>
      </c>
      <c r="AX14" s="22"/>
      <c r="AY14" s="23">
        <f>2*(U19+U25)</f>
        <v>0</v>
      </c>
      <c r="AZ14" s="326">
        <f t="shared" si="0"/>
        <v>0</v>
      </c>
      <c r="BA14" s="95">
        <f>VLOOKUP(AU14,CENY!$B$11:$M$2025,12,FALSE)</f>
        <v>41.949010000000001</v>
      </c>
      <c r="BB14" s="95">
        <f t="shared" si="1"/>
        <v>0</v>
      </c>
      <c r="BD14" s="319">
        <f>OBJ!B185</f>
        <v>9257140</v>
      </c>
      <c r="BE14" s="21" t="str">
        <f>VLOOKUP(BD14,CENY!$B$11:$G$1054,2,FALSE)</f>
        <v>AvanY-bok Inlay pravý /v187/h550/ strieb.</v>
      </c>
      <c r="BF14" s="22">
        <f>VLOOKUP(BD14,CENY!$B$11:$G$1054,3,FALSE)</f>
        <v>10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19.60652</v>
      </c>
      <c r="BK14" s="95">
        <f t="shared" si="3"/>
        <v>0</v>
      </c>
    </row>
    <row r="15" spans="1:63" ht="14.45" customHeight="1">
      <c r="AU15" s="319">
        <f>OBJ!B218</f>
        <v>9283180</v>
      </c>
      <c r="AV15" s="21" t="str">
        <f>VLOOKUP(AU15,CENY!$B$11:$G$1054,2,FALSE)</f>
        <v>AvanY-Inlay sklenené boky 450mm; 2 x sklo</v>
      </c>
      <c r="AW15" s="22">
        <f>VLOOKUP(AU15,CENY!$B$11:$G$1054,3,FALSE)</f>
        <v>1</v>
      </c>
      <c r="AX15" s="22"/>
      <c r="AY15" s="23">
        <f>2*(W19+W20+W25)</f>
        <v>0</v>
      </c>
      <c r="AZ15" s="326">
        <f t="shared" si="0"/>
        <v>0</v>
      </c>
      <c r="BA15" s="95">
        <f>VLOOKUP(AU15,CENY!$B$11:$M$2025,12,FALSE)</f>
        <v>44.197099999999999</v>
      </c>
      <c r="BB15" s="95">
        <f t="shared" si="1"/>
        <v>0</v>
      </c>
      <c r="BD15" s="319">
        <f>OBJ!B186</f>
        <v>9257141</v>
      </c>
      <c r="BE15" s="21" t="str">
        <f>VLOOKUP(BD15,CENY!$B$11:$G$1054,2,FALSE)</f>
        <v>AvanY-bok Inlay ľavý /v187/h600/ strieb.</v>
      </c>
      <c r="BF15" s="22">
        <f>VLOOKUP(BD15,CENY!$B$11:$G$1054,3,FALSE)</f>
        <v>10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20.105229999999999</v>
      </c>
      <c r="BK15" s="95">
        <f t="shared" si="3"/>
        <v>0</v>
      </c>
    </row>
    <row r="16" spans="1:63" ht="14.45" customHeight="1">
      <c r="AU16" s="319">
        <f>OBJ!B219</f>
        <v>9283181</v>
      </c>
      <c r="AV16" s="21" t="str">
        <f>VLOOKUP(AU16,CENY!$B$11:$G$1054,2,FALSE)</f>
        <v>AvanY-Inlay sklenené boky 500mm; 2 x sklo</v>
      </c>
      <c r="AW16" s="22">
        <f>VLOOKUP(AU16,CENY!$B$11:$G$1054,3,FALSE)</f>
        <v>1</v>
      </c>
      <c r="AX16" s="22"/>
      <c r="AY16" s="23">
        <f>2*(Y19+Y20+Y25)</f>
        <v>0</v>
      </c>
      <c r="AZ16" s="326">
        <f t="shared" si="0"/>
        <v>0</v>
      </c>
      <c r="BA16" s="95">
        <f>VLOOKUP(AU16,CENY!$B$11:$M$2025,12,FALSE)</f>
        <v>46.445340000000002</v>
      </c>
      <c r="BB16" s="95">
        <f t="shared" si="1"/>
        <v>0</v>
      </c>
      <c r="BD16" s="319">
        <f>OBJ!B187</f>
        <v>9257142</v>
      </c>
      <c r="BE16" s="21" t="str">
        <f>VLOOKUP(BD16,CENY!$B$11:$G$1054,2,FALSE)</f>
        <v>AvanY-bok Inlay pravý /v187/h600/ strieb.</v>
      </c>
      <c r="BF16" s="22">
        <f>VLOOKUP(BD16,CENY!$B$11:$G$1054,3,FALSE)</f>
        <v>10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20.105229999999999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U17" s="319">
        <f>OBJ!B220</f>
        <v>9283182</v>
      </c>
      <c r="AV17" s="21" t="str">
        <f>VLOOKUP(AU17,CENY!$B$11:$G$1054,2,FALSE)</f>
        <v>AvanY-Inlay sklenené boky 550mm; 2 x sklo</v>
      </c>
      <c r="AW17" s="22">
        <f>VLOOKUP(AU17,CENY!$B$11:$G$1054,3,FALSE)</f>
        <v>1</v>
      </c>
      <c r="AX17" s="22"/>
      <c r="AY17" s="23">
        <f>2*(AA19+AA20+AA25)</f>
        <v>0</v>
      </c>
      <c r="AZ17" s="326">
        <f t="shared" si="0"/>
        <v>0</v>
      </c>
      <c r="BA17" s="95">
        <f>VLOOKUP(AU17,CENY!$B$11:$M$2025,12,FALSE)</f>
        <v>50.939869999999999</v>
      </c>
      <c r="BB17" s="95">
        <f t="shared" si="1"/>
        <v>0</v>
      </c>
      <c r="BD17" s="319">
        <f>OBJ!B188</f>
        <v>9257143</v>
      </c>
      <c r="BE17" s="21" t="str">
        <f>VLOOKUP(BD17,CENY!$B$11:$G$1054,2,FALSE)</f>
        <v>AvanY-bok Inlay ľavý /v187/h650/ strieb.</v>
      </c>
      <c r="BF17" s="22">
        <f>VLOOKUP(BD17,CENY!$B$11:$G$1054,3,FALSE)</f>
        <v>10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20.782730000000001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U18" s="319">
        <f>OBJ!B221</f>
        <v>9283183</v>
      </c>
      <c r="AV18" s="21" t="str">
        <f>VLOOKUP(AU18,CENY!$B$11:$G$1054,2,FALSE)</f>
        <v>AvanY-Inlay sklenené boky 600mm; 2 x sklo</v>
      </c>
      <c r="AW18" s="22">
        <f>VLOOKUP(AU18,CENY!$B$11:$G$1054,3,FALSE)</f>
        <v>1</v>
      </c>
      <c r="AX18" s="22"/>
      <c r="AY18" s="23">
        <f>2*(AC19+AC20+AC25)</f>
        <v>0</v>
      </c>
      <c r="AZ18" s="326">
        <f t="shared" si="0"/>
        <v>0</v>
      </c>
      <c r="BA18" s="95">
        <f>VLOOKUP(AU18,CENY!$B$11:$M$2025,12,FALSE)</f>
        <v>55.43441</v>
      </c>
      <c r="BB18" s="95">
        <f t="shared" si="1"/>
        <v>0</v>
      </c>
      <c r="BD18" s="319">
        <f>OBJ!B189</f>
        <v>9257144</v>
      </c>
      <c r="BE18" s="21" t="str">
        <f>VLOOKUP(BD18,CENY!$B$11:$G$1054,2,FALSE)</f>
        <v>AvanY-bok Inlay pravý /v187/h650/ strieb.</v>
      </c>
      <c r="BF18" s="22">
        <f>VLOOKUP(BD18,CENY!$B$11:$G$1054,3,FALSE)</f>
        <v>10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20.782730000000001</v>
      </c>
      <c r="BK18" s="95">
        <f t="shared" si="3"/>
        <v>0</v>
      </c>
    </row>
    <row r="19" spans="2:63" ht="14.45" customHeight="1" thickBot="1">
      <c r="B19" s="523" t="s">
        <v>290</v>
      </c>
      <c r="C19" s="523"/>
      <c r="D19" s="523"/>
      <c r="E19" s="523"/>
      <c r="F19" s="523"/>
      <c r="G19" s="523"/>
      <c r="H19" s="524" t="str">
        <f>verze!E18</f>
        <v>plnovýsuv</v>
      </c>
      <c r="I19" s="524"/>
      <c r="J19" s="524"/>
      <c r="K19" s="524"/>
      <c r="L19" s="524"/>
      <c r="M19" s="534" t="s">
        <v>287</v>
      </c>
      <c r="N19" s="535"/>
      <c r="O19" s="280"/>
      <c r="P19" s="281"/>
      <c r="Q19" s="280"/>
      <c r="R19" s="281"/>
      <c r="S19" s="569"/>
      <c r="T19" s="570"/>
      <c r="U19" s="569"/>
      <c r="V19" s="570"/>
      <c r="W19" s="569"/>
      <c r="X19" s="570"/>
      <c r="Y19" s="569"/>
      <c r="Z19" s="570"/>
      <c r="AA19" s="569"/>
      <c r="AB19" s="570"/>
      <c r="AC19" s="569"/>
      <c r="AD19" s="605"/>
      <c r="AE19" s="280"/>
      <c r="AF19" s="281"/>
      <c r="AU19" s="319">
        <f>OBJ!B222</f>
        <v>9283184</v>
      </c>
      <c r="AV19" s="21" t="str">
        <f>VLOOKUP(AU19,CENY!$B$11:$G$1054,2,FALSE)</f>
        <v>AvanY-Inlay sklenené boky 650mm; 2 x sklo</v>
      </c>
      <c r="AW19" s="22">
        <f>VLOOKUP(AU19,CENY!$B$11:$G$1054,3,FALSE)</f>
        <v>1</v>
      </c>
      <c r="AX19" s="22"/>
      <c r="AY19" s="23">
        <f>2*AE20</f>
        <v>0</v>
      </c>
      <c r="AZ19" s="326">
        <f t="shared" si="0"/>
        <v>0</v>
      </c>
      <c r="BA19" s="95">
        <f>VLOOKUP(AU19,CENY!$B$11:$M$2025,12,FALSE)</f>
        <v>59.929090000000002</v>
      </c>
      <c r="BB19" s="95">
        <f t="shared" si="1"/>
        <v>0</v>
      </c>
      <c r="BD19" s="319"/>
      <c r="BE19" s="21"/>
      <c r="BF19" s="22"/>
      <c r="BG19" s="22"/>
      <c r="BH19" s="23"/>
      <c r="BI19" s="326" t="str">
        <f t="shared" si="2"/>
        <v/>
      </c>
      <c r="BJ19" s="95"/>
      <c r="BK19" s="95" t="str">
        <f t="shared" si="3"/>
        <v/>
      </c>
    </row>
    <row r="20" spans="2:63" ht="14.45" customHeight="1" thickBot="1">
      <c r="B20" s="546" t="s">
        <v>291</v>
      </c>
      <c r="C20" s="546"/>
      <c r="D20" s="546"/>
      <c r="E20" s="546"/>
      <c r="F20" s="546"/>
      <c r="G20" s="546"/>
      <c r="H20" s="547" t="str">
        <f>verze!E18</f>
        <v>plnovýsuv</v>
      </c>
      <c r="I20" s="547"/>
      <c r="J20" s="547"/>
      <c r="K20" s="547"/>
      <c r="L20" s="547"/>
      <c r="M20" s="525" t="s">
        <v>288</v>
      </c>
      <c r="N20" s="526"/>
      <c r="O20" s="520"/>
      <c r="P20" s="521"/>
      <c r="Q20" s="520"/>
      <c r="R20" s="521"/>
      <c r="S20" s="520"/>
      <c r="T20" s="521"/>
      <c r="U20" s="520"/>
      <c r="V20" s="521"/>
      <c r="W20" s="518"/>
      <c r="X20" s="519"/>
      <c r="Y20" s="518"/>
      <c r="Z20" s="519"/>
      <c r="AA20" s="518"/>
      <c r="AB20" s="519"/>
      <c r="AC20" s="518"/>
      <c r="AD20" s="519"/>
      <c r="AE20" s="567"/>
      <c r="AF20" s="607"/>
      <c r="AU20" s="319"/>
      <c r="AV20" s="21"/>
      <c r="AW20" s="22"/>
      <c r="AX20" s="22"/>
      <c r="AY20" s="23"/>
      <c r="AZ20" s="326" t="str">
        <f t="shared" si="0"/>
        <v/>
      </c>
      <c r="BA20" s="95"/>
      <c r="BB20" s="95" t="str">
        <f t="shared" si="1"/>
        <v/>
      </c>
      <c r="BD20" s="319">
        <f>OBJ!B191</f>
        <v>9257257</v>
      </c>
      <c r="BE20" s="21" t="str">
        <f>VLOOKUP(BD20,CENY!$B$11:$G$1054,2,FALSE)</f>
        <v>AvanY-prích.čela Inlay k naskrutk./ v187</v>
      </c>
      <c r="BF20" s="22">
        <f>VLOOKUP(BD20,CENY!$B$11:$G$1054,3,FALSE)</f>
        <v>100</v>
      </c>
      <c r="BG20" s="22"/>
      <c r="BH20" s="23">
        <f>4*(SUM(O19:AD19)+SUM(W20:AF20)+SUM(O25:AD25))</f>
        <v>0</v>
      </c>
      <c r="BI20" s="326">
        <f t="shared" si="2"/>
        <v>0</v>
      </c>
      <c r="BJ20" s="95">
        <f>VLOOKUP(BD20,CENY!$B$11:$M$2025,12,FALSE)</f>
        <v>2.4404300000000001</v>
      </c>
      <c r="BK20" s="95">
        <f t="shared" si="3"/>
        <v>0</v>
      </c>
    </row>
    <row r="21" spans="2:63" ht="14.45" customHeight="1">
      <c r="O21" s="4"/>
      <c r="P21" s="4"/>
      <c r="AU21" s="319">
        <f>OBJ!B245</f>
        <v>9318188</v>
      </c>
      <c r="AV21" s="21" t="str">
        <f>VLOOKUP(AU21,CENY!$B$11:$G$1054,2,FALSE)</f>
        <v>Actro You(L) 350/SiSy 40kg; EB21</v>
      </c>
      <c r="AW21" s="22">
        <f>VLOOKUP(AU21,CENY!$B$11:$G$1054,3,FALSE)</f>
        <v>1</v>
      </c>
      <c r="AX21" s="362">
        <v>8</v>
      </c>
      <c r="AY21" s="23">
        <f>S19</f>
        <v>0</v>
      </c>
      <c r="AZ21" s="326">
        <f t="shared" si="0"/>
        <v>0</v>
      </c>
      <c r="BA21" s="95">
        <f>VLOOKUP(AU21,CENY!$B$11:$M$2025,12,FALSE)</f>
        <v>31.62575</v>
      </c>
      <c r="BB21" s="95">
        <f t="shared" si="1"/>
        <v>0</v>
      </c>
      <c r="BD21" s="319">
        <f>OBJ!B48</f>
        <v>9257702</v>
      </c>
      <c r="BE21" s="21" t="str">
        <f>VLOOKUP(BD21,CENY!$B$11:$G$1054,2,FALSE)</f>
        <v>AvanY-stabilizátor chrbáta</v>
      </c>
      <c r="BF21" s="22">
        <f>VLOOKUP(BD21,CENY!$B$11:$G$1054,3,FALSE)</f>
        <v>200</v>
      </c>
      <c r="BG21" s="22"/>
      <c r="BH21" s="23">
        <f>0*(SUM(O19:AD19)+SUM(W20:AF20)+SUM(O25:AD25))</f>
        <v>0</v>
      </c>
      <c r="BI21" s="326">
        <f t="shared" si="2"/>
        <v>0</v>
      </c>
      <c r="BJ21" s="95">
        <f>VLOOKUP(BD21,CENY!$B$11:$M$2025,12,FALSE)</f>
        <v>0.74794000000000005</v>
      </c>
      <c r="BK21" s="95">
        <f t="shared" si="3"/>
        <v>0</v>
      </c>
    </row>
    <row r="22" spans="2:63" ht="14.45" customHeight="1">
      <c r="AU22" s="319">
        <f>OBJ!B246</f>
        <v>9318190</v>
      </c>
      <c r="AV22" s="21" t="str">
        <f>VLOOKUP(AU22,CENY!$B$11:$G$1054,2,FALSE)</f>
        <v>Actro You(L) 400/SiSy 40kg; EB21</v>
      </c>
      <c r="AW22" s="22">
        <f>VLOOKUP(AU22,CENY!$B$11:$G$1054,3,FALSE)</f>
        <v>1</v>
      </c>
      <c r="AX22" s="362">
        <v>8</v>
      </c>
      <c r="AY22" s="23">
        <f>U19</f>
        <v>0</v>
      </c>
      <c r="AZ22" s="326">
        <f t="shared" si="0"/>
        <v>0</v>
      </c>
      <c r="BA22" s="95">
        <f>VLOOKUP(AU22,CENY!$B$11:$M$2025,12,FALSE)</f>
        <v>31.976389999999999</v>
      </c>
      <c r="BB22" s="95">
        <f t="shared" si="1"/>
        <v>0</v>
      </c>
      <c r="BD22" s="20"/>
      <c r="BE22" s="21"/>
      <c r="BF22" s="22"/>
      <c r="BG22" s="22"/>
      <c r="BH22" s="23"/>
      <c r="BI22" s="326" t="str">
        <f t="shared" si="2"/>
        <v/>
      </c>
      <c r="BJ22" s="95"/>
      <c r="BK22" s="95" t="str">
        <f t="shared" si="3"/>
        <v/>
      </c>
    </row>
    <row r="23" spans="2:63" ht="14.45" customHeight="1" thickBot="1">
      <c r="B23" s="2" t="s">
        <v>285</v>
      </c>
      <c r="AU23" s="319">
        <f>OBJ!B247</f>
        <v>9318191</v>
      </c>
      <c r="AV23" s="21" t="str">
        <f>VLOOKUP(AU23,CENY!$B$11:$G$1054,2,FALSE)</f>
        <v>Actro You(L) 450/SiSy 40kg; EB21</v>
      </c>
      <c r="AW23" s="22">
        <f>VLOOKUP(AU23,CENY!$B$11:$G$1054,3,FALSE)</f>
        <v>1</v>
      </c>
      <c r="AX23" s="362">
        <v>10</v>
      </c>
      <c r="AY23" s="23">
        <f>W19</f>
        <v>0</v>
      </c>
      <c r="AZ23" s="326">
        <f t="shared" si="0"/>
        <v>0</v>
      </c>
      <c r="BA23" s="95">
        <f>VLOOKUP(AU23,CENY!$B$11:$M$2025,12,FALSE)</f>
        <v>32.324420000000003</v>
      </c>
      <c r="BB23" s="95">
        <f t="shared" si="1"/>
        <v>0</v>
      </c>
      <c r="BD23" s="319">
        <f>OBJ!B216</f>
        <v>9283178</v>
      </c>
      <c r="BE23" s="21" t="str">
        <f>VLOOKUP(BD23,CENY!$B$11:$G$1054,2,FALSE)</f>
        <v>AvanY-Inlay sklenené boky 350mm; 2 x sklo</v>
      </c>
      <c r="BF23" s="22">
        <f>VLOOKUP(BD23,CENY!$B$11:$G$1054,3,FALSE)</f>
        <v>1</v>
      </c>
      <c r="BG23" s="22"/>
      <c r="BH23" s="23">
        <f>AY13</f>
        <v>0</v>
      </c>
      <c r="BI23" s="326">
        <f t="shared" si="2"/>
        <v>0</v>
      </c>
      <c r="BJ23" s="95">
        <f>VLOOKUP(BD23,CENY!$B$11:$M$2025,12,FALSE)</f>
        <v>39.701169999999998</v>
      </c>
      <c r="BK23" s="95">
        <f t="shared" si="3"/>
        <v>0</v>
      </c>
    </row>
    <row r="24" spans="2:63" ht="14.45" customHeight="1" thickBot="1">
      <c r="B24" s="96"/>
      <c r="C24" s="96"/>
      <c r="D24" s="96"/>
      <c r="E24" s="96"/>
      <c r="F24" s="96"/>
      <c r="G24" s="96"/>
      <c r="H24" s="72"/>
      <c r="I24" s="72"/>
      <c r="J24" s="72"/>
      <c r="K24" s="72"/>
      <c r="L24" s="72"/>
      <c r="M24" s="72"/>
      <c r="N24" s="72" t="str">
        <f>verze!$E$20&amp;" "</f>
        <v xml:space="preserve">Menovitá dĺžka: </v>
      </c>
      <c r="O24" s="537">
        <v>270</v>
      </c>
      <c r="P24" s="538"/>
      <c r="Q24" s="537">
        <v>300</v>
      </c>
      <c r="R24" s="538"/>
      <c r="S24" s="537">
        <v>350</v>
      </c>
      <c r="T24" s="538"/>
      <c r="U24" s="537">
        <v>400</v>
      </c>
      <c r="V24" s="538"/>
      <c r="W24" s="537">
        <v>450</v>
      </c>
      <c r="X24" s="538"/>
      <c r="Y24" s="539">
        <v>500</v>
      </c>
      <c r="Z24" s="540"/>
      <c r="AA24" s="537">
        <v>550</v>
      </c>
      <c r="AB24" s="538"/>
      <c r="AC24" s="537">
        <v>600</v>
      </c>
      <c r="AD24" s="538"/>
      <c r="AU24" s="319">
        <f>OBJ!B248</f>
        <v>9318192</v>
      </c>
      <c r="AV24" s="21" t="str">
        <f>VLOOKUP(AU24,CENY!$B$11:$G$1054,2,FALSE)</f>
        <v>Actro You(L) 500/SiSy 40kg; EB21</v>
      </c>
      <c r="AW24" s="22">
        <f>VLOOKUP(AU24,CENY!$B$11:$G$1054,3,FALSE)</f>
        <v>1</v>
      </c>
      <c r="AX24" s="362">
        <v>10</v>
      </c>
      <c r="AY24" s="23">
        <f>Y19</f>
        <v>0</v>
      </c>
      <c r="AZ24" s="326">
        <f t="shared" si="0"/>
        <v>0</v>
      </c>
      <c r="BA24" s="95">
        <f>VLOOKUP(AU24,CENY!$B$11:$M$2025,12,FALSE)</f>
        <v>6.5957299999999996</v>
      </c>
      <c r="BB24" s="95">
        <f t="shared" si="1"/>
        <v>0</v>
      </c>
      <c r="BD24" s="319">
        <f>OBJ!B217</f>
        <v>9283179</v>
      </c>
      <c r="BE24" s="21" t="str">
        <f>VLOOKUP(BD24,CENY!$B$11:$G$1054,2,FALSE)</f>
        <v>AvanY-Inlay sklenené boky 400mm; 2 x sklo</v>
      </c>
      <c r="BF24" s="22">
        <f>VLOOKUP(BD24,CENY!$B$11:$G$1054,3,FALSE)</f>
        <v>1</v>
      </c>
      <c r="BG24" s="22"/>
      <c r="BH24" s="23">
        <f t="shared" ref="BH24:BH29" si="4">AY14</f>
        <v>0</v>
      </c>
      <c r="BI24" s="326">
        <f t="shared" si="2"/>
        <v>0</v>
      </c>
      <c r="BJ24" s="95">
        <f>VLOOKUP(BD24,CENY!$B$11:$M$2025,12,FALSE)</f>
        <v>41.949010000000001</v>
      </c>
      <c r="BK24" s="95">
        <f t="shared" si="3"/>
        <v>0</v>
      </c>
    </row>
    <row r="25" spans="2:63" ht="14.45" customHeight="1" thickBot="1">
      <c r="B25" s="523" t="s">
        <v>372</v>
      </c>
      <c r="C25" s="523"/>
      <c r="D25" s="523"/>
      <c r="E25" s="523"/>
      <c r="F25" s="523"/>
      <c r="G25" s="523"/>
      <c r="H25" s="524" t="str">
        <f>verze!E18</f>
        <v>plnovýsuv</v>
      </c>
      <c r="I25" s="524"/>
      <c r="J25" s="524"/>
      <c r="K25" s="524"/>
      <c r="L25" s="524"/>
      <c r="M25" s="534" t="s">
        <v>1</v>
      </c>
      <c r="N25" s="535"/>
      <c r="O25" s="280"/>
      <c r="P25" s="281"/>
      <c r="Q25" s="280"/>
      <c r="R25" s="281"/>
      <c r="S25" s="606"/>
      <c r="T25" s="570"/>
      <c r="U25" s="606"/>
      <c r="V25" s="570"/>
      <c r="W25" s="606"/>
      <c r="X25" s="570"/>
      <c r="Y25" s="606"/>
      <c r="Z25" s="570"/>
      <c r="AA25" s="606"/>
      <c r="AB25" s="570"/>
      <c r="AC25" s="518"/>
      <c r="AD25" s="604"/>
      <c r="AU25" s="319">
        <f>OBJ!B249</f>
        <v>9318194</v>
      </c>
      <c r="AV25" s="21" t="str">
        <f>VLOOKUP(AU25,CENY!$B$11:$G$1054,2,FALSE)</f>
        <v>Actro You(L) 550/SiSy 40kg; EB21</v>
      </c>
      <c r="AW25" s="22">
        <f>VLOOKUP(AU25,CENY!$B$11:$G$1054,3,FALSE)</f>
        <v>1</v>
      </c>
      <c r="AX25" s="362">
        <v>10</v>
      </c>
      <c r="AY25" s="23">
        <f>AA19</f>
        <v>0</v>
      </c>
      <c r="AZ25" s="326">
        <f t="shared" si="0"/>
        <v>0</v>
      </c>
      <c r="BA25" s="95">
        <f>VLOOKUP(AU25,CENY!$B$11:$M$2025,12,FALSE)</f>
        <v>6.9728000000000003</v>
      </c>
      <c r="BB25" s="95">
        <f t="shared" si="1"/>
        <v>0</v>
      </c>
      <c r="BD25" s="319">
        <f>OBJ!B218</f>
        <v>9283180</v>
      </c>
      <c r="BE25" s="21" t="str">
        <f>VLOOKUP(BD25,CENY!$B$11:$G$1054,2,FALSE)</f>
        <v>AvanY-Inlay sklenené boky 450mm; 2 x sklo</v>
      </c>
      <c r="BF25" s="22">
        <f>VLOOKUP(BD25,CENY!$B$11:$G$1054,3,FALSE)</f>
        <v>1</v>
      </c>
      <c r="BG25" s="22"/>
      <c r="BH25" s="23">
        <f t="shared" si="4"/>
        <v>0</v>
      </c>
      <c r="BI25" s="326">
        <f t="shared" si="2"/>
        <v>0</v>
      </c>
      <c r="BJ25" s="95">
        <f>VLOOKUP(BD25,CENY!$B$11:$M$2025,12,FALSE)</f>
        <v>44.197099999999999</v>
      </c>
      <c r="BK25" s="95">
        <f t="shared" si="3"/>
        <v>0</v>
      </c>
    </row>
    <row r="26" spans="2:63" ht="14.45" customHeight="1" thickBot="1">
      <c r="O26" s="342"/>
      <c r="P26" s="343"/>
      <c r="Q26" s="342"/>
      <c r="R26" s="343"/>
      <c r="S26" s="342"/>
      <c r="T26" s="343"/>
      <c r="U26" s="342"/>
      <c r="V26" s="343"/>
      <c r="W26" s="342"/>
      <c r="X26" s="343"/>
      <c r="Y26" s="342"/>
      <c r="Z26" s="343"/>
      <c r="AA26" s="342"/>
      <c r="AB26" s="343"/>
      <c r="AC26" s="342"/>
      <c r="AD26" s="343"/>
      <c r="AU26" s="319">
        <f>OBJ!B250</f>
        <v>9318196</v>
      </c>
      <c r="AV26" s="21" t="str">
        <f>VLOOKUP(AU26,CENY!$B$11:$G$1054,2,FALSE)</f>
        <v>Actro You(L) 600/SiSy 40kg; EB21</v>
      </c>
      <c r="AW26" s="22">
        <f>VLOOKUP(AU26,CENY!$B$11:$G$1054,3,FALSE)</f>
        <v>1</v>
      </c>
      <c r="AX26" s="362">
        <v>10</v>
      </c>
      <c r="AY26" s="23">
        <f>AC19</f>
        <v>0</v>
      </c>
      <c r="AZ26" s="326">
        <f t="shared" si="0"/>
        <v>0</v>
      </c>
      <c r="BA26" s="95">
        <f>VLOOKUP(AU26,CENY!$B$11:$M$2025,12,FALSE)</f>
        <v>34.956960000000002</v>
      </c>
      <c r="BB26" s="95">
        <f t="shared" si="1"/>
        <v>0</v>
      </c>
      <c r="BD26" s="319">
        <f>OBJ!B219</f>
        <v>9283181</v>
      </c>
      <c r="BE26" s="21" t="str">
        <f>VLOOKUP(BD26,CENY!$B$11:$G$1054,2,FALSE)</f>
        <v>AvanY-Inlay sklenené boky 500mm; 2 x sklo</v>
      </c>
      <c r="BF26" s="22">
        <f>VLOOKUP(BD26,CENY!$B$11:$G$1054,3,FALSE)</f>
        <v>1</v>
      </c>
      <c r="BG26" s="22"/>
      <c r="BH26" s="23">
        <f t="shared" si="4"/>
        <v>0</v>
      </c>
      <c r="BI26" s="326">
        <f t="shared" si="2"/>
        <v>0</v>
      </c>
      <c r="BJ26" s="95">
        <f>VLOOKUP(BD26,CENY!$B$11:$M$2025,12,FALSE)</f>
        <v>46.445340000000002</v>
      </c>
      <c r="BK26" s="95">
        <f t="shared" si="3"/>
        <v>0</v>
      </c>
    </row>
    <row r="27" spans="2:63" ht="14.45" customHeight="1">
      <c r="B27" s="366" t="str">
        <f>verze!E201</f>
        <v>SiSy = tlmenie Silent System</v>
      </c>
      <c r="AU27" s="319"/>
      <c r="AV27" s="21"/>
      <c r="AW27" s="22"/>
      <c r="AX27" s="22"/>
      <c r="AY27" s="23"/>
      <c r="AZ27" s="326" t="str">
        <f t="shared" si="0"/>
        <v/>
      </c>
      <c r="BA27" s="95"/>
      <c r="BB27" s="95" t="str">
        <f t="shared" si="1"/>
        <v/>
      </c>
      <c r="BD27" s="319">
        <f>OBJ!B220</f>
        <v>9283182</v>
      </c>
      <c r="BE27" s="21" t="str">
        <f>VLOOKUP(BD27,CENY!$B$11:$G$1054,2,FALSE)</f>
        <v>AvanY-Inlay sklenené boky 550mm; 2 x sklo</v>
      </c>
      <c r="BF27" s="22">
        <f>VLOOKUP(BD27,CENY!$B$11:$G$1054,3,FALSE)</f>
        <v>1</v>
      </c>
      <c r="BG27" s="22"/>
      <c r="BH27" s="23">
        <f t="shared" si="4"/>
        <v>0</v>
      </c>
      <c r="BI27" s="326">
        <f t="shared" si="2"/>
        <v>0</v>
      </c>
      <c r="BJ27" s="95">
        <f>VLOOKUP(BD27,CENY!$B$11:$M$2025,12,FALSE)</f>
        <v>50.939869999999999</v>
      </c>
      <c r="BK27" s="95">
        <f t="shared" si="3"/>
        <v>0</v>
      </c>
    </row>
    <row r="28" spans="2:63" ht="14.45" customHeight="1">
      <c r="B28" s="366"/>
      <c r="O28" s="341" t="str">
        <f>verze!E189</f>
        <v>Maximálna výška korpusu skrinky = 750mm.   Maximálna šírka korpusu skrinky = 300mm.</v>
      </c>
      <c r="AU28" s="319">
        <f>OBJ!B268</f>
        <v>9318215</v>
      </c>
      <c r="AV28" s="21" t="str">
        <f>VLOOKUP(AU28,CENY!$B$11:$G$1054,2,FALSE)</f>
        <v>Actro You(XL) 450/SiSy 70kg; EB21</v>
      </c>
      <c r="AW28" s="22">
        <f>VLOOKUP(AU28,CENY!$B$11:$G$1054,3,FALSE)</f>
        <v>1</v>
      </c>
      <c r="AX28" s="362">
        <v>10</v>
      </c>
      <c r="AY28" s="23">
        <f>W20</f>
        <v>0</v>
      </c>
      <c r="AZ28" s="326">
        <f t="shared" si="0"/>
        <v>0</v>
      </c>
      <c r="BA28" s="95">
        <f>VLOOKUP(AU28,CENY!$B$11:$M$2025,12,FALSE)</f>
        <v>7.9265800000000004</v>
      </c>
      <c r="BB28" s="95">
        <f t="shared" si="1"/>
        <v>0</v>
      </c>
      <c r="BD28" s="319">
        <f>OBJ!B221</f>
        <v>9283183</v>
      </c>
      <c r="BE28" s="21" t="str">
        <f>VLOOKUP(BD28,CENY!$B$11:$G$1054,2,FALSE)</f>
        <v>AvanY-Inlay sklenené boky 600mm; 2 x sklo</v>
      </c>
      <c r="BF28" s="22">
        <f>VLOOKUP(BD28,CENY!$B$11:$G$1054,3,FALSE)</f>
        <v>1</v>
      </c>
      <c r="BG28" s="22"/>
      <c r="BH28" s="23">
        <f t="shared" si="4"/>
        <v>0</v>
      </c>
      <c r="BI28" s="326">
        <f t="shared" si="2"/>
        <v>0</v>
      </c>
      <c r="BJ28" s="95">
        <f>VLOOKUP(BD28,CENY!$B$11:$M$2025,12,FALSE)</f>
        <v>55.43441</v>
      </c>
      <c r="BK28" s="95">
        <f t="shared" si="3"/>
        <v>0</v>
      </c>
    </row>
    <row r="29" spans="2:63" ht="14.45" customHeight="1">
      <c r="B29" s="366"/>
      <c r="Q29" s="341"/>
      <c r="AU29" s="319">
        <f>OBJ!B269</f>
        <v>9318216</v>
      </c>
      <c r="AV29" s="21" t="str">
        <f>VLOOKUP(AU29,CENY!$B$11:$G$1054,2,FALSE)</f>
        <v>Actro You(XL) 500/SiSy 70kg; EB21</v>
      </c>
      <c r="AW29" s="22">
        <f>VLOOKUP(AU29,CENY!$B$11:$G$1054,3,FALSE)</f>
        <v>1</v>
      </c>
      <c r="AX29" s="362">
        <v>10</v>
      </c>
      <c r="AY29" s="23">
        <f>Y20</f>
        <v>0</v>
      </c>
      <c r="AZ29" s="326">
        <f t="shared" si="0"/>
        <v>0</v>
      </c>
      <c r="BA29" s="95">
        <f>VLOOKUP(AU29,CENY!$B$11:$M$2025,12,FALSE)</f>
        <v>39.622210000000003</v>
      </c>
      <c r="BB29" s="95">
        <f t="shared" si="1"/>
        <v>0</v>
      </c>
      <c r="BD29" s="319">
        <f>OBJ!B222</f>
        <v>9283184</v>
      </c>
      <c r="BE29" s="21" t="str">
        <f>VLOOKUP(BD29,CENY!$B$11:$G$1054,2,FALSE)</f>
        <v>AvanY-Inlay sklenené boky 650mm; 2 x sklo</v>
      </c>
      <c r="BF29" s="22">
        <f>VLOOKUP(BD29,CENY!$B$11:$G$1054,3,FALSE)</f>
        <v>1</v>
      </c>
      <c r="BG29" s="22"/>
      <c r="BH29" s="23">
        <f t="shared" si="4"/>
        <v>0</v>
      </c>
      <c r="BI29" s="326">
        <f t="shared" si="2"/>
        <v>0</v>
      </c>
      <c r="BJ29" s="95">
        <f>VLOOKUP(BD29,CENY!$B$11:$M$2025,12,FALSE)</f>
        <v>59.929090000000002</v>
      </c>
      <c r="BK29" s="95">
        <f t="shared" si="3"/>
        <v>0</v>
      </c>
    </row>
    <row r="30" spans="2:63" ht="14.45" customHeight="1">
      <c r="AU30" s="319">
        <f>OBJ!B270</f>
        <v>9318217</v>
      </c>
      <c r="AV30" s="21" t="str">
        <f>VLOOKUP(AU30,CENY!$B$11:$G$1054,2,FALSE)</f>
        <v>Actro You(XL) 550/SiSy 70kg; EB21</v>
      </c>
      <c r="AW30" s="22">
        <f>VLOOKUP(AU30,CENY!$B$11:$G$1054,3,FALSE)</f>
        <v>1</v>
      </c>
      <c r="AX30" s="362">
        <v>10</v>
      </c>
      <c r="AY30" s="23">
        <f>AA20</f>
        <v>0</v>
      </c>
      <c r="AZ30" s="326">
        <f t="shared" si="0"/>
        <v>0</v>
      </c>
      <c r="BA30" s="95">
        <f>VLOOKUP(AU30,CENY!$B$11:$M$2025,12,FALSE)</f>
        <v>41.504899999999999</v>
      </c>
      <c r="BB30" s="95">
        <f t="shared" si="1"/>
        <v>0</v>
      </c>
      <c r="BD30" s="319"/>
      <c r="BE30" s="21"/>
      <c r="BF30" s="22"/>
      <c r="BG30" s="22"/>
      <c r="BH30" s="23"/>
      <c r="BI30" s="326" t="str">
        <f t="shared" si="2"/>
        <v/>
      </c>
      <c r="BJ30" s="95"/>
      <c r="BK30" s="95" t="str">
        <f t="shared" si="3"/>
        <v/>
      </c>
    </row>
    <row r="31" spans="2:63" ht="14.45" customHeight="1">
      <c r="AU31" s="319">
        <f>OBJ!B271</f>
        <v>9318218</v>
      </c>
      <c r="AV31" s="21" t="str">
        <f>VLOOKUP(AU31,CENY!$B$11:$G$1054,2,FALSE)</f>
        <v>Actro You(XL) 600/SiSy 70kg; EB21</v>
      </c>
      <c r="AW31" s="22">
        <f>VLOOKUP(AU31,CENY!$B$11:$G$1054,3,FALSE)</f>
        <v>1</v>
      </c>
      <c r="AX31" s="362">
        <v>10</v>
      </c>
      <c r="AY31" s="23">
        <f>AC20</f>
        <v>0</v>
      </c>
      <c r="AZ31" s="326">
        <f t="shared" si="0"/>
        <v>0</v>
      </c>
      <c r="BA31" s="95">
        <f>VLOOKUP(AU31,CENY!$B$11:$M$2025,12,FALSE)</f>
        <v>45.308109999999999</v>
      </c>
      <c r="BB31" s="95">
        <f t="shared" si="1"/>
        <v>0</v>
      </c>
      <c r="BD31" s="319">
        <f>OBJ!B255</f>
        <v>9318173</v>
      </c>
      <c r="BE31" s="21" t="str">
        <f>VLOOKUP(BD31,CENY!$B$11:$G$1054,2,FALSE)</f>
        <v>Actro You(L) 350/SiSy 40kg; EB21; ľavý</v>
      </c>
      <c r="BF31" s="22">
        <f>VLOOKUP(BD31,CENY!$B$11:$G$1054,3,FALSE)</f>
        <v>10</v>
      </c>
      <c r="BG31" s="22"/>
      <c r="BH31" s="23">
        <f>AY21</f>
        <v>0</v>
      </c>
      <c r="BI31" s="326">
        <f t="shared" si="2"/>
        <v>0</v>
      </c>
      <c r="BJ31" s="95">
        <f>VLOOKUP(BD31,CENY!$B$11:$M$2025,12,FALSE)</f>
        <v>14.37729</v>
      </c>
      <c r="BK31" s="95">
        <f t="shared" si="3"/>
        <v>0</v>
      </c>
    </row>
    <row r="32" spans="2:63" ht="14.45" customHeight="1">
      <c r="AU32" s="319">
        <f>OBJ!B272</f>
        <v>9318219</v>
      </c>
      <c r="AV32" s="21" t="str">
        <f>VLOOKUP(AU32,CENY!$B$11:$G$1054,2,FALSE)</f>
        <v>Actro You(XL) 650/SiSy 70kg; EB21</v>
      </c>
      <c r="AW32" s="22">
        <f>VLOOKUP(AU32,CENY!$B$11:$G$1054,3,FALSE)</f>
        <v>1</v>
      </c>
      <c r="AX32" s="362">
        <v>10</v>
      </c>
      <c r="AY32" s="23">
        <f>AE20</f>
        <v>0</v>
      </c>
      <c r="AZ32" s="326">
        <f t="shared" si="0"/>
        <v>0</v>
      </c>
      <c r="BA32" s="95">
        <f>VLOOKUP(AU32,CENY!$B$11:$M$2025,12,FALSE)</f>
        <v>47.02431</v>
      </c>
      <c r="BB32" s="95">
        <f t="shared" si="1"/>
        <v>0</v>
      </c>
      <c r="BD32" s="319">
        <f>OBJ!B256</f>
        <v>9318174</v>
      </c>
      <c r="BE32" s="21" t="str">
        <f>VLOOKUP(BD32,CENY!$B$11:$G$1054,2,FALSE)</f>
        <v>Actro You(L) 350/SiSy 40kg; EB21; pravý</v>
      </c>
      <c r="BF32" s="22">
        <f>VLOOKUP(BD32,CENY!$B$11:$G$1054,3,FALSE)</f>
        <v>10</v>
      </c>
      <c r="BG32" s="22"/>
      <c r="BH32" s="23">
        <f>AY21</f>
        <v>0</v>
      </c>
      <c r="BI32" s="326">
        <f t="shared" si="2"/>
        <v>0</v>
      </c>
      <c r="BJ32" s="95" t="e">
        <f>VLOOKUP(BD32,CENY!$B$11:$M$2025,12,FALSE)</f>
        <v>#N/A</v>
      </c>
      <c r="BK32" s="95" t="e">
        <f t="shared" si="3"/>
        <v>#N/A</v>
      </c>
    </row>
    <row r="33" spans="47:63" ht="14.45" customHeight="1">
      <c r="AU33" s="319"/>
      <c r="AV33" s="21"/>
      <c r="AW33" s="22"/>
      <c r="AX33" s="22"/>
      <c r="AY33" s="23"/>
      <c r="AZ33" s="326" t="str">
        <f t="shared" si="0"/>
        <v/>
      </c>
      <c r="BA33" s="95"/>
      <c r="BB33" s="95" t="str">
        <f t="shared" si="1"/>
        <v/>
      </c>
      <c r="BD33" s="319">
        <f>OBJ!B257</f>
        <v>9318175</v>
      </c>
      <c r="BE33" s="21" t="str">
        <f>VLOOKUP(BD33,CENY!$B$11:$G$1054,2,FALSE)</f>
        <v>Actro You(L) 400/SiSy 40kg; EB21; ľavý</v>
      </c>
      <c r="BF33" s="22">
        <f>VLOOKUP(BD33,CENY!$B$11:$G$1054,3,FALSE)</f>
        <v>10</v>
      </c>
      <c r="BG33" s="22"/>
      <c r="BH33" s="23">
        <f>AY22</f>
        <v>0</v>
      </c>
      <c r="BI33" s="326">
        <f t="shared" si="2"/>
        <v>0</v>
      </c>
      <c r="BJ33" s="95">
        <f>VLOOKUP(BD33,CENY!$B$11:$M$2025,12,FALSE)</f>
        <v>14.56085</v>
      </c>
      <c r="BK33" s="95">
        <f t="shared" si="3"/>
        <v>0</v>
      </c>
    </row>
    <row r="34" spans="47:63" ht="14.45" customHeight="1">
      <c r="AU34" s="319">
        <f>OBJ!B306</f>
        <v>9256886</v>
      </c>
      <c r="AV34" s="21" t="str">
        <f>VLOOKUP(AU34,CENY!$B$11:$G$1054,2,FALSE)</f>
        <v>Quadro You(M) 350/SiSy 25kg; EB21</v>
      </c>
      <c r="AW34" s="22">
        <f>VLOOKUP(AU34,CENY!$B$11:$G$1054,3,FALSE)</f>
        <v>1</v>
      </c>
      <c r="AX34" s="362">
        <v>8</v>
      </c>
      <c r="AY34" s="23">
        <f>S25</f>
        <v>0</v>
      </c>
      <c r="AZ34" s="326">
        <f t="shared" si="0"/>
        <v>0</v>
      </c>
      <c r="BA34" s="95" t="e">
        <f>VLOOKUP(AU34,CENY!$B$11:$M$2025,12,FALSE)</f>
        <v>#N/A</v>
      </c>
      <c r="BB34" s="95" t="e">
        <f t="shared" si="1"/>
        <v>#N/A</v>
      </c>
      <c r="BD34" s="319">
        <f>OBJ!B258</f>
        <v>9318176</v>
      </c>
      <c r="BE34" s="21" t="str">
        <f>VLOOKUP(BD34,CENY!$B$11:$G$1054,2,FALSE)</f>
        <v>Actro You(L) 400/SiSy 40kg; EB21; pravý</v>
      </c>
      <c r="BF34" s="22">
        <f>VLOOKUP(BD34,CENY!$B$11:$G$1054,3,FALSE)</f>
        <v>10</v>
      </c>
      <c r="BG34" s="22"/>
      <c r="BH34" s="23">
        <f>AY22</f>
        <v>0</v>
      </c>
      <c r="BI34" s="326">
        <f t="shared" si="2"/>
        <v>0</v>
      </c>
      <c r="BJ34" s="95">
        <f>VLOOKUP(BD34,CENY!$B$11:$M$2025,12,FALSE)</f>
        <v>14.56085</v>
      </c>
      <c r="BK34" s="95">
        <f t="shared" si="3"/>
        <v>0</v>
      </c>
    </row>
    <row r="35" spans="47:63" ht="14.45" customHeight="1">
      <c r="AU35" s="319">
        <f>OBJ!B307</f>
        <v>9256888</v>
      </c>
      <c r="AV35" s="21" t="str">
        <f>VLOOKUP(AU35,CENY!$B$11:$G$1054,2,FALSE)</f>
        <v>Quadro You(M) 400/SiSy 30kg; EB21</v>
      </c>
      <c r="AW35" s="22">
        <f>VLOOKUP(AU35,CENY!$B$11:$G$1054,3,FALSE)</f>
        <v>1</v>
      </c>
      <c r="AX35" s="362">
        <v>8</v>
      </c>
      <c r="AY35" s="23">
        <f>U25</f>
        <v>0</v>
      </c>
      <c r="AZ35" s="326">
        <f t="shared" si="0"/>
        <v>0</v>
      </c>
      <c r="BA35" s="95">
        <f>VLOOKUP(AU35,CENY!$B$11:$M$2025,12,FALSE)</f>
        <v>24.002659999999999</v>
      </c>
      <c r="BB35" s="95">
        <f t="shared" si="1"/>
        <v>0</v>
      </c>
      <c r="BD35" s="319">
        <f>OBJ!B259</f>
        <v>9318177</v>
      </c>
      <c r="BE35" s="21" t="str">
        <f>VLOOKUP(BD35,CENY!$B$11:$G$1054,2,FALSE)</f>
        <v>Actro You(L) 450/SiSy 40kg; EB21; ľavý</v>
      </c>
      <c r="BF35" s="22">
        <f>VLOOKUP(BD35,CENY!$B$11:$G$1054,3,FALSE)</f>
        <v>10</v>
      </c>
      <c r="BG35" s="22"/>
      <c r="BH35" s="23">
        <f>AY23</f>
        <v>0</v>
      </c>
      <c r="BI35" s="326">
        <f t="shared" si="2"/>
        <v>0</v>
      </c>
      <c r="BJ35" s="95" t="e">
        <f>VLOOKUP(BD35,CENY!$B$11:$M$2025,12,FALSE)</f>
        <v>#N/A</v>
      </c>
      <c r="BK35" s="95" t="e">
        <f t="shared" si="3"/>
        <v>#N/A</v>
      </c>
    </row>
    <row r="36" spans="47:63" ht="14.45" customHeight="1">
      <c r="AU36" s="319">
        <f>OBJ!B308</f>
        <v>9256890</v>
      </c>
      <c r="AV36" s="21" t="str">
        <f>VLOOKUP(AU36,CENY!$B$11:$G$1054,2,FALSE)</f>
        <v>Quadro You(M) 450/SiSy 30kg; EB21</v>
      </c>
      <c r="AW36" s="22">
        <f>VLOOKUP(AU36,CENY!$B$11:$G$1054,3,FALSE)</f>
        <v>1</v>
      </c>
      <c r="AX36" s="362">
        <v>8</v>
      </c>
      <c r="AY36" s="23">
        <f>W25</f>
        <v>0</v>
      </c>
      <c r="AZ36" s="326">
        <f t="shared" si="0"/>
        <v>0</v>
      </c>
      <c r="BA36" s="95">
        <f>VLOOKUP(AU36,CENY!$B$11:$M$2025,12,FALSE)</f>
        <v>4.9393000000000002</v>
      </c>
      <c r="BB36" s="95">
        <f t="shared" si="1"/>
        <v>0</v>
      </c>
      <c r="BD36" s="319">
        <f>OBJ!B260</f>
        <v>9318178</v>
      </c>
      <c r="BE36" s="21" t="str">
        <f>VLOOKUP(BD36,CENY!$B$11:$G$1054,2,FALSE)</f>
        <v>Actro You(L) 450/SiSy 40kg; EB21; pravý</v>
      </c>
      <c r="BF36" s="22">
        <f>VLOOKUP(BD36,CENY!$B$11:$G$1054,3,FALSE)</f>
        <v>10</v>
      </c>
      <c r="BG36" s="22"/>
      <c r="BH36" s="23">
        <f>AY23</f>
        <v>0</v>
      </c>
      <c r="BI36" s="326">
        <f t="shared" si="2"/>
        <v>0</v>
      </c>
      <c r="BJ36" s="95">
        <f>VLOOKUP(BD36,CENY!$B$11:$M$2025,12,FALSE)</f>
        <v>14.040839999999999</v>
      </c>
      <c r="BK36" s="95">
        <f t="shared" si="3"/>
        <v>0</v>
      </c>
    </row>
    <row r="37" spans="47:63" ht="14.45" customHeight="1">
      <c r="AU37" s="319">
        <f>OBJ!B309</f>
        <v>9256892</v>
      </c>
      <c r="AV37" s="21" t="str">
        <f>VLOOKUP(AU37,CENY!$B$11:$G$1054,2,FALSE)</f>
        <v>Quadro You(M) 500/SiSy 30kg; EB21</v>
      </c>
      <c r="AW37" s="22">
        <f>VLOOKUP(AU37,CENY!$B$11:$G$1054,3,FALSE)</f>
        <v>1</v>
      </c>
      <c r="AX37" s="362">
        <v>8</v>
      </c>
      <c r="AY37" s="23">
        <f>Y25</f>
        <v>0</v>
      </c>
      <c r="AZ37" s="326">
        <f t="shared" si="0"/>
        <v>0</v>
      </c>
      <c r="BA37" s="95">
        <f>VLOOKUP(AU37,CENY!$B$11:$M$2025,12,FALSE)</f>
        <v>23.748699999999999</v>
      </c>
      <c r="BB37" s="95">
        <f t="shared" si="1"/>
        <v>0</v>
      </c>
      <c r="BD37" s="319">
        <f>OBJ!B261</f>
        <v>9318179</v>
      </c>
      <c r="BE37" s="21" t="str">
        <f>VLOOKUP(BD37,CENY!$B$11:$G$1054,2,FALSE)</f>
        <v>Actro You(L) 500/SiSy 40kg; EB21; ľavý</v>
      </c>
      <c r="BF37" s="22">
        <f>VLOOKUP(BD37,CENY!$B$11:$G$1054,3,FALSE)</f>
        <v>10</v>
      </c>
      <c r="BG37" s="22"/>
      <c r="BH37" s="23">
        <f>AY24</f>
        <v>0</v>
      </c>
      <c r="BI37" s="326">
        <f t="shared" si="2"/>
        <v>0</v>
      </c>
      <c r="BJ37" s="95">
        <f>VLOOKUP(BD37,CENY!$B$11:$M$2025,12,FALSE)</f>
        <v>13.931559999999999</v>
      </c>
      <c r="BK37" s="95">
        <f t="shared" si="3"/>
        <v>0</v>
      </c>
    </row>
    <row r="38" spans="47:63" ht="14.45" customHeight="1">
      <c r="AU38" s="319">
        <f>OBJ!B310</f>
        <v>9256894</v>
      </c>
      <c r="AV38" s="21" t="str">
        <f>VLOOKUP(AU38,CENY!$B$11:$G$1054,2,FALSE)</f>
        <v>Quadro You(M) 550/SiSy 30kg; EB21</v>
      </c>
      <c r="AW38" s="22">
        <f>VLOOKUP(AU38,CENY!$B$11:$G$1054,3,FALSE)</f>
        <v>1</v>
      </c>
      <c r="AX38" s="362">
        <v>8</v>
      </c>
      <c r="AY38" s="23">
        <f>AA25</f>
        <v>0</v>
      </c>
      <c r="AZ38" s="326">
        <f t="shared" si="0"/>
        <v>0</v>
      </c>
      <c r="BA38" s="95">
        <f>VLOOKUP(AU38,CENY!$B$11:$M$2025,12,FALSE)</f>
        <v>5.1277499999999998</v>
      </c>
      <c r="BB38" s="95">
        <f t="shared" si="1"/>
        <v>0</v>
      </c>
      <c r="BD38" s="319">
        <f>OBJ!B262</f>
        <v>9318180</v>
      </c>
      <c r="BE38" s="21" t="str">
        <f>VLOOKUP(BD38,CENY!$B$11:$G$1054,2,FALSE)</f>
        <v>Actro You(L) 500/SiSy 40kg; EB21; pravý</v>
      </c>
      <c r="BF38" s="22">
        <f>VLOOKUP(BD38,CENY!$B$11:$G$1054,3,FALSE)</f>
        <v>10</v>
      </c>
      <c r="BG38" s="22"/>
      <c r="BH38" s="23">
        <f>AY24</f>
        <v>0</v>
      </c>
      <c r="BI38" s="326">
        <f t="shared" si="2"/>
        <v>0</v>
      </c>
      <c r="BJ38" s="95">
        <f>VLOOKUP(BD38,CENY!$B$11:$M$2025,12,FALSE)</f>
        <v>13.931559999999999</v>
      </c>
      <c r="BK38" s="95">
        <f t="shared" si="3"/>
        <v>0</v>
      </c>
    </row>
    <row r="39" spans="47:63" ht="14.45" customHeight="1">
      <c r="AU39" s="319">
        <f>OBJ!B311</f>
        <v>9256896</v>
      </c>
      <c r="AV39" s="21" t="str">
        <f>VLOOKUP(AU39,CENY!$B$11:$G$1054,2,FALSE)</f>
        <v>Quadro You(M) 600/SiSy 25kg; EB21</v>
      </c>
      <c r="AW39" s="22">
        <f>VLOOKUP(AU39,CENY!$B$11:$G$1054,3,FALSE)</f>
        <v>1</v>
      </c>
      <c r="AX39" s="362">
        <v>8</v>
      </c>
      <c r="AY39" s="23">
        <f>AC25</f>
        <v>0</v>
      </c>
      <c r="AZ39" s="326">
        <f t="shared" si="0"/>
        <v>0</v>
      </c>
      <c r="BA39" s="95">
        <f>VLOOKUP(AU39,CENY!$B$11:$M$2025,12,FALSE)</f>
        <v>25.86984</v>
      </c>
      <c r="BB39" s="95">
        <f t="shared" si="1"/>
        <v>0</v>
      </c>
      <c r="BD39" s="319">
        <f>OBJ!B263</f>
        <v>9318181</v>
      </c>
      <c r="BE39" s="21" t="str">
        <f>VLOOKUP(BD39,CENY!$B$11:$G$1054,2,FALSE)</f>
        <v>Actro You(L) 550/SiSy 40kg; EB21; ľavý</v>
      </c>
      <c r="BF39" s="22">
        <f>VLOOKUP(BD39,CENY!$B$11:$G$1054,3,FALSE)</f>
        <v>10</v>
      </c>
      <c r="BG39" s="22"/>
      <c r="BH39" s="23">
        <f>AY25</f>
        <v>0</v>
      </c>
      <c r="BI39" s="326">
        <f t="shared" si="2"/>
        <v>0</v>
      </c>
      <c r="BJ39" s="95">
        <f>VLOOKUP(BD39,CENY!$B$11:$M$2025,12,FALSE)</f>
        <v>15.147040000000001</v>
      </c>
      <c r="BK39" s="95">
        <f t="shared" si="3"/>
        <v>0</v>
      </c>
    </row>
    <row r="40" spans="47:63" ht="14.45" customHeight="1">
      <c r="AU40" s="319"/>
      <c r="AV40" s="21"/>
      <c r="AW40" s="22"/>
      <c r="AX40" s="22"/>
      <c r="AY40" s="23"/>
      <c r="AZ40" s="326" t="str">
        <f t="shared" si="0"/>
        <v/>
      </c>
      <c r="BA40" s="95"/>
      <c r="BB40" s="95" t="str">
        <f t="shared" si="1"/>
        <v/>
      </c>
      <c r="BD40" s="319">
        <f>OBJ!B264</f>
        <v>9318182</v>
      </c>
      <c r="BE40" s="21" t="str">
        <f>VLOOKUP(BD40,CENY!$B$11:$G$1054,2,FALSE)</f>
        <v>Actro You(L) 550/SiSy 40kg; EB21; pravý</v>
      </c>
      <c r="BF40" s="22">
        <f>VLOOKUP(BD40,CENY!$B$11:$G$1054,3,FALSE)</f>
        <v>10</v>
      </c>
      <c r="BG40" s="22"/>
      <c r="BH40" s="23">
        <f>AY25</f>
        <v>0</v>
      </c>
      <c r="BI40" s="326">
        <f t="shared" si="2"/>
        <v>0</v>
      </c>
      <c r="BJ40" s="95">
        <f>VLOOKUP(BD40,CENY!$B$11:$M$2025,12,FALSE)</f>
        <v>15.147040000000001</v>
      </c>
      <c r="BK40" s="95">
        <f t="shared" si="3"/>
        <v>0</v>
      </c>
    </row>
    <row r="41" spans="47:63" ht="14.45" customHeight="1">
      <c r="AU41" s="442">
        <f>OBJ!B191</f>
        <v>9257257</v>
      </c>
      <c r="AV41" s="443" t="str">
        <f>VLOOKUP(AU41,CENY!$B$11:$G$1054,2,FALSE)</f>
        <v>AvanY-prích.čela Inlay k naskrutk./ v187</v>
      </c>
      <c r="AW41" s="22">
        <f>VLOOKUP(AU41,CENY!$B$11:$G$1054,3,FALSE)</f>
        <v>100</v>
      </c>
      <c r="AX41" s="22"/>
      <c r="AY41" s="68">
        <f>4*(SUM(O19:AD19)+SUM(W20:AF20)+SUM(O25:AD25))</f>
        <v>0</v>
      </c>
      <c r="AZ41" s="326">
        <f t="shared" si="0"/>
        <v>0</v>
      </c>
      <c r="BA41" s="95">
        <f>VLOOKUP(AU41,CENY!$B$11:$M$2025,12,FALSE)</f>
        <v>2.4404300000000001</v>
      </c>
      <c r="BB41" s="95">
        <f t="shared" si="1"/>
        <v>0</v>
      </c>
      <c r="BD41" s="319">
        <f>OBJ!B265</f>
        <v>9318183</v>
      </c>
      <c r="BE41" s="21" t="str">
        <f>VLOOKUP(BD41,CENY!$B$11:$G$1054,2,FALSE)</f>
        <v>Actro You(L) 600/SiSy 40kg; EB21; ľavý</v>
      </c>
      <c r="BF41" s="22">
        <f>VLOOKUP(BD41,CENY!$B$11:$G$1054,3,FALSE)</f>
        <v>10</v>
      </c>
      <c r="BG41" s="22"/>
      <c r="BH41" s="23">
        <f>AY26</f>
        <v>0</v>
      </c>
      <c r="BI41" s="326">
        <f t="shared" si="2"/>
        <v>0</v>
      </c>
      <c r="BJ41" s="95">
        <f>VLOOKUP(BD41,CENY!$B$11:$M$2025,12,FALSE)</f>
        <v>15.35308</v>
      </c>
      <c r="BK41" s="95">
        <f t="shared" si="3"/>
        <v>0</v>
      </c>
    </row>
    <row r="42" spans="47:63" ht="14.45" customHeight="1">
      <c r="AU42" s="319"/>
      <c r="AV42" s="21"/>
      <c r="AW42" s="22"/>
      <c r="AX42" s="22"/>
      <c r="AY42" s="23"/>
      <c r="AZ42" s="326" t="str">
        <f t="shared" si="0"/>
        <v/>
      </c>
      <c r="BA42" s="95"/>
      <c r="BB42" s="95" t="str">
        <f t="shared" si="1"/>
        <v/>
      </c>
      <c r="BD42" s="319">
        <f>OBJ!B266</f>
        <v>9318184</v>
      </c>
      <c r="BE42" s="21" t="str">
        <f>VLOOKUP(BD42,CENY!$B$11:$G$1054,2,FALSE)</f>
        <v>Actro You(L) 600/SiSy 40kg; EB21; pravý</v>
      </c>
      <c r="BF42" s="22">
        <f>VLOOKUP(BD42,CENY!$B$11:$G$1054,3,FALSE)</f>
        <v>10</v>
      </c>
      <c r="BG42" s="22"/>
      <c r="BH42" s="23">
        <f>AY26</f>
        <v>0</v>
      </c>
      <c r="BI42" s="326">
        <f t="shared" si="2"/>
        <v>0</v>
      </c>
      <c r="BJ42" s="95" t="e">
        <f>VLOOKUP(BD42,CENY!$B$11:$M$2025,12,FALSE)</f>
        <v>#N/A</v>
      </c>
      <c r="BK42" s="95" t="e">
        <f t="shared" si="3"/>
        <v>#N/A</v>
      </c>
    </row>
    <row r="43" spans="47:63" ht="14.45" customHeight="1">
      <c r="AU43" s="320">
        <f>OBJ!B214</f>
        <v>0</v>
      </c>
      <c r="AV43" s="321" t="e">
        <f>VLOOKUP(AU43,CENY!$B$11:$G$1054,2,FALSE)</f>
        <v>#N/A</v>
      </c>
      <c r="AW43" s="22" t="e">
        <f>VLOOKUP(AU43,CENY!$B$11:$G$1054,3,FALSE)</f>
        <v>#N/A</v>
      </c>
      <c r="AX43" s="22"/>
      <c r="AY43" s="68">
        <f>IF(FORM!AM21&lt;&gt;FORM!AW16,(4*(SUM(O19:AD19)+SUM(W20:AF20)+SUM(O25:AD25))),0)</f>
        <v>0</v>
      </c>
      <c r="AZ43" s="326">
        <f t="shared" si="0"/>
        <v>0</v>
      </c>
      <c r="BA43" s="324" t="str">
        <f>IF(AU43=0,"",VLOOKUP(AU43,CENY!$B$11:$M$2025,12,FALSE))</f>
        <v/>
      </c>
      <c r="BB43" s="95" t="str">
        <f t="shared" si="1"/>
        <v/>
      </c>
      <c r="BD43" s="319"/>
      <c r="BE43" s="21"/>
      <c r="BF43" s="22"/>
      <c r="BG43" s="22"/>
      <c r="BH43" s="23"/>
      <c r="BI43" s="326" t="str">
        <f t="shared" si="2"/>
        <v/>
      </c>
      <c r="BJ43" s="95"/>
      <c r="BK43" s="95" t="str">
        <f t="shared" si="3"/>
        <v/>
      </c>
    </row>
    <row r="44" spans="47:63" ht="14.45" customHeight="1">
      <c r="AU44" s="319"/>
      <c r="AV44" s="21"/>
      <c r="AW44" s="22"/>
      <c r="AX44" s="22"/>
      <c r="AY44" s="23"/>
      <c r="AZ44" s="326" t="str">
        <f t="shared" si="0"/>
        <v/>
      </c>
      <c r="BA44" s="95"/>
      <c r="BB44" s="95" t="str">
        <f t="shared" si="1"/>
        <v/>
      </c>
      <c r="BD44" s="319">
        <f>OBJ!B273</f>
        <v>9318198</v>
      </c>
      <c r="BE44" s="21" t="str">
        <f>VLOOKUP(BD44,CENY!$B$11:$G$1054,2,FALSE)</f>
        <v>Actro You(XL) 450/SiSy 70kg; EB21; ľavý</v>
      </c>
      <c r="BF44" s="22">
        <f>VLOOKUP(BD44,CENY!$B$11:$G$1054,3,FALSE)</f>
        <v>10</v>
      </c>
      <c r="BG44" s="22"/>
      <c r="BH44" s="23">
        <f>AY28</f>
        <v>0</v>
      </c>
      <c r="BI44" s="326">
        <f t="shared" si="2"/>
        <v>0</v>
      </c>
      <c r="BJ44" s="95" t="e">
        <f>VLOOKUP(BD44,CENY!$B$11:$M$2025,12,FALSE)</f>
        <v>#N/A</v>
      </c>
      <c r="BK44" s="95" t="e">
        <f t="shared" si="3"/>
        <v>#N/A</v>
      </c>
    </row>
    <row r="45" spans="47:63" ht="14.45" customHeight="1">
      <c r="AU45" s="319"/>
      <c r="AV45" s="21"/>
      <c r="AW45" s="22"/>
      <c r="AX45" s="22"/>
      <c r="AY45" s="23"/>
      <c r="AZ45" s="326" t="str">
        <f t="shared" si="0"/>
        <v/>
      </c>
      <c r="BA45" s="95"/>
      <c r="BB45" s="95" t="str">
        <f t="shared" si="1"/>
        <v/>
      </c>
      <c r="BD45" s="319">
        <f>OBJ!B274</f>
        <v>9318199</v>
      </c>
      <c r="BE45" s="21" t="str">
        <f>VLOOKUP(BD45,CENY!$B$11:$G$1054,2,FALSE)</f>
        <v>Actro You(XL) 450/SiSy 70kg; EB21; pravý</v>
      </c>
      <c r="BF45" s="22">
        <f>VLOOKUP(BD45,CENY!$B$11:$G$1054,3,FALSE)</f>
        <v>10</v>
      </c>
      <c r="BG45" s="22"/>
      <c r="BH45" s="23">
        <f>AY28</f>
        <v>0</v>
      </c>
      <c r="BI45" s="326">
        <f t="shared" si="2"/>
        <v>0</v>
      </c>
      <c r="BJ45" s="95" t="e">
        <f>VLOOKUP(BD45,CENY!$B$11:$M$2025,12,FALSE)</f>
        <v>#N/A</v>
      </c>
      <c r="BK45" s="95" t="e">
        <f t="shared" si="3"/>
        <v>#N/A</v>
      </c>
    </row>
    <row r="46" spans="47:63" ht="14.45" customHeight="1">
      <c r="AU46" s="319"/>
      <c r="AV46" s="21"/>
      <c r="AW46" s="22"/>
      <c r="AX46" s="22"/>
      <c r="AY46" s="23"/>
      <c r="AZ46" s="326" t="str">
        <f t="shared" si="0"/>
        <v/>
      </c>
      <c r="BA46" s="95"/>
      <c r="BB46" s="95" t="str">
        <f t="shared" si="1"/>
        <v/>
      </c>
      <c r="BD46" s="319">
        <f>OBJ!B275</f>
        <v>9318201</v>
      </c>
      <c r="BE46" s="21" t="str">
        <f>VLOOKUP(BD46,CENY!$B$11:$G$1054,2,FALSE)</f>
        <v>Actro You(XL) 500/SiSy 70kg; EB21; ľavý</v>
      </c>
      <c r="BF46" s="22">
        <f>VLOOKUP(BD46,CENY!$B$11:$G$1054,3,FALSE)</f>
        <v>10</v>
      </c>
      <c r="BG46" s="22"/>
      <c r="BH46" s="23">
        <f>AY29</f>
        <v>0</v>
      </c>
      <c r="BI46" s="326">
        <f t="shared" si="2"/>
        <v>0</v>
      </c>
      <c r="BJ46" s="95">
        <f>VLOOKUP(BD46,CENY!$B$11:$M$2025,12,FALSE)</f>
        <v>17.52394</v>
      </c>
      <c r="BK46" s="95">
        <f t="shared" si="3"/>
        <v>0</v>
      </c>
    </row>
    <row r="47" spans="47:63" ht="14.45" customHeight="1">
      <c r="AU47" s="319"/>
      <c r="AV47" s="21"/>
      <c r="AW47" s="22"/>
      <c r="AX47" s="22"/>
      <c r="AY47" s="23"/>
      <c r="AZ47" s="326" t="str">
        <f t="shared" si="0"/>
        <v/>
      </c>
      <c r="BA47" s="95"/>
      <c r="BB47" s="95" t="str">
        <f t="shared" si="1"/>
        <v/>
      </c>
      <c r="BD47" s="319">
        <f>OBJ!B276</f>
        <v>9318203</v>
      </c>
      <c r="BE47" s="21" t="str">
        <f>VLOOKUP(BD47,CENY!$B$11:$G$1054,2,FALSE)</f>
        <v>Actro You(XL) 500/SiSy 70kg; EB21; pravý</v>
      </c>
      <c r="BF47" s="22">
        <f>VLOOKUP(BD47,CENY!$B$11:$G$1054,3,FALSE)</f>
        <v>10</v>
      </c>
      <c r="BG47" s="22"/>
      <c r="BH47" s="23">
        <f>AY29</f>
        <v>0</v>
      </c>
      <c r="BI47" s="326">
        <f t="shared" si="2"/>
        <v>0</v>
      </c>
      <c r="BJ47" s="95">
        <f>VLOOKUP(BD47,CENY!$B$11:$M$2025,12,FALSE)</f>
        <v>17.52394</v>
      </c>
      <c r="BK47" s="95">
        <f t="shared" si="3"/>
        <v>0</v>
      </c>
    </row>
    <row r="48" spans="47:63" ht="14.45" customHeight="1">
      <c r="AU48" s="319"/>
      <c r="AV48" s="21"/>
      <c r="AW48" s="22"/>
      <c r="AX48" s="22"/>
      <c r="AY48" s="23"/>
      <c r="AZ48" s="326" t="str">
        <f t="shared" si="0"/>
        <v/>
      </c>
      <c r="BA48" s="95"/>
      <c r="BB48" s="95" t="str">
        <f t="shared" si="1"/>
        <v/>
      </c>
      <c r="BD48" s="319">
        <f>OBJ!B277</f>
        <v>9318208</v>
      </c>
      <c r="BE48" s="21" t="str">
        <f>VLOOKUP(BD48,CENY!$B$11:$G$1054,2,FALSE)</f>
        <v>Actro You(XL) 550/SiSy 70kg; EB21; ľavý</v>
      </c>
      <c r="BF48" s="22">
        <f>VLOOKUP(BD48,CENY!$B$11:$G$1054,3,FALSE)</f>
        <v>10</v>
      </c>
      <c r="BG48" s="22"/>
      <c r="BH48" s="23">
        <f>AY30</f>
        <v>0</v>
      </c>
      <c r="BI48" s="326">
        <f t="shared" si="2"/>
        <v>0</v>
      </c>
      <c r="BJ48" s="95">
        <f>VLOOKUP(BD48,CENY!$B$11:$M$2025,12,FALSE)</f>
        <v>18.45496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0"/>
        <v/>
      </c>
      <c r="BA49" s="95"/>
      <c r="BB49" s="95" t="str">
        <f t="shared" si="1"/>
        <v/>
      </c>
      <c r="BD49" s="319">
        <f>OBJ!B278</f>
        <v>9318209</v>
      </c>
      <c r="BE49" s="21" t="str">
        <f>VLOOKUP(BD49,CENY!$B$11:$G$1054,2,FALSE)</f>
        <v>Actro You(XL) 550/SiSy 70kg; EB21; pravý</v>
      </c>
      <c r="BF49" s="22">
        <f>VLOOKUP(BD49,CENY!$B$11:$G$1054,3,FALSE)</f>
        <v>10</v>
      </c>
      <c r="BG49" s="22"/>
      <c r="BH49" s="23">
        <f>AY30</f>
        <v>0</v>
      </c>
      <c r="BI49" s="326">
        <f t="shared" si="2"/>
        <v>0</v>
      </c>
      <c r="BJ49" s="95">
        <f>VLOOKUP(BD49,CENY!$B$11:$M$2025,12,FALSE)</f>
        <v>18.45496</v>
      </c>
      <c r="BK49" s="95">
        <f t="shared" si="3"/>
        <v>0</v>
      </c>
    </row>
    <row r="50" spans="47:63" ht="14.45" customHeight="1">
      <c r="AU50" s="319"/>
      <c r="AV50" s="21"/>
      <c r="AW50" s="22"/>
      <c r="AX50" s="22"/>
      <c r="AY50" s="23"/>
      <c r="AZ50" s="326" t="str">
        <f t="shared" si="0"/>
        <v/>
      </c>
      <c r="BA50" s="95"/>
      <c r="BB50" s="95" t="str">
        <f t="shared" si="1"/>
        <v/>
      </c>
      <c r="BD50" s="319">
        <f>OBJ!B279</f>
        <v>9318211</v>
      </c>
      <c r="BE50" s="21" t="str">
        <f>VLOOKUP(BD50,CENY!$B$11:$G$1054,2,FALSE)</f>
        <v>Actro You(XL) 600/SiSy 70kg; EB21; ľavý</v>
      </c>
      <c r="BF50" s="22">
        <f>VLOOKUP(BD50,CENY!$B$11:$G$1054,3,FALSE)</f>
        <v>10</v>
      </c>
      <c r="BG50" s="22"/>
      <c r="BH50" s="23">
        <f>AY31</f>
        <v>0</v>
      </c>
      <c r="BI50" s="326">
        <f t="shared" si="2"/>
        <v>0</v>
      </c>
      <c r="BJ50" s="95">
        <f>VLOOKUP(BD50,CENY!$B$11:$M$2025,12,FALSE)</f>
        <v>21.352720000000001</v>
      </c>
      <c r="BK50" s="95">
        <f t="shared" si="3"/>
        <v>0</v>
      </c>
    </row>
    <row r="51" spans="47:63" ht="14.45" customHeight="1">
      <c r="AU51" s="20"/>
      <c r="AV51" s="21"/>
      <c r="AW51" s="22"/>
      <c r="AX51" s="22"/>
      <c r="AY51" s="23"/>
      <c r="AZ51" s="326" t="str">
        <f t="shared" si="0"/>
        <v/>
      </c>
      <c r="BA51" s="95"/>
      <c r="BB51" s="95" t="str">
        <f t="shared" si="1"/>
        <v/>
      </c>
      <c r="BD51" s="319">
        <f>OBJ!B280</f>
        <v>9318212</v>
      </c>
      <c r="BE51" s="21" t="str">
        <f>VLOOKUP(BD51,CENY!$B$11:$G$1054,2,FALSE)</f>
        <v>Actro You(XL) 600/SiSy 70kg; EB21; pravý</v>
      </c>
      <c r="BF51" s="22">
        <f>VLOOKUP(BD51,CENY!$B$11:$G$1054,3,FALSE)</f>
        <v>10</v>
      </c>
      <c r="BG51" s="22"/>
      <c r="BH51" s="23">
        <f>AY31</f>
        <v>0</v>
      </c>
      <c r="BI51" s="326">
        <f t="shared" si="2"/>
        <v>0</v>
      </c>
      <c r="BJ51" s="95">
        <f>VLOOKUP(BD51,CENY!$B$11:$M$2025,12,FALSE)</f>
        <v>21.352720000000001</v>
      </c>
      <c r="BK51" s="95">
        <f t="shared" si="3"/>
        <v>0</v>
      </c>
    </row>
    <row r="52" spans="47:63" ht="14.45" customHeight="1">
      <c r="AU52" s="20"/>
      <c r="AV52" s="21"/>
      <c r="AW52" s="22"/>
      <c r="AX52" s="22"/>
      <c r="AY52" s="23"/>
      <c r="AZ52" s="326" t="str">
        <f t="shared" si="0"/>
        <v/>
      </c>
      <c r="BA52" s="95"/>
      <c r="BB52" s="95" t="str">
        <f t="shared" si="1"/>
        <v/>
      </c>
      <c r="BD52" s="319">
        <f>OBJ!B281</f>
        <v>9318213</v>
      </c>
      <c r="BE52" s="21" t="str">
        <f>VLOOKUP(BD52,CENY!$B$11:$G$1054,2,FALSE)</f>
        <v>Actro You(XL) 650/SiSy 70kg; EB21; ľavý</v>
      </c>
      <c r="BF52" s="22">
        <f>VLOOKUP(BD52,CENY!$B$11:$G$1054,3,FALSE)</f>
        <v>5</v>
      </c>
      <c r="BG52" s="22"/>
      <c r="BH52" s="23">
        <f>AY32</f>
        <v>0</v>
      </c>
      <c r="BI52" s="326">
        <f t="shared" si="2"/>
        <v>0</v>
      </c>
      <c r="BJ52" s="95">
        <f>VLOOKUP(BD52,CENY!$B$11:$M$2025,12,FALSE)</f>
        <v>22.243659999999998</v>
      </c>
      <c r="BK52" s="95">
        <f t="shared" si="3"/>
        <v>0</v>
      </c>
    </row>
    <row r="53" spans="47:63" ht="14.45" customHeight="1">
      <c r="AU53" s="20"/>
      <c r="AV53" s="21"/>
      <c r="AW53" s="22"/>
      <c r="AX53" s="22"/>
      <c r="AY53" s="23"/>
      <c r="AZ53" s="326" t="str">
        <f t="shared" si="0"/>
        <v/>
      </c>
      <c r="BA53" s="95"/>
      <c r="BB53" s="95" t="str">
        <f t="shared" si="1"/>
        <v/>
      </c>
      <c r="BD53" s="319">
        <f>OBJ!B282</f>
        <v>9318214</v>
      </c>
      <c r="BE53" s="21" t="str">
        <f>VLOOKUP(BD53,CENY!$B$11:$G$1054,2,FALSE)</f>
        <v>Actro You(XL) 650/SiSy 70kg; EB21; pravý</v>
      </c>
      <c r="BF53" s="22">
        <f>VLOOKUP(BD53,CENY!$B$11:$G$1054,3,FALSE)</f>
        <v>5</v>
      </c>
      <c r="BG53" s="22"/>
      <c r="BH53" s="23">
        <f>AY32</f>
        <v>0</v>
      </c>
      <c r="BI53" s="326">
        <f t="shared" si="2"/>
        <v>0</v>
      </c>
      <c r="BJ53" s="95">
        <f>VLOOKUP(BD53,CENY!$B$11:$M$2025,12,FALSE)</f>
        <v>22.243659999999998</v>
      </c>
      <c r="BK53" s="95">
        <f t="shared" si="3"/>
        <v>0</v>
      </c>
    </row>
    <row r="54" spans="47:63" ht="14.45" customHeight="1">
      <c r="AU54" s="20"/>
      <c r="AV54" s="21"/>
      <c r="AW54" s="22"/>
      <c r="AX54" s="22"/>
      <c r="AY54" s="23"/>
      <c r="AZ54" s="326" t="str">
        <f t="shared" si="0"/>
        <v/>
      </c>
      <c r="BA54" s="95"/>
      <c r="BB54" s="95" t="str">
        <f t="shared" si="1"/>
        <v/>
      </c>
      <c r="BD54" s="319"/>
      <c r="BE54" s="21"/>
      <c r="BF54" s="22"/>
      <c r="BG54" s="22"/>
      <c r="BH54" s="23"/>
      <c r="BI54" s="326" t="str">
        <f t="shared" si="2"/>
        <v/>
      </c>
      <c r="BJ54" s="95"/>
      <c r="BK54" s="95" t="str">
        <f t="shared" si="3"/>
        <v/>
      </c>
    </row>
    <row r="55" spans="47:63" ht="14.45" customHeight="1">
      <c r="AU55" s="20"/>
      <c r="AV55" s="21"/>
      <c r="AW55" s="22"/>
      <c r="AX55" s="22"/>
      <c r="AY55" s="23"/>
      <c r="AZ55" s="326" t="str">
        <f t="shared" si="0"/>
        <v/>
      </c>
      <c r="BA55" s="95"/>
      <c r="BB55" s="95" t="str">
        <f t="shared" si="1"/>
        <v/>
      </c>
      <c r="BD55" s="319">
        <f>OBJ!B316</f>
        <v>9256860</v>
      </c>
      <c r="BE55" s="21" t="str">
        <f>VLOOKUP(BD55,CENY!$B$11:$G$1054,2,FALSE)</f>
        <v>Quadro You(M) 350/SiSy 25kg; EB21; ľavý</v>
      </c>
      <c r="BF55" s="22">
        <f>VLOOKUP(BD55,CENY!$B$11:$G$1054,3,FALSE)</f>
        <v>20</v>
      </c>
      <c r="BG55" s="22"/>
      <c r="BH55" s="23">
        <f>AY34</f>
        <v>0</v>
      </c>
      <c r="BI55" s="326">
        <f t="shared" si="2"/>
        <v>0</v>
      </c>
      <c r="BJ55" s="95">
        <f>VLOOKUP(BD55,CENY!$B$11:$M$2025,12,FALSE)</f>
        <v>11.02122</v>
      </c>
      <c r="BK55" s="95">
        <f t="shared" si="3"/>
        <v>0</v>
      </c>
    </row>
    <row r="56" spans="47:63" ht="14.45" customHeight="1">
      <c r="AU56" s="20"/>
      <c r="AV56" s="21"/>
      <c r="AW56" s="22"/>
      <c r="AX56" s="22"/>
      <c r="AY56" s="23"/>
      <c r="AZ56" s="326" t="str">
        <f t="shared" si="0"/>
        <v/>
      </c>
      <c r="BA56" s="95"/>
      <c r="BB56" s="95" t="str">
        <f t="shared" si="1"/>
        <v/>
      </c>
      <c r="BD56" s="319">
        <f>OBJ!B317</f>
        <v>9256861</v>
      </c>
      <c r="BE56" s="21" t="str">
        <f>VLOOKUP(BD56,CENY!$B$11:$G$1054,2,FALSE)</f>
        <v>Quadro You(M) 350/SiSy 25kg; EB21; pravý</v>
      </c>
      <c r="BF56" s="22">
        <f>VLOOKUP(BD56,CENY!$B$11:$G$1054,3,FALSE)</f>
        <v>20</v>
      </c>
      <c r="BG56" s="22"/>
      <c r="BH56" s="23">
        <f>AY34</f>
        <v>0</v>
      </c>
      <c r="BI56" s="326">
        <f t="shared" ref="BI56:BI80" si="5">IF(BH56="","",IF($AW$4=0,BH56,0))</f>
        <v>0</v>
      </c>
      <c r="BJ56" s="95">
        <f>VLOOKUP(BD56,CENY!$B$11:$M$2025,12,FALSE)</f>
        <v>11.02122</v>
      </c>
      <c r="BK56" s="95">
        <f t="shared" ref="BK56:BK80" si="6">IF(BJ56="","",BJ56*BH56)</f>
        <v>0</v>
      </c>
    </row>
    <row r="57" spans="47:63" ht="14.45" customHeight="1">
      <c r="AU57" s="20"/>
      <c r="AV57" s="21"/>
      <c r="AW57" s="22"/>
      <c r="AX57" s="22"/>
      <c r="AY57" s="23"/>
      <c r="AZ57" s="326" t="str">
        <f t="shared" si="0"/>
        <v/>
      </c>
      <c r="BA57" s="95"/>
      <c r="BB57" s="95" t="str">
        <f t="shared" si="1"/>
        <v/>
      </c>
      <c r="BD57" s="319">
        <f>OBJ!B318</f>
        <v>9256864</v>
      </c>
      <c r="BE57" s="21" t="str">
        <f>VLOOKUP(BD57,CENY!$B$11:$G$1054,2,FALSE)</f>
        <v>Quadro You(M) 400/SiSy 30kg; EB21; ľavý</v>
      </c>
      <c r="BF57" s="22">
        <f>VLOOKUP(BD57,CENY!$B$11:$G$1054,3,FALSE)</f>
        <v>20</v>
      </c>
      <c r="BG57" s="22"/>
      <c r="BH57" s="23">
        <f>AY35</f>
        <v>0</v>
      </c>
      <c r="BI57" s="326">
        <f t="shared" si="5"/>
        <v>0</v>
      </c>
      <c r="BJ57" s="95">
        <f>VLOOKUP(BD57,CENY!$B$11:$M$2025,12,FALSE)</f>
        <v>11.25459</v>
      </c>
      <c r="BK57" s="95">
        <f t="shared" si="6"/>
        <v>0</v>
      </c>
    </row>
    <row r="58" spans="47:63" ht="14.45" customHeight="1">
      <c r="AU58" s="20"/>
      <c r="AV58" s="21"/>
      <c r="AW58" s="22"/>
      <c r="AX58" s="22"/>
      <c r="AY58" s="23"/>
      <c r="AZ58" s="326" t="str">
        <f t="shared" si="0"/>
        <v/>
      </c>
      <c r="BA58" s="95"/>
      <c r="BB58" s="95" t="str">
        <f t="shared" si="1"/>
        <v/>
      </c>
      <c r="BD58" s="319">
        <f>OBJ!B319</f>
        <v>9256865</v>
      </c>
      <c r="BE58" s="21" t="str">
        <f>VLOOKUP(BD58,CENY!$B$11:$G$1054,2,FALSE)</f>
        <v>Quadro You(M) 400/SiSy 30kg; EB21; pravý</v>
      </c>
      <c r="BF58" s="22">
        <f>VLOOKUP(BD58,CENY!$B$11:$G$1054,3,FALSE)</f>
        <v>20</v>
      </c>
      <c r="BG58" s="22"/>
      <c r="BH58" s="23">
        <f>AY35</f>
        <v>0</v>
      </c>
      <c r="BI58" s="326">
        <f t="shared" si="5"/>
        <v>0</v>
      </c>
      <c r="BJ58" s="95">
        <f>VLOOKUP(BD58,CENY!$B$11:$M$2025,12,FALSE)</f>
        <v>11.25459</v>
      </c>
      <c r="BK58" s="95">
        <f t="shared" si="6"/>
        <v>0</v>
      </c>
    </row>
    <row r="59" spans="47:63" ht="14.45" customHeight="1">
      <c r="AU59" s="20"/>
      <c r="AV59" s="21"/>
      <c r="AW59" s="22"/>
      <c r="AX59" s="22"/>
      <c r="AY59" s="23"/>
      <c r="AZ59" s="326" t="str">
        <f t="shared" si="0"/>
        <v/>
      </c>
      <c r="BA59" s="95"/>
      <c r="BB59" s="95" t="str">
        <f t="shared" si="1"/>
        <v/>
      </c>
      <c r="BD59" s="319">
        <f>OBJ!B320</f>
        <v>9256868</v>
      </c>
      <c r="BE59" s="21" t="str">
        <f>VLOOKUP(BD59,CENY!$B$11:$G$1054,2,FALSE)</f>
        <v>Quadro You(M) 450/SiSy 30kg; EB21; ľavý</v>
      </c>
      <c r="BF59" s="22">
        <f>VLOOKUP(BD59,CENY!$B$11:$G$1054,3,FALSE)</f>
        <v>20</v>
      </c>
      <c r="BG59" s="22"/>
      <c r="BH59" s="23">
        <f>AY36</f>
        <v>0</v>
      </c>
      <c r="BI59" s="326">
        <f t="shared" si="5"/>
        <v>0</v>
      </c>
      <c r="BJ59" s="95">
        <f>VLOOKUP(BD59,CENY!$B$11:$M$2025,12,FALSE)</f>
        <v>11.487740000000001</v>
      </c>
      <c r="BK59" s="95">
        <f t="shared" si="6"/>
        <v>0</v>
      </c>
    </row>
    <row r="60" spans="47:63" ht="14.45" customHeight="1">
      <c r="AU60" s="20"/>
      <c r="AV60" s="21"/>
      <c r="AW60" s="22"/>
      <c r="AX60" s="22"/>
      <c r="AY60" s="23"/>
      <c r="AZ60" s="326" t="str">
        <f t="shared" si="0"/>
        <v/>
      </c>
      <c r="BA60" s="95"/>
      <c r="BB60" s="95" t="str">
        <f t="shared" si="1"/>
        <v/>
      </c>
      <c r="BD60" s="319">
        <f>OBJ!B321</f>
        <v>9256869</v>
      </c>
      <c r="BE60" s="21" t="str">
        <f>VLOOKUP(BD60,CENY!$B$11:$G$1054,2,FALSE)</f>
        <v>Quadro You(M) 450/SiSy 30kg; EB21; pravý</v>
      </c>
      <c r="BF60" s="22">
        <f>VLOOKUP(BD60,CENY!$B$11:$G$1054,3,FALSE)</f>
        <v>20</v>
      </c>
      <c r="BG60" s="22"/>
      <c r="BH60" s="23">
        <f>AY36</f>
        <v>0</v>
      </c>
      <c r="BI60" s="326">
        <f t="shared" si="5"/>
        <v>0</v>
      </c>
      <c r="BJ60" s="95">
        <f>VLOOKUP(BD60,CENY!$B$11:$M$2025,12,FALSE)</f>
        <v>11.487740000000001</v>
      </c>
      <c r="BK60" s="95">
        <f t="shared" si="6"/>
        <v>0</v>
      </c>
    </row>
    <row r="61" spans="47:63" ht="14.45" customHeight="1">
      <c r="AU61" s="20"/>
      <c r="AV61" s="21"/>
      <c r="AW61" s="22"/>
      <c r="AX61" s="22"/>
      <c r="AY61" s="23"/>
      <c r="AZ61" s="326" t="str">
        <f t="shared" si="0"/>
        <v/>
      </c>
      <c r="BA61" s="95"/>
      <c r="BB61" s="95" t="str">
        <f t="shared" ref="BB61:BB82" si="7">IF(BA61="","",BA61*AY61)</f>
        <v/>
      </c>
      <c r="BD61" s="319">
        <f>OBJ!B322</f>
        <v>9256872</v>
      </c>
      <c r="BE61" s="21" t="str">
        <f>VLOOKUP(BD61,CENY!$B$11:$G$1054,2,FALSE)</f>
        <v>Quadro You(M) 500/SiSy 30kg; EB21; ľavý</v>
      </c>
      <c r="BF61" s="22">
        <f>VLOOKUP(BD61,CENY!$B$11:$G$1054,3,FALSE)</f>
        <v>20</v>
      </c>
      <c r="BG61" s="22"/>
      <c r="BH61" s="23">
        <f>AY37</f>
        <v>0</v>
      </c>
      <c r="BI61" s="326">
        <f t="shared" si="5"/>
        <v>0</v>
      </c>
      <c r="BJ61" s="95">
        <f>VLOOKUP(BD61,CENY!$B$11:$M$2025,12,FALSE)</f>
        <v>11.163180000000001</v>
      </c>
      <c r="BK61" s="95">
        <f t="shared" si="6"/>
        <v>0</v>
      </c>
    </row>
    <row r="62" spans="47:63" ht="14.45" customHeight="1">
      <c r="AU62" s="20"/>
      <c r="AV62" s="21"/>
      <c r="AW62" s="22"/>
      <c r="AX62" s="22"/>
      <c r="AY62" s="23"/>
      <c r="AZ62" s="326" t="str">
        <f t="shared" ref="AZ62:AZ82" si="8">IF(AY62="","",IF($AW$4=1,AY62,0))</f>
        <v/>
      </c>
      <c r="BA62" s="95"/>
      <c r="BB62" s="95" t="str">
        <f t="shared" si="7"/>
        <v/>
      </c>
      <c r="BD62" s="319">
        <f>OBJ!B323</f>
        <v>9256873</v>
      </c>
      <c r="BE62" s="21" t="str">
        <f>VLOOKUP(BD62,CENY!$B$11:$G$1054,2,FALSE)</f>
        <v>Quadro You(M) 500/SiSy 30kg; EB21; pravý</v>
      </c>
      <c r="BF62" s="22">
        <f>VLOOKUP(BD62,CENY!$B$11:$G$1054,3,FALSE)</f>
        <v>20</v>
      </c>
      <c r="BG62" s="22"/>
      <c r="BH62" s="23">
        <f>AY37</f>
        <v>0</v>
      </c>
      <c r="BI62" s="326">
        <f t="shared" si="5"/>
        <v>0</v>
      </c>
      <c r="BJ62" s="95">
        <f>VLOOKUP(BD62,CENY!$B$11:$M$2025,12,FALSE)</f>
        <v>11.163180000000001</v>
      </c>
      <c r="BK62" s="95">
        <f t="shared" si="6"/>
        <v>0</v>
      </c>
    </row>
    <row r="63" spans="47:63" ht="14.45" customHeight="1">
      <c r="AU63" s="20"/>
      <c r="AV63" s="21"/>
      <c r="AW63" s="22"/>
      <c r="AX63" s="22"/>
      <c r="AY63" s="23"/>
      <c r="AZ63" s="326" t="str">
        <f t="shared" si="8"/>
        <v/>
      </c>
      <c r="BA63" s="95"/>
      <c r="BB63" s="95" t="str">
        <f t="shared" si="7"/>
        <v/>
      </c>
      <c r="BD63" s="319">
        <f>OBJ!B324</f>
        <v>9256876</v>
      </c>
      <c r="BE63" s="21" t="str">
        <f>VLOOKUP(BD63,CENY!$B$11:$G$1054,2,FALSE)</f>
        <v>Quadro You(M) 550/SiSy 30kg; EB21; ľavý</v>
      </c>
      <c r="BF63" s="22">
        <f>VLOOKUP(BD63,CENY!$B$11:$G$1054,3,FALSE)</f>
        <v>20</v>
      </c>
      <c r="BG63" s="22"/>
      <c r="BH63" s="23">
        <f>AY38</f>
        <v>0</v>
      </c>
      <c r="BI63" s="326">
        <f t="shared" si="5"/>
        <v>0</v>
      </c>
      <c r="BJ63" s="95">
        <f>VLOOKUP(BD63,CENY!$B$11:$M$2025,12,FALSE)</f>
        <v>11.38542</v>
      </c>
      <c r="BK63" s="95">
        <f t="shared" si="6"/>
        <v>0</v>
      </c>
    </row>
    <row r="64" spans="47:63" ht="14.45" customHeight="1">
      <c r="AU64" s="20"/>
      <c r="AV64" s="21"/>
      <c r="AW64" s="22"/>
      <c r="AX64" s="22"/>
      <c r="AY64" s="23"/>
      <c r="AZ64" s="326" t="str">
        <f t="shared" si="8"/>
        <v/>
      </c>
      <c r="BA64" s="95"/>
      <c r="BB64" s="95" t="str">
        <f t="shared" si="7"/>
        <v/>
      </c>
      <c r="BD64" s="319">
        <f>OBJ!B325</f>
        <v>9256877</v>
      </c>
      <c r="BE64" s="21" t="str">
        <f>VLOOKUP(BD64,CENY!$B$11:$G$1054,2,FALSE)</f>
        <v>Quadro You(M) 550/SiSy 30kg; EB21; pravý</v>
      </c>
      <c r="BF64" s="22">
        <f>VLOOKUP(BD64,CENY!$B$11:$G$1054,3,FALSE)</f>
        <v>20</v>
      </c>
      <c r="BG64" s="22"/>
      <c r="BH64" s="23">
        <f>AY38</f>
        <v>0</v>
      </c>
      <c r="BI64" s="326">
        <f t="shared" si="5"/>
        <v>0</v>
      </c>
      <c r="BJ64" s="95">
        <f>VLOOKUP(BD64,CENY!$B$11:$M$2025,12,FALSE)</f>
        <v>11.954689999999999</v>
      </c>
      <c r="BK64" s="95">
        <f t="shared" si="6"/>
        <v>0</v>
      </c>
    </row>
    <row r="65" spans="47:63" ht="14.45" customHeight="1">
      <c r="AU65" s="20"/>
      <c r="AV65" s="21"/>
      <c r="AW65" s="22"/>
      <c r="AX65" s="22"/>
      <c r="AY65" s="23"/>
      <c r="AZ65" s="326" t="str">
        <f t="shared" si="8"/>
        <v/>
      </c>
      <c r="BA65" s="95"/>
      <c r="BB65" s="95" t="str">
        <f t="shared" si="7"/>
        <v/>
      </c>
      <c r="BD65" s="319">
        <f>OBJ!B326</f>
        <v>9256880</v>
      </c>
      <c r="BE65" s="21" t="str">
        <f>VLOOKUP(BD65,CENY!$B$11:$G$1054,2,FALSE)</f>
        <v>Quadro You(M) 600/SiSy 25kg; EB21; ľavý</v>
      </c>
      <c r="BF65" s="22">
        <f>VLOOKUP(BD65,CENY!$B$11:$G$1054,3,FALSE)</f>
        <v>20</v>
      </c>
      <c r="BG65" s="22"/>
      <c r="BH65" s="23">
        <f>AY39</f>
        <v>0</v>
      </c>
      <c r="BI65" s="326">
        <f t="shared" si="5"/>
        <v>0</v>
      </c>
      <c r="BJ65" s="95">
        <f>VLOOKUP(BD65,CENY!$B$11:$M$2025,12,FALSE)</f>
        <v>12.187939999999999</v>
      </c>
      <c r="BK65" s="95">
        <f t="shared" si="6"/>
        <v>0</v>
      </c>
    </row>
    <row r="66" spans="47:63" ht="14.45" customHeight="1">
      <c r="AU66" s="20"/>
      <c r="AV66" s="21"/>
      <c r="AW66" s="22"/>
      <c r="AX66" s="22"/>
      <c r="AY66" s="23"/>
      <c r="AZ66" s="326" t="str">
        <f t="shared" si="8"/>
        <v/>
      </c>
      <c r="BA66" s="95"/>
      <c r="BB66" s="95" t="str">
        <f t="shared" si="7"/>
        <v/>
      </c>
      <c r="BD66" s="319">
        <f>OBJ!B327</f>
        <v>9256881</v>
      </c>
      <c r="BE66" s="21" t="str">
        <f>VLOOKUP(BD66,CENY!$B$11:$G$1054,2,FALSE)</f>
        <v>Quadro You(M) 600/SiSy 25kg; EB21; pravý</v>
      </c>
      <c r="BF66" s="22">
        <f>VLOOKUP(BD66,CENY!$B$11:$G$1054,3,FALSE)</f>
        <v>20</v>
      </c>
      <c r="BG66" s="22"/>
      <c r="BH66" s="23">
        <f>AY39</f>
        <v>0</v>
      </c>
      <c r="BI66" s="326">
        <f t="shared" si="5"/>
        <v>0</v>
      </c>
      <c r="BJ66" s="95">
        <f>VLOOKUP(BD66,CENY!$B$11:$M$2025,12,FALSE)</f>
        <v>12.187939999999999</v>
      </c>
      <c r="BK66" s="95">
        <f t="shared" si="6"/>
        <v>0</v>
      </c>
    </row>
    <row r="67" spans="47:63" ht="14.45" customHeight="1">
      <c r="AU67" s="20"/>
      <c r="AV67" s="21"/>
      <c r="AW67" s="22"/>
      <c r="AX67" s="22"/>
      <c r="AY67" s="23"/>
      <c r="AZ67" s="326" t="str">
        <f t="shared" si="8"/>
        <v/>
      </c>
      <c r="BA67" s="95"/>
      <c r="BB67" s="95" t="str">
        <f t="shared" si="7"/>
        <v/>
      </c>
      <c r="BD67" s="319"/>
      <c r="BE67" s="21"/>
      <c r="BF67" s="22"/>
      <c r="BG67" s="22"/>
      <c r="BH67" s="23"/>
      <c r="BI67" s="326" t="str">
        <f t="shared" si="5"/>
        <v/>
      </c>
      <c r="BJ67" s="95"/>
      <c r="BK67" s="95" t="str">
        <f t="shared" si="6"/>
        <v/>
      </c>
    </row>
    <row r="68" spans="47:63" ht="14.45" customHeight="1">
      <c r="AU68" s="20"/>
      <c r="AV68" s="21"/>
      <c r="AW68" s="22"/>
      <c r="AX68" s="22"/>
      <c r="AY68" s="23"/>
      <c r="AZ68" s="326" t="str">
        <f t="shared" si="8"/>
        <v/>
      </c>
      <c r="BA68" s="95"/>
      <c r="BB68" s="95" t="str">
        <f t="shared" si="7"/>
        <v/>
      </c>
      <c r="BD68" s="319">
        <f>OBJ!B214</f>
        <v>0</v>
      </c>
      <c r="BE68" s="21" t="e">
        <f>VLOOKUP(BD68,CENY!$B$11:$G$1054,2,FALSE)</f>
        <v>#N/A</v>
      </c>
      <c r="BF68" s="22" t="e">
        <f>VLOOKUP(BD68,CENY!$B$11:$G$1054,3,FALSE)</f>
        <v>#N/A</v>
      </c>
      <c r="BG68" s="22"/>
      <c r="BH68" s="23">
        <f>AY43</f>
        <v>0</v>
      </c>
      <c r="BI68" s="326">
        <f t="shared" si="5"/>
        <v>0</v>
      </c>
      <c r="BJ68" s="324" t="str">
        <f>IF(BD68=0,"",VLOOKUP(BD68,CENY!$B$11:$M$2025,12,FALSE))</f>
        <v/>
      </c>
      <c r="BK68" s="95" t="str">
        <f>IF(BJ68="","",BJ68*BH68)</f>
        <v/>
      </c>
    </row>
    <row r="69" spans="47:63" ht="14.45" customHeight="1">
      <c r="AU69" s="20"/>
      <c r="AV69" s="21"/>
      <c r="AW69" s="22"/>
      <c r="AX69" s="22"/>
      <c r="AY69" s="23"/>
      <c r="AZ69" s="326" t="str">
        <f t="shared" si="8"/>
        <v/>
      </c>
      <c r="BA69" s="95"/>
      <c r="BB69" s="95" t="str">
        <f t="shared" si="7"/>
        <v/>
      </c>
      <c r="BD69" s="319"/>
      <c r="BE69" s="21"/>
      <c r="BF69" s="22"/>
      <c r="BG69" s="22"/>
      <c r="BH69" s="23"/>
      <c r="BI69" s="326" t="str">
        <f t="shared" si="5"/>
        <v/>
      </c>
      <c r="BJ69" s="95"/>
      <c r="BK69" s="95" t="str">
        <f t="shared" si="6"/>
        <v/>
      </c>
    </row>
    <row r="70" spans="47:63" ht="14.45" customHeight="1">
      <c r="AU70" s="319">
        <f>OBJ!B361</f>
        <v>45167</v>
      </c>
      <c r="AV70" s="21" t="str">
        <f>VLOOKUP(AU70,CENY!$B$11:$G$1054,2,FALSE)</f>
        <v>Skrutka s polgul.hlavou 3,5x12mm</v>
      </c>
      <c r="AW70" s="22">
        <f>VLOOKUP(AU70,CENY!$B$11:$G$1054,3,FALSE)</f>
        <v>200</v>
      </c>
      <c r="AX70" s="22"/>
      <c r="AY70" s="23">
        <f>SUMPRODUCT(AX5:AX11,AY5:AY11)</f>
        <v>0</v>
      </c>
      <c r="AZ70" s="326">
        <f t="shared" si="8"/>
        <v>0</v>
      </c>
      <c r="BA70" s="95">
        <f>VLOOKUP(AU70,CENY!$B$11:$M$2025,12,FALSE)</f>
        <v>3.4759999999999999E-2</v>
      </c>
      <c r="BB70" s="95">
        <f t="shared" si="7"/>
        <v>0</v>
      </c>
      <c r="BC70" s="86" t="s">
        <v>396</v>
      </c>
      <c r="BD70" s="319">
        <f>OBJ!B361</f>
        <v>45167</v>
      </c>
      <c r="BE70" s="21" t="str">
        <f>VLOOKUP(BD70,CENY!$B$11:$G$1054,2,FALSE)</f>
        <v>Skrutka s polgul.hlavou 3,5x12mm</v>
      </c>
      <c r="BF70" s="22">
        <f>VLOOKUP(BD70,CENY!$B$11:$G$1054,3,FALSE)</f>
        <v>200</v>
      </c>
      <c r="BG70" s="22"/>
      <c r="BH70" s="23">
        <f>AY70</f>
        <v>0</v>
      </c>
      <c r="BI70" s="326">
        <f>IF(BH70="","",IF($AW$4=0,BH70,0))</f>
        <v>0</v>
      </c>
      <c r="BJ70" s="95">
        <f>VLOOKUP(BD70,CENY!$B$11:$M$2025,12,FALSE)</f>
        <v>3.4759999999999999E-2</v>
      </c>
      <c r="BK70" s="95">
        <f>IF(BJ70="","",BJ70*BH70)</f>
        <v>0</v>
      </c>
    </row>
    <row r="71" spans="47:63" ht="14.45" customHeight="1">
      <c r="AU71" s="319">
        <f>OBJ!B362</f>
        <v>45168</v>
      </c>
      <c r="AV71" s="21" t="str">
        <f>VLOOKUP(AU71,CENY!$B$11:$G$1054,2,FALSE)</f>
        <v>Skrutka s polgul.hlavou 3,5x20mm</v>
      </c>
      <c r="AW71" s="22">
        <f>VLOOKUP(AU71,CENY!$B$11:$G$1054,3,FALSE)</f>
        <v>200</v>
      </c>
      <c r="AX71" s="22"/>
      <c r="AY71" s="360">
        <v>0</v>
      </c>
      <c r="AZ71" s="326">
        <f t="shared" si="8"/>
        <v>0</v>
      </c>
      <c r="BA71" s="95">
        <f>VLOOKUP(AU71,CENY!$B$11:$M$2025,12,FALSE)</f>
        <v>4.9860000000000002E-2</v>
      </c>
      <c r="BB71" s="95">
        <f t="shared" si="7"/>
        <v>0</v>
      </c>
      <c r="BC71" s="86" t="s">
        <v>397</v>
      </c>
      <c r="BD71" s="319">
        <f>OBJ!B362</f>
        <v>45168</v>
      </c>
      <c r="BE71" s="21" t="str">
        <f>VLOOKUP(BD71,CENY!$B$11:$G$1054,2,FALSE)</f>
        <v>Skrutka s polgul.hlavou 3,5x20mm</v>
      </c>
      <c r="BF71" s="22">
        <f>VLOOKUP(BD71,CENY!$B$11:$G$1054,3,FALSE)</f>
        <v>200</v>
      </c>
      <c r="BG71" s="22"/>
      <c r="BH71" s="360">
        <f>IF(FORM!$AM$8=FORM!$AU$10,BH20*3,0)</f>
        <v>0</v>
      </c>
      <c r="BI71" s="326">
        <f>IF(BH71="","",IF($AW$4=0,BH71,0))</f>
        <v>0</v>
      </c>
      <c r="BJ71" s="95">
        <f>VLOOKUP(BD71,CENY!$B$11:$M$2025,12,FALSE)</f>
        <v>4.9860000000000002E-2</v>
      </c>
      <c r="BK71" s="95">
        <f>IF(BJ71="","",BJ71*BH71)</f>
        <v>0</v>
      </c>
    </row>
    <row r="72" spans="47:63" ht="14.45" customHeight="1">
      <c r="AU72" s="319">
        <f>OBJ!B363</f>
        <v>9278224</v>
      </c>
      <c r="AV72" s="21" t="str">
        <f>VLOOKUP(AU72,CENY!$B$11:$G$1054,2,FALSE)</f>
        <v>Skrutka s polgul.hlavou 3,5x30mm</v>
      </c>
      <c r="AW72" s="22">
        <f>VLOOKUP(AU72,CENY!$B$11:$G$1054,3,FALSE)</f>
        <v>200</v>
      </c>
      <c r="AX72" s="22"/>
      <c r="AY72" s="360">
        <v>0</v>
      </c>
      <c r="AZ72" s="326">
        <f t="shared" si="8"/>
        <v>0</v>
      </c>
      <c r="BA72" s="95">
        <f>VLOOKUP(AU72,CENY!$B$11:$M$2025,12,FALSE)</f>
        <v>4.299E-2</v>
      </c>
      <c r="BB72" s="95">
        <f t="shared" si="7"/>
        <v>0</v>
      </c>
      <c r="BC72" s="86" t="s">
        <v>398</v>
      </c>
      <c r="BD72" s="319">
        <f>OBJ!B363</f>
        <v>9278224</v>
      </c>
      <c r="BE72" s="21" t="str">
        <f>VLOOKUP(BD72,CENY!$B$11:$G$1054,2,FALSE)</f>
        <v>Skrutka s polgul.hlavou 3,5x30mm</v>
      </c>
      <c r="BF72" s="22">
        <f>VLOOKUP(BD72,CENY!$B$11:$G$1054,3,FALSE)</f>
        <v>200</v>
      </c>
      <c r="BG72" s="22"/>
      <c r="BH72" s="360">
        <f>2*SUM(BH5:BH18)</f>
        <v>0</v>
      </c>
      <c r="BI72" s="326">
        <f>IF(BH72="","",IF($AW$4=0,BH72,0))</f>
        <v>0</v>
      </c>
      <c r="BJ72" s="95">
        <f>VLOOKUP(BD72,CENY!$B$11:$M$2025,12,FALSE)</f>
        <v>4.299E-2</v>
      </c>
      <c r="BK72" s="95">
        <f>IF(BJ72="","",BJ72*BH72)</f>
        <v>0</v>
      </c>
    </row>
    <row r="73" spans="47:63" ht="14.45" customHeight="1">
      <c r="AU73" s="319">
        <f>OBJ!B364</f>
        <v>9279197</v>
      </c>
      <c r="AV73" s="21" t="str">
        <f>VLOOKUP(AU73,CENY!$B$11:$G$1054,2,FALSE)</f>
        <v>Skrutka s polgul.hlavou M3,5x12mm</v>
      </c>
      <c r="AW73" s="22">
        <f>VLOOKUP(AU73,CENY!$B$11:$G$1054,3,FALSE)</f>
        <v>1000</v>
      </c>
      <c r="AX73" s="22"/>
      <c r="AY73" s="68">
        <v>0</v>
      </c>
      <c r="AZ73" s="326">
        <f t="shared" si="8"/>
        <v>0</v>
      </c>
      <c r="BA73" s="95" t="e">
        <f>VLOOKUP(AU73,CENY!$B$11:$M$2025,12,FALSE)</f>
        <v>#N/A</v>
      </c>
      <c r="BB73" s="95" t="e">
        <f t="shared" si="7"/>
        <v>#N/A</v>
      </c>
      <c r="BC73" s="86" t="s">
        <v>399</v>
      </c>
      <c r="BD73" s="319">
        <f>OBJ!B364</f>
        <v>9279197</v>
      </c>
      <c r="BE73" s="21" t="str">
        <f>VLOOKUP(BD73,CENY!$B$11:$G$1054,2,FALSE)</f>
        <v>Skrutka s polgul.hlavou M3,5x12mm</v>
      </c>
      <c r="BF73" s="22">
        <f>VLOOKUP(BD73,CENY!$B$11:$G$1054,3,FALSE)</f>
        <v>1000</v>
      </c>
      <c r="BG73" s="22"/>
      <c r="BH73" s="68">
        <f>AY73</f>
        <v>0</v>
      </c>
      <c r="BI73" s="326">
        <f>IF(BH73="","",IF($AW$4=0,BH73,0))</f>
        <v>0</v>
      </c>
      <c r="BJ73" s="95" t="e">
        <f>VLOOKUP(BD73,CENY!$B$11:$M$2025,12,FALSE)</f>
        <v>#N/A</v>
      </c>
      <c r="BK73" s="95" t="e">
        <f>IF(BJ73="","",BJ73*BH73)</f>
        <v>#N/A</v>
      </c>
    </row>
    <row r="74" spans="47:63" ht="14.45" customHeight="1">
      <c r="AU74" s="319">
        <f>OBJ!B365</f>
        <v>9137114</v>
      </c>
      <c r="AV74" s="21" t="str">
        <f>VLOOKUP(AU74,CENY!$B$11:$G$1054,2,FALSE)</f>
        <v>EURO-skrutka  6,0x14mm / niklovaná</v>
      </c>
      <c r="AW74" s="22">
        <f>VLOOKUP(AU74,CENY!$B$11:$G$1054,3,FALSE)</f>
        <v>200</v>
      </c>
      <c r="AX74" s="22"/>
      <c r="AY74" s="23">
        <f>SUMPRODUCT(AX21:AX39,AY21:AY39)</f>
        <v>0</v>
      </c>
      <c r="AZ74" s="326">
        <f t="shared" si="8"/>
        <v>0</v>
      </c>
      <c r="BA74" s="95">
        <f>VLOOKUP(AU74,CENY!$B$11:$M$2025,12,FALSE)</f>
        <v>7.7280000000000001E-2</v>
      </c>
      <c r="BB74" s="95">
        <f t="shared" si="7"/>
        <v>0</v>
      </c>
      <c r="BC74" s="86" t="s">
        <v>400</v>
      </c>
      <c r="BD74" s="319">
        <f>OBJ!B365</f>
        <v>9137114</v>
      </c>
      <c r="BE74" s="21" t="str">
        <f>VLOOKUP(BD74,CENY!$B$11:$G$1054,2,FALSE)</f>
        <v>EURO-skrutka  6,0x14mm / niklovaná</v>
      </c>
      <c r="BF74" s="22">
        <f>VLOOKUP(BD74,CENY!$B$11:$G$1054,3,FALSE)</f>
        <v>200</v>
      </c>
      <c r="BG74" s="22"/>
      <c r="BH74" s="23">
        <f>AY74</f>
        <v>0</v>
      </c>
      <c r="BI74" s="326">
        <f>IF(BH74="","",IF($AW$4=0,BH74,0))</f>
        <v>0</v>
      </c>
      <c r="BJ74" s="95">
        <f>VLOOKUP(BD74,CENY!$B$11:$M$2025,12,FALSE)</f>
        <v>7.7280000000000001E-2</v>
      </c>
      <c r="BK74" s="95">
        <f>IF(BJ74="","",BJ74*BH74)</f>
        <v>0</v>
      </c>
    </row>
    <row r="75" spans="47:63" ht="14.45" customHeight="1">
      <c r="AU75" s="20"/>
      <c r="AV75" s="21"/>
      <c r="AW75" s="22"/>
      <c r="AX75" s="22"/>
      <c r="AY75" s="23"/>
      <c r="AZ75" s="326" t="str">
        <f t="shared" si="8"/>
        <v/>
      </c>
      <c r="BA75" s="95"/>
      <c r="BB75" s="95" t="str">
        <f t="shared" si="7"/>
        <v/>
      </c>
      <c r="BD75" s="319"/>
      <c r="BE75" s="21"/>
      <c r="BF75" s="22"/>
      <c r="BG75" s="22"/>
      <c r="BH75" s="23"/>
      <c r="BI75" s="326"/>
      <c r="BJ75" s="95"/>
      <c r="BK75" s="95"/>
    </row>
    <row r="76" spans="47:63" ht="14.45" customHeight="1">
      <c r="AU76" s="20"/>
      <c r="AV76" s="21"/>
      <c r="AW76" s="22"/>
      <c r="AX76" s="22"/>
      <c r="AY76" s="23"/>
      <c r="AZ76" s="326" t="str">
        <f t="shared" si="8"/>
        <v/>
      </c>
      <c r="BA76" s="95"/>
      <c r="BB76" s="95" t="str">
        <f t="shared" si="7"/>
        <v/>
      </c>
      <c r="BD76" s="319"/>
      <c r="BE76" s="21"/>
      <c r="BF76" s="22"/>
      <c r="BG76" s="22"/>
      <c r="BH76" s="23"/>
      <c r="BI76" s="326"/>
      <c r="BJ76" s="95"/>
      <c r="BK76" s="95"/>
    </row>
    <row r="77" spans="47:63" ht="14.45" customHeight="1">
      <c r="AU77" s="20"/>
      <c r="AV77" s="21"/>
      <c r="AW77" s="22"/>
      <c r="AX77" s="22"/>
      <c r="AY77" s="23"/>
      <c r="AZ77" s="326" t="str">
        <f t="shared" si="8"/>
        <v/>
      </c>
      <c r="BA77" s="95"/>
      <c r="BB77" s="95" t="str">
        <f t="shared" si="7"/>
        <v/>
      </c>
      <c r="BD77" s="319"/>
      <c r="BE77" s="21"/>
      <c r="BF77" s="22"/>
      <c r="BG77" s="22"/>
      <c r="BH77" s="23"/>
      <c r="BI77" s="326"/>
      <c r="BJ77" s="95"/>
      <c r="BK77" s="95"/>
    </row>
    <row r="78" spans="47:63" ht="14.45" customHeight="1">
      <c r="AU78" s="20"/>
      <c r="AV78" s="21"/>
      <c r="AW78" s="22"/>
      <c r="AX78" s="22"/>
      <c r="AY78" s="23"/>
      <c r="AZ78" s="326" t="str">
        <f t="shared" si="8"/>
        <v/>
      </c>
      <c r="BA78" s="95"/>
      <c r="BB78" s="95" t="str">
        <f t="shared" si="7"/>
        <v/>
      </c>
      <c r="BD78" s="319"/>
      <c r="BE78" s="21"/>
      <c r="BF78" s="22"/>
      <c r="BG78" s="22"/>
      <c r="BH78" s="23"/>
      <c r="BI78" s="326"/>
      <c r="BJ78" s="95"/>
      <c r="BK78" s="95"/>
    </row>
    <row r="79" spans="47:63" ht="14.45" customHeight="1">
      <c r="AU79" s="20"/>
      <c r="AV79" s="21"/>
      <c r="AW79" s="22"/>
      <c r="AX79" s="22"/>
      <c r="AY79" s="23"/>
      <c r="AZ79" s="326" t="str">
        <f t="shared" si="8"/>
        <v/>
      </c>
      <c r="BA79" s="95"/>
      <c r="BB79" s="95" t="str">
        <f t="shared" si="7"/>
        <v/>
      </c>
      <c r="BD79" s="319"/>
      <c r="BE79" s="21"/>
      <c r="BF79" s="22"/>
      <c r="BG79" s="22"/>
      <c r="BH79" s="23"/>
      <c r="BI79" s="326" t="str">
        <f t="shared" si="5"/>
        <v/>
      </c>
      <c r="BJ79" s="95"/>
      <c r="BK79" s="95" t="str">
        <f t="shared" si="6"/>
        <v/>
      </c>
    </row>
    <row r="80" spans="47:63" ht="14.45" customHeight="1">
      <c r="AU80" s="20"/>
      <c r="AV80" s="21"/>
      <c r="AW80" s="22"/>
      <c r="AX80" s="22"/>
      <c r="AY80" s="23"/>
      <c r="AZ80" s="326" t="str">
        <f t="shared" si="8"/>
        <v/>
      </c>
      <c r="BA80" s="95"/>
      <c r="BB80" s="95" t="str">
        <f t="shared" si="7"/>
        <v/>
      </c>
      <c r="BD80" s="319"/>
      <c r="BE80" s="21"/>
      <c r="BF80" s="22"/>
      <c r="BG80" s="22"/>
      <c r="BH80" s="23"/>
      <c r="BI80" s="326" t="str">
        <f t="shared" si="5"/>
        <v/>
      </c>
      <c r="BJ80" s="95"/>
      <c r="BK80" s="95" t="str">
        <f t="shared" si="6"/>
        <v/>
      </c>
    </row>
    <row r="81" spans="47:63" ht="14.45" customHeight="1">
      <c r="AU81" s="20"/>
      <c r="AV81" s="21"/>
      <c r="AW81" s="22"/>
      <c r="AX81" s="22"/>
      <c r="AY81" s="23"/>
      <c r="AZ81" s="326" t="str">
        <f t="shared" si="8"/>
        <v/>
      </c>
      <c r="BA81" s="95"/>
      <c r="BB81" s="95" t="str">
        <f t="shared" si="7"/>
        <v/>
      </c>
      <c r="BD81" s="319"/>
      <c r="BE81" s="21"/>
      <c r="BF81" s="22"/>
      <c r="BG81" s="22"/>
      <c r="BH81" s="23"/>
      <c r="BI81" s="326" t="str">
        <f>IF(BH81="","",IF($AW$4=0,BH81,0))</f>
        <v/>
      </c>
      <c r="BJ81" s="95"/>
      <c r="BK81" s="95" t="str">
        <f>IF(BJ81="","",BJ81*BH81)</f>
        <v/>
      </c>
    </row>
    <row r="82" spans="47:63" ht="14.45" customHeight="1">
      <c r="AU82" s="20"/>
      <c r="AV82" s="21"/>
      <c r="AW82" s="22"/>
      <c r="AX82" s="22"/>
      <c r="AY82" s="23"/>
      <c r="AZ82" s="326" t="str">
        <f t="shared" si="8"/>
        <v/>
      </c>
      <c r="BA82" s="95"/>
      <c r="BB82" s="95" t="str">
        <f t="shared" si="7"/>
        <v/>
      </c>
      <c r="BD82" s="319"/>
      <c r="BE82" s="21"/>
      <c r="BF82" s="22"/>
      <c r="BG82" s="22"/>
      <c r="BH82" s="23"/>
      <c r="BI82" s="326" t="str">
        <f>IF(BH82="","",IF($AW$4=0,BH82,0))</f>
        <v/>
      </c>
      <c r="BJ82" s="95"/>
      <c r="BK82" s="95" t="str">
        <f>IF(BJ82="","",BJ82*BH82)</f>
        <v/>
      </c>
    </row>
    <row r="83" spans="47:63" ht="14.45" customHeight="1"/>
    <row r="84" spans="47:63" ht="14.45" customHeight="1"/>
    <row r="85" spans="47:63" ht="14.45" customHeight="1"/>
    <row r="86" spans="47:63" ht="14.45" customHeight="1"/>
  </sheetData>
  <sheetProtection algorithmName="SHA-512" hashValue="/ptzo+A7SKB1esNl5Am4L86YIJn9LIbZaZdtjn1sWQXMVXo4Si+Wfkfrlx9VaasSalJQcUQk7UEEX3xY3MtGIg==" saltValue="WLgn4Cy8StfiA7Q4YF4s0w==" spinCount="100000" sheet="1" objects="1" scenarios="1"/>
  <mergeCells count="73">
    <mergeCell ref="U2:Y2"/>
    <mergeCell ref="AA2:AE2"/>
    <mergeCell ref="AI2:AM2"/>
    <mergeCell ref="AO2:AR2"/>
    <mergeCell ref="B6:E6"/>
    <mergeCell ref="F6:K6"/>
    <mergeCell ref="O2:S2"/>
    <mergeCell ref="B7:E7"/>
    <mergeCell ref="F7:K7"/>
    <mergeCell ref="B8:E8"/>
    <mergeCell ref="F8:K8"/>
    <mergeCell ref="B2:E2"/>
    <mergeCell ref="G2:K2"/>
    <mergeCell ref="B9:E9"/>
    <mergeCell ref="F9:K9"/>
    <mergeCell ref="B10:E10"/>
    <mergeCell ref="F10:K10"/>
    <mergeCell ref="B11:E11"/>
    <mergeCell ref="F11:K11"/>
    <mergeCell ref="B12:E12"/>
    <mergeCell ref="F12:I12"/>
    <mergeCell ref="J12:K12"/>
    <mergeCell ref="B13:E13"/>
    <mergeCell ref="F13:I13"/>
    <mergeCell ref="J13:K13"/>
    <mergeCell ref="B19:G19"/>
    <mergeCell ref="H19:L19"/>
    <mergeCell ref="M19:N19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20:G20"/>
    <mergeCell ref="H20:L20"/>
    <mergeCell ref="M20:N20"/>
    <mergeCell ref="O20:P20"/>
    <mergeCell ref="Q20:R20"/>
    <mergeCell ref="Y20:Z20"/>
    <mergeCell ref="AA20:AB20"/>
    <mergeCell ref="AC20:AD20"/>
    <mergeCell ref="U19:V19"/>
    <mergeCell ref="W19:X19"/>
    <mergeCell ref="Y19:Z19"/>
    <mergeCell ref="AA19:AB19"/>
    <mergeCell ref="AC19:AD19"/>
    <mergeCell ref="B25:G25"/>
    <mergeCell ref="H25:L25"/>
    <mergeCell ref="M25:N25"/>
    <mergeCell ref="S25:T25"/>
    <mergeCell ref="AE20:AF20"/>
    <mergeCell ref="O24:P24"/>
    <mergeCell ref="Q24:R24"/>
    <mergeCell ref="S24:T24"/>
    <mergeCell ref="U24:V24"/>
    <mergeCell ref="W24:X24"/>
    <mergeCell ref="Y24:Z24"/>
    <mergeCell ref="AA24:AB24"/>
    <mergeCell ref="AC24:AD24"/>
    <mergeCell ref="S20:T20"/>
    <mergeCell ref="U20:V20"/>
    <mergeCell ref="W20:X20"/>
    <mergeCell ref="U25:V25"/>
    <mergeCell ref="W25:X25"/>
    <mergeCell ref="Y25:Z25"/>
    <mergeCell ref="AA25:AB25"/>
    <mergeCell ref="AC25:AD25"/>
  </mergeCells>
  <conditionalFormatting sqref="AY5:AY34 AZ5:AZ69 BH5:BH20 BH22:BH66 BI5:BI69 BH69 BH75:BI82 AZ75:AZ82">
    <cfRule type="cellIs" dxfId="307" priority="27" stopIfTrue="1" operator="equal">
      <formula>0</formula>
    </cfRule>
  </conditionalFormatting>
  <conditionalFormatting sqref="O17:AF17 S19:T19 W20:AF20 S25:T25">
    <cfRule type="expression" dxfId="306" priority="26" stopIfTrue="1">
      <formula>$AW$4=0</formula>
    </cfRule>
  </conditionalFormatting>
  <conditionalFormatting sqref="AY42 AY44:AY46">
    <cfRule type="cellIs" dxfId="305" priority="25" stopIfTrue="1" operator="equal">
      <formula>0</formula>
    </cfRule>
  </conditionalFormatting>
  <conditionalFormatting sqref="AY47">
    <cfRule type="cellIs" dxfId="304" priority="24" stopIfTrue="1" operator="equal">
      <formula>0</formula>
    </cfRule>
  </conditionalFormatting>
  <conditionalFormatting sqref="AY51:AY60">
    <cfRule type="cellIs" dxfId="303" priority="23" stopIfTrue="1" operator="equal">
      <formula>0</formula>
    </cfRule>
  </conditionalFormatting>
  <conditionalFormatting sqref="BH21">
    <cfRule type="cellIs" dxfId="302" priority="22" stopIfTrue="1" operator="equal">
      <formula>0</formula>
    </cfRule>
  </conditionalFormatting>
  <conditionalFormatting sqref="AY35:AY40">
    <cfRule type="cellIs" dxfId="301" priority="21" stopIfTrue="1" operator="equal">
      <formula>0</formula>
    </cfRule>
  </conditionalFormatting>
  <conditionalFormatting sqref="AY41">
    <cfRule type="cellIs" dxfId="300" priority="20" stopIfTrue="1" operator="equal">
      <formula>0</formula>
    </cfRule>
  </conditionalFormatting>
  <conditionalFormatting sqref="AY48:AY50">
    <cfRule type="cellIs" dxfId="299" priority="19" stopIfTrue="1" operator="equal">
      <formula>0</formula>
    </cfRule>
  </conditionalFormatting>
  <conditionalFormatting sqref="BH67">
    <cfRule type="cellIs" dxfId="298" priority="18" stopIfTrue="1" operator="equal">
      <formula>0</formula>
    </cfRule>
  </conditionalFormatting>
  <conditionalFormatting sqref="AY61:AY69 AY75:AY82">
    <cfRule type="cellIs" dxfId="297" priority="16" stopIfTrue="1" operator="equal">
      <formula>0</formula>
    </cfRule>
  </conditionalFormatting>
  <conditionalFormatting sqref="AY43">
    <cfRule type="cellIs" dxfId="296" priority="14" stopIfTrue="1" operator="equal">
      <formula>0</formula>
    </cfRule>
  </conditionalFormatting>
  <conditionalFormatting sqref="BH68">
    <cfRule type="cellIs" dxfId="295" priority="13" stopIfTrue="1" operator="equal">
      <formula>0</formula>
    </cfRule>
  </conditionalFormatting>
  <conditionalFormatting sqref="F13:K13">
    <cfRule type="expression" dxfId="294" priority="12" stopIfTrue="1">
      <formula>$AW$4=1</formula>
    </cfRule>
  </conditionalFormatting>
  <conditionalFormatting sqref="U19:AD19">
    <cfRule type="expression" dxfId="293" priority="11" stopIfTrue="1">
      <formula>$AW$4=0</formula>
    </cfRule>
  </conditionalFormatting>
  <conditionalFormatting sqref="AC25:AD25">
    <cfRule type="expression" dxfId="292" priority="6" stopIfTrue="1">
      <formula>$AW$4=0</formula>
    </cfRule>
  </conditionalFormatting>
  <conditionalFormatting sqref="U25:V25">
    <cfRule type="expression" dxfId="291" priority="10" stopIfTrue="1">
      <formula>$AW$4=0</formula>
    </cfRule>
  </conditionalFormatting>
  <conditionalFormatting sqref="W25:X25">
    <cfRule type="expression" dxfId="290" priority="9" stopIfTrue="1">
      <formula>$AW$4=0</formula>
    </cfRule>
  </conditionalFormatting>
  <conditionalFormatting sqref="Y25:Z25">
    <cfRule type="expression" dxfId="289" priority="8" stopIfTrue="1">
      <formula>$AW$4=0</formula>
    </cfRule>
  </conditionalFormatting>
  <conditionalFormatting sqref="AA25:AB25">
    <cfRule type="expression" dxfId="288" priority="7" stopIfTrue="1">
      <formula>$AW$4=0</formula>
    </cfRule>
  </conditionalFormatting>
  <conditionalFormatting sqref="BH71:BH72">
    <cfRule type="cellIs" dxfId="287" priority="1" stopIfTrue="1" operator="equal">
      <formula>0</formula>
    </cfRule>
  </conditionalFormatting>
  <conditionalFormatting sqref="AZ70:AZ74">
    <cfRule type="cellIs" dxfId="286" priority="5" stopIfTrue="1" operator="equal">
      <formula>0</formula>
    </cfRule>
  </conditionalFormatting>
  <conditionalFormatting sqref="AY70:AY74">
    <cfRule type="cellIs" dxfId="285" priority="4" stopIfTrue="1" operator="equal">
      <formula>0</formula>
    </cfRule>
  </conditionalFormatting>
  <conditionalFormatting sqref="BH70 BH73:BH74">
    <cfRule type="cellIs" dxfId="284" priority="3" stopIfTrue="1" operator="equal">
      <formula>0</formula>
    </cfRule>
  </conditionalFormatting>
  <conditionalFormatting sqref="BI70:BI74">
    <cfRule type="cellIs" dxfId="283" priority="2" stopIfTrue="1" operator="equal">
      <formula>0</formula>
    </cfRule>
  </conditionalFormatting>
  <hyperlinks>
    <hyperlink ref="M4" location="MENU!A1" display="MENU!A1" xr:uid="{00000000-0004-0000-1300-000000000000}"/>
    <hyperlink ref="M10" location="OBJ!A1" display="OBJ!A1" xr:uid="{00000000-0004-0000-1300-000001000000}"/>
    <hyperlink ref="M9" location="suhrn!A1" display="suhrn!A1" xr:uid="{00000000-0004-0000-1300-000002000000}"/>
    <hyperlink ref="O2:S2" location="MENU!A5" display="MENU!A5" xr:uid="{00000000-0004-0000-1300-000003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59">
    <tabColor rgb="FF92D050"/>
  </sheetPr>
  <dimension ref="A1:BK159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51.37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3" width="9" style="86" hidden="1" customWidth="1"/>
    <col min="54" max="54" width="9.125" style="86" hidden="1" customWidth="1"/>
    <col min="55" max="55" width="2.625" style="86" hidden="1" customWidth="1"/>
    <col min="56" max="56" width="9" style="86" hidden="1" customWidth="1"/>
    <col min="57" max="57" width="49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212">
        <f>AQ18</f>
        <v>1</v>
      </c>
      <c r="AZ1" s="367" t="s">
        <v>593</v>
      </c>
      <c r="BA1" s="367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  <c r="AY2" s="212">
        <f>AQ21</f>
        <v>0</v>
      </c>
      <c r="AZ2" s="367" t="s">
        <v>591</v>
      </c>
      <c r="BA2" s="367"/>
    </row>
    <row r="3" spans="1:63" ht="12.95" customHeight="1">
      <c r="AV3" s="143"/>
      <c r="AW3" s="143"/>
      <c r="AY3" s="212">
        <f>AQ24</f>
        <v>2</v>
      </c>
      <c r="AZ3" s="367" t="s">
        <v>594</v>
      </c>
      <c r="BA3" s="367"/>
    </row>
    <row r="4" spans="1:63" ht="23.1" customHeight="1">
      <c r="A4" s="89"/>
      <c r="B4" s="93" t="str">
        <f>verze!E206&amp;" AVANTECH YOU  101 / 187"</f>
        <v>Zásuvka AVANTECH YOU  101 /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AY4" s="212">
        <f>AQ27</f>
        <v>0</v>
      </c>
      <c r="AZ4" s="367" t="s">
        <v>592</v>
      </c>
      <c r="BA4" s="367"/>
      <c r="BB4" s="322" t="e">
        <f>SUM(BB5:BB1007)</f>
        <v>#N/A</v>
      </c>
      <c r="BD4" s="94" t="s">
        <v>34</v>
      </c>
      <c r="BK4" s="322" t="e">
        <f>SUM(BK5:BK1009)</f>
        <v>#N/A</v>
      </c>
    </row>
    <row r="5" spans="1:63" ht="14.45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68"/>
      <c r="AZ5" s="326" t="str">
        <f>IF(AY5="","",IF($AW$4=1,AY5,0))</f>
        <v/>
      </c>
      <c r="BA5" s="95">
        <f>VLOOKUP(AU5,CENY!$B$11:$M$2025,12,FALSE)</f>
        <v>26.248429999999999</v>
      </c>
      <c r="BB5" s="95">
        <f t="shared" ref="BB5:BB74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68"/>
      <c r="BI5" s="326" t="str">
        <f>IF(BH5="","",IF($AW$4=0,BH5,0))</f>
        <v/>
      </c>
      <c r="BJ5" s="95">
        <f>VLOOKUP(BD5,CENY!$B$11:$M$2025,12,FALSE)</f>
        <v>10.00929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387</v>
      </c>
      <c r="G6" s="566"/>
      <c r="H6" s="566"/>
      <c r="I6" s="566"/>
      <c r="J6" s="566"/>
      <c r="K6" s="566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68"/>
      <c r="AZ6" s="326" t="str">
        <f t="shared" ref="AZ6:AZ75" si="1">IF(AY6="","",IF($AW$4=1,AY6,0))</f>
        <v/>
      </c>
      <c r="BA6" s="95">
        <f>VLOOKUP(AU6,CENY!$B$11:$M$2025,12,FALSE)</f>
        <v>26.467459999999999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68"/>
      <c r="BI6" s="326" t="str">
        <f t="shared" ref="BI6:BI83" si="2">IF(BH6="","",IF($AW$4=0,BH6,0))</f>
        <v/>
      </c>
      <c r="BJ6" s="95">
        <f>VLOOKUP(BD6,CENY!$B$11:$M$2025,12,FALSE)</f>
        <v>10.00929</v>
      </c>
      <c r="BK6" s="95">
        <f t="shared" ref="BK6:BK83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68"/>
      <c r="AZ7" s="326" t="str">
        <f t="shared" si="1"/>
        <v/>
      </c>
      <c r="BA7" s="95">
        <f>VLOOKUP(AU7,CENY!$B$11:$M$2025,12,FALSE)</f>
        <v>26.833570000000002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68"/>
      <c r="BI7" s="326" t="str">
        <f t="shared" si="2"/>
        <v/>
      </c>
      <c r="BJ7" s="95">
        <f>VLOOKUP(BD7,CENY!$B$11:$M$2025,12,FALSE)</f>
        <v>10.12106</v>
      </c>
      <c r="BK7" s="95">
        <f t="shared" si="3"/>
        <v>0</v>
      </c>
    </row>
    <row r="8" spans="1:63" ht="14.45" customHeight="1" thickBo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68"/>
      <c r="AZ8" s="326" t="str">
        <f t="shared" si="1"/>
        <v/>
      </c>
      <c r="BA8" s="95">
        <f>VLOOKUP(AU8,CENY!$B$11:$M$2025,12,FALSE)</f>
        <v>27.19903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68"/>
      <c r="BI8" s="326" t="str">
        <f t="shared" si="2"/>
        <v/>
      </c>
      <c r="BJ8" s="95">
        <f>VLOOKUP(BD8,CENY!$B$11:$M$2025,12,FALSE)</f>
        <v>10.12106</v>
      </c>
      <c r="BK8" s="95">
        <f t="shared" si="3"/>
        <v>0</v>
      </c>
    </row>
    <row r="9" spans="1:63" ht="14.45" customHeight="1" thickTop="1">
      <c r="B9" s="552"/>
      <c r="C9" s="560"/>
      <c r="D9" s="560"/>
      <c r="E9" s="561"/>
      <c r="F9" s="562"/>
      <c r="G9" s="563"/>
      <c r="H9" s="563"/>
      <c r="I9" s="563"/>
      <c r="J9" s="563"/>
      <c r="K9" s="564"/>
      <c r="AK9" s="587" t="str">
        <f>verze!E160</f>
        <v>Je nutné natypovať šírky čiel ?</v>
      </c>
      <c r="AL9" s="588"/>
      <c r="AM9" s="588"/>
      <c r="AN9" s="588"/>
      <c r="AO9" s="588"/>
      <c r="AP9" s="589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SUM(AY1:AY2)*(W20+W22+W28)</f>
        <v>0</v>
      </c>
      <c r="AZ9" s="326">
        <f t="shared" si="1"/>
        <v>0</v>
      </c>
      <c r="BA9" s="95">
        <f>VLOOKUP(AU9,CENY!$B$11:$M$2025,12,FALSE)</f>
        <v>26.252320000000001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68"/>
      <c r="BI9" s="326" t="str">
        <f t="shared" si="2"/>
        <v/>
      </c>
      <c r="BJ9" s="95">
        <f>VLOOKUP(BD9,CENY!$B$11:$M$2025,12,FALSE)</f>
        <v>10.307510000000001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K10" s="590"/>
      <c r="AL10" s="591"/>
      <c r="AM10" s="591"/>
      <c r="AN10" s="591"/>
      <c r="AO10" s="591"/>
      <c r="AP10" s="592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SUM(AY1:AY2)*(Y20+Y22+Y28)</f>
        <v>0</v>
      </c>
      <c r="AZ10" s="326">
        <f t="shared" si="1"/>
        <v>0</v>
      </c>
      <c r="BA10" s="95">
        <f>VLOOKUP(AU10,CENY!$B$11:$M$2025,12,FALSE)</f>
        <v>26.6005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68"/>
      <c r="BI10" s="326" t="str">
        <f t="shared" si="2"/>
        <v/>
      </c>
      <c r="BJ10" s="95">
        <f>VLOOKUP(BD10,CENY!$B$11:$M$2025,12,FALSE)</f>
        <v>10.307510000000001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SUM(AY1:AY2)*(AA20+AA22+AA28)</f>
        <v>0</v>
      </c>
      <c r="AZ11" s="326">
        <f t="shared" si="1"/>
        <v>0</v>
      </c>
      <c r="BA11" s="95">
        <f>VLOOKUP(AU11,CENY!$B$11:$M$2025,12,FALSE)</f>
        <v>28.296320000000001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68"/>
      <c r="BI11" s="326" t="str">
        <f t="shared" si="2"/>
        <v/>
      </c>
      <c r="BJ11" s="95">
        <f>VLOOKUP(BD11,CENY!$B$11:$M$2025,12,FALSE)</f>
        <v>10.49362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SUM(AY1:AY2)*(AC20+AC22+AC28)</f>
        <v>0</v>
      </c>
      <c r="AZ12" s="326">
        <f t="shared" si="1"/>
        <v>0</v>
      </c>
      <c r="BA12" s="95">
        <f>VLOOKUP(AU12,CENY!$B$11:$M$2025,12,FALSE)</f>
        <v>28.89237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68"/>
      <c r="BI12" s="326" t="str">
        <f t="shared" si="2"/>
        <v/>
      </c>
      <c r="BJ12" s="95">
        <f>VLOOKUP(BD12,CENY!$B$11:$M$2025,12,FALSE)</f>
        <v>10.49362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SUM(AY1:AY2)*(AE22)</f>
        <v>0</v>
      </c>
      <c r="AZ13" s="326">
        <f t="shared" si="1"/>
        <v>0</v>
      </c>
      <c r="BA13" s="95">
        <f>VLOOKUP(AU13,CENY!$B$11:$M$2025,12,FALSE)</f>
        <v>29.75958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10.680099999999999</v>
      </c>
      <c r="BK13" s="95">
        <f t="shared" si="3"/>
        <v>0</v>
      </c>
    </row>
    <row r="14" spans="1:63" ht="14.45" customHeight="1">
      <c r="AU14" s="319"/>
      <c r="AV14" s="21"/>
      <c r="AW14" s="22"/>
      <c r="AX14" s="362"/>
      <c r="AY14" s="23"/>
      <c r="AZ14" s="326"/>
      <c r="BA14" s="95"/>
      <c r="BB14" s="95"/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10.680099999999999</v>
      </c>
      <c r="BK14" s="95">
        <f t="shared" si="3"/>
        <v>0</v>
      </c>
    </row>
    <row r="15" spans="1:63" ht="14.45" customHeight="1">
      <c r="AU15" s="319">
        <f>OBJ!B116</f>
        <v>9353357</v>
      </c>
      <c r="AV15" s="21" t="str">
        <f>VLOOKUP(AU15,CENY!$B$11:$G$1054,2,FALSE)</f>
        <v>AvanY-sólo oceľ.boky-NW 187/450mm/strieb.</v>
      </c>
      <c r="AW15" s="22">
        <f>VLOOKUP(AU15,CENY!$B$11:$G$1054,3,FALSE)</f>
        <v>1</v>
      </c>
      <c r="AX15" s="362">
        <v>6</v>
      </c>
      <c r="AY15" s="23">
        <f>SUM(AY3:AY4)*(W20+W22+W28)</f>
        <v>0</v>
      </c>
      <c r="AZ15" s="326">
        <f t="shared" ref="AZ15:AZ19" si="4">IF(AY15="","",IF($AW$4=1,AY15,0))</f>
        <v>0</v>
      </c>
      <c r="BA15" s="95">
        <f>VLOOKUP(AU15,CENY!$B$11:$M$2025,12,FALSE)</f>
        <v>37.79374</v>
      </c>
      <c r="BB15" s="95">
        <f t="shared" ref="BB15:BB19" si="5">IF(BA15="","",BA15*AY15)</f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10.348739999999999</v>
      </c>
      <c r="BK15" s="95">
        <f t="shared" si="3"/>
        <v>0</v>
      </c>
    </row>
    <row r="16" spans="1:63" ht="14.45" customHeight="1">
      <c r="AB16" s="341"/>
      <c r="AU16" s="319">
        <f>OBJ!B117</f>
        <v>9353358</v>
      </c>
      <c r="AV16" s="21" t="str">
        <f>VLOOKUP(AU16,CENY!$B$11:$G$1054,2,FALSE)</f>
        <v>AvanY-sólo oceľ.boky-NW 187/500mm/strieb.</v>
      </c>
      <c r="AW16" s="22">
        <f>VLOOKUP(AU16,CENY!$B$11:$G$1054,3,FALSE)</f>
        <v>1</v>
      </c>
      <c r="AX16" s="362">
        <v>8</v>
      </c>
      <c r="AY16" s="23">
        <f>SUM(AY3:AY4)*(Y20+Y22+Y28)</f>
        <v>0</v>
      </c>
      <c r="AZ16" s="326">
        <f t="shared" si="4"/>
        <v>0</v>
      </c>
      <c r="BA16" s="95">
        <f>VLOOKUP(AU16,CENY!$B$11:$M$2025,12,FALSE)</f>
        <v>38.343159999999997</v>
      </c>
      <c r="BB16" s="95">
        <f t="shared" si="5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10.348739999999999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U17" s="319">
        <f>OBJ!B118</f>
        <v>9353359</v>
      </c>
      <c r="AV17" s="21" t="str">
        <f>VLOOKUP(AU17,CENY!$B$11:$G$1054,2,FALSE)</f>
        <v>AvanY-sólo oceľ.boky-NW 187/550mm/strieb.</v>
      </c>
      <c r="AW17" s="22">
        <f>VLOOKUP(AU17,CENY!$B$11:$G$1054,3,FALSE)</f>
        <v>1</v>
      </c>
      <c r="AX17" s="362">
        <v>8</v>
      </c>
      <c r="AY17" s="23">
        <f>SUM(AY3:AY4)*(AA20+AA22+AA28)</f>
        <v>0</v>
      </c>
      <c r="AZ17" s="326">
        <f t="shared" si="4"/>
        <v>0</v>
      </c>
      <c r="BA17" s="95">
        <f>VLOOKUP(AU17,CENY!$B$11:$M$2025,12,FALSE)</f>
        <v>40.83719</v>
      </c>
      <c r="BB17" s="95">
        <f t="shared" si="5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11.052530000000001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P18" s="233" t="s">
        <v>258</v>
      </c>
      <c r="AQ18" s="616">
        <v>1</v>
      </c>
      <c r="AR18" s="617"/>
      <c r="AU18" s="319">
        <f>OBJ!B119</f>
        <v>9353360</v>
      </c>
      <c r="AV18" s="21" t="str">
        <f>VLOOKUP(AU18,CENY!$B$11:$G$1054,2,FALSE)</f>
        <v>AvanY-sólo oceľ.boky-NW 187/600mm/strieb.</v>
      </c>
      <c r="AW18" s="22">
        <f>VLOOKUP(AU18,CENY!$B$11:$G$1054,3,FALSE)</f>
        <v>1</v>
      </c>
      <c r="AX18" s="362">
        <v>8</v>
      </c>
      <c r="AY18" s="23">
        <f>SUM(AY3:AY4)*(AC20+AC22+AC28)</f>
        <v>0</v>
      </c>
      <c r="AZ18" s="326">
        <f t="shared" si="4"/>
        <v>0</v>
      </c>
      <c r="BA18" s="95">
        <f>VLOOKUP(AU18,CENY!$B$11:$M$2025,12,FALSE)</f>
        <v>41.752409999999998</v>
      </c>
      <c r="BB18" s="95">
        <f t="shared" si="5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11.052530000000001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71"/>
      <c r="P19" s="614"/>
      <c r="Q19" s="615"/>
      <c r="R19" s="614"/>
      <c r="S19" s="615"/>
      <c r="T19" s="572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U19" s="319">
        <f>OBJ!B120</f>
        <v>9353371</v>
      </c>
      <c r="AV19" s="21" t="str">
        <f>VLOOKUP(AU19,CENY!$B$11:$G$1054,2,FALSE)</f>
        <v>AvanY-sólo oceľ.boky-NW 187/650mm/strieb.</v>
      </c>
      <c r="AW19" s="22">
        <f>VLOOKUP(AU19,CENY!$B$11:$G$1054,3,FALSE)</f>
        <v>1</v>
      </c>
      <c r="AX19" s="362">
        <v>10</v>
      </c>
      <c r="AY19" s="23">
        <f>SUM(AY3:AY4)*(AE22)</f>
        <v>0</v>
      </c>
      <c r="AZ19" s="326">
        <f t="shared" si="4"/>
        <v>0</v>
      </c>
      <c r="BA19" s="95">
        <f>VLOOKUP(AU19,CENY!$B$11:$M$2025,12,FALSE)</f>
        <v>43.053130000000003</v>
      </c>
      <c r="BB19" s="95">
        <f t="shared" si="5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11.33343</v>
      </c>
      <c r="BK19" s="95">
        <f t="shared" si="3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20"/>
      <c r="P20" s="521"/>
      <c r="Q20" s="520"/>
      <c r="R20" s="521"/>
      <c r="S20" s="520"/>
      <c r="T20" s="521"/>
      <c r="U20" s="520"/>
      <c r="V20" s="521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11.33343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P21" s="233" t="s">
        <v>258</v>
      </c>
      <c r="AQ21" s="616">
        <v>0</v>
      </c>
      <c r="AR21" s="617"/>
      <c r="AU21" s="319">
        <f>OBJ!B71</f>
        <v>9347502</v>
      </c>
      <c r="AV21" s="21" t="str">
        <f>VLOOKUP(AU21,CENY!$B$11:$G$1054,2,FALSE)</f>
        <v>AvanY-design ALprofil Hybrid na bok 270/ strieb.</v>
      </c>
      <c r="AW21" s="22">
        <f>VLOOKUP(AU21,CENY!$B$11:$G$1054,3,FALSE)</f>
        <v>200</v>
      </c>
      <c r="AX21" s="22"/>
      <c r="AY21" s="68"/>
      <c r="AZ21" s="326" t="str">
        <f t="shared" si="1"/>
        <v/>
      </c>
      <c r="BA21" s="95">
        <f>VLOOKUP(AU21,CENY!$B$11:$M$2025,12,FALSE)</f>
        <v>0.95189000000000001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11.715400000000001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67"/>
      <c r="AF22" s="568"/>
      <c r="AU22" s="319">
        <f>OBJ!B72</f>
        <v>9347503</v>
      </c>
      <c r="AV22" s="21" t="str">
        <f>VLOOKUP(AU22,CENY!$B$11:$G$1054,2,FALSE)</f>
        <v>AvanY-design ALprofil Hybrid na bok 300/ strieb.</v>
      </c>
      <c r="AW22" s="22">
        <f>VLOOKUP(AU22,CENY!$B$11:$G$1054,3,FALSE)</f>
        <v>200</v>
      </c>
      <c r="AX22" s="22"/>
      <c r="AY22" s="68"/>
      <c r="AZ22" s="326" t="str">
        <f t="shared" si="1"/>
        <v/>
      </c>
      <c r="BA22" s="95">
        <f>VLOOKUP(AU22,CENY!$B$11:$M$2025,12,FALSE)</f>
        <v>0.96240999999999999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ref="BI22:BI33" si="6">IF(BH22="","",IF($AW$4=0,BH22,0))</f>
        <v>0</v>
      </c>
      <c r="BJ22" s="95">
        <f>VLOOKUP(BD22,CENY!$B$11:$M$2025,12,FALSE)</f>
        <v>11.715400000000001</v>
      </c>
      <c r="BK22" s="95">
        <f t="shared" si="3"/>
        <v>0</v>
      </c>
    </row>
    <row r="23" spans="2:63" ht="14.45" customHeight="1" thickBot="1">
      <c r="O23" s="4"/>
      <c r="P23" s="4"/>
      <c r="AU23" s="319">
        <f>OBJ!B73</f>
        <v>9347504</v>
      </c>
      <c r="AV23" s="21" t="str">
        <f>VLOOKUP(AU23,CENY!$B$11:$G$1054,2,FALSE)</f>
        <v>AvanY-design ALprofil Hybrid na bok 350/ strieb.</v>
      </c>
      <c r="AW23" s="22">
        <f>VLOOKUP(AU23,CENY!$B$11:$G$1054,3,FALSE)</f>
        <v>200</v>
      </c>
      <c r="AX23" s="22"/>
      <c r="AY23" s="68"/>
      <c r="AZ23" s="326" t="str">
        <f t="shared" si="1"/>
        <v/>
      </c>
      <c r="BA23" s="95">
        <f>VLOOKUP(AU23,CENY!$B$11:$M$2025,12,FALSE)</f>
        <v>0.98018000000000005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6"/>
        <v/>
      </c>
      <c r="BJ23" s="95"/>
      <c r="BK23" s="95"/>
    </row>
    <row r="24" spans="2:63" ht="14.45" customHeight="1" thickBot="1">
      <c r="AP24" s="233" t="s">
        <v>258</v>
      </c>
      <c r="AQ24" s="616">
        <v>2</v>
      </c>
      <c r="AR24" s="617"/>
      <c r="AU24" s="319">
        <f>OBJ!B74</f>
        <v>9347505</v>
      </c>
      <c r="AV24" s="21" t="str">
        <f>VLOOKUP(AU24,CENY!$B$11:$G$1054,2,FALSE)</f>
        <v>AvanY-design ALprofil Hybrid na bok 400/ strieb.</v>
      </c>
      <c r="AW24" s="22">
        <f>VLOOKUP(AU24,CENY!$B$11:$G$1054,3,FALSE)</f>
        <v>200</v>
      </c>
      <c r="AX24" s="22"/>
      <c r="AY24" s="68"/>
      <c r="AZ24" s="326" t="str">
        <f t="shared" si="1"/>
        <v/>
      </c>
      <c r="BA24" s="95">
        <f>VLOOKUP(AU24,CENY!$B$11:$M$2025,12,FALSE)</f>
        <v>0.99777000000000005</v>
      </c>
      <c r="BB24" s="95">
        <f t="shared" si="0"/>
        <v>0</v>
      </c>
      <c r="BD24" s="319">
        <f>OBJ!B130</f>
        <v>9255052</v>
      </c>
      <c r="BE24" s="21" t="str">
        <f>VLOOKUP(BD24,CENY!$B$11:$G$1054,2,FALSE)</f>
        <v>AvanY-bok ľavý /v187/h450/ strieborná</v>
      </c>
      <c r="BF24" s="22">
        <f>VLOOKUP(BD24,CENY!$B$11:$G$1054,3,FALSE)</f>
        <v>10</v>
      </c>
      <c r="BG24" s="22"/>
      <c r="BH24" s="23">
        <f>AY15</f>
        <v>0</v>
      </c>
      <c r="BI24" s="326">
        <f t="shared" si="6"/>
        <v>0</v>
      </c>
      <c r="BJ24" s="95">
        <f>VLOOKUP(BD24,CENY!$B$11:$M$2025,12,FALSE)</f>
        <v>16.80836</v>
      </c>
      <c r="BK24" s="95">
        <f t="shared" ref="BK24:BK33" si="7">IF(BJ24="","",BJ24*BH24)</f>
        <v>0</v>
      </c>
    </row>
    <row r="25" spans="2:63" ht="14.45" customHeight="1" thickBot="1">
      <c r="B25" s="2" t="s">
        <v>285</v>
      </c>
      <c r="AU25" s="319">
        <f>OBJ!B75</f>
        <v>9347506</v>
      </c>
      <c r="AV25" s="21" t="str">
        <f>VLOOKUP(AU25,CENY!$B$11:$G$1054,2,FALSE)</f>
        <v>AvanY-design ALprofil Hybrid na bok 450/ strieb.</v>
      </c>
      <c r="AW25" s="22">
        <f>VLOOKUP(AU25,CENY!$B$11:$G$1054,3,FALSE)</f>
        <v>200</v>
      </c>
      <c r="AX25" s="22"/>
      <c r="AY25" s="23">
        <f>IF(FORM!AM18=FORM!AU16,0,2*SUM(AY1:AY4)*(W20+W22+W28))</f>
        <v>0</v>
      </c>
      <c r="AZ25" s="326">
        <f t="shared" si="1"/>
        <v>0</v>
      </c>
      <c r="BA25" s="95">
        <f>VLOOKUP(AU25,CENY!$B$11:$M$2025,12,FALSE)</f>
        <v>1.01556</v>
      </c>
      <c r="BB25" s="95">
        <f t="shared" si="0"/>
        <v>0</v>
      </c>
      <c r="BD25" s="319">
        <f>OBJ!B131</f>
        <v>9255053</v>
      </c>
      <c r="BE25" s="21" t="str">
        <f>VLOOKUP(BD25,CENY!$B$11:$G$1054,2,FALSE)</f>
        <v>AvanY-bok pravý /v187/h450/ strieborná</v>
      </c>
      <c r="BF25" s="22">
        <f>VLOOKUP(BD25,CENY!$B$11:$G$1054,3,FALSE)</f>
        <v>10</v>
      </c>
      <c r="BG25" s="22"/>
      <c r="BH25" s="23">
        <f>AY15</f>
        <v>0</v>
      </c>
      <c r="BI25" s="326">
        <f t="shared" si="6"/>
        <v>0</v>
      </c>
      <c r="BJ25" s="95">
        <f>VLOOKUP(BD25,CENY!$B$11:$M$2025,12,FALSE)</f>
        <v>16.80836</v>
      </c>
      <c r="BK25" s="95">
        <f t="shared" si="7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U26" s="319">
        <f>OBJ!B76</f>
        <v>9347507</v>
      </c>
      <c r="AV26" s="21" t="str">
        <f>VLOOKUP(AU26,CENY!$B$11:$G$1054,2,FALSE)</f>
        <v>AvanY-design ALprofil Hybrid na bok 500/ strieb.</v>
      </c>
      <c r="AW26" s="22">
        <f>VLOOKUP(AU26,CENY!$B$11:$G$1054,3,FALSE)</f>
        <v>200</v>
      </c>
      <c r="AX26" s="22"/>
      <c r="AY26" s="23">
        <f>IF(FORM!AM18=FORM!AU16,0,2*SUM(AY1:AY4)*(Y20+Y22+Y28))</f>
        <v>0</v>
      </c>
      <c r="AZ26" s="326">
        <f t="shared" si="1"/>
        <v>0</v>
      </c>
      <c r="BA26" s="95">
        <f>VLOOKUP(AU26,CENY!$B$11:$M$2025,12,FALSE)</f>
        <v>1.0332399999999999</v>
      </c>
      <c r="BB26" s="95">
        <f t="shared" si="0"/>
        <v>0</v>
      </c>
      <c r="BD26" s="319">
        <f>OBJ!B132</f>
        <v>9255054</v>
      </c>
      <c r="BE26" s="21" t="str">
        <f>VLOOKUP(BD26,CENY!$B$11:$G$1054,2,FALSE)</f>
        <v>AvanY-bok ľavý /v187/h500/ strieborná</v>
      </c>
      <c r="BF26" s="22">
        <f>VLOOKUP(BD26,CENY!$B$11:$G$1054,3,FALSE)</f>
        <v>10</v>
      </c>
      <c r="BG26" s="22"/>
      <c r="BH26" s="23">
        <f>AY16</f>
        <v>0</v>
      </c>
      <c r="BI26" s="326">
        <f t="shared" si="6"/>
        <v>0</v>
      </c>
      <c r="BJ26" s="95">
        <f>VLOOKUP(BD26,CENY!$B$11:$M$2025,12,FALSE)</f>
        <v>17.10154</v>
      </c>
      <c r="BK26" s="95">
        <f t="shared" si="7"/>
        <v>0</v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71"/>
      <c r="P27" s="614"/>
      <c r="Q27" s="615"/>
      <c r="R27" s="614"/>
      <c r="S27" s="615"/>
      <c r="T27" s="572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P27" s="233" t="s">
        <v>258</v>
      </c>
      <c r="AQ27" s="616">
        <v>0</v>
      </c>
      <c r="AR27" s="617"/>
      <c r="AU27" s="319">
        <f>OBJ!B77</f>
        <v>9347508</v>
      </c>
      <c r="AV27" s="21" t="str">
        <f>VLOOKUP(AU27,CENY!$B$11:$G$1054,2,FALSE)</f>
        <v>AvanY-design ALprofil Hybrid na bok 550/ strieb.</v>
      </c>
      <c r="AW27" s="22">
        <f>VLOOKUP(AU27,CENY!$B$11:$G$1054,3,FALSE)</f>
        <v>200</v>
      </c>
      <c r="AX27" s="22"/>
      <c r="AY27" s="23">
        <f>IF(FORM!AM18=FORM!AU16,0,2*SUM(AY1:AY4)*(AA20+AA22+AA28))</f>
        <v>0</v>
      </c>
      <c r="AZ27" s="326">
        <f t="shared" si="1"/>
        <v>0</v>
      </c>
      <c r="BA27" s="95">
        <f>VLOOKUP(AU27,CENY!$B$11:$M$2025,12,FALSE)</f>
        <v>1.0508599999999999</v>
      </c>
      <c r="BB27" s="95">
        <f t="shared" si="0"/>
        <v>0</v>
      </c>
      <c r="BD27" s="319">
        <f>OBJ!B133</f>
        <v>9255055</v>
      </c>
      <c r="BE27" s="21" t="str">
        <f>VLOOKUP(BD27,CENY!$B$11:$G$1054,2,FALSE)</f>
        <v>AvanY-bok pravý /v187/h500/ strieborná</v>
      </c>
      <c r="BF27" s="22">
        <f>VLOOKUP(BD27,CENY!$B$11:$G$1054,3,FALSE)</f>
        <v>10</v>
      </c>
      <c r="BG27" s="22"/>
      <c r="BH27" s="23">
        <f>AY16</f>
        <v>0</v>
      </c>
      <c r="BI27" s="326">
        <f t="shared" si="6"/>
        <v>0</v>
      </c>
      <c r="BJ27" s="95">
        <f>VLOOKUP(BD27,CENY!$B$11:$M$2025,12,FALSE)</f>
        <v>17.10154</v>
      </c>
      <c r="BK27" s="95">
        <f t="shared" si="7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20"/>
      <c r="P28" s="521"/>
      <c r="Q28" s="520"/>
      <c r="R28" s="521"/>
      <c r="S28" s="520"/>
      <c r="T28" s="521"/>
      <c r="U28" s="520"/>
      <c r="V28" s="521"/>
      <c r="W28" s="518"/>
      <c r="X28" s="519"/>
      <c r="Y28" s="518"/>
      <c r="Z28" s="519"/>
      <c r="AA28" s="518"/>
      <c r="AB28" s="519"/>
      <c r="AC28" s="518"/>
      <c r="AD28" s="519"/>
      <c r="AU28" s="319">
        <f>OBJ!B78</f>
        <v>9347509</v>
      </c>
      <c r="AV28" s="21" t="str">
        <f>VLOOKUP(AU28,CENY!$B$11:$G$1054,2,FALSE)</f>
        <v>AvanY-design ALprofil Hybrid na bok 600/ strieb.</v>
      </c>
      <c r="AW28" s="22">
        <f>VLOOKUP(AU28,CENY!$B$11:$G$1054,3,FALSE)</f>
        <v>200</v>
      </c>
      <c r="AX28" s="22"/>
      <c r="AY28" s="23">
        <f>IF(FORM!AM18=FORM!AU16,0,2*SUM(AY1:AY4)*(AC20+AC22+AC28))</f>
        <v>0</v>
      </c>
      <c r="AZ28" s="326">
        <f t="shared" si="1"/>
        <v>0</v>
      </c>
      <c r="BA28" s="95">
        <f>VLOOKUP(AU28,CENY!$B$11:$M$2025,12,FALSE)</f>
        <v>1.09639</v>
      </c>
      <c r="BB28" s="95">
        <f t="shared" si="0"/>
        <v>0</v>
      </c>
      <c r="BD28" s="319">
        <f>OBJ!B134</f>
        <v>9255056</v>
      </c>
      <c r="BE28" s="21" t="str">
        <f>VLOOKUP(BD28,CENY!$B$11:$G$1054,2,FALSE)</f>
        <v>AvanY-bok ľavý /v187/h550/ strieborná</v>
      </c>
      <c r="BF28" s="22">
        <f>VLOOKUP(BD28,CENY!$B$11:$G$1054,3,FALSE)</f>
        <v>10</v>
      </c>
      <c r="BG28" s="22"/>
      <c r="BH28" s="23">
        <f>AY17</f>
        <v>0</v>
      </c>
      <c r="BI28" s="326">
        <f t="shared" si="6"/>
        <v>0</v>
      </c>
      <c r="BJ28" s="95">
        <f>VLOOKUP(BD28,CENY!$B$11:$M$2025,12,FALSE)</f>
        <v>18.264230000000001</v>
      </c>
      <c r="BK28" s="95">
        <f t="shared" si="7"/>
        <v>0</v>
      </c>
    </row>
    <row r="29" spans="2:63" ht="14.45" customHeight="1">
      <c r="AU29" s="319">
        <f>OBJ!B79</f>
        <v>9347510</v>
      </c>
      <c r="AV29" s="21" t="str">
        <f>VLOOKUP(AU29,CENY!$B$11:$G$1054,2,FALSE)</f>
        <v>AvanY-design ALprofil Hybrid na bok 650/ strieb.</v>
      </c>
      <c r="AW29" s="22">
        <f>VLOOKUP(AU29,CENY!$B$11:$G$1054,3,FALSE)</f>
        <v>200</v>
      </c>
      <c r="AX29" s="22"/>
      <c r="AY29" s="23">
        <f>IF(FORM!AM18=FORM!AU16,0,2*SUM(AY1:AY4)*AE22)</f>
        <v>0</v>
      </c>
      <c r="AZ29" s="326">
        <f t="shared" si="1"/>
        <v>0</v>
      </c>
      <c r="BA29" s="95">
        <f>VLOOKUP(AU29,CENY!$B$11:$M$2025,12,FALSE)</f>
        <v>1.1824300000000001</v>
      </c>
      <c r="BB29" s="95">
        <f t="shared" si="0"/>
        <v>0</v>
      </c>
      <c r="BD29" s="319">
        <f>OBJ!B135</f>
        <v>9255057</v>
      </c>
      <c r="BE29" s="21" t="str">
        <f>VLOOKUP(BD29,CENY!$B$11:$G$1054,2,FALSE)</f>
        <v>AvanY-bok pravý /v187/h550/ strieborná</v>
      </c>
      <c r="BF29" s="22">
        <f>VLOOKUP(BD29,CENY!$B$11:$G$1054,3,FALSE)</f>
        <v>10</v>
      </c>
      <c r="BG29" s="22"/>
      <c r="BH29" s="23">
        <f>AY17</f>
        <v>0</v>
      </c>
      <c r="BI29" s="326">
        <f t="shared" si="6"/>
        <v>0</v>
      </c>
      <c r="BJ29" s="95">
        <f>VLOOKUP(BD29,CENY!$B$11:$M$2025,12,FALSE)</f>
        <v>18.264230000000001</v>
      </c>
      <c r="BK29" s="95">
        <f t="shared" si="7"/>
        <v>0</v>
      </c>
    </row>
    <row r="30" spans="2:63" ht="14.45" customHeight="1">
      <c r="B30" s="366" t="str">
        <f>verze!E201</f>
        <v>SiSy = tlmenie Silent System</v>
      </c>
      <c r="AU30" s="319"/>
      <c r="AV30" s="21"/>
      <c r="AW30" s="22"/>
      <c r="AX30" s="22"/>
      <c r="AY30" s="23"/>
      <c r="AZ30" s="326" t="str">
        <f t="shared" si="1"/>
        <v/>
      </c>
      <c r="BA30" s="95"/>
      <c r="BB30" s="95" t="str">
        <f t="shared" si="0"/>
        <v/>
      </c>
      <c r="BD30" s="319">
        <f>OBJ!B136</f>
        <v>9255058</v>
      </c>
      <c r="BE30" s="21" t="str">
        <f>VLOOKUP(BD30,CENY!$B$11:$G$1054,2,FALSE)</f>
        <v>AvanY-bok ľavý /v187/h600/ strieborná</v>
      </c>
      <c r="BF30" s="22">
        <f>VLOOKUP(BD30,CENY!$B$11:$G$1054,3,FALSE)</f>
        <v>10</v>
      </c>
      <c r="BG30" s="22"/>
      <c r="BH30" s="23">
        <f>AY18</f>
        <v>0</v>
      </c>
      <c r="BI30" s="326">
        <f t="shared" si="6"/>
        <v>0</v>
      </c>
      <c r="BJ30" s="95">
        <f>VLOOKUP(BD30,CENY!$B$11:$M$2025,12,FALSE)</f>
        <v>18.728680000000001</v>
      </c>
      <c r="BK30" s="95">
        <f t="shared" si="7"/>
        <v>0</v>
      </c>
    </row>
    <row r="31" spans="2:63" ht="14.45" customHeight="1">
      <c r="AU31" s="319">
        <f>OBJ!B233</f>
        <v>9318154</v>
      </c>
      <c r="AV31" s="21" t="str">
        <f>VLOOKUP(AU31,CENY!$B$11:$G$1054,2,FALSE)</f>
        <v>Actro You(S) 270/SiSy 10kg; EB21</v>
      </c>
      <c r="AW31" s="22">
        <f>VLOOKUP(AU31,CENY!$B$11:$G$1054,3,FALSE)</f>
        <v>1</v>
      </c>
      <c r="AX31" s="362">
        <v>4</v>
      </c>
      <c r="AY31" s="68"/>
      <c r="AZ31" s="326" t="str">
        <f t="shared" si="1"/>
        <v/>
      </c>
      <c r="BA31" s="95">
        <f>VLOOKUP(AU31,CENY!$B$11:$M$2025,12,FALSE)</f>
        <v>31.62575</v>
      </c>
      <c r="BB31" s="95">
        <f t="shared" si="0"/>
        <v>0</v>
      </c>
      <c r="BD31" s="319">
        <f>OBJ!B137</f>
        <v>9255059</v>
      </c>
      <c r="BE31" s="21" t="str">
        <f>VLOOKUP(BD31,CENY!$B$11:$G$1054,2,FALSE)</f>
        <v>AvanY-bok pravý /v187/h600/ strieborná</v>
      </c>
      <c r="BF31" s="22">
        <f>VLOOKUP(BD31,CENY!$B$11:$G$1054,3,FALSE)</f>
        <v>10</v>
      </c>
      <c r="BG31" s="22"/>
      <c r="BH31" s="23">
        <f>AY18</f>
        <v>0</v>
      </c>
      <c r="BI31" s="326">
        <f t="shared" si="6"/>
        <v>0</v>
      </c>
      <c r="BJ31" s="95">
        <f>VLOOKUP(BD31,CENY!$B$11:$M$2025,12,FALSE)</f>
        <v>18.728680000000001</v>
      </c>
      <c r="BK31" s="95">
        <f t="shared" si="7"/>
        <v>0</v>
      </c>
    </row>
    <row r="32" spans="2:63" ht="14.45" customHeight="1">
      <c r="AU32" s="319">
        <f>OBJ!B234</f>
        <v>9318156</v>
      </c>
      <c r="AV32" s="21" t="str">
        <f>VLOOKUP(AU32,CENY!$B$11:$G$1054,2,FALSE)</f>
        <v>Actro You(S) 300/SiSy 10kg; EB21</v>
      </c>
      <c r="AW32" s="22">
        <f>VLOOKUP(AU32,CENY!$B$11:$G$1054,3,FALSE)</f>
        <v>1</v>
      </c>
      <c r="AX32" s="362">
        <v>4</v>
      </c>
      <c r="AY32" s="68"/>
      <c r="AZ32" s="326" t="str">
        <f t="shared" si="1"/>
        <v/>
      </c>
      <c r="BA32" s="95">
        <f>VLOOKUP(AU32,CENY!$B$11:$M$2025,12,FALSE)</f>
        <v>31.62575</v>
      </c>
      <c r="BB32" s="95">
        <f t="shared" si="0"/>
        <v>0</v>
      </c>
      <c r="BD32" s="319">
        <f>OBJ!B138</f>
        <v>9255060</v>
      </c>
      <c r="BE32" s="21" t="str">
        <f>VLOOKUP(BD32,CENY!$B$11:$G$1054,2,FALSE)</f>
        <v>AvanY-bok ľavý /v187/h650/ strieborná</v>
      </c>
      <c r="BF32" s="22">
        <f>VLOOKUP(BD32,CENY!$B$11:$G$1054,3,FALSE)</f>
        <v>10</v>
      </c>
      <c r="BG32" s="22"/>
      <c r="BH32" s="23">
        <f>AY19</f>
        <v>0</v>
      </c>
      <c r="BI32" s="326">
        <f t="shared" si="6"/>
        <v>0</v>
      </c>
      <c r="BJ32" s="95">
        <f>VLOOKUP(BD32,CENY!$B$11:$M$2025,12,FALSE)</f>
        <v>19.35998</v>
      </c>
      <c r="BK32" s="95">
        <f t="shared" si="7"/>
        <v>0</v>
      </c>
    </row>
    <row r="33" spans="47:63" ht="14.45" customHeight="1">
      <c r="AU33" s="319">
        <f>OBJ!B235</f>
        <v>9318160</v>
      </c>
      <c r="AV33" s="21" t="str">
        <f>VLOOKUP(AU33,CENY!$B$11:$G$1054,2,FALSE)</f>
        <v>Actro You(S) 350/SiSy 10kg; EB21</v>
      </c>
      <c r="AW33" s="22">
        <f>VLOOKUP(AU33,CENY!$B$11:$G$1054,3,FALSE)</f>
        <v>1</v>
      </c>
      <c r="AX33" s="362">
        <v>4</v>
      </c>
      <c r="AY33" s="68"/>
      <c r="AZ33" s="326" t="str">
        <f t="shared" si="1"/>
        <v/>
      </c>
      <c r="BA33" s="95">
        <f>VLOOKUP(AU33,CENY!$B$11:$M$2025,12,FALSE)</f>
        <v>31.62575</v>
      </c>
      <c r="BB33" s="95">
        <f t="shared" si="0"/>
        <v>0</v>
      </c>
      <c r="BD33" s="319">
        <f>OBJ!B139</f>
        <v>9255061</v>
      </c>
      <c r="BE33" s="21" t="str">
        <f>VLOOKUP(BD33,CENY!$B$11:$G$1054,2,FALSE)</f>
        <v>AvanY-bok pravý /v187/h650/ strieborná</v>
      </c>
      <c r="BF33" s="22">
        <f>VLOOKUP(BD33,CENY!$B$11:$G$1054,3,FALSE)</f>
        <v>10</v>
      </c>
      <c r="BG33" s="22"/>
      <c r="BH33" s="23">
        <f>AY19</f>
        <v>0</v>
      </c>
      <c r="BI33" s="326">
        <f t="shared" si="6"/>
        <v>0</v>
      </c>
      <c r="BJ33" s="95">
        <f>VLOOKUP(BD33,CENY!$B$11:$M$2025,12,FALSE)</f>
        <v>19.35998</v>
      </c>
      <c r="BK33" s="95">
        <f t="shared" si="7"/>
        <v>0</v>
      </c>
    </row>
    <row r="34" spans="47:63" ht="14.45" customHeight="1">
      <c r="AU34" s="20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47:63" ht="14.45" customHeight="1">
      <c r="AU35" s="319">
        <f>OBJ!B243</f>
        <v>9318186</v>
      </c>
      <c r="AV35" s="21" t="str">
        <f>VLOOKUP(AU35,CENY!$B$11:$G$1054,2,FALSE)</f>
        <v>Actro You(L) 270/SiSy 40kg; EB21</v>
      </c>
      <c r="AW35" s="22">
        <f>VLOOKUP(AU35,CENY!$B$11:$G$1054,3,FALSE)</f>
        <v>1</v>
      </c>
      <c r="AX35" s="362">
        <v>8</v>
      </c>
      <c r="AY35" s="68"/>
      <c r="AZ35" s="326" t="str">
        <f t="shared" si="1"/>
        <v/>
      </c>
      <c r="BA35" s="95">
        <f>VLOOKUP(AU35,CENY!$B$11:$M$2025,12,FALSE)</f>
        <v>31.62575</v>
      </c>
      <c r="BB35" s="95">
        <f t="shared" si="0"/>
        <v>0</v>
      </c>
      <c r="BD35" s="319">
        <f>OBJ!B69</f>
        <v>9255835</v>
      </c>
      <c r="BE35" s="21" t="str">
        <f>VLOOKUP(BD35,CENY!$B$11:$G$1054,2,FALSE)</f>
        <v>AvanY-príchytka čela k naskrutk./ v101</v>
      </c>
      <c r="BF35" s="22">
        <f>VLOOKUP(BD35,CENY!$B$11:$G$1054,3,FALSE)</f>
        <v>200</v>
      </c>
      <c r="BG35" s="22"/>
      <c r="BH35" s="23">
        <f>2*(AY2)*(SUM(W20:AD20)+SUM(W22:AF22)+SUM(W28:AD28))</f>
        <v>0</v>
      </c>
      <c r="BI35" s="326">
        <f t="shared" si="2"/>
        <v>0</v>
      </c>
      <c r="BJ35" s="95">
        <f>VLOOKUP(BD35,CENY!$B$11:$M$2025,12,FALSE)</f>
        <v>1.1621999999999999</v>
      </c>
      <c r="BK35" s="95">
        <f t="shared" si="3"/>
        <v>0</v>
      </c>
    </row>
    <row r="36" spans="47:63" ht="14.45" customHeight="1">
      <c r="AU36" s="319">
        <f>OBJ!B244</f>
        <v>9318187</v>
      </c>
      <c r="AV36" s="21" t="str">
        <f>VLOOKUP(AU36,CENY!$B$11:$G$1054,2,FALSE)</f>
        <v>Actro You(L) 300/SiSy 40kg; EB21</v>
      </c>
      <c r="AW36" s="22">
        <f>VLOOKUP(AU36,CENY!$B$11:$G$1054,3,FALSE)</f>
        <v>1</v>
      </c>
      <c r="AX36" s="362">
        <v>8</v>
      </c>
      <c r="AY36" s="68"/>
      <c r="AZ36" s="326" t="str">
        <f t="shared" si="1"/>
        <v/>
      </c>
      <c r="BA36" s="95">
        <f>VLOOKUP(AU36,CENY!$B$11:$M$2025,12,FALSE)</f>
        <v>31.62575</v>
      </c>
      <c r="BB36" s="95">
        <f t="shared" si="0"/>
        <v>0</v>
      </c>
      <c r="BD36" s="319">
        <f>OBJ!B141</f>
        <v>9255838</v>
      </c>
      <c r="BE36" s="21" t="str">
        <f>VLOOKUP(BD36,CENY!$B$11:$G$1054,2,FALSE)</f>
        <v>AvanY-prích.čela k naskrutk./ v187-251</v>
      </c>
      <c r="BF36" s="22">
        <f>VLOOKUP(BD36,CENY!$B$11:$G$1054,3,FALSE)</f>
        <v>200</v>
      </c>
      <c r="BG36" s="22"/>
      <c r="BH36" s="23">
        <f>2*(AY4)*(SUM(W20:AD20)+SUM(W22:AF22)+SUM(W28:AD28))</f>
        <v>0</v>
      </c>
      <c r="BI36" s="326">
        <f t="shared" si="2"/>
        <v>0</v>
      </c>
      <c r="BJ36" s="95">
        <f>VLOOKUP(BD36,CENY!$B$11:$M$2025,12,FALSE)</f>
        <v>2.32422</v>
      </c>
      <c r="BK36" s="95">
        <f t="shared" ref="BK36" si="8">IF(BJ36="","",BJ36*BH36)</f>
        <v>0</v>
      </c>
    </row>
    <row r="37" spans="47:63" ht="14.45" customHeight="1">
      <c r="AU37" s="319">
        <f>OBJ!B245</f>
        <v>9318188</v>
      </c>
      <c r="AV37" s="21" t="str">
        <f>VLOOKUP(AU37,CENY!$B$11:$G$1054,2,FALSE)</f>
        <v>Actro You(L) 350/SiSy 40kg; EB21</v>
      </c>
      <c r="AW37" s="22">
        <f>VLOOKUP(AU37,CENY!$B$11:$G$1054,3,FALSE)</f>
        <v>1</v>
      </c>
      <c r="AX37" s="362">
        <v>8</v>
      </c>
      <c r="AY37" s="68"/>
      <c r="AZ37" s="326" t="str">
        <f t="shared" si="1"/>
        <v/>
      </c>
      <c r="BA37" s="95">
        <f>VLOOKUP(AU37,CENY!$B$11:$M$2025,12,FALSE)</f>
        <v>31.62575</v>
      </c>
      <c r="BB37" s="95">
        <f t="shared" si="0"/>
        <v>0</v>
      </c>
      <c r="BD37" s="320">
        <v>9255835</v>
      </c>
      <c r="BE37" s="321" t="str">
        <f>VLOOKUP(BD37,CENY!$B$11:$G$1054,2,FALSE)</f>
        <v>AvanY-príchytka čela k naskrutk./ v101</v>
      </c>
      <c r="BF37" s="22">
        <f>VLOOKUP(BD37,CENY!$B$11:$G$1054,3,FALSE)</f>
        <v>200</v>
      </c>
      <c r="BG37" s="22"/>
      <c r="BH37" s="68">
        <f>2*(AY1)*(SUM(W20:AD20)+SUM(W22:AF22)+SUM(W28:AD28))</f>
        <v>0</v>
      </c>
      <c r="BI37" s="326">
        <f t="shared" ref="BI37:BI38" si="9">IF(BH37="","",IF($AW$4=0,BH37,0))</f>
        <v>0</v>
      </c>
      <c r="BJ37" s="95">
        <f>VLOOKUP(BD37,CENY!$B$11:$M$2025,12,FALSE)</f>
        <v>1.1621999999999999</v>
      </c>
      <c r="BK37" s="95">
        <f t="shared" ref="BK37:BK38" si="10">IF(BJ37="","",BJ37*BH37)</f>
        <v>0</v>
      </c>
    </row>
    <row r="38" spans="47:63" ht="14.45" customHeight="1">
      <c r="AU38" s="319">
        <f>OBJ!B246</f>
        <v>9318190</v>
      </c>
      <c r="AV38" s="21" t="str">
        <f>VLOOKUP(AU38,CENY!$B$11:$G$1054,2,FALSE)</f>
        <v>Actro You(L) 400/SiSy 40kg; EB21</v>
      </c>
      <c r="AW38" s="22">
        <f>VLOOKUP(AU38,CENY!$B$11:$G$1054,3,FALSE)</f>
        <v>1</v>
      </c>
      <c r="AX38" s="362">
        <v>8</v>
      </c>
      <c r="AY38" s="68"/>
      <c r="AZ38" s="326" t="str">
        <f t="shared" si="1"/>
        <v/>
      </c>
      <c r="BA38" s="95">
        <f>VLOOKUP(AU38,CENY!$B$11:$M$2025,12,FALSE)</f>
        <v>31.976389999999999</v>
      </c>
      <c r="BB38" s="95">
        <f t="shared" si="0"/>
        <v>0</v>
      </c>
      <c r="BD38" s="320">
        <v>9255838</v>
      </c>
      <c r="BE38" s="321" t="str">
        <f>VLOOKUP(BD38,CENY!$B$11:$G$1054,2,FALSE)</f>
        <v>AvanY-prích.čela k naskrutk./ v187-251</v>
      </c>
      <c r="BF38" s="22">
        <f>VLOOKUP(BD38,CENY!$B$11:$G$1054,3,FALSE)</f>
        <v>200</v>
      </c>
      <c r="BG38" s="22"/>
      <c r="BH38" s="68">
        <f>2*(AY3)*(SUM(W20:AD20)+SUM(W22:AF22)+SUM(W28:AD28))</f>
        <v>0</v>
      </c>
      <c r="BI38" s="326">
        <f t="shared" si="9"/>
        <v>0</v>
      </c>
      <c r="BJ38" s="95">
        <f>VLOOKUP(BD38,CENY!$B$11:$M$2025,12,FALSE)</f>
        <v>2.32422</v>
      </c>
      <c r="BK38" s="95">
        <f t="shared" si="10"/>
        <v>0</v>
      </c>
    </row>
    <row r="39" spans="47:63" ht="14.45" customHeight="1">
      <c r="AU39" s="319">
        <f>OBJ!B247</f>
        <v>9318191</v>
      </c>
      <c r="AV39" s="21" t="str">
        <f>VLOOKUP(AU39,CENY!$B$11:$G$1054,2,FALSE)</f>
        <v>Actro You(L) 450/SiSy 40kg; EB21</v>
      </c>
      <c r="AW39" s="22">
        <f>VLOOKUP(AU39,CENY!$B$11:$G$1054,3,FALSE)</f>
        <v>1</v>
      </c>
      <c r="AX39" s="362">
        <v>10</v>
      </c>
      <c r="AY39" s="23">
        <f>IF((AY2+AY4)&gt;1,SUM(AY1:AY4)*W20-1*W20,SUM(AY1:AY4)*W20)</f>
        <v>0</v>
      </c>
      <c r="AZ39" s="326">
        <f t="shared" si="1"/>
        <v>0</v>
      </c>
      <c r="BA39" s="95">
        <f>VLOOKUP(AU39,CENY!$B$11:$M$2025,12,FALSE)</f>
        <v>32.324420000000003</v>
      </c>
      <c r="BB39" s="95">
        <f t="shared" si="0"/>
        <v>0</v>
      </c>
      <c r="BD39" s="319">
        <f>OBJ!B48</f>
        <v>9257702</v>
      </c>
      <c r="BE39" s="21" t="str">
        <f>VLOOKUP(BD39,CENY!$B$11:$G$1054,2,FALSE)</f>
        <v>AvanY-stabilizátor chrbáta</v>
      </c>
      <c r="BF39" s="22">
        <f>VLOOKUP(BD39,CENY!$B$11:$G$1054,3,FALSE)</f>
        <v>200</v>
      </c>
      <c r="BG39" s="22"/>
      <c r="BH39" s="23">
        <f>2*(SUM(AY1:AY4)*(SUM(W20:AD20)+SUM(W22:AF22)+SUM(W28:AD28)))</f>
        <v>0</v>
      </c>
      <c r="BI39" s="326">
        <f t="shared" si="2"/>
        <v>0</v>
      </c>
      <c r="BJ39" s="95">
        <f>VLOOKUP(BD39,CENY!$B$11:$M$2025,12,FALSE)</f>
        <v>0.74794000000000005</v>
      </c>
      <c r="BK39" s="95">
        <f t="shared" si="3"/>
        <v>0</v>
      </c>
    </row>
    <row r="40" spans="47:63" ht="14.45" customHeight="1">
      <c r="AU40" s="319">
        <f>OBJ!B248</f>
        <v>9318192</v>
      </c>
      <c r="AV40" s="21" t="str">
        <f>VLOOKUP(AU40,CENY!$B$11:$G$1054,2,FALSE)</f>
        <v>Actro You(L) 500/SiSy 40kg; EB21</v>
      </c>
      <c r="AW40" s="22">
        <f>VLOOKUP(AU40,CENY!$B$11:$G$1054,3,FALSE)</f>
        <v>1</v>
      </c>
      <c r="AX40" s="362">
        <v>10</v>
      </c>
      <c r="AY40" s="23">
        <f>IF((AY2+AY4)&gt;1,SUM(AY1:AY4)*Y20-1*Y20,SUM(AY1:AY4)*Y20)</f>
        <v>0</v>
      </c>
      <c r="AZ40" s="326">
        <f t="shared" si="1"/>
        <v>0</v>
      </c>
      <c r="BA40" s="95">
        <f>VLOOKUP(AU40,CENY!$B$11:$M$2025,12,FALSE)</f>
        <v>6.5957299999999996</v>
      </c>
      <c r="BB40" s="95">
        <f t="shared" si="0"/>
        <v>0</v>
      </c>
      <c r="BD40" s="20"/>
      <c r="BE40" s="21"/>
      <c r="BF40" s="22"/>
      <c r="BG40" s="22"/>
      <c r="BH40" s="23"/>
      <c r="BI40" s="326" t="str">
        <f t="shared" si="2"/>
        <v/>
      </c>
      <c r="BJ40" s="95"/>
      <c r="BK40" s="95" t="str">
        <f t="shared" si="3"/>
        <v/>
      </c>
    </row>
    <row r="41" spans="47:63" ht="14.45" customHeight="1">
      <c r="AU41" s="319">
        <f>OBJ!B249</f>
        <v>9318194</v>
      </c>
      <c r="AV41" s="21" t="str">
        <f>VLOOKUP(AU41,CENY!$B$11:$G$1054,2,FALSE)</f>
        <v>Actro You(L) 550/SiSy 40kg; EB21</v>
      </c>
      <c r="AW41" s="22">
        <f>VLOOKUP(AU41,CENY!$B$11:$G$1054,3,FALSE)</f>
        <v>1</v>
      </c>
      <c r="AX41" s="362">
        <v>10</v>
      </c>
      <c r="AY41" s="23">
        <f>IF((AY2+AY4)&gt;1,SUM(AY1:AY4)*AA20-1*AA20,SUM(AY1:AY4)*AA20)</f>
        <v>0</v>
      </c>
      <c r="AZ41" s="326">
        <f t="shared" si="1"/>
        <v>0</v>
      </c>
      <c r="BA41" s="95">
        <f>VLOOKUP(AU41,CENY!$B$11:$M$2025,12,FALSE)</f>
        <v>6.9728000000000003</v>
      </c>
      <c r="BB41" s="95">
        <f t="shared" si="0"/>
        <v>0</v>
      </c>
      <c r="BD41" s="319">
        <f>OBJ!B71</f>
        <v>9347502</v>
      </c>
      <c r="BE41" s="21" t="str">
        <f>VLOOKUP(BD41,CENY!$B$11:$G$1054,2,FALSE)</f>
        <v>AvanY-design ALprofil Hybrid na bok 270/ strieb.</v>
      </c>
      <c r="BF41" s="22">
        <f>VLOOKUP(BD41,CENY!$B$11:$G$1054,3,FALSE)</f>
        <v>200</v>
      </c>
      <c r="BG41" s="22"/>
      <c r="BH41" s="68"/>
      <c r="BI41" s="326" t="str">
        <f t="shared" si="2"/>
        <v/>
      </c>
      <c r="BJ41" s="95">
        <f>VLOOKUP(BD41,CENY!$B$11:$M$2025,12,FALSE)</f>
        <v>0.95189000000000001</v>
      </c>
      <c r="BK41" s="95">
        <f t="shared" si="3"/>
        <v>0</v>
      </c>
    </row>
    <row r="42" spans="47:63" ht="14.45" customHeight="1">
      <c r="AU42" s="319">
        <f>OBJ!B250</f>
        <v>9318196</v>
      </c>
      <c r="AV42" s="21" t="str">
        <f>VLOOKUP(AU42,CENY!$B$11:$G$1054,2,FALSE)</f>
        <v>Actro You(L) 600/SiSy 40kg; EB21</v>
      </c>
      <c r="AW42" s="22">
        <f>VLOOKUP(AU42,CENY!$B$11:$G$1054,3,FALSE)</f>
        <v>1</v>
      </c>
      <c r="AX42" s="362">
        <v>10</v>
      </c>
      <c r="AY42" s="23">
        <f>IF((AY2+AY4)&gt;1,SUM(AY1:AY4)*AC20-1*AC20,SUM(AY1:AY4)*AC20)</f>
        <v>0</v>
      </c>
      <c r="AZ42" s="326">
        <f t="shared" si="1"/>
        <v>0</v>
      </c>
      <c r="BA42" s="95">
        <f>VLOOKUP(AU42,CENY!$B$11:$M$2025,12,FALSE)</f>
        <v>34.956960000000002</v>
      </c>
      <c r="BB42" s="95">
        <f t="shared" si="0"/>
        <v>0</v>
      </c>
      <c r="BD42" s="319">
        <f>OBJ!B72</f>
        <v>9347503</v>
      </c>
      <c r="BE42" s="21" t="str">
        <f>VLOOKUP(BD42,CENY!$B$11:$G$1054,2,FALSE)</f>
        <v>AvanY-design ALprofil Hybrid na bok 300/ strieb.</v>
      </c>
      <c r="BF42" s="22">
        <f>VLOOKUP(BD42,CENY!$B$11:$G$1054,3,FALSE)</f>
        <v>200</v>
      </c>
      <c r="BG42" s="22"/>
      <c r="BH42" s="68"/>
      <c r="BI42" s="326" t="str">
        <f t="shared" si="2"/>
        <v/>
      </c>
      <c r="BJ42" s="95">
        <f>VLOOKUP(BD42,CENY!$B$11:$M$2025,12,FALSE)</f>
        <v>0.96240999999999999</v>
      </c>
      <c r="BK42" s="95">
        <f t="shared" si="3"/>
        <v>0</v>
      </c>
    </row>
    <row r="43" spans="47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OBJ!B73</f>
        <v>9347504</v>
      </c>
      <c r="BE43" s="21" t="str">
        <f>VLOOKUP(BD43,CENY!$B$11:$G$1054,2,FALSE)</f>
        <v>AvanY-design ALprofil Hybrid na bok 350/ strieb.</v>
      </c>
      <c r="BF43" s="22">
        <f>VLOOKUP(BD43,CENY!$B$11:$G$1054,3,FALSE)</f>
        <v>200</v>
      </c>
      <c r="BG43" s="22"/>
      <c r="BH43" s="68"/>
      <c r="BI43" s="326" t="str">
        <f t="shared" si="2"/>
        <v/>
      </c>
      <c r="BJ43" s="95">
        <f>VLOOKUP(BD43,CENY!$B$11:$M$2025,12,FALSE)</f>
        <v>0.98018000000000005</v>
      </c>
      <c r="BK43" s="95">
        <f t="shared" si="3"/>
        <v>0</v>
      </c>
    </row>
    <row r="44" spans="47:63" ht="14.45" customHeight="1">
      <c r="AU44" s="319">
        <f>OBJ!B268</f>
        <v>9318215</v>
      </c>
      <c r="AV44" s="21" t="str">
        <f>VLOOKUP(AU44,CENY!$B$11:$G$1054,2,FALSE)</f>
        <v>Actro You(XL) 450/SiSy 70kg; EB21</v>
      </c>
      <c r="AW44" s="22">
        <f>VLOOKUP(AU44,CENY!$B$11:$G$1054,3,FALSE)</f>
        <v>1</v>
      </c>
      <c r="AX44" s="362">
        <v>10</v>
      </c>
      <c r="AY44" s="23">
        <f>IF((AY2+AY4)&lt;2,SUM(AY1:AY4)*W22,1*(W28+W20)+SUM(AY1:AY4)*W22)</f>
        <v>0</v>
      </c>
      <c r="AZ44" s="326">
        <f t="shared" si="1"/>
        <v>0</v>
      </c>
      <c r="BA44" s="95">
        <f>VLOOKUP(AU44,CENY!$B$11:$M$2025,12,FALSE)</f>
        <v>7.9265800000000004</v>
      </c>
      <c r="BB44" s="95">
        <f t="shared" si="0"/>
        <v>0</v>
      </c>
      <c r="BD44" s="319">
        <f>OBJ!B74</f>
        <v>9347505</v>
      </c>
      <c r="BE44" s="21" t="str">
        <f>VLOOKUP(BD44,CENY!$B$11:$G$1054,2,FALSE)</f>
        <v>AvanY-design ALprofil Hybrid na bok 400/ strieb.</v>
      </c>
      <c r="BF44" s="22">
        <f>VLOOKUP(BD44,CENY!$B$11:$G$1054,3,FALSE)</f>
        <v>200</v>
      </c>
      <c r="BG44" s="22"/>
      <c r="BH44" s="68"/>
      <c r="BI44" s="326" t="str">
        <f t="shared" si="2"/>
        <v/>
      </c>
      <c r="BJ44" s="95">
        <f>VLOOKUP(BD44,CENY!$B$11:$M$2025,12,FALSE)</f>
        <v>0.99777000000000005</v>
      </c>
      <c r="BK44" s="95">
        <f t="shared" si="3"/>
        <v>0</v>
      </c>
    </row>
    <row r="45" spans="47:63" ht="14.45" customHeight="1">
      <c r="AU45" s="319">
        <f>OBJ!B269</f>
        <v>9318216</v>
      </c>
      <c r="AV45" s="21" t="str">
        <f>VLOOKUP(AU45,CENY!$B$11:$G$1054,2,FALSE)</f>
        <v>Actro You(XL) 500/SiSy 70kg; EB21</v>
      </c>
      <c r="AW45" s="22">
        <f>VLOOKUP(AU45,CENY!$B$11:$G$1054,3,FALSE)</f>
        <v>1</v>
      </c>
      <c r="AX45" s="362">
        <v>10</v>
      </c>
      <c r="AY45" s="23">
        <f>IF((AY2+AY4)&lt;2,SUM(AY1:AY4)*Y22,1*(Y28+Y20)+SUM(AY1:AY4)*Y22)</f>
        <v>0</v>
      </c>
      <c r="AZ45" s="326">
        <f t="shared" si="1"/>
        <v>0</v>
      </c>
      <c r="BA45" s="95">
        <f>VLOOKUP(AU45,CENY!$B$11:$M$2025,12,FALSE)</f>
        <v>39.622210000000003</v>
      </c>
      <c r="BB45" s="95">
        <f t="shared" si="0"/>
        <v>0</v>
      </c>
      <c r="BD45" s="319">
        <f>OBJ!B75</f>
        <v>9347506</v>
      </c>
      <c r="BE45" s="21" t="str">
        <f>VLOOKUP(BD45,CENY!$B$11:$G$1054,2,FALSE)</f>
        <v>AvanY-design ALprofil Hybrid na bok 450/ strieb.</v>
      </c>
      <c r="BF45" s="22">
        <f>VLOOKUP(BD45,CENY!$B$11:$G$1054,3,FALSE)</f>
        <v>200</v>
      </c>
      <c r="BG45" s="22"/>
      <c r="BH45" s="23">
        <f>2*SUM(AY1:AY4)*(W20+W22+W28)</f>
        <v>0</v>
      </c>
      <c r="BI45" s="326">
        <f t="shared" si="2"/>
        <v>0</v>
      </c>
      <c r="BJ45" s="95">
        <f>VLOOKUP(BD45,CENY!$B$11:$M$2025,12,FALSE)</f>
        <v>1.01556</v>
      </c>
      <c r="BK45" s="95">
        <f t="shared" si="3"/>
        <v>0</v>
      </c>
    </row>
    <row r="46" spans="47:63" ht="14.45" customHeight="1">
      <c r="AU46" s="319">
        <f>OBJ!B270</f>
        <v>9318217</v>
      </c>
      <c r="AV46" s="21" t="str">
        <f>VLOOKUP(AU46,CENY!$B$11:$G$1054,2,FALSE)</f>
        <v>Actro You(XL) 550/SiSy 70kg; EB21</v>
      </c>
      <c r="AW46" s="22">
        <f>VLOOKUP(AU46,CENY!$B$11:$G$1054,3,FALSE)</f>
        <v>1</v>
      </c>
      <c r="AX46" s="362">
        <v>10</v>
      </c>
      <c r="AY46" s="23">
        <f>IF((AY2+AY4)&lt;2,SUM(AY1:AY4)*AA22,1*(AA28+AA20)+SUM(AY1:AY4)*AA22)</f>
        <v>0</v>
      </c>
      <c r="AZ46" s="326">
        <f t="shared" si="1"/>
        <v>0</v>
      </c>
      <c r="BA46" s="95">
        <f>VLOOKUP(AU46,CENY!$B$11:$M$2025,12,FALSE)</f>
        <v>41.504899999999999</v>
      </c>
      <c r="BB46" s="95">
        <f t="shared" si="0"/>
        <v>0</v>
      </c>
      <c r="BD46" s="319">
        <f>OBJ!B76</f>
        <v>9347507</v>
      </c>
      <c r="BE46" s="21" t="str">
        <f>VLOOKUP(BD46,CENY!$B$11:$G$1054,2,FALSE)</f>
        <v>AvanY-design ALprofil Hybrid na bok 500/ strieb.</v>
      </c>
      <c r="BF46" s="22">
        <f>VLOOKUP(BD46,CENY!$B$11:$G$1054,3,FALSE)</f>
        <v>200</v>
      </c>
      <c r="BG46" s="22"/>
      <c r="BH46" s="23">
        <f>2*SUM(AY1:AY4)*(Y20+Y22+Y28)</f>
        <v>0</v>
      </c>
      <c r="BI46" s="326">
        <f t="shared" si="2"/>
        <v>0</v>
      </c>
      <c r="BJ46" s="95">
        <f>VLOOKUP(BD46,CENY!$B$11:$M$2025,12,FALSE)</f>
        <v>1.0332399999999999</v>
      </c>
      <c r="BK46" s="95">
        <f t="shared" si="3"/>
        <v>0</v>
      </c>
    </row>
    <row r="47" spans="47:63" ht="14.45" customHeight="1">
      <c r="AU47" s="319">
        <f>OBJ!B271</f>
        <v>9318218</v>
      </c>
      <c r="AV47" s="21" t="str">
        <f>VLOOKUP(AU47,CENY!$B$11:$G$1054,2,FALSE)</f>
        <v>Actro You(XL) 600/SiSy 70kg; EB21</v>
      </c>
      <c r="AW47" s="22">
        <f>VLOOKUP(AU47,CENY!$B$11:$G$1054,3,FALSE)</f>
        <v>1</v>
      </c>
      <c r="AX47" s="362">
        <v>10</v>
      </c>
      <c r="AY47" s="23">
        <f>IF((AY2+AY4)&lt;2,SUM(AY1:AY4)*AC22,1*(AC28+AC20)+SUM(AY1:AY4)*AC22)</f>
        <v>0</v>
      </c>
      <c r="AZ47" s="326">
        <f t="shared" si="1"/>
        <v>0</v>
      </c>
      <c r="BA47" s="95">
        <f>VLOOKUP(AU47,CENY!$B$11:$M$2025,12,FALSE)</f>
        <v>45.308109999999999</v>
      </c>
      <c r="BB47" s="95">
        <f t="shared" si="0"/>
        <v>0</v>
      </c>
      <c r="BD47" s="319">
        <f>OBJ!B77</f>
        <v>9347508</v>
      </c>
      <c r="BE47" s="21" t="str">
        <f>VLOOKUP(BD47,CENY!$B$11:$G$1054,2,FALSE)</f>
        <v>AvanY-design ALprofil Hybrid na bok 550/ strieb.</v>
      </c>
      <c r="BF47" s="22">
        <f>VLOOKUP(BD47,CENY!$B$11:$G$1054,3,FALSE)</f>
        <v>200</v>
      </c>
      <c r="BG47" s="22"/>
      <c r="BH47" s="23">
        <f>2*SUM(AY1:AY4)*(AA20+AA22+AA28)</f>
        <v>0</v>
      </c>
      <c r="BI47" s="326">
        <f t="shared" si="2"/>
        <v>0</v>
      </c>
      <c r="BJ47" s="95">
        <f>VLOOKUP(BD47,CENY!$B$11:$M$2025,12,FALSE)</f>
        <v>1.0508599999999999</v>
      </c>
      <c r="BK47" s="95">
        <f t="shared" si="3"/>
        <v>0</v>
      </c>
    </row>
    <row r="48" spans="47:63" ht="14.45" customHeight="1">
      <c r="AU48" s="319">
        <f>OBJ!B272</f>
        <v>9318219</v>
      </c>
      <c r="AV48" s="21" t="str">
        <f>VLOOKUP(AU48,CENY!$B$11:$G$1054,2,FALSE)</f>
        <v>Actro You(XL) 650/SiSy 70kg; EB21</v>
      </c>
      <c r="AW48" s="22">
        <f>VLOOKUP(AU48,CENY!$B$11:$G$1054,3,FALSE)</f>
        <v>1</v>
      </c>
      <c r="AX48" s="362">
        <v>10</v>
      </c>
      <c r="AY48" s="23">
        <f>SUM(AY1:AY4)*AE22</f>
        <v>0</v>
      </c>
      <c r="AZ48" s="326">
        <f t="shared" si="1"/>
        <v>0</v>
      </c>
      <c r="BA48" s="95">
        <f>VLOOKUP(AU48,CENY!$B$11:$M$2025,12,FALSE)</f>
        <v>47.02431</v>
      </c>
      <c r="BB48" s="95">
        <f t="shared" si="0"/>
        <v>0</v>
      </c>
      <c r="BD48" s="319">
        <f>OBJ!B78</f>
        <v>9347509</v>
      </c>
      <c r="BE48" s="21" t="str">
        <f>VLOOKUP(BD48,CENY!$B$11:$G$1054,2,FALSE)</f>
        <v>AvanY-design ALprofil Hybrid na bok 600/ strieb.</v>
      </c>
      <c r="BF48" s="22">
        <f>VLOOKUP(BD48,CENY!$B$11:$G$1054,3,FALSE)</f>
        <v>200</v>
      </c>
      <c r="BG48" s="22"/>
      <c r="BH48" s="23">
        <f>2*SUM(AY1:AY4)*(AC20+AC22+AC28)</f>
        <v>0</v>
      </c>
      <c r="BI48" s="326">
        <f t="shared" si="2"/>
        <v>0</v>
      </c>
      <c r="BJ48" s="95">
        <f>VLOOKUP(BD48,CENY!$B$11:$M$2025,12,FALSE)</f>
        <v>1.09639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OBJ!B79</f>
        <v>9347510</v>
      </c>
      <c r="BE49" s="21" t="str">
        <f>VLOOKUP(BD49,CENY!$B$11:$G$1054,2,FALSE)</f>
        <v>AvanY-design ALprofil Hybrid na bok 650/ strieb.</v>
      </c>
      <c r="BF49" s="22">
        <f>VLOOKUP(BD49,CENY!$B$11:$G$1054,3,FALSE)</f>
        <v>200</v>
      </c>
      <c r="BG49" s="22"/>
      <c r="BH49" s="23">
        <f>2*SUM(AY1:AY4)*AE22</f>
        <v>0</v>
      </c>
      <c r="BI49" s="326">
        <f t="shared" si="2"/>
        <v>0</v>
      </c>
      <c r="BJ49" s="95">
        <f>VLOOKUP(BD49,CENY!$B$11:$M$2025,12,FALSE)</f>
        <v>1.1824300000000001</v>
      </c>
      <c r="BK49" s="95">
        <f t="shared" si="3"/>
        <v>0</v>
      </c>
    </row>
    <row r="50" spans="47:63" ht="14.45" customHeight="1">
      <c r="AU50" s="319">
        <f>OBJ!B284</f>
        <v>9257890</v>
      </c>
      <c r="AV50" s="21" t="str">
        <f>VLOOKUP(AU50,CENY!$B$11:$G$1054,2,FALSE)</f>
        <v>Actro You - Push to open Silent; &lt;10kg</v>
      </c>
      <c r="AW50" s="22">
        <f>VLOOKUP(AU50,CENY!$B$11:$G$1054,3,FALSE)</f>
        <v>1</v>
      </c>
      <c r="AX50" s="22"/>
      <c r="AY50" s="68"/>
      <c r="AZ50" s="326" t="str">
        <f t="shared" si="1"/>
        <v/>
      </c>
      <c r="BA50" s="95">
        <f>VLOOKUP(AU50,CENY!$B$11:$M$2025,12,FALSE)</f>
        <v>23.177009999999999</v>
      </c>
      <c r="BB50" s="95">
        <f t="shared" si="0"/>
        <v>0</v>
      </c>
      <c r="BD50" s="319"/>
      <c r="BE50" s="21"/>
      <c r="BF50" s="22"/>
      <c r="BG50" s="22"/>
      <c r="BH50" s="23"/>
      <c r="BI50" s="326" t="str">
        <f t="shared" si="2"/>
        <v/>
      </c>
      <c r="BJ50" s="95"/>
      <c r="BK50" s="95" t="str">
        <f t="shared" si="3"/>
        <v/>
      </c>
    </row>
    <row r="51" spans="47:63" ht="14.45" customHeight="1">
      <c r="AU51" s="319">
        <f>OBJ!B285</f>
        <v>9257891</v>
      </c>
      <c r="AV51" s="21" t="str">
        <f>VLOOKUP(AU51,CENY!$B$11:$G$1054,2,FALSE)</f>
        <v>Actro You - Push to open Silent; 8-20kg</v>
      </c>
      <c r="AW51" s="22">
        <f>VLOOKUP(AU51,CENY!$B$11:$G$1054,3,FALSE)</f>
        <v>1</v>
      </c>
      <c r="AX51" s="22"/>
      <c r="AY51" s="68"/>
      <c r="AZ51" s="326" t="str">
        <f t="shared" si="1"/>
        <v/>
      </c>
      <c r="BA51" s="95">
        <f>VLOOKUP(AU51,CENY!$B$11:$M$2025,12,FALSE)</f>
        <v>23.177009999999999</v>
      </c>
      <c r="BB51" s="95">
        <f t="shared" si="0"/>
        <v>0</v>
      </c>
      <c r="BD51" s="319">
        <f>OBJ!B236</f>
        <v>9318145</v>
      </c>
      <c r="BE51" s="21" t="str">
        <f>VLOOKUP(BD51,CENY!$B$11:$G$1054,2,FALSE)</f>
        <v>Actro You(S) 270/SiSy 10kg; EB21; ľavý</v>
      </c>
      <c r="BF51" s="22">
        <f>VLOOKUP(BD51,CENY!$B$11:$G$1054,3,FALSE)</f>
        <v>10</v>
      </c>
      <c r="BG51" s="22"/>
      <c r="BH51" s="68"/>
      <c r="BI51" s="326" t="str">
        <f t="shared" si="2"/>
        <v/>
      </c>
      <c r="BJ51" s="95" t="e">
        <f>VLOOKUP(BD51,CENY!$B$11:$M$2025,12,FALSE)</f>
        <v>#N/A</v>
      </c>
      <c r="BK51" s="95" t="e">
        <f t="shared" si="3"/>
        <v>#N/A</v>
      </c>
    </row>
    <row r="52" spans="47:63" ht="14.45" customHeight="1">
      <c r="AU52" s="319">
        <f>OBJ!B286</f>
        <v>9257892</v>
      </c>
      <c r="AV52" s="21" t="str">
        <f>VLOOKUP(AU52,CENY!$B$11:$G$1054,2,FALSE)</f>
        <v>Actro You - Push to open Silent; 10-40kg</v>
      </c>
      <c r="AW52" s="22">
        <f>VLOOKUP(AU52,CENY!$B$11:$G$1054,3,FALSE)</f>
        <v>1</v>
      </c>
      <c r="AX52" s="22"/>
      <c r="AY52" s="68"/>
      <c r="AZ52" s="326" t="str">
        <f t="shared" si="1"/>
        <v/>
      </c>
      <c r="BA52" s="95">
        <f>VLOOKUP(AU52,CENY!$B$11:$M$2025,12,FALSE)</f>
        <v>23.177009999999999</v>
      </c>
      <c r="BB52" s="95">
        <f t="shared" si="0"/>
        <v>0</v>
      </c>
      <c r="BD52" s="319">
        <f>OBJ!B237</f>
        <v>9318146</v>
      </c>
      <c r="BE52" s="21" t="str">
        <f>VLOOKUP(BD52,CENY!$B$11:$G$1054,2,FALSE)</f>
        <v>Actro You(S) 270/SiSy 10kg; EB21; pravý</v>
      </c>
      <c r="BF52" s="22">
        <f>VLOOKUP(BD52,CENY!$B$11:$G$1054,3,FALSE)</f>
        <v>10</v>
      </c>
      <c r="BG52" s="22"/>
      <c r="BH52" s="68"/>
      <c r="BI52" s="326" t="str">
        <f t="shared" si="2"/>
        <v/>
      </c>
      <c r="BJ52" s="95" t="e">
        <f>VLOOKUP(BD52,CENY!$B$11:$M$2025,12,FALSE)</f>
        <v>#N/A</v>
      </c>
      <c r="BK52" s="95" t="e">
        <f t="shared" si="3"/>
        <v>#N/A</v>
      </c>
    </row>
    <row r="53" spans="47:63" ht="14.45" customHeight="1">
      <c r="AU53" s="319">
        <f>OBJ!B287</f>
        <v>9257893</v>
      </c>
      <c r="AV53" s="21" t="str">
        <f>VLOOKUP(AU53,CENY!$B$11:$G$1054,2,FALSE)</f>
        <v>Actro You - Push to open Silent; 20-70kg</v>
      </c>
      <c r="AW53" s="22">
        <f>VLOOKUP(AU53,CENY!$B$11:$G$1054,3,FALSE)</f>
        <v>1</v>
      </c>
      <c r="AX53" s="22"/>
      <c r="AY53" s="68"/>
      <c r="AZ53" s="326" t="str">
        <f t="shared" si="1"/>
        <v/>
      </c>
      <c r="BA53" s="95">
        <f>VLOOKUP(AU53,CENY!$B$11:$M$2025,12,FALSE)</f>
        <v>23.177009999999999</v>
      </c>
      <c r="BB53" s="95">
        <f t="shared" si="0"/>
        <v>0</v>
      </c>
      <c r="BD53" s="319">
        <f>OBJ!B238</f>
        <v>9318147</v>
      </c>
      <c r="BE53" s="21" t="str">
        <f>VLOOKUP(BD53,CENY!$B$11:$G$1054,2,FALSE)</f>
        <v>Actro You(S) 300/SiSy 10kg; EB21; ľavý</v>
      </c>
      <c r="BF53" s="22">
        <f>VLOOKUP(BD53,CENY!$B$11:$G$1054,3,FALSE)</f>
        <v>10</v>
      </c>
      <c r="BG53" s="22"/>
      <c r="BH53" s="68"/>
      <c r="BI53" s="326" t="str">
        <f t="shared" si="2"/>
        <v/>
      </c>
      <c r="BJ53" s="95" t="e">
        <f>VLOOKUP(BD53,CENY!$B$11:$M$2025,12,FALSE)</f>
        <v>#N/A</v>
      </c>
      <c r="BK53" s="95" t="e">
        <f t="shared" si="3"/>
        <v>#N/A</v>
      </c>
    </row>
    <row r="54" spans="47:63" ht="14.45" customHeight="1">
      <c r="AU54" s="319">
        <f>OBJ!B288</f>
        <v>9236718</v>
      </c>
      <c r="AV54" s="21" t="str">
        <f>VLOOKUP(AU54,CENY!$B$11:$G$1054,2,FALSE)</f>
        <v>Push to open Synchro / tyč 2.000 mm</v>
      </c>
      <c r="AW54" s="22">
        <f>VLOOKUP(AU54,CENY!$B$11:$G$1054,3,FALSE)</f>
        <v>100</v>
      </c>
      <c r="AX54" s="22"/>
      <c r="AY54" s="68"/>
      <c r="AZ54" s="326" t="str">
        <f t="shared" si="1"/>
        <v/>
      </c>
      <c r="BA54" s="95">
        <f>VLOOKUP(AU54,CENY!$B$11:$M$2025,12,FALSE)</f>
        <v>8.7567500000000003</v>
      </c>
      <c r="BB54" s="95">
        <f t="shared" si="0"/>
        <v>0</v>
      </c>
      <c r="BD54" s="319">
        <f>OBJ!B239</f>
        <v>9318148</v>
      </c>
      <c r="BE54" s="21" t="str">
        <f>VLOOKUP(BD54,CENY!$B$11:$G$1054,2,FALSE)</f>
        <v>Actro You(S) 300/SiSy 10kg; EB21; pravý</v>
      </c>
      <c r="BF54" s="22">
        <f>VLOOKUP(BD54,CENY!$B$11:$G$1054,3,FALSE)</f>
        <v>10</v>
      </c>
      <c r="BG54" s="22"/>
      <c r="BH54" s="68"/>
      <c r="BI54" s="326" t="str">
        <f t="shared" si="2"/>
        <v/>
      </c>
      <c r="BJ54" s="95" t="e">
        <f>VLOOKUP(BD54,CENY!$B$11:$M$2025,12,FALSE)</f>
        <v>#N/A</v>
      </c>
      <c r="BK54" s="95" t="e">
        <f t="shared" si="3"/>
        <v>#N/A</v>
      </c>
    </row>
    <row r="55" spans="47:63" ht="14.45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0"/>
        <v/>
      </c>
      <c r="BD55" s="319">
        <f>OBJ!B240</f>
        <v>9318149</v>
      </c>
      <c r="BE55" s="21" t="str">
        <f>VLOOKUP(BD55,CENY!$B$11:$G$1054,2,FALSE)</f>
        <v>Actro You(S) 350/SiSy 10kg; EB21; ľavý</v>
      </c>
      <c r="BF55" s="22">
        <f>VLOOKUP(BD55,CENY!$B$11:$G$1054,3,FALSE)</f>
        <v>10</v>
      </c>
      <c r="BG55" s="22"/>
      <c r="BH55" s="68"/>
      <c r="BI55" s="326" t="str">
        <f t="shared" si="2"/>
        <v/>
      </c>
      <c r="BJ55" s="95">
        <f>VLOOKUP(BD55,CENY!$B$11:$M$2025,12,FALSE)</f>
        <v>14.37729</v>
      </c>
      <c r="BK55" s="95">
        <f t="shared" si="3"/>
        <v>0</v>
      </c>
    </row>
    <row r="56" spans="47:63" ht="14.45" customHeight="1">
      <c r="AU56" s="319">
        <f>OBJ!B294</f>
        <v>9256953</v>
      </c>
      <c r="AV56" s="21" t="str">
        <f>VLOOKUP(AU56,CENY!$B$11:$G$1054,2,FALSE)</f>
        <v>Quadro You(S) 270/SiSy 10kg; EB21</v>
      </c>
      <c r="AW56" s="22">
        <f>VLOOKUP(AU56,CENY!$B$11:$G$1054,3,FALSE)</f>
        <v>1</v>
      </c>
      <c r="AX56" s="362">
        <v>4</v>
      </c>
      <c r="AY56" s="68"/>
      <c r="AZ56" s="326" t="str">
        <f t="shared" si="1"/>
        <v/>
      </c>
      <c r="BA56" s="95">
        <f>VLOOKUP(AU56,CENY!$B$11:$M$2025,12,FALSE)</f>
        <v>23.022449999999999</v>
      </c>
      <c r="BB56" s="95">
        <f t="shared" si="0"/>
        <v>0</v>
      </c>
      <c r="BD56" s="319">
        <f>OBJ!B241</f>
        <v>9318150</v>
      </c>
      <c r="BE56" s="21" t="str">
        <f>VLOOKUP(BD56,CENY!$B$11:$G$1054,2,FALSE)</f>
        <v>Actro You(S) 350/SiSy 10kg; EB21; pravý</v>
      </c>
      <c r="BF56" s="22">
        <f>VLOOKUP(BD56,CENY!$B$11:$G$1054,3,FALSE)</f>
        <v>10</v>
      </c>
      <c r="BG56" s="22"/>
      <c r="BH56" s="68"/>
      <c r="BI56" s="326" t="str">
        <f t="shared" si="2"/>
        <v/>
      </c>
      <c r="BJ56" s="95">
        <f>VLOOKUP(BD56,CENY!$B$11:$M$2025,12,FALSE)</f>
        <v>14.37729</v>
      </c>
      <c r="BK56" s="95">
        <f t="shared" si="3"/>
        <v>0</v>
      </c>
    </row>
    <row r="57" spans="47:63" ht="14.45" customHeight="1">
      <c r="AU57" s="319">
        <f>OBJ!B295</f>
        <v>9256954</v>
      </c>
      <c r="AV57" s="21" t="str">
        <f>VLOOKUP(AU57,CENY!$B$11:$G$1054,2,FALSE)</f>
        <v>Quadro You(S) 300/SiSy 10kg; EB21</v>
      </c>
      <c r="AW57" s="22">
        <f>VLOOKUP(AU57,CENY!$B$11:$G$1054,3,FALSE)</f>
        <v>1</v>
      </c>
      <c r="AX57" s="362">
        <v>4</v>
      </c>
      <c r="AY57" s="68"/>
      <c r="AZ57" s="326" t="str">
        <f t="shared" si="1"/>
        <v/>
      </c>
      <c r="BA57" s="95">
        <f>VLOOKUP(AU57,CENY!$B$11:$M$2025,12,FALSE)</f>
        <v>23.069210000000002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5" customHeight="1">
      <c r="AU58" s="319">
        <f>OBJ!B296</f>
        <v>9256956</v>
      </c>
      <c r="AV58" s="21" t="str">
        <f>VLOOKUP(AU58,CENY!$B$11:$G$1054,2,FALSE)</f>
        <v>Quadro You(S) 350/SiSy 10kg; EB21</v>
      </c>
      <c r="AW58" s="22">
        <f>VLOOKUP(AU58,CENY!$B$11:$G$1054,3,FALSE)</f>
        <v>1</v>
      </c>
      <c r="AX58" s="362">
        <v>4</v>
      </c>
      <c r="AY58" s="68"/>
      <c r="AZ58" s="326" t="str">
        <f t="shared" si="1"/>
        <v/>
      </c>
      <c r="BA58" s="95">
        <f>VLOOKUP(AU58,CENY!$B$11:$M$2025,12,FALSE)</f>
        <v>23.536069999999999</v>
      </c>
      <c r="BB58" s="95">
        <f t="shared" si="0"/>
        <v>0</v>
      </c>
      <c r="BD58" s="319">
        <f>OBJ!B251</f>
        <v>9318167</v>
      </c>
      <c r="BE58" s="21" t="str">
        <f>VLOOKUP(BD58,CENY!$B$11:$G$1054,2,FALSE)</f>
        <v>Actro You(L) 270/SiSy 40kg; EB21; ľavý</v>
      </c>
      <c r="BF58" s="22">
        <f>VLOOKUP(BD58,CENY!$B$11:$G$1054,3,FALSE)</f>
        <v>10</v>
      </c>
      <c r="BG58" s="22"/>
      <c r="BH58" s="68"/>
      <c r="BI58" s="326" t="str">
        <f t="shared" si="2"/>
        <v/>
      </c>
      <c r="BJ58" s="95" t="e">
        <f>VLOOKUP(BD58,CENY!$B$11:$M$2025,12,FALSE)</f>
        <v>#N/A</v>
      </c>
      <c r="BK58" s="95" t="e">
        <f t="shared" si="3"/>
        <v>#N/A</v>
      </c>
    </row>
    <row r="59" spans="47:63" ht="14.45" customHeight="1">
      <c r="AU59" s="319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si="0"/>
        <v/>
      </c>
      <c r="BD59" s="319">
        <f>OBJ!B252</f>
        <v>9318170</v>
      </c>
      <c r="BE59" s="21" t="str">
        <f>VLOOKUP(BD59,CENY!$B$11:$G$1054,2,FALSE)</f>
        <v>Actro You(L) 270/SiSy 40kg; EB21; pravý</v>
      </c>
      <c r="BF59" s="22">
        <f>VLOOKUP(BD59,CENY!$B$11:$G$1054,3,FALSE)</f>
        <v>10</v>
      </c>
      <c r="BG59" s="22"/>
      <c r="BH59" s="68"/>
      <c r="BI59" s="326" t="str">
        <f t="shared" si="2"/>
        <v/>
      </c>
      <c r="BJ59" s="95" t="e">
        <f>VLOOKUP(BD59,CENY!$B$11:$M$2025,12,FALSE)</f>
        <v>#N/A</v>
      </c>
      <c r="BK59" s="95" t="e">
        <f t="shared" si="3"/>
        <v>#N/A</v>
      </c>
    </row>
    <row r="60" spans="47:63" ht="14.45" customHeight="1">
      <c r="AU60" s="319">
        <f>OBJ!B304</f>
        <v>9256883</v>
      </c>
      <c r="AV60" s="21" t="str">
        <f>VLOOKUP(AU60,CENY!$B$11:$G$1054,2,FALSE)</f>
        <v>Quadro You(M) 270/SiSy 20kg; EB21</v>
      </c>
      <c r="AW60" s="22">
        <f>VLOOKUP(AU60,CENY!$B$11:$G$1054,3,FALSE)</f>
        <v>1</v>
      </c>
      <c r="AX60" s="362">
        <v>8</v>
      </c>
      <c r="AY60" s="68"/>
      <c r="AZ60" s="326" t="str">
        <f t="shared" si="1"/>
        <v/>
      </c>
      <c r="BA60" s="95">
        <f>VLOOKUP(AU60,CENY!$B$11:$M$2025,12,FALSE)</f>
        <v>23.022449999999999</v>
      </c>
      <c r="BB60" s="95">
        <f t="shared" si="0"/>
        <v>0</v>
      </c>
      <c r="BD60" s="319">
        <f>OBJ!B253</f>
        <v>9318171</v>
      </c>
      <c r="BE60" s="21" t="str">
        <f>VLOOKUP(BD60,CENY!$B$11:$G$1054,2,FALSE)</f>
        <v>Actro You(L) 300/SiSy 40kg; EB21; ľavý</v>
      </c>
      <c r="BF60" s="22">
        <f>VLOOKUP(BD60,CENY!$B$11:$G$1054,3,FALSE)</f>
        <v>10</v>
      </c>
      <c r="BG60" s="22"/>
      <c r="BH60" s="68"/>
      <c r="BI60" s="326" t="str">
        <f t="shared" si="2"/>
        <v/>
      </c>
      <c r="BJ60" s="95">
        <f>VLOOKUP(BD60,CENY!$B$11:$M$2025,12,FALSE)</f>
        <v>14.37729</v>
      </c>
      <c r="BK60" s="95">
        <f t="shared" si="3"/>
        <v>0</v>
      </c>
    </row>
    <row r="61" spans="47:63" ht="14.45" customHeight="1">
      <c r="AU61" s="319">
        <f>OBJ!B305</f>
        <v>9256884</v>
      </c>
      <c r="AV61" s="21" t="str">
        <f>VLOOKUP(AU61,CENY!$B$11:$G$1054,2,FALSE)</f>
        <v>Quadro You(M) 300/SiSy 20kg; EB21</v>
      </c>
      <c r="AW61" s="22">
        <f>VLOOKUP(AU61,CENY!$B$11:$G$1054,3,FALSE)</f>
        <v>1</v>
      </c>
      <c r="AX61" s="362">
        <v>8</v>
      </c>
      <c r="AY61" s="68"/>
      <c r="AZ61" s="326" t="str">
        <f t="shared" si="1"/>
        <v/>
      </c>
      <c r="BA61" s="95">
        <f>VLOOKUP(AU61,CENY!$B$11:$M$2025,12,FALSE)</f>
        <v>23.069210000000002</v>
      </c>
      <c r="BB61" s="95">
        <f t="shared" si="0"/>
        <v>0</v>
      </c>
      <c r="BD61" s="319">
        <f>OBJ!B254</f>
        <v>9318172</v>
      </c>
      <c r="BE61" s="21" t="str">
        <f>VLOOKUP(BD61,CENY!$B$11:$G$1054,2,FALSE)</f>
        <v>Actro You(L) 300/SiSy 40kg; EB21; pravý</v>
      </c>
      <c r="BF61" s="22">
        <f>VLOOKUP(BD61,CENY!$B$11:$G$1054,3,FALSE)</f>
        <v>10</v>
      </c>
      <c r="BG61" s="22"/>
      <c r="BH61" s="68"/>
      <c r="BI61" s="326" t="str">
        <f t="shared" si="2"/>
        <v/>
      </c>
      <c r="BJ61" s="95">
        <f>VLOOKUP(BD61,CENY!$B$11:$M$2025,12,FALSE)</f>
        <v>14.37729</v>
      </c>
      <c r="BK61" s="95">
        <f t="shared" si="3"/>
        <v>0</v>
      </c>
    </row>
    <row r="62" spans="47:63" ht="14.45" customHeight="1">
      <c r="AU62" s="319">
        <f>OBJ!B306</f>
        <v>9256886</v>
      </c>
      <c r="AV62" s="21" t="str">
        <f>VLOOKUP(AU62,CENY!$B$11:$G$1054,2,FALSE)</f>
        <v>Quadro You(M) 350/SiSy 25kg; EB21</v>
      </c>
      <c r="AW62" s="22">
        <f>VLOOKUP(AU62,CENY!$B$11:$G$1054,3,FALSE)</f>
        <v>1</v>
      </c>
      <c r="AX62" s="362">
        <v>8</v>
      </c>
      <c r="AY62" s="68"/>
      <c r="AZ62" s="326" t="str">
        <f t="shared" si="1"/>
        <v/>
      </c>
      <c r="BA62" s="95" t="e">
        <f>VLOOKUP(AU62,CENY!$B$11:$M$2025,12,FALSE)</f>
        <v>#N/A</v>
      </c>
      <c r="BB62" s="95" t="e">
        <f t="shared" si="0"/>
        <v>#N/A</v>
      </c>
      <c r="BD62" s="319">
        <f>OBJ!B255</f>
        <v>9318173</v>
      </c>
      <c r="BE62" s="21" t="str">
        <f>VLOOKUP(BD62,CENY!$B$11:$G$1054,2,FALSE)</f>
        <v>Actro You(L) 350/SiSy 40kg; EB21; ľavý</v>
      </c>
      <c r="BF62" s="22">
        <f>VLOOKUP(BD62,CENY!$B$11:$G$1054,3,FALSE)</f>
        <v>10</v>
      </c>
      <c r="BG62" s="22"/>
      <c r="BH62" s="68"/>
      <c r="BI62" s="326" t="str">
        <f t="shared" si="2"/>
        <v/>
      </c>
      <c r="BJ62" s="95">
        <f>VLOOKUP(BD62,CENY!$B$11:$M$2025,12,FALSE)</f>
        <v>14.37729</v>
      </c>
      <c r="BK62" s="95">
        <f t="shared" si="3"/>
        <v>0</v>
      </c>
    </row>
    <row r="63" spans="47:63" ht="14.45" customHeight="1">
      <c r="AU63" s="319">
        <f>OBJ!B307</f>
        <v>9256888</v>
      </c>
      <c r="AV63" s="21" t="str">
        <f>VLOOKUP(AU63,CENY!$B$11:$G$1054,2,FALSE)</f>
        <v>Quadro You(M) 400/SiSy 30kg; EB21</v>
      </c>
      <c r="AW63" s="22">
        <f>VLOOKUP(AU63,CENY!$B$11:$G$1054,3,FALSE)</f>
        <v>1</v>
      </c>
      <c r="AX63" s="362">
        <v>8</v>
      </c>
      <c r="AY63" s="68"/>
      <c r="AZ63" s="326" t="str">
        <f t="shared" si="1"/>
        <v/>
      </c>
      <c r="BA63" s="95">
        <f>VLOOKUP(AU63,CENY!$B$11:$M$2025,12,FALSE)</f>
        <v>24.002659999999999</v>
      </c>
      <c r="BB63" s="95">
        <f t="shared" si="0"/>
        <v>0</v>
      </c>
      <c r="BD63" s="319">
        <f>OBJ!B256</f>
        <v>9318174</v>
      </c>
      <c r="BE63" s="21" t="str">
        <f>VLOOKUP(BD63,CENY!$B$11:$G$1054,2,FALSE)</f>
        <v>Actro You(L) 350/SiSy 40kg; EB21; pravý</v>
      </c>
      <c r="BF63" s="22">
        <f>VLOOKUP(BD63,CENY!$B$11:$G$1054,3,FALSE)</f>
        <v>10</v>
      </c>
      <c r="BG63" s="22"/>
      <c r="BH63" s="68"/>
      <c r="BI63" s="326" t="str">
        <f t="shared" si="2"/>
        <v/>
      </c>
      <c r="BJ63" s="95" t="e">
        <f>VLOOKUP(BD63,CENY!$B$11:$M$2025,12,FALSE)</f>
        <v>#N/A</v>
      </c>
      <c r="BK63" s="95" t="e">
        <f t="shared" si="3"/>
        <v>#N/A</v>
      </c>
    </row>
    <row r="64" spans="47:63" ht="14.45" customHeight="1">
      <c r="AU64" s="319">
        <f>OBJ!B308</f>
        <v>9256890</v>
      </c>
      <c r="AV64" s="21" t="str">
        <f>VLOOKUP(AU64,CENY!$B$11:$G$1054,2,FALSE)</f>
        <v>Quadro You(M) 450/SiSy 30kg; EB21</v>
      </c>
      <c r="AW64" s="22">
        <f>VLOOKUP(AU64,CENY!$B$11:$G$1054,3,FALSE)</f>
        <v>1</v>
      </c>
      <c r="AX64" s="362">
        <v>8</v>
      </c>
      <c r="AY64" s="23">
        <f>IF((AY2+AY4)&gt;1,SUM(AY1:AY4)*W28-1*W28,SUM(AY1:AY4)*W28)</f>
        <v>0</v>
      </c>
      <c r="AZ64" s="326">
        <f t="shared" si="1"/>
        <v>0</v>
      </c>
      <c r="BA64" s="95">
        <f>VLOOKUP(AU64,CENY!$B$11:$M$2025,12,FALSE)</f>
        <v>4.9393000000000002</v>
      </c>
      <c r="BB64" s="95">
        <f t="shared" si="0"/>
        <v>0</v>
      </c>
      <c r="BD64" s="319">
        <f>OBJ!B257</f>
        <v>9318175</v>
      </c>
      <c r="BE64" s="21" t="str">
        <f>VLOOKUP(BD64,CENY!$B$11:$G$1054,2,FALSE)</f>
        <v>Actro You(L) 400/SiSy 40kg; EB21; ľavý</v>
      </c>
      <c r="BF64" s="22">
        <f>VLOOKUP(BD64,CENY!$B$11:$G$1054,3,FALSE)</f>
        <v>10</v>
      </c>
      <c r="BG64" s="22"/>
      <c r="BH64" s="68"/>
      <c r="BI64" s="326" t="str">
        <f t="shared" si="2"/>
        <v/>
      </c>
      <c r="BJ64" s="95">
        <f>VLOOKUP(BD64,CENY!$B$11:$M$2025,12,FALSE)</f>
        <v>14.56085</v>
      </c>
      <c r="BK64" s="95">
        <f t="shared" si="3"/>
        <v>0</v>
      </c>
    </row>
    <row r="65" spans="1:63" ht="14.45" customHeight="1">
      <c r="AU65" s="319">
        <f>OBJ!B309</f>
        <v>9256892</v>
      </c>
      <c r="AV65" s="21" t="str">
        <f>VLOOKUP(AU65,CENY!$B$11:$G$1054,2,FALSE)</f>
        <v>Quadro You(M) 500/SiSy 30kg; EB21</v>
      </c>
      <c r="AW65" s="22">
        <f>VLOOKUP(AU65,CENY!$B$11:$G$1054,3,FALSE)</f>
        <v>1</v>
      </c>
      <c r="AX65" s="362">
        <v>8</v>
      </c>
      <c r="AY65" s="23">
        <f>IF((AY2+AY4)&gt;1,SUM(AY1:AY4)*Y28-1*Y28,SUM(AY1:AY4)*Y28)</f>
        <v>0</v>
      </c>
      <c r="AZ65" s="326">
        <f t="shared" si="1"/>
        <v>0</v>
      </c>
      <c r="BA65" s="95">
        <f>VLOOKUP(AU65,CENY!$B$11:$M$2025,12,FALSE)</f>
        <v>23.748699999999999</v>
      </c>
      <c r="BB65" s="95">
        <f t="shared" si="0"/>
        <v>0</v>
      </c>
      <c r="BD65" s="319">
        <f>OBJ!B258</f>
        <v>9318176</v>
      </c>
      <c r="BE65" s="21" t="str">
        <f>VLOOKUP(BD65,CENY!$B$11:$G$1054,2,FALSE)</f>
        <v>Actro You(L) 400/SiSy 40kg; EB21; pravý</v>
      </c>
      <c r="BF65" s="22">
        <f>VLOOKUP(BD65,CENY!$B$11:$G$1054,3,FALSE)</f>
        <v>10</v>
      </c>
      <c r="BG65" s="22"/>
      <c r="BH65" s="68"/>
      <c r="BI65" s="326" t="str">
        <f t="shared" si="2"/>
        <v/>
      </c>
      <c r="BJ65" s="95">
        <f>VLOOKUP(BD65,CENY!$B$11:$M$2025,12,FALSE)</f>
        <v>14.56085</v>
      </c>
      <c r="BK65" s="95">
        <f t="shared" si="3"/>
        <v>0</v>
      </c>
    </row>
    <row r="66" spans="1:63" ht="12.95" customHeight="1" thickBot="1">
      <c r="A66" s="579"/>
      <c r="AU66" s="319">
        <f>OBJ!B310</f>
        <v>9256894</v>
      </c>
      <c r="AV66" s="21" t="str">
        <f>VLOOKUP(AU66,CENY!$B$11:$G$1054,2,FALSE)</f>
        <v>Quadro You(M) 550/SiSy 30kg; EB21</v>
      </c>
      <c r="AW66" s="22">
        <f>VLOOKUP(AU66,CENY!$B$11:$G$1054,3,FALSE)</f>
        <v>1</v>
      </c>
      <c r="AX66" s="362">
        <v>8</v>
      </c>
      <c r="AY66" s="23">
        <f>IF((AY2+AY4)&gt;1,SUM(AY1:AY4)*AA28-1*AA28,SUM(AY1:AY4)*AA28)</f>
        <v>0</v>
      </c>
      <c r="AZ66" s="326">
        <f t="shared" si="1"/>
        <v>0</v>
      </c>
      <c r="BA66" s="95">
        <f>VLOOKUP(AU66,CENY!$B$11:$M$2025,12,FALSE)</f>
        <v>5.1277499999999998</v>
      </c>
      <c r="BB66" s="95">
        <f t="shared" si="0"/>
        <v>0</v>
      </c>
      <c r="BD66" s="319">
        <f>OBJ!B259</f>
        <v>9318177</v>
      </c>
      <c r="BE66" s="21" t="str">
        <f>VLOOKUP(BD66,CENY!$B$11:$G$1054,2,FALSE)</f>
        <v>Actro You(L) 450/SiSy 40kg; EB21; ľavý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 t="e">
        <f>VLOOKUP(BD66,CENY!$B$11:$M$2025,12,FALSE)</f>
        <v>#N/A</v>
      </c>
      <c r="BK66" s="95" t="e">
        <f t="shared" si="3"/>
        <v>#N/A</v>
      </c>
    </row>
    <row r="67" spans="1:63" ht="23.1" customHeight="1" thickBot="1">
      <c r="A67" s="579"/>
      <c r="B67" s="486" t="str">
        <f>verze!E13</f>
        <v>&lt;&lt;  späť</v>
      </c>
      <c r="C67" s="487"/>
      <c r="D67" s="487"/>
      <c r="E67" s="488"/>
      <c r="G67" s="515" t="str">
        <f>verze!E6</f>
        <v xml:space="preserve"> Úvod</v>
      </c>
      <c r="H67" s="516"/>
      <c r="I67" s="516"/>
      <c r="J67" s="516"/>
      <c r="K67" s="517"/>
      <c r="O67" s="515" t="str">
        <f>verze!E7</f>
        <v xml:space="preserve"> Výber zásuviek</v>
      </c>
      <c r="P67" s="516"/>
      <c r="Q67" s="516"/>
      <c r="R67" s="516"/>
      <c r="S67" s="517"/>
      <c r="U67" s="515" t="str">
        <f>verze!E8</f>
        <v xml:space="preserve"> </v>
      </c>
      <c r="V67" s="516"/>
      <c r="W67" s="516"/>
      <c r="X67" s="516"/>
      <c r="Y67" s="517"/>
      <c r="AA67" s="515" t="str">
        <f>verze!E9</f>
        <v xml:space="preserve"> </v>
      </c>
      <c r="AB67" s="516"/>
      <c r="AC67" s="516"/>
      <c r="AD67" s="516"/>
      <c r="AE67" s="517"/>
      <c r="AI67" s="515" t="str">
        <f>verze!E10</f>
        <v xml:space="preserve"> Objednávka</v>
      </c>
      <c r="AJ67" s="516"/>
      <c r="AK67" s="516"/>
      <c r="AL67" s="516"/>
      <c r="AM67" s="517"/>
      <c r="AO67" s="477" t="str">
        <f>verze!E14</f>
        <v>vpred  &gt;&gt;</v>
      </c>
      <c r="AP67" s="478"/>
      <c r="AQ67" s="478"/>
      <c r="AR67" s="479"/>
      <c r="AU67" s="319">
        <f>OBJ!B311</f>
        <v>9256896</v>
      </c>
      <c r="AV67" s="21" t="str">
        <f>VLOOKUP(AU67,CENY!$B$11:$G$1054,2,FALSE)</f>
        <v>Quadro You(M) 600/SiSy 25kg; EB21</v>
      </c>
      <c r="AW67" s="22">
        <f>VLOOKUP(AU67,CENY!$B$11:$G$1054,3,FALSE)</f>
        <v>1</v>
      </c>
      <c r="AX67" s="362">
        <v>8</v>
      </c>
      <c r="AY67" s="23">
        <f>IF((AY2+AY4)&gt;1,SUM(AY1:AY4)*AC28-1*AC28,SUM(AY1:AY4)*AC28)</f>
        <v>0</v>
      </c>
      <c r="AZ67" s="326">
        <f t="shared" si="1"/>
        <v>0</v>
      </c>
      <c r="BA67" s="95">
        <f>VLOOKUP(AU67,CENY!$B$11:$M$2025,12,FALSE)</f>
        <v>25.86984</v>
      </c>
      <c r="BB67" s="95">
        <f t="shared" si="0"/>
        <v>0</v>
      </c>
      <c r="BD67" s="319">
        <f>OBJ!B260</f>
        <v>9318178</v>
      </c>
      <c r="BE67" s="21" t="str">
        <f>VLOOKUP(BD67,CENY!$B$11:$G$1054,2,FALSE)</f>
        <v>Actro You(L) 450/SiSy 40kg; EB21; pravý</v>
      </c>
      <c r="BF67" s="22">
        <f>VLOOKUP(BD67,CENY!$B$11:$G$1054,3,FALSE)</f>
        <v>10</v>
      </c>
      <c r="BG67" s="22"/>
      <c r="BH67" s="23">
        <f>AY39</f>
        <v>0</v>
      </c>
      <c r="BI67" s="326">
        <f t="shared" si="2"/>
        <v>0</v>
      </c>
      <c r="BJ67" s="95">
        <f>VLOOKUP(BD67,CENY!$B$11:$M$2025,12,FALSE)</f>
        <v>14.040839999999999</v>
      </c>
      <c r="BK67" s="95">
        <f t="shared" si="3"/>
        <v>0</v>
      </c>
    </row>
    <row r="68" spans="1:63" ht="12.95" customHeight="1">
      <c r="A68" s="579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OBJ!B261</f>
        <v>9318179</v>
      </c>
      <c r="BE68" s="21" t="str">
        <f>VLOOKUP(BD68,CENY!$B$11:$G$1054,2,FALSE)</f>
        <v>Actro You(L) 500/SiSy 40kg; EB21; ľavý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13.931559999999999</v>
      </c>
      <c r="BK68" s="95">
        <f t="shared" si="3"/>
        <v>0</v>
      </c>
    </row>
    <row r="69" spans="1:63" ht="23.1" customHeight="1">
      <c r="A69" s="579"/>
      <c r="B69" s="93" t="str">
        <f>B4</f>
        <v>Zásuvka AVANTECH YOU  101 / 187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OBJ!B329</f>
        <v>9257894</v>
      </c>
      <c r="AV69" s="21" t="str">
        <f>VLOOKUP(AU69,CENY!$B$11:$G$1054,2,FALSE)</f>
        <v>Quadro You - Push to open Silent; &lt;10kg</v>
      </c>
      <c r="AW69" s="22">
        <f>VLOOKUP(AU69,CENY!$B$11:$G$1054,3,FALSE)</f>
        <v>1</v>
      </c>
      <c r="AX69" s="22"/>
      <c r="AY69" s="68"/>
      <c r="AZ69" s="326" t="str">
        <f t="shared" si="1"/>
        <v/>
      </c>
      <c r="BA69" s="95">
        <f>VLOOKUP(AU69,CENY!$B$11:$M$2025,12,FALSE)</f>
        <v>23.114239999999999</v>
      </c>
      <c r="BB69" s="95">
        <f t="shared" si="0"/>
        <v>0</v>
      </c>
      <c r="BD69" s="319">
        <f>OBJ!B262</f>
        <v>9318180</v>
      </c>
      <c r="BE69" s="21" t="str">
        <f>VLOOKUP(BD69,CENY!$B$11:$G$1054,2,FALSE)</f>
        <v>Actro You(L) 500/SiSy 40kg; EB21; pravý</v>
      </c>
      <c r="BF69" s="22">
        <f>VLOOKUP(BD69,CENY!$B$11:$G$1054,3,FALSE)</f>
        <v>10</v>
      </c>
      <c r="BG69" s="22"/>
      <c r="BH69" s="23">
        <f>AY40</f>
        <v>0</v>
      </c>
      <c r="BI69" s="326">
        <f t="shared" si="2"/>
        <v>0</v>
      </c>
      <c r="BJ69" s="95">
        <f>VLOOKUP(BD69,CENY!$B$11:$M$2025,12,FALSE)</f>
        <v>13.931559999999999</v>
      </c>
      <c r="BK69" s="95">
        <f t="shared" si="3"/>
        <v>0</v>
      </c>
    </row>
    <row r="70" spans="1:63" ht="14.45" customHeight="1">
      <c r="A70" s="579"/>
      <c r="AU70" s="319">
        <f>OBJ!B330</f>
        <v>9257895</v>
      </c>
      <c r="AV70" s="21" t="str">
        <f>VLOOKUP(AU70,CENY!$B$11:$G$1054,2,FALSE)</f>
        <v>Quadro You - Push to open Silent; 8-20kg</v>
      </c>
      <c r="AW70" s="22">
        <f>VLOOKUP(AU70,CENY!$B$11:$G$1054,3,FALSE)</f>
        <v>1</v>
      </c>
      <c r="AX70" s="22"/>
      <c r="AY70" s="68"/>
      <c r="AZ70" s="326" t="str">
        <f t="shared" si="1"/>
        <v/>
      </c>
      <c r="BA70" s="95">
        <f>VLOOKUP(AU70,CENY!$B$11:$M$2025,12,FALSE)</f>
        <v>23.114239999999999</v>
      </c>
      <c r="BB70" s="95">
        <f t="shared" si="0"/>
        <v>0</v>
      </c>
      <c r="BD70" s="319">
        <f>OBJ!B263</f>
        <v>9318181</v>
      </c>
      <c r="BE70" s="21" t="str">
        <f>VLOOKUP(BD70,CENY!$B$11:$G$1054,2,FALSE)</f>
        <v>Actro You(L) 550/SiSy 40kg; EB21; ľavý</v>
      </c>
      <c r="BF70" s="22">
        <f>VLOOKUP(BD70,CENY!$B$11:$G$1054,3,FALSE)</f>
        <v>10</v>
      </c>
      <c r="BG70" s="22"/>
      <c r="BH70" s="23">
        <f>AY41</f>
        <v>0</v>
      </c>
      <c r="BI70" s="326">
        <f t="shared" si="2"/>
        <v>0</v>
      </c>
      <c r="BJ70" s="95">
        <f>VLOOKUP(BD70,CENY!$B$11:$M$2025,12,FALSE)</f>
        <v>15.147040000000001</v>
      </c>
      <c r="BK70" s="95">
        <f t="shared" si="3"/>
        <v>0</v>
      </c>
    </row>
    <row r="71" spans="1:63" ht="14.45" customHeight="1">
      <c r="A71" s="579"/>
      <c r="AU71" s="319">
        <f>OBJ!B331</f>
        <v>9257896</v>
      </c>
      <c r="AV71" s="21" t="str">
        <f>VLOOKUP(AU71,CENY!$B$11:$G$1054,2,FALSE)</f>
        <v>Quadro You - Push to open Silent; 10-30kg</v>
      </c>
      <c r="AW71" s="22">
        <f>VLOOKUP(AU71,CENY!$B$11:$G$1054,3,FALSE)</f>
        <v>1</v>
      </c>
      <c r="AX71" s="22"/>
      <c r="AY71" s="68"/>
      <c r="AZ71" s="326" t="str">
        <f t="shared" si="1"/>
        <v/>
      </c>
      <c r="BA71" s="95">
        <f>VLOOKUP(AU71,CENY!$B$11:$M$2025,12,FALSE)</f>
        <v>23.114239999999999</v>
      </c>
      <c r="BB71" s="95">
        <f t="shared" si="0"/>
        <v>0</v>
      </c>
      <c r="BD71" s="319">
        <f>OBJ!B264</f>
        <v>9318182</v>
      </c>
      <c r="BE71" s="21" t="str">
        <f>VLOOKUP(BD71,CENY!$B$11:$G$1054,2,FALSE)</f>
        <v>Actro You(L) 550/SiSy 40kg; EB21; pravý</v>
      </c>
      <c r="BF71" s="22">
        <f>VLOOKUP(BD71,CENY!$B$11:$G$1054,3,FALSE)</f>
        <v>10</v>
      </c>
      <c r="BG71" s="22"/>
      <c r="BH71" s="23">
        <f>AY41</f>
        <v>0</v>
      </c>
      <c r="BI71" s="326">
        <f t="shared" si="2"/>
        <v>0</v>
      </c>
      <c r="BJ71" s="95">
        <f>VLOOKUP(BD71,CENY!$B$11:$M$2025,12,FALSE)</f>
        <v>15.147040000000001</v>
      </c>
      <c r="BK71" s="95">
        <f t="shared" si="3"/>
        <v>0</v>
      </c>
    </row>
    <row r="72" spans="1:63" ht="14.45" customHeight="1">
      <c r="A72" s="579"/>
      <c r="AU72" s="319"/>
      <c r="AV72" s="21"/>
      <c r="AW72" s="22"/>
      <c r="AX72" s="22"/>
      <c r="AY72" s="23"/>
      <c r="AZ72" s="326" t="str">
        <f t="shared" si="1"/>
        <v/>
      </c>
      <c r="BA72" s="95"/>
      <c r="BB72" s="95" t="str">
        <f t="shared" si="0"/>
        <v/>
      </c>
      <c r="BD72" s="319">
        <f>OBJ!B265</f>
        <v>9318183</v>
      </c>
      <c r="BE72" s="21" t="str">
        <f>VLOOKUP(BD72,CENY!$B$11:$G$1054,2,FALSE)</f>
        <v>Actro You(L) 600/SiSy 40kg; EB21; ľavý</v>
      </c>
      <c r="BF72" s="22">
        <f>VLOOKUP(BD72,CENY!$B$11:$G$1054,3,FALSE)</f>
        <v>10</v>
      </c>
      <c r="BG72" s="22"/>
      <c r="BH72" s="23">
        <f>AY42</f>
        <v>0</v>
      </c>
      <c r="BI72" s="326">
        <f t="shared" si="2"/>
        <v>0</v>
      </c>
      <c r="BJ72" s="95">
        <f>VLOOKUP(BD72,CENY!$B$11:$M$2025,12,FALSE)</f>
        <v>15.35308</v>
      </c>
      <c r="BK72" s="95">
        <f t="shared" si="3"/>
        <v>0</v>
      </c>
    </row>
    <row r="73" spans="1:63" ht="14.45" customHeight="1">
      <c r="A73" s="579"/>
      <c r="AU73" s="319">
        <f>OBJ!B333</f>
        <v>9256928</v>
      </c>
      <c r="AV73" s="21" t="str">
        <f>VLOOKUP(AU73,CENY!$B$11:$G$1054,2,FALSE)</f>
        <v>Quadro You(M) 270/P2O 20kg; EB21</v>
      </c>
      <c r="AW73" s="22">
        <f>VLOOKUP(AU73,CENY!$B$11:$G$1054,3,FALSE)</f>
        <v>1</v>
      </c>
      <c r="AX73" s="362">
        <v>8</v>
      </c>
      <c r="AY73" s="68"/>
      <c r="AZ73" s="326" t="str">
        <f t="shared" si="1"/>
        <v/>
      </c>
      <c r="BA73" s="95">
        <f>VLOOKUP(AU73,CENY!$B$11:$M$2025,12,FALSE)</f>
        <v>25.824369999999998</v>
      </c>
      <c r="BB73" s="95">
        <f t="shared" si="0"/>
        <v>0</v>
      </c>
      <c r="BD73" s="319">
        <f>OBJ!B266</f>
        <v>9318184</v>
      </c>
      <c r="BE73" s="21" t="str">
        <f>VLOOKUP(BD73,CENY!$B$11:$G$1054,2,FALSE)</f>
        <v>Actro You(L) 600/SiSy 40kg; EB21; pravý</v>
      </c>
      <c r="BF73" s="22">
        <f>VLOOKUP(BD73,CENY!$B$11:$G$1054,3,FALSE)</f>
        <v>10</v>
      </c>
      <c r="BG73" s="22"/>
      <c r="BH73" s="23">
        <f>AY42</f>
        <v>0</v>
      </c>
      <c r="BI73" s="326">
        <f t="shared" si="2"/>
        <v>0</v>
      </c>
      <c r="BJ73" s="95" t="e">
        <f>VLOOKUP(BD73,CENY!$B$11:$M$2025,12,FALSE)</f>
        <v>#N/A</v>
      </c>
      <c r="BK73" s="95" t="e">
        <f t="shared" si="3"/>
        <v>#N/A</v>
      </c>
    </row>
    <row r="74" spans="1:63" ht="14.45" customHeight="1">
      <c r="A74" s="579"/>
      <c r="AU74" s="319">
        <f>OBJ!B334</f>
        <v>9256929</v>
      </c>
      <c r="AV74" s="21" t="str">
        <f>VLOOKUP(AU74,CENY!$B$11:$G$1054,2,FALSE)</f>
        <v>Quadro You(M) 300/P2O 20kg; EB21</v>
      </c>
      <c r="AW74" s="22">
        <f>VLOOKUP(AU74,CENY!$B$11:$G$1054,3,FALSE)</f>
        <v>1</v>
      </c>
      <c r="AX74" s="362">
        <v>8</v>
      </c>
      <c r="AY74" s="68"/>
      <c r="AZ74" s="326" t="str">
        <f t="shared" si="1"/>
        <v/>
      </c>
      <c r="BA74" s="95">
        <f>VLOOKUP(AU74,CENY!$B$11:$M$2025,12,FALSE)</f>
        <v>25.86984</v>
      </c>
      <c r="BB74" s="95">
        <f t="shared" si="0"/>
        <v>0</v>
      </c>
      <c r="BD74" s="319"/>
      <c r="BE74" s="21"/>
      <c r="BF74" s="22"/>
      <c r="BG74" s="22"/>
      <c r="BH74" s="23"/>
      <c r="BI74" s="326" t="str">
        <f t="shared" si="2"/>
        <v/>
      </c>
      <c r="BJ74" s="95"/>
      <c r="BK74" s="95" t="str">
        <f t="shared" si="3"/>
        <v/>
      </c>
    </row>
    <row r="75" spans="1:63" ht="14.45" customHeight="1">
      <c r="A75" s="579"/>
      <c r="AU75" s="319">
        <f>OBJ!B335</f>
        <v>9256931</v>
      </c>
      <c r="AV75" s="21" t="str">
        <f>VLOOKUP(AU75,CENY!$B$11:$G$1054,2,FALSE)</f>
        <v>Quadro You(M) 350/P2O 25kg; EB21</v>
      </c>
      <c r="AW75" s="22">
        <f>VLOOKUP(AU75,CENY!$B$11:$G$1054,3,FALSE)</f>
        <v>1</v>
      </c>
      <c r="AX75" s="362">
        <v>8</v>
      </c>
      <c r="AY75" s="68"/>
      <c r="AZ75" s="326" t="str">
        <f t="shared" si="1"/>
        <v/>
      </c>
      <c r="BA75" s="95">
        <f>VLOOKUP(AU75,CENY!$B$11:$M$2025,12,FALSE)</f>
        <v>26.336690000000001</v>
      </c>
      <c r="BB75" s="95">
        <f t="shared" ref="BB75:BB141" si="11">IF(BA75="","",BA75*AY75)</f>
        <v>0</v>
      </c>
      <c r="BD75" s="319">
        <f>OBJ!B273</f>
        <v>9318198</v>
      </c>
      <c r="BE75" s="21" t="str">
        <f>VLOOKUP(BD75,CENY!$B$11:$G$1054,2,FALSE)</f>
        <v>Actro You(XL) 450/SiSy 70kg; EB21; ľavý</v>
      </c>
      <c r="BF75" s="22">
        <f>VLOOKUP(BD75,CENY!$B$11:$G$1054,3,FALSE)</f>
        <v>10</v>
      </c>
      <c r="BG75" s="22"/>
      <c r="BH75" s="23">
        <f>AY44</f>
        <v>0</v>
      </c>
      <c r="BI75" s="326">
        <f t="shared" si="2"/>
        <v>0</v>
      </c>
      <c r="BJ75" s="95" t="e">
        <f>VLOOKUP(BD75,CENY!$B$11:$M$2025,12,FALSE)</f>
        <v>#N/A</v>
      </c>
      <c r="BK75" s="95" t="e">
        <f t="shared" si="3"/>
        <v>#N/A</v>
      </c>
    </row>
    <row r="76" spans="1:63" ht="14.45" customHeight="1">
      <c r="A76" s="579"/>
      <c r="AU76" s="319">
        <f>OBJ!B336</f>
        <v>9256933</v>
      </c>
      <c r="AV76" s="21" t="str">
        <f>VLOOKUP(AU76,CENY!$B$11:$G$1054,2,FALSE)</f>
        <v>Quadro You(M) 400/P2O 30kg; EB21</v>
      </c>
      <c r="AW76" s="22">
        <f>VLOOKUP(AU76,CENY!$B$11:$G$1054,3,FALSE)</f>
        <v>1</v>
      </c>
      <c r="AX76" s="362">
        <v>8</v>
      </c>
      <c r="AY76" s="68"/>
      <c r="AZ76" s="326" t="str">
        <f t="shared" ref="AZ76:AZ142" si="12">IF(AY76="","",IF($AW$4=1,AY76,0))</f>
        <v/>
      </c>
      <c r="BA76" s="95">
        <f>VLOOKUP(AU76,CENY!$B$11:$M$2025,12,FALSE)</f>
        <v>26.80339</v>
      </c>
      <c r="BB76" s="95">
        <f t="shared" si="11"/>
        <v>0</v>
      </c>
      <c r="BD76" s="319">
        <f>OBJ!B274</f>
        <v>9318199</v>
      </c>
      <c r="BE76" s="21" t="str">
        <f>VLOOKUP(BD76,CENY!$B$11:$G$1054,2,FALSE)</f>
        <v>Actro You(XL) 450/SiSy 70kg; EB21; pravý</v>
      </c>
      <c r="BF76" s="22">
        <f>VLOOKUP(BD76,CENY!$B$11:$G$1054,3,FALSE)</f>
        <v>10</v>
      </c>
      <c r="BG76" s="22"/>
      <c r="BH76" s="23">
        <f>AY44</f>
        <v>0</v>
      </c>
      <c r="BI76" s="326">
        <f t="shared" si="2"/>
        <v>0</v>
      </c>
      <c r="BJ76" s="95" t="e">
        <f>VLOOKUP(BD76,CENY!$B$11:$M$2025,12,FALSE)</f>
        <v>#N/A</v>
      </c>
      <c r="BK76" s="95" t="e">
        <f t="shared" si="3"/>
        <v>#N/A</v>
      </c>
    </row>
    <row r="77" spans="1:63" ht="14.45" customHeight="1">
      <c r="A77" s="579"/>
      <c r="AU77" s="319">
        <f>OBJ!B337</f>
        <v>9256935</v>
      </c>
      <c r="AV77" s="21" t="str">
        <f>VLOOKUP(AU77,CENY!$B$11:$G$1054,2,FALSE)</f>
        <v>Quadro You(M) 450/P2O 30kg; EB21</v>
      </c>
      <c r="AW77" s="22">
        <f>VLOOKUP(AU77,CENY!$B$11:$G$1054,3,FALSE)</f>
        <v>1</v>
      </c>
      <c r="AX77" s="362">
        <v>8</v>
      </c>
      <c r="AY77" s="68"/>
      <c r="AZ77" s="326" t="str">
        <f t="shared" si="12"/>
        <v/>
      </c>
      <c r="BA77" s="95">
        <f>VLOOKUP(AU77,CENY!$B$11:$M$2025,12,FALSE)</f>
        <v>27.270389999999999</v>
      </c>
      <c r="BB77" s="95">
        <f t="shared" si="11"/>
        <v>0</v>
      </c>
      <c r="BD77" s="319">
        <f>OBJ!B275</f>
        <v>9318201</v>
      </c>
      <c r="BE77" s="21" t="str">
        <f>VLOOKUP(BD77,CENY!$B$11:$G$1054,2,FALSE)</f>
        <v>Actro You(XL) 500/SiSy 70kg; EB21; ľavý</v>
      </c>
      <c r="BF77" s="22">
        <f>VLOOKUP(BD77,CENY!$B$11:$G$1054,3,FALSE)</f>
        <v>10</v>
      </c>
      <c r="BG77" s="22"/>
      <c r="BH77" s="23">
        <f>AY45</f>
        <v>0</v>
      </c>
      <c r="BI77" s="326">
        <f t="shared" si="2"/>
        <v>0</v>
      </c>
      <c r="BJ77" s="95">
        <f>VLOOKUP(BD77,CENY!$B$11:$M$2025,12,FALSE)</f>
        <v>17.52394</v>
      </c>
      <c r="BK77" s="95">
        <f t="shared" si="3"/>
        <v>0</v>
      </c>
    </row>
    <row r="78" spans="1:63" ht="14.45" customHeight="1">
      <c r="A78" s="579"/>
      <c r="AU78" s="319">
        <f>OBJ!B338</f>
        <v>9256937</v>
      </c>
      <c r="AV78" s="21" t="str">
        <f>VLOOKUP(AU78,CENY!$B$11:$G$1054,2,FALSE)</f>
        <v>Quadro You(M) 500/P2O 30kg; EB21</v>
      </c>
      <c r="AW78" s="22">
        <f>VLOOKUP(AU78,CENY!$B$11:$G$1054,3,FALSE)</f>
        <v>1</v>
      </c>
      <c r="AX78" s="362">
        <v>8</v>
      </c>
      <c r="AY78" s="68"/>
      <c r="AZ78" s="326" t="str">
        <f t="shared" si="12"/>
        <v/>
      </c>
      <c r="BA78" s="95">
        <f>VLOOKUP(AU78,CENY!$B$11:$M$2025,12,FALSE)</f>
        <v>5.5988800000000003</v>
      </c>
      <c r="BB78" s="95">
        <f t="shared" si="11"/>
        <v>0</v>
      </c>
      <c r="BD78" s="319">
        <f>OBJ!B276</f>
        <v>9318203</v>
      </c>
      <c r="BE78" s="21" t="str">
        <f>VLOOKUP(BD78,CENY!$B$11:$G$1054,2,FALSE)</f>
        <v>Actro You(XL) 500/SiSy 70kg; EB21; pravý</v>
      </c>
      <c r="BF78" s="22">
        <f>VLOOKUP(BD78,CENY!$B$11:$G$1054,3,FALSE)</f>
        <v>10</v>
      </c>
      <c r="BG78" s="22"/>
      <c r="BH78" s="23">
        <f>AY45</f>
        <v>0</v>
      </c>
      <c r="BI78" s="326">
        <f t="shared" si="2"/>
        <v>0</v>
      </c>
      <c r="BJ78" s="95">
        <f>VLOOKUP(BD78,CENY!$B$11:$M$2025,12,FALSE)</f>
        <v>17.52394</v>
      </c>
      <c r="BK78" s="95">
        <f t="shared" si="3"/>
        <v>0</v>
      </c>
    </row>
    <row r="79" spans="1:63" ht="14.45" customHeight="1">
      <c r="A79" s="579"/>
      <c r="O79" s="578">
        <f>CEILING((O85*AY1)/FLOOR(2000/O86,1),1)</f>
        <v>0</v>
      </c>
      <c r="P79" s="578"/>
      <c r="Q79" s="578">
        <f>CEILING((Q85*AY1)/FLOOR(2000/Q86,1),1)</f>
        <v>0</v>
      </c>
      <c r="R79" s="578"/>
      <c r="S79" s="578">
        <f>CEILING((S85*AY1)/FLOOR(2000/S86,1),1)</f>
        <v>0</v>
      </c>
      <c r="T79" s="578"/>
      <c r="U79" s="578">
        <f>CEILING((U85*AY1)/FLOOR(2000/U86,1),1)</f>
        <v>0</v>
      </c>
      <c r="V79" s="578"/>
      <c r="W79" s="578">
        <f>CEILING((W85*AY1)/FLOOR(2000/W86,1),1)</f>
        <v>0</v>
      </c>
      <c r="X79" s="578"/>
      <c r="Y79" s="578">
        <f>CEILING((Y85*AY1)/FLOOR(2000/Y86,1),1)</f>
        <v>0</v>
      </c>
      <c r="Z79" s="578"/>
      <c r="AA79" s="578">
        <f>CEILING((AA85*AY1)/FLOOR(2000/AA86,1),1)</f>
        <v>0</v>
      </c>
      <c r="AB79" s="578"/>
      <c r="AC79" s="578">
        <f>CEILING((AC85*AY1)/FLOOR(2000/AC86,1),1)</f>
        <v>0</v>
      </c>
      <c r="AD79" s="578"/>
      <c r="AE79" s="578">
        <f>CEILING((AE85*AY1)/FLOOR(2000/AE86,1),1)</f>
        <v>0</v>
      </c>
      <c r="AF79" s="578"/>
      <c r="AG79" s="578">
        <f>CEILING((AG85*AY1)/FLOOR(2000/AG86,1),1)</f>
        <v>0</v>
      </c>
      <c r="AH79" s="578"/>
      <c r="AI79" s="578">
        <f>CEILING((AI85*AY1)/FLOOR(2000/AI86,1),1)</f>
        <v>0</v>
      </c>
      <c r="AJ79" s="578"/>
      <c r="AU79" s="319">
        <f>OBJ!B339</f>
        <v>9256939</v>
      </c>
      <c r="AV79" s="21" t="str">
        <f>VLOOKUP(AU79,CENY!$B$11:$G$1054,2,FALSE)</f>
        <v>Quadro You(M) 550/P2O 30kg; EB21</v>
      </c>
      <c r="AW79" s="22">
        <f>VLOOKUP(AU79,CENY!$B$11:$G$1054,3,FALSE)</f>
        <v>1</v>
      </c>
      <c r="AX79" s="362">
        <v>8</v>
      </c>
      <c r="AY79" s="68"/>
      <c r="AZ79" s="326" t="str">
        <f t="shared" si="12"/>
        <v/>
      </c>
      <c r="BA79" s="95">
        <f>VLOOKUP(AU79,CENY!$B$11:$M$2025,12,FALSE)</f>
        <v>28.20382</v>
      </c>
      <c r="BB79" s="95">
        <f t="shared" si="11"/>
        <v>0</v>
      </c>
      <c r="BD79" s="319">
        <f>OBJ!B277</f>
        <v>9318208</v>
      </c>
      <c r="BE79" s="21" t="str">
        <f>VLOOKUP(BD79,CENY!$B$11:$G$1054,2,FALSE)</f>
        <v>Actro You(XL) 550/SiSy 70kg; EB21; ľavý</v>
      </c>
      <c r="BF79" s="22">
        <f>VLOOKUP(BD79,CENY!$B$11:$G$1054,3,FALSE)</f>
        <v>10</v>
      </c>
      <c r="BG79" s="22"/>
      <c r="BH79" s="23">
        <f>AY46</f>
        <v>0</v>
      </c>
      <c r="BI79" s="326">
        <f t="shared" si="2"/>
        <v>0</v>
      </c>
      <c r="BJ79" s="95">
        <f>VLOOKUP(BD79,CENY!$B$11:$M$2025,12,FALSE)</f>
        <v>18.45496</v>
      </c>
      <c r="BK79" s="95">
        <f t="shared" si="3"/>
        <v>0</v>
      </c>
    </row>
    <row r="80" spans="1:63" ht="14.45" customHeight="1">
      <c r="A80" s="579"/>
      <c r="O80" s="578">
        <f>CEILING((O85*AY3)/FLOOR(2000/O86,1),1)</f>
        <v>0</v>
      </c>
      <c r="P80" s="578"/>
      <c r="Q80" s="578">
        <f>CEILING((Q85*AY3)/FLOOR(2000/Q86,1),1)</f>
        <v>0</v>
      </c>
      <c r="R80" s="578"/>
      <c r="S80" s="578">
        <f>CEILING((S85*AY3)/FLOOR(2000/S86,1),1)</f>
        <v>0</v>
      </c>
      <c r="T80" s="578"/>
      <c r="U80" s="578">
        <f>CEILING((U85*AY3)/FLOOR(2000/U86,1),1)</f>
        <v>0</v>
      </c>
      <c r="V80" s="578"/>
      <c r="W80" s="578">
        <f>CEILING((W85*AY3)/FLOOR(2000/W86,1),1)</f>
        <v>0</v>
      </c>
      <c r="X80" s="578"/>
      <c r="Y80" s="578">
        <f>CEILING((Y85*AY3)/FLOOR(2000/Y86,1),1)</f>
        <v>0</v>
      </c>
      <c r="Z80" s="578"/>
      <c r="AA80" s="578">
        <f>CEILING((AA85*AY3)/FLOOR(2000/AA86,1),1)</f>
        <v>0</v>
      </c>
      <c r="AB80" s="578"/>
      <c r="AC80" s="578">
        <f>CEILING((AC85*AY3)/FLOOR(2000/AC86,1),1)</f>
        <v>0</v>
      </c>
      <c r="AD80" s="578"/>
      <c r="AE80" s="578">
        <f>CEILING((AE85*AY3)/FLOOR(2000/AE86,1),1)</f>
        <v>0</v>
      </c>
      <c r="AF80" s="578"/>
      <c r="AG80" s="578">
        <f>CEILING((AG85*AY3)/FLOOR(2000/AG86,1),1)</f>
        <v>0</v>
      </c>
      <c r="AH80" s="578"/>
      <c r="AI80" s="578">
        <f>CEILING((AI85*AY3)/FLOOR(2000/AI86,1),1)</f>
        <v>0</v>
      </c>
      <c r="AJ80" s="578"/>
      <c r="AU80" s="319">
        <f>OBJ!B340</f>
        <v>9256941</v>
      </c>
      <c r="AV80" s="21" t="str">
        <f>VLOOKUP(AU80,CENY!$B$11:$G$1054,2,FALSE)</f>
        <v>Quadro You(M) 600/P2O 25kg; EB21</v>
      </c>
      <c r="AW80" s="22">
        <f>VLOOKUP(AU80,CENY!$B$11:$G$1054,3,FALSE)</f>
        <v>1</v>
      </c>
      <c r="AX80" s="362">
        <v>8</v>
      </c>
      <c r="AY80" s="68"/>
      <c r="AZ80" s="326" t="str">
        <f t="shared" si="12"/>
        <v/>
      </c>
      <c r="BA80" s="95">
        <f>VLOOKUP(AU80,CENY!$B$11:$M$2025,12,FALSE)</f>
        <v>28.670570000000001</v>
      </c>
      <c r="BB80" s="95">
        <f t="shared" si="11"/>
        <v>0</v>
      </c>
      <c r="BD80" s="319">
        <f>OBJ!B278</f>
        <v>9318209</v>
      </c>
      <c r="BE80" s="21" t="str">
        <f>VLOOKUP(BD80,CENY!$B$11:$G$1054,2,FALSE)</f>
        <v>Actro You(XL) 550/SiSy 70kg; EB21; pravý</v>
      </c>
      <c r="BF80" s="22">
        <f>VLOOKUP(BD80,CENY!$B$11:$G$1054,3,FALSE)</f>
        <v>10</v>
      </c>
      <c r="BG80" s="22"/>
      <c r="BH80" s="23">
        <f>AY46</f>
        <v>0</v>
      </c>
      <c r="BI80" s="326">
        <f t="shared" si="2"/>
        <v>0</v>
      </c>
      <c r="BJ80" s="95">
        <f>VLOOKUP(BD80,CENY!$B$11:$M$2025,12,FALSE)</f>
        <v>18.45496</v>
      </c>
      <c r="BK80" s="95">
        <f t="shared" si="3"/>
        <v>0</v>
      </c>
    </row>
    <row r="81" spans="1:63" ht="14.45" customHeight="1">
      <c r="A81" s="579"/>
      <c r="O81" s="577">
        <f>O86*O85*$AY$1</f>
        <v>0</v>
      </c>
      <c r="P81" s="577"/>
      <c r="Q81" s="577">
        <f>Q86*Q85*$AY$1</f>
        <v>0</v>
      </c>
      <c r="R81" s="577"/>
      <c r="S81" s="577">
        <f>S86*S85*$AY$1</f>
        <v>0</v>
      </c>
      <c r="T81" s="577"/>
      <c r="U81" s="577">
        <f>U86*U85*$AY$1</f>
        <v>0</v>
      </c>
      <c r="V81" s="577"/>
      <c r="W81" s="577">
        <f>W86*W85*$AY$1</f>
        <v>0</v>
      </c>
      <c r="X81" s="577"/>
      <c r="Y81" s="577">
        <f>Y86*Y85*$AY$1</f>
        <v>0</v>
      </c>
      <c r="Z81" s="577"/>
      <c r="AA81" s="577">
        <f>AA86*AA85*$AY$1</f>
        <v>0</v>
      </c>
      <c r="AB81" s="577"/>
      <c r="AC81" s="577">
        <f>AC86*AC85*$AY$1</f>
        <v>0</v>
      </c>
      <c r="AD81" s="577"/>
      <c r="AE81" s="577">
        <f>AE86*AE85*$AY$1</f>
        <v>0</v>
      </c>
      <c r="AF81" s="577"/>
      <c r="AG81" s="577">
        <f>AG86*AG85*$AY$1</f>
        <v>0</v>
      </c>
      <c r="AH81" s="577"/>
      <c r="AI81" s="577">
        <f>AI86*AI85*$AY$1</f>
        <v>0</v>
      </c>
      <c r="AJ81" s="577"/>
      <c r="AU81" s="319"/>
      <c r="AV81" s="21"/>
      <c r="AW81" s="22"/>
      <c r="AX81" s="22"/>
      <c r="AY81" s="23"/>
      <c r="AZ81" s="326" t="str">
        <f t="shared" si="12"/>
        <v/>
      </c>
      <c r="BA81" s="95"/>
      <c r="BB81" s="95" t="str">
        <f t="shared" si="11"/>
        <v/>
      </c>
      <c r="BD81" s="319">
        <f>OBJ!B279</f>
        <v>9318211</v>
      </c>
      <c r="BE81" s="21" t="str">
        <f>VLOOKUP(BD81,CENY!$B$11:$G$1054,2,FALSE)</f>
        <v>Actro You(XL) 600/SiSy 70kg; EB21; ľavý</v>
      </c>
      <c r="BF81" s="22">
        <f>VLOOKUP(BD81,CENY!$B$11:$G$1054,3,FALSE)</f>
        <v>10</v>
      </c>
      <c r="BG81" s="22"/>
      <c r="BH81" s="23">
        <f>AY47</f>
        <v>0</v>
      </c>
      <c r="BI81" s="326">
        <f t="shared" si="2"/>
        <v>0</v>
      </c>
      <c r="BJ81" s="95">
        <f>VLOOKUP(BD81,CENY!$B$11:$M$2025,12,FALSE)</f>
        <v>21.352720000000001</v>
      </c>
      <c r="BK81" s="95">
        <f t="shared" si="3"/>
        <v>0</v>
      </c>
    </row>
    <row r="82" spans="1:63" ht="14.45" customHeight="1">
      <c r="A82" s="579"/>
      <c r="O82" s="577">
        <f>O86*O85*$AY$3</f>
        <v>0</v>
      </c>
      <c r="P82" s="577"/>
      <c r="Q82" s="577">
        <f>Q86*Q85*$AY$3</f>
        <v>0</v>
      </c>
      <c r="R82" s="577"/>
      <c r="S82" s="577">
        <f>S86*S85*$AY$3</f>
        <v>0</v>
      </c>
      <c r="T82" s="577"/>
      <c r="U82" s="577">
        <f>U86*U85*$AY$3</f>
        <v>0</v>
      </c>
      <c r="V82" s="577"/>
      <c r="W82" s="577">
        <f>W86*W85*$AY$3</f>
        <v>0</v>
      </c>
      <c r="X82" s="577"/>
      <c r="Y82" s="577">
        <f>Y86*Y85*$AY$3</f>
        <v>0</v>
      </c>
      <c r="Z82" s="577"/>
      <c r="AA82" s="577">
        <f>AA86*AA85*$AY$3</f>
        <v>0</v>
      </c>
      <c r="AB82" s="577"/>
      <c r="AC82" s="577">
        <f>AC86*AC85*$AY$3</f>
        <v>0</v>
      </c>
      <c r="AD82" s="577"/>
      <c r="AE82" s="577">
        <f>AE86*AE85*$AY$3</f>
        <v>0</v>
      </c>
      <c r="AF82" s="577"/>
      <c r="AG82" s="577">
        <f>AG86*AG85*$AY$3</f>
        <v>0</v>
      </c>
      <c r="AH82" s="577"/>
      <c r="AI82" s="577">
        <f>AI86*AI85*$AY$3</f>
        <v>0</v>
      </c>
      <c r="AJ82" s="577"/>
      <c r="AK82" s="579"/>
      <c r="AL82" s="579"/>
      <c r="AU82" s="319">
        <f>OBJ!B358</f>
        <v>9219966</v>
      </c>
      <c r="AV82" s="21" t="str">
        <f>VLOOKUP(AU82,CENY!$B$11:$G$1054,2,FALSE)</f>
        <v>Push to open Synchro / adaptér typ A</v>
      </c>
      <c r="AW82" s="22">
        <f>VLOOKUP(AU82,CENY!$B$11:$G$1054,3,FALSE)</f>
        <v>200</v>
      </c>
      <c r="AX82" s="22"/>
      <c r="AY82" s="68"/>
      <c r="AZ82" s="326" t="str">
        <f t="shared" si="12"/>
        <v/>
      </c>
      <c r="BA82" s="95">
        <f>VLOOKUP(AU82,CENY!$B$11:$M$2025,12,FALSE)</f>
        <v>0.79318999999999995</v>
      </c>
      <c r="BB82" s="95">
        <f t="shared" si="11"/>
        <v>0</v>
      </c>
      <c r="BD82" s="319">
        <f>OBJ!B280</f>
        <v>9318212</v>
      </c>
      <c r="BE82" s="21" t="str">
        <f>VLOOKUP(BD82,CENY!$B$11:$G$1054,2,FALSE)</f>
        <v>Actro You(XL) 600/SiSy 70kg; EB21; pravý</v>
      </c>
      <c r="BF82" s="22">
        <f>VLOOKUP(BD82,CENY!$B$11:$G$1054,3,FALSE)</f>
        <v>10</v>
      </c>
      <c r="BG82" s="22"/>
      <c r="BH82" s="23">
        <f>AY47</f>
        <v>0</v>
      </c>
      <c r="BI82" s="326">
        <f t="shared" si="2"/>
        <v>0</v>
      </c>
      <c r="BJ82" s="95">
        <f>VLOOKUP(BD82,CENY!$B$11:$M$2025,12,FALSE)</f>
        <v>21.352720000000001</v>
      </c>
      <c r="BK82" s="95">
        <f t="shared" si="3"/>
        <v>0</v>
      </c>
    </row>
    <row r="83" spans="1:63" ht="14.45" customHeight="1" thickBot="1">
      <c r="A83" s="579"/>
      <c r="B83" s="1" t="str">
        <f>verze!E162</f>
        <v>Čelo na vnútornú zásuvku</v>
      </c>
      <c r="O83" s="583" t="str">
        <f>verze!E163</f>
        <v>vonkajšie rozmery zásuvkovej skrinky [mm]</v>
      </c>
      <c r="P83" s="584"/>
      <c r="Q83" s="584"/>
      <c r="R83" s="584"/>
      <c r="S83" s="584"/>
      <c r="T83" s="584"/>
      <c r="U83" s="584"/>
      <c r="V83" s="584"/>
      <c r="W83" s="584"/>
      <c r="X83" s="584"/>
      <c r="Y83" s="584"/>
      <c r="Z83" s="584"/>
      <c r="AA83" s="584"/>
      <c r="AB83" s="584"/>
      <c r="AC83" s="584"/>
      <c r="AD83" s="584"/>
      <c r="AE83" s="584"/>
      <c r="AF83" s="584"/>
      <c r="AG83" s="584"/>
      <c r="AH83" s="584"/>
      <c r="AI83" s="584"/>
      <c r="AJ83" s="584"/>
      <c r="AU83" s="319"/>
      <c r="AV83" s="21"/>
      <c r="AW83" s="22"/>
      <c r="AX83" s="22"/>
      <c r="AY83" s="23"/>
      <c r="AZ83" s="326" t="str">
        <f t="shared" si="12"/>
        <v/>
      </c>
      <c r="BA83" s="95"/>
      <c r="BB83" s="95" t="str">
        <f t="shared" si="11"/>
        <v/>
      </c>
      <c r="BD83" s="319">
        <f>OBJ!B281</f>
        <v>9318213</v>
      </c>
      <c r="BE83" s="21" t="str">
        <f>VLOOKUP(BD83,CENY!$B$11:$G$1054,2,FALSE)</f>
        <v>Actro You(XL) 650/SiSy 70kg; EB21; ľavý</v>
      </c>
      <c r="BF83" s="22">
        <f>VLOOKUP(BD83,CENY!$B$11:$G$1054,3,FALSE)</f>
        <v>5</v>
      </c>
      <c r="BG83" s="22"/>
      <c r="BH83" s="23">
        <f>AY48</f>
        <v>0</v>
      </c>
      <c r="BI83" s="326">
        <f t="shared" si="2"/>
        <v>0</v>
      </c>
      <c r="BJ83" s="95">
        <f>VLOOKUP(BD83,CENY!$B$11:$M$2025,12,FALSE)</f>
        <v>22.243659999999998</v>
      </c>
      <c r="BK83" s="95">
        <f t="shared" si="3"/>
        <v>0</v>
      </c>
    </row>
    <row r="84" spans="1:63" ht="14.45" customHeight="1" thickBot="1">
      <c r="A84" s="579"/>
      <c r="B84" s="96"/>
      <c r="C84" s="96"/>
      <c r="D84" s="96"/>
      <c r="E84" s="96"/>
      <c r="F84" s="96"/>
      <c r="G84" s="96"/>
      <c r="H84" s="72"/>
      <c r="I84" s="72"/>
      <c r="J84" s="72"/>
      <c r="K84" s="72"/>
      <c r="L84" s="72"/>
      <c r="M84" s="72"/>
      <c r="N84" s="72" t="str">
        <f>verze!E166&amp;" "</f>
        <v xml:space="preserve">Šírka korpusu: </v>
      </c>
      <c r="O84" s="537">
        <v>300</v>
      </c>
      <c r="P84" s="538"/>
      <c r="Q84" s="537">
        <v>400</v>
      </c>
      <c r="R84" s="538"/>
      <c r="S84" s="537">
        <v>450</v>
      </c>
      <c r="T84" s="538"/>
      <c r="U84" s="537">
        <v>500</v>
      </c>
      <c r="V84" s="538"/>
      <c r="W84" s="537">
        <v>550</v>
      </c>
      <c r="X84" s="538"/>
      <c r="Y84" s="537">
        <v>600</v>
      </c>
      <c r="Z84" s="538"/>
      <c r="AA84" s="537">
        <v>700</v>
      </c>
      <c r="AB84" s="538"/>
      <c r="AC84" s="537">
        <v>800</v>
      </c>
      <c r="AD84" s="538"/>
      <c r="AE84" s="537">
        <v>900</v>
      </c>
      <c r="AF84" s="586"/>
      <c r="AG84" s="537">
        <v>1000</v>
      </c>
      <c r="AH84" s="586"/>
      <c r="AI84" s="537">
        <v>1200</v>
      </c>
      <c r="AJ84" s="538"/>
      <c r="AU84" s="442">
        <f>OBJ!B69</f>
        <v>9255835</v>
      </c>
      <c r="AV84" s="443" t="str">
        <f>VLOOKUP(AU84,CENY!$B$11:$G$1054,2,FALSE)</f>
        <v>AvanY-príchytka čela k naskrutk./ v101</v>
      </c>
      <c r="AW84" s="22">
        <f>VLOOKUP(AU84,CENY!$B$11:$G$1054,3,FALSE)</f>
        <v>200</v>
      </c>
      <c r="AX84" s="22"/>
      <c r="AY84" s="68">
        <f>2*(AY2)*(SUM(W20:AD20)+SUM(W22:AF22)+SUM(W28:AD28))</f>
        <v>0</v>
      </c>
      <c r="AZ84" s="326">
        <f t="shared" si="12"/>
        <v>0</v>
      </c>
      <c r="BA84" s="95">
        <f>VLOOKUP(AU84,CENY!$B$11:$M$2025,12,FALSE)</f>
        <v>1.1621999999999999</v>
      </c>
      <c r="BB84" s="95">
        <f t="shared" si="11"/>
        <v>0</v>
      </c>
      <c r="BD84" s="319">
        <f>OBJ!B282</f>
        <v>9318214</v>
      </c>
      <c r="BE84" s="21" t="str">
        <f>VLOOKUP(BD84,CENY!$B$11:$G$1054,2,FALSE)</f>
        <v>Actro You(XL) 650/SiSy 70kg; EB21; pravý</v>
      </c>
      <c r="BF84" s="22">
        <f>VLOOKUP(BD84,CENY!$B$11:$G$1054,3,FALSE)</f>
        <v>5</v>
      </c>
      <c r="BG84" s="22"/>
      <c r="BH84" s="23">
        <f>AY48</f>
        <v>0</v>
      </c>
      <c r="BI84" s="326">
        <f t="shared" ref="BI84:BI157" si="13">IF(BH84="","",IF($AW$4=0,BH84,0))</f>
        <v>0</v>
      </c>
      <c r="BJ84" s="95">
        <f>VLOOKUP(BD84,CENY!$B$11:$M$2025,12,FALSE)</f>
        <v>22.243659999999998</v>
      </c>
      <c r="BK84" s="95">
        <f t="shared" ref="BK84:BK157" si="14">IF(BJ84="","",BJ84*BH84)</f>
        <v>0</v>
      </c>
    </row>
    <row r="85" spans="1:63" ht="14.45" customHeight="1" thickBot="1">
      <c r="A85" s="579"/>
      <c r="B85" s="158" t="str">
        <f>" "&amp;verze!E167</f>
        <v xml:space="preserve"> ALU čelo</v>
      </c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525"/>
      <c r="N85" s="548"/>
      <c r="O85" s="580"/>
      <c r="P85" s="581"/>
      <c r="Q85" s="580"/>
      <c r="R85" s="581"/>
      <c r="S85" s="580"/>
      <c r="T85" s="581"/>
      <c r="U85" s="580"/>
      <c r="V85" s="581"/>
      <c r="W85" s="580"/>
      <c r="X85" s="581"/>
      <c r="Y85" s="580"/>
      <c r="Z85" s="581"/>
      <c r="AA85" s="580"/>
      <c r="AB85" s="581"/>
      <c r="AC85" s="580"/>
      <c r="AD85" s="581"/>
      <c r="AE85" s="580"/>
      <c r="AF85" s="581"/>
      <c r="AG85" s="580"/>
      <c r="AH85" s="581"/>
      <c r="AI85" s="580"/>
      <c r="AJ85" s="585"/>
      <c r="AU85" s="442">
        <f>OBJ!B141</f>
        <v>9255838</v>
      </c>
      <c r="AV85" s="443" t="str">
        <f>VLOOKUP(AU85,CENY!$B$11:$G$1054,2,FALSE)</f>
        <v>AvanY-prích.čela k naskrutk./ v187-251</v>
      </c>
      <c r="AW85" s="22">
        <f>VLOOKUP(AU85,CENY!$B$11:$G$1054,3,FALSE)</f>
        <v>200</v>
      </c>
      <c r="AX85" s="22"/>
      <c r="AY85" s="68">
        <f>2*(AY4)*(SUM(W20:AD20)+SUM(W22:AF22)+SUM(W28:AD28))</f>
        <v>0</v>
      </c>
      <c r="AZ85" s="326">
        <f t="shared" ref="AZ85" si="15">IF(AY85="","",IF($AW$4=1,AY85,0))</f>
        <v>0</v>
      </c>
      <c r="BA85" s="95">
        <f>VLOOKUP(AU85,CENY!$B$11:$M$2025,12,FALSE)</f>
        <v>2.32422</v>
      </c>
      <c r="BB85" s="95">
        <f t="shared" ref="BB85" si="16">IF(BA85="","",BA85*AY85)</f>
        <v>0</v>
      </c>
      <c r="BD85" s="319"/>
      <c r="BE85" s="21"/>
      <c r="BF85" s="22"/>
      <c r="BG85" s="22"/>
      <c r="BH85" s="23"/>
      <c r="BI85" s="326" t="str">
        <f t="shared" si="13"/>
        <v/>
      </c>
      <c r="BJ85" s="95"/>
      <c r="BK85" s="95" t="str">
        <f t="shared" si="14"/>
        <v/>
      </c>
    </row>
    <row r="86" spans="1:63" ht="14.45" customHeight="1">
      <c r="A86" s="579"/>
      <c r="O86" s="582">
        <f>O84-2*FORM!$AM$24-12</f>
        <v>252</v>
      </c>
      <c r="P86" s="582"/>
      <c r="Q86" s="582">
        <f>Q84-2*FORM!$AM$24-12</f>
        <v>352</v>
      </c>
      <c r="R86" s="582"/>
      <c r="S86" s="582">
        <f>S84-2*FORM!$AM$24-12</f>
        <v>402</v>
      </c>
      <c r="T86" s="582"/>
      <c r="U86" s="582">
        <f>U84-2*FORM!$AM$24-12</f>
        <v>452</v>
      </c>
      <c r="V86" s="582"/>
      <c r="W86" s="582">
        <f>W84-2*FORM!$AM$24-12</f>
        <v>502</v>
      </c>
      <c r="X86" s="582"/>
      <c r="Y86" s="582">
        <f>Y84-2*FORM!$AM$24-12</f>
        <v>552</v>
      </c>
      <c r="Z86" s="582"/>
      <c r="AA86" s="582">
        <f>AA84-2*FORM!$AM$24-12</f>
        <v>652</v>
      </c>
      <c r="AB86" s="582"/>
      <c r="AC86" s="582">
        <f>AC84-2*FORM!$AM$24-12</f>
        <v>752</v>
      </c>
      <c r="AD86" s="582"/>
      <c r="AE86" s="582">
        <f>AE84-2*FORM!$AM$24-12</f>
        <v>852</v>
      </c>
      <c r="AF86" s="582"/>
      <c r="AG86" s="582">
        <f>AG84-2*FORM!$AM$24-12</f>
        <v>952</v>
      </c>
      <c r="AH86" s="582"/>
      <c r="AI86" s="582">
        <f>AI84-2*FORM!$AM$24-12</f>
        <v>1152</v>
      </c>
      <c r="AJ86" s="582"/>
      <c r="AU86" s="319"/>
      <c r="AV86" s="21"/>
      <c r="AW86" s="22"/>
      <c r="AX86" s="22"/>
      <c r="AY86" s="23"/>
      <c r="AZ86" s="326" t="str">
        <f t="shared" si="12"/>
        <v/>
      </c>
      <c r="BA86" s="95"/>
      <c r="BB86" s="95" t="str">
        <f t="shared" si="11"/>
        <v/>
      </c>
      <c r="BD86" s="319">
        <f>OBJ!B284</f>
        <v>9257890</v>
      </c>
      <c r="BE86" s="21" t="str">
        <f>VLOOKUP(BD86,CENY!$B$11:$G$1054,2,FALSE)</f>
        <v>Actro You - Push to open Silent; &lt;10kg</v>
      </c>
      <c r="BF86" s="22">
        <f>VLOOKUP(BD86,CENY!$B$11:$G$1054,3,FALSE)</f>
        <v>1</v>
      </c>
      <c r="BG86" s="22"/>
      <c r="BH86" s="68"/>
      <c r="BI86" s="326" t="str">
        <f t="shared" si="13"/>
        <v/>
      </c>
      <c r="BJ86" s="95">
        <f>VLOOKUP(BD86,CENY!$B$11:$M$2025,12,FALSE)</f>
        <v>23.177009999999999</v>
      </c>
      <c r="BK86" s="95">
        <f t="shared" si="14"/>
        <v>0</v>
      </c>
    </row>
    <row r="87" spans="1:63" ht="14.45" customHeight="1">
      <c r="A87" s="579"/>
      <c r="AR87" s="157" t="str">
        <f>IF(AU98=0,verze!E169&amp;" "&amp;AU96&amp;" "&amp;verze!E170,"")</f>
        <v>Je potrebné vybrať 0 ks vnútorných čiel.</v>
      </c>
      <c r="AU87" s="320">
        <f>OBJ!B214</f>
        <v>0</v>
      </c>
      <c r="AV87" s="321" t="e">
        <f>VLOOKUP(AU87,CENY!$B$11:$G$1054,2,FALSE)</f>
        <v>#N/A</v>
      </c>
      <c r="AW87" s="22" t="e">
        <f>VLOOKUP(AU87,CENY!$B$11:$G$1054,3,FALSE)</f>
        <v>#N/A</v>
      </c>
      <c r="AX87" s="22"/>
      <c r="AY87" s="68">
        <f>IF(FORM!AM21&lt;&gt;FORM!AW16,(2*SUM(AY1:AY4)*(SUM(W20:AD20)+SUM(W22:AF22)+SUM(W28:AD28))),0)</f>
        <v>0</v>
      </c>
      <c r="AZ87" s="326">
        <f t="shared" si="12"/>
        <v>0</v>
      </c>
      <c r="BA87" s="324" t="str">
        <f>IF(AU87=0,"",VLOOKUP(AU87,CENY!$B$11:$M$2025,12,FALSE))</f>
        <v/>
      </c>
      <c r="BB87" s="95" t="str">
        <f>IF(BA87="","",BA87*AY87)</f>
        <v/>
      </c>
      <c r="BD87" s="319">
        <f>OBJ!B285</f>
        <v>9257891</v>
      </c>
      <c r="BE87" s="21" t="str">
        <f>VLOOKUP(BD87,CENY!$B$11:$G$1054,2,FALSE)</f>
        <v>Actro You - Push to open Silent; 8-20kg</v>
      </c>
      <c r="BF87" s="22">
        <f>VLOOKUP(BD87,CENY!$B$11:$G$1054,3,FALSE)</f>
        <v>1</v>
      </c>
      <c r="BG87" s="22"/>
      <c r="BH87" s="68"/>
      <c r="BI87" s="326" t="str">
        <f t="shared" si="13"/>
        <v/>
      </c>
      <c r="BJ87" s="95">
        <f>VLOOKUP(BD87,CENY!$B$11:$M$2025,12,FALSE)</f>
        <v>23.177009999999999</v>
      </c>
      <c r="BK87" s="95">
        <f t="shared" si="14"/>
        <v>0</v>
      </c>
    </row>
    <row r="88" spans="1:63" ht="14.45" customHeight="1">
      <c r="A88" s="579"/>
      <c r="AR88" s="332" t="str">
        <f>IF(AU98=0,"",IF(AU96=AU98,verze!E174,IF(AU99&gt;0,verze!E171&amp;" "&amp;AU99&amp;" "&amp;verze!E170,verze!E172&amp;" "&amp;AU100&amp;" "&amp;verze!E173)))</f>
        <v/>
      </c>
      <c r="AU88" s="319"/>
      <c r="AV88" s="21"/>
      <c r="AW88" s="22"/>
      <c r="AX88" s="22"/>
      <c r="AY88" s="23"/>
      <c r="AZ88" s="326" t="str">
        <f t="shared" si="12"/>
        <v/>
      </c>
      <c r="BA88" s="95"/>
      <c r="BB88" s="95" t="str">
        <f t="shared" si="11"/>
        <v/>
      </c>
      <c r="BD88" s="319">
        <f>OBJ!B286</f>
        <v>9257892</v>
      </c>
      <c r="BE88" s="21" t="str">
        <f>VLOOKUP(BD88,CENY!$B$11:$G$1054,2,FALSE)</f>
        <v>Actro You - Push to open Silent; 10-40kg</v>
      </c>
      <c r="BF88" s="22">
        <f>VLOOKUP(BD88,CENY!$B$11:$G$1054,3,FALSE)</f>
        <v>1</v>
      </c>
      <c r="BG88" s="22"/>
      <c r="BH88" s="68"/>
      <c r="BI88" s="326" t="str">
        <f t="shared" si="13"/>
        <v/>
      </c>
      <c r="BJ88" s="95">
        <f>VLOOKUP(BD88,CENY!$B$11:$M$2025,12,FALSE)</f>
        <v>23.177009999999999</v>
      </c>
      <c r="BK88" s="95">
        <f t="shared" si="14"/>
        <v>0</v>
      </c>
    </row>
    <row r="89" spans="1:63" ht="14.45" customHeight="1">
      <c r="A89" s="579"/>
      <c r="AU89" s="319"/>
      <c r="AV89" s="21"/>
      <c r="AW89" s="22"/>
      <c r="AX89" s="22"/>
      <c r="AY89" s="23"/>
      <c r="AZ89" s="326" t="str">
        <f t="shared" si="12"/>
        <v/>
      </c>
      <c r="BA89" s="95"/>
      <c r="BB89" s="95" t="str">
        <f t="shared" si="11"/>
        <v/>
      </c>
      <c r="BD89" s="319">
        <f>OBJ!B287</f>
        <v>9257893</v>
      </c>
      <c r="BE89" s="21" t="str">
        <f>VLOOKUP(BD89,CENY!$B$11:$G$1054,2,FALSE)</f>
        <v>Actro You - Push to open Silent; 20-70kg</v>
      </c>
      <c r="BF89" s="22">
        <f>VLOOKUP(BD89,CENY!$B$11:$G$1054,3,FALSE)</f>
        <v>1</v>
      </c>
      <c r="BG89" s="22"/>
      <c r="BH89" s="68"/>
      <c r="BI89" s="326" t="str">
        <f t="shared" si="13"/>
        <v/>
      </c>
      <c r="BJ89" s="95">
        <f>VLOOKUP(BD89,CENY!$B$11:$M$2025,12,FALSE)</f>
        <v>23.177009999999999</v>
      </c>
      <c r="BK89" s="95">
        <f t="shared" si="14"/>
        <v>0</v>
      </c>
    </row>
    <row r="90" spans="1:63" ht="14.45" customHeight="1">
      <c r="A90" s="579"/>
      <c r="AU90" s="319">
        <f>OBJ!B194</f>
        <v>9257269</v>
      </c>
      <c r="AV90" s="21" t="str">
        <f>VLOOKUP(AU90,CENY!$B$11:$G$1054,2,FALSE)</f>
        <v>AvanY-čelo vnút.zásuvky /v101/d2000/strieb.</v>
      </c>
      <c r="AW90" s="22">
        <f>VLOOKUP(AU90,CENY!$B$11:$G$1054,3,FALSE)</f>
        <v>1</v>
      </c>
      <c r="AX90" s="22"/>
      <c r="AY90" s="23">
        <f>IF(AU96=0,0,IF(AU102&lt;2000,1,SUM(O79:AJ79)))</f>
        <v>0</v>
      </c>
      <c r="AZ90" s="326">
        <f>IF(AY90="","",IF($AW$4=1,AY90,0))</f>
        <v>0</v>
      </c>
      <c r="BA90" s="95">
        <f>VLOOKUP(AU90,CENY!$B$11:$M$2025,12,FALSE)</f>
        <v>71.34393</v>
      </c>
      <c r="BB90" s="95">
        <f>IF(BA90="","",BA90*AY90)</f>
        <v>0</v>
      </c>
      <c r="BD90" s="319">
        <f>OBJ!B288</f>
        <v>9236718</v>
      </c>
      <c r="BE90" s="21" t="str">
        <f>VLOOKUP(BD90,CENY!$B$11:$G$1054,2,FALSE)</f>
        <v>Push to open Synchro / tyč 2.000 mm</v>
      </c>
      <c r="BF90" s="22">
        <f>VLOOKUP(BD90,CENY!$B$11:$G$1054,3,FALSE)</f>
        <v>100</v>
      </c>
      <c r="BG90" s="22"/>
      <c r="BH90" s="68"/>
      <c r="BI90" s="326" t="str">
        <f t="shared" si="13"/>
        <v/>
      </c>
      <c r="BJ90" s="95">
        <f>VLOOKUP(BD90,CENY!$B$11:$M$2025,12,FALSE)</f>
        <v>8.7567500000000003</v>
      </c>
      <c r="BK90" s="95">
        <f t="shared" si="14"/>
        <v>0</v>
      </c>
    </row>
    <row r="91" spans="1:63" ht="14.45" customHeight="1">
      <c r="A91" s="579"/>
      <c r="AU91" s="319">
        <f>OBJ!B198</f>
        <v>9257611</v>
      </c>
      <c r="AV91" s="21" t="str">
        <f>VLOOKUP(AU91,CENY!$B$11:$G$1054,2,FALSE)</f>
        <v>AvanY-spojky čela vnút.zás./v101/strieb.</v>
      </c>
      <c r="AW91" s="22">
        <f>VLOOKUP(AU91,CENY!$B$11:$G$1054,3,FALSE)</f>
        <v>1</v>
      </c>
      <c r="AX91" s="22"/>
      <c r="AY91" s="23">
        <f>1*(AY1)*(SUM(W20:AD20)+SUM(W22:AF22)+SUM(W28:AD28))</f>
        <v>0</v>
      </c>
      <c r="AZ91" s="326">
        <f>IF(AY91="","",IF($AW$4=1,AY91,0))</f>
        <v>0</v>
      </c>
      <c r="BA91" s="95">
        <f>VLOOKUP(AU91,CENY!$B$11:$M$2025,12,FALSE)</f>
        <v>4.6785699999999997</v>
      </c>
      <c r="BB91" s="95">
        <f>IF(BA91="","",BA91*AY91)</f>
        <v>0</v>
      </c>
      <c r="BD91" s="319"/>
      <c r="BE91" s="21"/>
      <c r="BF91" s="22"/>
      <c r="BG91" s="22"/>
      <c r="BH91" s="23"/>
      <c r="BI91" s="326" t="str">
        <f t="shared" si="13"/>
        <v/>
      </c>
      <c r="BJ91" s="95"/>
      <c r="BK91" s="95" t="str">
        <f t="shared" si="14"/>
        <v/>
      </c>
    </row>
    <row r="92" spans="1:63" ht="14.45" customHeight="1">
      <c r="A92" s="579"/>
      <c r="AU92" s="319">
        <f>OBJ!B196</f>
        <v>9257271</v>
      </c>
      <c r="AV92" s="21" t="str">
        <f>VLOOKUP(AU92,CENY!$B$11:$G$1054,2,FALSE)</f>
        <v>AvanY-čelo vnút.zásuvky /v187/d2000/strieb.</v>
      </c>
      <c r="AW92" s="22">
        <f>VLOOKUP(AU92,CENY!$B$11:$G$1054,3,FALSE)</f>
        <v>1</v>
      </c>
      <c r="AX92" s="22"/>
      <c r="AY92" s="23">
        <f>IF(AW96=0,0,IF(AW102&lt;2000,1,SUM(O80:AJ80)))</f>
        <v>0</v>
      </c>
      <c r="AZ92" s="326">
        <f>IF(AY92="","",IF($AW$4=1,AY92,0))</f>
        <v>0</v>
      </c>
      <c r="BA92" s="95">
        <f>VLOOKUP(AU92,CENY!$B$11:$M$2025,12,FALSE)</f>
        <v>106.6825</v>
      </c>
      <c r="BB92" s="95">
        <f>IF(BA92="","",BA92*AY92)</f>
        <v>0</v>
      </c>
      <c r="BD92" s="319">
        <f>OBJ!B297</f>
        <v>9256944</v>
      </c>
      <c r="BE92" s="21" t="str">
        <f>VLOOKUP(BD92,CENY!$B$11:$G$1054,2,FALSE)</f>
        <v>Quadro You(S) 270/SiSy 10kg; EB21; ľavý</v>
      </c>
      <c r="BF92" s="22">
        <f>VLOOKUP(BD92,CENY!$B$11:$G$1054,3,FALSE)</f>
        <v>20</v>
      </c>
      <c r="BG92" s="22"/>
      <c r="BH92" s="68"/>
      <c r="BI92" s="326" t="str">
        <f t="shared" si="13"/>
        <v/>
      </c>
      <c r="BJ92" s="95">
        <f>VLOOKUP(BD92,CENY!$B$11:$M$2025,12,FALSE)</f>
        <v>10.7646</v>
      </c>
      <c r="BK92" s="95">
        <f t="shared" si="14"/>
        <v>0</v>
      </c>
    </row>
    <row r="93" spans="1:63" ht="14.45" customHeight="1">
      <c r="A93" s="579"/>
      <c r="AU93" s="319">
        <f>OBJ!B200</f>
        <v>9257613</v>
      </c>
      <c r="AV93" s="21" t="str">
        <f>VLOOKUP(AU93,CENY!$B$11:$G$1054,2,FALSE)</f>
        <v>AvanY-spojky čela vnút.zás./v187/strieb.</v>
      </c>
      <c r="AW93" s="22">
        <f>VLOOKUP(AU93,CENY!$B$11:$G$1054,3,FALSE)</f>
        <v>1</v>
      </c>
      <c r="AX93" s="22"/>
      <c r="AY93" s="23">
        <f>1*(AY3)*(SUM(W20:AD20)+SUM(W22:AF22)+SUM(W28:AD28))</f>
        <v>0</v>
      </c>
      <c r="AZ93" s="326">
        <f>IF(AY93="","",IF($AW$4=1,AY93,0))</f>
        <v>0</v>
      </c>
      <c r="BA93" s="95">
        <f>VLOOKUP(AU93,CENY!$B$11:$M$2025,12,FALSE)</f>
        <v>8.1442599999999992</v>
      </c>
      <c r="BB93" s="95">
        <f>IF(BA93="","",BA93*AY93)</f>
        <v>0</v>
      </c>
      <c r="BD93" s="319">
        <f>OBJ!B298</f>
        <v>9256945</v>
      </c>
      <c r="BE93" s="21" t="str">
        <f>VLOOKUP(BD93,CENY!$B$11:$G$1054,2,FALSE)</f>
        <v>Quadro You(S) 270/SiSy 10kg; EB21; pravý</v>
      </c>
      <c r="BF93" s="22">
        <f>VLOOKUP(BD93,CENY!$B$11:$G$1054,3,FALSE)</f>
        <v>20</v>
      </c>
      <c r="BG93" s="22"/>
      <c r="BH93" s="68"/>
      <c r="BI93" s="326" t="str">
        <f t="shared" si="13"/>
        <v/>
      </c>
      <c r="BJ93" s="95">
        <f>VLOOKUP(BD93,CENY!$B$11:$M$2025,12,FALSE)</f>
        <v>10.7646</v>
      </c>
      <c r="BK93" s="95">
        <f t="shared" si="14"/>
        <v>0</v>
      </c>
    </row>
    <row r="94" spans="1:63" ht="14.45" customHeight="1">
      <c r="A94" s="579"/>
      <c r="AU94" s="319"/>
      <c r="AV94" s="21"/>
      <c r="AW94" s="368"/>
      <c r="AX94" s="368"/>
      <c r="AY94" s="369"/>
      <c r="AZ94" s="326" t="str">
        <f t="shared" si="12"/>
        <v/>
      </c>
      <c r="BA94" s="95"/>
      <c r="BB94" s="95" t="str">
        <f t="shared" si="11"/>
        <v/>
      </c>
      <c r="BD94" s="319">
        <f>OBJ!B299</f>
        <v>9256946</v>
      </c>
      <c r="BE94" s="21" t="str">
        <f>VLOOKUP(BD94,CENY!$B$11:$G$1054,2,FALSE)</f>
        <v>Quadro You(S) 300/SiSy 10kg; EB21; ľavý</v>
      </c>
      <c r="BF94" s="22">
        <f>VLOOKUP(BD94,CENY!$B$11:$G$1054,3,FALSE)</f>
        <v>20</v>
      </c>
      <c r="BG94" s="22"/>
      <c r="BH94" s="68"/>
      <c r="BI94" s="326" t="str">
        <f t="shared" si="13"/>
        <v/>
      </c>
      <c r="BJ94" s="95">
        <f>VLOOKUP(BD94,CENY!$B$11:$M$2025,12,FALSE)</f>
        <v>10.787739999999999</v>
      </c>
      <c r="BK94" s="95">
        <f t="shared" si="14"/>
        <v>0</v>
      </c>
    </row>
    <row r="95" spans="1:63" ht="14.45" customHeight="1">
      <c r="A95" s="579"/>
      <c r="AU95" s="372" t="s">
        <v>595</v>
      </c>
      <c r="AV95" s="21"/>
      <c r="AW95" s="613" t="s">
        <v>596</v>
      </c>
      <c r="AX95" s="613"/>
      <c r="AY95" s="613"/>
      <c r="AZ95" s="326" t="str">
        <f t="shared" si="12"/>
        <v/>
      </c>
      <c r="BA95" s="95"/>
      <c r="BB95" s="95" t="str">
        <f t="shared" si="11"/>
        <v/>
      </c>
      <c r="BD95" s="319">
        <f>OBJ!B300</f>
        <v>9256947</v>
      </c>
      <c r="BE95" s="21" t="str">
        <f>VLOOKUP(BD95,CENY!$B$11:$G$1054,2,FALSE)</f>
        <v>Quadro You(S) 300/SiSy 10kg; EB21; pravý</v>
      </c>
      <c r="BF95" s="22">
        <f>VLOOKUP(BD95,CENY!$B$11:$G$1054,3,FALSE)</f>
        <v>20</v>
      </c>
      <c r="BG95" s="22"/>
      <c r="BH95" s="68"/>
      <c r="BI95" s="326" t="str">
        <f t="shared" si="13"/>
        <v/>
      </c>
      <c r="BJ95" s="95">
        <f>VLOOKUP(BD95,CENY!$B$11:$M$2025,12,FALSE)</f>
        <v>10.787739999999999</v>
      </c>
      <c r="BK95" s="95">
        <f t="shared" si="14"/>
        <v>0</v>
      </c>
    </row>
    <row r="96" spans="1:63" ht="14.45" customHeight="1">
      <c r="A96" s="579"/>
      <c r="AU96" s="330">
        <f>1*(AY1)*(SUM(W20:AD20)+SUM(W22:AF22)+SUM(W28:AD28))</f>
        <v>0</v>
      </c>
      <c r="AV96" s="329" t="s">
        <v>356</v>
      </c>
      <c r="AW96" s="612">
        <f>1*(AY3)*(SUM(W20:AD20)+SUM(W22:AF22)+SUM(W28:AD28))</f>
        <v>0</v>
      </c>
      <c r="AX96" s="612"/>
      <c r="AY96" s="612"/>
      <c r="AZ96" s="326" t="str">
        <f t="shared" si="12"/>
        <v/>
      </c>
      <c r="BA96" s="95"/>
      <c r="BB96" s="95" t="str">
        <f t="shared" si="11"/>
        <v/>
      </c>
      <c r="BD96" s="319">
        <f>OBJ!B301</f>
        <v>9256950</v>
      </c>
      <c r="BE96" s="21" t="str">
        <f>VLOOKUP(BD96,CENY!$B$11:$G$1054,2,FALSE)</f>
        <v>Quadro You(S) 350/SiSy 10kg; EB21; ľavý</v>
      </c>
      <c r="BF96" s="22">
        <f>VLOOKUP(BD96,CENY!$B$11:$G$1054,3,FALSE)</f>
        <v>20</v>
      </c>
      <c r="BG96" s="22"/>
      <c r="BH96" s="68"/>
      <c r="BI96" s="326" t="str">
        <f t="shared" si="13"/>
        <v/>
      </c>
      <c r="BJ96" s="95">
        <f>VLOOKUP(BD96,CENY!$B$11:$M$2025,12,FALSE)</f>
        <v>11.02122</v>
      </c>
      <c r="BK96" s="95">
        <f t="shared" si="14"/>
        <v>0</v>
      </c>
    </row>
    <row r="97" spans="1:63" ht="14.45" customHeight="1">
      <c r="A97" s="579"/>
      <c r="AU97" s="20"/>
      <c r="AV97" s="21"/>
      <c r="AW97" s="612"/>
      <c r="AX97" s="612"/>
      <c r="AY97" s="612"/>
      <c r="AZ97" s="326" t="str">
        <f t="shared" si="12"/>
        <v/>
      </c>
      <c r="BA97" s="95"/>
      <c r="BB97" s="95" t="str">
        <f t="shared" si="11"/>
        <v/>
      </c>
      <c r="BD97" s="319">
        <f>OBJ!B302</f>
        <v>9256951</v>
      </c>
      <c r="BE97" s="21" t="str">
        <f>VLOOKUP(BD97,CENY!$B$11:$G$1054,2,FALSE)</f>
        <v>Quadro You(S) 350/SiSy 10kg; EB21; pravý</v>
      </c>
      <c r="BF97" s="22">
        <f>VLOOKUP(BD97,CENY!$B$11:$G$1054,3,FALSE)</f>
        <v>20</v>
      </c>
      <c r="BG97" s="22"/>
      <c r="BH97" s="68"/>
      <c r="BI97" s="326" t="str">
        <f t="shared" si="13"/>
        <v/>
      </c>
      <c r="BJ97" s="95">
        <f>VLOOKUP(BD97,CENY!$B$11:$M$2025,12,FALSE)</f>
        <v>11.02122</v>
      </c>
      <c r="BK97" s="95">
        <f t="shared" si="14"/>
        <v>0</v>
      </c>
    </row>
    <row r="98" spans="1:63" ht="14.45" customHeight="1">
      <c r="A98" s="579"/>
      <c r="AU98" s="331">
        <f>SUM(O85:AJ85)*AY1</f>
        <v>0</v>
      </c>
      <c r="AV98" s="21" t="s">
        <v>357</v>
      </c>
      <c r="AW98" s="612">
        <f>SUM(O85:AJ85)*AY3</f>
        <v>0</v>
      </c>
      <c r="AX98" s="612"/>
      <c r="AY98" s="612"/>
      <c r="AZ98" s="326" t="str">
        <f t="shared" si="12"/>
        <v/>
      </c>
      <c r="BA98" s="95"/>
      <c r="BB98" s="95" t="str">
        <f t="shared" si="11"/>
        <v/>
      </c>
      <c r="BD98" s="319"/>
      <c r="BE98" s="21"/>
      <c r="BF98" s="22"/>
      <c r="BG98" s="22"/>
      <c r="BH98" s="23"/>
      <c r="BI98" s="326" t="str">
        <f t="shared" si="13"/>
        <v/>
      </c>
      <c r="BJ98" s="95"/>
      <c r="BK98" s="95" t="str">
        <f t="shared" si="14"/>
        <v/>
      </c>
    </row>
    <row r="99" spans="1:63" ht="14.45" customHeight="1">
      <c r="A99" s="579"/>
      <c r="AU99" s="22">
        <f>AU96-AU98</f>
        <v>0</v>
      </c>
      <c r="AV99" s="21"/>
      <c r="AW99" s="612">
        <f>AW96-AW98</f>
        <v>0</v>
      </c>
      <c r="AX99" s="612"/>
      <c r="AY99" s="612"/>
      <c r="AZ99" s="326" t="str">
        <f t="shared" si="12"/>
        <v/>
      </c>
      <c r="BA99" s="95"/>
      <c r="BB99" s="95" t="str">
        <f t="shared" si="11"/>
        <v/>
      </c>
      <c r="BD99" s="319">
        <f>OBJ!B312</f>
        <v>9256854</v>
      </c>
      <c r="BE99" s="21" t="str">
        <f>VLOOKUP(BD99,CENY!$B$11:$G$1054,2,FALSE)</f>
        <v>Quadro You(M) 270/SiSy 20kg; EB21; ľavý</v>
      </c>
      <c r="BF99" s="22">
        <f>VLOOKUP(BD99,CENY!$B$11:$G$1054,3,FALSE)</f>
        <v>20</v>
      </c>
      <c r="BG99" s="22"/>
      <c r="BH99" s="68"/>
      <c r="BI99" s="326" t="str">
        <f t="shared" si="13"/>
        <v/>
      </c>
      <c r="BJ99" s="95">
        <f>VLOOKUP(BD99,CENY!$B$11:$M$2025,12,FALSE)</f>
        <v>10.7646</v>
      </c>
      <c r="BK99" s="95">
        <f t="shared" si="14"/>
        <v>0</v>
      </c>
    </row>
    <row r="100" spans="1:63" ht="14.45" customHeight="1">
      <c r="A100" s="579"/>
      <c r="AU100" s="22">
        <f>ABS(AU99)</f>
        <v>0</v>
      </c>
      <c r="AV100" s="21"/>
      <c r="AW100" s="612">
        <f>ABS(AW99)</f>
        <v>0</v>
      </c>
      <c r="AX100" s="612"/>
      <c r="AY100" s="612"/>
      <c r="AZ100" s="326" t="str">
        <f t="shared" si="12"/>
        <v/>
      </c>
      <c r="BA100" s="95"/>
      <c r="BB100" s="95" t="str">
        <f t="shared" si="11"/>
        <v/>
      </c>
      <c r="BD100" s="319">
        <f>OBJ!B313</f>
        <v>9256855</v>
      </c>
      <c r="BE100" s="21" t="str">
        <f>VLOOKUP(BD100,CENY!$B$11:$G$1054,2,FALSE)</f>
        <v>Quadro You(M) 270/SiSy 20kg; EB21; pravý</v>
      </c>
      <c r="BF100" s="22">
        <f>VLOOKUP(BD100,CENY!$B$11:$G$1054,3,FALSE)</f>
        <v>20</v>
      </c>
      <c r="BG100" s="22"/>
      <c r="BH100" s="68"/>
      <c r="BI100" s="326" t="str">
        <f t="shared" si="13"/>
        <v/>
      </c>
      <c r="BJ100" s="95">
        <f>VLOOKUP(BD100,CENY!$B$11:$M$2025,12,FALSE)</f>
        <v>10.7646</v>
      </c>
      <c r="BK100" s="95">
        <f t="shared" si="14"/>
        <v>0</v>
      </c>
    </row>
    <row r="101" spans="1:63">
      <c r="A101" s="579"/>
      <c r="AU101" s="20"/>
      <c r="AV101" s="21"/>
      <c r="AW101" s="612"/>
      <c r="AX101" s="612"/>
      <c r="AY101" s="612"/>
      <c r="AZ101" s="326" t="str">
        <f t="shared" si="12"/>
        <v/>
      </c>
      <c r="BA101" s="95"/>
      <c r="BB101" s="95" t="str">
        <f t="shared" si="11"/>
        <v/>
      </c>
      <c r="BD101" s="319">
        <f>OBJ!B314</f>
        <v>9256856</v>
      </c>
      <c r="BE101" s="21" t="str">
        <f>VLOOKUP(BD101,CENY!$B$11:$G$1054,2,FALSE)</f>
        <v>Quadro You(M) 300/SiSy 20kg; EB21; ľavý</v>
      </c>
      <c r="BF101" s="22">
        <f>VLOOKUP(BD101,CENY!$B$11:$G$1054,3,FALSE)</f>
        <v>20</v>
      </c>
      <c r="BG101" s="22"/>
      <c r="BH101" s="68"/>
      <c r="BI101" s="326" t="str">
        <f t="shared" si="13"/>
        <v/>
      </c>
      <c r="BJ101" s="95">
        <f>VLOOKUP(BD101,CENY!$B$11:$M$2025,12,FALSE)</f>
        <v>10.787739999999999</v>
      </c>
      <c r="BK101" s="95">
        <f t="shared" si="14"/>
        <v>0</v>
      </c>
    </row>
    <row r="102" spans="1:63">
      <c r="A102" s="579"/>
      <c r="AU102" s="22">
        <f>(AU98-1)*4+SUM(O81:AJ81)</f>
        <v>-4</v>
      </c>
      <c r="AV102" s="21" t="s">
        <v>358</v>
      </c>
      <c r="AW102" s="612">
        <f>(AW98-1)*4+SUM(O82:AJ82)</f>
        <v>-4</v>
      </c>
      <c r="AX102" s="612"/>
      <c r="AY102" s="612"/>
      <c r="AZ102" s="326" t="str">
        <f t="shared" si="12"/>
        <v/>
      </c>
      <c r="BA102" s="95"/>
      <c r="BB102" s="95" t="str">
        <f t="shared" si="11"/>
        <v/>
      </c>
      <c r="BD102" s="319">
        <f>OBJ!B315</f>
        <v>9256857</v>
      </c>
      <c r="BE102" s="21" t="str">
        <f>VLOOKUP(BD102,CENY!$B$11:$G$1054,2,FALSE)</f>
        <v>Quadro You(M) 300/SiSy 20kg; EB21; pravý</v>
      </c>
      <c r="BF102" s="22">
        <f>VLOOKUP(BD102,CENY!$B$11:$G$1054,3,FALSE)</f>
        <v>20</v>
      </c>
      <c r="BG102" s="22"/>
      <c r="BH102" s="68"/>
      <c r="BI102" s="326" t="str">
        <f t="shared" si="13"/>
        <v/>
      </c>
      <c r="BJ102" s="95">
        <f>VLOOKUP(BD102,CENY!$B$11:$M$2025,12,FALSE)</f>
        <v>10.787739999999999</v>
      </c>
      <c r="BK102" s="95">
        <f t="shared" si="14"/>
        <v>0</v>
      </c>
    </row>
    <row r="103" spans="1:63">
      <c r="A103" s="579"/>
      <c r="AU103" s="22"/>
      <c r="AV103" s="21"/>
      <c r="AW103" s="370"/>
      <c r="AX103" s="370"/>
      <c r="AY103" s="371"/>
      <c r="AZ103" s="326" t="str">
        <f t="shared" si="12"/>
        <v/>
      </c>
      <c r="BA103" s="95"/>
      <c r="BB103" s="95" t="str">
        <f t="shared" si="11"/>
        <v/>
      </c>
      <c r="BD103" s="319">
        <f>OBJ!B316</f>
        <v>9256860</v>
      </c>
      <c r="BE103" s="21" t="str">
        <f>VLOOKUP(BD103,CENY!$B$11:$G$1054,2,FALSE)</f>
        <v>Quadro You(M) 350/SiSy 25kg; EB21; ľavý</v>
      </c>
      <c r="BF103" s="22">
        <f>VLOOKUP(BD103,CENY!$B$11:$G$1054,3,FALSE)</f>
        <v>20</v>
      </c>
      <c r="BG103" s="22"/>
      <c r="BH103" s="68"/>
      <c r="BI103" s="326" t="str">
        <f t="shared" si="13"/>
        <v/>
      </c>
      <c r="BJ103" s="95">
        <f>VLOOKUP(BD103,CENY!$B$11:$M$2025,12,FALSE)</f>
        <v>11.02122</v>
      </c>
      <c r="BK103" s="95">
        <f t="shared" si="14"/>
        <v>0</v>
      </c>
    </row>
    <row r="104" spans="1:63">
      <c r="A104" s="579"/>
      <c r="AU104" s="20"/>
      <c r="AV104" s="21"/>
      <c r="AW104" s="22"/>
      <c r="AX104" s="22"/>
      <c r="AY104" s="23"/>
      <c r="AZ104" s="326" t="str">
        <f t="shared" si="12"/>
        <v/>
      </c>
      <c r="BA104" s="95"/>
      <c r="BB104" s="95" t="str">
        <f t="shared" si="11"/>
        <v/>
      </c>
      <c r="BD104" s="319">
        <f>OBJ!B317</f>
        <v>9256861</v>
      </c>
      <c r="BE104" s="21" t="str">
        <f>VLOOKUP(BD104,CENY!$B$11:$G$1054,2,FALSE)</f>
        <v>Quadro You(M) 350/SiSy 25kg; EB21; pravý</v>
      </c>
      <c r="BF104" s="22">
        <f>VLOOKUP(BD104,CENY!$B$11:$G$1054,3,FALSE)</f>
        <v>20</v>
      </c>
      <c r="BG104" s="22"/>
      <c r="BH104" s="68"/>
      <c r="BI104" s="326" t="str">
        <f t="shared" si="13"/>
        <v/>
      </c>
      <c r="BJ104" s="95">
        <f>VLOOKUP(BD104,CENY!$B$11:$M$2025,12,FALSE)</f>
        <v>11.02122</v>
      </c>
      <c r="BK104" s="95">
        <f t="shared" si="14"/>
        <v>0</v>
      </c>
    </row>
    <row r="105" spans="1:63">
      <c r="A105" s="579"/>
      <c r="AU105" s="20"/>
      <c r="AV105" s="21"/>
      <c r="AW105" s="22"/>
      <c r="AX105" s="22"/>
      <c r="AY105" s="23"/>
      <c r="AZ105" s="326" t="str">
        <f t="shared" si="12"/>
        <v/>
      </c>
      <c r="BA105" s="95"/>
      <c r="BB105" s="95" t="str">
        <f t="shared" si="11"/>
        <v/>
      </c>
      <c r="BD105" s="319">
        <f>OBJ!B318</f>
        <v>9256864</v>
      </c>
      <c r="BE105" s="21" t="str">
        <f>VLOOKUP(BD105,CENY!$B$11:$G$1054,2,FALSE)</f>
        <v>Quadro You(M) 400/SiSy 30kg; EB21; ľavý</v>
      </c>
      <c r="BF105" s="22">
        <f>VLOOKUP(BD105,CENY!$B$11:$G$1054,3,FALSE)</f>
        <v>20</v>
      </c>
      <c r="BG105" s="22"/>
      <c r="BH105" s="68"/>
      <c r="BI105" s="326" t="str">
        <f t="shared" si="13"/>
        <v/>
      </c>
      <c r="BJ105" s="95">
        <f>VLOOKUP(BD105,CENY!$B$11:$M$2025,12,FALSE)</f>
        <v>11.25459</v>
      </c>
      <c r="BK105" s="95">
        <f t="shared" si="14"/>
        <v>0</v>
      </c>
    </row>
    <row r="106" spans="1:63">
      <c r="AU106" s="20"/>
      <c r="AV106" s="21"/>
      <c r="AW106" s="22"/>
      <c r="AX106" s="22"/>
      <c r="AY106" s="23"/>
      <c r="AZ106" s="326" t="str">
        <f t="shared" si="12"/>
        <v/>
      </c>
      <c r="BA106" s="95"/>
      <c r="BB106" s="95" t="str">
        <f t="shared" si="11"/>
        <v/>
      </c>
      <c r="BD106" s="319">
        <f>OBJ!B319</f>
        <v>9256865</v>
      </c>
      <c r="BE106" s="21" t="str">
        <f>VLOOKUP(BD106,CENY!$B$11:$G$1054,2,FALSE)</f>
        <v>Quadro You(M) 400/SiSy 30kg; EB21; pravý</v>
      </c>
      <c r="BF106" s="22">
        <f>VLOOKUP(BD106,CENY!$B$11:$G$1054,3,FALSE)</f>
        <v>20</v>
      </c>
      <c r="BG106" s="22"/>
      <c r="BH106" s="68"/>
      <c r="BI106" s="326" t="str">
        <f t="shared" si="13"/>
        <v/>
      </c>
      <c r="BJ106" s="95">
        <f>VLOOKUP(BD106,CENY!$B$11:$M$2025,12,FALSE)</f>
        <v>11.25459</v>
      </c>
      <c r="BK106" s="95">
        <f t="shared" si="14"/>
        <v>0</v>
      </c>
    </row>
    <row r="107" spans="1:63">
      <c r="AU107" s="20"/>
      <c r="AV107" s="21"/>
      <c r="AW107" s="22"/>
      <c r="AX107" s="22"/>
      <c r="AY107" s="23"/>
      <c r="AZ107" s="326" t="str">
        <f t="shared" si="12"/>
        <v/>
      </c>
      <c r="BA107" s="95"/>
      <c r="BB107" s="95" t="str">
        <f t="shared" si="11"/>
        <v/>
      </c>
      <c r="BD107" s="319">
        <f>OBJ!B320</f>
        <v>9256868</v>
      </c>
      <c r="BE107" s="21" t="str">
        <f>VLOOKUP(BD107,CENY!$B$11:$G$1054,2,FALSE)</f>
        <v>Quadro You(M) 450/SiSy 30kg; EB21; ľavý</v>
      </c>
      <c r="BF107" s="22">
        <f>VLOOKUP(BD107,CENY!$B$11:$G$1054,3,FALSE)</f>
        <v>20</v>
      </c>
      <c r="BG107" s="22"/>
      <c r="BH107" s="23">
        <f>AY64</f>
        <v>0</v>
      </c>
      <c r="BI107" s="326">
        <f t="shared" si="13"/>
        <v>0</v>
      </c>
      <c r="BJ107" s="95">
        <f>VLOOKUP(BD107,CENY!$B$11:$M$2025,12,FALSE)</f>
        <v>11.487740000000001</v>
      </c>
      <c r="BK107" s="95">
        <f t="shared" si="14"/>
        <v>0</v>
      </c>
    </row>
    <row r="108" spans="1:63">
      <c r="AU108" s="20"/>
      <c r="AV108" s="21"/>
      <c r="AW108" s="22"/>
      <c r="AX108" s="22"/>
      <c r="AY108" s="23"/>
      <c r="AZ108" s="326" t="str">
        <f t="shared" si="12"/>
        <v/>
      </c>
      <c r="BA108" s="95"/>
      <c r="BB108" s="95" t="str">
        <f t="shared" si="11"/>
        <v/>
      </c>
      <c r="BD108" s="319">
        <f>OBJ!B321</f>
        <v>9256869</v>
      </c>
      <c r="BE108" s="21" t="str">
        <f>VLOOKUP(BD108,CENY!$B$11:$G$1054,2,FALSE)</f>
        <v>Quadro You(M) 450/SiSy 30kg; EB21; pravý</v>
      </c>
      <c r="BF108" s="22">
        <f>VLOOKUP(BD108,CENY!$B$11:$G$1054,3,FALSE)</f>
        <v>20</v>
      </c>
      <c r="BG108" s="22"/>
      <c r="BH108" s="23">
        <f>AY64</f>
        <v>0</v>
      </c>
      <c r="BI108" s="326">
        <f t="shared" si="13"/>
        <v>0</v>
      </c>
      <c r="BJ108" s="95">
        <f>VLOOKUP(BD108,CENY!$B$11:$M$2025,12,FALSE)</f>
        <v>11.487740000000001</v>
      </c>
      <c r="BK108" s="95">
        <f t="shared" si="14"/>
        <v>0</v>
      </c>
    </row>
    <row r="109" spans="1:63">
      <c r="AU109" s="20"/>
      <c r="AV109" s="21"/>
      <c r="AW109" s="22"/>
      <c r="AX109" s="22"/>
      <c r="AY109" s="23"/>
      <c r="AZ109" s="326" t="str">
        <f t="shared" si="12"/>
        <v/>
      </c>
      <c r="BA109" s="95"/>
      <c r="BB109" s="95" t="str">
        <f t="shared" si="11"/>
        <v/>
      </c>
      <c r="BD109" s="319">
        <f>OBJ!B322</f>
        <v>9256872</v>
      </c>
      <c r="BE109" s="21" t="str">
        <f>VLOOKUP(BD109,CENY!$B$11:$G$1054,2,FALSE)</f>
        <v>Quadro You(M) 500/SiSy 30kg; EB21; ľavý</v>
      </c>
      <c r="BF109" s="22">
        <f>VLOOKUP(BD109,CENY!$B$11:$G$1054,3,FALSE)</f>
        <v>20</v>
      </c>
      <c r="BG109" s="22"/>
      <c r="BH109" s="23">
        <f>AY65</f>
        <v>0</v>
      </c>
      <c r="BI109" s="326">
        <f t="shared" si="13"/>
        <v>0</v>
      </c>
      <c r="BJ109" s="95">
        <f>VLOOKUP(BD109,CENY!$B$11:$M$2025,12,FALSE)</f>
        <v>11.163180000000001</v>
      </c>
      <c r="BK109" s="95">
        <f t="shared" si="14"/>
        <v>0</v>
      </c>
    </row>
    <row r="110" spans="1:63">
      <c r="AU110" s="20"/>
      <c r="AV110" s="21"/>
      <c r="AW110" s="22"/>
      <c r="AX110" s="22"/>
      <c r="AY110" s="23"/>
      <c r="AZ110" s="326" t="str">
        <f t="shared" si="12"/>
        <v/>
      </c>
      <c r="BA110" s="95"/>
      <c r="BB110" s="95" t="str">
        <f t="shared" si="11"/>
        <v/>
      </c>
      <c r="BD110" s="319">
        <f>OBJ!B323</f>
        <v>9256873</v>
      </c>
      <c r="BE110" s="21" t="str">
        <f>VLOOKUP(BD110,CENY!$B$11:$G$1054,2,FALSE)</f>
        <v>Quadro You(M) 500/SiSy 30kg; EB21; pravý</v>
      </c>
      <c r="BF110" s="22">
        <f>VLOOKUP(BD110,CENY!$B$11:$G$1054,3,FALSE)</f>
        <v>20</v>
      </c>
      <c r="BG110" s="22"/>
      <c r="BH110" s="23">
        <f>AY65</f>
        <v>0</v>
      </c>
      <c r="BI110" s="326">
        <f t="shared" si="13"/>
        <v>0</v>
      </c>
      <c r="BJ110" s="95">
        <f>VLOOKUP(BD110,CENY!$B$11:$M$2025,12,FALSE)</f>
        <v>11.163180000000001</v>
      </c>
      <c r="BK110" s="95">
        <f t="shared" si="14"/>
        <v>0</v>
      </c>
    </row>
    <row r="111" spans="1:63">
      <c r="AU111" s="20"/>
      <c r="AV111" s="21"/>
      <c r="AW111" s="22"/>
      <c r="AX111" s="22"/>
      <c r="AY111" s="23"/>
      <c r="AZ111" s="326" t="str">
        <f t="shared" si="12"/>
        <v/>
      </c>
      <c r="BA111" s="95"/>
      <c r="BB111" s="95" t="str">
        <f t="shared" si="11"/>
        <v/>
      </c>
      <c r="BD111" s="319">
        <f>OBJ!B324</f>
        <v>9256876</v>
      </c>
      <c r="BE111" s="21" t="str">
        <f>VLOOKUP(BD111,CENY!$B$11:$G$1054,2,FALSE)</f>
        <v>Quadro You(M) 550/SiSy 30kg; EB21; ľavý</v>
      </c>
      <c r="BF111" s="22">
        <f>VLOOKUP(BD111,CENY!$B$11:$G$1054,3,FALSE)</f>
        <v>20</v>
      </c>
      <c r="BG111" s="22"/>
      <c r="BH111" s="23">
        <f>AY66</f>
        <v>0</v>
      </c>
      <c r="BI111" s="326">
        <f t="shared" si="13"/>
        <v>0</v>
      </c>
      <c r="BJ111" s="95">
        <f>VLOOKUP(BD111,CENY!$B$11:$M$2025,12,FALSE)</f>
        <v>11.38542</v>
      </c>
      <c r="BK111" s="95">
        <f t="shared" si="14"/>
        <v>0</v>
      </c>
    </row>
    <row r="112" spans="1:63">
      <c r="AU112" s="20"/>
      <c r="AV112" s="21"/>
      <c r="AW112" s="22"/>
      <c r="AX112" s="22"/>
      <c r="AY112" s="23"/>
      <c r="AZ112" s="326" t="str">
        <f t="shared" si="12"/>
        <v/>
      </c>
      <c r="BA112" s="95"/>
      <c r="BB112" s="95" t="str">
        <f t="shared" si="11"/>
        <v/>
      </c>
      <c r="BD112" s="319">
        <f>OBJ!B325</f>
        <v>9256877</v>
      </c>
      <c r="BE112" s="21" t="str">
        <f>VLOOKUP(BD112,CENY!$B$11:$G$1054,2,FALSE)</f>
        <v>Quadro You(M) 550/SiSy 30kg; EB21; pravý</v>
      </c>
      <c r="BF112" s="22">
        <f>VLOOKUP(BD112,CENY!$B$11:$G$1054,3,FALSE)</f>
        <v>20</v>
      </c>
      <c r="BG112" s="22"/>
      <c r="BH112" s="23">
        <f>AY66</f>
        <v>0</v>
      </c>
      <c r="BI112" s="326">
        <f t="shared" si="13"/>
        <v>0</v>
      </c>
      <c r="BJ112" s="95">
        <f>VLOOKUP(BD112,CENY!$B$11:$M$2025,12,FALSE)</f>
        <v>11.954689999999999</v>
      </c>
      <c r="BK112" s="95">
        <f t="shared" si="14"/>
        <v>0</v>
      </c>
    </row>
    <row r="113" spans="47:63">
      <c r="AU113" s="20"/>
      <c r="AV113" s="21"/>
      <c r="AW113" s="22"/>
      <c r="AX113" s="22"/>
      <c r="AY113" s="23"/>
      <c r="AZ113" s="326" t="str">
        <f t="shared" si="12"/>
        <v/>
      </c>
      <c r="BA113" s="95"/>
      <c r="BB113" s="95" t="str">
        <f t="shared" si="11"/>
        <v/>
      </c>
      <c r="BD113" s="319">
        <f>OBJ!B326</f>
        <v>9256880</v>
      </c>
      <c r="BE113" s="21" t="str">
        <f>VLOOKUP(BD113,CENY!$B$11:$G$1054,2,FALSE)</f>
        <v>Quadro You(M) 600/SiSy 25kg; EB21; ľavý</v>
      </c>
      <c r="BF113" s="22">
        <f>VLOOKUP(BD113,CENY!$B$11:$G$1054,3,FALSE)</f>
        <v>20</v>
      </c>
      <c r="BG113" s="22"/>
      <c r="BH113" s="23">
        <f>AY67</f>
        <v>0</v>
      </c>
      <c r="BI113" s="326">
        <f t="shared" si="13"/>
        <v>0</v>
      </c>
      <c r="BJ113" s="95">
        <f>VLOOKUP(BD113,CENY!$B$11:$M$2025,12,FALSE)</f>
        <v>12.187939999999999</v>
      </c>
      <c r="BK113" s="95">
        <f t="shared" si="14"/>
        <v>0</v>
      </c>
    </row>
    <row r="114" spans="47:63">
      <c r="AU114" s="20"/>
      <c r="AV114" s="21"/>
      <c r="AW114" s="22"/>
      <c r="AX114" s="22"/>
      <c r="AY114" s="23"/>
      <c r="AZ114" s="326" t="str">
        <f t="shared" si="12"/>
        <v/>
      </c>
      <c r="BA114" s="95"/>
      <c r="BB114" s="95" t="str">
        <f t="shared" si="11"/>
        <v/>
      </c>
      <c r="BD114" s="319">
        <f>OBJ!B327</f>
        <v>9256881</v>
      </c>
      <c r="BE114" s="21" t="str">
        <f>VLOOKUP(BD114,CENY!$B$11:$G$1054,2,FALSE)</f>
        <v>Quadro You(M) 600/SiSy 25kg; EB21; pravý</v>
      </c>
      <c r="BF114" s="22">
        <f>VLOOKUP(BD114,CENY!$B$11:$G$1054,3,FALSE)</f>
        <v>20</v>
      </c>
      <c r="BG114" s="22"/>
      <c r="BH114" s="23">
        <f>AY67</f>
        <v>0</v>
      </c>
      <c r="BI114" s="326">
        <f t="shared" si="13"/>
        <v>0</v>
      </c>
      <c r="BJ114" s="95">
        <f>VLOOKUP(BD114,CENY!$B$11:$M$2025,12,FALSE)</f>
        <v>12.187939999999999</v>
      </c>
      <c r="BK114" s="95">
        <f t="shared" si="14"/>
        <v>0</v>
      </c>
    </row>
    <row r="115" spans="47:63">
      <c r="AU115" s="20"/>
      <c r="AV115" s="21"/>
      <c r="AW115" s="22"/>
      <c r="AX115" s="22"/>
      <c r="AY115" s="23"/>
      <c r="AZ115" s="326" t="str">
        <f t="shared" si="12"/>
        <v/>
      </c>
      <c r="BA115" s="95"/>
      <c r="BB115" s="95" t="str">
        <f t="shared" si="11"/>
        <v/>
      </c>
      <c r="BD115" s="319"/>
      <c r="BE115" s="21"/>
      <c r="BF115" s="22"/>
      <c r="BG115" s="22"/>
      <c r="BH115" s="23"/>
      <c r="BI115" s="326" t="str">
        <f t="shared" si="13"/>
        <v/>
      </c>
      <c r="BJ115" s="95"/>
      <c r="BK115" s="95" t="str">
        <f t="shared" si="14"/>
        <v/>
      </c>
    </row>
    <row r="116" spans="47:63">
      <c r="AU116" s="20"/>
      <c r="AV116" s="21"/>
      <c r="AW116" s="22"/>
      <c r="AX116" s="22"/>
      <c r="AY116" s="23"/>
      <c r="AZ116" s="326" t="str">
        <f t="shared" si="12"/>
        <v/>
      </c>
      <c r="BA116" s="95"/>
      <c r="BB116" s="95" t="str">
        <f t="shared" si="11"/>
        <v/>
      </c>
      <c r="BD116" s="319">
        <f>OBJ!B329</f>
        <v>9257894</v>
      </c>
      <c r="BE116" s="21" t="str">
        <f>VLOOKUP(BD116,CENY!$B$11:$G$1054,2,FALSE)</f>
        <v>Quadro You - Push to open Silent; &lt;10kg</v>
      </c>
      <c r="BF116" s="22">
        <f>VLOOKUP(BD116,CENY!$B$11:$G$1054,3,FALSE)</f>
        <v>1</v>
      </c>
      <c r="BG116" s="22"/>
      <c r="BH116" s="68"/>
      <c r="BI116" s="326" t="str">
        <f t="shared" si="13"/>
        <v/>
      </c>
      <c r="BJ116" s="95">
        <f>VLOOKUP(BD116,CENY!$B$11:$M$2025,12,FALSE)</f>
        <v>23.114239999999999</v>
      </c>
      <c r="BK116" s="95">
        <f t="shared" si="14"/>
        <v>0</v>
      </c>
    </row>
    <row r="117" spans="47:63">
      <c r="AU117" s="20"/>
      <c r="AV117" s="21"/>
      <c r="AW117" s="22"/>
      <c r="AX117" s="22"/>
      <c r="AY117" s="23"/>
      <c r="AZ117" s="326" t="str">
        <f t="shared" si="12"/>
        <v/>
      </c>
      <c r="BA117" s="95"/>
      <c r="BB117" s="95" t="str">
        <f t="shared" si="11"/>
        <v/>
      </c>
      <c r="BD117" s="319">
        <f>OBJ!B330</f>
        <v>9257895</v>
      </c>
      <c r="BE117" s="21" t="str">
        <f>VLOOKUP(BD117,CENY!$B$11:$G$1054,2,FALSE)</f>
        <v>Quadro You - Push to open Silent; 8-20kg</v>
      </c>
      <c r="BF117" s="22">
        <f>VLOOKUP(BD117,CENY!$B$11:$G$1054,3,FALSE)</f>
        <v>1</v>
      </c>
      <c r="BG117" s="22"/>
      <c r="BH117" s="68"/>
      <c r="BI117" s="326" t="str">
        <f t="shared" si="13"/>
        <v/>
      </c>
      <c r="BJ117" s="95">
        <f>VLOOKUP(BD117,CENY!$B$11:$M$2025,12,FALSE)</f>
        <v>23.114239999999999</v>
      </c>
      <c r="BK117" s="95">
        <f t="shared" si="14"/>
        <v>0</v>
      </c>
    </row>
    <row r="118" spans="47:63">
      <c r="AU118" s="20"/>
      <c r="AV118" s="21"/>
      <c r="AW118" s="22"/>
      <c r="AX118" s="22"/>
      <c r="AY118" s="23"/>
      <c r="AZ118" s="326" t="str">
        <f t="shared" si="12"/>
        <v/>
      </c>
      <c r="BA118" s="95"/>
      <c r="BB118" s="95" t="str">
        <f t="shared" si="11"/>
        <v/>
      </c>
      <c r="BD118" s="319">
        <f>OBJ!B331</f>
        <v>9257896</v>
      </c>
      <c r="BE118" s="21" t="str">
        <f>VLOOKUP(BD118,CENY!$B$11:$G$1054,2,FALSE)</f>
        <v>Quadro You - Push to open Silent; 10-30kg</v>
      </c>
      <c r="BF118" s="22">
        <f>VLOOKUP(BD118,CENY!$B$11:$G$1054,3,FALSE)</f>
        <v>1</v>
      </c>
      <c r="BG118" s="22"/>
      <c r="BH118" s="68"/>
      <c r="BI118" s="326" t="str">
        <f t="shared" si="13"/>
        <v/>
      </c>
      <c r="BJ118" s="95">
        <f>VLOOKUP(BD118,CENY!$B$11:$M$2025,12,FALSE)</f>
        <v>23.114239999999999</v>
      </c>
      <c r="BK118" s="95">
        <f t="shared" si="14"/>
        <v>0</v>
      </c>
    </row>
    <row r="119" spans="47:63">
      <c r="AU119" s="20"/>
      <c r="AV119" s="21"/>
      <c r="AW119" s="22"/>
      <c r="AX119" s="22"/>
      <c r="AY119" s="23"/>
      <c r="AZ119" s="326" t="str">
        <f t="shared" si="12"/>
        <v/>
      </c>
      <c r="BA119" s="95"/>
      <c r="BB119" s="95" t="str">
        <f t="shared" si="11"/>
        <v/>
      </c>
      <c r="BD119" s="319"/>
      <c r="BE119" s="21"/>
      <c r="BF119" s="22"/>
      <c r="BG119" s="22"/>
      <c r="BH119" s="23"/>
      <c r="BI119" s="326" t="str">
        <f t="shared" si="13"/>
        <v/>
      </c>
      <c r="BJ119" s="95"/>
      <c r="BK119" s="95" t="str">
        <f t="shared" si="14"/>
        <v/>
      </c>
    </row>
    <row r="120" spans="47:63">
      <c r="AU120" s="20"/>
      <c r="AV120" s="21"/>
      <c r="AW120" s="22"/>
      <c r="AX120" s="22"/>
      <c r="AY120" s="23"/>
      <c r="AZ120" s="326" t="str">
        <f t="shared" si="12"/>
        <v/>
      </c>
      <c r="BA120" s="95"/>
      <c r="BB120" s="95" t="str">
        <f t="shared" si="11"/>
        <v/>
      </c>
      <c r="BD120" s="319">
        <f>OBJ!B341</f>
        <v>9256899</v>
      </c>
      <c r="BE120" s="21" t="str">
        <f>VLOOKUP(BD120,CENY!$B$11:$G$1054,2,FALSE)</f>
        <v>Quadro You(M) 270/P2O 20kg; EB21; ľavý</v>
      </c>
      <c r="BF120" s="22">
        <f>VLOOKUP(BD120,CENY!$B$11:$G$1054,3,FALSE)</f>
        <v>20</v>
      </c>
      <c r="BG120" s="22"/>
      <c r="BH120" s="68"/>
      <c r="BI120" s="326" t="str">
        <f t="shared" si="13"/>
        <v/>
      </c>
      <c r="BJ120" s="95">
        <f>VLOOKUP(BD120,CENY!$B$11:$M$2025,12,FALSE)</f>
        <v>12.16503</v>
      </c>
      <c r="BK120" s="95">
        <f t="shared" si="14"/>
        <v>0</v>
      </c>
    </row>
    <row r="121" spans="47:63">
      <c r="AU121" s="20"/>
      <c r="AV121" s="21"/>
      <c r="AW121" s="22"/>
      <c r="AX121" s="22"/>
      <c r="AY121" s="23"/>
      <c r="AZ121" s="326" t="str">
        <f t="shared" si="12"/>
        <v/>
      </c>
      <c r="BA121" s="95"/>
      <c r="BB121" s="95" t="str">
        <f t="shared" si="11"/>
        <v/>
      </c>
      <c r="BD121" s="319">
        <f>OBJ!B342</f>
        <v>9256900</v>
      </c>
      <c r="BE121" s="21" t="str">
        <f>VLOOKUP(BD121,CENY!$B$11:$G$1054,2,FALSE)</f>
        <v>Quadro You(M) 270/P2O 20kg; EB21; pravý</v>
      </c>
      <c r="BF121" s="22">
        <f>VLOOKUP(BD121,CENY!$B$11:$G$1054,3,FALSE)</f>
        <v>20</v>
      </c>
      <c r="BG121" s="22"/>
      <c r="BH121" s="68"/>
      <c r="BI121" s="326" t="str">
        <f t="shared" si="13"/>
        <v/>
      </c>
      <c r="BJ121" s="95">
        <f>VLOOKUP(BD121,CENY!$B$11:$M$2025,12,FALSE)</f>
        <v>12.16503</v>
      </c>
      <c r="BK121" s="95">
        <f t="shared" si="14"/>
        <v>0</v>
      </c>
    </row>
    <row r="122" spans="47:63">
      <c r="AU122" s="20"/>
      <c r="AV122" s="21"/>
      <c r="AW122" s="22"/>
      <c r="AX122" s="22"/>
      <c r="AY122" s="23"/>
      <c r="AZ122" s="326" t="str">
        <f t="shared" si="12"/>
        <v/>
      </c>
      <c r="BA122" s="95"/>
      <c r="BB122" s="95" t="str">
        <f t="shared" si="11"/>
        <v/>
      </c>
      <c r="BD122" s="319">
        <f>OBJ!B343</f>
        <v>9256901</v>
      </c>
      <c r="BE122" s="21" t="str">
        <f>VLOOKUP(BD122,CENY!$B$11:$G$1054,2,FALSE)</f>
        <v>Quadro You(M) 300/P2O 20kg; EB21; ľavý</v>
      </c>
      <c r="BF122" s="22">
        <f>VLOOKUP(BD122,CENY!$B$11:$G$1054,3,FALSE)</f>
        <v>20</v>
      </c>
      <c r="BG122" s="22"/>
      <c r="BH122" s="68"/>
      <c r="BI122" s="326" t="str">
        <f t="shared" si="13"/>
        <v/>
      </c>
      <c r="BJ122" s="95">
        <f>VLOOKUP(BD122,CENY!$B$11:$M$2025,12,FALSE)</f>
        <v>12.187939999999999</v>
      </c>
      <c r="BK122" s="95">
        <f t="shared" si="14"/>
        <v>0</v>
      </c>
    </row>
    <row r="123" spans="47:63">
      <c r="AU123" s="20"/>
      <c r="AV123" s="21"/>
      <c r="AW123" s="22"/>
      <c r="AX123" s="22"/>
      <c r="AY123" s="23"/>
      <c r="AZ123" s="326" t="str">
        <f t="shared" si="12"/>
        <v/>
      </c>
      <c r="BA123" s="95"/>
      <c r="BB123" s="95" t="str">
        <f t="shared" si="11"/>
        <v/>
      </c>
      <c r="BD123" s="319">
        <f>OBJ!B344</f>
        <v>9256902</v>
      </c>
      <c r="BE123" s="21" t="str">
        <f>VLOOKUP(BD123,CENY!$B$11:$G$1054,2,FALSE)</f>
        <v>Quadro You(M) 300/P2O 20kg; EB21; pravý</v>
      </c>
      <c r="BF123" s="22">
        <f>VLOOKUP(BD123,CENY!$B$11:$G$1054,3,FALSE)</f>
        <v>20</v>
      </c>
      <c r="BG123" s="22"/>
      <c r="BH123" s="68"/>
      <c r="BI123" s="326" t="str">
        <f t="shared" si="13"/>
        <v/>
      </c>
      <c r="BJ123" s="95">
        <f>VLOOKUP(BD123,CENY!$B$11:$M$2025,12,FALSE)</f>
        <v>12.187939999999999</v>
      </c>
      <c r="BK123" s="95">
        <f t="shared" si="14"/>
        <v>0</v>
      </c>
    </row>
    <row r="124" spans="47:63">
      <c r="AU124" s="20"/>
      <c r="AV124" s="21"/>
      <c r="AW124" s="22"/>
      <c r="AX124" s="22"/>
      <c r="AY124" s="23"/>
      <c r="AZ124" s="326" t="str">
        <f t="shared" si="12"/>
        <v/>
      </c>
      <c r="BA124" s="95"/>
      <c r="BB124" s="95" t="str">
        <f t="shared" si="11"/>
        <v/>
      </c>
      <c r="BD124" s="319">
        <f>OBJ!B345</f>
        <v>9256905</v>
      </c>
      <c r="BE124" s="21" t="str">
        <f>VLOOKUP(BD124,CENY!$B$11:$G$1054,2,FALSE)</f>
        <v>Quadro You(M) 350/P2O 25kg; EB21; ľavý</v>
      </c>
      <c r="BF124" s="22">
        <f>VLOOKUP(BD124,CENY!$B$11:$G$1054,3,FALSE)</f>
        <v>20</v>
      </c>
      <c r="BG124" s="22"/>
      <c r="BH124" s="68"/>
      <c r="BI124" s="326" t="str">
        <f t="shared" si="13"/>
        <v/>
      </c>
      <c r="BJ124" s="95">
        <f>VLOOKUP(BD124,CENY!$B$11:$M$2025,12,FALSE)</f>
        <v>12.42154</v>
      </c>
      <c r="BK124" s="95">
        <f t="shared" si="14"/>
        <v>0</v>
      </c>
    </row>
    <row r="125" spans="47:63">
      <c r="AU125" s="20"/>
      <c r="AV125" s="21"/>
      <c r="AW125" s="22"/>
      <c r="AX125" s="22"/>
      <c r="AY125" s="23"/>
      <c r="AZ125" s="326" t="str">
        <f t="shared" si="12"/>
        <v/>
      </c>
      <c r="BA125" s="95"/>
      <c r="BB125" s="95" t="str">
        <f t="shared" si="11"/>
        <v/>
      </c>
      <c r="BD125" s="319">
        <f>OBJ!B346</f>
        <v>9256906</v>
      </c>
      <c r="BE125" s="21" t="str">
        <f>VLOOKUP(BD125,CENY!$B$11:$G$1054,2,FALSE)</f>
        <v>Quadro You(M) 350/P2O 25kg; EB21; pravý</v>
      </c>
      <c r="BF125" s="22">
        <f>VLOOKUP(BD125,CENY!$B$11:$G$1054,3,FALSE)</f>
        <v>20</v>
      </c>
      <c r="BG125" s="22"/>
      <c r="BH125" s="68"/>
      <c r="BI125" s="326" t="str">
        <f t="shared" si="13"/>
        <v/>
      </c>
      <c r="BJ125" s="95">
        <f>VLOOKUP(BD125,CENY!$B$11:$M$2025,12,FALSE)</f>
        <v>12.42154</v>
      </c>
      <c r="BK125" s="95">
        <f t="shared" si="14"/>
        <v>0</v>
      </c>
    </row>
    <row r="126" spans="47:63">
      <c r="AU126" s="20"/>
      <c r="AV126" s="21"/>
      <c r="AW126" s="22"/>
      <c r="AX126" s="22"/>
      <c r="AY126" s="23"/>
      <c r="AZ126" s="326" t="str">
        <f t="shared" si="12"/>
        <v/>
      </c>
      <c r="BA126" s="95"/>
      <c r="BB126" s="95" t="str">
        <f t="shared" si="11"/>
        <v/>
      </c>
      <c r="BD126" s="319">
        <f>OBJ!B347</f>
        <v>9256909</v>
      </c>
      <c r="BE126" s="21" t="str">
        <f>VLOOKUP(BD126,CENY!$B$11:$G$1054,2,FALSE)</f>
        <v>Quadro You(M) 400/P2O 30kg; EB21; ľavý</v>
      </c>
      <c r="BF126" s="22">
        <f>VLOOKUP(BD126,CENY!$B$11:$G$1054,3,FALSE)</f>
        <v>20</v>
      </c>
      <c r="BG126" s="22"/>
      <c r="BH126" s="68"/>
      <c r="BI126" s="326" t="str">
        <f t="shared" si="13"/>
        <v/>
      </c>
      <c r="BJ126" s="95">
        <f>VLOOKUP(BD126,CENY!$B$11:$M$2025,12,FALSE)</f>
        <v>12.654769999999999</v>
      </c>
      <c r="BK126" s="95">
        <f t="shared" si="14"/>
        <v>0</v>
      </c>
    </row>
    <row r="127" spans="47:63">
      <c r="AU127" s="20"/>
      <c r="AV127" s="21"/>
      <c r="AW127" s="22"/>
      <c r="AX127" s="22"/>
      <c r="AY127" s="23"/>
      <c r="AZ127" s="326" t="str">
        <f t="shared" si="12"/>
        <v/>
      </c>
      <c r="BA127" s="95"/>
      <c r="BB127" s="95" t="str">
        <f t="shared" si="11"/>
        <v/>
      </c>
      <c r="BD127" s="319">
        <f>OBJ!B348</f>
        <v>9256910</v>
      </c>
      <c r="BE127" s="21" t="str">
        <f>VLOOKUP(BD127,CENY!$B$11:$G$1054,2,FALSE)</f>
        <v>Quadro You(M) 400/P2O 30kg; EB21; pravý</v>
      </c>
      <c r="BF127" s="22">
        <f>VLOOKUP(BD127,CENY!$B$11:$G$1054,3,FALSE)</f>
        <v>20</v>
      </c>
      <c r="BG127" s="22"/>
      <c r="BH127" s="68"/>
      <c r="BI127" s="326" t="str">
        <f t="shared" si="13"/>
        <v/>
      </c>
      <c r="BJ127" s="95">
        <f>VLOOKUP(BD127,CENY!$B$11:$M$2025,12,FALSE)</f>
        <v>12.654769999999999</v>
      </c>
      <c r="BK127" s="95">
        <f t="shared" si="14"/>
        <v>0</v>
      </c>
    </row>
    <row r="128" spans="47:63">
      <c r="AU128" s="20"/>
      <c r="AV128" s="21"/>
      <c r="AW128" s="22"/>
      <c r="AX128" s="22"/>
      <c r="AY128" s="23"/>
      <c r="AZ128" s="326" t="str">
        <f t="shared" si="12"/>
        <v/>
      </c>
      <c r="BA128" s="95"/>
      <c r="BB128" s="95" t="str">
        <f t="shared" si="11"/>
        <v/>
      </c>
      <c r="BD128" s="319">
        <f>OBJ!B349</f>
        <v>9256913</v>
      </c>
      <c r="BE128" s="21" t="str">
        <f>VLOOKUP(BD128,CENY!$B$11:$G$1054,2,FALSE)</f>
        <v>Quadro You(M) 450/P2O 30kg; EB21; ľavý</v>
      </c>
      <c r="BF128" s="22">
        <f>VLOOKUP(BD128,CENY!$B$11:$G$1054,3,FALSE)</f>
        <v>20</v>
      </c>
      <c r="BG128" s="22"/>
      <c r="BH128" s="68"/>
      <c r="BI128" s="326" t="str">
        <f t="shared" si="13"/>
        <v/>
      </c>
      <c r="BJ128" s="95">
        <f>VLOOKUP(BD128,CENY!$B$11:$M$2025,12,FALSE)</f>
        <v>12.888019999999999</v>
      </c>
      <c r="BK128" s="95">
        <f t="shared" si="14"/>
        <v>0</v>
      </c>
    </row>
    <row r="129" spans="47:63">
      <c r="AU129" s="20"/>
      <c r="AV129" s="21"/>
      <c r="AW129" s="22"/>
      <c r="AX129" s="22"/>
      <c r="AY129" s="23"/>
      <c r="AZ129" s="326" t="str">
        <f t="shared" si="12"/>
        <v/>
      </c>
      <c r="BA129" s="95"/>
      <c r="BB129" s="95" t="str">
        <f t="shared" si="11"/>
        <v/>
      </c>
      <c r="BD129" s="319">
        <f>OBJ!B350</f>
        <v>9256914</v>
      </c>
      <c r="BE129" s="21" t="str">
        <f>VLOOKUP(BD129,CENY!$B$11:$G$1054,2,FALSE)</f>
        <v>Quadro You(M) 450/P2O 30kg; EB21; pravý</v>
      </c>
      <c r="BF129" s="22">
        <f>VLOOKUP(BD129,CENY!$B$11:$G$1054,3,FALSE)</f>
        <v>20</v>
      </c>
      <c r="BG129" s="22"/>
      <c r="BH129" s="68"/>
      <c r="BI129" s="326" t="str">
        <f t="shared" si="13"/>
        <v/>
      </c>
      <c r="BJ129" s="95">
        <f>VLOOKUP(BD129,CENY!$B$11:$M$2025,12,FALSE)</f>
        <v>12.888019999999999</v>
      </c>
      <c r="BK129" s="95">
        <f t="shared" si="14"/>
        <v>0</v>
      </c>
    </row>
    <row r="130" spans="47:63">
      <c r="AU130" s="20"/>
      <c r="AV130" s="21"/>
      <c r="AW130" s="22"/>
      <c r="AX130" s="22"/>
      <c r="AY130" s="23"/>
      <c r="AZ130" s="326" t="str">
        <f t="shared" si="12"/>
        <v/>
      </c>
      <c r="BA130" s="95"/>
      <c r="BB130" s="95" t="str">
        <f t="shared" si="11"/>
        <v/>
      </c>
      <c r="BD130" s="319">
        <f>OBJ!B351</f>
        <v>9256917</v>
      </c>
      <c r="BE130" s="21" t="str">
        <f>VLOOKUP(BD130,CENY!$B$11:$G$1054,2,FALSE)</f>
        <v>Quadro You(M) 500/P2O 30kg; EB21; ľavý</v>
      </c>
      <c r="BF130" s="22">
        <f>VLOOKUP(BD130,CENY!$B$11:$G$1054,3,FALSE)</f>
        <v>20</v>
      </c>
      <c r="BG130" s="22"/>
      <c r="BH130" s="68"/>
      <c r="BI130" s="326" t="str">
        <f t="shared" si="13"/>
        <v/>
      </c>
      <c r="BJ130" s="95">
        <f>VLOOKUP(BD130,CENY!$B$11:$M$2025,12,FALSE)</f>
        <v>12.496779999999999</v>
      </c>
      <c r="BK130" s="95">
        <f t="shared" si="14"/>
        <v>0</v>
      </c>
    </row>
    <row r="131" spans="47:63">
      <c r="AU131" s="20"/>
      <c r="AV131" s="21"/>
      <c r="AW131" s="22"/>
      <c r="AX131" s="22"/>
      <c r="AY131" s="23"/>
      <c r="AZ131" s="326" t="str">
        <f t="shared" si="12"/>
        <v/>
      </c>
      <c r="BA131" s="95"/>
      <c r="BB131" s="95" t="str">
        <f t="shared" si="11"/>
        <v/>
      </c>
      <c r="BD131" s="319">
        <f>OBJ!B352</f>
        <v>9256918</v>
      </c>
      <c r="BE131" s="21" t="str">
        <f>VLOOKUP(BD131,CENY!$B$11:$G$1054,2,FALSE)</f>
        <v>Quadro You(M) 500/P2O 30kg; EB21; pravý</v>
      </c>
      <c r="BF131" s="22">
        <f>VLOOKUP(BD131,CENY!$B$11:$G$1054,3,FALSE)</f>
        <v>20</v>
      </c>
      <c r="BG131" s="22"/>
      <c r="BH131" s="68"/>
      <c r="BI131" s="326" t="str">
        <f t="shared" si="13"/>
        <v/>
      </c>
      <c r="BJ131" s="95">
        <f>VLOOKUP(BD131,CENY!$B$11:$M$2025,12,FALSE)</f>
        <v>12.496779999999999</v>
      </c>
      <c r="BK131" s="95">
        <f t="shared" si="14"/>
        <v>0</v>
      </c>
    </row>
    <row r="132" spans="47:63">
      <c r="AU132" s="20"/>
      <c r="AV132" s="21"/>
      <c r="AW132" s="22"/>
      <c r="AX132" s="22"/>
      <c r="AY132" s="23"/>
      <c r="AZ132" s="326" t="str">
        <f t="shared" si="12"/>
        <v/>
      </c>
      <c r="BA132" s="95"/>
      <c r="BB132" s="95" t="str">
        <f t="shared" si="11"/>
        <v/>
      </c>
      <c r="BD132" s="319">
        <f>OBJ!B353</f>
        <v>9256921</v>
      </c>
      <c r="BE132" s="21" t="str">
        <f>VLOOKUP(BD132,CENY!$B$11:$G$1054,2,FALSE)</f>
        <v>Quadro You(M) 550/P2O 30kg; EB21; ľavý</v>
      </c>
      <c r="BF132" s="22">
        <f>VLOOKUP(BD132,CENY!$B$11:$G$1054,3,FALSE)</f>
        <v>20</v>
      </c>
      <c r="BG132" s="22"/>
      <c r="BH132" s="68"/>
      <c r="BI132" s="326" t="str">
        <f t="shared" si="13"/>
        <v/>
      </c>
      <c r="BJ132" s="95">
        <f>VLOOKUP(BD132,CENY!$B$11:$M$2025,12,FALSE)</f>
        <v>12.718019999999999</v>
      </c>
      <c r="BK132" s="95">
        <f t="shared" si="14"/>
        <v>0</v>
      </c>
    </row>
    <row r="133" spans="47:63">
      <c r="AU133" s="20"/>
      <c r="AV133" s="21"/>
      <c r="AW133" s="22"/>
      <c r="AX133" s="22"/>
      <c r="AY133" s="23"/>
      <c r="AZ133" s="326" t="str">
        <f t="shared" si="12"/>
        <v/>
      </c>
      <c r="BA133" s="95"/>
      <c r="BB133" s="95" t="str">
        <f t="shared" si="11"/>
        <v/>
      </c>
      <c r="BD133" s="319">
        <f>OBJ!B354</f>
        <v>9256922</v>
      </c>
      <c r="BE133" s="21" t="str">
        <f>VLOOKUP(BD133,CENY!$B$11:$G$1054,2,FALSE)</f>
        <v>Quadro You(M) 550/P2O 30kg; EB21; pravý</v>
      </c>
      <c r="BF133" s="22">
        <f>VLOOKUP(BD133,CENY!$B$11:$G$1054,3,FALSE)</f>
        <v>20</v>
      </c>
      <c r="BG133" s="22"/>
      <c r="BH133" s="68"/>
      <c r="BI133" s="326" t="str">
        <f t="shared" si="13"/>
        <v/>
      </c>
      <c r="BJ133" s="95">
        <f>VLOOKUP(BD133,CENY!$B$11:$M$2025,12,FALSE)</f>
        <v>13.35392</v>
      </c>
      <c r="BK133" s="95">
        <f t="shared" si="14"/>
        <v>0</v>
      </c>
    </row>
    <row r="134" spans="47:63">
      <c r="AU134" s="20"/>
      <c r="AV134" s="21"/>
      <c r="AW134" s="22"/>
      <c r="AX134" s="22"/>
      <c r="AY134" s="23"/>
      <c r="AZ134" s="326" t="str">
        <f t="shared" si="12"/>
        <v/>
      </c>
      <c r="BA134" s="95"/>
      <c r="BB134" s="95" t="str">
        <f t="shared" si="11"/>
        <v/>
      </c>
      <c r="BD134" s="319">
        <f>OBJ!B355</f>
        <v>9256925</v>
      </c>
      <c r="BE134" s="21" t="str">
        <f>VLOOKUP(BD134,CENY!$B$11:$G$1054,2,FALSE)</f>
        <v>Quadro You(M) 600/P2O 25kg; EB21; ľavý</v>
      </c>
      <c r="BF134" s="22">
        <f>VLOOKUP(BD134,CENY!$B$11:$G$1054,3,FALSE)</f>
        <v>20</v>
      </c>
      <c r="BG134" s="22"/>
      <c r="BH134" s="68"/>
      <c r="BI134" s="326" t="str">
        <f t="shared" si="13"/>
        <v/>
      </c>
      <c r="BJ134" s="95">
        <f>VLOOKUP(BD134,CENY!$B$11:$M$2025,12,FALSE)</f>
        <v>13.58704</v>
      </c>
      <c r="BK134" s="95">
        <f t="shared" si="14"/>
        <v>0</v>
      </c>
    </row>
    <row r="135" spans="47:63">
      <c r="AU135" s="20"/>
      <c r="AV135" s="21"/>
      <c r="AW135" s="22"/>
      <c r="AX135" s="22"/>
      <c r="AY135" s="23"/>
      <c r="AZ135" s="326" t="str">
        <f t="shared" si="12"/>
        <v/>
      </c>
      <c r="BA135" s="95"/>
      <c r="BB135" s="95" t="str">
        <f t="shared" si="11"/>
        <v/>
      </c>
      <c r="BD135" s="319">
        <f>OBJ!B356</f>
        <v>9256926</v>
      </c>
      <c r="BE135" s="21" t="str">
        <f>VLOOKUP(BD135,CENY!$B$11:$G$1054,2,FALSE)</f>
        <v>Quadro You(M) 600/P2O 25kg; EB21; pravý</v>
      </c>
      <c r="BF135" s="22">
        <f>VLOOKUP(BD135,CENY!$B$11:$G$1054,3,FALSE)</f>
        <v>20</v>
      </c>
      <c r="BG135" s="22"/>
      <c r="BH135" s="68"/>
      <c r="BI135" s="326" t="str">
        <f t="shared" si="13"/>
        <v/>
      </c>
      <c r="BJ135" s="95">
        <f>VLOOKUP(BD135,CENY!$B$11:$M$2025,12,FALSE)</f>
        <v>13.58704</v>
      </c>
      <c r="BK135" s="95">
        <f t="shared" si="14"/>
        <v>0</v>
      </c>
    </row>
    <row r="136" spans="47:63">
      <c r="AU136" s="20"/>
      <c r="AV136" s="21"/>
      <c r="AW136" s="22"/>
      <c r="AX136" s="22"/>
      <c r="AY136" s="23"/>
      <c r="AZ136" s="326" t="str">
        <f t="shared" si="12"/>
        <v/>
      </c>
      <c r="BA136" s="95"/>
      <c r="BB136" s="95" t="str">
        <f t="shared" si="11"/>
        <v/>
      </c>
      <c r="BD136" s="319"/>
      <c r="BE136" s="21"/>
      <c r="BF136" s="22"/>
      <c r="BG136" s="22"/>
      <c r="BH136" s="23"/>
      <c r="BI136" s="326" t="str">
        <f t="shared" si="13"/>
        <v/>
      </c>
      <c r="BJ136" s="95"/>
      <c r="BK136" s="95" t="str">
        <f t="shared" si="14"/>
        <v/>
      </c>
    </row>
    <row r="137" spans="47:63">
      <c r="AU137" s="20"/>
      <c r="AV137" s="21"/>
      <c r="AW137" s="22"/>
      <c r="AX137" s="22"/>
      <c r="AY137" s="23"/>
      <c r="AZ137" s="326" t="str">
        <f t="shared" si="12"/>
        <v/>
      </c>
      <c r="BA137" s="95"/>
      <c r="BB137" s="95" t="str">
        <f t="shared" si="11"/>
        <v/>
      </c>
      <c r="BD137" s="319">
        <f>OBJ!B358</f>
        <v>9219966</v>
      </c>
      <c r="BE137" s="21" t="str">
        <f>VLOOKUP(BD137,CENY!$B$11:$G$1054,2,FALSE)</f>
        <v>Push to open Synchro / adaptér typ A</v>
      </c>
      <c r="BF137" s="22">
        <f>VLOOKUP(BD137,CENY!$B$11:$G$1054,3,FALSE)</f>
        <v>200</v>
      </c>
      <c r="BG137" s="22"/>
      <c r="BH137" s="68"/>
      <c r="BI137" s="326" t="str">
        <f t="shared" si="13"/>
        <v/>
      </c>
      <c r="BJ137" s="95">
        <f>VLOOKUP(BD137,CENY!$B$11:$M$2025,12,FALSE)</f>
        <v>0.79318999999999995</v>
      </c>
      <c r="BK137" s="95">
        <f t="shared" si="14"/>
        <v>0</v>
      </c>
    </row>
    <row r="138" spans="47:63">
      <c r="AU138" s="20"/>
      <c r="AV138" s="21"/>
      <c r="AW138" s="22"/>
      <c r="AX138" s="22"/>
      <c r="AY138" s="23"/>
      <c r="AZ138" s="326" t="str">
        <f t="shared" si="12"/>
        <v/>
      </c>
      <c r="BA138" s="95"/>
      <c r="BB138" s="95" t="str">
        <f t="shared" si="11"/>
        <v/>
      </c>
      <c r="BD138" s="319"/>
      <c r="BE138" s="21"/>
      <c r="BF138" s="22"/>
      <c r="BG138" s="22"/>
      <c r="BH138" s="23"/>
      <c r="BI138" s="326" t="str">
        <f t="shared" si="13"/>
        <v/>
      </c>
      <c r="BJ138" s="95"/>
      <c r="BK138" s="95" t="str">
        <f t="shared" si="14"/>
        <v/>
      </c>
    </row>
    <row r="139" spans="47:63">
      <c r="AU139" s="20"/>
      <c r="AV139" s="21"/>
      <c r="AW139" s="22"/>
      <c r="AX139" s="22"/>
      <c r="AY139" s="23"/>
      <c r="AZ139" s="326" t="str">
        <f t="shared" si="12"/>
        <v/>
      </c>
      <c r="BA139" s="95"/>
      <c r="BB139" s="95" t="str">
        <f t="shared" si="11"/>
        <v/>
      </c>
      <c r="BD139" s="319">
        <f>OBJ!B214</f>
        <v>0</v>
      </c>
      <c r="BE139" s="21" t="e">
        <f>VLOOKUP(BD139,CENY!$B$11:$G$1054,2,FALSE)</f>
        <v>#N/A</v>
      </c>
      <c r="BF139" s="22" t="e">
        <f>VLOOKUP(BD139,CENY!$B$11:$G$1054,3,FALSE)</f>
        <v>#N/A</v>
      </c>
      <c r="BG139" s="22"/>
      <c r="BH139" s="23">
        <f>AY87</f>
        <v>0</v>
      </c>
      <c r="BI139" s="326">
        <f t="shared" si="13"/>
        <v>0</v>
      </c>
      <c r="BJ139" s="324" t="str">
        <f>IF(BD139=0,"",VLOOKUP(BD139,CENY!$B$11:$M$2025,12,FALSE))</f>
        <v/>
      </c>
      <c r="BK139" s="95" t="str">
        <f t="shared" si="14"/>
        <v/>
      </c>
    </row>
    <row r="140" spans="47:63">
      <c r="AU140" s="20"/>
      <c r="AV140" s="21"/>
      <c r="AW140" s="22"/>
      <c r="AX140" s="22"/>
      <c r="AY140" s="23"/>
      <c r="AZ140" s="326" t="str">
        <f t="shared" si="12"/>
        <v/>
      </c>
      <c r="BA140" s="95"/>
      <c r="BB140" s="95" t="str">
        <f t="shared" si="11"/>
        <v/>
      </c>
      <c r="BD140" s="319"/>
      <c r="BE140" s="21"/>
      <c r="BF140" s="22"/>
      <c r="BG140" s="22"/>
      <c r="BH140" s="23"/>
      <c r="BI140" s="326" t="str">
        <f t="shared" si="13"/>
        <v/>
      </c>
      <c r="BJ140" s="95"/>
      <c r="BK140" s="95" t="str">
        <f t="shared" si="14"/>
        <v/>
      </c>
    </row>
    <row r="141" spans="47:63">
      <c r="AU141" s="20"/>
      <c r="AV141" s="21"/>
      <c r="AW141" s="22"/>
      <c r="AX141" s="22"/>
      <c r="AY141" s="23"/>
      <c r="AZ141" s="326" t="str">
        <f t="shared" si="12"/>
        <v/>
      </c>
      <c r="BA141" s="95"/>
      <c r="BB141" s="95" t="str">
        <f t="shared" si="11"/>
        <v/>
      </c>
      <c r="BD141" s="319"/>
      <c r="BE141" s="21"/>
      <c r="BF141" s="22"/>
      <c r="BG141" s="22"/>
      <c r="BH141" s="23"/>
      <c r="BI141" s="326" t="str">
        <f t="shared" si="13"/>
        <v/>
      </c>
      <c r="BJ141" s="95"/>
      <c r="BK141" s="95" t="str">
        <f t="shared" si="14"/>
        <v/>
      </c>
    </row>
    <row r="142" spans="47:63">
      <c r="AU142" s="319">
        <f>OBJ!B361</f>
        <v>45167</v>
      </c>
      <c r="AV142" s="21" t="str">
        <f>VLOOKUP(AU142,CENY!$B$11:$G$1054,2,FALSE)</f>
        <v>Skrutka s polgul.hlavou 3,5x12mm</v>
      </c>
      <c r="AW142" s="22">
        <f>VLOOKUP(AU142,CENY!$B$11:$G$1054,3,FALSE)</f>
        <v>200</v>
      </c>
      <c r="AX142" s="22"/>
      <c r="AY142" s="23">
        <f>SUMPRODUCT(AX9:AX19,AY9:AY19)</f>
        <v>0</v>
      </c>
      <c r="AZ142" s="326">
        <f t="shared" si="12"/>
        <v>0</v>
      </c>
      <c r="BA142" s="95">
        <f>VLOOKUP(AU142,CENY!$B$11:$M$2025,12,FALSE)</f>
        <v>3.4759999999999999E-2</v>
      </c>
      <c r="BB142" s="95">
        <f>IF(BA142="","",BA142*AY142)</f>
        <v>0</v>
      </c>
      <c r="BC142" s="373" t="s">
        <v>396</v>
      </c>
      <c r="BD142" s="319">
        <f>OBJ!B194</f>
        <v>9257269</v>
      </c>
      <c r="BE142" s="21" t="str">
        <f>VLOOKUP(BD142,CENY!$B$11:$G$1054,2,FALSE)</f>
        <v>AvanY-čelo vnút.zásuvky /v101/d2000/strieb.</v>
      </c>
      <c r="BF142" s="22">
        <f>VLOOKUP(BD142,CENY!$B$11:$G$1054,3,FALSE)</f>
        <v>1</v>
      </c>
      <c r="BG142" s="22"/>
      <c r="BH142" s="23">
        <f>AY90</f>
        <v>0</v>
      </c>
      <c r="BI142" s="326">
        <f t="shared" si="13"/>
        <v>0</v>
      </c>
      <c r="BJ142" s="95">
        <f>VLOOKUP(BD142,CENY!$B$11:$M$2025,12,FALSE)</f>
        <v>71.34393</v>
      </c>
      <c r="BK142" s="95">
        <f t="shared" si="14"/>
        <v>0</v>
      </c>
    </row>
    <row r="143" spans="47:63">
      <c r="AU143" s="319">
        <f>OBJ!B362</f>
        <v>45168</v>
      </c>
      <c r="AV143" s="21" t="str">
        <f>VLOOKUP(AU143,CENY!$B$11:$G$1054,2,FALSE)</f>
        <v>Skrutka s polgul.hlavou 3,5x20mm</v>
      </c>
      <c r="AW143" s="22">
        <f>VLOOKUP(AU143,CENY!$B$11:$G$1054,3,FALSE)</f>
        <v>200</v>
      </c>
      <c r="AX143" s="22"/>
      <c r="AY143" s="360">
        <v>0</v>
      </c>
      <c r="AZ143" s="326">
        <f t="shared" ref="AZ143:AZ146" si="17">IF(AY143="","",IF($AW$4=1,AY143,0))</f>
        <v>0</v>
      </c>
      <c r="BA143" s="95">
        <f>VLOOKUP(AU143,CENY!$B$11:$M$2025,12,FALSE)</f>
        <v>4.9860000000000002E-2</v>
      </c>
      <c r="BB143" s="95">
        <f>IF(BA143="","",BA143*AY143)</f>
        <v>0</v>
      </c>
      <c r="BC143" s="373" t="s">
        <v>397</v>
      </c>
      <c r="BD143" s="319">
        <f>OBJ!B196</f>
        <v>9257271</v>
      </c>
      <c r="BE143" s="21" t="str">
        <f>VLOOKUP(BD143,CENY!$B$11:$G$1054,2,FALSE)</f>
        <v>AvanY-čelo vnút.zásuvky /v187/d2000/strieb.</v>
      </c>
      <c r="BF143" s="22">
        <f>VLOOKUP(BD143,CENY!$B$11:$G$1054,3,FALSE)</f>
        <v>1</v>
      </c>
      <c r="BG143" s="22"/>
      <c r="BH143" s="23">
        <f>AY92</f>
        <v>0</v>
      </c>
      <c r="BI143" s="326">
        <f t="shared" si="13"/>
        <v>0</v>
      </c>
      <c r="BJ143" s="95">
        <f>VLOOKUP(BD143,CENY!$B$11:$M$2025,12,FALSE)</f>
        <v>106.6825</v>
      </c>
      <c r="BK143" s="95">
        <f t="shared" si="14"/>
        <v>0</v>
      </c>
    </row>
    <row r="144" spans="47:63">
      <c r="AU144" s="319">
        <f>OBJ!B363</f>
        <v>9278224</v>
      </c>
      <c r="AV144" s="21" t="str">
        <f>VLOOKUP(AU144,CENY!$B$11:$G$1054,2,FALSE)</f>
        <v>Skrutka s polgul.hlavou 3,5x30mm</v>
      </c>
      <c r="AW144" s="22">
        <f>VLOOKUP(AU144,CENY!$B$11:$G$1054,3,FALSE)</f>
        <v>200</v>
      </c>
      <c r="AX144" s="22"/>
      <c r="AY144" s="360">
        <v>0</v>
      </c>
      <c r="AZ144" s="326">
        <f t="shared" si="17"/>
        <v>0</v>
      </c>
      <c r="BA144" s="95">
        <f>VLOOKUP(AU144,CENY!$B$11:$M$2025,12,FALSE)</f>
        <v>4.299E-2</v>
      </c>
      <c r="BB144" s="95">
        <f>IF(BA144="","",BA144*AY144)</f>
        <v>0</v>
      </c>
      <c r="BC144" s="373" t="s">
        <v>398</v>
      </c>
      <c r="BD144" s="319"/>
      <c r="BE144" s="21"/>
      <c r="BF144" s="22"/>
      <c r="BG144" s="22"/>
      <c r="BH144" s="23"/>
      <c r="BI144" s="326" t="str">
        <f>IF(BH144="","",IF($AW$4=0,BH144,0))</f>
        <v/>
      </c>
      <c r="BJ144" s="95"/>
      <c r="BK144" s="95" t="str">
        <f t="shared" si="14"/>
        <v/>
      </c>
    </row>
    <row r="145" spans="47:63">
      <c r="AU145" s="319">
        <f>OBJ!B364</f>
        <v>9279197</v>
      </c>
      <c r="AV145" s="21" t="str">
        <f>VLOOKUP(AU145,CENY!$B$11:$G$1054,2,FALSE)</f>
        <v>Skrutka s polgul.hlavou M3,5x12mm</v>
      </c>
      <c r="AW145" s="22">
        <f>VLOOKUP(AU145,CENY!$B$11:$G$1054,3,FALSE)</f>
        <v>1000</v>
      </c>
      <c r="AX145" s="22"/>
      <c r="AY145" s="68">
        <v>0</v>
      </c>
      <c r="AZ145" s="326">
        <f t="shared" si="17"/>
        <v>0</v>
      </c>
      <c r="BA145" s="95" t="e">
        <f>VLOOKUP(AU145,CENY!$B$11:$M$2025,12,FALSE)</f>
        <v>#N/A</v>
      </c>
      <c r="BB145" s="95" t="e">
        <f>IF(BA145="","",BA145*AY145)</f>
        <v>#N/A</v>
      </c>
      <c r="BC145" s="373" t="s">
        <v>399</v>
      </c>
      <c r="BD145" s="319">
        <f>OBJ!B203</f>
        <v>9257641</v>
      </c>
      <c r="BE145" s="21" t="str">
        <f>VLOOKUP(BD145,CENY!$B$11:$G$1054,2,FALSE)</f>
        <v>AvanY-stabilizátor čela vnút.zásuvky</v>
      </c>
      <c r="BF145" s="22">
        <f>VLOOKUP(BD145,CENY!$B$11:$G$1054,3,FALSE)</f>
        <v>100</v>
      </c>
      <c r="BG145" s="22"/>
      <c r="BH145" s="23">
        <f>AY91+AY93</f>
        <v>0</v>
      </c>
      <c r="BI145" s="326">
        <f>IF(BH145="","",IF($AW$4=0,BH145,0))</f>
        <v>0</v>
      </c>
      <c r="BJ145" s="95">
        <f>VLOOKUP(BD145,CENY!$B$11:$M$2025,12,FALSE)</f>
        <v>0.52149000000000001</v>
      </c>
      <c r="BK145" s="95">
        <f t="shared" si="14"/>
        <v>0</v>
      </c>
    </row>
    <row r="146" spans="47:63">
      <c r="AU146" s="319">
        <f>OBJ!B365</f>
        <v>9137114</v>
      </c>
      <c r="AV146" s="21" t="str">
        <f>VLOOKUP(AU146,CENY!$B$11:$G$1054,2,FALSE)</f>
        <v>EURO-skrutka  6,0x14mm / niklovaná</v>
      </c>
      <c r="AW146" s="22">
        <f>VLOOKUP(AU146,CENY!$B$11:$G$1054,3,FALSE)</f>
        <v>200</v>
      </c>
      <c r="AX146" s="22"/>
      <c r="AY146" s="23">
        <f>SUMPRODUCT(AX31:AX80,AY31:AY80)</f>
        <v>0</v>
      </c>
      <c r="AZ146" s="326">
        <f t="shared" si="17"/>
        <v>0</v>
      </c>
      <c r="BA146" s="95">
        <f>VLOOKUP(AU146,CENY!$B$11:$M$2025,12,FALSE)</f>
        <v>7.7280000000000001E-2</v>
      </c>
      <c r="BB146" s="95">
        <f>IF(BA146="","",BA146*AY146)</f>
        <v>0</v>
      </c>
      <c r="BC146" s="373" t="s">
        <v>400</v>
      </c>
      <c r="BD146" s="319">
        <f>OBJ!B204</f>
        <v>9257629</v>
      </c>
      <c r="BE146" s="21" t="str">
        <f>VLOOKUP(BD146,CENY!$B$11:$G$1054,2,FALSE)</f>
        <v>AvanY-krytka čela vnút.zás./v101/strieb.</v>
      </c>
      <c r="BF146" s="22">
        <f>VLOOKUP(BD146,CENY!$B$11:$G$1054,3,FALSE)</f>
        <v>200</v>
      </c>
      <c r="BG146" s="22"/>
      <c r="BH146" s="23">
        <f>2*AY91</f>
        <v>0</v>
      </c>
      <c r="BI146" s="326">
        <f>IF(BH146="","",IF($AW$4=0,BH146,0))</f>
        <v>0</v>
      </c>
      <c r="BJ146" s="95">
        <f>VLOOKUP(BD146,CENY!$B$11:$M$2025,12,FALSE)</f>
        <v>0.21284</v>
      </c>
      <c r="BK146" s="95">
        <f t="shared" si="14"/>
        <v>0</v>
      </c>
    </row>
    <row r="147" spans="47:63">
      <c r="AU147" s="20"/>
      <c r="AV147" s="21"/>
      <c r="AW147" s="22"/>
      <c r="AX147" s="22"/>
      <c r="AY147" s="23"/>
      <c r="AZ147" s="326"/>
      <c r="BA147" s="95"/>
      <c r="BB147" s="95"/>
      <c r="BD147" s="319">
        <f>OBJ!B206</f>
        <v>9257631</v>
      </c>
      <c r="BE147" s="21" t="str">
        <f>VLOOKUP(BD147,CENY!$B$11:$G$1054,2,FALSE)</f>
        <v>AvanY-krytka čela vnút.zás./v187/strieb.</v>
      </c>
      <c r="BF147" s="22">
        <f>VLOOKUP(BD147,CENY!$B$11:$G$1054,3,FALSE)</f>
        <v>200</v>
      </c>
      <c r="BG147" s="22"/>
      <c r="BH147" s="23">
        <f>2*AY93</f>
        <v>0</v>
      </c>
      <c r="BI147" s="326">
        <f>IF(BH147="","",IF($AW$4=0,BH147,0))</f>
        <v>0</v>
      </c>
      <c r="BJ147" s="95">
        <f>VLOOKUP(BD147,CENY!$B$11:$M$2025,12,FALSE)</f>
        <v>0.38140000000000002</v>
      </c>
      <c r="BK147" s="95">
        <f t="shared" ref="BK147" si="18">IF(BJ147="","",BJ147*BH147)</f>
        <v>0</v>
      </c>
    </row>
    <row r="148" spans="47:63">
      <c r="AU148" s="20"/>
      <c r="AV148" s="21"/>
      <c r="AW148" s="22"/>
      <c r="AX148" s="22"/>
      <c r="AY148" s="23"/>
      <c r="AZ148" s="326"/>
      <c r="BA148" s="95"/>
      <c r="BB148" s="95"/>
      <c r="BD148" s="319"/>
      <c r="BE148" s="21"/>
      <c r="BF148" s="22"/>
      <c r="BG148" s="22"/>
      <c r="BH148" s="23"/>
      <c r="BI148" s="326" t="str">
        <f t="shared" si="13"/>
        <v/>
      </c>
      <c r="BJ148" s="95"/>
      <c r="BK148" s="95" t="str">
        <f t="shared" si="14"/>
        <v/>
      </c>
    </row>
    <row r="149" spans="47:63">
      <c r="AU149" s="20"/>
      <c r="AV149" s="21"/>
      <c r="AW149" s="22"/>
      <c r="AX149" s="22"/>
      <c r="AY149" s="23"/>
      <c r="AZ149" s="326"/>
      <c r="BA149" s="95"/>
      <c r="BB149" s="95"/>
      <c r="BD149" s="319">
        <f>OBJ!B361</f>
        <v>45167</v>
      </c>
      <c r="BE149" s="21" t="str">
        <f>VLOOKUP(BD149,CENY!$B$11:$G$1054,2,FALSE)</f>
        <v>Skrutka s polgul.hlavou 3,5x12mm</v>
      </c>
      <c r="BF149" s="22">
        <f>VLOOKUP(BD149,CENY!$B$11:$G$1054,3,FALSE)</f>
        <v>200</v>
      </c>
      <c r="BG149" s="22"/>
      <c r="BH149" s="23">
        <f>AY142+BH39*2+BH145</f>
        <v>0</v>
      </c>
      <c r="BI149" s="326">
        <f>IF(BH149="","",IF($AW$4=0,BH149,0))</f>
        <v>0</v>
      </c>
      <c r="BJ149" s="95">
        <f>VLOOKUP(BD149,CENY!$B$11:$M$2025,12,FALSE)</f>
        <v>3.4759999999999999E-2</v>
      </c>
      <c r="BK149" s="95">
        <f t="shared" si="14"/>
        <v>0</v>
      </c>
    </row>
    <row r="150" spans="47:63">
      <c r="AU150" s="20"/>
      <c r="AV150" s="21"/>
      <c r="AW150" s="22"/>
      <c r="AX150" s="22"/>
      <c r="AY150" s="23"/>
      <c r="AZ150" s="326" t="str">
        <f>IF(AY150="","",IF($AW$4=1,AY150,0))</f>
        <v/>
      </c>
      <c r="BA150" s="95"/>
      <c r="BB150" s="95" t="str">
        <f>IF(BA150="","",BA150*AY150)</f>
        <v/>
      </c>
      <c r="BD150" s="319">
        <f>OBJ!B362</f>
        <v>45168</v>
      </c>
      <c r="BE150" s="21" t="str">
        <f>VLOOKUP(BD150,CENY!$B$11:$G$1054,2,FALSE)</f>
        <v>Skrutka s polgul.hlavou 3,5x20mm</v>
      </c>
      <c r="BF150" s="22">
        <f>VLOOKUP(BD150,CENY!$B$11:$G$1054,3,FALSE)</f>
        <v>200</v>
      </c>
      <c r="BG150" s="22"/>
      <c r="BH150" s="360">
        <f>IF(FORM!$AM$8=FORM!$AU$10,BH35*2+BH36*4,0)</f>
        <v>0</v>
      </c>
      <c r="BI150" s="326">
        <f>IF(BH150="","",IF($AW$4=0,BH150,0))</f>
        <v>0</v>
      </c>
      <c r="BJ150" s="95">
        <f>VLOOKUP(BD150,CENY!$B$11:$M$2025,12,FALSE)</f>
        <v>4.9860000000000002E-2</v>
      </c>
      <c r="BK150" s="95">
        <f t="shared" si="14"/>
        <v>0</v>
      </c>
    </row>
    <row r="151" spans="47:63">
      <c r="BD151" s="319">
        <f>OBJ!B363</f>
        <v>9278224</v>
      </c>
      <c r="BE151" s="21" t="str">
        <f>VLOOKUP(BD151,CENY!$B$11:$G$1054,2,FALSE)</f>
        <v>Skrutka s polgul.hlavou 3,5x30mm</v>
      </c>
      <c r="BF151" s="22">
        <f>VLOOKUP(BD151,CENY!$B$11:$G$1054,3,FALSE)</f>
        <v>200</v>
      </c>
      <c r="BG151" s="22"/>
      <c r="BH151" s="360">
        <f>SUM(BH5:BH22)+2*SUM(BH24:BH33)</f>
        <v>0</v>
      </c>
      <c r="BI151" s="326">
        <f>IF(BH151="","",IF($AW$4=0,BH151,0))</f>
        <v>0</v>
      </c>
      <c r="BJ151" s="95">
        <f>VLOOKUP(BD151,CENY!$B$11:$M$2025,12,FALSE)</f>
        <v>4.299E-2</v>
      </c>
      <c r="BK151" s="95">
        <f t="shared" si="14"/>
        <v>0</v>
      </c>
    </row>
    <row r="152" spans="47:63">
      <c r="BD152" s="319">
        <f>OBJ!B364</f>
        <v>9279197</v>
      </c>
      <c r="BE152" s="21" t="str">
        <f>VLOOKUP(BD152,CENY!$B$11:$G$1054,2,FALSE)</f>
        <v>Skrutka s polgul.hlavou M3,5x12mm</v>
      </c>
      <c r="BF152" s="22">
        <f>VLOOKUP(BD152,CENY!$B$11:$G$1054,3,FALSE)</f>
        <v>1000</v>
      </c>
      <c r="BG152" s="22"/>
      <c r="BH152" s="68">
        <f>2*BH37+4*BH38</f>
        <v>0</v>
      </c>
      <c r="BI152" s="326">
        <f>IF(BH152="","",IF($AW$4=0,BH152,0))</f>
        <v>0</v>
      </c>
      <c r="BJ152" s="95" t="e">
        <f>VLOOKUP(BD152,CENY!$B$11:$M$2025,12,FALSE)</f>
        <v>#N/A</v>
      </c>
      <c r="BK152" s="95" t="e">
        <f t="shared" si="14"/>
        <v>#N/A</v>
      </c>
    </row>
    <row r="153" spans="47:63">
      <c r="BD153" s="319">
        <f>OBJ!B365</f>
        <v>9137114</v>
      </c>
      <c r="BE153" s="21" t="str">
        <f>VLOOKUP(BD153,CENY!$B$11:$G$1054,2,FALSE)</f>
        <v>EURO-skrutka  6,0x14mm / niklovaná</v>
      </c>
      <c r="BF153" s="22">
        <f>VLOOKUP(BD153,CENY!$B$11:$G$1054,3,FALSE)</f>
        <v>200</v>
      </c>
      <c r="BG153" s="22"/>
      <c r="BH153" s="23">
        <f>AY146</f>
        <v>0</v>
      </c>
      <c r="BI153" s="326">
        <f>IF(BH153="","",IF($AW$4=0,BH153,0))</f>
        <v>0</v>
      </c>
      <c r="BJ153" s="95">
        <f>VLOOKUP(BD153,CENY!$B$11:$M$2025,12,FALSE)</f>
        <v>7.7280000000000001E-2</v>
      </c>
      <c r="BK153" s="95">
        <f t="shared" si="14"/>
        <v>0</v>
      </c>
    </row>
    <row r="154" spans="47:63">
      <c r="BD154" s="319"/>
      <c r="BE154" s="21"/>
      <c r="BF154" s="22"/>
      <c r="BG154" s="22"/>
      <c r="BH154" s="23"/>
      <c r="BI154" s="326"/>
      <c r="BJ154" s="95"/>
      <c r="BK154" s="95"/>
    </row>
    <row r="155" spans="47:63">
      <c r="BD155" s="319"/>
      <c r="BE155" s="21"/>
      <c r="BF155" s="22"/>
      <c r="BG155" s="22"/>
      <c r="BH155" s="23"/>
      <c r="BI155" s="326"/>
      <c r="BJ155" s="95"/>
      <c r="BK155" s="95"/>
    </row>
    <row r="156" spans="47:63">
      <c r="BD156" s="319"/>
      <c r="BE156" s="21"/>
      <c r="BF156" s="22"/>
      <c r="BG156" s="22"/>
      <c r="BH156" s="23"/>
      <c r="BI156" s="326"/>
      <c r="BJ156" s="95"/>
      <c r="BK156" s="95"/>
    </row>
    <row r="157" spans="47:63">
      <c r="BD157" s="319"/>
      <c r="BE157" s="21"/>
      <c r="BF157" s="22"/>
      <c r="BG157" s="22"/>
      <c r="BH157" s="23"/>
      <c r="BI157" s="326" t="str">
        <f t="shared" si="13"/>
        <v/>
      </c>
      <c r="BJ157" s="95"/>
      <c r="BK157" s="95" t="str">
        <f t="shared" si="14"/>
        <v/>
      </c>
    </row>
    <row r="158" spans="47:63">
      <c r="BD158" s="319"/>
      <c r="BE158" s="21"/>
      <c r="BF158" s="22"/>
      <c r="BG158" s="22"/>
      <c r="BH158" s="23"/>
      <c r="BI158" s="326" t="str">
        <f>IF(BH158="","",IF($AW$4=0,BH158,0))</f>
        <v/>
      </c>
      <c r="BJ158" s="95"/>
      <c r="BK158" s="95" t="str">
        <f>IF(BJ158="","",BJ158*BH158)</f>
        <v/>
      </c>
    </row>
    <row r="159" spans="47:63">
      <c r="BD159" s="319"/>
      <c r="BE159" s="21"/>
      <c r="BF159" s="22"/>
      <c r="BG159" s="22"/>
      <c r="BH159" s="23"/>
      <c r="BI159" s="326" t="str">
        <f>IF(BH159="","",IF($AW$4=0,BH159,0))</f>
        <v/>
      </c>
      <c r="BJ159" s="95"/>
      <c r="BK159" s="95" t="str">
        <f>IF(BJ159="","",BJ159*BH159)</f>
        <v/>
      </c>
    </row>
  </sheetData>
  <sheetProtection algorithmName="SHA-512" hashValue="KbgIDSkG6zwlpIiG9XocNiCT2aOJods3C9dC+Yc3xDn82cSwxEZL4wwFAqKHgD8hdSTGf6AbbsLKG1Jch8Nl3g==" saltValue="6f2zNvXcUPGcCuGjk29t6A==" spinCount="100000" sheet="1" objects="1" scenarios="1"/>
  <mergeCells count="191">
    <mergeCell ref="AG86:AH86"/>
    <mergeCell ref="AI86:AJ86"/>
    <mergeCell ref="AQ18:AR18"/>
    <mergeCell ref="AQ21:AR21"/>
    <mergeCell ref="AQ24:AR24"/>
    <mergeCell ref="AQ27:AR27"/>
    <mergeCell ref="AI85:AJ85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W85:X85"/>
    <mergeCell ref="Y85:Z85"/>
    <mergeCell ref="AA85:AB85"/>
    <mergeCell ref="AC85:AD85"/>
    <mergeCell ref="AE85:AF85"/>
    <mergeCell ref="AG85:AH85"/>
    <mergeCell ref="AA84:AB84"/>
    <mergeCell ref="AC84:AD84"/>
    <mergeCell ref="AE84:AF84"/>
    <mergeCell ref="AG84:AH84"/>
    <mergeCell ref="AI84:AJ84"/>
    <mergeCell ref="M85:N85"/>
    <mergeCell ref="O85:P85"/>
    <mergeCell ref="Q85:R85"/>
    <mergeCell ref="S85:T85"/>
    <mergeCell ref="U85:V85"/>
    <mergeCell ref="AG82:AH82"/>
    <mergeCell ref="AI82:AJ82"/>
    <mergeCell ref="U82:V82"/>
    <mergeCell ref="W82:X82"/>
    <mergeCell ref="Y82:Z82"/>
    <mergeCell ref="AA82:AB82"/>
    <mergeCell ref="AC82:AD82"/>
    <mergeCell ref="O81:P81"/>
    <mergeCell ref="Q81:R81"/>
    <mergeCell ref="S81:T81"/>
    <mergeCell ref="U81:V81"/>
    <mergeCell ref="W81:X81"/>
    <mergeCell ref="Y81:Z81"/>
    <mergeCell ref="AI67:AM67"/>
    <mergeCell ref="AO67:AR67"/>
    <mergeCell ref="O80:P80"/>
    <mergeCell ref="Q80:R80"/>
    <mergeCell ref="S80:T80"/>
    <mergeCell ref="U80:V80"/>
    <mergeCell ref="W80:X80"/>
    <mergeCell ref="Y80:Z80"/>
    <mergeCell ref="AA80:AB80"/>
    <mergeCell ref="AC80:AD80"/>
    <mergeCell ref="Y79:Z79"/>
    <mergeCell ref="AA79:AB79"/>
    <mergeCell ref="AC79:AD79"/>
    <mergeCell ref="AE79:AF79"/>
    <mergeCell ref="AG79:AH79"/>
    <mergeCell ref="AI79:AJ79"/>
    <mergeCell ref="AG80:AH80"/>
    <mergeCell ref="AI80:AJ80"/>
    <mergeCell ref="A66:A105"/>
    <mergeCell ref="B67:E67"/>
    <mergeCell ref="G67:K67"/>
    <mergeCell ref="O67:S67"/>
    <mergeCell ref="U67:Y67"/>
    <mergeCell ref="AA67:AE67"/>
    <mergeCell ref="AE80:AF80"/>
    <mergeCell ref="AE82:AF82"/>
    <mergeCell ref="U28:V28"/>
    <mergeCell ref="W28:X28"/>
    <mergeCell ref="Y28:Z28"/>
    <mergeCell ref="AA28:AB28"/>
    <mergeCell ref="AC28:AD28"/>
    <mergeCell ref="B28:G28"/>
    <mergeCell ref="H28:L28"/>
    <mergeCell ref="M28:N28"/>
    <mergeCell ref="O28:P28"/>
    <mergeCell ref="Q28:R28"/>
    <mergeCell ref="S28:T28"/>
    <mergeCell ref="O79:P79"/>
    <mergeCell ref="Q79:R79"/>
    <mergeCell ref="S79:T79"/>
    <mergeCell ref="U79:V79"/>
    <mergeCell ref="W79:X79"/>
    <mergeCell ref="AA26:AB26"/>
    <mergeCell ref="AC26:AD26"/>
    <mergeCell ref="B27:G27"/>
    <mergeCell ref="H27:L27"/>
    <mergeCell ref="M27:N27"/>
    <mergeCell ref="O27:P27"/>
    <mergeCell ref="Q27:R27"/>
    <mergeCell ref="S27:T27"/>
    <mergeCell ref="O26:P26"/>
    <mergeCell ref="Q26:R26"/>
    <mergeCell ref="S26:T26"/>
    <mergeCell ref="U26:V26"/>
    <mergeCell ref="W26:X26"/>
    <mergeCell ref="Y26:Z26"/>
    <mergeCell ref="Y22:Z22"/>
    <mergeCell ref="AA22:AB22"/>
    <mergeCell ref="AC22:AD22"/>
    <mergeCell ref="AE22:AF22"/>
    <mergeCell ref="B22:G22"/>
    <mergeCell ref="H22:L22"/>
    <mergeCell ref="M22:N22"/>
    <mergeCell ref="O22:P22"/>
    <mergeCell ref="Q22:R22"/>
    <mergeCell ref="S22:T22"/>
    <mergeCell ref="U22:V22"/>
    <mergeCell ref="W22:X22"/>
    <mergeCell ref="U20:V20"/>
    <mergeCell ref="W20:X20"/>
    <mergeCell ref="Y20:Z20"/>
    <mergeCell ref="AA20:AB20"/>
    <mergeCell ref="AC20:AD20"/>
    <mergeCell ref="AE20:AF20"/>
    <mergeCell ref="B20:G20"/>
    <mergeCell ref="H20:L20"/>
    <mergeCell ref="M20:N20"/>
    <mergeCell ref="O20:P20"/>
    <mergeCell ref="Q20:R20"/>
    <mergeCell ref="S20:T20"/>
    <mergeCell ref="AE18:AF18"/>
    <mergeCell ref="B19:G19"/>
    <mergeCell ref="H19:L19"/>
    <mergeCell ref="M19:N19"/>
    <mergeCell ref="O19:P19"/>
    <mergeCell ref="Q19:R19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B12:E12"/>
    <mergeCell ref="F12:I12"/>
    <mergeCell ref="J12:K12"/>
    <mergeCell ref="B13:E13"/>
    <mergeCell ref="F13:I13"/>
    <mergeCell ref="J13:K13"/>
    <mergeCell ref="B9:E9"/>
    <mergeCell ref="F9:K9"/>
    <mergeCell ref="AK9:AP10"/>
    <mergeCell ref="B10:E10"/>
    <mergeCell ref="F10:K10"/>
    <mergeCell ref="B11:E11"/>
    <mergeCell ref="F11:K11"/>
    <mergeCell ref="AO2:AR2"/>
    <mergeCell ref="B6:E6"/>
    <mergeCell ref="F6:K6"/>
    <mergeCell ref="B7:E7"/>
    <mergeCell ref="F7:K7"/>
    <mergeCell ref="B8:E8"/>
    <mergeCell ref="F8:K8"/>
    <mergeCell ref="B2:E2"/>
    <mergeCell ref="G2:K2"/>
    <mergeCell ref="O2:S2"/>
    <mergeCell ref="U2:Y2"/>
    <mergeCell ref="AA2:AE2"/>
    <mergeCell ref="AI2:AM2"/>
    <mergeCell ref="AW98:AY98"/>
    <mergeCell ref="AW99:AY99"/>
    <mergeCell ref="AW100:AY100"/>
    <mergeCell ref="AW101:AY101"/>
    <mergeCell ref="AW102:AY102"/>
    <mergeCell ref="AA81:AB81"/>
    <mergeCell ref="AC81:AD81"/>
    <mergeCell ref="AE81:AF81"/>
    <mergeCell ref="AG81:AH81"/>
    <mergeCell ref="AI81:AJ81"/>
    <mergeCell ref="AW95:AY95"/>
    <mergeCell ref="AW96:AY96"/>
    <mergeCell ref="AW97:AY97"/>
    <mergeCell ref="AK82:AL82"/>
    <mergeCell ref="O83:AJ83"/>
    <mergeCell ref="O84:P84"/>
    <mergeCell ref="Q84:R84"/>
    <mergeCell ref="S84:T84"/>
    <mergeCell ref="U84:V84"/>
    <mergeCell ref="W84:X84"/>
    <mergeCell ref="Y84:Z84"/>
    <mergeCell ref="O82:P82"/>
    <mergeCell ref="Q82:R82"/>
    <mergeCell ref="S82:T82"/>
  </mergeCells>
  <conditionalFormatting sqref="AZ94:AZ141 AZ147:AZ150 BI5:BI21 AZ20:AZ84 AZ86:AZ89 BI39:BI141 BH25:BI34 BH40:BH98 AY5:AZ19 AY20:AY48 BH13:BH24 BH142:BI144">
    <cfRule type="cellIs" dxfId="282" priority="68" stopIfTrue="1" operator="equal">
      <formula>0</formula>
    </cfRule>
  </conditionalFormatting>
  <conditionalFormatting sqref="AY59 AY72 AY49 AY55">
    <cfRule type="cellIs" dxfId="281" priority="66" stopIfTrue="1" operator="equal">
      <formula>0</formula>
    </cfRule>
  </conditionalFormatting>
  <conditionalFormatting sqref="O17:AF17 W20:AD20 W22:AF22 W28:AD28">
    <cfRule type="expression" dxfId="280" priority="67" stopIfTrue="1">
      <formula>$AW$4=0</formula>
    </cfRule>
  </conditionalFormatting>
  <conditionalFormatting sqref="AY83 AY86 AY88:AY89">
    <cfRule type="cellIs" dxfId="279" priority="65" stopIfTrue="1" operator="equal">
      <formula>0</formula>
    </cfRule>
  </conditionalFormatting>
  <conditionalFormatting sqref="AY103:AY106">
    <cfRule type="cellIs" dxfId="278" priority="64" stopIfTrue="1" operator="equal">
      <formula>0</formula>
    </cfRule>
  </conditionalFormatting>
  <conditionalFormatting sqref="BH39">
    <cfRule type="cellIs" dxfId="277" priority="63" stopIfTrue="1" operator="equal">
      <formula>0</formula>
    </cfRule>
  </conditionalFormatting>
  <conditionalFormatting sqref="AY64:AY68">
    <cfRule type="cellIs" dxfId="276" priority="61" stopIfTrue="1" operator="equal">
      <formula>0</formula>
    </cfRule>
  </conditionalFormatting>
  <conditionalFormatting sqref="AY107:AY141 AY147:AY150">
    <cfRule type="cellIs" dxfId="275" priority="53" stopIfTrue="1" operator="equal">
      <formula>0</formula>
    </cfRule>
  </conditionalFormatting>
  <conditionalFormatting sqref="AY81">
    <cfRule type="cellIs" dxfId="274" priority="58" stopIfTrue="1" operator="equal">
      <formula>0</formula>
    </cfRule>
  </conditionalFormatting>
  <conditionalFormatting sqref="AY84">
    <cfRule type="cellIs" dxfId="273" priority="57" stopIfTrue="1" operator="equal">
      <formula>0</formula>
    </cfRule>
  </conditionalFormatting>
  <conditionalFormatting sqref="AY94">
    <cfRule type="cellIs" dxfId="272" priority="56" stopIfTrue="1" operator="equal">
      <formula>0</formula>
    </cfRule>
  </conditionalFormatting>
  <conditionalFormatting sqref="BH115 BH119">
    <cfRule type="cellIs" dxfId="271" priority="55" stopIfTrue="1" operator="equal">
      <formula>0</formula>
    </cfRule>
  </conditionalFormatting>
  <conditionalFormatting sqref="BH136 BH140:BH141 BH148 BH154:BH159 BH138">
    <cfRule type="cellIs" dxfId="270" priority="54" stopIfTrue="1" operator="equal">
      <formula>0</formula>
    </cfRule>
  </conditionalFormatting>
  <conditionalFormatting sqref="BH105:BH114">
    <cfRule type="cellIs" dxfId="269" priority="51" stopIfTrue="1" operator="equal">
      <formula>0</formula>
    </cfRule>
  </conditionalFormatting>
  <conditionalFormatting sqref="BH139">
    <cfRule type="cellIs" dxfId="268" priority="48" stopIfTrue="1" operator="equal">
      <formula>0</formula>
    </cfRule>
  </conditionalFormatting>
  <conditionalFormatting sqref="AY87">
    <cfRule type="cellIs" dxfId="267" priority="49" stopIfTrue="1" operator="equal">
      <formula>0</formula>
    </cfRule>
  </conditionalFormatting>
  <conditionalFormatting sqref="F13:K13">
    <cfRule type="expression" dxfId="266" priority="47" stopIfTrue="1">
      <formula>$AW$4=1</formula>
    </cfRule>
  </conditionalFormatting>
  <conditionalFormatting sqref="BI148 BI154:BI159">
    <cfRule type="cellIs" dxfId="265" priority="46" stopIfTrue="1" operator="equal">
      <formula>0</formula>
    </cfRule>
  </conditionalFormatting>
  <conditionalFormatting sqref="AZ90:AZ91">
    <cfRule type="cellIs" dxfId="264" priority="45" stopIfTrue="1" operator="equal">
      <formula>0</formula>
    </cfRule>
  </conditionalFormatting>
  <conditionalFormatting sqref="AY90:AY91">
    <cfRule type="cellIs" dxfId="263" priority="44" stopIfTrue="1" operator="equal">
      <formula>0</formula>
    </cfRule>
  </conditionalFormatting>
  <conditionalFormatting sqref="BH145:BH146">
    <cfRule type="cellIs" dxfId="262" priority="41" stopIfTrue="1" operator="equal">
      <formula>0</formula>
    </cfRule>
  </conditionalFormatting>
  <conditionalFormatting sqref="BI145:BI146">
    <cfRule type="cellIs" dxfId="261" priority="40" stopIfTrue="1" operator="equal">
      <formula>0</formula>
    </cfRule>
  </conditionalFormatting>
  <conditionalFormatting sqref="AR88">
    <cfRule type="expression" dxfId="260" priority="39" stopIfTrue="1">
      <formula>$AU$96=AU98</formula>
    </cfRule>
  </conditionalFormatting>
  <conditionalFormatting sqref="AZ142:AZ146">
    <cfRule type="cellIs" dxfId="259" priority="38" stopIfTrue="1" operator="equal">
      <formula>0</formula>
    </cfRule>
  </conditionalFormatting>
  <conditionalFormatting sqref="AY142:AY146">
    <cfRule type="cellIs" dxfId="258" priority="37" stopIfTrue="1" operator="equal">
      <formula>0</formula>
    </cfRule>
  </conditionalFormatting>
  <conditionalFormatting sqref="BH149 BH152:BH153">
    <cfRule type="cellIs" dxfId="257" priority="36" stopIfTrue="1" operator="equal">
      <formula>0</formula>
    </cfRule>
  </conditionalFormatting>
  <conditionalFormatting sqref="BI149:BI153">
    <cfRule type="cellIs" dxfId="256" priority="35" stopIfTrue="1" operator="equal">
      <formula>0</formula>
    </cfRule>
  </conditionalFormatting>
  <conditionalFormatting sqref="BH150:BH151">
    <cfRule type="cellIs" dxfId="255" priority="34" stopIfTrue="1" operator="equal">
      <formula>0</formula>
    </cfRule>
  </conditionalFormatting>
  <conditionalFormatting sqref="AY50:AY54">
    <cfRule type="cellIs" dxfId="254" priority="31" stopIfTrue="1" operator="equal">
      <formula>0</formula>
    </cfRule>
  </conditionalFormatting>
  <conditionalFormatting sqref="AY56:AY58">
    <cfRule type="cellIs" dxfId="253" priority="30" stopIfTrue="1" operator="equal">
      <formula>0</formula>
    </cfRule>
  </conditionalFormatting>
  <conditionalFormatting sqref="AY60:AY62">
    <cfRule type="cellIs" dxfId="252" priority="29" stopIfTrue="1" operator="equal">
      <formula>0</formula>
    </cfRule>
  </conditionalFormatting>
  <conditionalFormatting sqref="AY69:AY71">
    <cfRule type="cellIs" dxfId="251" priority="28" stopIfTrue="1" operator="equal">
      <formula>0</formula>
    </cfRule>
  </conditionalFormatting>
  <conditionalFormatting sqref="AY73:AY74">
    <cfRule type="cellIs" dxfId="250" priority="27" stopIfTrue="1" operator="equal">
      <formula>0</formula>
    </cfRule>
  </conditionalFormatting>
  <conditionalFormatting sqref="AY75">
    <cfRule type="cellIs" dxfId="249" priority="26" stopIfTrue="1" operator="equal">
      <formula>0</formula>
    </cfRule>
  </conditionalFormatting>
  <conditionalFormatting sqref="AY76:AY80">
    <cfRule type="cellIs" dxfId="248" priority="25" stopIfTrue="1" operator="equal">
      <formula>0</formula>
    </cfRule>
  </conditionalFormatting>
  <conditionalFormatting sqref="AY82">
    <cfRule type="cellIs" dxfId="247" priority="24" stopIfTrue="1" operator="equal">
      <formula>0</formula>
    </cfRule>
  </conditionalFormatting>
  <conditionalFormatting sqref="BH5:BH10">
    <cfRule type="cellIs" dxfId="246" priority="23" stopIfTrue="1" operator="equal">
      <formula>0</formula>
    </cfRule>
  </conditionalFormatting>
  <conditionalFormatting sqref="BH99:BH106">
    <cfRule type="cellIs" dxfId="245" priority="22" stopIfTrue="1" operator="equal">
      <formula>0</formula>
    </cfRule>
  </conditionalFormatting>
  <conditionalFormatting sqref="BH116:BH118">
    <cfRule type="cellIs" dxfId="244" priority="21" stopIfTrue="1" operator="equal">
      <formula>0</formula>
    </cfRule>
  </conditionalFormatting>
  <conditionalFormatting sqref="BH120:BH135">
    <cfRule type="cellIs" dxfId="243" priority="20" stopIfTrue="1" operator="equal">
      <formula>0</formula>
    </cfRule>
  </conditionalFormatting>
  <conditionalFormatting sqref="BH137">
    <cfRule type="cellIs" dxfId="242" priority="19" stopIfTrue="1" operator="equal">
      <formula>0</formula>
    </cfRule>
  </conditionalFormatting>
  <conditionalFormatting sqref="AZ85">
    <cfRule type="cellIs" dxfId="241" priority="16" stopIfTrue="1" operator="equal">
      <formula>0</formula>
    </cfRule>
  </conditionalFormatting>
  <conditionalFormatting sqref="AY85">
    <cfRule type="cellIs" dxfId="240" priority="15" stopIfTrue="1" operator="equal">
      <formula>0</formula>
    </cfRule>
  </conditionalFormatting>
  <conditionalFormatting sqref="BH37:BI38">
    <cfRule type="cellIs" dxfId="239" priority="14" stopIfTrue="1" operator="equal">
      <formula>0</formula>
    </cfRule>
  </conditionalFormatting>
  <conditionalFormatting sqref="BH35:BI36">
    <cfRule type="cellIs" dxfId="238" priority="13" stopIfTrue="1" operator="equal">
      <formula>0</formula>
    </cfRule>
  </conditionalFormatting>
  <conditionalFormatting sqref="AY63">
    <cfRule type="cellIs" dxfId="237" priority="12" stopIfTrue="1" operator="equal">
      <formula>0</formula>
    </cfRule>
  </conditionalFormatting>
  <conditionalFormatting sqref="BH11:BH12">
    <cfRule type="cellIs" dxfId="236" priority="11" stopIfTrue="1" operator="equal">
      <formula>0</formula>
    </cfRule>
  </conditionalFormatting>
  <conditionalFormatting sqref="AZ92:AZ93">
    <cfRule type="cellIs" dxfId="235" priority="10" stopIfTrue="1" operator="equal">
      <formula>0</formula>
    </cfRule>
  </conditionalFormatting>
  <conditionalFormatting sqref="AY92:AY93">
    <cfRule type="cellIs" dxfId="234" priority="9" stopIfTrue="1" operator="equal">
      <formula>0</formula>
    </cfRule>
  </conditionalFormatting>
  <conditionalFormatting sqref="BI22:BI24">
    <cfRule type="cellIs" dxfId="233" priority="4" stopIfTrue="1" operator="equal">
      <formula>0</formula>
    </cfRule>
  </conditionalFormatting>
  <conditionalFormatting sqref="BH147">
    <cfRule type="cellIs" dxfId="232" priority="3" stopIfTrue="1" operator="equal">
      <formula>0</formula>
    </cfRule>
  </conditionalFormatting>
  <conditionalFormatting sqref="BI147">
    <cfRule type="cellIs" dxfId="231" priority="1" stopIfTrue="1" operator="equal">
      <formula>0</formula>
    </cfRule>
  </conditionalFormatting>
  <hyperlinks>
    <hyperlink ref="M4" location="MENU!A1" display="MENU!A1" xr:uid="{00000000-0004-0000-1400-000000000000}"/>
    <hyperlink ref="M10" location="OBJ!A1" display="OBJ!A1" xr:uid="{00000000-0004-0000-1400-000001000000}"/>
    <hyperlink ref="M9" location="suhrn!A1" display="suhrn!A1" xr:uid="{00000000-0004-0000-1400-000002000000}"/>
    <hyperlink ref="O2:S2" location="MENU!A5" display="MENU!A5" xr:uid="{00000000-0004-0000-1400-000003000000}"/>
    <hyperlink ref="M69" location="MENU!A1" display="MENU!A1" xr:uid="{00000000-0004-0000-1400-000004000000}"/>
    <hyperlink ref="B67:E67" location="'potr-v101+187'!A1" display="'potr-v101+187'!A1" xr:uid="{00000000-0004-0000-1400-000005000000}"/>
    <hyperlink ref="AK9:AO10" location="'IT70(vn100)'!A66" display="'IT70(vn100)'!A66" xr:uid="{00000000-0004-0000-1400-000006000000}"/>
    <hyperlink ref="AK9:AP10" location="'potr-v101+187'!A66" display="'potr-v101+187'!A66" xr:uid="{00000000-0004-0000-14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60">
    <tabColor rgb="FF92D050"/>
  </sheetPr>
  <dimension ref="A1:BK159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51.37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3" width="9" style="86" hidden="1" customWidth="1"/>
    <col min="54" max="54" width="9.125" style="86" hidden="1" customWidth="1"/>
    <col min="55" max="55" width="2.625" style="86" hidden="1" customWidth="1"/>
    <col min="56" max="56" width="9" style="86" hidden="1" customWidth="1"/>
    <col min="57" max="57" width="49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212">
        <f>AQ18</f>
        <v>1</v>
      </c>
      <c r="AZ1" s="367" t="s">
        <v>593</v>
      </c>
      <c r="BA1" s="367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  <c r="AY2" s="212">
        <f>AQ21</f>
        <v>0</v>
      </c>
      <c r="AZ2" s="367" t="s">
        <v>591</v>
      </c>
      <c r="BA2" s="367"/>
    </row>
    <row r="3" spans="1:63" ht="12.95" customHeight="1">
      <c r="AV3" s="143"/>
      <c r="AW3" s="143"/>
      <c r="AY3" s="212">
        <f>AQ24</f>
        <v>2</v>
      </c>
      <c r="AZ3" s="367" t="s">
        <v>594</v>
      </c>
      <c r="BA3" s="367"/>
    </row>
    <row r="4" spans="1:63" ht="23.1" customHeight="1">
      <c r="A4" s="89"/>
      <c r="B4" s="93" t="str">
        <f>verze!E206&amp;" AVANTECH YOU  101 / 187 Inlay"</f>
        <v>Zásuvka AVANTECH YOU  101 /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AY4" s="212">
        <f>AQ27</f>
        <v>0</v>
      </c>
      <c r="AZ4" s="367" t="s">
        <v>592</v>
      </c>
      <c r="BA4" s="367"/>
      <c r="BB4" s="322" t="e">
        <f>SUM(BB5:BB1007)</f>
        <v>#N/A</v>
      </c>
      <c r="BD4" s="94" t="s">
        <v>34</v>
      </c>
      <c r="BK4" s="322" t="e">
        <f>SUM(BK5:BK1009)</f>
        <v>#N/A</v>
      </c>
    </row>
    <row r="5" spans="1:63" ht="14.45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68"/>
      <c r="AZ5" s="326" t="str">
        <f>IF(AY5="","",IF($AW$4=1,AY5,0))</f>
        <v/>
      </c>
      <c r="BA5" s="95">
        <f>VLOOKUP(AU5,CENY!$B$11:$M$2025,12,FALSE)</f>
        <v>26.248429999999999</v>
      </c>
      <c r="BB5" s="95">
        <f t="shared" ref="BB5:BB74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68"/>
      <c r="BI5" s="326" t="str">
        <f>IF(BH5="","",IF($AW$4=0,BH5,0))</f>
        <v/>
      </c>
      <c r="BJ5" s="95">
        <f>VLOOKUP(BD5,CENY!$B$11:$M$2025,12,FALSE)</f>
        <v>10.00929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598</v>
      </c>
      <c r="G6" s="566"/>
      <c r="H6" s="566"/>
      <c r="I6" s="566"/>
      <c r="J6" s="566"/>
      <c r="K6" s="566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68"/>
      <c r="AZ6" s="326" t="str">
        <f t="shared" ref="AZ6:AZ75" si="1">IF(AY6="","",IF($AW$4=1,AY6,0))</f>
        <v/>
      </c>
      <c r="BA6" s="95">
        <f>VLOOKUP(AU6,CENY!$B$11:$M$2025,12,FALSE)</f>
        <v>26.467459999999999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68"/>
      <c r="BI6" s="326" t="str">
        <f t="shared" ref="BI6:BI83" si="2">IF(BH6="","",IF($AW$4=0,BH6,0))</f>
        <v/>
      </c>
      <c r="BJ6" s="95">
        <f>VLOOKUP(BD6,CENY!$B$11:$M$2025,12,FALSE)</f>
        <v>10.00929</v>
      </c>
      <c r="BK6" s="95">
        <f t="shared" ref="BK6:BK83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68"/>
      <c r="AZ7" s="326" t="str">
        <f t="shared" si="1"/>
        <v/>
      </c>
      <c r="BA7" s="95">
        <f>VLOOKUP(AU7,CENY!$B$11:$M$2025,12,FALSE)</f>
        <v>26.833570000000002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68"/>
      <c r="BI7" s="326" t="str">
        <f t="shared" si="2"/>
        <v/>
      </c>
      <c r="BJ7" s="95">
        <f>VLOOKUP(BD7,CENY!$B$11:$M$2025,12,FALSE)</f>
        <v>10.12106</v>
      </c>
      <c r="BK7" s="95">
        <f t="shared" si="3"/>
        <v>0</v>
      </c>
    </row>
    <row r="8" spans="1:63" ht="14.45" customHeight="1" thickBo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68"/>
      <c r="AZ8" s="326" t="str">
        <f t="shared" si="1"/>
        <v/>
      </c>
      <c r="BA8" s="95">
        <f>VLOOKUP(AU8,CENY!$B$11:$M$2025,12,FALSE)</f>
        <v>27.19903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68"/>
      <c r="BI8" s="326" t="str">
        <f t="shared" si="2"/>
        <v/>
      </c>
      <c r="BJ8" s="95">
        <f>VLOOKUP(BD8,CENY!$B$11:$M$2025,12,FALSE)</f>
        <v>10.12106</v>
      </c>
      <c r="BK8" s="95">
        <f t="shared" si="3"/>
        <v>0</v>
      </c>
    </row>
    <row r="9" spans="1:63" ht="14.45" customHeight="1" thickTop="1">
      <c r="B9" s="552"/>
      <c r="C9" s="560"/>
      <c r="D9" s="560"/>
      <c r="E9" s="561"/>
      <c r="F9" s="562"/>
      <c r="G9" s="563"/>
      <c r="H9" s="563"/>
      <c r="I9" s="563"/>
      <c r="J9" s="563"/>
      <c r="K9" s="564"/>
      <c r="AK9" s="587" t="str">
        <f>verze!E160</f>
        <v>Je nutné natypovať šírky čiel ?</v>
      </c>
      <c r="AL9" s="588"/>
      <c r="AM9" s="588"/>
      <c r="AN9" s="588"/>
      <c r="AO9" s="588"/>
      <c r="AP9" s="589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SUM(AY1:AY2)*(W20+W22+W28)</f>
        <v>0</v>
      </c>
      <c r="AZ9" s="326">
        <f t="shared" si="1"/>
        <v>0</v>
      </c>
      <c r="BA9" s="95">
        <f>VLOOKUP(AU9,CENY!$B$11:$M$2025,12,FALSE)</f>
        <v>26.252320000000001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68"/>
      <c r="BI9" s="326" t="str">
        <f t="shared" si="2"/>
        <v/>
      </c>
      <c r="BJ9" s="95">
        <f>VLOOKUP(BD9,CENY!$B$11:$M$2025,12,FALSE)</f>
        <v>10.307510000000001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K10" s="590"/>
      <c r="AL10" s="591"/>
      <c r="AM10" s="591"/>
      <c r="AN10" s="591"/>
      <c r="AO10" s="591"/>
      <c r="AP10" s="592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SUM(AY1:AY2)*(Y20+Y22+Y28)</f>
        <v>0</v>
      </c>
      <c r="AZ10" s="326">
        <f t="shared" si="1"/>
        <v>0</v>
      </c>
      <c r="BA10" s="95">
        <f>VLOOKUP(AU10,CENY!$B$11:$M$2025,12,FALSE)</f>
        <v>26.6005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68"/>
      <c r="BI10" s="326" t="str">
        <f t="shared" si="2"/>
        <v/>
      </c>
      <c r="BJ10" s="95">
        <f>VLOOKUP(BD10,CENY!$B$11:$M$2025,12,FALSE)</f>
        <v>10.307510000000001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SUM(AY1:AY2)*(AA20+AA22+AA28)</f>
        <v>0</v>
      </c>
      <c r="AZ11" s="326">
        <f t="shared" si="1"/>
        <v>0</v>
      </c>
      <c r="BA11" s="95">
        <f>VLOOKUP(AU11,CENY!$B$11:$M$2025,12,FALSE)</f>
        <v>28.296320000000001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68"/>
      <c r="BI11" s="326" t="str">
        <f t="shared" si="2"/>
        <v/>
      </c>
      <c r="BJ11" s="95">
        <f>VLOOKUP(BD11,CENY!$B$11:$M$2025,12,FALSE)</f>
        <v>10.49362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SUM(AY1:AY2)*(AC20+AC22+AC28)</f>
        <v>0</v>
      </c>
      <c r="AZ12" s="326">
        <f t="shared" si="1"/>
        <v>0</v>
      </c>
      <c r="BA12" s="95">
        <f>VLOOKUP(AU12,CENY!$B$11:$M$2025,12,FALSE)</f>
        <v>28.89237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68"/>
      <c r="BI12" s="326" t="str">
        <f t="shared" si="2"/>
        <v/>
      </c>
      <c r="BJ12" s="95">
        <f>VLOOKUP(BD12,CENY!$B$11:$M$2025,12,FALSE)</f>
        <v>10.49362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SUM(AY1:AY2)*(AE22)</f>
        <v>0</v>
      </c>
      <c r="AZ13" s="326">
        <f t="shared" si="1"/>
        <v>0</v>
      </c>
      <c r="BA13" s="95">
        <f>VLOOKUP(AU13,CENY!$B$11:$M$2025,12,FALSE)</f>
        <v>29.75958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10.680099999999999</v>
      </c>
      <c r="BK13" s="95">
        <f t="shared" si="3"/>
        <v>0</v>
      </c>
    </row>
    <row r="14" spans="1:63" ht="14.45" customHeight="1">
      <c r="AU14" s="319"/>
      <c r="AV14" s="21"/>
      <c r="AW14" s="22"/>
      <c r="AX14" s="362"/>
      <c r="AY14" s="23"/>
      <c r="AZ14" s="326"/>
      <c r="BA14" s="95"/>
      <c r="BB14" s="95"/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10.680099999999999</v>
      </c>
      <c r="BK14" s="95">
        <f t="shared" si="3"/>
        <v>0</v>
      </c>
    </row>
    <row r="15" spans="1:63" ht="14.45" customHeight="1">
      <c r="AU15" s="319">
        <f>OBJ!B170</f>
        <v>9353285</v>
      </c>
      <c r="AV15" s="21" t="str">
        <f>VLOOKUP(AU15,CENY!$B$11:$G$1054,2,FALSE)</f>
        <v>AvanY-sólo boky Inlay-NW 187/450mm/strieb.</v>
      </c>
      <c r="AW15" s="22">
        <f>VLOOKUP(AU15,CENY!$B$11:$G$1054,3,FALSE)</f>
        <v>1</v>
      </c>
      <c r="AX15" s="362">
        <v>6</v>
      </c>
      <c r="AY15" s="23">
        <f>SUM(AY3:AY4)*(W20+W22+W28)</f>
        <v>0</v>
      </c>
      <c r="AZ15" s="326">
        <f t="shared" ref="AZ15:AZ19" si="4">IF(AY15="","",IF($AW$4=1,AY15,0))</f>
        <v>0</v>
      </c>
      <c r="BA15" s="95">
        <f>VLOOKUP(AU15,CENY!$B$11:$M$2025,12,FALSE)</f>
        <v>39.585979999999999</v>
      </c>
      <c r="BB15" s="95">
        <f t="shared" ref="BB15:BB19" si="5">IF(BA15="","",BA15*AY15)</f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10.348739999999999</v>
      </c>
      <c r="BK15" s="95">
        <f t="shared" si="3"/>
        <v>0</v>
      </c>
    </row>
    <row r="16" spans="1:63" ht="14.45" customHeight="1">
      <c r="AB16" s="341"/>
      <c r="AU16" s="319">
        <f>OBJ!B171</f>
        <v>9353286</v>
      </c>
      <c r="AV16" s="21" t="str">
        <f>VLOOKUP(AU16,CENY!$B$11:$G$1054,2,FALSE)</f>
        <v>AvanY-sólo boky Inlay-NW 187/500mm/strieb.</v>
      </c>
      <c r="AW16" s="22">
        <f>VLOOKUP(AU16,CENY!$B$11:$G$1054,3,FALSE)</f>
        <v>1</v>
      </c>
      <c r="AX16" s="362">
        <v>8</v>
      </c>
      <c r="AY16" s="23">
        <f>SUM(AY3:AY4)*(Y20+Y22+Y28)</f>
        <v>0</v>
      </c>
      <c r="AZ16" s="326">
        <f t="shared" si="4"/>
        <v>0</v>
      </c>
      <c r="BA16" s="95">
        <f>VLOOKUP(AU16,CENY!$B$11:$M$2025,12,FALSE)</f>
        <v>40.13326</v>
      </c>
      <c r="BB16" s="95">
        <f t="shared" si="5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10.348739999999999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U17" s="319">
        <f>OBJ!B172</f>
        <v>9353287</v>
      </c>
      <c r="AV17" s="21" t="str">
        <f>VLOOKUP(AU17,CENY!$B$11:$G$1054,2,FALSE)</f>
        <v>AvanY-sólo boky Inlay-NW 187/550mm/strieb.</v>
      </c>
      <c r="AW17" s="22">
        <f>VLOOKUP(AU17,CENY!$B$11:$G$1054,3,FALSE)</f>
        <v>1</v>
      </c>
      <c r="AX17" s="362">
        <v>8</v>
      </c>
      <c r="AY17" s="23">
        <f>SUM(AY3:AY4)*(AA20+AA22+AA28)</f>
        <v>0</v>
      </c>
      <c r="AZ17" s="326">
        <f t="shared" si="4"/>
        <v>0</v>
      </c>
      <c r="BA17" s="95">
        <f>VLOOKUP(AU17,CENY!$B$11:$M$2025,12,FALSE)</f>
        <v>42.714669999999998</v>
      </c>
      <c r="BB17" s="95">
        <f t="shared" si="5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11.052530000000001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P18" s="233" t="s">
        <v>258</v>
      </c>
      <c r="AQ18" s="616">
        <v>1</v>
      </c>
      <c r="AR18" s="617"/>
      <c r="AU18" s="319">
        <f>OBJ!B173</f>
        <v>9353288</v>
      </c>
      <c r="AV18" s="21" t="str">
        <f>VLOOKUP(AU18,CENY!$B$11:$G$1054,2,FALSE)</f>
        <v>AvanY-sólo boky Inlay-NW 187/600mm/strieb.</v>
      </c>
      <c r="AW18" s="22">
        <f>VLOOKUP(AU18,CENY!$B$11:$G$1054,3,FALSE)</f>
        <v>1</v>
      </c>
      <c r="AX18" s="362">
        <v>8</v>
      </c>
      <c r="AY18" s="23">
        <f>SUM(AY3:AY4)*(AC20+AC22+AC28)</f>
        <v>0</v>
      </c>
      <c r="AZ18" s="326">
        <f t="shared" si="4"/>
        <v>0</v>
      </c>
      <c r="BA18" s="95">
        <f>VLOOKUP(AU18,CENY!$B$11:$M$2025,12,FALSE)</f>
        <v>43.581359999999997</v>
      </c>
      <c r="BB18" s="95">
        <f t="shared" si="5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11.052530000000001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71"/>
      <c r="P19" s="614"/>
      <c r="Q19" s="615"/>
      <c r="R19" s="614"/>
      <c r="S19" s="615"/>
      <c r="T19" s="572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U19" s="319">
        <f>OBJ!B174</f>
        <v>9353289</v>
      </c>
      <c r="AV19" s="21" t="str">
        <f>VLOOKUP(AU19,CENY!$B$11:$G$1054,2,FALSE)</f>
        <v>AvanY-sólo boky Inlay-NW 187/650mm/strieb.</v>
      </c>
      <c r="AW19" s="22">
        <f>VLOOKUP(AU19,CENY!$B$11:$G$1054,3,FALSE)</f>
        <v>1</v>
      </c>
      <c r="AX19" s="362">
        <v>10</v>
      </c>
      <c r="AY19" s="23">
        <f>SUM(AY3:AY4)*(AE22)</f>
        <v>0</v>
      </c>
      <c r="AZ19" s="326">
        <f t="shared" si="4"/>
        <v>0</v>
      </c>
      <c r="BA19" s="95">
        <f>VLOOKUP(AU19,CENY!$B$11:$M$2025,12,FALSE)</f>
        <v>44.76003</v>
      </c>
      <c r="BB19" s="95">
        <f t="shared" si="5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11.33343</v>
      </c>
      <c r="BK19" s="95">
        <f t="shared" si="3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20"/>
      <c r="P20" s="521"/>
      <c r="Q20" s="520"/>
      <c r="R20" s="521"/>
      <c r="S20" s="520"/>
      <c r="T20" s="521"/>
      <c r="U20" s="520"/>
      <c r="V20" s="521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11.33343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P21" s="233" t="s">
        <v>258</v>
      </c>
      <c r="AQ21" s="616">
        <v>0</v>
      </c>
      <c r="AR21" s="617"/>
      <c r="AU21" s="319">
        <f>OBJ!B71</f>
        <v>9347502</v>
      </c>
      <c r="AV21" s="21" t="str">
        <f>VLOOKUP(AU21,CENY!$B$11:$G$1054,2,FALSE)</f>
        <v>AvanY-design ALprofil Hybrid na bok 270/ strieb.</v>
      </c>
      <c r="AW21" s="22">
        <f>VLOOKUP(AU21,CENY!$B$11:$G$1054,3,FALSE)</f>
        <v>200</v>
      </c>
      <c r="AX21" s="22"/>
      <c r="AY21" s="68"/>
      <c r="AZ21" s="326" t="str">
        <f t="shared" si="1"/>
        <v/>
      </c>
      <c r="BA21" s="95">
        <f>VLOOKUP(AU21,CENY!$B$11:$M$2025,12,FALSE)</f>
        <v>0.95189000000000001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11.715400000000001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67"/>
      <c r="AF22" s="568"/>
      <c r="AU22" s="319">
        <f>OBJ!B72</f>
        <v>9347503</v>
      </c>
      <c r="AV22" s="21" t="str">
        <f>VLOOKUP(AU22,CENY!$B$11:$G$1054,2,FALSE)</f>
        <v>AvanY-design ALprofil Hybrid na bok 300/ strieb.</v>
      </c>
      <c r="AW22" s="22">
        <f>VLOOKUP(AU22,CENY!$B$11:$G$1054,3,FALSE)</f>
        <v>200</v>
      </c>
      <c r="AX22" s="22"/>
      <c r="AY22" s="68"/>
      <c r="AZ22" s="326" t="str">
        <f t="shared" si="1"/>
        <v/>
      </c>
      <c r="BA22" s="95">
        <f>VLOOKUP(AU22,CENY!$B$11:$M$2025,12,FALSE)</f>
        <v>0.96240999999999999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11.715400000000001</v>
      </c>
      <c r="BK22" s="95">
        <f t="shared" si="3"/>
        <v>0</v>
      </c>
    </row>
    <row r="23" spans="2:63" ht="14.45" customHeight="1" thickBot="1">
      <c r="O23" s="4"/>
      <c r="P23" s="4"/>
      <c r="AU23" s="319">
        <f>OBJ!B73</f>
        <v>9347504</v>
      </c>
      <c r="AV23" s="21" t="str">
        <f>VLOOKUP(AU23,CENY!$B$11:$G$1054,2,FALSE)</f>
        <v>AvanY-design ALprofil Hybrid na bok 350/ strieb.</v>
      </c>
      <c r="AW23" s="22">
        <f>VLOOKUP(AU23,CENY!$B$11:$G$1054,3,FALSE)</f>
        <v>200</v>
      </c>
      <c r="AX23" s="22"/>
      <c r="AY23" s="68"/>
      <c r="AZ23" s="326" t="str">
        <f t="shared" si="1"/>
        <v/>
      </c>
      <c r="BA23" s="95">
        <f>VLOOKUP(AU23,CENY!$B$11:$M$2025,12,FALSE)</f>
        <v>0.98018000000000005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/>
    </row>
    <row r="24" spans="2:63" ht="14.45" customHeight="1" thickBot="1">
      <c r="AP24" s="233" t="s">
        <v>258</v>
      </c>
      <c r="AQ24" s="616">
        <v>2</v>
      </c>
      <c r="AR24" s="617"/>
      <c r="AU24" s="319">
        <f>OBJ!B74</f>
        <v>9347505</v>
      </c>
      <c r="AV24" s="21" t="str">
        <f>VLOOKUP(AU24,CENY!$B$11:$G$1054,2,FALSE)</f>
        <v>AvanY-design ALprofil Hybrid na bok 400/ strieb.</v>
      </c>
      <c r="AW24" s="22">
        <f>VLOOKUP(AU24,CENY!$B$11:$G$1054,3,FALSE)</f>
        <v>200</v>
      </c>
      <c r="AX24" s="22"/>
      <c r="AY24" s="68"/>
      <c r="AZ24" s="326" t="str">
        <f t="shared" si="1"/>
        <v/>
      </c>
      <c r="BA24" s="95">
        <f>VLOOKUP(AU24,CENY!$B$11:$M$2025,12,FALSE)</f>
        <v>0.99777000000000005</v>
      </c>
      <c r="BB24" s="95">
        <f t="shared" si="0"/>
        <v>0</v>
      </c>
      <c r="BD24" s="319">
        <f>OBJ!B180</f>
        <v>9257135</v>
      </c>
      <c r="BE24" s="21" t="str">
        <f>VLOOKUP(BD24,CENY!$B$11:$G$1054,2,FALSE)</f>
        <v>AvanY-bok Inlay ľavý /v187/h450/ strieb.</v>
      </c>
      <c r="BF24" s="22">
        <f>VLOOKUP(BD24,CENY!$B$11:$G$1054,3,FALSE)</f>
        <v>10</v>
      </c>
      <c r="BG24" s="22"/>
      <c r="BH24" s="23">
        <f>AY15</f>
        <v>0</v>
      </c>
      <c r="BI24" s="326">
        <f t="shared" si="2"/>
        <v>0</v>
      </c>
      <c r="BJ24" s="95">
        <f>VLOOKUP(BD24,CENY!$B$11:$M$2025,12,FALSE)</f>
        <v>18.945989999999998</v>
      </c>
      <c r="BK24" s="95">
        <f t="shared" ref="BK24:BK33" si="6">IF(BJ24="","",BJ24*BH24)</f>
        <v>0</v>
      </c>
    </row>
    <row r="25" spans="2:63" ht="14.45" customHeight="1" thickBot="1">
      <c r="B25" s="2" t="s">
        <v>285</v>
      </c>
      <c r="AU25" s="319">
        <f>OBJ!B75</f>
        <v>9347506</v>
      </c>
      <c r="AV25" s="21" t="str">
        <f>VLOOKUP(AU25,CENY!$B$11:$G$1054,2,FALSE)</f>
        <v>AvanY-design ALprofil Hybrid na bok 450/ strieb.</v>
      </c>
      <c r="AW25" s="22">
        <f>VLOOKUP(AU25,CENY!$B$11:$G$1054,3,FALSE)</f>
        <v>200</v>
      </c>
      <c r="AX25" s="22"/>
      <c r="AY25" s="23">
        <f>IF(FORM!AM18=FORM!AU16,0,2*SUM(AY1:AY2)*(W20+W22+W28))</f>
        <v>0</v>
      </c>
      <c r="AZ25" s="326">
        <f t="shared" si="1"/>
        <v>0</v>
      </c>
      <c r="BA25" s="95">
        <f>VLOOKUP(AU25,CENY!$B$11:$M$2025,12,FALSE)</f>
        <v>1.01556</v>
      </c>
      <c r="BB25" s="95">
        <f t="shared" si="0"/>
        <v>0</v>
      </c>
      <c r="BD25" s="319">
        <f>OBJ!B181</f>
        <v>9257136</v>
      </c>
      <c r="BE25" s="21" t="str">
        <f>VLOOKUP(BD25,CENY!$B$11:$G$1054,2,FALSE)</f>
        <v>AvanY-bok Inlay pravý /v187/h450/ strieb.</v>
      </c>
      <c r="BF25" s="22">
        <f>VLOOKUP(BD25,CENY!$B$11:$G$1054,3,FALSE)</f>
        <v>10</v>
      </c>
      <c r="BG25" s="22"/>
      <c r="BH25" s="23">
        <f>AY15</f>
        <v>0</v>
      </c>
      <c r="BI25" s="326">
        <f t="shared" si="2"/>
        <v>0</v>
      </c>
      <c r="BJ25" s="95">
        <f>VLOOKUP(BD25,CENY!$B$11:$M$2025,12,FALSE)</f>
        <v>18.945989999999998</v>
      </c>
      <c r="BK25" s="95">
        <f t="shared" si="6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U26" s="319">
        <f>OBJ!B76</f>
        <v>9347507</v>
      </c>
      <c r="AV26" s="21" t="str">
        <f>VLOOKUP(AU26,CENY!$B$11:$G$1054,2,FALSE)</f>
        <v>AvanY-design ALprofil Hybrid na bok 500/ strieb.</v>
      </c>
      <c r="AW26" s="22">
        <f>VLOOKUP(AU26,CENY!$B$11:$G$1054,3,FALSE)</f>
        <v>200</v>
      </c>
      <c r="AX26" s="22"/>
      <c r="AY26" s="23">
        <f>IF(FORM!AM18=FORM!AU16,0,2*SUM(AY1:AY2)*(Y20+Y22+Y28))</f>
        <v>0</v>
      </c>
      <c r="AZ26" s="326">
        <f t="shared" si="1"/>
        <v>0</v>
      </c>
      <c r="BA26" s="95">
        <f>VLOOKUP(AU26,CENY!$B$11:$M$2025,12,FALSE)</f>
        <v>1.0332399999999999</v>
      </c>
      <c r="BB26" s="95">
        <f t="shared" si="0"/>
        <v>0</v>
      </c>
      <c r="BD26" s="319">
        <f>OBJ!B182</f>
        <v>9257137</v>
      </c>
      <c r="BE26" s="21" t="str">
        <f>VLOOKUP(BD26,CENY!$B$11:$G$1054,2,FALSE)</f>
        <v>AvanY-bok Inlay ľavý /v187/h500/ strieb.</v>
      </c>
      <c r="BF26" s="22">
        <f>VLOOKUP(BD26,CENY!$B$11:$G$1054,3,FALSE)</f>
        <v>10</v>
      </c>
      <c r="BG26" s="22"/>
      <c r="BH26" s="23">
        <f>AY16</f>
        <v>0</v>
      </c>
      <c r="BI26" s="326">
        <f t="shared" si="2"/>
        <v>0</v>
      </c>
      <c r="BJ26" s="95">
        <f>VLOOKUP(BD26,CENY!$B$11:$M$2025,12,FALSE)</f>
        <v>18.358360000000001</v>
      </c>
      <c r="BK26" s="95">
        <f t="shared" si="6"/>
        <v>0</v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71"/>
      <c r="P27" s="614"/>
      <c r="Q27" s="615"/>
      <c r="R27" s="614"/>
      <c r="S27" s="615"/>
      <c r="T27" s="572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P27" s="233" t="s">
        <v>258</v>
      </c>
      <c r="AQ27" s="616">
        <v>0</v>
      </c>
      <c r="AR27" s="617"/>
      <c r="AU27" s="319">
        <f>OBJ!B77</f>
        <v>9347508</v>
      </c>
      <c r="AV27" s="21" t="str">
        <f>VLOOKUP(AU27,CENY!$B$11:$G$1054,2,FALSE)</f>
        <v>AvanY-design ALprofil Hybrid na bok 550/ strieb.</v>
      </c>
      <c r="AW27" s="22">
        <f>VLOOKUP(AU27,CENY!$B$11:$G$1054,3,FALSE)</f>
        <v>200</v>
      </c>
      <c r="AX27" s="22"/>
      <c r="AY27" s="23">
        <f>IF(FORM!AM18=FORM!AU16,0,2*SUM(AY1:AY2)*(AA20+AA22+AA28))</f>
        <v>0</v>
      </c>
      <c r="AZ27" s="326">
        <f t="shared" si="1"/>
        <v>0</v>
      </c>
      <c r="BA27" s="95">
        <f>VLOOKUP(AU27,CENY!$B$11:$M$2025,12,FALSE)</f>
        <v>1.0508599999999999</v>
      </c>
      <c r="BB27" s="95">
        <f t="shared" si="0"/>
        <v>0</v>
      </c>
      <c r="BD27" s="319">
        <f>OBJ!B183</f>
        <v>9257138</v>
      </c>
      <c r="BE27" s="21" t="str">
        <f>VLOOKUP(BD27,CENY!$B$11:$G$1054,2,FALSE)</f>
        <v>AvanY-bok Inlay pravý /v187/h500/ strieb.</v>
      </c>
      <c r="BF27" s="22">
        <f>VLOOKUP(BD27,CENY!$B$11:$G$1054,3,FALSE)</f>
        <v>10</v>
      </c>
      <c r="BG27" s="22"/>
      <c r="BH27" s="23">
        <f>AY16</f>
        <v>0</v>
      </c>
      <c r="BI27" s="326">
        <f t="shared" si="2"/>
        <v>0</v>
      </c>
      <c r="BJ27" s="95">
        <f>VLOOKUP(BD27,CENY!$B$11:$M$2025,12,FALSE)</f>
        <v>18.358360000000001</v>
      </c>
      <c r="BK27" s="95">
        <f t="shared" si="6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20"/>
      <c r="P28" s="521"/>
      <c r="Q28" s="520"/>
      <c r="R28" s="521"/>
      <c r="S28" s="520"/>
      <c r="T28" s="521"/>
      <c r="U28" s="520"/>
      <c r="V28" s="521"/>
      <c r="W28" s="518"/>
      <c r="X28" s="519"/>
      <c r="Y28" s="518"/>
      <c r="Z28" s="519"/>
      <c r="AA28" s="518"/>
      <c r="AB28" s="519"/>
      <c r="AC28" s="518"/>
      <c r="AD28" s="519"/>
      <c r="AU28" s="319">
        <f>OBJ!B78</f>
        <v>9347509</v>
      </c>
      <c r="AV28" s="21" t="str">
        <f>VLOOKUP(AU28,CENY!$B$11:$G$1054,2,FALSE)</f>
        <v>AvanY-design ALprofil Hybrid na bok 600/ strieb.</v>
      </c>
      <c r="AW28" s="22">
        <f>VLOOKUP(AU28,CENY!$B$11:$G$1054,3,FALSE)</f>
        <v>200</v>
      </c>
      <c r="AX28" s="22"/>
      <c r="AY28" s="23">
        <f>IF(FORM!AM18=FORM!AU16,0,2*SUM(AY1:AY2)*(AC20+AC22+AC28))</f>
        <v>0</v>
      </c>
      <c r="AZ28" s="326">
        <f t="shared" si="1"/>
        <v>0</v>
      </c>
      <c r="BA28" s="95">
        <f>VLOOKUP(AU28,CENY!$B$11:$M$2025,12,FALSE)</f>
        <v>1.09639</v>
      </c>
      <c r="BB28" s="95">
        <f t="shared" si="0"/>
        <v>0</v>
      </c>
      <c r="BD28" s="319">
        <f>OBJ!B184</f>
        <v>9257139</v>
      </c>
      <c r="BE28" s="21" t="str">
        <f>VLOOKUP(BD28,CENY!$B$11:$G$1054,2,FALSE)</f>
        <v>AvanY-bok Inlay ľavý /v187/h550/ strieb.</v>
      </c>
      <c r="BF28" s="22">
        <f>VLOOKUP(BD28,CENY!$B$11:$G$1054,3,FALSE)</f>
        <v>10</v>
      </c>
      <c r="BG28" s="22"/>
      <c r="BH28" s="23">
        <f>AY17</f>
        <v>0</v>
      </c>
      <c r="BI28" s="326">
        <f t="shared" si="2"/>
        <v>0</v>
      </c>
      <c r="BJ28" s="95">
        <f>VLOOKUP(BD28,CENY!$B$11:$M$2025,12,FALSE)</f>
        <v>19.60652</v>
      </c>
      <c r="BK28" s="95">
        <f t="shared" si="6"/>
        <v>0</v>
      </c>
    </row>
    <row r="29" spans="2:63" ht="14.45" customHeight="1">
      <c r="AU29" s="319">
        <f>OBJ!B79</f>
        <v>9347510</v>
      </c>
      <c r="AV29" s="21" t="str">
        <f>VLOOKUP(AU29,CENY!$B$11:$G$1054,2,FALSE)</f>
        <v>AvanY-design ALprofil Hybrid na bok 650/ strieb.</v>
      </c>
      <c r="AW29" s="22">
        <f>VLOOKUP(AU29,CENY!$B$11:$G$1054,3,FALSE)</f>
        <v>200</v>
      </c>
      <c r="AX29" s="22"/>
      <c r="AY29" s="23">
        <f>IF(FORM!AM18=FORM!AU16,0,2*SUM(AY1:AY2)*AE22)</f>
        <v>0</v>
      </c>
      <c r="AZ29" s="326">
        <f t="shared" si="1"/>
        <v>0</v>
      </c>
      <c r="BA29" s="95">
        <f>VLOOKUP(AU29,CENY!$B$11:$M$2025,12,FALSE)</f>
        <v>1.1824300000000001</v>
      </c>
      <c r="BB29" s="95">
        <f t="shared" si="0"/>
        <v>0</v>
      </c>
      <c r="BD29" s="319">
        <f>OBJ!B185</f>
        <v>9257140</v>
      </c>
      <c r="BE29" s="21" t="str">
        <f>VLOOKUP(BD29,CENY!$B$11:$G$1054,2,FALSE)</f>
        <v>AvanY-bok Inlay pravý /v187/h550/ strieb.</v>
      </c>
      <c r="BF29" s="22">
        <f>VLOOKUP(BD29,CENY!$B$11:$G$1054,3,FALSE)</f>
        <v>10</v>
      </c>
      <c r="BG29" s="22"/>
      <c r="BH29" s="23">
        <f>AY17</f>
        <v>0</v>
      </c>
      <c r="BI29" s="326">
        <f t="shared" si="2"/>
        <v>0</v>
      </c>
      <c r="BJ29" s="95">
        <f>VLOOKUP(BD29,CENY!$B$11:$M$2025,12,FALSE)</f>
        <v>19.60652</v>
      </c>
      <c r="BK29" s="95">
        <f t="shared" si="6"/>
        <v>0</v>
      </c>
    </row>
    <row r="30" spans="2:63" ht="14.45" customHeight="1">
      <c r="B30" s="366" t="str">
        <f>verze!E201</f>
        <v>SiSy = tlmenie Silent System</v>
      </c>
      <c r="AU30" s="319"/>
      <c r="AV30" s="21"/>
      <c r="AW30" s="22"/>
      <c r="AX30" s="22"/>
      <c r="AY30" s="23"/>
      <c r="AZ30" s="326" t="str">
        <f t="shared" si="1"/>
        <v/>
      </c>
      <c r="BA30" s="95"/>
      <c r="BB30" s="95" t="str">
        <f t="shared" si="0"/>
        <v/>
      </c>
      <c r="BD30" s="319">
        <f>OBJ!B186</f>
        <v>9257141</v>
      </c>
      <c r="BE30" s="21" t="str">
        <f>VLOOKUP(BD30,CENY!$B$11:$G$1054,2,FALSE)</f>
        <v>AvanY-bok Inlay ľavý /v187/h600/ strieb.</v>
      </c>
      <c r="BF30" s="22">
        <f>VLOOKUP(BD30,CENY!$B$11:$G$1054,3,FALSE)</f>
        <v>10</v>
      </c>
      <c r="BG30" s="22"/>
      <c r="BH30" s="23">
        <f>AY18</f>
        <v>0</v>
      </c>
      <c r="BI30" s="326">
        <f t="shared" si="2"/>
        <v>0</v>
      </c>
      <c r="BJ30" s="95">
        <f>VLOOKUP(BD30,CENY!$B$11:$M$2025,12,FALSE)</f>
        <v>20.105229999999999</v>
      </c>
      <c r="BK30" s="95">
        <f t="shared" si="6"/>
        <v>0</v>
      </c>
    </row>
    <row r="31" spans="2:63" ht="14.45" customHeight="1">
      <c r="AU31" s="319">
        <f>OBJ!B233</f>
        <v>9318154</v>
      </c>
      <c r="AV31" s="21" t="str">
        <f>VLOOKUP(AU31,CENY!$B$11:$G$1054,2,FALSE)</f>
        <v>Actro You(S) 270/SiSy 10kg; EB21</v>
      </c>
      <c r="AW31" s="22">
        <f>VLOOKUP(AU31,CENY!$B$11:$G$1054,3,FALSE)</f>
        <v>1</v>
      </c>
      <c r="AX31" s="362">
        <v>4</v>
      </c>
      <c r="AY31" s="68"/>
      <c r="AZ31" s="326" t="str">
        <f t="shared" si="1"/>
        <v/>
      </c>
      <c r="BA31" s="95">
        <f>VLOOKUP(AU31,CENY!$B$11:$M$2025,12,FALSE)</f>
        <v>31.62575</v>
      </c>
      <c r="BB31" s="95">
        <f t="shared" si="0"/>
        <v>0</v>
      </c>
      <c r="BD31" s="319">
        <f>OBJ!B187</f>
        <v>9257142</v>
      </c>
      <c r="BE31" s="21" t="str">
        <f>VLOOKUP(BD31,CENY!$B$11:$G$1054,2,FALSE)</f>
        <v>AvanY-bok Inlay pravý /v187/h600/ strieb.</v>
      </c>
      <c r="BF31" s="22">
        <f>VLOOKUP(BD31,CENY!$B$11:$G$1054,3,FALSE)</f>
        <v>10</v>
      </c>
      <c r="BG31" s="22"/>
      <c r="BH31" s="23">
        <f>AY18</f>
        <v>0</v>
      </c>
      <c r="BI31" s="326">
        <f t="shared" si="2"/>
        <v>0</v>
      </c>
      <c r="BJ31" s="95">
        <f>VLOOKUP(BD31,CENY!$B$11:$M$2025,12,FALSE)</f>
        <v>20.105229999999999</v>
      </c>
      <c r="BK31" s="95">
        <f t="shared" si="6"/>
        <v>0</v>
      </c>
    </row>
    <row r="32" spans="2:63" ht="14.45" customHeight="1">
      <c r="AU32" s="319">
        <f>OBJ!B234</f>
        <v>9318156</v>
      </c>
      <c r="AV32" s="21" t="str">
        <f>VLOOKUP(AU32,CENY!$B$11:$G$1054,2,FALSE)</f>
        <v>Actro You(S) 300/SiSy 10kg; EB21</v>
      </c>
      <c r="AW32" s="22">
        <f>VLOOKUP(AU32,CENY!$B$11:$G$1054,3,FALSE)</f>
        <v>1</v>
      </c>
      <c r="AX32" s="362">
        <v>4</v>
      </c>
      <c r="AY32" s="68"/>
      <c r="AZ32" s="326" t="str">
        <f t="shared" si="1"/>
        <v/>
      </c>
      <c r="BA32" s="95">
        <f>VLOOKUP(AU32,CENY!$B$11:$M$2025,12,FALSE)</f>
        <v>31.62575</v>
      </c>
      <c r="BB32" s="95">
        <f t="shared" si="0"/>
        <v>0</v>
      </c>
      <c r="BD32" s="319">
        <f>OBJ!B188</f>
        <v>9257143</v>
      </c>
      <c r="BE32" s="21" t="str">
        <f>VLOOKUP(BD32,CENY!$B$11:$G$1054,2,FALSE)</f>
        <v>AvanY-bok Inlay ľavý /v187/h650/ strieb.</v>
      </c>
      <c r="BF32" s="22">
        <f>VLOOKUP(BD32,CENY!$B$11:$G$1054,3,FALSE)</f>
        <v>10</v>
      </c>
      <c r="BG32" s="22"/>
      <c r="BH32" s="23">
        <f>AY19</f>
        <v>0</v>
      </c>
      <c r="BI32" s="326">
        <f t="shared" si="2"/>
        <v>0</v>
      </c>
      <c r="BJ32" s="95">
        <f>VLOOKUP(BD32,CENY!$B$11:$M$2025,12,FALSE)</f>
        <v>20.782730000000001</v>
      </c>
      <c r="BK32" s="95">
        <f t="shared" si="6"/>
        <v>0</v>
      </c>
    </row>
    <row r="33" spans="47:63" ht="14.45" customHeight="1">
      <c r="AU33" s="319">
        <f>OBJ!B235</f>
        <v>9318160</v>
      </c>
      <c r="AV33" s="21" t="str">
        <f>VLOOKUP(AU33,CENY!$B$11:$G$1054,2,FALSE)</f>
        <v>Actro You(S) 350/SiSy 10kg; EB21</v>
      </c>
      <c r="AW33" s="22">
        <f>VLOOKUP(AU33,CENY!$B$11:$G$1054,3,FALSE)</f>
        <v>1</v>
      </c>
      <c r="AX33" s="362">
        <v>4</v>
      </c>
      <c r="AY33" s="68"/>
      <c r="AZ33" s="326" t="str">
        <f t="shared" si="1"/>
        <v/>
      </c>
      <c r="BA33" s="95">
        <f>VLOOKUP(AU33,CENY!$B$11:$M$2025,12,FALSE)</f>
        <v>31.62575</v>
      </c>
      <c r="BB33" s="95">
        <f t="shared" si="0"/>
        <v>0</v>
      </c>
      <c r="BD33" s="319">
        <f>OBJ!B189</f>
        <v>9257144</v>
      </c>
      <c r="BE33" s="21" t="str">
        <f>VLOOKUP(BD33,CENY!$B$11:$G$1054,2,FALSE)</f>
        <v>AvanY-bok Inlay pravý /v187/h650/ strieb.</v>
      </c>
      <c r="BF33" s="22">
        <f>VLOOKUP(BD33,CENY!$B$11:$G$1054,3,FALSE)</f>
        <v>10</v>
      </c>
      <c r="BG33" s="22"/>
      <c r="BH33" s="23">
        <f>AY19</f>
        <v>0</v>
      </c>
      <c r="BI33" s="326">
        <f t="shared" si="2"/>
        <v>0</v>
      </c>
      <c r="BJ33" s="95">
        <f>VLOOKUP(BD33,CENY!$B$11:$M$2025,12,FALSE)</f>
        <v>20.782730000000001</v>
      </c>
      <c r="BK33" s="95">
        <f t="shared" si="6"/>
        <v>0</v>
      </c>
    </row>
    <row r="34" spans="47:63" ht="14.45" customHeight="1">
      <c r="AU34" s="20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47:63" ht="14.45" customHeight="1">
      <c r="AU35" s="319">
        <f>OBJ!B243</f>
        <v>9318186</v>
      </c>
      <c r="AV35" s="21" t="str">
        <f>VLOOKUP(AU35,CENY!$B$11:$G$1054,2,FALSE)</f>
        <v>Actro You(L) 270/SiSy 40kg; EB21</v>
      </c>
      <c r="AW35" s="22">
        <f>VLOOKUP(AU35,CENY!$B$11:$G$1054,3,FALSE)</f>
        <v>1</v>
      </c>
      <c r="AX35" s="362">
        <v>8</v>
      </c>
      <c r="AY35" s="68"/>
      <c r="AZ35" s="326" t="str">
        <f t="shared" si="1"/>
        <v/>
      </c>
      <c r="BA35" s="95">
        <f>VLOOKUP(AU35,CENY!$B$11:$M$2025,12,FALSE)</f>
        <v>31.62575</v>
      </c>
      <c r="BB35" s="95">
        <f t="shared" si="0"/>
        <v>0</v>
      </c>
      <c r="BD35" s="319">
        <f>OBJ!B69</f>
        <v>9255835</v>
      </c>
      <c r="BE35" s="21" t="str">
        <f>VLOOKUP(BD35,CENY!$B$11:$G$1054,2,FALSE)</f>
        <v>AvanY-príchytka čela k naskrutk./ v101</v>
      </c>
      <c r="BF35" s="22">
        <f>VLOOKUP(BD35,CENY!$B$11:$G$1054,3,FALSE)</f>
        <v>200</v>
      </c>
      <c r="BG35" s="22"/>
      <c r="BH35" s="23">
        <f>2*(AY2)*(SUM(W20:AD20)+SUM(W22:AF22)+SUM(W28:AD28))</f>
        <v>0</v>
      </c>
      <c r="BI35" s="326">
        <f t="shared" si="2"/>
        <v>0</v>
      </c>
      <c r="BJ35" s="95">
        <f>VLOOKUP(BD35,CENY!$B$11:$M$2025,12,FALSE)</f>
        <v>1.1621999999999999</v>
      </c>
      <c r="BK35" s="95">
        <f t="shared" si="3"/>
        <v>0</v>
      </c>
    </row>
    <row r="36" spans="47:63" ht="14.45" customHeight="1">
      <c r="AU36" s="319">
        <f>OBJ!B244</f>
        <v>9318187</v>
      </c>
      <c r="AV36" s="21" t="str">
        <f>VLOOKUP(AU36,CENY!$B$11:$G$1054,2,FALSE)</f>
        <v>Actro You(L) 300/SiSy 40kg; EB21</v>
      </c>
      <c r="AW36" s="22">
        <f>VLOOKUP(AU36,CENY!$B$11:$G$1054,3,FALSE)</f>
        <v>1</v>
      </c>
      <c r="AX36" s="362">
        <v>8</v>
      </c>
      <c r="AY36" s="68"/>
      <c r="AZ36" s="326" t="str">
        <f t="shared" si="1"/>
        <v/>
      </c>
      <c r="BA36" s="95">
        <f>VLOOKUP(AU36,CENY!$B$11:$M$2025,12,FALSE)</f>
        <v>31.62575</v>
      </c>
      <c r="BB36" s="95">
        <f t="shared" si="0"/>
        <v>0</v>
      </c>
      <c r="BD36" s="319">
        <f>OBJ!B191</f>
        <v>9257257</v>
      </c>
      <c r="BE36" s="21" t="str">
        <f>VLOOKUP(BD36,CENY!$B$11:$G$1054,2,FALSE)</f>
        <v>AvanY-prích.čela Inlay k naskrutk./ v187</v>
      </c>
      <c r="BF36" s="22">
        <f>VLOOKUP(BD36,CENY!$B$11:$G$1054,3,FALSE)</f>
        <v>100</v>
      </c>
      <c r="BG36" s="22"/>
      <c r="BH36" s="23">
        <f>2*(AY4)*(SUM(W20:AD20)+SUM(W22:AF22)+SUM(W28:AD28))</f>
        <v>0</v>
      </c>
      <c r="BI36" s="326">
        <f t="shared" si="2"/>
        <v>0</v>
      </c>
      <c r="BJ36" s="95">
        <f>VLOOKUP(BD36,CENY!$B$11:$M$2025,12,FALSE)</f>
        <v>2.4404300000000001</v>
      </c>
      <c r="BK36" s="95">
        <f t="shared" si="3"/>
        <v>0</v>
      </c>
    </row>
    <row r="37" spans="47:63" ht="14.45" customHeight="1">
      <c r="AU37" s="319">
        <f>OBJ!B245</f>
        <v>9318188</v>
      </c>
      <c r="AV37" s="21" t="str">
        <f>VLOOKUP(AU37,CENY!$B$11:$G$1054,2,FALSE)</f>
        <v>Actro You(L) 350/SiSy 40kg; EB21</v>
      </c>
      <c r="AW37" s="22">
        <f>VLOOKUP(AU37,CENY!$B$11:$G$1054,3,FALSE)</f>
        <v>1</v>
      </c>
      <c r="AX37" s="362">
        <v>8</v>
      </c>
      <c r="AY37" s="68"/>
      <c r="AZ37" s="326" t="str">
        <f t="shared" si="1"/>
        <v/>
      </c>
      <c r="BA37" s="95">
        <f>VLOOKUP(AU37,CENY!$B$11:$M$2025,12,FALSE)</f>
        <v>31.62575</v>
      </c>
      <c r="BB37" s="95">
        <f t="shared" si="0"/>
        <v>0</v>
      </c>
      <c r="BD37" s="320">
        <v>9255835</v>
      </c>
      <c r="BE37" s="321" t="str">
        <f>VLOOKUP(BD37,CENY!$B$11:$G$1054,2,FALSE)</f>
        <v>AvanY-príchytka čela k naskrutk./ v101</v>
      </c>
      <c r="BF37" s="22">
        <f>VLOOKUP(BD37,CENY!$B$11:$G$1054,3,FALSE)</f>
        <v>200</v>
      </c>
      <c r="BG37" s="22"/>
      <c r="BH37" s="68">
        <f>2*(AY1)*(SUM(W20:AD20)+SUM(W22:AF22)+SUM(W28:AD28))</f>
        <v>0</v>
      </c>
      <c r="BI37" s="326">
        <f t="shared" si="2"/>
        <v>0</v>
      </c>
      <c r="BJ37" s="95">
        <f>VLOOKUP(BD37,CENY!$B$11:$M$2025,12,FALSE)</f>
        <v>1.1621999999999999</v>
      </c>
      <c r="BK37" s="95">
        <f t="shared" si="3"/>
        <v>0</v>
      </c>
    </row>
    <row r="38" spans="47:63" ht="14.45" customHeight="1">
      <c r="AU38" s="319">
        <f>OBJ!B246</f>
        <v>9318190</v>
      </c>
      <c r="AV38" s="21" t="str">
        <f>VLOOKUP(AU38,CENY!$B$11:$G$1054,2,FALSE)</f>
        <v>Actro You(L) 400/SiSy 40kg; EB21</v>
      </c>
      <c r="AW38" s="22">
        <f>VLOOKUP(AU38,CENY!$B$11:$G$1054,3,FALSE)</f>
        <v>1</v>
      </c>
      <c r="AX38" s="362">
        <v>8</v>
      </c>
      <c r="AY38" s="68"/>
      <c r="AZ38" s="326" t="str">
        <f t="shared" si="1"/>
        <v/>
      </c>
      <c r="BA38" s="95">
        <f>VLOOKUP(AU38,CENY!$B$11:$M$2025,12,FALSE)</f>
        <v>31.976389999999999</v>
      </c>
      <c r="BB38" s="95">
        <f t="shared" si="0"/>
        <v>0</v>
      </c>
      <c r="BD38" s="320">
        <v>9257257</v>
      </c>
      <c r="BE38" s="321" t="str">
        <f>VLOOKUP(BD38,CENY!$B$11:$G$1054,2,FALSE)</f>
        <v>AvanY-prích.čela Inlay k naskrutk./ v187</v>
      </c>
      <c r="BF38" s="22">
        <f>VLOOKUP(BD38,CENY!$B$11:$G$1054,3,FALSE)</f>
        <v>100</v>
      </c>
      <c r="BG38" s="22"/>
      <c r="BH38" s="68">
        <f>2*(AY3)*(SUM(W20:AD20)+SUM(W22:AF22)+SUM(W28:AD28))</f>
        <v>0</v>
      </c>
      <c r="BI38" s="326">
        <f t="shared" si="2"/>
        <v>0</v>
      </c>
      <c r="BJ38" s="95">
        <f>VLOOKUP(BD38,CENY!$B$11:$M$2025,12,FALSE)</f>
        <v>2.4404300000000001</v>
      </c>
      <c r="BK38" s="95">
        <f t="shared" si="3"/>
        <v>0</v>
      </c>
    </row>
    <row r="39" spans="47:63" ht="14.45" customHeight="1">
      <c r="AU39" s="319">
        <f>OBJ!B247</f>
        <v>9318191</v>
      </c>
      <c r="AV39" s="21" t="str">
        <f>VLOOKUP(AU39,CENY!$B$11:$G$1054,2,FALSE)</f>
        <v>Actro You(L) 450/SiSy 40kg; EB21</v>
      </c>
      <c r="AW39" s="22">
        <f>VLOOKUP(AU39,CENY!$B$11:$G$1054,3,FALSE)</f>
        <v>1</v>
      </c>
      <c r="AX39" s="362">
        <v>10</v>
      </c>
      <c r="AY39" s="23">
        <f>IF((AY2+AY4)&gt;1,SUM(AY1:AY4)*W20-1*W20,SUM(AY1:AY4)*W20)</f>
        <v>0</v>
      </c>
      <c r="AZ39" s="326">
        <f t="shared" si="1"/>
        <v>0</v>
      </c>
      <c r="BA39" s="95">
        <f>VLOOKUP(AU39,CENY!$B$11:$M$2025,12,FALSE)</f>
        <v>32.324420000000003</v>
      </c>
      <c r="BB39" s="95">
        <f t="shared" si="0"/>
        <v>0</v>
      </c>
      <c r="BD39" s="319">
        <f>OBJ!B48</f>
        <v>9257702</v>
      </c>
      <c r="BE39" s="21" t="str">
        <f>VLOOKUP(BD39,CENY!$B$11:$G$1054,2,FALSE)</f>
        <v>AvanY-stabilizátor chrbáta</v>
      </c>
      <c r="BF39" s="22">
        <f>VLOOKUP(BD39,CENY!$B$11:$G$1054,3,FALSE)</f>
        <v>200</v>
      </c>
      <c r="BG39" s="22"/>
      <c r="BH39" s="23">
        <f>2*(SUM(AY1:AY4)*(SUM(W20:AD20)+SUM(W22:AF22)+SUM(W28:AD28)))</f>
        <v>0</v>
      </c>
      <c r="BI39" s="326">
        <f t="shared" si="2"/>
        <v>0</v>
      </c>
      <c r="BJ39" s="95">
        <f>VLOOKUP(BD39,CENY!$B$11:$M$2025,12,FALSE)</f>
        <v>0.74794000000000005</v>
      </c>
      <c r="BK39" s="95">
        <f t="shared" si="3"/>
        <v>0</v>
      </c>
    </row>
    <row r="40" spans="47:63" ht="14.45" customHeight="1">
      <c r="AU40" s="319">
        <f>OBJ!B248</f>
        <v>9318192</v>
      </c>
      <c r="AV40" s="21" t="str">
        <f>VLOOKUP(AU40,CENY!$B$11:$G$1054,2,FALSE)</f>
        <v>Actro You(L) 500/SiSy 40kg; EB21</v>
      </c>
      <c r="AW40" s="22">
        <f>VLOOKUP(AU40,CENY!$B$11:$G$1054,3,FALSE)</f>
        <v>1</v>
      </c>
      <c r="AX40" s="362">
        <v>10</v>
      </c>
      <c r="AY40" s="23">
        <f>IF((AY2+AY4)&gt;1,SUM(AY1:AY4)*Y20-1*Y20,SUM(AY1:AY4)*Y20)</f>
        <v>0</v>
      </c>
      <c r="AZ40" s="326">
        <f t="shared" si="1"/>
        <v>0</v>
      </c>
      <c r="BA40" s="95">
        <f>VLOOKUP(AU40,CENY!$B$11:$M$2025,12,FALSE)</f>
        <v>6.5957299999999996</v>
      </c>
      <c r="BB40" s="95">
        <f t="shared" si="0"/>
        <v>0</v>
      </c>
      <c r="BD40" s="20"/>
      <c r="BE40" s="21"/>
      <c r="BF40" s="22"/>
      <c r="BG40" s="22"/>
      <c r="BH40" s="23"/>
      <c r="BI40" s="326" t="str">
        <f t="shared" si="2"/>
        <v/>
      </c>
      <c r="BJ40" s="95"/>
      <c r="BK40" s="95" t="str">
        <f t="shared" si="3"/>
        <v/>
      </c>
    </row>
    <row r="41" spans="47:63" ht="14.45" customHeight="1">
      <c r="AU41" s="319">
        <f>OBJ!B249</f>
        <v>9318194</v>
      </c>
      <c r="AV41" s="21" t="str">
        <f>VLOOKUP(AU41,CENY!$B$11:$G$1054,2,FALSE)</f>
        <v>Actro You(L) 550/SiSy 40kg; EB21</v>
      </c>
      <c r="AW41" s="22">
        <f>VLOOKUP(AU41,CENY!$B$11:$G$1054,3,FALSE)</f>
        <v>1</v>
      </c>
      <c r="AX41" s="362">
        <v>10</v>
      </c>
      <c r="AY41" s="23">
        <f>IF((AY2+AY4)&gt;1,SUM(AY1:AY4)*AA20-1*AA20,SUM(AY1:AY4)*AA20)</f>
        <v>0</v>
      </c>
      <c r="AZ41" s="326">
        <f t="shared" si="1"/>
        <v>0</v>
      </c>
      <c r="BA41" s="95">
        <f>VLOOKUP(AU41,CENY!$B$11:$M$2025,12,FALSE)</f>
        <v>6.9728000000000003</v>
      </c>
      <c r="BB41" s="95">
        <f t="shared" si="0"/>
        <v>0</v>
      </c>
      <c r="BD41" s="319">
        <f>OBJ!B71</f>
        <v>9347502</v>
      </c>
      <c r="BE41" s="21" t="str">
        <f>VLOOKUP(BD41,CENY!$B$11:$G$1054,2,FALSE)</f>
        <v>AvanY-design ALprofil Hybrid na bok 270/ strieb.</v>
      </c>
      <c r="BF41" s="22">
        <f>VLOOKUP(BD41,CENY!$B$11:$G$1054,3,FALSE)</f>
        <v>200</v>
      </c>
      <c r="BG41" s="22"/>
      <c r="BH41" s="68"/>
      <c r="BI41" s="326" t="str">
        <f t="shared" si="2"/>
        <v/>
      </c>
      <c r="BJ41" s="95">
        <f>VLOOKUP(BD41,CENY!$B$11:$M$2025,12,FALSE)</f>
        <v>0.95189000000000001</v>
      </c>
      <c r="BK41" s="95">
        <f t="shared" si="3"/>
        <v>0</v>
      </c>
    </row>
    <row r="42" spans="47:63" ht="14.45" customHeight="1">
      <c r="AU42" s="319">
        <f>OBJ!B250</f>
        <v>9318196</v>
      </c>
      <c r="AV42" s="21" t="str">
        <f>VLOOKUP(AU42,CENY!$B$11:$G$1054,2,FALSE)</f>
        <v>Actro You(L) 600/SiSy 40kg; EB21</v>
      </c>
      <c r="AW42" s="22">
        <f>VLOOKUP(AU42,CENY!$B$11:$G$1054,3,FALSE)</f>
        <v>1</v>
      </c>
      <c r="AX42" s="362">
        <v>10</v>
      </c>
      <c r="AY42" s="23">
        <f>IF((AY2+AY4)&gt;1,SUM(AY1:AY4)*AC20-1*AC20,SUM(AY1:AY4)*AC20)</f>
        <v>0</v>
      </c>
      <c r="AZ42" s="326">
        <f t="shared" si="1"/>
        <v>0</v>
      </c>
      <c r="BA42" s="95">
        <f>VLOOKUP(AU42,CENY!$B$11:$M$2025,12,FALSE)</f>
        <v>34.956960000000002</v>
      </c>
      <c r="BB42" s="95">
        <f t="shared" si="0"/>
        <v>0</v>
      </c>
      <c r="BD42" s="319">
        <f>OBJ!B72</f>
        <v>9347503</v>
      </c>
      <c r="BE42" s="21" t="str">
        <f>VLOOKUP(BD42,CENY!$B$11:$G$1054,2,FALSE)</f>
        <v>AvanY-design ALprofil Hybrid na bok 300/ strieb.</v>
      </c>
      <c r="BF42" s="22">
        <f>VLOOKUP(BD42,CENY!$B$11:$G$1054,3,FALSE)</f>
        <v>200</v>
      </c>
      <c r="BG42" s="22"/>
      <c r="BH42" s="68"/>
      <c r="BI42" s="326" t="str">
        <f t="shared" si="2"/>
        <v/>
      </c>
      <c r="BJ42" s="95">
        <f>VLOOKUP(BD42,CENY!$B$11:$M$2025,12,FALSE)</f>
        <v>0.96240999999999999</v>
      </c>
      <c r="BK42" s="95">
        <f t="shared" si="3"/>
        <v>0</v>
      </c>
    </row>
    <row r="43" spans="47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OBJ!B73</f>
        <v>9347504</v>
      </c>
      <c r="BE43" s="21" t="str">
        <f>VLOOKUP(BD43,CENY!$B$11:$G$1054,2,FALSE)</f>
        <v>AvanY-design ALprofil Hybrid na bok 350/ strieb.</v>
      </c>
      <c r="BF43" s="22">
        <f>VLOOKUP(BD43,CENY!$B$11:$G$1054,3,FALSE)</f>
        <v>200</v>
      </c>
      <c r="BG43" s="22"/>
      <c r="BH43" s="68"/>
      <c r="BI43" s="326" t="str">
        <f t="shared" si="2"/>
        <v/>
      </c>
      <c r="BJ43" s="95">
        <f>VLOOKUP(BD43,CENY!$B$11:$M$2025,12,FALSE)</f>
        <v>0.98018000000000005</v>
      </c>
      <c r="BK43" s="95">
        <f t="shared" si="3"/>
        <v>0</v>
      </c>
    </row>
    <row r="44" spans="47:63" ht="14.45" customHeight="1">
      <c r="AU44" s="319">
        <f>OBJ!B268</f>
        <v>9318215</v>
      </c>
      <c r="AV44" s="21" t="str">
        <f>VLOOKUP(AU44,CENY!$B$11:$G$1054,2,FALSE)</f>
        <v>Actro You(XL) 450/SiSy 70kg; EB21</v>
      </c>
      <c r="AW44" s="22">
        <f>VLOOKUP(AU44,CENY!$B$11:$G$1054,3,FALSE)</f>
        <v>1</v>
      </c>
      <c r="AX44" s="362">
        <v>10</v>
      </c>
      <c r="AY44" s="23">
        <f>IF((AY2+AY4)&lt;2,SUM(AY1:AY4)*W22,1*(W28+W20)+SUM(AY1:AY4)*W22)</f>
        <v>0</v>
      </c>
      <c r="AZ44" s="326">
        <f t="shared" si="1"/>
        <v>0</v>
      </c>
      <c r="BA44" s="95">
        <f>VLOOKUP(AU44,CENY!$B$11:$M$2025,12,FALSE)</f>
        <v>7.9265800000000004</v>
      </c>
      <c r="BB44" s="95">
        <f t="shared" si="0"/>
        <v>0</v>
      </c>
      <c r="BD44" s="319">
        <f>OBJ!B74</f>
        <v>9347505</v>
      </c>
      <c r="BE44" s="21" t="str">
        <f>VLOOKUP(BD44,CENY!$B$11:$G$1054,2,FALSE)</f>
        <v>AvanY-design ALprofil Hybrid na bok 400/ strieb.</v>
      </c>
      <c r="BF44" s="22">
        <f>VLOOKUP(BD44,CENY!$B$11:$G$1054,3,FALSE)</f>
        <v>200</v>
      </c>
      <c r="BG44" s="22"/>
      <c r="BH44" s="68"/>
      <c r="BI44" s="326" t="str">
        <f t="shared" si="2"/>
        <v/>
      </c>
      <c r="BJ44" s="95">
        <f>VLOOKUP(BD44,CENY!$B$11:$M$2025,12,FALSE)</f>
        <v>0.99777000000000005</v>
      </c>
      <c r="BK44" s="95">
        <f t="shared" si="3"/>
        <v>0</v>
      </c>
    </row>
    <row r="45" spans="47:63" ht="14.45" customHeight="1">
      <c r="AU45" s="319">
        <f>OBJ!B269</f>
        <v>9318216</v>
      </c>
      <c r="AV45" s="21" t="str">
        <f>VLOOKUP(AU45,CENY!$B$11:$G$1054,2,FALSE)</f>
        <v>Actro You(XL) 500/SiSy 70kg; EB21</v>
      </c>
      <c r="AW45" s="22">
        <f>VLOOKUP(AU45,CENY!$B$11:$G$1054,3,FALSE)</f>
        <v>1</v>
      </c>
      <c r="AX45" s="362">
        <v>10</v>
      </c>
      <c r="AY45" s="23">
        <f>IF((AY2+AY4)&lt;2,SUM(AY1:AY4)*Y22,1*(Y28+Y20)+SUM(AY1:AY4)*Y22)</f>
        <v>0</v>
      </c>
      <c r="AZ45" s="326">
        <f t="shared" si="1"/>
        <v>0</v>
      </c>
      <c r="BA45" s="95">
        <f>VLOOKUP(AU45,CENY!$B$11:$M$2025,12,FALSE)</f>
        <v>39.622210000000003</v>
      </c>
      <c r="BB45" s="95">
        <f t="shared" si="0"/>
        <v>0</v>
      </c>
      <c r="BD45" s="319">
        <f>OBJ!B75</f>
        <v>9347506</v>
      </c>
      <c r="BE45" s="21" t="str">
        <f>VLOOKUP(BD45,CENY!$B$11:$G$1054,2,FALSE)</f>
        <v>AvanY-design ALprofil Hybrid na bok 450/ strieb.</v>
      </c>
      <c r="BF45" s="22">
        <f>VLOOKUP(BD45,CENY!$B$11:$G$1054,3,FALSE)</f>
        <v>200</v>
      </c>
      <c r="BG45" s="22"/>
      <c r="BH45" s="23">
        <f>2*SUM(AY1:AY2)*(W20+W22+W28)</f>
        <v>0</v>
      </c>
      <c r="BI45" s="326">
        <f t="shared" si="2"/>
        <v>0</v>
      </c>
      <c r="BJ45" s="95">
        <f>VLOOKUP(BD45,CENY!$B$11:$M$2025,12,FALSE)</f>
        <v>1.01556</v>
      </c>
      <c r="BK45" s="95">
        <f t="shared" si="3"/>
        <v>0</v>
      </c>
    </row>
    <row r="46" spans="47:63" ht="14.45" customHeight="1">
      <c r="AU46" s="319">
        <f>OBJ!B270</f>
        <v>9318217</v>
      </c>
      <c r="AV46" s="21" t="str">
        <f>VLOOKUP(AU46,CENY!$B$11:$G$1054,2,FALSE)</f>
        <v>Actro You(XL) 550/SiSy 70kg; EB21</v>
      </c>
      <c r="AW46" s="22">
        <f>VLOOKUP(AU46,CENY!$B$11:$G$1054,3,FALSE)</f>
        <v>1</v>
      </c>
      <c r="AX46" s="362">
        <v>10</v>
      </c>
      <c r="AY46" s="23">
        <f>IF((AY2+AY4)&lt;2,SUM(AY1:AY4)*AA22,1*(AA28+AA20)+SUM(AY1:AY4)*AA22)</f>
        <v>0</v>
      </c>
      <c r="AZ46" s="326">
        <f t="shared" si="1"/>
        <v>0</v>
      </c>
      <c r="BA46" s="95">
        <f>VLOOKUP(AU46,CENY!$B$11:$M$2025,12,FALSE)</f>
        <v>41.504899999999999</v>
      </c>
      <c r="BB46" s="95">
        <f t="shared" si="0"/>
        <v>0</v>
      </c>
      <c r="BD46" s="319">
        <f>OBJ!B76</f>
        <v>9347507</v>
      </c>
      <c r="BE46" s="21" t="str">
        <f>VLOOKUP(BD46,CENY!$B$11:$G$1054,2,FALSE)</f>
        <v>AvanY-design ALprofil Hybrid na bok 500/ strieb.</v>
      </c>
      <c r="BF46" s="22">
        <f>VLOOKUP(BD46,CENY!$B$11:$G$1054,3,FALSE)</f>
        <v>200</v>
      </c>
      <c r="BG46" s="22"/>
      <c r="BH46" s="23">
        <f>2*SUM(AY1:AY2)*(Y20+Y22+Y28)</f>
        <v>0</v>
      </c>
      <c r="BI46" s="326">
        <f t="shared" si="2"/>
        <v>0</v>
      </c>
      <c r="BJ46" s="95">
        <f>VLOOKUP(BD46,CENY!$B$11:$M$2025,12,FALSE)</f>
        <v>1.0332399999999999</v>
      </c>
      <c r="BK46" s="95">
        <f t="shared" si="3"/>
        <v>0</v>
      </c>
    </row>
    <row r="47" spans="47:63" ht="14.45" customHeight="1">
      <c r="AU47" s="319">
        <f>OBJ!B271</f>
        <v>9318218</v>
      </c>
      <c r="AV47" s="21" t="str">
        <f>VLOOKUP(AU47,CENY!$B$11:$G$1054,2,FALSE)</f>
        <v>Actro You(XL) 600/SiSy 70kg; EB21</v>
      </c>
      <c r="AW47" s="22">
        <f>VLOOKUP(AU47,CENY!$B$11:$G$1054,3,FALSE)</f>
        <v>1</v>
      </c>
      <c r="AX47" s="362">
        <v>10</v>
      </c>
      <c r="AY47" s="23">
        <f>IF((AY2+AY4)&lt;2,SUM(AY1:AY4)*AC22,1*(AC28+AC20)+SUM(AY1:AY4)*AC22)</f>
        <v>0</v>
      </c>
      <c r="AZ47" s="326">
        <f t="shared" si="1"/>
        <v>0</v>
      </c>
      <c r="BA47" s="95">
        <f>VLOOKUP(AU47,CENY!$B$11:$M$2025,12,FALSE)</f>
        <v>45.308109999999999</v>
      </c>
      <c r="BB47" s="95">
        <f t="shared" si="0"/>
        <v>0</v>
      </c>
      <c r="BD47" s="319">
        <f>OBJ!B77</f>
        <v>9347508</v>
      </c>
      <c r="BE47" s="21" t="str">
        <f>VLOOKUP(BD47,CENY!$B$11:$G$1054,2,FALSE)</f>
        <v>AvanY-design ALprofil Hybrid na bok 550/ strieb.</v>
      </c>
      <c r="BF47" s="22">
        <f>VLOOKUP(BD47,CENY!$B$11:$G$1054,3,FALSE)</f>
        <v>200</v>
      </c>
      <c r="BG47" s="22"/>
      <c r="BH47" s="23">
        <f>2*SUM(AY1:AY2)*(AA20+AA22+AA28)</f>
        <v>0</v>
      </c>
      <c r="BI47" s="326">
        <f t="shared" si="2"/>
        <v>0</v>
      </c>
      <c r="BJ47" s="95">
        <f>VLOOKUP(BD47,CENY!$B$11:$M$2025,12,FALSE)</f>
        <v>1.0508599999999999</v>
      </c>
      <c r="BK47" s="95">
        <f t="shared" si="3"/>
        <v>0</v>
      </c>
    </row>
    <row r="48" spans="47:63" ht="14.45" customHeight="1">
      <c r="AU48" s="319">
        <f>OBJ!B272</f>
        <v>9318219</v>
      </c>
      <c r="AV48" s="21" t="str">
        <f>VLOOKUP(AU48,CENY!$B$11:$G$1054,2,FALSE)</f>
        <v>Actro You(XL) 650/SiSy 70kg; EB21</v>
      </c>
      <c r="AW48" s="22">
        <f>VLOOKUP(AU48,CENY!$B$11:$G$1054,3,FALSE)</f>
        <v>1</v>
      </c>
      <c r="AX48" s="362">
        <v>10</v>
      </c>
      <c r="AY48" s="23">
        <f>SUM(AY1:AY4)*AE22</f>
        <v>0</v>
      </c>
      <c r="AZ48" s="326">
        <f t="shared" si="1"/>
        <v>0</v>
      </c>
      <c r="BA48" s="95">
        <f>VLOOKUP(AU48,CENY!$B$11:$M$2025,12,FALSE)</f>
        <v>47.02431</v>
      </c>
      <c r="BB48" s="95">
        <f t="shared" si="0"/>
        <v>0</v>
      </c>
      <c r="BD48" s="319">
        <f>OBJ!B78</f>
        <v>9347509</v>
      </c>
      <c r="BE48" s="21" t="str">
        <f>VLOOKUP(BD48,CENY!$B$11:$G$1054,2,FALSE)</f>
        <v>AvanY-design ALprofil Hybrid na bok 600/ strieb.</v>
      </c>
      <c r="BF48" s="22">
        <f>VLOOKUP(BD48,CENY!$B$11:$G$1054,3,FALSE)</f>
        <v>200</v>
      </c>
      <c r="BG48" s="22"/>
      <c r="BH48" s="23">
        <f>2*SUM(AY1:AY2)*(AC20+AC22+AC28)</f>
        <v>0</v>
      </c>
      <c r="BI48" s="326">
        <f t="shared" si="2"/>
        <v>0</v>
      </c>
      <c r="BJ48" s="95">
        <f>VLOOKUP(BD48,CENY!$B$11:$M$2025,12,FALSE)</f>
        <v>1.09639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OBJ!B79</f>
        <v>9347510</v>
      </c>
      <c r="BE49" s="21" t="str">
        <f>VLOOKUP(BD49,CENY!$B$11:$G$1054,2,FALSE)</f>
        <v>AvanY-design ALprofil Hybrid na bok 650/ strieb.</v>
      </c>
      <c r="BF49" s="22">
        <f>VLOOKUP(BD49,CENY!$B$11:$G$1054,3,FALSE)</f>
        <v>200</v>
      </c>
      <c r="BG49" s="22"/>
      <c r="BH49" s="23">
        <f>2*SUM(AY1:AY2)*AE22</f>
        <v>0</v>
      </c>
      <c r="BI49" s="326">
        <f t="shared" si="2"/>
        <v>0</v>
      </c>
      <c r="BJ49" s="95">
        <f>VLOOKUP(BD49,CENY!$B$11:$M$2025,12,FALSE)</f>
        <v>1.1824300000000001</v>
      </c>
      <c r="BK49" s="95">
        <f t="shared" si="3"/>
        <v>0</v>
      </c>
    </row>
    <row r="50" spans="47:63" ht="14.45" customHeight="1">
      <c r="AU50" s="319">
        <f>OBJ!B284</f>
        <v>9257890</v>
      </c>
      <c r="AV50" s="21" t="str">
        <f>VLOOKUP(AU50,CENY!$B$11:$G$1054,2,FALSE)</f>
        <v>Actro You - Push to open Silent; &lt;10kg</v>
      </c>
      <c r="AW50" s="22">
        <f>VLOOKUP(AU50,CENY!$B$11:$G$1054,3,FALSE)</f>
        <v>1</v>
      </c>
      <c r="AX50" s="22"/>
      <c r="AY50" s="68"/>
      <c r="AZ50" s="326" t="str">
        <f t="shared" si="1"/>
        <v/>
      </c>
      <c r="BA50" s="95">
        <f>VLOOKUP(AU50,CENY!$B$11:$M$2025,12,FALSE)</f>
        <v>23.177009999999999</v>
      </c>
      <c r="BB50" s="95">
        <f t="shared" si="0"/>
        <v>0</v>
      </c>
      <c r="BD50" s="319"/>
      <c r="BE50" s="21"/>
      <c r="BF50" s="22"/>
      <c r="BG50" s="22"/>
      <c r="BH50" s="23"/>
      <c r="BI50" s="326" t="str">
        <f t="shared" si="2"/>
        <v/>
      </c>
      <c r="BJ50" s="95"/>
      <c r="BK50" s="95" t="str">
        <f t="shared" si="3"/>
        <v/>
      </c>
    </row>
    <row r="51" spans="47:63" ht="14.45" customHeight="1">
      <c r="AU51" s="319">
        <f>OBJ!B285</f>
        <v>9257891</v>
      </c>
      <c r="AV51" s="21" t="str">
        <f>VLOOKUP(AU51,CENY!$B$11:$G$1054,2,FALSE)</f>
        <v>Actro You - Push to open Silent; 8-20kg</v>
      </c>
      <c r="AW51" s="22">
        <f>VLOOKUP(AU51,CENY!$B$11:$G$1054,3,FALSE)</f>
        <v>1</v>
      </c>
      <c r="AX51" s="22"/>
      <c r="AY51" s="68"/>
      <c r="AZ51" s="326" t="str">
        <f t="shared" si="1"/>
        <v/>
      </c>
      <c r="BA51" s="95">
        <f>VLOOKUP(AU51,CENY!$B$11:$M$2025,12,FALSE)</f>
        <v>23.177009999999999</v>
      </c>
      <c r="BB51" s="95">
        <f t="shared" si="0"/>
        <v>0</v>
      </c>
      <c r="BD51" s="319">
        <f>OBJ!B236</f>
        <v>9318145</v>
      </c>
      <c r="BE51" s="21" t="str">
        <f>VLOOKUP(BD51,CENY!$B$11:$G$1054,2,FALSE)</f>
        <v>Actro You(S) 270/SiSy 10kg; EB21; ľavý</v>
      </c>
      <c r="BF51" s="22">
        <f>VLOOKUP(BD51,CENY!$B$11:$G$1054,3,FALSE)</f>
        <v>10</v>
      </c>
      <c r="BG51" s="22"/>
      <c r="BH51" s="68"/>
      <c r="BI51" s="326" t="str">
        <f t="shared" si="2"/>
        <v/>
      </c>
      <c r="BJ51" s="95" t="e">
        <f>VLOOKUP(BD51,CENY!$B$11:$M$2025,12,FALSE)</f>
        <v>#N/A</v>
      </c>
      <c r="BK51" s="95" t="e">
        <f t="shared" si="3"/>
        <v>#N/A</v>
      </c>
    </row>
    <row r="52" spans="47:63" ht="14.45" customHeight="1">
      <c r="AU52" s="319">
        <f>OBJ!B286</f>
        <v>9257892</v>
      </c>
      <c r="AV52" s="21" t="str">
        <f>VLOOKUP(AU52,CENY!$B$11:$G$1054,2,FALSE)</f>
        <v>Actro You - Push to open Silent; 10-40kg</v>
      </c>
      <c r="AW52" s="22">
        <f>VLOOKUP(AU52,CENY!$B$11:$G$1054,3,FALSE)</f>
        <v>1</v>
      </c>
      <c r="AX52" s="22"/>
      <c r="AY52" s="68"/>
      <c r="AZ52" s="326" t="str">
        <f t="shared" si="1"/>
        <v/>
      </c>
      <c r="BA52" s="95">
        <f>VLOOKUP(AU52,CENY!$B$11:$M$2025,12,FALSE)</f>
        <v>23.177009999999999</v>
      </c>
      <c r="BB52" s="95">
        <f t="shared" si="0"/>
        <v>0</v>
      </c>
      <c r="BD52" s="319">
        <f>OBJ!B237</f>
        <v>9318146</v>
      </c>
      <c r="BE52" s="21" t="str">
        <f>VLOOKUP(BD52,CENY!$B$11:$G$1054,2,FALSE)</f>
        <v>Actro You(S) 270/SiSy 10kg; EB21; pravý</v>
      </c>
      <c r="BF52" s="22">
        <f>VLOOKUP(BD52,CENY!$B$11:$G$1054,3,FALSE)</f>
        <v>10</v>
      </c>
      <c r="BG52" s="22"/>
      <c r="BH52" s="68"/>
      <c r="BI52" s="326" t="str">
        <f t="shared" si="2"/>
        <v/>
      </c>
      <c r="BJ52" s="95" t="e">
        <f>VLOOKUP(BD52,CENY!$B$11:$M$2025,12,FALSE)</f>
        <v>#N/A</v>
      </c>
      <c r="BK52" s="95" t="e">
        <f t="shared" si="3"/>
        <v>#N/A</v>
      </c>
    </row>
    <row r="53" spans="47:63" ht="14.45" customHeight="1">
      <c r="AU53" s="319">
        <f>OBJ!B287</f>
        <v>9257893</v>
      </c>
      <c r="AV53" s="21" t="str">
        <f>VLOOKUP(AU53,CENY!$B$11:$G$1054,2,FALSE)</f>
        <v>Actro You - Push to open Silent; 20-70kg</v>
      </c>
      <c r="AW53" s="22">
        <f>VLOOKUP(AU53,CENY!$B$11:$G$1054,3,FALSE)</f>
        <v>1</v>
      </c>
      <c r="AX53" s="22"/>
      <c r="AY53" s="68"/>
      <c r="AZ53" s="326" t="str">
        <f t="shared" si="1"/>
        <v/>
      </c>
      <c r="BA53" s="95">
        <f>VLOOKUP(AU53,CENY!$B$11:$M$2025,12,FALSE)</f>
        <v>23.177009999999999</v>
      </c>
      <c r="BB53" s="95">
        <f t="shared" si="0"/>
        <v>0</v>
      </c>
      <c r="BD53" s="319">
        <f>OBJ!B238</f>
        <v>9318147</v>
      </c>
      <c r="BE53" s="21" t="str">
        <f>VLOOKUP(BD53,CENY!$B$11:$G$1054,2,FALSE)</f>
        <v>Actro You(S) 300/SiSy 10kg; EB21; ľavý</v>
      </c>
      <c r="BF53" s="22">
        <f>VLOOKUP(BD53,CENY!$B$11:$G$1054,3,FALSE)</f>
        <v>10</v>
      </c>
      <c r="BG53" s="22"/>
      <c r="BH53" s="68"/>
      <c r="BI53" s="326" t="str">
        <f t="shared" si="2"/>
        <v/>
      </c>
      <c r="BJ53" s="95" t="e">
        <f>VLOOKUP(BD53,CENY!$B$11:$M$2025,12,FALSE)</f>
        <v>#N/A</v>
      </c>
      <c r="BK53" s="95" t="e">
        <f t="shared" si="3"/>
        <v>#N/A</v>
      </c>
    </row>
    <row r="54" spans="47:63" ht="14.45" customHeight="1">
      <c r="AU54" s="319">
        <f>OBJ!B288</f>
        <v>9236718</v>
      </c>
      <c r="AV54" s="21" t="str">
        <f>VLOOKUP(AU54,CENY!$B$11:$G$1054,2,FALSE)</f>
        <v>Push to open Synchro / tyč 2.000 mm</v>
      </c>
      <c r="AW54" s="22">
        <f>VLOOKUP(AU54,CENY!$B$11:$G$1054,3,FALSE)</f>
        <v>100</v>
      </c>
      <c r="AX54" s="22"/>
      <c r="AY54" s="68"/>
      <c r="AZ54" s="326" t="str">
        <f t="shared" si="1"/>
        <v/>
      </c>
      <c r="BA54" s="95">
        <f>VLOOKUP(AU54,CENY!$B$11:$M$2025,12,FALSE)</f>
        <v>8.7567500000000003</v>
      </c>
      <c r="BB54" s="95">
        <f t="shared" si="0"/>
        <v>0</v>
      </c>
      <c r="BD54" s="319">
        <f>OBJ!B239</f>
        <v>9318148</v>
      </c>
      <c r="BE54" s="21" t="str">
        <f>VLOOKUP(BD54,CENY!$B$11:$G$1054,2,FALSE)</f>
        <v>Actro You(S) 300/SiSy 10kg; EB21; pravý</v>
      </c>
      <c r="BF54" s="22">
        <f>VLOOKUP(BD54,CENY!$B$11:$G$1054,3,FALSE)</f>
        <v>10</v>
      </c>
      <c r="BG54" s="22"/>
      <c r="BH54" s="68"/>
      <c r="BI54" s="326" t="str">
        <f t="shared" si="2"/>
        <v/>
      </c>
      <c r="BJ54" s="95" t="e">
        <f>VLOOKUP(BD54,CENY!$B$11:$M$2025,12,FALSE)</f>
        <v>#N/A</v>
      </c>
      <c r="BK54" s="95" t="e">
        <f t="shared" si="3"/>
        <v>#N/A</v>
      </c>
    </row>
    <row r="55" spans="47:63" ht="14.45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0"/>
        <v/>
      </c>
      <c r="BD55" s="319">
        <f>OBJ!B240</f>
        <v>9318149</v>
      </c>
      <c r="BE55" s="21" t="str">
        <f>VLOOKUP(BD55,CENY!$B$11:$G$1054,2,FALSE)</f>
        <v>Actro You(S) 350/SiSy 10kg; EB21; ľavý</v>
      </c>
      <c r="BF55" s="22">
        <f>VLOOKUP(BD55,CENY!$B$11:$G$1054,3,FALSE)</f>
        <v>10</v>
      </c>
      <c r="BG55" s="22"/>
      <c r="BH55" s="68"/>
      <c r="BI55" s="326" t="str">
        <f t="shared" si="2"/>
        <v/>
      </c>
      <c r="BJ55" s="95">
        <f>VLOOKUP(BD55,CENY!$B$11:$M$2025,12,FALSE)</f>
        <v>14.37729</v>
      </c>
      <c r="BK55" s="95">
        <f t="shared" si="3"/>
        <v>0</v>
      </c>
    </row>
    <row r="56" spans="47:63" ht="14.45" customHeight="1">
      <c r="AU56" s="319">
        <f>OBJ!B294</f>
        <v>9256953</v>
      </c>
      <c r="AV56" s="21" t="str">
        <f>VLOOKUP(AU56,CENY!$B$11:$G$1054,2,FALSE)</f>
        <v>Quadro You(S) 270/SiSy 10kg; EB21</v>
      </c>
      <c r="AW56" s="22">
        <f>VLOOKUP(AU56,CENY!$B$11:$G$1054,3,FALSE)</f>
        <v>1</v>
      </c>
      <c r="AX56" s="362">
        <v>4</v>
      </c>
      <c r="AY56" s="68"/>
      <c r="AZ56" s="326" t="str">
        <f t="shared" si="1"/>
        <v/>
      </c>
      <c r="BA56" s="95">
        <f>VLOOKUP(AU56,CENY!$B$11:$M$2025,12,FALSE)</f>
        <v>23.022449999999999</v>
      </c>
      <c r="BB56" s="95">
        <f t="shared" si="0"/>
        <v>0</v>
      </c>
      <c r="BD56" s="319">
        <f>OBJ!B241</f>
        <v>9318150</v>
      </c>
      <c r="BE56" s="21" t="str">
        <f>VLOOKUP(BD56,CENY!$B$11:$G$1054,2,FALSE)</f>
        <v>Actro You(S) 350/SiSy 10kg; EB21; pravý</v>
      </c>
      <c r="BF56" s="22">
        <f>VLOOKUP(BD56,CENY!$B$11:$G$1054,3,FALSE)</f>
        <v>10</v>
      </c>
      <c r="BG56" s="22"/>
      <c r="BH56" s="68"/>
      <c r="BI56" s="326" t="str">
        <f t="shared" si="2"/>
        <v/>
      </c>
      <c r="BJ56" s="95">
        <f>VLOOKUP(BD56,CENY!$B$11:$M$2025,12,FALSE)</f>
        <v>14.37729</v>
      </c>
      <c r="BK56" s="95">
        <f t="shared" si="3"/>
        <v>0</v>
      </c>
    </row>
    <row r="57" spans="47:63" ht="14.45" customHeight="1">
      <c r="AU57" s="319">
        <f>OBJ!B295</f>
        <v>9256954</v>
      </c>
      <c r="AV57" s="21" t="str">
        <f>VLOOKUP(AU57,CENY!$B$11:$G$1054,2,FALSE)</f>
        <v>Quadro You(S) 300/SiSy 10kg; EB21</v>
      </c>
      <c r="AW57" s="22">
        <f>VLOOKUP(AU57,CENY!$B$11:$G$1054,3,FALSE)</f>
        <v>1</v>
      </c>
      <c r="AX57" s="362">
        <v>4</v>
      </c>
      <c r="AY57" s="68"/>
      <c r="AZ57" s="326" t="str">
        <f t="shared" si="1"/>
        <v/>
      </c>
      <c r="BA57" s="95">
        <f>VLOOKUP(AU57,CENY!$B$11:$M$2025,12,FALSE)</f>
        <v>23.069210000000002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5" customHeight="1">
      <c r="AU58" s="319">
        <f>OBJ!B296</f>
        <v>9256956</v>
      </c>
      <c r="AV58" s="21" t="str">
        <f>VLOOKUP(AU58,CENY!$B$11:$G$1054,2,FALSE)</f>
        <v>Quadro You(S) 350/SiSy 10kg; EB21</v>
      </c>
      <c r="AW58" s="22">
        <f>VLOOKUP(AU58,CENY!$B$11:$G$1054,3,FALSE)</f>
        <v>1</v>
      </c>
      <c r="AX58" s="362">
        <v>4</v>
      </c>
      <c r="AY58" s="68"/>
      <c r="AZ58" s="326" t="str">
        <f t="shared" si="1"/>
        <v/>
      </c>
      <c r="BA58" s="95">
        <f>VLOOKUP(AU58,CENY!$B$11:$M$2025,12,FALSE)</f>
        <v>23.536069999999999</v>
      </c>
      <c r="BB58" s="95">
        <f t="shared" si="0"/>
        <v>0</v>
      </c>
      <c r="BD58" s="319">
        <f>OBJ!B251</f>
        <v>9318167</v>
      </c>
      <c r="BE58" s="21" t="str">
        <f>VLOOKUP(BD58,CENY!$B$11:$G$1054,2,FALSE)</f>
        <v>Actro You(L) 270/SiSy 40kg; EB21; ľavý</v>
      </c>
      <c r="BF58" s="22">
        <f>VLOOKUP(BD58,CENY!$B$11:$G$1054,3,FALSE)</f>
        <v>10</v>
      </c>
      <c r="BG58" s="22"/>
      <c r="BH58" s="68"/>
      <c r="BI58" s="326" t="str">
        <f t="shared" si="2"/>
        <v/>
      </c>
      <c r="BJ58" s="95" t="e">
        <f>VLOOKUP(BD58,CENY!$B$11:$M$2025,12,FALSE)</f>
        <v>#N/A</v>
      </c>
      <c r="BK58" s="95" t="e">
        <f t="shared" si="3"/>
        <v>#N/A</v>
      </c>
    </row>
    <row r="59" spans="47:63" ht="14.45" customHeight="1">
      <c r="AU59" s="319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si="0"/>
        <v/>
      </c>
      <c r="BD59" s="319">
        <f>OBJ!B252</f>
        <v>9318170</v>
      </c>
      <c r="BE59" s="21" t="str">
        <f>VLOOKUP(BD59,CENY!$B$11:$G$1054,2,FALSE)</f>
        <v>Actro You(L) 270/SiSy 40kg; EB21; pravý</v>
      </c>
      <c r="BF59" s="22">
        <f>VLOOKUP(BD59,CENY!$B$11:$G$1054,3,FALSE)</f>
        <v>10</v>
      </c>
      <c r="BG59" s="22"/>
      <c r="BH59" s="68"/>
      <c r="BI59" s="326" t="str">
        <f t="shared" si="2"/>
        <v/>
      </c>
      <c r="BJ59" s="95" t="e">
        <f>VLOOKUP(BD59,CENY!$B$11:$M$2025,12,FALSE)</f>
        <v>#N/A</v>
      </c>
      <c r="BK59" s="95" t="e">
        <f t="shared" si="3"/>
        <v>#N/A</v>
      </c>
    </row>
    <row r="60" spans="47:63" ht="14.45" customHeight="1">
      <c r="AU60" s="319">
        <f>OBJ!B304</f>
        <v>9256883</v>
      </c>
      <c r="AV60" s="21" t="str">
        <f>VLOOKUP(AU60,CENY!$B$11:$G$1054,2,FALSE)</f>
        <v>Quadro You(M) 270/SiSy 20kg; EB21</v>
      </c>
      <c r="AW60" s="22">
        <f>VLOOKUP(AU60,CENY!$B$11:$G$1054,3,FALSE)</f>
        <v>1</v>
      </c>
      <c r="AX60" s="362">
        <v>8</v>
      </c>
      <c r="AY60" s="68"/>
      <c r="AZ60" s="326" t="str">
        <f t="shared" si="1"/>
        <v/>
      </c>
      <c r="BA60" s="95">
        <f>VLOOKUP(AU60,CENY!$B$11:$M$2025,12,FALSE)</f>
        <v>23.022449999999999</v>
      </c>
      <c r="BB60" s="95">
        <f t="shared" si="0"/>
        <v>0</v>
      </c>
      <c r="BD60" s="319">
        <f>OBJ!B253</f>
        <v>9318171</v>
      </c>
      <c r="BE60" s="21" t="str">
        <f>VLOOKUP(BD60,CENY!$B$11:$G$1054,2,FALSE)</f>
        <v>Actro You(L) 300/SiSy 40kg; EB21; ľavý</v>
      </c>
      <c r="BF60" s="22">
        <f>VLOOKUP(BD60,CENY!$B$11:$G$1054,3,FALSE)</f>
        <v>10</v>
      </c>
      <c r="BG60" s="22"/>
      <c r="BH60" s="68"/>
      <c r="BI60" s="326" t="str">
        <f t="shared" si="2"/>
        <v/>
      </c>
      <c r="BJ60" s="95">
        <f>VLOOKUP(BD60,CENY!$B$11:$M$2025,12,FALSE)</f>
        <v>14.37729</v>
      </c>
      <c r="BK60" s="95">
        <f t="shared" si="3"/>
        <v>0</v>
      </c>
    </row>
    <row r="61" spans="47:63" ht="14.45" customHeight="1">
      <c r="AU61" s="319">
        <f>OBJ!B305</f>
        <v>9256884</v>
      </c>
      <c r="AV61" s="21" t="str">
        <f>VLOOKUP(AU61,CENY!$B$11:$G$1054,2,FALSE)</f>
        <v>Quadro You(M) 300/SiSy 20kg; EB21</v>
      </c>
      <c r="AW61" s="22">
        <f>VLOOKUP(AU61,CENY!$B$11:$G$1054,3,FALSE)</f>
        <v>1</v>
      </c>
      <c r="AX61" s="362">
        <v>8</v>
      </c>
      <c r="AY61" s="68"/>
      <c r="AZ61" s="326" t="str">
        <f t="shared" si="1"/>
        <v/>
      </c>
      <c r="BA61" s="95">
        <f>VLOOKUP(AU61,CENY!$B$11:$M$2025,12,FALSE)</f>
        <v>23.069210000000002</v>
      </c>
      <c r="BB61" s="95">
        <f t="shared" si="0"/>
        <v>0</v>
      </c>
      <c r="BD61" s="319">
        <f>OBJ!B254</f>
        <v>9318172</v>
      </c>
      <c r="BE61" s="21" t="str">
        <f>VLOOKUP(BD61,CENY!$B$11:$G$1054,2,FALSE)</f>
        <v>Actro You(L) 300/SiSy 40kg; EB21; pravý</v>
      </c>
      <c r="BF61" s="22">
        <f>VLOOKUP(BD61,CENY!$B$11:$G$1054,3,FALSE)</f>
        <v>10</v>
      </c>
      <c r="BG61" s="22"/>
      <c r="BH61" s="68"/>
      <c r="BI61" s="326" t="str">
        <f t="shared" si="2"/>
        <v/>
      </c>
      <c r="BJ61" s="95">
        <f>VLOOKUP(BD61,CENY!$B$11:$M$2025,12,FALSE)</f>
        <v>14.37729</v>
      </c>
      <c r="BK61" s="95">
        <f t="shared" si="3"/>
        <v>0</v>
      </c>
    </row>
    <row r="62" spans="47:63" ht="14.45" customHeight="1">
      <c r="AU62" s="319">
        <f>OBJ!B306</f>
        <v>9256886</v>
      </c>
      <c r="AV62" s="21" t="str">
        <f>VLOOKUP(AU62,CENY!$B$11:$G$1054,2,FALSE)</f>
        <v>Quadro You(M) 350/SiSy 25kg; EB21</v>
      </c>
      <c r="AW62" s="22">
        <f>VLOOKUP(AU62,CENY!$B$11:$G$1054,3,FALSE)</f>
        <v>1</v>
      </c>
      <c r="AX62" s="362">
        <v>8</v>
      </c>
      <c r="AY62" s="68"/>
      <c r="AZ62" s="326" t="str">
        <f t="shared" si="1"/>
        <v/>
      </c>
      <c r="BA62" s="95" t="e">
        <f>VLOOKUP(AU62,CENY!$B$11:$M$2025,12,FALSE)</f>
        <v>#N/A</v>
      </c>
      <c r="BB62" s="95" t="e">
        <f t="shared" si="0"/>
        <v>#N/A</v>
      </c>
      <c r="BD62" s="319">
        <f>OBJ!B255</f>
        <v>9318173</v>
      </c>
      <c r="BE62" s="21" t="str">
        <f>VLOOKUP(BD62,CENY!$B$11:$G$1054,2,FALSE)</f>
        <v>Actro You(L) 350/SiSy 40kg; EB21; ľavý</v>
      </c>
      <c r="BF62" s="22">
        <f>VLOOKUP(BD62,CENY!$B$11:$G$1054,3,FALSE)</f>
        <v>10</v>
      </c>
      <c r="BG62" s="22"/>
      <c r="BH62" s="68"/>
      <c r="BI62" s="326" t="str">
        <f t="shared" si="2"/>
        <v/>
      </c>
      <c r="BJ62" s="95">
        <f>VLOOKUP(BD62,CENY!$B$11:$M$2025,12,FALSE)</f>
        <v>14.37729</v>
      </c>
      <c r="BK62" s="95">
        <f t="shared" si="3"/>
        <v>0</v>
      </c>
    </row>
    <row r="63" spans="47:63" ht="14.45" customHeight="1">
      <c r="AU63" s="319">
        <f>OBJ!B307</f>
        <v>9256888</v>
      </c>
      <c r="AV63" s="21" t="str">
        <f>VLOOKUP(AU63,CENY!$B$11:$G$1054,2,FALSE)</f>
        <v>Quadro You(M) 400/SiSy 30kg; EB21</v>
      </c>
      <c r="AW63" s="22">
        <f>VLOOKUP(AU63,CENY!$B$11:$G$1054,3,FALSE)</f>
        <v>1</v>
      </c>
      <c r="AX63" s="362">
        <v>8</v>
      </c>
      <c r="AY63" s="68"/>
      <c r="AZ63" s="326" t="str">
        <f t="shared" si="1"/>
        <v/>
      </c>
      <c r="BA63" s="95">
        <f>VLOOKUP(AU63,CENY!$B$11:$M$2025,12,FALSE)</f>
        <v>24.002659999999999</v>
      </c>
      <c r="BB63" s="95">
        <f t="shared" si="0"/>
        <v>0</v>
      </c>
      <c r="BD63" s="319">
        <f>OBJ!B256</f>
        <v>9318174</v>
      </c>
      <c r="BE63" s="21" t="str">
        <f>VLOOKUP(BD63,CENY!$B$11:$G$1054,2,FALSE)</f>
        <v>Actro You(L) 350/SiSy 40kg; EB21; pravý</v>
      </c>
      <c r="BF63" s="22">
        <f>VLOOKUP(BD63,CENY!$B$11:$G$1054,3,FALSE)</f>
        <v>10</v>
      </c>
      <c r="BG63" s="22"/>
      <c r="BH63" s="68"/>
      <c r="BI63" s="326" t="str">
        <f t="shared" si="2"/>
        <v/>
      </c>
      <c r="BJ63" s="95" t="e">
        <f>VLOOKUP(BD63,CENY!$B$11:$M$2025,12,FALSE)</f>
        <v>#N/A</v>
      </c>
      <c r="BK63" s="95" t="e">
        <f t="shared" si="3"/>
        <v>#N/A</v>
      </c>
    </row>
    <row r="64" spans="47:63" ht="14.45" customHeight="1">
      <c r="AU64" s="319">
        <f>OBJ!B308</f>
        <v>9256890</v>
      </c>
      <c r="AV64" s="21" t="str">
        <f>VLOOKUP(AU64,CENY!$B$11:$G$1054,2,FALSE)</f>
        <v>Quadro You(M) 450/SiSy 30kg; EB21</v>
      </c>
      <c r="AW64" s="22">
        <f>VLOOKUP(AU64,CENY!$B$11:$G$1054,3,FALSE)</f>
        <v>1</v>
      </c>
      <c r="AX64" s="362">
        <v>8</v>
      </c>
      <c r="AY64" s="23">
        <f>IF((AY2+AY4)&gt;1,SUM(AY1:AY4)*W28-1*W28,SUM(AY1:AY4)*W28)</f>
        <v>0</v>
      </c>
      <c r="AZ64" s="326">
        <f t="shared" si="1"/>
        <v>0</v>
      </c>
      <c r="BA64" s="95">
        <f>VLOOKUP(AU64,CENY!$B$11:$M$2025,12,FALSE)</f>
        <v>4.9393000000000002</v>
      </c>
      <c r="BB64" s="95">
        <f t="shared" si="0"/>
        <v>0</v>
      </c>
      <c r="BD64" s="319">
        <f>OBJ!B257</f>
        <v>9318175</v>
      </c>
      <c r="BE64" s="21" t="str">
        <f>VLOOKUP(BD64,CENY!$B$11:$G$1054,2,FALSE)</f>
        <v>Actro You(L) 400/SiSy 40kg; EB21; ľavý</v>
      </c>
      <c r="BF64" s="22">
        <f>VLOOKUP(BD64,CENY!$B$11:$G$1054,3,FALSE)</f>
        <v>10</v>
      </c>
      <c r="BG64" s="22"/>
      <c r="BH64" s="68"/>
      <c r="BI64" s="326" t="str">
        <f t="shared" si="2"/>
        <v/>
      </c>
      <c r="BJ64" s="95">
        <f>VLOOKUP(BD64,CENY!$B$11:$M$2025,12,FALSE)</f>
        <v>14.56085</v>
      </c>
      <c r="BK64" s="95">
        <f t="shared" si="3"/>
        <v>0</v>
      </c>
    </row>
    <row r="65" spans="1:63" ht="14.45" customHeight="1">
      <c r="AU65" s="319">
        <f>OBJ!B309</f>
        <v>9256892</v>
      </c>
      <c r="AV65" s="21" t="str">
        <f>VLOOKUP(AU65,CENY!$B$11:$G$1054,2,FALSE)</f>
        <v>Quadro You(M) 500/SiSy 30kg; EB21</v>
      </c>
      <c r="AW65" s="22">
        <f>VLOOKUP(AU65,CENY!$B$11:$G$1054,3,FALSE)</f>
        <v>1</v>
      </c>
      <c r="AX65" s="362">
        <v>8</v>
      </c>
      <c r="AY65" s="23">
        <f>IF((AY2+AY4)&gt;1,SUM(AY1:AY4)*Y28-1*Y28,SUM(AY1:AY4)*Y28)</f>
        <v>0</v>
      </c>
      <c r="AZ65" s="326">
        <f t="shared" si="1"/>
        <v>0</v>
      </c>
      <c r="BA65" s="95">
        <f>VLOOKUP(AU65,CENY!$B$11:$M$2025,12,FALSE)</f>
        <v>23.748699999999999</v>
      </c>
      <c r="BB65" s="95">
        <f t="shared" si="0"/>
        <v>0</v>
      </c>
      <c r="BD65" s="319">
        <f>OBJ!B258</f>
        <v>9318176</v>
      </c>
      <c r="BE65" s="21" t="str">
        <f>VLOOKUP(BD65,CENY!$B$11:$G$1054,2,FALSE)</f>
        <v>Actro You(L) 400/SiSy 40kg; EB21; pravý</v>
      </c>
      <c r="BF65" s="22">
        <f>VLOOKUP(BD65,CENY!$B$11:$G$1054,3,FALSE)</f>
        <v>10</v>
      </c>
      <c r="BG65" s="22"/>
      <c r="BH65" s="68"/>
      <c r="BI65" s="326" t="str">
        <f t="shared" si="2"/>
        <v/>
      </c>
      <c r="BJ65" s="95">
        <f>VLOOKUP(BD65,CENY!$B$11:$M$2025,12,FALSE)</f>
        <v>14.56085</v>
      </c>
      <c r="BK65" s="95">
        <f t="shared" si="3"/>
        <v>0</v>
      </c>
    </row>
    <row r="66" spans="1:63" ht="12.95" customHeight="1" thickBot="1">
      <c r="A66" s="579"/>
      <c r="AU66" s="319">
        <f>OBJ!B310</f>
        <v>9256894</v>
      </c>
      <c r="AV66" s="21" t="str">
        <f>VLOOKUP(AU66,CENY!$B$11:$G$1054,2,FALSE)</f>
        <v>Quadro You(M) 550/SiSy 30kg; EB21</v>
      </c>
      <c r="AW66" s="22">
        <f>VLOOKUP(AU66,CENY!$B$11:$G$1054,3,FALSE)</f>
        <v>1</v>
      </c>
      <c r="AX66" s="362">
        <v>8</v>
      </c>
      <c r="AY66" s="23">
        <f>IF((AY2+AY4)&gt;1,SUM(AY1:AY4)*AA28-1*AA28,SUM(AY1:AY4)*AA28)</f>
        <v>0</v>
      </c>
      <c r="AZ66" s="326">
        <f t="shared" si="1"/>
        <v>0</v>
      </c>
      <c r="BA66" s="95">
        <f>VLOOKUP(AU66,CENY!$B$11:$M$2025,12,FALSE)</f>
        <v>5.1277499999999998</v>
      </c>
      <c r="BB66" s="95">
        <f t="shared" si="0"/>
        <v>0</v>
      </c>
      <c r="BD66" s="319">
        <f>OBJ!B259</f>
        <v>9318177</v>
      </c>
      <c r="BE66" s="21" t="str">
        <f>VLOOKUP(BD66,CENY!$B$11:$G$1054,2,FALSE)</f>
        <v>Actro You(L) 450/SiSy 40kg; EB21; ľavý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 t="e">
        <f>VLOOKUP(BD66,CENY!$B$11:$M$2025,12,FALSE)</f>
        <v>#N/A</v>
      </c>
      <c r="BK66" s="95" t="e">
        <f t="shared" si="3"/>
        <v>#N/A</v>
      </c>
    </row>
    <row r="67" spans="1:63" ht="23.1" customHeight="1" thickBot="1">
      <c r="A67" s="579"/>
      <c r="B67" s="486" t="str">
        <f>verze!E13</f>
        <v>&lt;&lt;  späť</v>
      </c>
      <c r="C67" s="487"/>
      <c r="D67" s="487"/>
      <c r="E67" s="488"/>
      <c r="G67" s="515" t="str">
        <f>verze!E6</f>
        <v xml:space="preserve"> Úvod</v>
      </c>
      <c r="H67" s="516"/>
      <c r="I67" s="516"/>
      <c r="J67" s="516"/>
      <c r="K67" s="517"/>
      <c r="O67" s="515" t="str">
        <f>verze!E7</f>
        <v xml:space="preserve"> Výber zásuviek</v>
      </c>
      <c r="P67" s="516"/>
      <c r="Q67" s="516"/>
      <c r="R67" s="516"/>
      <c r="S67" s="517"/>
      <c r="U67" s="515" t="str">
        <f>verze!E8</f>
        <v xml:space="preserve"> </v>
      </c>
      <c r="V67" s="516"/>
      <c r="W67" s="516"/>
      <c r="X67" s="516"/>
      <c r="Y67" s="517"/>
      <c r="AA67" s="515" t="str">
        <f>verze!E9</f>
        <v xml:space="preserve"> </v>
      </c>
      <c r="AB67" s="516"/>
      <c r="AC67" s="516"/>
      <c r="AD67" s="516"/>
      <c r="AE67" s="517"/>
      <c r="AI67" s="515" t="str">
        <f>verze!E10</f>
        <v xml:space="preserve"> Objednávka</v>
      </c>
      <c r="AJ67" s="516"/>
      <c r="AK67" s="516"/>
      <c r="AL67" s="516"/>
      <c r="AM67" s="517"/>
      <c r="AO67" s="477" t="str">
        <f>verze!E14</f>
        <v>vpred  &gt;&gt;</v>
      </c>
      <c r="AP67" s="478"/>
      <c r="AQ67" s="478"/>
      <c r="AR67" s="479"/>
      <c r="AU67" s="319">
        <f>OBJ!B311</f>
        <v>9256896</v>
      </c>
      <c r="AV67" s="21" t="str">
        <f>VLOOKUP(AU67,CENY!$B$11:$G$1054,2,FALSE)</f>
        <v>Quadro You(M) 600/SiSy 25kg; EB21</v>
      </c>
      <c r="AW67" s="22">
        <f>VLOOKUP(AU67,CENY!$B$11:$G$1054,3,FALSE)</f>
        <v>1</v>
      </c>
      <c r="AX67" s="362">
        <v>8</v>
      </c>
      <c r="AY67" s="23">
        <f>IF((AY2+AY4)&gt;1,SUM(AY1:AY4)*AC28-1*AC28,SUM(AY1:AY4)*AC28)</f>
        <v>0</v>
      </c>
      <c r="AZ67" s="326">
        <f t="shared" si="1"/>
        <v>0</v>
      </c>
      <c r="BA67" s="95">
        <f>VLOOKUP(AU67,CENY!$B$11:$M$2025,12,FALSE)</f>
        <v>25.86984</v>
      </c>
      <c r="BB67" s="95">
        <f t="shared" si="0"/>
        <v>0</v>
      </c>
      <c r="BD67" s="319">
        <f>OBJ!B260</f>
        <v>9318178</v>
      </c>
      <c r="BE67" s="21" t="str">
        <f>VLOOKUP(BD67,CENY!$B$11:$G$1054,2,FALSE)</f>
        <v>Actro You(L) 450/SiSy 40kg; EB21; pravý</v>
      </c>
      <c r="BF67" s="22">
        <f>VLOOKUP(BD67,CENY!$B$11:$G$1054,3,FALSE)</f>
        <v>10</v>
      </c>
      <c r="BG67" s="22"/>
      <c r="BH67" s="23">
        <f>AY39</f>
        <v>0</v>
      </c>
      <c r="BI67" s="326">
        <f t="shared" si="2"/>
        <v>0</v>
      </c>
      <c r="BJ67" s="95">
        <f>VLOOKUP(BD67,CENY!$B$11:$M$2025,12,FALSE)</f>
        <v>14.040839999999999</v>
      </c>
      <c r="BK67" s="95">
        <f t="shared" si="3"/>
        <v>0</v>
      </c>
    </row>
    <row r="68" spans="1:63" ht="12.95" customHeight="1">
      <c r="A68" s="579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OBJ!B261</f>
        <v>9318179</v>
      </c>
      <c r="BE68" s="21" t="str">
        <f>VLOOKUP(BD68,CENY!$B$11:$G$1054,2,FALSE)</f>
        <v>Actro You(L) 500/SiSy 40kg; EB21; ľavý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13.931559999999999</v>
      </c>
      <c r="BK68" s="95">
        <f t="shared" si="3"/>
        <v>0</v>
      </c>
    </row>
    <row r="69" spans="1:63" ht="23.1" customHeight="1">
      <c r="A69" s="579"/>
      <c r="B69" s="93" t="str">
        <f>B4</f>
        <v>Zásuvka AVANTECH YOU  101 / 187 Inlay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OBJ!B329</f>
        <v>9257894</v>
      </c>
      <c r="AV69" s="21" t="str">
        <f>VLOOKUP(AU69,CENY!$B$11:$G$1054,2,FALSE)</f>
        <v>Quadro You - Push to open Silent; &lt;10kg</v>
      </c>
      <c r="AW69" s="22">
        <f>VLOOKUP(AU69,CENY!$B$11:$G$1054,3,FALSE)</f>
        <v>1</v>
      </c>
      <c r="AX69" s="22"/>
      <c r="AY69" s="68"/>
      <c r="AZ69" s="326" t="str">
        <f t="shared" si="1"/>
        <v/>
      </c>
      <c r="BA69" s="95">
        <f>VLOOKUP(AU69,CENY!$B$11:$M$2025,12,FALSE)</f>
        <v>23.114239999999999</v>
      </c>
      <c r="BB69" s="95">
        <f t="shared" si="0"/>
        <v>0</v>
      </c>
      <c r="BD69" s="319">
        <f>OBJ!B262</f>
        <v>9318180</v>
      </c>
      <c r="BE69" s="21" t="str">
        <f>VLOOKUP(BD69,CENY!$B$11:$G$1054,2,FALSE)</f>
        <v>Actro You(L) 500/SiSy 40kg; EB21; pravý</v>
      </c>
      <c r="BF69" s="22">
        <f>VLOOKUP(BD69,CENY!$B$11:$G$1054,3,FALSE)</f>
        <v>10</v>
      </c>
      <c r="BG69" s="22"/>
      <c r="BH69" s="23">
        <f>AY40</f>
        <v>0</v>
      </c>
      <c r="BI69" s="326">
        <f t="shared" si="2"/>
        <v>0</v>
      </c>
      <c r="BJ69" s="95">
        <f>VLOOKUP(BD69,CENY!$B$11:$M$2025,12,FALSE)</f>
        <v>13.931559999999999</v>
      </c>
      <c r="BK69" s="95">
        <f t="shared" si="3"/>
        <v>0</v>
      </c>
    </row>
    <row r="70" spans="1:63" ht="14.45" customHeight="1">
      <c r="A70" s="579"/>
      <c r="AU70" s="319">
        <f>OBJ!B330</f>
        <v>9257895</v>
      </c>
      <c r="AV70" s="21" t="str">
        <f>VLOOKUP(AU70,CENY!$B$11:$G$1054,2,FALSE)</f>
        <v>Quadro You - Push to open Silent; 8-20kg</v>
      </c>
      <c r="AW70" s="22">
        <f>VLOOKUP(AU70,CENY!$B$11:$G$1054,3,FALSE)</f>
        <v>1</v>
      </c>
      <c r="AX70" s="22"/>
      <c r="AY70" s="68"/>
      <c r="AZ70" s="326" t="str">
        <f t="shared" si="1"/>
        <v/>
      </c>
      <c r="BA70" s="95">
        <f>VLOOKUP(AU70,CENY!$B$11:$M$2025,12,FALSE)</f>
        <v>23.114239999999999</v>
      </c>
      <c r="BB70" s="95">
        <f t="shared" si="0"/>
        <v>0</v>
      </c>
      <c r="BD70" s="319">
        <f>OBJ!B263</f>
        <v>9318181</v>
      </c>
      <c r="BE70" s="21" t="str">
        <f>VLOOKUP(BD70,CENY!$B$11:$G$1054,2,FALSE)</f>
        <v>Actro You(L) 550/SiSy 40kg; EB21; ľavý</v>
      </c>
      <c r="BF70" s="22">
        <f>VLOOKUP(BD70,CENY!$B$11:$G$1054,3,FALSE)</f>
        <v>10</v>
      </c>
      <c r="BG70" s="22"/>
      <c r="BH70" s="23">
        <f>AY41</f>
        <v>0</v>
      </c>
      <c r="BI70" s="326">
        <f t="shared" si="2"/>
        <v>0</v>
      </c>
      <c r="BJ70" s="95">
        <f>VLOOKUP(BD70,CENY!$B$11:$M$2025,12,FALSE)</f>
        <v>15.147040000000001</v>
      </c>
      <c r="BK70" s="95">
        <f t="shared" si="3"/>
        <v>0</v>
      </c>
    </row>
    <row r="71" spans="1:63" ht="14.45" customHeight="1">
      <c r="A71" s="579"/>
      <c r="AU71" s="319">
        <f>OBJ!B331</f>
        <v>9257896</v>
      </c>
      <c r="AV71" s="21" t="str">
        <f>VLOOKUP(AU71,CENY!$B$11:$G$1054,2,FALSE)</f>
        <v>Quadro You - Push to open Silent; 10-30kg</v>
      </c>
      <c r="AW71" s="22">
        <f>VLOOKUP(AU71,CENY!$B$11:$G$1054,3,FALSE)</f>
        <v>1</v>
      </c>
      <c r="AX71" s="22"/>
      <c r="AY71" s="68"/>
      <c r="AZ71" s="326" t="str">
        <f t="shared" si="1"/>
        <v/>
      </c>
      <c r="BA71" s="95">
        <f>VLOOKUP(AU71,CENY!$B$11:$M$2025,12,FALSE)</f>
        <v>23.114239999999999</v>
      </c>
      <c r="BB71" s="95">
        <f t="shared" si="0"/>
        <v>0</v>
      </c>
      <c r="BD71" s="319">
        <f>OBJ!B264</f>
        <v>9318182</v>
      </c>
      <c r="BE71" s="21" t="str">
        <f>VLOOKUP(BD71,CENY!$B$11:$G$1054,2,FALSE)</f>
        <v>Actro You(L) 550/SiSy 40kg; EB21; pravý</v>
      </c>
      <c r="BF71" s="22">
        <f>VLOOKUP(BD71,CENY!$B$11:$G$1054,3,FALSE)</f>
        <v>10</v>
      </c>
      <c r="BG71" s="22"/>
      <c r="BH71" s="23">
        <f>AY41</f>
        <v>0</v>
      </c>
      <c r="BI71" s="326">
        <f t="shared" si="2"/>
        <v>0</v>
      </c>
      <c r="BJ71" s="95">
        <f>VLOOKUP(BD71,CENY!$B$11:$M$2025,12,FALSE)</f>
        <v>15.147040000000001</v>
      </c>
      <c r="BK71" s="95">
        <f t="shared" si="3"/>
        <v>0</v>
      </c>
    </row>
    <row r="72" spans="1:63" ht="14.45" customHeight="1">
      <c r="A72" s="579"/>
      <c r="AU72" s="319"/>
      <c r="AV72" s="21"/>
      <c r="AW72" s="22"/>
      <c r="AX72" s="22"/>
      <c r="AY72" s="23"/>
      <c r="AZ72" s="326" t="str">
        <f t="shared" si="1"/>
        <v/>
      </c>
      <c r="BA72" s="95"/>
      <c r="BB72" s="95" t="str">
        <f t="shared" si="0"/>
        <v/>
      </c>
      <c r="BD72" s="319">
        <f>OBJ!B265</f>
        <v>9318183</v>
      </c>
      <c r="BE72" s="21" t="str">
        <f>VLOOKUP(BD72,CENY!$B$11:$G$1054,2,FALSE)</f>
        <v>Actro You(L) 600/SiSy 40kg; EB21; ľavý</v>
      </c>
      <c r="BF72" s="22">
        <f>VLOOKUP(BD72,CENY!$B$11:$G$1054,3,FALSE)</f>
        <v>10</v>
      </c>
      <c r="BG72" s="22"/>
      <c r="BH72" s="23">
        <f>AY42</f>
        <v>0</v>
      </c>
      <c r="BI72" s="326">
        <f t="shared" si="2"/>
        <v>0</v>
      </c>
      <c r="BJ72" s="95">
        <f>VLOOKUP(BD72,CENY!$B$11:$M$2025,12,FALSE)</f>
        <v>15.35308</v>
      </c>
      <c r="BK72" s="95">
        <f t="shared" si="3"/>
        <v>0</v>
      </c>
    </row>
    <row r="73" spans="1:63" ht="14.45" customHeight="1">
      <c r="A73" s="579"/>
      <c r="AU73" s="319">
        <f>OBJ!B333</f>
        <v>9256928</v>
      </c>
      <c r="AV73" s="21" t="str">
        <f>VLOOKUP(AU73,CENY!$B$11:$G$1054,2,FALSE)</f>
        <v>Quadro You(M) 270/P2O 20kg; EB21</v>
      </c>
      <c r="AW73" s="22">
        <f>VLOOKUP(AU73,CENY!$B$11:$G$1054,3,FALSE)</f>
        <v>1</v>
      </c>
      <c r="AX73" s="362">
        <v>8</v>
      </c>
      <c r="AY73" s="68"/>
      <c r="AZ73" s="326" t="str">
        <f t="shared" si="1"/>
        <v/>
      </c>
      <c r="BA73" s="95">
        <f>VLOOKUP(AU73,CENY!$B$11:$M$2025,12,FALSE)</f>
        <v>25.824369999999998</v>
      </c>
      <c r="BB73" s="95">
        <f t="shared" si="0"/>
        <v>0</v>
      </c>
      <c r="BD73" s="319">
        <f>OBJ!B266</f>
        <v>9318184</v>
      </c>
      <c r="BE73" s="21" t="str">
        <f>VLOOKUP(BD73,CENY!$B$11:$G$1054,2,FALSE)</f>
        <v>Actro You(L) 600/SiSy 40kg; EB21; pravý</v>
      </c>
      <c r="BF73" s="22">
        <f>VLOOKUP(BD73,CENY!$B$11:$G$1054,3,FALSE)</f>
        <v>10</v>
      </c>
      <c r="BG73" s="22"/>
      <c r="BH73" s="23">
        <f>AY42</f>
        <v>0</v>
      </c>
      <c r="BI73" s="326">
        <f t="shared" si="2"/>
        <v>0</v>
      </c>
      <c r="BJ73" s="95" t="e">
        <f>VLOOKUP(BD73,CENY!$B$11:$M$2025,12,FALSE)</f>
        <v>#N/A</v>
      </c>
      <c r="BK73" s="95" t="e">
        <f t="shared" si="3"/>
        <v>#N/A</v>
      </c>
    </row>
    <row r="74" spans="1:63" ht="14.45" customHeight="1">
      <c r="A74" s="579"/>
      <c r="AU74" s="319">
        <f>OBJ!B334</f>
        <v>9256929</v>
      </c>
      <c r="AV74" s="21" t="str">
        <f>VLOOKUP(AU74,CENY!$B$11:$G$1054,2,FALSE)</f>
        <v>Quadro You(M) 300/P2O 20kg; EB21</v>
      </c>
      <c r="AW74" s="22">
        <f>VLOOKUP(AU74,CENY!$B$11:$G$1054,3,FALSE)</f>
        <v>1</v>
      </c>
      <c r="AX74" s="362">
        <v>8</v>
      </c>
      <c r="AY74" s="68"/>
      <c r="AZ74" s="326" t="str">
        <f t="shared" si="1"/>
        <v/>
      </c>
      <c r="BA74" s="95">
        <f>VLOOKUP(AU74,CENY!$B$11:$M$2025,12,FALSE)</f>
        <v>25.86984</v>
      </c>
      <c r="BB74" s="95">
        <f t="shared" si="0"/>
        <v>0</v>
      </c>
      <c r="BD74" s="319"/>
      <c r="BE74" s="21"/>
      <c r="BF74" s="22"/>
      <c r="BG74" s="22"/>
      <c r="BH74" s="23"/>
      <c r="BI74" s="326" t="str">
        <f t="shared" si="2"/>
        <v/>
      </c>
      <c r="BJ74" s="95"/>
      <c r="BK74" s="95" t="str">
        <f t="shared" si="3"/>
        <v/>
      </c>
    </row>
    <row r="75" spans="1:63" ht="14.45" customHeight="1">
      <c r="A75" s="579"/>
      <c r="AU75" s="319">
        <f>OBJ!B335</f>
        <v>9256931</v>
      </c>
      <c r="AV75" s="21" t="str">
        <f>VLOOKUP(AU75,CENY!$B$11:$G$1054,2,FALSE)</f>
        <v>Quadro You(M) 350/P2O 25kg; EB21</v>
      </c>
      <c r="AW75" s="22">
        <f>VLOOKUP(AU75,CENY!$B$11:$G$1054,3,FALSE)</f>
        <v>1</v>
      </c>
      <c r="AX75" s="362">
        <v>8</v>
      </c>
      <c r="AY75" s="68"/>
      <c r="AZ75" s="326" t="str">
        <f t="shared" si="1"/>
        <v/>
      </c>
      <c r="BA75" s="95">
        <f>VLOOKUP(AU75,CENY!$B$11:$M$2025,12,FALSE)</f>
        <v>26.336690000000001</v>
      </c>
      <c r="BB75" s="95">
        <f t="shared" ref="BB75:BB141" si="7">IF(BA75="","",BA75*AY75)</f>
        <v>0</v>
      </c>
      <c r="BD75" s="319">
        <f>OBJ!B273</f>
        <v>9318198</v>
      </c>
      <c r="BE75" s="21" t="str">
        <f>VLOOKUP(BD75,CENY!$B$11:$G$1054,2,FALSE)</f>
        <v>Actro You(XL) 450/SiSy 70kg; EB21; ľavý</v>
      </c>
      <c r="BF75" s="22">
        <f>VLOOKUP(BD75,CENY!$B$11:$G$1054,3,FALSE)</f>
        <v>10</v>
      </c>
      <c r="BG75" s="22"/>
      <c r="BH75" s="23">
        <f>AY44</f>
        <v>0</v>
      </c>
      <c r="BI75" s="326">
        <f t="shared" si="2"/>
        <v>0</v>
      </c>
      <c r="BJ75" s="95" t="e">
        <f>VLOOKUP(BD75,CENY!$B$11:$M$2025,12,FALSE)</f>
        <v>#N/A</v>
      </c>
      <c r="BK75" s="95" t="e">
        <f t="shared" si="3"/>
        <v>#N/A</v>
      </c>
    </row>
    <row r="76" spans="1:63" ht="14.45" customHeight="1">
      <c r="A76" s="579"/>
      <c r="AU76" s="319">
        <f>OBJ!B336</f>
        <v>9256933</v>
      </c>
      <c r="AV76" s="21" t="str">
        <f>VLOOKUP(AU76,CENY!$B$11:$G$1054,2,FALSE)</f>
        <v>Quadro You(M) 400/P2O 30kg; EB21</v>
      </c>
      <c r="AW76" s="22">
        <f>VLOOKUP(AU76,CENY!$B$11:$G$1054,3,FALSE)</f>
        <v>1</v>
      </c>
      <c r="AX76" s="362">
        <v>8</v>
      </c>
      <c r="AY76" s="68"/>
      <c r="AZ76" s="326" t="str">
        <f t="shared" ref="AZ76:AZ142" si="8">IF(AY76="","",IF($AW$4=1,AY76,0))</f>
        <v/>
      </c>
      <c r="BA76" s="95">
        <f>VLOOKUP(AU76,CENY!$B$11:$M$2025,12,FALSE)</f>
        <v>26.80339</v>
      </c>
      <c r="BB76" s="95">
        <f t="shared" si="7"/>
        <v>0</v>
      </c>
      <c r="BD76" s="319">
        <f>OBJ!B274</f>
        <v>9318199</v>
      </c>
      <c r="BE76" s="21" t="str">
        <f>VLOOKUP(BD76,CENY!$B$11:$G$1054,2,FALSE)</f>
        <v>Actro You(XL) 450/SiSy 70kg; EB21; pravý</v>
      </c>
      <c r="BF76" s="22">
        <f>VLOOKUP(BD76,CENY!$B$11:$G$1054,3,FALSE)</f>
        <v>10</v>
      </c>
      <c r="BG76" s="22"/>
      <c r="BH76" s="23">
        <f>AY44</f>
        <v>0</v>
      </c>
      <c r="BI76" s="326">
        <f t="shared" si="2"/>
        <v>0</v>
      </c>
      <c r="BJ76" s="95" t="e">
        <f>VLOOKUP(BD76,CENY!$B$11:$M$2025,12,FALSE)</f>
        <v>#N/A</v>
      </c>
      <c r="BK76" s="95" t="e">
        <f t="shared" si="3"/>
        <v>#N/A</v>
      </c>
    </row>
    <row r="77" spans="1:63" ht="14.45" customHeight="1">
      <c r="A77" s="579"/>
      <c r="AU77" s="319">
        <f>OBJ!B337</f>
        <v>9256935</v>
      </c>
      <c r="AV77" s="21" t="str">
        <f>VLOOKUP(AU77,CENY!$B$11:$G$1054,2,FALSE)</f>
        <v>Quadro You(M) 450/P2O 30kg; EB21</v>
      </c>
      <c r="AW77" s="22">
        <f>VLOOKUP(AU77,CENY!$B$11:$G$1054,3,FALSE)</f>
        <v>1</v>
      </c>
      <c r="AX77" s="362">
        <v>8</v>
      </c>
      <c r="AY77" s="68"/>
      <c r="AZ77" s="326" t="str">
        <f t="shared" si="8"/>
        <v/>
      </c>
      <c r="BA77" s="95">
        <f>VLOOKUP(AU77,CENY!$B$11:$M$2025,12,FALSE)</f>
        <v>27.270389999999999</v>
      </c>
      <c r="BB77" s="95">
        <f t="shared" si="7"/>
        <v>0</v>
      </c>
      <c r="BD77" s="319">
        <f>OBJ!B275</f>
        <v>9318201</v>
      </c>
      <c r="BE77" s="21" t="str">
        <f>VLOOKUP(BD77,CENY!$B$11:$G$1054,2,FALSE)</f>
        <v>Actro You(XL) 500/SiSy 70kg; EB21; ľavý</v>
      </c>
      <c r="BF77" s="22">
        <f>VLOOKUP(BD77,CENY!$B$11:$G$1054,3,FALSE)</f>
        <v>10</v>
      </c>
      <c r="BG77" s="22"/>
      <c r="BH77" s="23">
        <f>AY45</f>
        <v>0</v>
      </c>
      <c r="BI77" s="326">
        <f t="shared" si="2"/>
        <v>0</v>
      </c>
      <c r="BJ77" s="95">
        <f>VLOOKUP(BD77,CENY!$B$11:$M$2025,12,FALSE)</f>
        <v>17.52394</v>
      </c>
      <c r="BK77" s="95">
        <f t="shared" si="3"/>
        <v>0</v>
      </c>
    </row>
    <row r="78" spans="1:63" ht="14.45" customHeight="1">
      <c r="A78" s="579"/>
      <c r="AU78" s="319">
        <f>OBJ!B338</f>
        <v>9256937</v>
      </c>
      <c r="AV78" s="21" t="str">
        <f>VLOOKUP(AU78,CENY!$B$11:$G$1054,2,FALSE)</f>
        <v>Quadro You(M) 500/P2O 30kg; EB21</v>
      </c>
      <c r="AW78" s="22">
        <f>VLOOKUP(AU78,CENY!$B$11:$G$1054,3,FALSE)</f>
        <v>1</v>
      </c>
      <c r="AX78" s="362">
        <v>8</v>
      </c>
      <c r="AY78" s="68"/>
      <c r="AZ78" s="326" t="str">
        <f t="shared" si="8"/>
        <v/>
      </c>
      <c r="BA78" s="95">
        <f>VLOOKUP(AU78,CENY!$B$11:$M$2025,12,FALSE)</f>
        <v>5.5988800000000003</v>
      </c>
      <c r="BB78" s="95">
        <f t="shared" si="7"/>
        <v>0</v>
      </c>
      <c r="BD78" s="319">
        <f>OBJ!B276</f>
        <v>9318203</v>
      </c>
      <c r="BE78" s="21" t="str">
        <f>VLOOKUP(BD78,CENY!$B$11:$G$1054,2,FALSE)</f>
        <v>Actro You(XL) 500/SiSy 70kg; EB21; pravý</v>
      </c>
      <c r="BF78" s="22">
        <f>VLOOKUP(BD78,CENY!$B$11:$G$1054,3,FALSE)</f>
        <v>10</v>
      </c>
      <c r="BG78" s="22"/>
      <c r="BH78" s="23">
        <f>AY45</f>
        <v>0</v>
      </c>
      <c r="BI78" s="326">
        <f t="shared" si="2"/>
        <v>0</v>
      </c>
      <c r="BJ78" s="95">
        <f>VLOOKUP(BD78,CENY!$B$11:$M$2025,12,FALSE)</f>
        <v>17.52394</v>
      </c>
      <c r="BK78" s="95">
        <f t="shared" si="3"/>
        <v>0</v>
      </c>
    </row>
    <row r="79" spans="1:63" ht="14.45" customHeight="1">
      <c r="A79" s="579"/>
      <c r="O79" s="578">
        <f>CEILING((O85*AY1)/FLOOR(2000/O86,1),1)</f>
        <v>0</v>
      </c>
      <c r="P79" s="578"/>
      <c r="Q79" s="578">
        <f>CEILING((Q85*AY1)/FLOOR(2000/Q86,1),1)</f>
        <v>0</v>
      </c>
      <c r="R79" s="578"/>
      <c r="S79" s="578">
        <f>CEILING((S85*AY1)/FLOOR(2000/S86,1),1)</f>
        <v>0</v>
      </c>
      <c r="T79" s="578"/>
      <c r="U79" s="578">
        <f>CEILING((U85*AY1)/FLOOR(2000/U86,1),1)</f>
        <v>0</v>
      </c>
      <c r="V79" s="578"/>
      <c r="W79" s="578">
        <f>CEILING((W85*AY1)/FLOOR(2000/W86,1),1)</f>
        <v>0</v>
      </c>
      <c r="X79" s="578"/>
      <c r="Y79" s="578">
        <f>CEILING((Y85*AY1)/FLOOR(2000/Y86,1),1)</f>
        <v>0</v>
      </c>
      <c r="Z79" s="578"/>
      <c r="AA79" s="578">
        <f>CEILING((AA85*AY1)/FLOOR(2000/AA86,1),1)</f>
        <v>0</v>
      </c>
      <c r="AB79" s="578"/>
      <c r="AC79" s="578">
        <f>CEILING((AC85*AY1)/FLOOR(2000/AC86,1),1)</f>
        <v>0</v>
      </c>
      <c r="AD79" s="578"/>
      <c r="AE79" s="578">
        <f>CEILING((AE85*AY1)/FLOOR(2000/AE86,1),1)</f>
        <v>0</v>
      </c>
      <c r="AF79" s="578"/>
      <c r="AG79" s="578">
        <f>CEILING((AG85*AY1)/FLOOR(2000/AG86,1),1)</f>
        <v>0</v>
      </c>
      <c r="AH79" s="578"/>
      <c r="AI79" s="578">
        <f>CEILING((AI85*AY1)/FLOOR(2000/AI86,1),1)</f>
        <v>0</v>
      </c>
      <c r="AJ79" s="578"/>
      <c r="AU79" s="319">
        <f>OBJ!B339</f>
        <v>9256939</v>
      </c>
      <c r="AV79" s="21" t="str">
        <f>VLOOKUP(AU79,CENY!$B$11:$G$1054,2,FALSE)</f>
        <v>Quadro You(M) 550/P2O 30kg; EB21</v>
      </c>
      <c r="AW79" s="22">
        <f>VLOOKUP(AU79,CENY!$B$11:$G$1054,3,FALSE)</f>
        <v>1</v>
      </c>
      <c r="AX79" s="362">
        <v>8</v>
      </c>
      <c r="AY79" s="68"/>
      <c r="AZ79" s="326" t="str">
        <f t="shared" si="8"/>
        <v/>
      </c>
      <c r="BA79" s="95">
        <f>VLOOKUP(AU79,CENY!$B$11:$M$2025,12,FALSE)</f>
        <v>28.20382</v>
      </c>
      <c r="BB79" s="95">
        <f t="shared" si="7"/>
        <v>0</v>
      </c>
      <c r="BD79" s="319">
        <f>OBJ!B277</f>
        <v>9318208</v>
      </c>
      <c r="BE79" s="21" t="str">
        <f>VLOOKUP(BD79,CENY!$B$11:$G$1054,2,FALSE)</f>
        <v>Actro You(XL) 550/SiSy 70kg; EB21; ľavý</v>
      </c>
      <c r="BF79" s="22">
        <f>VLOOKUP(BD79,CENY!$B$11:$G$1054,3,FALSE)</f>
        <v>10</v>
      </c>
      <c r="BG79" s="22"/>
      <c r="BH79" s="23">
        <f>AY46</f>
        <v>0</v>
      </c>
      <c r="BI79" s="326">
        <f t="shared" si="2"/>
        <v>0</v>
      </c>
      <c r="BJ79" s="95">
        <f>VLOOKUP(BD79,CENY!$B$11:$M$2025,12,FALSE)</f>
        <v>18.45496</v>
      </c>
      <c r="BK79" s="95">
        <f t="shared" si="3"/>
        <v>0</v>
      </c>
    </row>
    <row r="80" spans="1:63" ht="14.45" customHeight="1">
      <c r="A80" s="579"/>
      <c r="O80" s="578">
        <f>CEILING((O85*AY3)/FLOOR(2000/O86,1),1)</f>
        <v>0</v>
      </c>
      <c r="P80" s="578"/>
      <c r="Q80" s="578">
        <f>CEILING((Q85*AY3)/FLOOR(2000/Q86,1),1)</f>
        <v>0</v>
      </c>
      <c r="R80" s="578"/>
      <c r="S80" s="578">
        <f>CEILING((S85*AY3)/FLOOR(2000/S86,1),1)</f>
        <v>0</v>
      </c>
      <c r="T80" s="578"/>
      <c r="U80" s="578">
        <f>CEILING((U85*AY3)/FLOOR(2000/U86,1),1)</f>
        <v>0</v>
      </c>
      <c r="V80" s="578"/>
      <c r="W80" s="578">
        <f>CEILING((W85*AY3)/FLOOR(2000/W86,1),1)</f>
        <v>0</v>
      </c>
      <c r="X80" s="578"/>
      <c r="Y80" s="578">
        <f>CEILING((Y85*AY3)/FLOOR(2000/Y86,1),1)</f>
        <v>0</v>
      </c>
      <c r="Z80" s="578"/>
      <c r="AA80" s="578">
        <f>CEILING((AA85*AY3)/FLOOR(2000/AA86,1),1)</f>
        <v>0</v>
      </c>
      <c r="AB80" s="578"/>
      <c r="AC80" s="578">
        <f>CEILING((AC85*AY3)/FLOOR(2000/AC86,1),1)</f>
        <v>0</v>
      </c>
      <c r="AD80" s="578"/>
      <c r="AE80" s="578">
        <f>CEILING((AE85*AY3)/FLOOR(2000/AE86,1),1)</f>
        <v>0</v>
      </c>
      <c r="AF80" s="578"/>
      <c r="AG80" s="578">
        <f>CEILING((AG85*AY3)/FLOOR(2000/AG86,1),1)</f>
        <v>0</v>
      </c>
      <c r="AH80" s="578"/>
      <c r="AI80" s="578">
        <f>CEILING((AI85*AY3)/FLOOR(2000/AI86,1),1)</f>
        <v>0</v>
      </c>
      <c r="AJ80" s="578"/>
      <c r="AU80" s="319">
        <f>OBJ!B340</f>
        <v>9256941</v>
      </c>
      <c r="AV80" s="21" t="str">
        <f>VLOOKUP(AU80,CENY!$B$11:$G$1054,2,FALSE)</f>
        <v>Quadro You(M) 600/P2O 25kg; EB21</v>
      </c>
      <c r="AW80" s="22">
        <f>VLOOKUP(AU80,CENY!$B$11:$G$1054,3,FALSE)</f>
        <v>1</v>
      </c>
      <c r="AX80" s="362">
        <v>8</v>
      </c>
      <c r="AY80" s="68"/>
      <c r="AZ80" s="326" t="str">
        <f t="shared" si="8"/>
        <v/>
      </c>
      <c r="BA80" s="95">
        <f>VLOOKUP(AU80,CENY!$B$11:$M$2025,12,FALSE)</f>
        <v>28.670570000000001</v>
      </c>
      <c r="BB80" s="95">
        <f t="shared" si="7"/>
        <v>0</v>
      </c>
      <c r="BD80" s="319">
        <f>OBJ!B278</f>
        <v>9318209</v>
      </c>
      <c r="BE80" s="21" t="str">
        <f>VLOOKUP(BD80,CENY!$B$11:$G$1054,2,FALSE)</f>
        <v>Actro You(XL) 550/SiSy 70kg; EB21; pravý</v>
      </c>
      <c r="BF80" s="22">
        <f>VLOOKUP(BD80,CENY!$B$11:$G$1054,3,FALSE)</f>
        <v>10</v>
      </c>
      <c r="BG80" s="22"/>
      <c r="BH80" s="23">
        <f>AY46</f>
        <v>0</v>
      </c>
      <c r="BI80" s="326">
        <f t="shared" si="2"/>
        <v>0</v>
      </c>
      <c r="BJ80" s="95">
        <f>VLOOKUP(BD80,CENY!$B$11:$M$2025,12,FALSE)</f>
        <v>18.45496</v>
      </c>
      <c r="BK80" s="95">
        <f t="shared" si="3"/>
        <v>0</v>
      </c>
    </row>
    <row r="81" spans="1:63" ht="14.45" customHeight="1">
      <c r="A81" s="579"/>
      <c r="O81" s="577">
        <f>O86*O85*$AY$1</f>
        <v>0</v>
      </c>
      <c r="P81" s="577"/>
      <c r="Q81" s="577">
        <f>Q86*Q85*$AY$1</f>
        <v>0</v>
      </c>
      <c r="R81" s="577"/>
      <c r="S81" s="577">
        <f>S86*S85*$AY$1</f>
        <v>0</v>
      </c>
      <c r="T81" s="577"/>
      <c r="U81" s="577">
        <f>U86*U85*$AY$1</f>
        <v>0</v>
      </c>
      <c r="V81" s="577"/>
      <c r="W81" s="577">
        <f>W86*W85*$AY$1</f>
        <v>0</v>
      </c>
      <c r="X81" s="577"/>
      <c r="Y81" s="577">
        <f>Y86*Y85*$AY$1</f>
        <v>0</v>
      </c>
      <c r="Z81" s="577"/>
      <c r="AA81" s="577">
        <f>AA86*AA85*$AY$1</f>
        <v>0</v>
      </c>
      <c r="AB81" s="577"/>
      <c r="AC81" s="577">
        <f>AC86*AC85*$AY$1</f>
        <v>0</v>
      </c>
      <c r="AD81" s="577"/>
      <c r="AE81" s="577">
        <f>AE86*AE85*$AY$1</f>
        <v>0</v>
      </c>
      <c r="AF81" s="577"/>
      <c r="AG81" s="577">
        <f>AG86*AG85*$AY$1</f>
        <v>0</v>
      </c>
      <c r="AH81" s="577"/>
      <c r="AI81" s="577">
        <f>AI86*AI85*$AY$1</f>
        <v>0</v>
      </c>
      <c r="AJ81" s="577"/>
      <c r="AU81" s="319"/>
      <c r="AV81" s="21"/>
      <c r="AW81" s="22"/>
      <c r="AX81" s="22"/>
      <c r="AY81" s="23"/>
      <c r="AZ81" s="326" t="str">
        <f t="shared" si="8"/>
        <v/>
      </c>
      <c r="BA81" s="95"/>
      <c r="BB81" s="95" t="str">
        <f t="shared" si="7"/>
        <v/>
      </c>
      <c r="BD81" s="319">
        <f>OBJ!B279</f>
        <v>9318211</v>
      </c>
      <c r="BE81" s="21" t="str">
        <f>VLOOKUP(BD81,CENY!$B$11:$G$1054,2,FALSE)</f>
        <v>Actro You(XL) 600/SiSy 70kg; EB21; ľavý</v>
      </c>
      <c r="BF81" s="22">
        <f>VLOOKUP(BD81,CENY!$B$11:$G$1054,3,FALSE)</f>
        <v>10</v>
      </c>
      <c r="BG81" s="22"/>
      <c r="BH81" s="23">
        <f>AY47</f>
        <v>0</v>
      </c>
      <c r="BI81" s="326">
        <f t="shared" si="2"/>
        <v>0</v>
      </c>
      <c r="BJ81" s="95">
        <f>VLOOKUP(BD81,CENY!$B$11:$M$2025,12,FALSE)</f>
        <v>21.352720000000001</v>
      </c>
      <c r="BK81" s="95">
        <f t="shared" si="3"/>
        <v>0</v>
      </c>
    </row>
    <row r="82" spans="1:63" ht="14.45" customHeight="1">
      <c r="A82" s="579"/>
      <c r="O82" s="577">
        <f>O86*O85*$AY$3</f>
        <v>0</v>
      </c>
      <c r="P82" s="577"/>
      <c r="Q82" s="577">
        <f>Q86*Q85*$AY$3</f>
        <v>0</v>
      </c>
      <c r="R82" s="577"/>
      <c r="S82" s="577">
        <f>S86*S85*$AY$3</f>
        <v>0</v>
      </c>
      <c r="T82" s="577"/>
      <c r="U82" s="577">
        <f>U86*U85*$AY$3</f>
        <v>0</v>
      </c>
      <c r="V82" s="577"/>
      <c r="W82" s="577">
        <f>W86*W85*$AY$3</f>
        <v>0</v>
      </c>
      <c r="X82" s="577"/>
      <c r="Y82" s="577">
        <f>Y86*Y85*$AY$3</f>
        <v>0</v>
      </c>
      <c r="Z82" s="577"/>
      <c r="AA82" s="577">
        <f>AA86*AA85*$AY$3</f>
        <v>0</v>
      </c>
      <c r="AB82" s="577"/>
      <c r="AC82" s="577">
        <f>AC86*AC85*$AY$3</f>
        <v>0</v>
      </c>
      <c r="AD82" s="577"/>
      <c r="AE82" s="577">
        <f>AE86*AE85*$AY$3</f>
        <v>0</v>
      </c>
      <c r="AF82" s="577"/>
      <c r="AG82" s="577">
        <f>AG86*AG85*$AY$3</f>
        <v>0</v>
      </c>
      <c r="AH82" s="577"/>
      <c r="AI82" s="577">
        <f>AI86*AI85*$AY$3</f>
        <v>0</v>
      </c>
      <c r="AJ82" s="577"/>
      <c r="AK82" s="579"/>
      <c r="AL82" s="579"/>
      <c r="AU82" s="319">
        <f>OBJ!B358</f>
        <v>9219966</v>
      </c>
      <c r="AV82" s="21" t="str">
        <f>VLOOKUP(AU82,CENY!$B$11:$G$1054,2,FALSE)</f>
        <v>Push to open Synchro / adaptér typ A</v>
      </c>
      <c r="AW82" s="22">
        <f>VLOOKUP(AU82,CENY!$B$11:$G$1054,3,FALSE)</f>
        <v>200</v>
      </c>
      <c r="AX82" s="22"/>
      <c r="AY82" s="68"/>
      <c r="AZ82" s="326" t="str">
        <f t="shared" si="8"/>
        <v/>
      </c>
      <c r="BA82" s="95">
        <f>VLOOKUP(AU82,CENY!$B$11:$M$2025,12,FALSE)</f>
        <v>0.79318999999999995</v>
      </c>
      <c r="BB82" s="95">
        <f t="shared" si="7"/>
        <v>0</v>
      </c>
      <c r="BD82" s="319">
        <f>OBJ!B280</f>
        <v>9318212</v>
      </c>
      <c r="BE82" s="21" t="str">
        <f>VLOOKUP(BD82,CENY!$B$11:$G$1054,2,FALSE)</f>
        <v>Actro You(XL) 600/SiSy 70kg; EB21; pravý</v>
      </c>
      <c r="BF82" s="22">
        <f>VLOOKUP(BD82,CENY!$B$11:$G$1054,3,FALSE)</f>
        <v>10</v>
      </c>
      <c r="BG82" s="22"/>
      <c r="BH82" s="23">
        <f>AY47</f>
        <v>0</v>
      </c>
      <c r="BI82" s="326">
        <f t="shared" si="2"/>
        <v>0</v>
      </c>
      <c r="BJ82" s="95">
        <f>VLOOKUP(BD82,CENY!$B$11:$M$2025,12,FALSE)</f>
        <v>21.352720000000001</v>
      </c>
      <c r="BK82" s="95">
        <f t="shared" si="3"/>
        <v>0</v>
      </c>
    </row>
    <row r="83" spans="1:63" ht="14.45" customHeight="1" thickBot="1">
      <c r="A83" s="579"/>
      <c r="B83" s="1" t="str">
        <f>verze!E162</f>
        <v>Čelo na vnútornú zásuvku</v>
      </c>
      <c r="O83" s="583" t="str">
        <f>verze!E163</f>
        <v>vonkajšie rozmery zásuvkovej skrinky [mm]</v>
      </c>
      <c r="P83" s="584"/>
      <c r="Q83" s="584"/>
      <c r="R83" s="584"/>
      <c r="S83" s="584"/>
      <c r="T83" s="584"/>
      <c r="U83" s="584"/>
      <c r="V83" s="584"/>
      <c r="W83" s="584"/>
      <c r="X83" s="584"/>
      <c r="Y83" s="584"/>
      <c r="Z83" s="584"/>
      <c r="AA83" s="584"/>
      <c r="AB83" s="584"/>
      <c r="AC83" s="584"/>
      <c r="AD83" s="584"/>
      <c r="AE83" s="584"/>
      <c r="AF83" s="584"/>
      <c r="AG83" s="584"/>
      <c r="AH83" s="584"/>
      <c r="AI83" s="584"/>
      <c r="AJ83" s="584"/>
      <c r="AU83" s="319"/>
      <c r="AV83" s="21"/>
      <c r="AW83" s="22"/>
      <c r="AX83" s="22"/>
      <c r="AY83" s="23"/>
      <c r="AZ83" s="326" t="str">
        <f t="shared" si="8"/>
        <v/>
      </c>
      <c r="BA83" s="95"/>
      <c r="BB83" s="95" t="str">
        <f t="shared" si="7"/>
        <v/>
      </c>
      <c r="BD83" s="319">
        <f>OBJ!B281</f>
        <v>9318213</v>
      </c>
      <c r="BE83" s="21" t="str">
        <f>VLOOKUP(BD83,CENY!$B$11:$G$1054,2,FALSE)</f>
        <v>Actro You(XL) 650/SiSy 70kg; EB21; ľavý</v>
      </c>
      <c r="BF83" s="22">
        <f>VLOOKUP(BD83,CENY!$B$11:$G$1054,3,FALSE)</f>
        <v>5</v>
      </c>
      <c r="BG83" s="22"/>
      <c r="BH83" s="23">
        <f>AY48</f>
        <v>0</v>
      </c>
      <c r="BI83" s="326">
        <f t="shared" si="2"/>
        <v>0</v>
      </c>
      <c r="BJ83" s="95">
        <f>VLOOKUP(BD83,CENY!$B$11:$M$2025,12,FALSE)</f>
        <v>22.243659999999998</v>
      </c>
      <c r="BK83" s="95">
        <f t="shared" si="3"/>
        <v>0</v>
      </c>
    </row>
    <row r="84" spans="1:63" ht="14.45" customHeight="1" thickBot="1">
      <c r="A84" s="579"/>
      <c r="B84" s="96"/>
      <c r="C84" s="96"/>
      <c r="D84" s="96"/>
      <c r="E84" s="96"/>
      <c r="F84" s="96"/>
      <c r="G84" s="96"/>
      <c r="H84" s="72"/>
      <c r="I84" s="72"/>
      <c r="J84" s="72"/>
      <c r="K84" s="72"/>
      <c r="L84" s="72"/>
      <c r="M84" s="72"/>
      <c r="N84" s="72" t="str">
        <f>verze!E166&amp;" "</f>
        <v xml:space="preserve">Šírka korpusu: </v>
      </c>
      <c r="O84" s="537">
        <v>300</v>
      </c>
      <c r="P84" s="538"/>
      <c r="Q84" s="537">
        <v>400</v>
      </c>
      <c r="R84" s="538"/>
      <c r="S84" s="537">
        <v>450</v>
      </c>
      <c r="T84" s="538"/>
      <c r="U84" s="537">
        <v>500</v>
      </c>
      <c r="V84" s="538"/>
      <c r="W84" s="537">
        <v>550</v>
      </c>
      <c r="X84" s="538"/>
      <c r="Y84" s="537">
        <v>600</v>
      </c>
      <c r="Z84" s="538"/>
      <c r="AA84" s="537">
        <v>700</v>
      </c>
      <c r="AB84" s="538"/>
      <c r="AC84" s="537">
        <v>800</v>
      </c>
      <c r="AD84" s="538"/>
      <c r="AE84" s="537">
        <v>900</v>
      </c>
      <c r="AF84" s="586"/>
      <c r="AG84" s="537">
        <v>1000</v>
      </c>
      <c r="AH84" s="586"/>
      <c r="AI84" s="537">
        <v>1200</v>
      </c>
      <c r="AJ84" s="538"/>
      <c r="AU84" s="442">
        <f>OBJ!B69</f>
        <v>9255835</v>
      </c>
      <c r="AV84" s="443" t="str">
        <f>VLOOKUP(AU84,CENY!$B$11:$G$1054,2,FALSE)</f>
        <v>AvanY-príchytka čela k naskrutk./ v101</v>
      </c>
      <c r="AW84" s="22">
        <f>VLOOKUP(AU84,CENY!$B$11:$G$1054,3,FALSE)</f>
        <v>200</v>
      </c>
      <c r="AX84" s="22"/>
      <c r="AY84" s="68">
        <f>IF(FORM!AM8=FORM!AU11,(2*(AY2)*(SUM(W20:AD20)+SUM(W22:AF22)+SUM(W28:AD28))),0)</f>
        <v>0</v>
      </c>
      <c r="AZ84" s="326">
        <f t="shared" si="8"/>
        <v>0</v>
      </c>
      <c r="BA84" s="95">
        <f>VLOOKUP(AU84,CENY!$B$11:$M$2025,12,FALSE)</f>
        <v>1.1621999999999999</v>
      </c>
      <c r="BB84" s="95">
        <f t="shared" si="7"/>
        <v>0</v>
      </c>
      <c r="BD84" s="319">
        <f>OBJ!B282</f>
        <v>9318214</v>
      </c>
      <c r="BE84" s="21" t="str">
        <f>VLOOKUP(BD84,CENY!$B$11:$G$1054,2,FALSE)</f>
        <v>Actro You(XL) 650/SiSy 70kg; EB21; pravý</v>
      </c>
      <c r="BF84" s="22">
        <f>VLOOKUP(BD84,CENY!$B$11:$G$1054,3,FALSE)</f>
        <v>5</v>
      </c>
      <c r="BG84" s="22"/>
      <c r="BH84" s="23">
        <f>AY48</f>
        <v>0</v>
      </c>
      <c r="BI84" s="326">
        <f t="shared" ref="BI84:BI157" si="9">IF(BH84="","",IF($AW$4=0,BH84,0))</f>
        <v>0</v>
      </c>
      <c r="BJ84" s="95">
        <f>VLOOKUP(BD84,CENY!$B$11:$M$2025,12,FALSE)</f>
        <v>22.243659999999998</v>
      </c>
      <c r="BK84" s="95">
        <f t="shared" ref="BK84:BK157" si="10">IF(BJ84="","",BJ84*BH84)</f>
        <v>0</v>
      </c>
    </row>
    <row r="85" spans="1:63" ht="14.45" customHeight="1" thickBot="1">
      <c r="A85" s="579"/>
      <c r="B85" s="158" t="str">
        <f>" "&amp;verze!E167</f>
        <v xml:space="preserve"> ALU čelo</v>
      </c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525"/>
      <c r="N85" s="548"/>
      <c r="O85" s="580"/>
      <c r="P85" s="581"/>
      <c r="Q85" s="580"/>
      <c r="R85" s="581"/>
      <c r="S85" s="580"/>
      <c r="T85" s="581"/>
      <c r="U85" s="580"/>
      <c r="V85" s="581"/>
      <c r="W85" s="580"/>
      <c r="X85" s="581"/>
      <c r="Y85" s="580"/>
      <c r="Z85" s="581"/>
      <c r="AA85" s="580"/>
      <c r="AB85" s="581"/>
      <c r="AC85" s="580"/>
      <c r="AD85" s="581"/>
      <c r="AE85" s="580"/>
      <c r="AF85" s="581"/>
      <c r="AG85" s="580"/>
      <c r="AH85" s="581"/>
      <c r="AI85" s="580"/>
      <c r="AJ85" s="585"/>
      <c r="AU85" s="442">
        <f>OBJ!B191</f>
        <v>9257257</v>
      </c>
      <c r="AV85" s="443" t="str">
        <f>VLOOKUP(AU85,CENY!$B$11:$G$1054,2,FALSE)</f>
        <v>AvanY-prích.čela Inlay k naskrutk./ v187</v>
      </c>
      <c r="AW85" s="22">
        <f>VLOOKUP(AU85,CENY!$B$11:$G$1054,3,FALSE)</f>
        <v>100</v>
      </c>
      <c r="AX85" s="22"/>
      <c r="AY85" s="68">
        <f>IF(FORM!AM8=FORM!AU11,(2*(AY4)*(SUM(W20:AD20)+SUM(W22:AF22)+SUM(W28:AD28))),0)</f>
        <v>0</v>
      </c>
      <c r="AZ85" s="326">
        <f t="shared" si="8"/>
        <v>0</v>
      </c>
      <c r="BA85" s="95">
        <f>VLOOKUP(AU85,CENY!$B$11:$M$2025,12,FALSE)</f>
        <v>2.4404300000000001</v>
      </c>
      <c r="BB85" s="95">
        <f t="shared" si="7"/>
        <v>0</v>
      </c>
      <c r="BD85" s="319"/>
      <c r="BE85" s="21"/>
      <c r="BF85" s="22"/>
      <c r="BG85" s="22"/>
      <c r="BH85" s="23"/>
      <c r="BI85" s="326" t="str">
        <f t="shared" si="9"/>
        <v/>
      </c>
      <c r="BJ85" s="95"/>
      <c r="BK85" s="95" t="str">
        <f t="shared" si="10"/>
        <v/>
      </c>
    </row>
    <row r="86" spans="1:63" ht="14.45" customHeight="1">
      <c r="A86" s="579"/>
      <c r="O86" s="582">
        <f>O84-2*FORM!$AM$24-12</f>
        <v>252</v>
      </c>
      <c r="P86" s="582"/>
      <c r="Q86" s="582">
        <f>Q84-2*FORM!$AM$24-12</f>
        <v>352</v>
      </c>
      <c r="R86" s="582"/>
      <c r="S86" s="582">
        <f>S84-2*FORM!$AM$24-12</f>
        <v>402</v>
      </c>
      <c r="T86" s="582"/>
      <c r="U86" s="582">
        <f>U84-2*FORM!$AM$24-12</f>
        <v>452</v>
      </c>
      <c r="V86" s="582"/>
      <c r="W86" s="582">
        <f>W84-2*FORM!$AM$24-12</f>
        <v>502</v>
      </c>
      <c r="X86" s="582"/>
      <c r="Y86" s="582">
        <f>Y84-2*FORM!$AM$24-12</f>
        <v>552</v>
      </c>
      <c r="Z86" s="582"/>
      <c r="AA86" s="582">
        <f>AA84-2*FORM!$AM$24-12</f>
        <v>652</v>
      </c>
      <c r="AB86" s="582"/>
      <c r="AC86" s="582">
        <f>AC84-2*FORM!$AM$24-12</f>
        <v>752</v>
      </c>
      <c r="AD86" s="582"/>
      <c r="AE86" s="582">
        <f>AE84-2*FORM!$AM$24-12</f>
        <v>852</v>
      </c>
      <c r="AF86" s="582"/>
      <c r="AG86" s="582">
        <f>AG84-2*FORM!$AM$24-12</f>
        <v>952</v>
      </c>
      <c r="AH86" s="582"/>
      <c r="AI86" s="582">
        <f>AI84-2*FORM!$AM$24-12</f>
        <v>1152</v>
      </c>
      <c r="AJ86" s="582"/>
      <c r="AU86" s="319"/>
      <c r="AV86" s="21"/>
      <c r="AW86" s="22"/>
      <c r="AX86" s="22"/>
      <c r="AY86" s="23"/>
      <c r="AZ86" s="326" t="str">
        <f t="shared" si="8"/>
        <v/>
      </c>
      <c r="BA86" s="95"/>
      <c r="BB86" s="95" t="str">
        <f t="shared" si="7"/>
        <v/>
      </c>
      <c r="BD86" s="319">
        <f>OBJ!B284</f>
        <v>9257890</v>
      </c>
      <c r="BE86" s="21" t="str">
        <f>VLOOKUP(BD86,CENY!$B$11:$G$1054,2,FALSE)</f>
        <v>Actro You - Push to open Silent; &lt;10kg</v>
      </c>
      <c r="BF86" s="22">
        <f>VLOOKUP(BD86,CENY!$B$11:$G$1054,3,FALSE)</f>
        <v>1</v>
      </c>
      <c r="BG86" s="22"/>
      <c r="BH86" s="68"/>
      <c r="BI86" s="326" t="str">
        <f t="shared" si="9"/>
        <v/>
      </c>
      <c r="BJ86" s="95">
        <f>VLOOKUP(BD86,CENY!$B$11:$M$2025,12,FALSE)</f>
        <v>23.177009999999999</v>
      </c>
      <c r="BK86" s="95">
        <f t="shared" si="10"/>
        <v>0</v>
      </c>
    </row>
    <row r="87" spans="1:63" ht="14.45" customHeight="1">
      <c r="A87" s="579"/>
      <c r="AR87" s="157" t="str">
        <f>IF(AU98=0,verze!E169&amp;" "&amp;AU96&amp;" "&amp;verze!E170,"")</f>
        <v>Je potrebné vybrať 0 ks vnútorných čiel.</v>
      </c>
      <c r="AU87" s="320">
        <f>OBJ!B214</f>
        <v>0</v>
      </c>
      <c r="AV87" s="321" t="e">
        <f>VLOOKUP(AU87,CENY!$B$11:$G$1054,2,FALSE)</f>
        <v>#N/A</v>
      </c>
      <c r="AW87" s="22" t="e">
        <f>VLOOKUP(AU87,CENY!$B$11:$G$1054,3,FALSE)</f>
        <v>#N/A</v>
      </c>
      <c r="AX87" s="22"/>
      <c r="AY87" s="68">
        <f>IF(FORM!AM21&lt;&gt;FORM!AW16,(2*SUM(AY1:AY4)*(SUM(W20:AD20)+SUM(W22:AF22)+SUM(W28:AD28))),0)</f>
        <v>0</v>
      </c>
      <c r="AZ87" s="326">
        <f t="shared" si="8"/>
        <v>0</v>
      </c>
      <c r="BA87" s="324" t="str">
        <f>IF(AU87=0,"",VLOOKUP(AU87,CENY!$B$11:$M$2025,12,FALSE))</f>
        <v/>
      </c>
      <c r="BB87" s="95" t="str">
        <f>IF(BA87="","",BA87*AY87)</f>
        <v/>
      </c>
      <c r="BD87" s="319">
        <f>OBJ!B285</f>
        <v>9257891</v>
      </c>
      <c r="BE87" s="21" t="str">
        <f>VLOOKUP(BD87,CENY!$B$11:$G$1054,2,FALSE)</f>
        <v>Actro You - Push to open Silent; 8-20kg</v>
      </c>
      <c r="BF87" s="22">
        <f>VLOOKUP(BD87,CENY!$B$11:$G$1054,3,FALSE)</f>
        <v>1</v>
      </c>
      <c r="BG87" s="22"/>
      <c r="BH87" s="68"/>
      <c r="BI87" s="326" t="str">
        <f t="shared" si="9"/>
        <v/>
      </c>
      <c r="BJ87" s="95">
        <f>VLOOKUP(BD87,CENY!$B$11:$M$2025,12,FALSE)</f>
        <v>23.177009999999999</v>
      </c>
      <c r="BK87" s="95">
        <f t="shared" si="10"/>
        <v>0</v>
      </c>
    </row>
    <row r="88" spans="1:63" ht="14.45" customHeight="1">
      <c r="A88" s="579"/>
      <c r="AR88" s="332" t="str">
        <f>IF(AU98=0,"",IF(AU96=AU98,verze!E174,IF(AU99&gt;0,verze!E171&amp;" "&amp;AU99&amp;" "&amp;verze!E170,verze!E172&amp;" "&amp;AU100&amp;" "&amp;verze!E173)))</f>
        <v/>
      </c>
      <c r="AU88" s="319"/>
      <c r="AV88" s="21"/>
      <c r="AW88" s="22"/>
      <c r="AX88" s="22"/>
      <c r="AY88" s="23"/>
      <c r="AZ88" s="326" t="str">
        <f t="shared" si="8"/>
        <v/>
      </c>
      <c r="BA88" s="95"/>
      <c r="BB88" s="95" t="str">
        <f t="shared" si="7"/>
        <v/>
      </c>
      <c r="BD88" s="319">
        <f>OBJ!B286</f>
        <v>9257892</v>
      </c>
      <c r="BE88" s="21" t="str">
        <f>VLOOKUP(BD88,CENY!$B$11:$G$1054,2,FALSE)</f>
        <v>Actro You - Push to open Silent; 10-40kg</v>
      </c>
      <c r="BF88" s="22">
        <f>VLOOKUP(BD88,CENY!$B$11:$G$1054,3,FALSE)</f>
        <v>1</v>
      </c>
      <c r="BG88" s="22"/>
      <c r="BH88" s="68"/>
      <c r="BI88" s="326" t="str">
        <f t="shared" si="9"/>
        <v/>
      </c>
      <c r="BJ88" s="95">
        <f>VLOOKUP(BD88,CENY!$B$11:$M$2025,12,FALSE)</f>
        <v>23.177009999999999</v>
      </c>
      <c r="BK88" s="95">
        <f t="shared" si="10"/>
        <v>0</v>
      </c>
    </row>
    <row r="89" spans="1:63" ht="14.45" customHeight="1">
      <c r="A89" s="579"/>
      <c r="AU89" s="319"/>
      <c r="AV89" s="21"/>
      <c r="AW89" s="22"/>
      <c r="AX89" s="22"/>
      <c r="AY89" s="23"/>
      <c r="AZ89" s="326" t="str">
        <f t="shared" si="8"/>
        <v/>
      </c>
      <c r="BA89" s="95"/>
      <c r="BB89" s="95" t="str">
        <f t="shared" si="7"/>
        <v/>
      </c>
      <c r="BD89" s="319">
        <f>OBJ!B287</f>
        <v>9257893</v>
      </c>
      <c r="BE89" s="21" t="str">
        <f>VLOOKUP(BD89,CENY!$B$11:$G$1054,2,FALSE)</f>
        <v>Actro You - Push to open Silent; 20-70kg</v>
      </c>
      <c r="BF89" s="22">
        <f>VLOOKUP(BD89,CENY!$B$11:$G$1054,3,FALSE)</f>
        <v>1</v>
      </c>
      <c r="BG89" s="22"/>
      <c r="BH89" s="68"/>
      <c r="BI89" s="326" t="str">
        <f t="shared" si="9"/>
        <v/>
      </c>
      <c r="BJ89" s="95">
        <f>VLOOKUP(BD89,CENY!$B$11:$M$2025,12,FALSE)</f>
        <v>23.177009999999999</v>
      </c>
      <c r="BK89" s="95">
        <f t="shared" si="10"/>
        <v>0</v>
      </c>
    </row>
    <row r="90" spans="1:63" ht="14.45" customHeight="1">
      <c r="A90" s="579"/>
      <c r="AU90" s="319">
        <f>OBJ!B194</f>
        <v>9257269</v>
      </c>
      <c r="AV90" s="21" t="str">
        <f>VLOOKUP(AU90,CENY!$B$11:$G$1054,2,FALSE)</f>
        <v>AvanY-čelo vnút.zásuvky /v101/d2000/strieb.</v>
      </c>
      <c r="AW90" s="22">
        <f>VLOOKUP(AU90,CENY!$B$11:$G$1054,3,FALSE)</f>
        <v>1</v>
      </c>
      <c r="AX90" s="22"/>
      <c r="AY90" s="23">
        <f>IF(AU96=0,0,IF(AU102&lt;2000,1,SUM(O79:AJ79)))</f>
        <v>0</v>
      </c>
      <c r="AZ90" s="326">
        <f>IF(AY90="","",IF($AW$4=1,AY90,0))</f>
        <v>0</v>
      </c>
      <c r="BA90" s="95">
        <f>VLOOKUP(AU90,CENY!$B$11:$M$2025,12,FALSE)</f>
        <v>71.34393</v>
      </c>
      <c r="BB90" s="95">
        <f>IF(BA90="","",BA90*AY90)</f>
        <v>0</v>
      </c>
      <c r="BD90" s="319">
        <f>OBJ!B288</f>
        <v>9236718</v>
      </c>
      <c r="BE90" s="21" t="str">
        <f>VLOOKUP(BD90,CENY!$B$11:$G$1054,2,FALSE)</f>
        <v>Push to open Synchro / tyč 2.000 mm</v>
      </c>
      <c r="BF90" s="22">
        <f>VLOOKUP(BD90,CENY!$B$11:$G$1054,3,FALSE)</f>
        <v>100</v>
      </c>
      <c r="BG90" s="22"/>
      <c r="BH90" s="68"/>
      <c r="BI90" s="326" t="str">
        <f t="shared" si="9"/>
        <v/>
      </c>
      <c r="BJ90" s="95">
        <f>VLOOKUP(BD90,CENY!$B$11:$M$2025,12,FALSE)</f>
        <v>8.7567500000000003</v>
      </c>
      <c r="BK90" s="95">
        <f t="shared" si="10"/>
        <v>0</v>
      </c>
    </row>
    <row r="91" spans="1:63" ht="14.45" customHeight="1">
      <c r="A91" s="579"/>
      <c r="AU91" s="319">
        <f>OBJ!B198</f>
        <v>9257611</v>
      </c>
      <c r="AV91" s="21" t="str">
        <f>VLOOKUP(AU91,CENY!$B$11:$G$1054,2,FALSE)</f>
        <v>AvanY-spojky čela vnút.zás./v101/strieb.</v>
      </c>
      <c r="AW91" s="22">
        <f>VLOOKUP(AU91,CENY!$B$11:$G$1054,3,FALSE)</f>
        <v>1</v>
      </c>
      <c r="AX91" s="22"/>
      <c r="AY91" s="23">
        <f>1*(AY1)*(SUM(W20:AD20)+SUM(W22:AF22)+SUM(W28:AD28))</f>
        <v>0</v>
      </c>
      <c r="AZ91" s="326">
        <f>IF(AY91="","",IF($AW$4=1,AY91,0))</f>
        <v>0</v>
      </c>
      <c r="BA91" s="95">
        <f>VLOOKUP(AU91,CENY!$B$11:$M$2025,12,FALSE)</f>
        <v>4.6785699999999997</v>
      </c>
      <c r="BB91" s="95">
        <f>IF(BA91="","",BA91*AY91)</f>
        <v>0</v>
      </c>
      <c r="BD91" s="319"/>
      <c r="BE91" s="21"/>
      <c r="BF91" s="22"/>
      <c r="BG91" s="22"/>
      <c r="BH91" s="23"/>
      <c r="BI91" s="326" t="str">
        <f t="shared" si="9"/>
        <v/>
      </c>
      <c r="BJ91" s="95"/>
      <c r="BK91" s="95" t="str">
        <f t="shared" si="10"/>
        <v/>
      </c>
    </row>
    <row r="92" spans="1:63" ht="14.45" customHeight="1">
      <c r="A92" s="579"/>
      <c r="AU92" s="319">
        <f>OBJ!B196</f>
        <v>9257271</v>
      </c>
      <c r="AV92" s="21" t="str">
        <f>VLOOKUP(AU92,CENY!$B$11:$G$1054,2,FALSE)</f>
        <v>AvanY-čelo vnút.zásuvky /v187/d2000/strieb.</v>
      </c>
      <c r="AW92" s="22">
        <f>VLOOKUP(AU92,CENY!$B$11:$G$1054,3,FALSE)</f>
        <v>1</v>
      </c>
      <c r="AX92" s="22"/>
      <c r="AY92" s="23">
        <f>IF(AW96=0,0,IF(AW102&lt;2000,1,SUM(O80:AJ80)))</f>
        <v>0</v>
      </c>
      <c r="AZ92" s="326">
        <f>IF(AY92="","",IF($AW$4=1,AY92,0))</f>
        <v>0</v>
      </c>
      <c r="BA92" s="95">
        <f>VLOOKUP(AU92,CENY!$B$11:$M$2025,12,FALSE)</f>
        <v>106.6825</v>
      </c>
      <c r="BB92" s="95">
        <f>IF(BA92="","",BA92*AY92)</f>
        <v>0</v>
      </c>
      <c r="BD92" s="319">
        <f>OBJ!B297</f>
        <v>9256944</v>
      </c>
      <c r="BE92" s="21" t="str">
        <f>VLOOKUP(BD92,CENY!$B$11:$G$1054,2,FALSE)</f>
        <v>Quadro You(S) 270/SiSy 10kg; EB21; ľavý</v>
      </c>
      <c r="BF92" s="22">
        <f>VLOOKUP(BD92,CENY!$B$11:$G$1054,3,FALSE)</f>
        <v>20</v>
      </c>
      <c r="BG92" s="22"/>
      <c r="BH92" s="68"/>
      <c r="BI92" s="326" t="str">
        <f t="shared" si="9"/>
        <v/>
      </c>
      <c r="BJ92" s="95">
        <f>VLOOKUP(BD92,CENY!$B$11:$M$2025,12,FALSE)</f>
        <v>10.7646</v>
      </c>
      <c r="BK92" s="95">
        <f t="shared" si="10"/>
        <v>0</v>
      </c>
    </row>
    <row r="93" spans="1:63" ht="14.45" customHeight="1">
      <c r="A93" s="579"/>
      <c r="AU93" s="319">
        <f>OBJ!B201</f>
        <v>9257623</v>
      </c>
      <c r="AV93" s="21" t="str">
        <f>VLOOKUP(AU93,CENY!$B$11:$G$1054,2,FALSE)</f>
        <v>AvanY-spojky čela vnút.Inlay/v187/strieb.</v>
      </c>
      <c r="AW93" s="22">
        <f>VLOOKUP(AU93,CENY!$B$11:$G$1054,3,FALSE)</f>
        <v>1</v>
      </c>
      <c r="AX93" s="22"/>
      <c r="AY93" s="23">
        <f>1*(AY3)*(SUM(W20:AD20)+SUM(W22:AF22)+SUM(W28:AD28))</f>
        <v>0</v>
      </c>
      <c r="AZ93" s="326">
        <f>IF(AY93="","",IF($AW$4=1,AY93,0))</f>
        <v>0</v>
      </c>
      <c r="BA93" s="95">
        <f>VLOOKUP(AU93,CENY!$B$11:$M$2025,12,FALSE)</f>
        <v>7.2178100000000001</v>
      </c>
      <c r="BB93" s="95">
        <f>IF(BA93="","",BA93*AY93)</f>
        <v>0</v>
      </c>
      <c r="BD93" s="319">
        <f>OBJ!B298</f>
        <v>9256945</v>
      </c>
      <c r="BE93" s="21" t="str">
        <f>VLOOKUP(BD93,CENY!$B$11:$G$1054,2,FALSE)</f>
        <v>Quadro You(S) 270/SiSy 10kg; EB21; pravý</v>
      </c>
      <c r="BF93" s="22">
        <f>VLOOKUP(BD93,CENY!$B$11:$G$1054,3,FALSE)</f>
        <v>20</v>
      </c>
      <c r="BG93" s="22"/>
      <c r="BH93" s="68"/>
      <c r="BI93" s="326" t="str">
        <f t="shared" si="9"/>
        <v/>
      </c>
      <c r="BJ93" s="95">
        <f>VLOOKUP(BD93,CENY!$B$11:$M$2025,12,FALSE)</f>
        <v>10.7646</v>
      </c>
      <c r="BK93" s="95">
        <f t="shared" si="10"/>
        <v>0</v>
      </c>
    </row>
    <row r="94" spans="1:63" ht="14.45" customHeight="1">
      <c r="A94" s="579"/>
      <c r="AU94" s="319"/>
      <c r="AV94" s="21"/>
      <c r="AW94" s="368"/>
      <c r="AX94" s="368"/>
      <c r="AY94" s="369"/>
      <c r="AZ94" s="326" t="str">
        <f t="shared" si="8"/>
        <v/>
      </c>
      <c r="BA94" s="95"/>
      <c r="BB94" s="95" t="str">
        <f t="shared" si="7"/>
        <v/>
      </c>
      <c r="BD94" s="319">
        <f>OBJ!B299</f>
        <v>9256946</v>
      </c>
      <c r="BE94" s="21" t="str">
        <f>VLOOKUP(BD94,CENY!$B$11:$G$1054,2,FALSE)</f>
        <v>Quadro You(S) 300/SiSy 10kg; EB21; ľavý</v>
      </c>
      <c r="BF94" s="22">
        <f>VLOOKUP(BD94,CENY!$B$11:$G$1054,3,FALSE)</f>
        <v>20</v>
      </c>
      <c r="BG94" s="22"/>
      <c r="BH94" s="68"/>
      <c r="BI94" s="326" t="str">
        <f t="shared" si="9"/>
        <v/>
      </c>
      <c r="BJ94" s="95">
        <f>VLOOKUP(BD94,CENY!$B$11:$M$2025,12,FALSE)</f>
        <v>10.787739999999999</v>
      </c>
      <c r="BK94" s="95">
        <f t="shared" si="10"/>
        <v>0</v>
      </c>
    </row>
    <row r="95" spans="1:63" ht="14.45" customHeight="1">
      <c r="A95" s="579"/>
      <c r="AU95" s="372" t="s">
        <v>595</v>
      </c>
      <c r="AV95" s="21"/>
      <c r="AW95" s="613" t="s">
        <v>596</v>
      </c>
      <c r="AX95" s="613"/>
      <c r="AY95" s="613"/>
      <c r="AZ95" s="326" t="str">
        <f t="shared" si="8"/>
        <v/>
      </c>
      <c r="BA95" s="95"/>
      <c r="BB95" s="95" t="str">
        <f t="shared" si="7"/>
        <v/>
      </c>
      <c r="BD95" s="319">
        <f>OBJ!B300</f>
        <v>9256947</v>
      </c>
      <c r="BE95" s="21" t="str">
        <f>VLOOKUP(BD95,CENY!$B$11:$G$1054,2,FALSE)</f>
        <v>Quadro You(S) 300/SiSy 10kg; EB21; pravý</v>
      </c>
      <c r="BF95" s="22">
        <f>VLOOKUP(BD95,CENY!$B$11:$G$1054,3,FALSE)</f>
        <v>20</v>
      </c>
      <c r="BG95" s="22"/>
      <c r="BH95" s="68"/>
      <c r="BI95" s="326" t="str">
        <f t="shared" si="9"/>
        <v/>
      </c>
      <c r="BJ95" s="95">
        <f>VLOOKUP(BD95,CENY!$B$11:$M$2025,12,FALSE)</f>
        <v>10.787739999999999</v>
      </c>
      <c r="BK95" s="95">
        <f t="shared" si="10"/>
        <v>0</v>
      </c>
    </row>
    <row r="96" spans="1:63" ht="14.45" customHeight="1">
      <c r="A96" s="579"/>
      <c r="AU96" s="330">
        <f>1*(AY1)*(SUM(W20:AD20)+SUM(W22:AF22)+SUM(W28:AD28))</f>
        <v>0</v>
      </c>
      <c r="AV96" s="329" t="s">
        <v>356</v>
      </c>
      <c r="AW96" s="612">
        <f>1*(AY3)*(SUM(W20:AD20)+SUM(W22:AF22)+SUM(W28:AD28))</f>
        <v>0</v>
      </c>
      <c r="AX96" s="612"/>
      <c r="AY96" s="612"/>
      <c r="AZ96" s="326" t="str">
        <f t="shared" si="8"/>
        <v/>
      </c>
      <c r="BA96" s="95"/>
      <c r="BB96" s="95" t="str">
        <f t="shared" si="7"/>
        <v/>
      </c>
      <c r="BD96" s="319">
        <f>OBJ!B301</f>
        <v>9256950</v>
      </c>
      <c r="BE96" s="21" t="str">
        <f>VLOOKUP(BD96,CENY!$B$11:$G$1054,2,FALSE)</f>
        <v>Quadro You(S) 350/SiSy 10kg; EB21; ľavý</v>
      </c>
      <c r="BF96" s="22">
        <f>VLOOKUP(BD96,CENY!$B$11:$G$1054,3,FALSE)</f>
        <v>20</v>
      </c>
      <c r="BG96" s="22"/>
      <c r="BH96" s="68"/>
      <c r="BI96" s="326" t="str">
        <f t="shared" si="9"/>
        <v/>
      </c>
      <c r="BJ96" s="95">
        <f>VLOOKUP(BD96,CENY!$B$11:$M$2025,12,FALSE)</f>
        <v>11.02122</v>
      </c>
      <c r="BK96" s="95">
        <f t="shared" si="10"/>
        <v>0</v>
      </c>
    </row>
    <row r="97" spans="1:63" ht="14.45" customHeight="1">
      <c r="A97" s="579"/>
      <c r="AU97" s="20"/>
      <c r="AV97" s="21"/>
      <c r="AW97" s="612"/>
      <c r="AX97" s="612"/>
      <c r="AY97" s="612"/>
      <c r="AZ97" s="326" t="str">
        <f t="shared" si="8"/>
        <v/>
      </c>
      <c r="BA97" s="95"/>
      <c r="BB97" s="95" t="str">
        <f t="shared" si="7"/>
        <v/>
      </c>
      <c r="BD97" s="319">
        <f>OBJ!B302</f>
        <v>9256951</v>
      </c>
      <c r="BE97" s="21" t="str">
        <f>VLOOKUP(BD97,CENY!$B$11:$G$1054,2,FALSE)</f>
        <v>Quadro You(S) 350/SiSy 10kg; EB21; pravý</v>
      </c>
      <c r="BF97" s="22">
        <f>VLOOKUP(BD97,CENY!$B$11:$G$1054,3,FALSE)</f>
        <v>20</v>
      </c>
      <c r="BG97" s="22"/>
      <c r="BH97" s="68"/>
      <c r="BI97" s="326" t="str">
        <f t="shared" si="9"/>
        <v/>
      </c>
      <c r="BJ97" s="95">
        <f>VLOOKUP(BD97,CENY!$B$11:$M$2025,12,FALSE)</f>
        <v>11.02122</v>
      </c>
      <c r="BK97" s="95">
        <f t="shared" si="10"/>
        <v>0</v>
      </c>
    </row>
    <row r="98" spans="1:63" ht="14.45" customHeight="1">
      <c r="A98" s="579"/>
      <c r="AU98" s="331">
        <f>SUM(O85:AJ85)*AY1</f>
        <v>0</v>
      </c>
      <c r="AV98" s="21" t="s">
        <v>357</v>
      </c>
      <c r="AW98" s="612">
        <f>SUM(O85:AJ85)*AY3</f>
        <v>0</v>
      </c>
      <c r="AX98" s="612"/>
      <c r="AY98" s="612"/>
      <c r="AZ98" s="326" t="str">
        <f t="shared" si="8"/>
        <v/>
      </c>
      <c r="BA98" s="95"/>
      <c r="BB98" s="95" t="str">
        <f t="shared" si="7"/>
        <v/>
      </c>
      <c r="BD98" s="319"/>
      <c r="BE98" s="21"/>
      <c r="BF98" s="22"/>
      <c r="BG98" s="22"/>
      <c r="BH98" s="23"/>
      <c r="BI98" s="326" t="str">
        <f t="shared" si="9"/>
        <v/>
      </c>
      <c r="BJ98" s="95"/>
      <c r="BK98" s="95" t="str">
        <f t="shared" si="10"/>
        <v/>
      </c>
    </row>
    <row r="99" spans="1:63" ht="14.45" customHeight="1">
      <c r="A99" s="579"/>
      <c r="AU99" s="22">
        <f>AU96-AU98</f>
        <v>0</v>
      </c>
      <c r="AV99" s="21"/>
      <c r="AW99" s="612">
        <f>AW96-AW98</f>
        <v>0</v>
      </c>
      <c r="AX99" s="612"/>
      <c r="AY99" s="612"/>
      <c r="AZ99" s="326" t="str">
        <f t="shared" si="8"/>
        <v/>
      </c>
      <c r="BA99" s="95"/>
      <c r="BB99" s="95" t="str">
        <f t="shared" si="7"/>
        <v/>
      </c>
      <c r="BD99" s="319">
        <f>OBJ!B312</f>
        <v>9256854</v>
      </c>
      <c r="BE99" s="21" t="str">
        <f>VLOOKUP(BD99,CENY!$B$11:$G$1054,2,FALSE)</f>
        <v>Quadro You(M) 270/SiSy 20kg; EB21; ľavý</v>
      </c>
      <c r="BF99" s="22">
        <f>VLOOKUP(BD99,CENY!$B$11:$G$1054,3,FALSE)</f>
        <v>20</v>
      </c>
      <c r="BG99" s="22"/>
      <c r="BH99" s="68"/>
      <c r="BI99" s="326" t="str">
        <f t="shared" si="9"/>
        <v/>
      </c>
      <c r="BJ99" s="95">
        <f>VLOOKUP(BD99,CENY!$B$11:$M$2025,12,FALSE)</f>
        <v>10.7646</v>
      </c>
      <c r="BK99" s="95">
        <f t="shared" si="10"/>
        <v>0</v>
      </c>
    </row>
    <row r="100" spans="1:63" ht="14.45" customHeight="1">
      <c r="A100" s="579"/>
      <c r="AU100" s="22">
        <f>ABS(AU99)</f>
        <v>0</v>
      </c>
      <c r="AV100" s="21"/>
      <c r="AW100" s="612">
        <f>ABS(AW99)</f>
        <v>0</v>
      </c>
      <c r="AX100" s="612"/>
      <c r="AY100" s="612"/>
      <c r="AZ100" s="326" t="str">
        <f t="shared" si="8"/>
        <v/>
      </c>
      <c r="BA100" s="95"/>
      <c r="BB100" s="95" t="str">
        <f t="shared" si="7"/>
        <v/>
      </c>
      <c r="BD100" s="319">
        <f>OBJ!B313</f>
        <v>9256855</v>
      </c>
      <c r="BE100" s="21" t="str">
        <f>VLOOKUP(BD100,CENY!$B$11:$G$1054,2,FALSE)</f>
        <v>Quadro You(M) 270/SiSy 20kg; EB21; pravý</v>
      </c>
      <c r="BF100" s="22">
        <f>VLOOKUP(BD100,CENY!$B$11:$G$1054,3,FALSE)</f>
        <v>20</v>
      </c>
      <c r="BG100" s="22"/>
      <c r="BH100" s="68"/>
      <c r="BI100" s="326" t="str">
        <f t="shared" si="9"/>
        <v/>
      </c>
      <c r="BJ100" s="95">
        <f>VLOOKUP(BD100,CENY!$B$11:$M$2025,12,FALSE)</f>
        <v>10.7646</v>
      </c>
      <c r="BK100" s="95">
        <f t="shared" si="10"/>
        <v>0</v>
      </c>
    </row>
    <row r="101" spans="1:63">
      <c r="A101" s="579"/>
      <c r="AU101" s="20"/>
      <c r="AV101" s="21"/>
      <c r="AW101" s="612"/>
      <c r="AX101" s="612"/>
      <c r="AY101" s="612"/>
      <c r="AZ101" s="326" t="str">
        <f t="shared" si="8"/>
        <v/>
      </c>
      <c r="BA101" s="95"/>
      <c r="BB101" s="95" t="str">
        <f t="shared" si="7"/>
        <v/>
      </c>
      <c r="BD101" s="319">
        <f>OBJ!B314</f>
        <v>9256856</v>
      </c>
      <c r="BE101" s="21" t="str">
        <f>VLOOKUP(BD101,CENY!$B$11:$G$1054,2,FALSE)</f>
        <v>Quadro You(M) 300/SiSy 20kg; EB21; ľavý</v>
      </c>
      <c r="BF101" s="22">
        <f>VLOOKUP(BD101,CENY!$B$11:$G$1054,3,FALSE)</f>
        <v>20</v>
      </c>
      <c r="BG101" s="22"/>
      <c r="BH101" s="68"/>
      <c r="BI101" s="326" t="str">
        <f t="shared" si="9"/>
        <v/>
      </c>
      <c r="BJ101" s="95">
        <f>VLOOKUP(BD101,CENY!$B$11:$M$2025,12,FALSE)</f>
        <v>10.787739999999999</v>
      </c>
      <c r="BK101" s="95">
        <f t="shared" si="10"/>
        <v>0</v>
      </c>
    </row>
    <row r="102" spans="1:63">
      <c r="A102" s="579"/>
      <c r="AU102" s="22">
        <f>(AU98-1)*4+SUM(O81:AJ81)</f>
        <v>-4</v>
      </c>
      <c r="AV102" s="21" t="s">
        <v>358</v>
      </c>
      <c r="AW102" s="612">
        <f>(AW98-1)*4+SUM(O82:AJ82)</f>
        <v>-4</v>
      </c>
      <c r="AX102" s="612"/>
      <c r="AY102" s="612"/>
      <c r="AZ102" s="326" t="str">
        <f t="shared" si="8"/>
        <v/>
      </c>
      <c r="BA102" s="95"/>
      <c r="BB102" s="95" t="str">
        <f t="shared" si="7"/>
        <v/>
      </c>
      <c r="BD102" s="319">
        <f>OBJ!B315</f>
        <v>9256857</v>
      </c>
      <c r="BE102" s="21" t="str">
        <f>VLOOKUP(BD102,CENY!$B$11:$G$1054,2,FALSE)</f>
        <v>Quadro You(M) 300/SiSy 20kg; EB21; pravý</v>
      </c>
      <c r="BF102" s="22">
        <f>VLOOKUP(BD102,CENY!$B$11:$G$1054,3,FALSE)</f>
        <v>20</v>
      </c>
      <c r="BG102" s="22"/>
      <c r="BH102" s="68"/>
      <c r="BI102" s="326" t="str">
        <f t="shared" si="9"/>
        <v/>
      </c>
      <c r="BJ102" s="95">
        <f>VLOOKUP(BD102,CENY!$B$11:$M$2025,12,FALSE)</f>
        <v>10.787739999999999</v>
      </c>
      <c r="BK102" s="95">
        <f t="shared" si="10"/>
        <v>0</v>
      </c>
    </row>
    <row r="103" spans="1:63">
      <c r="A103" s="579"/>
      <c r="AU103" s="22"/>
      <c r="AV103" s="21"/>
      <c r="AW103" s="370"/>
      <c r="AX103" s="370"/>
      <c r="AY103" s="371"/>
      <c r="AZ103" s="326" t="str">
        <f t="shared" si="8"/>
        <v/>
      </c>
      <c r="BA103" s="95"/>
      <c r="BB103" s="95" t="str">
        <f t="shared" si="7"/>
        <v/>
      </c>
      <c r="BD103" s="319">
        <f>OBJ!B316</f>
        <v>9256860</v>
      </c>
      <c r="BE103" s="21" t="str">
        <f>VLOOKUP(BD103,CENY!$B$11:$G$1054,2,FALSE)</f>
        <v>Quadro You(M) 350/SiSy 25kg; EB21; ľavý</v>
      </c>
      <c r="BF103" s="22">
        <f>VLOOKUP(BD103,CENY!$B$11:$G$1054,3,FALSE)</f>
        <v>20</v>
      </c>
      <c r="BG103" s="22"/>
      <c r="BH103" s="68"/>
      <c r="BI103" s="326" t="str">
        <f t="shared" si="9"/>
        <v/>
      </c>
      <c r="BJ103" s="95">
        <f>VLOOKUP(BD103,CENY!$B$11:$M$2025,12,FALSE)</f>
        <v>11.02122</v>
      </c>
      <c r="BK103" s="95">
        <f t="shared" si="10"/>
        <v>0</v>
      </c>
    </row>
    <row r="104" spans="1:63">
      <c r="A104" s="579"/>
      <c r="AU104" s="20"/>
      <c r="AV104" s="21"/>
      <c r="AW104" s="22"/>
      <c r="AX104" s="22"/>
      <c r="AY104" s="23"/>
      <c r="AZ104" s="326" t="str">
        <f t="shared" si="8"/>
        <v/>
      </c>
      <c r="BA104" s="95"/>
      <c r="BB104" s="95" t="str">
        <f t="shared" si="7"/>
        <v/>
      </c>
      <c r="BD104" s="319">
        <f>OBJ!B317</f>
        <v>9256861</v>
      </c>
      <c r="BE104" s="21" t="str">
        <f>VLOOKUP(BD104,CENY!$B$11:$G$1054,2,FALSE)</f>
        <v>Quadro You(M) 350/SiSy 25kg; EB21; pravý</v>
      </c>
      <c r="BF104" s="22">
        <f>VLOOKUP(BD104,CENY!$B$11:$G$1054,3,FALSE)</f>
        <v>20</v>
      </c>
      <c r="BG104" s="22"/>
      <c r="BH104" s="68"/>
      <c r="BI104" s="326" t="str">
        <f t="shared" si="9"/>
        <v/>
      </c>
      <c r="BJ104" s="95">
        <f>VLOOKUP(BD104,CENY!$B$11:$M$2025,12,FALSE)</f>
        <v>11.02122</v>
      </c>
      <c r="BK104" s="95">
        <f t="shared" si="10"/>
        <v>0</v>
      </c>
    </row>
    <row r="105" spans="1:63">
      <c r="A105" s="579"/>
      <c r="AU105" s="20"/>
      <c r="AV105" s="21"/>
      <c r="AW105" s="22"/>
      <c r="AX105" s="22"/>
      <c r="AY105" s="23"/>
      <c r="AZ105" s="326" t="str">
        <f t="shared" si="8"/>
        <v/>
      </c>
      <c r="BA105" s="95"/>
      <c r="BB105" s="95" t="str">
        <f t="shared" si="7"/>
        <v/>
      </c>
      <c r="BD105" s="319">
        <f>OBJ!B318</f>
        <v>9256864</v>
      </c>
      <c r="BE105" s="21" t="str">
        <f>VLOOKUP(BD105,CENY!$B$11:$G$1054,2,FALSE)</f>
        <v>Quadro You(M) 400/SiSy 30kg; EB21; ľavý</v>
      </c>
      <c r="BF105" s="22">
        <f>VLOOKUP(BD105,CENY!$B$11:$G$1054,3,FALSE)</f>
        <v>20</v>
      </c>
      <c r="BG105" s="22"/>
      <c r="BH105" s="68"/>
      <c r="BI105" s="326" t="str">
        <f t="shared" si="9"/>
        <v/>
      </c>
      <c r="BJ105" s="95">
        <f>VLOOKUP(BD105,CENY!$B$11:$M$2025,12,FALSE)</f>
        <v>11.25459</v>
      </c>
      <c r="BK105" s="95">
        <f t="shared" si="10"/>
        <v>0</v>
      </c>
    </row>
    <row r="106" spans="1:63">
      <c r="AU106" s="20"/>
      <c r="AV106" s="21"/>
      <c r="AW106" s="22"/>
      <c r="AX106" s="22"/>
      <c r="AY106" s="23"/>
      <c r="AZ106" s="326" t="str">
        <f t="shared" si="8"/>
        <v/>
      </c>
      <c r="BA106" s="95"/>
      <c r="BB106" s="95" t="str">
        <f t="shared" si="7"/>
        <v/>
      </c>
      <c r="BD106" s="319">
        <f>OBJ!B319</f>
        <v>9256865</v>
      </c>
      <c r="BE106" s="21" t="str">
        <f>VLOOKUP(BD106,CENY!$B$11:$G$1054,2,FALSE)</f>
        <v>Quadro You(M) 400/SiSy 30kg; EB21; pravý</v>
      </c>
      <c r="BF106" s="22">
        <f>VLOOKUP(BD106,CENY!$B$11:$G$1054,3,FALSE)</f>
        <v>20</v>
      </c>
      <c r="BG106" s="22"/>
      <c r="BH106" s="68"/>
      <c r="BI106" s="326" t="str">
        <f t="shared" si="9"/>
        <v/>
      </c>
      <c r="BJ106" s="95">
        <f>VLOOKUP(BD106,CENY!$B$11:$M$2025,12,FALSE)</f>
        <v>11.25459</v>
      </c>
      <c r="BK106" s="95">
        <f t="shared" si="10"/>
        <v>0</v>
      </c>
    </row>
    <row r="107" spans="1:63">
      <c r="AU107" s="20"/>
      <c r="AV107" s="21"/>
      <c r="AW107" s="22"/>
      <c r="AX107" s="22"/>
      <c r="AY107" s="23"/>
      <c r="AZ107" s="326" t="str">
        <f t="shared" si="8"/>
        <v/>
      </c>
      <c r="BA107" s="95"/>
      <c r="BB107" s="95" t="str">
        <f t="shared" si="7"/>
        <v/>
      </c>
      <c r="BD107" s="319">
        <f>OBJ!B320</f>
        <v>9256868</v>
      </c>
      <c r="BE107" s="21" t="str">
        <f>VLOOKUP(BD107,CENY!$B$11:$G$1054,2,FALSE)</f>
        <v>Quadro You(M) 450/SiSy 30kg; EB21; ľavý</v>
      </c>
      <c r="BF107" s="22">
        <f>VLOOKUP(BD107,CENY!$B$11:$G$1054,3,FALSE)</f>
        <v>20</v>
      </c>
      <c r="BG107" s="22"/>
      <c r="BH107" s="23">
        <f>AY64</f>
        <v>0</v>
      </c>
      <c r="BI107" s="326">
        <f t="shared" si="9"/>
        <v>0</v>
      </c>
      <c r="BJ107" s="95">
        <f>VLOOKUP(BD107,CENY!$B$11:$M$2025,12,FALSE)</f>
        <v>11.487740000000001</v>
      </c>
      <c r="BK107" s="95">
        <f t="shared" si="10"/>
        <v>0</v>
      </c>
    </row>
    <row r="108" spans="1:63">
      <c r="AU108" s="20"/>
      <c r="AV108" s="21"/>
      <c r="AW108" s="22"/>
      <c r="AX108" s="22"/>
      <c r="AY108" s="23"/>
      <c r="AZ108" s="326" t="str">
        <f t="shared" si="8"/>
        <v/>
      </c>
      <c r="BA108" s="95"/>
      <c r="BB108" s="95" t="str">
        <f t="shared" si="7"/>
        <v/>
      </c>
      <c r="BD108" s="319">
        <f>OBJ!B321</f>
        <v>9256869</v>
      </c>
      <c r="BE108" s="21" t="str">
        <f>VLOOKUP(BD108,CENY!$B$11:$G$1054,2,FALSE)</f>
        <v>Quadro You(M) 450/SiSy 30kg; EB21; pravý</v>
      </c>
      <c r="BF108" s="22">
        <f>VLOOKUP(BD108,CENY!$B$11:$G$1054,3,FALSE)</f>
        <v>20</v>
      </c>
      <c r="BG108" s="22"/>
      <c r="BH108" s="23">
        <f>AY64</f>
        <v>0</v>
      </c>
      <c r="BI108" s="326">
        <f t="shared" si="9"/>
        <v>0</v>
      </c>
      <c r="BJ108" s="95">
        <f>VLOOKUP(BD108,CENY!$B$11:$M$2025,12,FALSE)</f>
        <v>11.487740000000001</v>
      </c>
      <c r="BK108" s="95">
        <f t="shared" si="10"/>
        <v>0</v>
      </c>
    </row>
    <row r="109" spans="1:63">
      <c r="AU109" s="20"/>
      <c r="AV109" s="21"/>
      <c r="AW109" s="22"/>
      <c r="AX109" s="22"/>
      <c r="AY109" s="23"/>
      <c r="AZ109" s="326" t="str">
        <f t="shared" si="8"/>
        <v/>
      </c>
      <c r="BA109" s="95"/>
      <c r="BB109" s="95" t="str">
        <f t="shared" si="7"/>
        <v/>
      </c>
      <c r="BD109" s="319">
        <f>OBJ!B322</f>
        <v>9256872</v>
      </c>
      <c r="BE109" s="21" t="str">
        <f>VLOOKUP(BD109,CENY!$B$11:$G$1054,2,FALSE)</f>
        <v>Quadro You(M) 500/SiSy 30kg; EB21; ľavý</v>
      </c>
      <c r="BF109" s="22">
        <f>VLOOKUP(BD109,CENY!$B$11:$G$1054,3,FALSE)</f>
        <v>20</v>
      </c>
      <c r="BG109" s="22"/>
      <c r="BH109" s="23">
        <f>AY65</f>
        <v>0</v>
      </c>
      <c r="BI109" s="326">
        <f t="shared" si="9"/>
        <v>0</v>
      </c>
      <c r="BJ109" s="95">
        <f>VLOOKUP(BD109,CENY!$B$11:$M$2025,12,FALSE)</f>
        <v>11.163180000000001</v>
      </c>
      <c r="BK109" s="95">
        <f t="shared" si="10"/>
        <v>0</v>
      </c>
    </row>
    <row r="110" spans="1:63">
      <c r="AU110" s="20"/>
      <c r="AV110" s="21"/>
      <c r="AW110" s="22"/>
      <c r="AX110" s="22"/>
      <c r="AY110" s="23"/>
      <c r="AZ110" s="326" t="str">
        <f t="shared" si="8"/>
        <v/>
      </c>
      <c r="BA110" s="95"/>
      <c r="BB110" s="95" t="str">
        <f t="shared" si="7"/>
        <v/>
      </c>
      <c r="BD110" s="319">
        <f>OBJ!B323</f>
        <v>9256873</v>
      </c>
      <c r="BE110" s="21" t="str">
        <f>VLOOKUP(BD110,CENY!$B$11:$G$1054,2,FALSE)</f>
        <v>Quadro You(M) 500/SiSy 30kg; EB21; pravý</v>
      </c>
      <c r="BF110" s="22">
        <f>VLOOKUP(BD110,CENY!$B$11:$G$1054,3,FALSE)</f>
        <v>20</v>
      </c>
      <c r="BG110" s="22"/>
      <c r="BH110" s="23">
        <f>AY65</f>
        <v>0</v>
      </c>
      <c r="BI110" s="326">
        <f t="shared" si="9"/>
        <v>0</v>
      </c>
      <c r="BJ110" s="95">
        <f>VLOOKUP(BD110,CENY!$B$11:$M$2025,12,FALSE)</f>
        <v>11.163180000000001</v>
      </c>
      <c r="BK110" s="95">
        <f t="shared" si="10"/>
        <v>0</v>
      </c>
    </row>
    <row r="111" spans="1:63">
      <c r="AU111" s="20"/>
      <c r="AV111" s="21"/>
      <c r="AW111" s="22"/>
      <c r="AX111" s="22"/>
      <c r="AY111" s="23"/>
      <c r="AZ111" s="326" t="str">
        <f t="shared" si="8"/>
        <v/>
      </c>
      <c r="BA111" s="95"/>
      <c r="BB111" s="95" t="str">
        <f t="shared" si="7"/>
        <v/>
      </c>
      <c r="BD111" s="319">
        <f>OBJ!B324</f>
        <v>9256876</v>
      </c>
      <c r="BE111" s="21" t="str">
        <f>VLOOKUP(BD111,CENY!$B$11:$G$1054,2,FALSE)</f>
        <v>Quadro You(M) 550/SiSy 30kg; EB21; ľavý</v>
      </c>
      <c r="BF111" s="22">
        <f>VLOOKUP(BD111,CENY!$B$11:$G$1054,3,FALSE)</f>
        <v>20</v>
      </c>
      <c r="BG111" s="22"/>
      <c r="BH111" s="23">
        <f>AY66</f>
        <v>0</v>
      </c>
      <c r="BI111" s="326">
        <f t="shared" si="9"/>
        <v>0</v>
      </c>
      <c r="BJ111" s="95">
        <f>VLOOKUP(BD111,CENY!$B$11:$M$2025,12,FALSE)</f>
        <v>11.38542</v>
      </c>
      <c r="BK111" s="95">
        <f t="shared" si="10"/>
        <v>0</v>
      </c>
    </row>
    <row r="112" spans="1:63">
      <c r="AU112" s="20"/>
      <c r="AV112" s="21"/>
      <c r="AW112" s="22"/>
      <c r="AX112" s="22"/>
      <c r="AY112" s="23"/>
      <c r="AZ112" s="326" t="str">
        <f t="shared" si="8"/>
        <v/>
      </c>
      <c r="BA112" s="95"/>
      <c r="BB112" s="95" t="str">
        <f t="shared" si="7"/>
        <v/>
      </c>
      <c r="BD112" s="319">
        <f>OBJ!B325</f>
        <v>9256877</v>
      </c>
      <c r="BE112" s="21" t="str">
        <f>VLOOKUP(BD112,CENY!$B$11:$G$1054,2,FALSE)</f>
        <v>Quadro You(M) 550/SiSy 30kg; EB21; pravý</v>
      </c>
      <c r="BF112" s="22">
        <f>VLOOKUP(BD112,CENY!$B$11:$G$1054,3,FALSE)</f>
        <v>20</v>
      </c>
      <c r="BG112" s="22"/>
      <c r="BH112" s="23">
        <f>AY66</f>
        <v>0</v>
      </c>
      <c r="BI112" s="326">
        <f t="shared" si="9"/>
        <v>0</v>
      </c>
      <c r="BJ112" s="95">
        <f>VLOOKUP(BD112,CENY!$B$11:$M$2025,12,FALSE)</f>
        <v>11.954689999999999</v>
      </c>
      <c r="BK112" s="95">
        <f t="shared" si="10"/>
        <v>0</v>
      </c>
    </row>
    <row r="113" spans="47:63">
      <c r="AU113" s="20"/>
      <c r="AV113" s="21"/>
      <c r="AW113" s="22"/>
      <c r="AX113" s="22"/>
      <c r="AY113" s="23"/>
      <c r="AZ113" s="326" t="str">
        <f t="shared" si="8"/>
        <v/>
      </c>
      <c r="BA113" s="95"/>
      <c r="BB113" s="95" t="str">
        <f t="shared" si="7"/>
        <v/>
      </c>
      <c r="BD113" s="319">
        <f>OBJ!B326</f>
        <v>9256880</v>
      </c>
      <c r="BE113" s="21" t="str">
        <f>VLOOKUP(BD113,CENY!$B$11:$G$1054,2,FALSE)</f>
        <v>Quadro You(M) 600/SiSy 25kg; EB21; ľavý</v>
      </c>
      <c r="BF113" s="22">
        <f>VLOOKUP(BD113,CENY!$B$11:$G$1054,3,FALSE)</f>
        <v>20</v>
      </c>
      <c r="BG113" s="22"/>
      <c r="BH113" s="23">
        <f>AY67</f>
        <v>0</v>
      </c>
      <c r="BI113" s="326">
        <f t="shared" si="9"/>
        <v>0</v>
      </c>
      <c r="BJ113" s="95">
        <f>VLOOKUP(BD113,CENY!$B$11:$M$2025,12,FALSE)</f>
        <v>12.187939999999999</v>
      </c>
      <c r="BK113" s="95">
        <f t="shared" si="10"/>
        <v>0</v>
      </c>
    </row>
    <row r="114" spans="47:63">
      <c r="AU114" s="20"/>
      <c r="AV114" s="21"/>
      <c r="AW114" s="22"/>
      <c r="AX114" s="22"/>
      <c r="AY114" s="23"/>
      <c r="AZ114" s="326" t="str">
        <f t="shared" si="8"/>
        <v/>
      </c>
      <c r="BA114" s="95"/>
      <c r="BB114" s="95" t="str">
        <f t="shared" si="7"/>
        <v/>
      </c>
      <c r="BD114" s="319">
        <f>OBJ!B327</f>
        <v>9256881</v>
      </c>
      <c r="BE114" s="21" t="str">
        <f>VLOOKUP(BD114,CENY!$B$11:$G$1054,2,FALSE)</f>
        <v>Quadro You(M) 600/SiSy 25kg; EB21; pravý</v>
      </c>
      <c r="BF114" s="22">
        <f>VLOOKUP(BD114,CENY!$B$11:$G$1054,3,FALSE)</f>
        <v>20</v>
      </c>
      <c r="BG114" s="22"/>
      <c r="BH114" s="23">
        <f>AY67</f>
        <v>0</v>
      </c>
      <c r="BI114" s="326">
        <f t="shared" si="9"/>
        <v>0</v>
      </c>
      <c r="BJ114" s="95">
        <f>VLOOKUP(BD114,CENY!$B$11:$M$2025,12,FALSE)</f>
        <v>12.187939999999999</v>
      </c>
      <c r="BK114" s="95">
        <f t="shared" si="10"/>
        <v>0</v>
      </c>
    </row>
    <row r="115" spans="47:63">
      <c r="AU115" s="20"/>
      <c r="AV115" s="21"/>
      <c r="AW115" s="22"/>
      <c r="AX115" s="22"/>
      <c r="AY115" s="23"/>
      <c r="AZ115" s="326" t="str">
        <f t="shared" si="8"/>
        <v/>
      </c>
      <c r="BA115" s="95"/>
      <c r="BB115" s="95" t="str">
        <f t="shared" si="7"/>
        <v/>
      </c>
      <c r="BD115" s="319"/>
      <c r="BE115" s="21"/>
      <c r="BF115" s="22"/>
      <c r="BG115" s="22"/>
      <c r="BH115" s="23"/>
      <c r="BI115" s="326" t="str">
        <f t="shared" si="9"/>
        <v/>
      </c>
      <c r="BJ115" s="95"/>
      <c r="BK115" s="95" t="str">
        <f t="shared" si="10"/>
        <v/>
      </c>
    </row>
    <row r="116" spans="47:63">
      <c r="AU116" s="20"/>
      <c r="AV116" s="21"/>
      <c r="AW116" s="22"/>
      <c r="AX116" s="22"/>
      <c r="AY116" s="23"/>
      <c r="AZ116" s="326" t="str">
        <f t="shared" si="8"/>
        <v/>
      </c>
      <c r="BA116" s="95"/>
      <c r="BB116" s="95" t="str">
        <f t="shared" si="7"/>
        <v/>
      </c>
      <c r="BD116" s="319">
        <f>OBJ!B329</f>
        <v>9257894</v>
      </c>
      <c r="BE116" s="21" t="str">
        <f>VLOOKUP(BD116,CENY!$B$11:$G$1054,2,FALSE)</f>
        <v>Quadro You - Push to open Silent; &lt;10kg</v>
      </c>
      <c r="BF116" s="22">
        <f>VLOOKUP(BD116,CENY!$B$11:$G$1054,3,FALSE)</f>
        <v>1</v>
      </c>
      <c r="BG116" s="22"/>
      <c r="BH116" s="68"/>
      <c r="BI116" s="326" t="str">
        <f t="shared" si="9"/>
        <v/>
      </c>
      <c r="BJ116" s="95">
        <f>VLOOKUP(BD116,CENY!$B$11:$M$2025,12,FALSE)</f>
        <v>23.114239999999999</v>
      </c>
      <c r="BK116" s="95">
        <f t="shared" si="10"/>
        <v>0</v>
      </c>
    </row>
    <row r="117" spans="47:63">
      <c r="AU117" s="20"/>
      <c r="AV117" s="21"/>
      <c r="AW117" s="22"/>
      <c r="AX117" s="22"/>
      <c r="AY117" s="23"/>
      <c r="AZ117" s="326" t="str">
        <f t="shared" si="8"/>
        <v/>
      </c>
      <c r="BA117" s="95"/>
      <c r="BB117" s="95" t="str">
        <f t="shared" si="7"/>
        <v/>
      </c>
      <c r="BD117" s="319">
        <f>OBJ!B330</f>
        <v>9257895</v>
      </c>
      <c r="BE117" s="21" t="str">
        <f>VLOOKUP(BD117,CENY!$B$11:$G$1054,2,FALSE)</f>
        <v>Quadro You - Push to open Silent; 8-20kg</v>
      </c>
      <c r="BF117" s="22">
        <f>VLOOKUP(BD117,CENY!$B$11:$G$1054,3,FALSE)</f>
        <v>1</v>
      </c>
      <c r="BG117" s="22"/>
      <c r="BH117" s="68"/>
      <c r="BI117" s="326" t="str">
        <f t="shared" si="9"/>
        <v/>
      </c>
      <c r="BJ117" s="95">
        <f>VLOOKUP(BD117,CENY!$B$11:$M$2025,12,FALSE)</f>
        <v>23.114239999999999</v>
      </c>
      <c r="BK117" s="95">
        <f t="shared" si="10"/>
        <v>0</v>
      </c>
    </row>
    <row r="118" spans="47:63">
      <c r="AU118" s="20"/>
      <c r="AV118" s="21"/>
      <c r="AW118" s="22"/>
      <c r="AX118" s="22"/>
      <c r="AY118" s="23"/>
      <c r="AZ118" s="326" t="str">
        <f t="shared" si="8"/>
        <v/>
      </c>
      <c r="BA118" s="95"/>
      <c r="BB118" s="95" t="str">
        <f t="shared" si="7"/>
        <v/>
      </c>
      <c r="BD118" s="319">
        <f>OBJ!B331</f>
        <v>9257896</v>
      </c>
      <c r="BE118" s="21" t="str">
        <f>VLOOKUP(BD118,CENY!$B$11:$G$1054,2,FALSE)</f>
        <v>Quadro You - Push to open Silent; 10-30kg</v>
      </c>
      <c r="BF118" s="22">
        <f>VLOOKUP(BD118,CENY!$B$11:$G$1054,3,FALSE)</f>
        <v>1</v>
      </c>
      <c r="BG118" s="22"/>
      <c r="BH118" s="68"/>
      <c r="BI118" s="326" t="str">
        <f t="shared" si="9"/>
        <v/>
      </c>
      <c r="BJ118" s="95">
        <f>VLOOKUP(BD118,CENY!$B$11:$M$2025,12,FALSE)</f>
        <v>23.114239999999999</v>
      </c>
      <c r="BK118" s="95">
        <f t="shared" si="10"/>
        <v>0</v>
      </c>
    </row>
    <row r="119" spans="47:63">
      <c r="AU119" s="20"/>
      <c r="AV119" s="21"/>
      <c r="AW119" s="22"/>
      <c r="AX119" s="22"/>
      <c r="AY119" s="23"/>
      <c r="AZ119" s="326" t="str">
        <f t="shared" si="8"/>
        <v/>
      </c>
      <c r="BA119" s="95"/>
      <c r="BB119" s="95" t="str">
        <f t="shared" si="7"/>
        <v/>
      </c>
      <c r="BD119" s="319"/>
      <c r="BE119" s="21"/>
      <c r="BF119" s="22"/>
      <c r="BG119" s="22"/>
      <c r="BH119" s="23"/>
      <c r="BI119" s="326" t="str">
        <f t="shared" si="9"/>
        <v/>
      </c>
      <c r="BJ119" s="95"/>
      <c r="BK119" s="95" t="str">
        <f t="shared" si="10"/>
        <v/>
      </c>
    </row>
    <row r="120" spans="47:63">
      <c r="AU120" s="20"/>
      <c r="AV120" s="21"/>
      <c r="AW120" s="22"/>
      <c r="AX120" s="22"/>
      <c r="AY120" s="23"/>
      <c r="AZ120" s="326" t="str">
        <f t="shared" si="8"/>
        <v/>
      </c>
      <c r="BA120" s="95"/>
      <c r="BB120" s="95" t="str">
        <f t="shared" si="7"/>
        <v/>
      </c>
      <c r="BD120" s="319">
        <f>OBJ!B341</f>
        <v>9256899</v>
      </c>
      <c r="BE120" s="21" t="str">
        <f>VLOOKUP(BD120,CENY!$B$11:$G$1054,2,FALSE)</f>
        <v>Quadro You(M) 270/P2O 20kg; EB21; ľavý</v>
      </c>
      <c r="BF120" s="22">
        <f>VLOOKUP(BD120,CENY!$B$11:$G$1054,3,FALSE)</f>
        <v>20</v>
      </c>
      <c r="BG120" s="22"/>
      <c r="BH120" s="68"/>
      <c r="BI120" s="326" t="str">
        <f t="shared" si="9"/>
        <v/>
      </c>
      <c r="BJ120" s="95">
        <f>VLOOKUP(BD120,CENY!$B$11:$M$2025,12,FALSE)</f>
        <v>12.16503</v>
      </c>
      <c r="BK120" s="95">
        <f t="shared" si="10"/>
        <v>0</v>
      </c>
    </row>
    <row r="121" spans="47:63">
      <c r="AU121" s="20"/>
      <c r="AV121" s="21"/>
      <c r="AW121" s="22"/>
      <c r="AX121" s="22"/>
      <c r="AY121" s="23"/>
      <c r="AZ121" s="326" t="str">
        <f t="shared" si="8"/>
        <v/>
      </c>
      <c r="BA121" s="95"/>
      <c r="BB121" s="95" t="str">
        <f t="shared" si="7"/>
        <v/>
      </c>
      <c r="BD121" s="319">
        <f>OBJ!B342</f>
        <v>9256900</v>
      </c>
      <c r="BE121" s="21" t="str">
        <f>VLOOKUP(BD121,CENY!$B$11:$G$1054,2,FALSE)</f>
        <v>Quadro You(M) 270/P2O 20kg; EB21; pravý</v>
      </c>
      <c r="BF121" s="22">
        <f>VLOOKUP(BD121,CENY!$B$11:$G$1054,3,FALSE)</f>
        <v>20</v>
      </c>
      <c r="BG121" s="22"/>
      <c r="BH121" s="68"/>
      <c r="BI121" s="326" t="str">
        <f t="shared" si="9"/>
        <v/>
      </c>
      <c r="BJ121" s="95">
        <f>VLOOKUP(BD121,CENY!$B$11:$M$2025,12,FALSE)</f>
        <v>12.16503</v>
      </c>
      <c r="BK121" s="95">
        <f t="shared" si="10"/>
        <v>0</v>
      </c>
    </row>
    <row r="122" spans="47:63">
      <c r="AU122" s="20"/>
      <c r="AV122" s="21"/>
      <c r="AW122" s="22"/>
      <c r="AX122" s="22"/>
      <c r="AY122" s="23"/>
      <c r="AZ122" s="326" t="str">
        <f t="shared" si="8"/>
        <v/>
      </c>
      <c r="BA122" s="95"/>
      <c r="BB122" s="95" t="str">
        <f t="shared" si="7"/>
        <v/>
      </c>
      <c r="BD122" s="319">
        <f>OBJ!B343</f>
        <v>9256901</v>
      </c>
      <c r="BE122" s="21" t="str">
        <f>VLOOKUP(BD122,CENY!$B$11:$G$1054,2,FALSE)</f>
        <v>Quadro You(M) 300/P2O 20kg; EB21; ľavý</v>
      </c>
      <c r="BF122" s="22">
        <f>VLOOKUP(BD122,CENY!$B$11:$G$1054,3,FALSE)</f>
        <v>20</v>
      </c>
      <c r="BG122" s="22"/>
      <c r="BH122" s="68"/>
      <c r="BI122" s="326" t="str">
        <f t="shared" si="9"/>
        <v/>
      </c>
      <c r="BJ122" s="95">
        <f>VLOOKUP(BD122,CENY!$B$11:$M$2025,12,FALSE)</f>
        <v>12.187939999999999</v>
      </c>
      <c r="BK122" s="95">
        <f t="shared" si="10"/>
        <v>0</v>
      </c>
    </row>
    <row r="123" spans="47:63">
      <c r="AU123" s="20"/>
      <c r="AV123" s="21"/>
      <c r="AW123" s="22"/>
      <c r="AX123" s="22"/>
      <c r="AY123" s="23"/>
      <c r="AZ123" s="326" t="str">
        <f t="shared" si="8"/>
        <v/>
      </c>
      <c r="BA123" s="95"/>
      <c r="BB123" s="95" t="str">
        <f t="shared" si="7"/>
        <v/>
      </c>
      <c r="BD123" s="319">
        <f>OBJ!B344</f>
        <v>9256902</v>
      </c>
      <c r="BE123" s="21" t="str">
        <f>VLOOKUP(BD123,CENY!$B$11:$G$1054,2,FALSE)</f>
        <v>Quadro You(M) 300/P2O 20kg; EB21; pravý</v>
      </c>
      <c r="BF123" s="22">
        <f>VLOOKUP(BD123,CENY!$B$11:$G$1054,3,FALSE)</f>
        <v>20</v>
      </c>
      <c r="BG123" s="22"/>
      <c r="BH123" s="68"/>
      <c r="BI123" s="326" t="str">
        <f t="shared" si="9"/>
        <v/>
      </c>
      <c r="BJ123" s="95">
        <f>VLOOKUP(BD123,CENY!$B$11:$M$2025,12,FALSE)</f>
        <v>12.187939999999999</v>
      </c>
      <c r="BK123" s="95">
        <f t="shared" si="10"/>
        <v>0</v>
      </c>
    </row>
    <row r="124" spans="47:63">
      <c r="AU124" s="20"/>
      <c r="AV124" s="21"/>
      <c r="AW124" s="22"/>
      <c r="AX124" s="22"/>
      <c r="AY124" s="23"/>
      <c r="AZ124" s="326" t="str">
        <f t="shared" si="8"/>
        <v/>
      </c>
      <c r="BA124" s="95"/>
      <c r="BB124" s="95" t="str">
        <f t="shared" si="7"/>
        <v/>
      </c>
      <c r="BD124" s="319">
        <f>OBJ!B345</f>
        <v>9256905</v>
      </c>
      <c r="BE124" s="21" t="str">
        <f>VLOOKUP(BD124,CENY!$B$11:$G$1054,2,FALSE)</f>
        <v>Quadro You(M) 350/P2O 25kg; EB21; ľavý</v>
      </c>
      <c r="BF124" s="22">
        <f>VLOOKUP(BD124,CENY!$B$11:$G$1054,3,FALSE)</f>
        <v>20</v>
      </c>
      <c r="BG124" s="22"/>
      <c r="BH124" s="68"/>
      <c r="BI124" s="326" t="str">
        <f t="shared" si="9"/>
        <v/>
      </c>
      <c r="BJ124" s="95">
        <f>VLOOKUP(BD124,CENY!$B$11:$M$2025,12,FALSE)</f>
        <v>12.42154</v>
      </c>
      <c r="BK124" s="95">
        <f t="shared" si="10"/>
        <v>0</v>
      </c>
    </row>
    <row r="125" spans="47:63">
      <c r="AU125" s="20"/>
      <c r="AV125" s="21"/>
      <c r="AW125" s="22"/>
      <c r="AX125" s="22"/>
      <c r="AY125" s="23"/>
      <c r="AZ125" s="326" t="str">
        <f t="shared" si="8"/>
        <v/>
      </c>
      <c r="BA125" s="95"/>
      <c r="BB125" s="95" t="str">
        <f t="shared" si="7"/>
        <v/>
      </c>
      <c r="BD125" s="319">
        <f>OBJ!B346</f>
        <v>9256906</v>
      </c>
      <c r="BE125" s="21" t="str">
        <f>VLOOKUP(BD125,CENY!$B$11:$G$1054,2,FALSE)</f>
        <v>Quadro You(M) 350/P2O 25kg; EB21; pravý</v>
      </c>
      <c r="BF125" s="22">
        <f>VLOOKUP(BD125,CENY!$B$11:$G$1054,3,FALSE)</f>
        <v>20</v>
      </c>
      <c r="BG125" s="22"/>
      <c r="BH125" s="68"/>
      <c r="BI125" s="326" t="str">
        <f t="shared" si="9"/>
        <v/>
      </c>
      <c r="BJ125" s="95">
        <f>VLOOKUP(BD125,CENY!$B$11:$M$2025,12,FALSE)</f>
        <v>12.42154</v>
      </c>
      <c r="BK125" s="95">
        <f t="shared" si="10"/>
        <v>0</v>
      </c>
    </row>
    <row r="126" spans="47:63">
      <c r="AU126" s="20"/>
      <c r="AV126" s="21"/>
      <c r="AW126" s="22"/>
      <c r="AX126" s="22"/>
      <c r="AY126" s="23"/>
      <c r="AZ126" s="326" t="str">
        <f t="shared" si="8"/>
        <v/>
      </c>
      <c r="BA126" s="95"/>
      <c r="BB126" s="95" t="str">
        <f t="shared" si="7"/>
        <v/>
      </c>
      <c r="BD126" s="319">
        <f>OBJ!B347</f>
        <v>9256909</v>
      </c>
      <c r="BE126" s="21" t="str">
        <f>VLOOKUP(BD126,CENY!$B$11:$G$1054,2,FALSE)</f>
        <v>Quadro You(M) 400/P2O 30kg; EB21; ľavý</v>
      </c>
      <c r="BF126" s="22">
        <f>VLOOKUP(BD126,CENY!$B$11:$G$1054,3,FALSE)</f>
        <v>20</v>
      </c>
      <c r="BG126" s="22"/>
      <c r="BH126" s="68"/>
      <c r="BI126" s="326" t="str">
        <f t="shared" si="9"/>
        <v/>
      </c>
      <c r="BJ126" s="95">
        <f>VLOOKUP(BD126,CENY!$B$11:$M$2025,12,FALSE)</f>
        <v>12.654769999999999</v>
      </c>
      <c r="BK126" s="95">
        <f t="shared" si="10"/>
        <v>0</v>
      </c>
    </row>
    <row r="127" spans="47:63">
      <c r="AU127" s="20"/>
      <c r="AV127" s="21"/>
      <c r="AW127" s="22"/>
      <c r="AX127" s="22"/>
      <c r="AY127" s="23"/>
      <c r="AZ127" s="326" t="str">
        <f t="shared" si="8"/>
        <v/>
      </c>
      <c r="BA127" s="95"/>
      <c r="BB127" s="95" t="str">
        <f t="shared" si="7"/>
        <v/>
      </c>
      <c r="BD127" s="319">
        <f>OBJ!B348</f>
        <v>9256910</v>
      </c>
      <c r="BE127" s="21" t="str">
        <f>VLOOKUP(BD127,CENY!$B$11:$G$1054,2,FALSE)</f>
        <v>Quadro You(M) 400/P2O 30kg; EB21; pravý</v>
      </c>
      <c r="BF127" s="22">
        <f>VLOOKUP(BD127,CENY!$B$11:$G$1054,3,FALSE)</f>
        <v>20</v>
      </c>
      <c r="BG127" s="22"/>
      <c r="BH127" s="68"/>
      <c r="BI127" s="326" t="str">
        <f t="shared" si="9"/>
        <v/>
      </c>
      <c r="BJ127" s="95">
        <f>VLOOKUP(BD127,CENY!$B$11:$M$2025,12,FALSE)</f>
        <v>12.654769999999999</v>
      </c>
      <c r="BK127" s="95">
        <f t="shared" si="10"/>
        <v>0</v>
      </c>
    </row>
    <row r="128" spans="47:63">
      <c r="AU128" s="20"/>
      <c r="AV128" s="21"/>
      <c r="AW128" s="22"/>
      <c r="AX128" s="22"/>
      <c r="AY128" s="23"/>
      <c r="AZ128" s="326" t="str">
        <f t="shared" si="8"/>
        <v/>
      </c>
      <c r="BA128" s="95"/>
      <c r="BB128" s="95" t="str">
        <f t="shared" si="7"/>
        <v/>
      </c>
      <c r="BD128" s="319">
        <f>OBJ!B349</f>
        <v>9256913</v>
      </c>
      <c r="BE128" s="21" t="str">
        <f>VLOOKUP(BD128,CENY!$B$11:$G$1054,2,FALSE)</f>
        <v>Quadro You(M) 450/P2O 30kg; EB21; ľavý</v>
      </c>
      <c r="BF128" s="22">
        <f>VLOOKUP(BD128,CENY!$B$11:$G$1054,3,FALSE)</f>
        <v>20</v>
      </c>
      <c r="BG128" s="22"/>
      <c r="BH128" s="68"/>
      <c r="BI128" s="326" t="str">
        <f t="shared" si="9"/>
        <v/>
      </c>
      <c r="BJ128" s="95">
        <f>VLOOKUP(BD128,CENY!$B$11:$M$2025,12,FALSE)</f>
        <v>12.888019999999999</v>
      </c>
      <c r="BK128" s="95">
        <f t="shared" si="10"/>
        <v>0</v>
      </c>
    </row>
    <row r="129" spans="47:63">
      <c r="AU129" s="20"/>
      <c r="AV129" s="21"/>
      <c r="AW129" s="22"/>
      <c r="AX129" s="22"/>
      <c r="AY129" s="23"/>
      <c r="AZ129" s="326" t="str">
        <f t="shared" si="8"/>
        <v/>
      </c>
      <c r="BA129" s="95"/>
      <c r="BB129" s="95" t="str">
        <f t="shared" si="7"/>
        <v/>
      </c>
      <c r="BD129" s="319">
        <f>OBJ!B350</f>
        <v>9256914</v>
      </c>
      <c r="BE129" s="21" t="str">
        <f>VLOOKUP(BD129,CENY!$B$11:$G$1054,2,FALSE)</f>
        <v>Quadro You(M) 450/P2O 30kg; EB21; pravý</v>
      </c>
      <c r="BF129" s="22">
        <f>VLOOKUP(BD129,CENY!$B$11:$G$1054,3,FALSE)</f>
        <v>20</v>
      </c>
      <c r="BG129" s="22"/>
      <c r="BH129" s="68"/>
      <c r="BI129" s="326" t="str">
        <f t="shared" si="9"/>
        <v/>
      </c>
      <c r="BJ129" s="95">
        <f>VLOOKUP(BD129,CENY!$B$11:$M$2025,12,FALSE)</f>
        <v>12.888019999999999</v>
      </c>
      <c r="BK129" s="95">
        <f t="shared" si="10"/>
        <v>0</v>
      </c>
    </row>
    <row r="130" spans="47:63">
      <c r="AU130" s="20"/>
      <c r="AV130" s="21"/>
      <c r="AW130" s="22"/>
      <c r="AX130" s="22"/>
      <c r="AY130" s="23"/>
      <c r="AZ130" s="326" t="str">
        <f t="shared" si="8"/>
        <v/>
      </c>
      <c r="BA130" s="95"/>
      <c r="BB130" s="95" t="str">
        <f t="shared" si="7"/>
        <v/>
      </c>
      <c r="BD130" s="319">
        <f>OBJ!B351</f>
        <v>9256917</v>
      </c>
      <c r="BE130" s="21" t="str">
        <f>VLOOKUP(BD130,CENY!$B$11:$G$1054,2,FALSE)</f>
        <v>Quadro You(M) 500/P2O 30kg; EB21; ľavý</v>
      </c>
      <c r="BF130" s="22">
        <f>VLOOKUP(BD130,CENY!$B$11:$G$1054,3,FALSE)</f>
        <v>20</v>
      </c>
      <c r="BG130" s="22"/>
      <c r="BH130" s="68"/>
      <c r="BI130" s="326" t="str">
        <f t="shared" si="9"/>
        <v/>
      </c>
      <c r="BJ130" s="95">
        <f>VLOOKUP(BD130,CENY!$B$11:$M$2025,12,FALSE)</f>
        <v>12.496779999999999</v>
      </c>
      <c r="BK130" s="95">
        <f t="shared" si="10"/>
        <v>0</v>
      </c>
    </row>
    <row r="131" spans="47:63">
      <c r="AU131" s="20"/>
      <c r="AV131" s="21"/>
      <c r="AW131" s="22"/>
      <c r="AX131" s="22"/>
      <c r="AY131" s="23"/>
      <c r="AZ131" s="326" t="str">
        <f t="shared" si="8"/>
        <v/>
      </c>
      <c r="BA131" s="95"/>
      <c r="BB131" s="95" t="str">
        <f t="shared" si="7"/>
        <v/>
      </c>
      <c r="BD131" s="319">
        <f>OBJ!B352</f>
        <v>9256918</v>
      </c>
      <c r="BE131" s="21" t="str">
        <f>VLOOKUP(BD131,CENY!$B$11:$G$1054,2,FALSE)</f>
        <v>Quadro You(M) 500/P2O 30kg; EB21; pravý</v>
      </c>
      <c r="BF131" s="22">
        <f>VLOOKUP(BD131,CENY!$B$11:$G$1054,3,FALSE)</f>
        <v>20</v>
      </c>
      <c r="BG131" s="22"/>
      <c r="BH131" s="68"/>
      <c r="BI131" s="326" t="str">
        <f t="shared" si="9"/>
        <v/>
      </c>
      <c r="BJ131" s="95">
        <f>VLOOKUP(BD131,CENY!$B$11:$M$2025,12,FALSE)</f>
        <v>12.496779999999999</v>
      </c>
      <c r="BK131" s="95">
        <f t="shared" si="10"/>
        <v>0</v>
      </c>
    </row>
    <row r="132" spans="47:63">
      <c r="AU132" s="20"/>
      <c r="AV132" s="21"/>
      <c r="AW132" s="22"/>
      <c r="AX132" s="22"/>
      <c r="AY132" s="23"/>
      <c r="AZ132" s="326" t="str">
        <f t="shared" si="8"/>
        <v/>
      </c>
      <c r="BA132" s="95"/>
      <c r="BB132" s="95" t="str">
        <f t="shared" si="7"/>
        <v/>
      </c>
      <c r="BD132" s="319">
        <f>OBJ!B353</f>
        <v>9256921</v>
      </c>
      <c r="BE132" s="21" t="str">
        <f>VLOOKUP(BD132,CENY!$B$11:$G$1054,2,FALSE)</f>
        <v>Quadro You(M) 550/P2O 30kg; EB21; ľavý</v>
      </c>
      <c r="BF132" s="22">
        <f>VLOOKUP(BD132,CENY!$B$11:$G$1054,3,FALSE)</f>
        <v>20</v>
      </c>
      <c r="BG132" s="22"/>
      <c r="BH132" s="68"/>
      <c r="BI132" s="326" t="str">
        <f t="shared" si="9"/>
        <v/>
      </c>
      <c r="BJ132" s="95">
        <f>VLOOKUP(BD132,CENY!$B$11:$M$2025,12,FALSE)</f>
        <v>12.718019999999999</v>
      </c>
      <c r="BK132" s="95">
        <f t="shared" si="10"/>
        <v>0</v>
      </c>
    </row>
    <row r="133" spans="47:63">
      <c r="AU133" s="20"/>
      <c r="AV133" s="21"/>
      <c r="AW133" s="22"/>
      <c r="AX133" s="22"/>
      <c r="AY133" s="23"/>
      <c r="AZ133" s="326" t="str">
        <f t="shared" si="8"/>
        <v/>
      </c>
      <c r="BA133" s="95"/>
      <c r="BB133" s="95" t="str">
        <f t="shared" si="7"/>
        <v/>
      </c>
      <c r="BD133" s="319">
        <f>OBJ!B354</f>
        <v>9256922</v>
      </c>
      <c r="BE133" s="21" t="str">
        <f>VLOOKUP(BD133,CENY!$B$11:$G$1054,2,FALSE)</f>
        <v>Quadro You(M) 550/P2O 30kg; EB21; pravý</v>
      </c>
      <c r="BF133" s="22">
        <f>VLOOKUP(BD133,CENY!$B$11:$G$1054,3,FALSE)</f>
        <v>20</v>
      </c>
      <c r="BG133" s="22"/>
      <c r="BH133" s="68"/>
      <c r="BI133" s="326" t="str">
        <f t="shared" si="9"/>
        <v/>
      </c>
      <c r="BJ133" s="95">
        <f>VLOOKUP(BD133,CENY!$B$11:$M$2025,12,FALSE)</f>
        <v>13.35392</v>
      </c>
      <c r="BK133" s="95">
        <f t="shared" si="10"/>
        <v>0</v>
      </c>
    </row>
    <row r="134" spans="47:63">
      <c r="AU134" s="20"/>
      <c r="AV134" s="21"/>
      <c r="AW134" s="22"/>
      <c r="AX134" s="22"/>
      <c r="AY134" s="23"/>
      <c r="AZ134" s="326" t="str">
        <f t="shared" si="8"/>
        <v/>
      </c>
      <c r="BA134" s="95"/>
      <c r="BB134" s="95" t="str">
        <f t="shared" si="7"/>
        <v/>
      </c>
      <c r="BD134" s="319">
        <f>OBJ!B355</f>
        <v>9256925</v>
      </c>
      <c r="BE134" s="21" t="str">
        <f>VLOOKUP(BD134,CENY!$B$11:$G$1054,2,FALSE)</f>
        <v>Quadro You(M) 600/P2O 25kg; EB21; ľavý</v>
      </c>
      <c r="BF134" s="22">
        <f>VLOOKUP(BD134,CENY!$B$11:$G$1054,3,FALSE)</f>
        <v>20</v>
      </c>
      <c r="BG134" s="22"/>
      <c r="BH134" s="68"/>
      <c r="BI134" s="326" t="str">
        <f t="shared" si="9"/>
        <v/>
      </c>
      <c r="BJ134" s="95">
        <f>VLOOKUP(BD134,CENY!$B$11:$M$2025,12,FALSE)</f>
        <v>13.58704</v>
      </c>
      <c r="BK134" s="95">
        <f t="shared" si="10"/>
        <v>0</v>
      </c>
    </row>
    <row r="135" spans="47:63">
      <c r="AU135" s="20"/>
      <c r="AV135" s="21"/>
      <c r="AW135" s="22"/>
      <c r="AX135" s="22"/>
      <c r="AY135" s="23"/>
      <c r="AZ135" s="326" t="str">
        <f t="shared" si="8"/>
        <v/>
      </c>
      <c r="BA135" s="95"/>
      <c r="BB135" s="95" t="str">
        <f t="shared" si="7"/>
        <v/>
      </c>
      <c r="BD135" s="319">
        <f>OBJ!B356</f>
        <v>9256926</v>
      </c>
      <c r="BE135" s="21" t="str">
        <f>VLOOKUP(BD135,CENY!$B$11:$G$1054,2,FALSE)</f>
        <v>Quadro You(M) 600/P2O 25kg; EB21; pravý</v>
      </c>
      <c r="BF135" s="22">
        <f>VLOOKUP(BD135,CENY!$B$11:$G$1054,3,FALSE)</f>
        <v>20</v>
      </c>
      <c r="BG135" s="22"/>
      <c r="BH135" s="68"/>
      <c r="BI135" s="326" t="str">
        <f t="shared" si="9"/>
        <v/>
      </c>
      <c r="BJ135" s="95">
        <f>VLOOKUP(BD135,CENY!$B$11:$M$2025,12,FALSE)</f>
        <v>13.58704</v>
      </c>
      <c r="BK135" s="95">
        <f t="shared" si="10"/>
        <v>0</v>
      </c>
    </row>
    <row r="136" spans="47:63">
      <c r="AU136" s="20"/>
      <c r="AV136" s="21"/>
      <c r="AW136" s="22"/>
      <c r="AX136" s="22"/>
      <c r="AY136" s="23"/>
      <c r="AZ136" s="326" t="str">
        <f t="shared" si="8"/>
        <v/>
      </c>
      <c r="BA136" s="95"/>
      <c r="BB136" s="95" t="str">
        <f t="shared" si="7"/>
        <v/>
      </c>
      <c r="BD136" s="319"/>
      <c r="BE136" s="21"/>
      <c r="BF136" s="22"/>
      <c r="BG136" s="22"/>
      <c r="BH136" s="23"/>
      <c r="BI136" s="326" t="str">
        <f t="shared" si="9"/>
        <v/>
      </c>
      <c r="BJ136" s="95"/>
      <c r="BK136" s="95" t="str">
        <f t="shared" si="10"/>
        <v/>
      </c>
    </row>
    <row r="137" spans="47:63">
      <c r="AU137" s="20"/>
      <c r="AV137" s="21"/>
      <c r="AW137" s="22"/>
      <c r="AX137" s="22"/>
      <c r="AY137" s="23"/>
      <c r="AZ137" s="326" t="str">
        <f t="shared" si="8"/>
        <v/>
      </c>
      <c r="BA137" s="95"/>
      <c r="BB137" s="95" t="str">
        <f t="shared" si="7"/>
        <v/>
      </c>
      <c r="BD137" s="319">
        <f>OBJ!B358</f>
        <v>9219966</v>
      </c>
      <c r="BE137" s="21" t="str">
        <f>VLOOKUP(BD137,CENY!$B$11:$G$1054,2,FALSE)</f>
        <v>Push to open Synchro / adaptér typ A</v>
      </c>
      <c r="BF137" s="22">
        <f>VLOOKUP(BD137,CENY!$B$11:$G$1054,3,FALSE)</f>
        <v>200</v>
      </c>
      <c r="BG137" s="22"/>
      <c r="BH137" s="68"/>
      <c r="BI137" s="326" t="str">
        <f t="shared" si="9"/>
        <v/>
      </c>
      <c r="BJ137" s="95">
        <f>VLOOKUP(BD137,CENY!$B$11:$M$2025,12,FALSE)</f>
        <v>0.79318999999999995</v>
      </c>
      <c r="BK137" s="95">
        <f t="shared" si="10"/>
        <v>0</v>
      </c>
    </row>
    <row r="138" spans="47:63">
      <c r="AU138" s="20"/>
      <c r="AV138" s="21"/>
      <c r="AW138" s="22"/>
      <c r="AX138" s="22"/>
      <c r="AY138" s="23"/>
      <c r="AZ138" s="326" t="str">
        <f t="shared" si="8"/>
        <v/>
      </c>
      <c r="BA138" s="95"/>
      <c r="BB138" s="95" t="str">
        <f t="shared" si="7"/>
        <v/>
      </c>
      <c r="BD138" s="319"/>
      <c r="BE138" s="21"/>
      <c r="BF138" s="22"/>
      <c r="BG138" s="22"/>
      <c r="BH138" s="23"/>
      <c r="BI138" s="326" t="str">
        <f t="shared" si="9"/>
        <v/>
      </c>
      <c r="BJ138" s="95"/>
      <c r="BK138" s="95" t="str">
        <f t="shared" si="10"/>
        <v/>
      </c>
    </row>
    <row r="139" spans="47:63">
      <c r="AU139" s="20"/>
      <c r="AV139" s="21"/>
      <c r="AW139" s="22"/>
      <c r="AX139" s="22"/>
      <c r="AY139" s="23"/>
      <c r="AZ139" s="326" t="str">
        <f t="shared" si="8"/>
        <v/>
      </c>
      <c r="BA139" s="95"/>
      <c r="BB139" s="95" t="str">
        <f t="shared" si="7"/>
        <v/>
      </c>
      <c r="BD139" s="319">
        <f>OBJ!B214</f>
        <v>0</v>
      </c>
      <c r="BE139" s="21" t="e">
        <f>VLOOKUP(BD139,CENY!$B$11:$G$1054,2,FALSE)</f>
        <v>#N/A</v>
      </c>
      <c r="BF139" s="22" t="e">
        <f>VLOOKUP(BD139,CENY!$B$11:$G$1054,3,FALSE)</f>
        <v>#N/A</v>
      </c>
      <c r="BG139" s="22"/>
      <c r="BH139" s="23">
        <f>AY87</f>
        <v>0</v>
      </c>
      <c r="BI139" s="326">
        <f t="shared" si="9"/>
        <v>0</v>
      </c>
      <c r="BJ139" s="324" t="str">
        <f>IF(BD139=0,"",VLOOKUP(BD139,CENY!$B$11:$M$2025,12,FALSE))</f>
        <v/>
      </c>
      <c r="BK139" s="95" t="str">
        <f t="shared" si="10"/>
        <v/>
      </c>
    </row>
    <row r="140" spans="47:63">
      <c r="AU140" s="20"/>
      <c r="AV140" s="21"/>
      <c r="AW140" s="22"/>
      <c r="AX140" s="22"/>
      <c r="AY140" s="23"/>
      <c r="AZ140" s="326" t="str">
        <f t="shared" si="8"/>
        <v/>
      </c>
      <c r="BA140" s="95"/>
      <c r="BB140" s="95" t="str">
        <f t="shared" si="7"/>
        <v/>
      </c>
      <c r="BD140" s="319"/>
      <c r="BE140" s="21"/>
      <c r="BF140" s="22"/>
      <c r="BG140" s="22"/>
      <c r="BH140" s="23"/>
      <c r="BI140" s="326" t="str">
        <f t="shared" si="9"/>
        <v/>
      </c>
      <c r="BJ140" s="95"/>
      <c r="BK140" s="95" t="str">
        <f t="shared" si="10"/>
        <v/>
      </c>
    </row>
    <row r="141" spans="47:63">
      <c r="AU141" s="20"/>
      <c r="AV141" s="21"/>
      <c r="AW141" s="22"/>
      <c r="AX141" s="22"/>
      <c r="AY141" s="23"/>
      <c r="AZ141" s="326" t="str">
        <f t="shared" si="8"/>
        <v/>
      </c>
      <c r="BA141" s="95"/>
      <c r="BB141" s="95" t="str">
        <f t="shared" si="7"/>
        <v/>
      </c>
      <c r="BD141" s="319"/>
      <c r="BE141" s="21"/>
      <c r="BF141" s="22"/>
      <c r="BG141" s="22"/>
      <c r="BH141" s="23"/>
      <c r="BI141" s="326" t="str">
        <f t="shared" si="9"/>
        <v/>
      </c>
      <c r="BJ141" s="95"/>
      <c r="BK141" s="95" t="str">
        <f t="shared" si="10"/>
        <v/>
      </c>
    </row>
    <row r="142" spans="47:63">
      <c r="AU142" s="319">
        <f>OBJ!B361</f>
        <v>45167</v>
      </c>
      <c r="AV142" s="21" t="str">
        <f>VLOOKUP(AU142,CENY!$B$11:$G$1054,2,FALSE)</f>
        <v>Skrutka s polgul.hlavou 3,5x12mm</v>
      </c>
      <c r="AW142" s="22">
        <f>VLOOKUP(AU142,CENY!$B$11:$G$1054,3,FALSE)</f>
        <v>200</v>
      </c>
      <c r="AX142" s="22"/>
      <c r="AY142" s="23">
        <f>SUMPRODUCT(AX9:AX19,AY9:AY19)</f>
        <v>0</v>
      </c>
      <c r="AZ142" s="326">
        <f t="shared" si="8"/>
        <v>0</v>
      </c>
      <c r="BA142" s="95">
        <f>VLOOKUP(AU142,CENY!$B$11:$M$2025,12,FALSE)</f>
        <v>3.4759999999999999E-2</v>
      </c>
      <c r="BB142" s="95">
        <f>IF(BA142="","",BA142*AY142)</f>
        <v>0</v>
      </c>
      <c r="BC142" s="373" t="s">
        <v>396</v>
      </c>
      <c r="BD142" s="319">
        <f>OBJ!B194</f>
        <v>9257269</v>
      </c>
      <c r="BE142" s="21" t="str">
        <f>VLOOKUP(BD142,CENY!$B$11:$G$1054,2,FALSE)</f>
        <v>AvanY-čelo vnút.zásuvky /v101/d2000/strieb.</v>
      </c>
      <c r="BF142" s="22">
        <f>VLOOKUP(BD142,CENY!$B$11:$G$1054,3,FALSE)</f>
        <v>1</v>
      </c>
      <c r="BG142" s="22"/>
      <c r="BH142" s="23">
        <f>AY90</f>
        <v>0</v>
      </c>
      <c r="BI142" s="326">
        <f t="shared" si="9"/>
        <v>0</v>
      </c>
      <c r="BJ142" s="95">
        <f>VLOOKUP(BD142,CENY!$B$11:$M$2025,12,FALSE)</f>
        <v>71.34393</v>
      </c>
      <c r="BK142" s="95">
        <f t="shared" si="10"/>
        <v>0</v>
      </c>
    </row>
    <row r="143" spans="47:63">
      <c r="AU143" s="319">
        <f>OBJ!B362</f>
        <v>45168</v>
      </c>
      <c r="AV143" s="21" t="str">
        <f>VLOOKUP(AU143,CENY!$B$11:$G$1054,2,FALSE)</f>
        <v>Skrutka s polgul.hlavou 3,5x20mm</v>
      </c>
      <c r="AW143" s="22">
        <f>VLOOKUP(AU143,CENY!$B$11:$G$1054,3,FALSE)</f>
        <v>200</v>
      </c>
      <c r="AX143" s="22"/>
      <c r="AY143" s="360"/>
      <c r="AZ143" s="326" t="str">
        <f t="shared" ref="AZ143:AZ146" si="11">IF(AY143="","",IF($AW$4=1,AY143,0))</f>
        <v/>
      </c>
      <c r="BA143" s="95">
        <f>VLOOKUP(AU143,CENY!$B$11:$M$2025,12,FALSE)</f>
        <v>4.9860000000000002E-2</v>
      </c>
      <c r="BB143" s="95">
        <f>IF(BA143="","",BA143*AY143)</f>
        <v>0</v>
      </c>
      <c r="BC143" s="373" t="s">
        <v>397</v>
      </c>
      <c r="BD143" s="319">
        <f>OBJ!B196</f>
        <v>9257271</v>
      </c>
      <c r="BE143" s="21" t="str">
        <f>VLOOKUP(BD143,CENY!$B$11:$G$1054,2,FALSE)</f>
        <v>AvanY-čelo vnút.zásuvky /v187/d2000/strieb.</v>
      </c>
      <c r="BF143" s="22">
        <f>VLOOKUP(BD143,CENY!$B$11:$G$1054,3,FALSE)</f>
        <v>1</v>
      </c>
      <c r="BG143" s="22"/>
      <c r="BH143" s="23">
        <f>AY92</f>
        <v>0</v>
      </c>
      <c r="BI143" s="326">
        <f t="shared" si="9"/>
        <v>0</v>
      </c>
      <c r="BJ143" s="95">
        <f>VLOOKUP(BD143,CENY!$B$11:$M$2025,12,FALSE)</f>
        <v>106.6825</v>
      </c>
      <c r="BK143" s="95">
        <f t="shared" si="10"/>
        <v>0</v>
      </c>
    </row>
    <row r="144" spans="47:63">
      <c r="AU144" s="319">
        <f>OBJ!B363</f>
        <v>9278224</v>
      </c>
      <c r="AV144" s="21" t="str">
        <f>VLOOKUP(AU144,CENY!$B$11:$G$1054,2,FALSE)</f>
        <v>Skrutka s polgul.hlavou 3,5x30mm</v>
      </c>
      <c r="AW144" s="22">
        <f>VLOOKUP(AU144,CENY!$B$11:$G$1054,3,FALSE)</f>
        <v>200</v>
      </c>
      <c r="AX144" s="22"/>
      <c r="AY144" s="360"/>
      <c r="AZ144" s="326" t="str">
        <f t="shared" si="11"/>
        <v/>
      </c>
      <c r="BA144" s="95">
        <f>VLOOKUP(AU144,CENY!$B$11:$M$2025,12,FALSE)</f>
        <v>4.299E-2</v>
      </c>
      <c r="BB144" s="95">
        <f>IF(BA144="","",BA144*AY144)</f>
        <v>0</v>
      </c>
      <c r="BC144" s="373" t="s">
        <v>398</v>
      </c>
      <c r="BD144" s="319"/>
      <c r="BE144" s="21"/>
      <c r="BF144" s="22"/>
      <c r="BG144" s="22"/>
      <c r="BH144" s="23"/>
      <c r="BI144" s="326" t="str">
        <f>IF(BH144="","",IF($AW$4=0,BH144,0))</f>
        <v/>
      </c>
      <c r="BJ144" s="95"/>
      <c r="BK144" s="95" t="str">
        <f t="shared" si="10"/>
        <v/>
      </c>
    </row>
    <row r="145" spans="47:63">
      <c r="AU145" s="319">
        <f>OBJ!B364</f>
        <v>9279197</v>
      </c>
      <c r="AV145" s="21" t="str">
        <f>VLOOKUP(AU145,CENY!$B$11:$G$1054,2,FALSE)</f>
        <v>Skrutka s polgul.hlavou M3,5x12mm</v>
      </c>
      <c r="AW145" s="22">
        <f>VLOOKUP(AU145,CENY!$B$11:$G$1054,3,FALSE)</f>
        <v>1000</v>
      </c>
      <c r="AX145" s="22"/>
      <c r="AY145" s="68"/>
      <c r="AZ145" s="326" t="str">
        <f t="shared" si="11"/>
        <v/>
      </c>
      <c r="BA145" s="95" t="e">
        <f>VLOOKUP(AU145,CENY!$B$11:$M$2025,12,FALSE)</f>
        <v>#N/A</v>
      </c>
      <c r="BB145" s="95" t="e">
        <f>IF(BA145="","",BA145*AY145)</f>
        <v>#N/A</v>
      </c>
      <c r="BC145" s="373" t="s">
        <v>399</v>
      </c>
      <c r="BD145" s="319">
        <f>OBJ!B203</f>
        <v>9257641</v>
      </c>
      <c r="BE145" s="21" t="str">
        <f>VLOOKUP(BD145,CENY!$B$11:$G$1054,2,FALSE)</f>
        <v>AvanY-stabilizátor čela vnút.zásuvky</v>
      </c>
      <c r="BF145" s="22">
        <f>VLOOKUP(BD145,CENY!$B$11:$G$1054,3,FALSE)</f>
        <v>100</v>
      </c>
      <c r="BG145" s="22"/>
      <c r="BH145" s="23">
        <f>AY91+AY93</f>
        <v>0</v>
      </c>
      <c r="BI145" s="326">
        <f>IF(BH145="","",IF($AW$4=0,BH145,0))</f>
        <v>0</v>
      </c>
      <c r="BJ145" s="95">
        <f>VLOOKUP(BD145,CENY!$B$11:$M$2025,12,FALSE)</f>
        <v>0.52149000000000001</v>
      </c>
      <c r="BK145" s="95">
        <f t="shared" si="10"/>
        <v>0</v>
      </c>
    </row>
    <row r="146" spans="47:63">
      <c r="AU146" s="319">
        <f>OBJ!B365</f>
        <v>9137114</v>
      </c>
      <c r="AV146" s="21" t="str">
        <f>VLOOKUP(AU146,CENY!$B$11:$G$1054,2,FALSE)</f>
        <v>EURO-skrutka  6,0x14mm / niklovaná</v>
      </c>
      <c r="AW146" s="22">
        <f>VLOOKUP(AU146,CENY!$B$11:$G$1054,3,FALSE)</f>
        <v>200</v>
      </c>
      <c r="AX146" s="22"/>
      <c r="AY146" s="23">
        <f>SUMPRODUCT(AX31:AX80,AY31:AY80)</f>
        <v>0</v>
      </c>
      <c r="AZ146" s="326">
        <f t="shared" si="11"/>
        <v>0</v>
      </c>
      <c r="BA146" s="95">
        <f>VLOOKUP(AU146,CENY!$B$11:$M$2025,12,FALSE)</f>
        <v>7.7280000000000001E-2</v>
      </c>
      <c r="BB146" s="95">
        <f>IF(BA146="","",BA146*AY146)</f>
        <v>0</v>
      </c>
      <c r="BC146" s="373" t="s">
        <v>400</v>
      </c>
      <c r="BD146" s="319">
        <f>OBJ!B204</f>
        <v>9257629</v>
      </c>
      <c r="BE146" s="21" t="str">
        <f>VLOOKUP(BD146,CENY!$B$11:$G$1054,2,FALSE)</f>
        <v>AvanY-krytka čela vnút.zás./v101/strieb.</v>
      </c>
      <c r="BF146" s="22">
        <f>VLOOKUP(BD146,CENY!$B$11:$G$1054,3,FALSE)</f>
        <v>200</v>
      </c>
      <c r="BG146" s="22"/>
      <c r="BH146" s="23">
        <f>2*AY91</f>
        <v>0</v>
      </c>
      <c r="BI146" s="326">
        <f>IF(BH146="","",IF($AW$4=0,BH146,0))</f>
        <v>0</v>
      </c>
      <c r="BJ146" s="95">
        <f>VLOOKUP(BD146,CENY!$B$11:$M$2025,12,FALSE)</f>
        <v>0.21284</v>
      </c>
      <c r="BK146" s="95">
        <f t="shared" si="10"/>
        <v>0</v>
      </c>
    </row>
    <row r="147" spans="47:63">
      <c r="AU147" s="20"/>
      <c r="AV147" s="21"/>
      <c r="AW147" s="22"/>
      <c r="AX147" s="22"/>
      <c r="AY147" s="23"/>
      <c r="AZ147" s="326"/>
      <c r="BA147" s="95"/>
      <c r="BB147" s="95"/>
      <c r="BD147" s="319">
        <f>OBJ!B206</f>
        <v>9257631</v>
      </c>
      <c r="BE147" s="21" t="str">
        <f>VLOOKUP(BD147,CENY!$B$11:$G$1054,2,FALSE)</f>
        <v>AvanY-krytka čela vnút.zás./v187/strieb.</v>
      </c>
      <c r="BF147" s="22">
        <f>VLOOKUP(BD147,CENY!$B$11:$G$1054,3,FALSE)</f>
        <v>200</v>
      </c>
      <c r="BG147" s="22"/>
      <c r="BH147" s="23">
        <f>2*AY93</f>
        <v>0</v>
      </c>
      <c r="BI147" s="326">
        <f>IF(BH147="","",IF($AW$4=0,BH147,0))</f>
        <v>0</v>
      </c>
      <c r="BJ147" s="95">
        <f>VLOOKUP(BD147,CENY!$B$11:$M$2025,12,FALSE)</f>
        <v>0.38140000000000002</v>
      </c>
      <c r="BK147" s="95">
        <f t="shared" si="10"/>
        <v>0</v>
      </c>
    </row>
    <row r="148" spans="47:63">
      <c r="AU148" s="20"/>
      <c r="AV148" s="21"/>
      <c r="AW148" s="22"/>
      <c r="AX148" s="22"/>
      <c r="AY148" s="23"/>
      <c r="AZ148" s="326"/>
      <c r="BA148" s="95"/>
      <c r="BB148" s="95"/>
      <c r="BD148" s="319"/>
      <c r="BE148" s="21"/>
      <c r="BF148" s="22"/>
      <c r="BG148" s="22"/>
      <c r="BH148" s="23"/>
      <c r="BI148" s="326" t="str">
        <f t="shared" si="9"/>
        <v/>
      </c>
      <c r="BJ148" s="95"/>
      <c r="BK148" s="95" t="str">
        <f t="shared" si="10"/>
        <v/>
      </c>
    </row>
    <row r="149" spans="47:63">
      <c r="AU149" s="20"/>
      <c r="AV149" s="21"/>
      <c r="AW149" s="22"/>
      <c r="AX149" s="22"/>
      <c r="AY149" s="23"/>
      <c r="AZ149" s="326"/>
      <c r="BA149" s="95"/>
      <c r="BB149" s="95"/>
      <c r="BD149" s="319">
        <f>OBJ!B361</f>
        <v>45167</v>
      </c>
      <c r="BE149" s="21" t="str">
        <f>VLOOKUP(BD149,CENY!$B$11:$G$1054,2,FALSE)</f>
        <v>Skrutka s polgul.hlavou 3,5x12mm</v>
      </c>
      <c r="BF149" s="22">
        <f>VLOOKUP(BD149,CENY!$B$11:$G$1054,3,FALSE)</f>
        <v>200</v>
      </c>
      <c r="BG149" s="22"/>
      <c r="BH149" s="23">
        <f>AY142+BH39*2+BH145</f>
        <v>0</v>
      </c>
      <c r="BI149" s="326">
        <f>IF(BH149="","",IF($AW$4=0,BH149,0))</f>
        <v>0</v>
      </c>
      <c r="BJ149" s="95">
        <f>VLOOKUP(BD149,CENY!$B$11:$M$2025,12,FALSE)</f>
        <v>3.4759999999999999E-2</v>
      </c>
      <c r="BK149" s="95">
        <f t="shared" si="10"/>
        <v>0</v>
      </c>
    </row>
    <row r="150" spans="47:63">
      <c r="AU150" s="20"/>
      <c r="AV150" s="21"/>
      <c r="AW150" s="22"/>
      <c r="AX150" s="22"/>
      <c r="AY150" s="23"/>
      <c r="AZ150" s="326" t="str">
        <f>IF(AY150="","",IF($AW$4=1,AY150,0))</f>
        <v/>
      </c>
      <c r="BA150" s="95"/>
      <c r="BB150" s="95" t="str">
        <f>IF(BA150="","",BA150*AY150)</f>
        <v/>
      </c>
      <c r="BD150" s="319">
        <f>OBJ!B362</f>
        <v>45168</v>
      </c>
      <c r="BE150" s="21" t="str">
        <f>VLOOKUP(BD150,CENY!$B$11:$G$1054,2,FALSE)</f>
        <v>Skrutka s polgul.hlavou 3,5x20mm</v>
      </c>
      <c r="BF150" s="22">
        <f>VLOOKUP(BD150,CENY!$B$11:$G$1054,3,FALSE)</f>
        <v>200</v>
      </c>
      <c r="BG150" s="22"/>
      <c r="BH150" s="360">
        <f>IF(FORM!$AM$8=FORM!$AU$10,BH35*2+BH36*3,0)</f>
        <v>0</v>
      </c>
      <c r="BI150" s="326">
        <f>IF(BH150="","",IF($AW$4=0,BH150,0))</f>
        <v>0</v>
      </c>
      <c r="BJ150" s="95">
        <f>VLOOKUP(BD150,CENY!$B$11:$M$2025,12,FALSE)</f>
        <v>4.9860000000000002E-2</v>
      </c>
      <c r="BK150" s="95">
        <f t="shared" si="10"/>
        <v>0</v>
      </c>
    </row>
    <row r="151" spans="47:63">
      <c r="BD151" s="319">
        <f>OBJ!B363</f>
        <v>9278224</v>
      </c>
      <c r="BE151" s="21" t="str">
        <f>VLOOKUP(BD151,CENY!$B$11:$G$1054,2,FALSE)</f>
        <v>Skrutka s polgul.hlavou 3,5x30mm</v>
      </c>
      <c r="BF151" s="22">
        <f>VLOOKUP(BD151,CENY!$B$11:$G$1054,3,FALSE)</f>
        <v>200</v>
      </c>
      <c r="BG151" s="22"/>
      <c r="BH151" s="360">
        <f>SUM(BH5:BH22)+2*SUM(BH24:BH33)</f>
        <v>0</v>
      </c>
      <c r="BI151" s="326">
        <f>IF(BH151="","",IF($AW$4=0,BH151,0))</f>
        <v>0</v>
      </c>
      <c r="BJ151" s="95">
        <f>VLOOKUP(BD151,CENY!$B$11:$M$2025,12,FALSE)</f>
        <v>4.299E-2</v>
      </c>
      <c r="BK151" s="95">
        <f t="shared" si="10"/>
        <v>0</v>
      </c>
    </row>
    <row r="152" spans="47:63">
      <c r="BD152" s="319">
        <f>OBJ!B364</f>
        <v>9279197</v>
      </c>
      <c r="BE152" s="21" t="str">
        <f>VLOOKUP(BD152,CENY!$B$11:$G$1054,2,FALSE)</f>
        <v>Skrutka s polgul.hlavou M3,5x12mm</v>
      </c>
      <c r="BF152" s="22">
        <f>VLOOKUP(BD152,CENY!$B$11:$G$1054,3,FALSE)</f>
        <v>1000</v>
      </c>
      <c r="BG152" s="22"/>
      <c r="BH152" s="68">
        <f>2*BH37+3*BH38</f>
        <v>0</v>
      </c>
      <c r="BI152" s="326">
        <f>IF(BH152="","",IF($AW$4=0,BH152,0))</f>
        <v>0</v>
      </c>
      <c r="BJ152" s="95" t="e">
        <f>VLOOKUP(BD152,CENY!$B$11:$M$2025,12,FALSE)</f>
        <v>#N/A</v>
      </c>
      <c r="BK152" s="95" t="e">
        <f t="shared" si="10"/>
        <v>#N/A</v>
      </c>
    </row>
    <row r="153" spans="47:63">
      <c r="BD153" s="319">
        <f>OBJ!B365</f>
        <v>9137114</v>
      </c>
      <c r="BE153" s="21" t="str">
        <f>VLOOKUP(BD153,CENY!$B$11:$G$1054,2,FALSE)</f>
        <v>EURO-skrutka  6,0x14mm / niklovaná</v>
      </c>
      <c r="BF153" s="22">
        <f>VLOOKUP(BD153,CENY!$B$11:$G$1054,3,FALSE)</f>
        <v>200</v>
      </c>
      <c r="BG153" s="22"/>
      <c r="BH153" s="23">
        <f>AY146</f>
        <v>0</v>
      </c>
      <c r="BI153" s="326">
        <f>IF(BH153="","",IF($AW$4=0,BH153,0))</f>
        <v>0</v>
      </c>
      <c r="BJ153" s="95">
        <f>VLOOKUP(BD153,CENY!$B$11:$M$2025,12,FALSE)</f>
        <v>7.7280000000000001E-2</v>
      </c>
      <c r="BK153" s="95">
        <f t="shared" si="10"/>
        <v>0</v>
      </c>
    </row>
    <row r="154" spans="47:63">
      <c r="BD154" s="319"/>
      <c r="BE154" s="21"/>
      <c r="BF154" s="22"/>
      <c r="BG154" s="22"/>
      <c r="BH154" s="23"/>
      <c r="BI154" s="326"/>
      <c r="BJ154" s="95"/>
      <c r="BK154" s="95"/>
    </row>
    <row r="155" spans="47:63">
      <c r="BD155" s="319"/>
      <c r="BE155" s="21"/>
      <c r="BF155" s="22"/>
      <c r="BG155" s="22"/>
      <c r="BH155" s="23"/>
      <c r="BI155" s="326"/>
      <c r="BJ155" s="95"/>
      <c r="BK155" s="95"/>
    </row>
    <row r="156" spans="47:63">
      <c r="BD156" s="319"/>
      <c r="BE156" s="21"/>
      <c r="BF156" s="22"/>
      <c r="BG156" s="22"/>
      <c r="BH156" s="23"/>
      <c r="BI156" s="326"/>
      <c r="BJ156" s="95"/>
      <c r="BK156" s="95"/>
    </row>
    <row r="157" spans="47:63">
      <c r="BD157" s="319"/>
      <c r="BE157" s="21"/>
      <c r="BF157" s="22"/>
      <c r="BG157" s="22"/>
      <c r="BH157" s="23"/>
      <c r="BI157" s="326" t="str">
        <f t="shared" si="9"/>
        <v/>
      </c>
      <c r="BJ157" s="95"/>
      <c r="BK157" s="95" t="str">
        <f t="shared" si="10"/>
        <v/>
      </c>
    </row>
    <row r="158" spans="47:63">
      <c r="BD158" s="319"/>
      <c r="BE158" s="21"/>
      <c r="BF158" s="22"/>
      <c r="BG158" s="22"/>
      <c r="BH158" s="23"/>
      <c r="BI158" s="326" t="str">
        <f>IF(BH158="","",IF($AW$4=0,BH158,0))</f>
        <v/>
      </c>
      <c r="BJ158" s="95"/>
      <c r="BK158" s="95" t="str">
        <f>IF(BJ158="","",BJ158*BH158)</f>
        <v/>
      </c>
    </row>
    <row r="159" spans="47:63">
      <c r="BD159" s="319"/>
      <c r="BE159" s="21"/>
      <c r="BF159" s="22"/>
      <c r="BG159" s="22"/>
      <c r="BH159" s="23"/>
      <c r="BI159" s="326" t="str">
        <f>IF(BH159="","",IF($AW$4=0,BH159,0))</f>
        <v/>
      </c>
      <c r="BJ159" s="95"/>
      <c r="BK159" s="95" t="str">
        <f>IF(BJ159="","",BJ159*BH159)</f>
        <v/>
      </c>
    </row>
  </sheetData>
  <sheetProtection algorithmName="SHA-512" hashValue="J/n2tM81+Y7Z6+mLStYra0rmEzNfnoRXzo9CjgwvJemxg3e1bEEn3QuIAmR6iiqGq57+La6IHOaui5cYWaFnbA==" saltValue="VJjtwJc1lU/vDFGurnb2yg==" spinCount="100000" sheet="1" objects="1" scenarios="1"/>
  <mergeCells count="191">
    <mergeCell ref="AO2:AR2"/>
    <mergeCell ref="B6:E6"/>
    <mergeCell ref="F6:K6"/>
    <mergeCell ref="B7:E7"/>
    <mergeCell ref="F7:K7"/>
    <mergeCell ref="B8:E8"/>
    <mergeCell ref="F8:K8"/>
    <mergeCell ref="B2:E2"/>
    <mergeCell ref="G2:K2"/>
    <mergeCell ref="O2:S2"/>
    <mergeCell ref="U2:Y2"/>
    <mergeCell ref="AA2:AE2"/>
    <mergeCell ref="AI2:AM2"/>
    <mergeCell ref="B12:E12"/>
    <mergeCell ref="F12:I12"/>
    <mergeCell ref="J12:K12"/>
    <mergeCell ref="B13:E13"/>
    <mergeCell ref="F13:I13"/>
    <mergeCell ref="J13:K13"/>
    <mergeCell ref="B9:E9"/>
    <mergeCell ref="F9:K9"/>
    <mergeCell ref="AK9:AP10"/>
    <mergeCell ref="B10:E10"/>
    <mergeCell ref="F10:K10"/>
    <mergeCell ref="B11:E11"/>
    <mergeCell ref="F11:K11"/>
    <mergeCell ref="AQ18:AR18"/>
    <mergeCell ref="B19:G19"/>
    <mergeCell ref="H19:L19"/>
    <mergeCell ref="M19:N19"/>
    <mergeCell ref="O19:P19"/>
    <mergeCell ref="Q19:R19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U20:V20"/>
    <mergeCell ref="W20:X20"/>
    <mergeCell ref="Y20:Z20"/>
    <mergeCell ref="AA20:AB20"/>
    <mergeCell ref="AC20:AD20"/>
    <mergeCell ref="AE20:AF20"/>
    <mergeCell ref="B20:G20"/>
    <mergeCell ref="H20:L20"/>
    <mergeCell ref="M20:N20"/>
    <mergeCell ref="O20:P20"/>
    <mergeCell ref="Q20:R20"/>
    <mergeCell ref="S20:T20"/>
    <mergeCell ref="AQ21:AR21"/>
    <mergeCell ref="O22:P22"/>
    <mergeCell ref="Q22:R22"/>
    <mergeCell ref="S22:T22"/>
    <mergeCell ref="U22:V22"/>
    <mergeCell ref="W22:X22"/>
    <mergeCell ref="Y22:Z22"/>
    <mergeCell ref="AA26:AB26"/>
    <mergeCell ref="AC26:AD26"/>
    <mergeCell ref="AA22:AB22"/>
    <mergeCell ref="AC22:AD22"/>
    <mergeCell ref="B22:G22"/>
    <mergeCell ref="H22:L22"/>
    <mergeCell ref="M22:N22"/>
    <mergeCell ref="AE22:AF22"/>
    <mergeCell ref="AQ24:AR24"/>
    <mergeCell ref="O26:P26"/>
    <mergeCell ref="Q26:R26"/>
    <mergeCell ref="S26:T26"/>
    <mergeCell ref="U26:V26"/>
    <mergeCell ref="W26:X26"/>
    <mergeCell ref="Y26:Z26"/>
    <mergeCell ref="AQ27:AR27"/>
    <mergeCell ref="B28:G28"/>
    <mergeCell ref="H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B27:G27"/>
    <mergeCell ref="H27:L27"/>
    <mergeCell ref="M27:N27"/>
    <mergeCell ref="O27:P27"/>
    <mergeCell ref="Q27:R27"/>
    <mergeCell ref="S27:T27"/>
    <mergeCell ref="A66:A105"/>
    <mergeCell ref="B67:E67"/>
    <mergeCell ref="G67:K67"/>
    <mergeCell ref="O67:S67"/>
    <mergeCell ref="U67:Y67"/>
    <mergeCell ref="AA67:AE67"/>
    <mergeCell ref="AE79:AF79"/>
    <mergeCell ref="AE80:AF80"/>
    <mergeCell ref="AI67:AM67"/>
    <mergeCell ref="O80:P80"/>
    <mergeCell ref="Q80:R80"/>
    <mergeCell ref="S80:T80"/>
    <mergeCell ref="U80:V80"/>
    <mergeCell ref="W80:X80"/>
    <mergeCell ref="Y80:Z80"/>
    <mergeCell ref="AA80:AB80"/>
    <mergeCell ref="AC80:AD80"/>
    <mergeCell ref="AG80:AH80"/>
    <mergeCell ref="AI80:AJ80"/>
    <mergeCell ref="O81:P81"/>
    <mergeCell ref="Q81:R81"/>
    <mergeCell ref="S81:T81"/>
    <mergeCell ref="U81:V81"/>
    <mergeCell ref="W81:X81"/>
    <mergeCell ref="AO67:AR67"/>
    <mergeCell ref="O79:P79"/>
    <mergeCell ref="Q79:R79"/>
    <mergeCell ref="S79:T79"/>
    <mergeCell ref="U79:V79"/>
    <mergeCell ref="W79:X79"/>
    <mergeCell ref="Y79:Z79"/>
    <mergeCell ref="AA79:AB79"/>
    <mergeCell ref="AC79:AD79"/>
    <mergeCell ref="AG79:AH79"/>
    <mergeCell ref="AI79:AJ79"/>
    <mergeCell ref="Y81:Z81"/>
    <mergeCell ref="AA81:AB81"/>
    <mergeCell ref="AC81:AD81"/>
    <mergeCell ref="AC82:AD82"/>
    <mergeCell ref="AE82:AF82"/>
    <mergeCell ref="AG82:AH82"/>
    <mergeCell ref="AI82:AJ82"/>
    <mergeCell ref="AK82:AL82"/>
    <mergeCell ref="O83:AJ83"/>
    <mergeCell ref="AE81:AF81"/>
    <mergeCell ref="AG81:AH81"/>
    <mergeCell ref="AI81:AJ81"/>
    <mergeCell ref="O82:P82"/>
    <mergeCell ref="Q82:R82"/>
    <mergeCell ref="S82:T82"/>
    <mergeCell ref="U82:V82"/>
    <mergeCell ref="W82:X82"/>
    <mergeCell ref="Y82:Z82"/>
    <mergeCell ref="AA82:AB82"/>
    <mergeCell ref="AA84:AB84"/>
    <mergeCell ref="AC84:AD84"/>
    <mergeCell ref="AE84:AF84"/>
    <mergeCell ref="AG84:AH84"/>
    <mergeCell ref="AI84:AJ84"/>
    <mergeCell ref="M85:N85"/>
    <mergeCell ref="O85:P85"/>
    <mergeCell ref="Q85:R85"/>
    <mergeCell ref="S85:T85"/>
    <mergeCell ref="U85:V85"/>
    <mergeCell ref="O84:P84"/>
    <mergeCell ref="Q84:R84"/>
    <mergeCell ref="S84:T84"/>
    <mergeCell ref="U84:V84"/>
    <mergeCell ref="W84:X84"/>
    <mergeCell ref="Y84:Z84"/>
    <mergeCell ref="AI85:AJ85"/>
    <mergeCell ref="W85:X85"/>
    <mergeCell ref="Y85:Z85"/>
    <mergeCell ref="AA85:AB85"/>
    <mergeCell ref="AC85:AD85"/>
    <mergeCell ref="AE85:AF85"/>
    <mergeCell ref="AG85:AH85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AW99:AY99"/>
    <mergeCell ref="AW100:AY100"/>
    <mergeCell ref="AW101:AY101"/>
    <mergeCell ref="AW102:AY102"/>
    <mergeCell ref="AG86:AH86"/>
    <mergeCell ref="AI86:AJ86"/>
    <mergeCell ref="AW95:AY95"/>
    <mergeCell ref="AW96:AY96"/>
    <mergeCell ref="AW97:AY97"/>
    <mergeCell ref="AW98:AY98"/>
  </mergeCells>
  <conditionalFormatting sqref="AZ94:AZ141 AZ147:AZ150 BI5:BI21 AZ20:AZ84 AZ86:AZ89 BI39:BI141 BH25:BI34 BH40:BH98 AY5:AZ19 AY20:AY48 BH13:BH24 BH142:BI144">
    <cfRule type="cellIs" dxfId="230" priority="52" stopIfTrue="1" operator="equal">
      <formula>0</formula>
    </cfRule>
  </conditionalFormatting>
  <conditionalFormatting sqref="AY59 AY72 AY49 AY55">
    <cfRule type="cellIs" dxfId="229" priority="50" stopIfTrue="1" operator="equal">
      <formula>0</formula>
    </cfRule>
  </conditionalFormatting>
  <conditionalFormatting sqref="O17:AF17 W20:AD20 W22:AF22 W28:AD28">
    <cfRule type="expression" dxfId="228" priority="51" stopIfTrue="1">
      <formula>$AW$4=0</formula>
    </cfRule>
  </conditionalFormatting>
  <conditionalFormatting sqref="AY83 AY86 AY88:AY89">
    <cfRule type="cellIs" dxfId="227" priority="49" stopIfTrue="1" operator="equal">
      <formula>0</formula>
    </cfRule>
  </conditionalFormatting>
  <conditionalFormatting sqref="AY103:AY106">
    <cfRule type="cellIs" dxfId="226" priority="48" stopIfTrue="1" operator="equal">
      <formula>0</formula>
    </cfRule>
  </conditionalFormatting>
  <conditionalFormatting sqref="BH39">
    <cfRule type="cellIs" dxfId="225" priority="47" stopIfTrue="1" operator="equal">
      <formula>0</formula>
    </cfRule>
  </conditionalFormatting>
  <conditionalFormatting sqref="AY64:AY68">
    <cfRule type="cellIs" dxfId="224" priority="46" stopIfTrue="1" operator="equal">
      <formula>0</formula>
    </cfRule>
  </conditionalFormatting>
  <conditionalFormatting sqref="AY107:AY141 AY147:AY150">
    <cfRule type="cellIs" dxfId="223" priority="40" stopIfTrue="1" operator="equal">
      <formula>0</formula>
    </cfRule>
  </conditionalFormatting>
  <conditionalFormatting sqref="AY81">
    <cfRule type="cellIs" dxfId="222" priority="45" stopIfTrue="1" operator="equal">
      <formula>0</formula>
    </cfRule>
  </conditionalFormatting>
  <conditionalFormatting sqref="AY84">
    <cfRule type="cellIs" dxfId="221" priority="44" stopIfTrue="1" operator="equal">
      <formula>0</formula>
    </cfRule>
  </conditionalFormatting>
  <conditionalFormatting sqref="AY94">
    <cfRule type="cellIs" dxfId="220" priority="43" stopIfTrue="1" operator="equal">
      <formula>0</formula>
    </cfRule>
  </conditionalFormatting>
  <conditionalFormatting sqref="BH115 BH119">
    <cfRule type="cellIs" dxfId="219" priority="42" stopIfTrue="1" operator="equal">
      <formula>0</formula>
    </cfRule>
  </conditionalFormatting>
  <conditionalFormatting sqref="BH136 BH140:BH141 BH148 BH154:BH159 BH138">
    <cfRule type="cellIs" dxfId="218" priority="41" stopIfTrue="1" operator="equal">
      <formula>0</formula>
    </cfRule>
  </conditionalFormatting>
  <conditionalFormatting sqref="BH105:BH114">
    <cfRule type="cellIs" dxfId="217" priority="39" stopIfTrue="1" operator="equal">
      <formula>0</formula>
    </cfRule>
  </conditionalFormatting>
  <conditionalFormatting sqref="BH139">
    <cfRule type="cellIs" dxfId="216" priority="37" stopIfTrue="1" operator="equal">
      <formula>0</formula>
    </cfRule>
  </conditionalFormatting>
  <conditionalFormatting sqref="AY87">
    <cfRule type="cellIs" dxfId="215" priority="38" stopIfTrue="1" operator="equal">
      <formula>0</formula>
    </cfRule>
  </conditionalFormatting>
  <conditionalFormatting sqref="F13:K13">
    <cfRule type="expression" dxfId="214" priority="36" stopIfTrue="1">
      <formula>$AW$4=1</formula>
    </cfRule>
  </conditionalFormatting>
  <conditionalFormatting sqref="BI148 BI154:BI159">
    <cfRule type="cellIs" dxfId="213" priority="35" stopIfTrue="1" operator="equal">
      <formula>0</formula>
    </cfRule>
  </conditionalFormatting>
  <conditionalFormatting sqref="AZ90:AZ91">
    <cfRule type="cellIs" dxfId="212" priority="34" stopIfTrue="1" operator="equal">
      <formula>0</formula>
    </cfRule>
  </conditionalFormatting>
  <conditionalFormatting sqref="AY90:AY91">
    <cfRule type="cellIs" dxfId="211" priority="33" stopIfTrue="1" operator="equal">
      <formula>0</formula>
    </cfRule>
  </conditionalFormatting>
  <conditionalFormatting sqref="BH145:BH146">
    <cfRule type="cellIs" dxfId="210" priority="32" stopIfTrue="1" operator="equal">
      <formula>0</formula>
    </cfRule>
  </conditionalFormatting>
  <conditionalFormatting sqref="BI145:BI146">
    <cfRule type="cellIs" dxfId="209" priority="31" stopIfTrue="1" operator="equal">
      <formula>0</formula>
    </cfRule>
  </conditionalFormatting>
  <conditionalFormatting sqref="AR88">
    <cfRule type="expression" dxfId="208" priority="30" stopIfTrue="1">
      <formula>$AU$96=AU98</formula>
    </cfRule>
  </conditionalFormatting>
  <conditionalFormatting sqref="AZ142:AZ146">
    <cfRule type="cellIs" dxfId="207" priority="29" stopIfTrue="1" operator="equal">
      <formula>0</formula>
    </cfRule>
  </conditionalFormatting>
  <conditionalFormatting sqref="AY142:AY146">
    <cfRule type="cellIs" dxfId="206" priority="28" stopIfTrue="1" operator="equal">
      <formula>0</formula>
    </cfRule>
  </conditionalFormatting>
  <conditionalFormatting sqref="BH149 BH152:BH153">
    <cfRule type="cellIs" dxfId="205" priority="27" stopIfTrue="1" operator="equal">
      <formula>0</formula>
    </cfRule>
  </conditionalFormatting>
  <conditionalFormatting sqref="BI149:BI153">
    <cfRule type="cellIs" dxfId="204" priority="26" stopIfTrue="1" operator="equal">
      <formula>0</formula>
    </cfRule>
  </conditionalFormatting>
  <conditionalFormatting sqref="BH150:BH151">
    <cfRule type="cellIs" dxfId="203" priority="25" stopIfTrue="1" operator="equal">
      <formula>0</formula>
    </cfRule>
  </conditionalFormatting>
  <conditionalFormatting sqref="AY50:AY54">
    <cfRule type="cellIs" dxfId="202" priority="24" stopIfTrue="1" operator="equal">
      <formula>0</formula>
    </cfRule>
  </conditionalFormatting>
  <conditionalFormatting sqref="AY56:AY58">
    <cfRule type="cellIs" dxfId="201" priority="23" stopIfTrue="1" operator="equal">
      <formula>0</formula>
    </cfRule>
  </conditionalFormatting>
  <conditionalFormatting sqref="AY60:AY62">
    <cfRule type="cellIs" dxfId="200" priority="22" stopIfTrue="1" operator="equal">
      <formula>0</formula>
    </cfRule>
  </conditionalFormatting>
  <conditionalFormatting sqref="AY69:AY71">
    <cfRule type="cellIs" dxfId="199" priority="21" stopIfTrue="1" operator="equal">
      <formula>0</formula>
    </cfRule>
  </conditionalFormatting>
  <conditionalFormatting sqref="AY73:AY74">
    <cfRule type="cellIs" dxfId="198" priority="20" stopIfTrue="1" operator="equal">
      <formula>0</formula>
    </cfRule>
  </conditionalFormatting>
  <conditionalFormatting sqref="AY75">
    <cfRule type="cellIs" dxfId="197" priority="19" stopIfTrue="1" operator="equal">
      <formula>0</formula>
    </cfRule>
  </conditionalFormatting>
  <conditionalFormatting sqref="AY76:AY80">
    <cfRule type="cellIs" dxfId="196" priority="18" stopIfTrue="1" operator="equal">
      <formula>0</formula>
    </cfRule>
  </conditionalFormatting>
  <conditionalFormatting sqref="AY82">
    <cfRule type="cellIs" dxfId="195" priority="17" stopIfTrue="1" operator="equal">
      <formula>0</formula>
    </cfRule>
  </conditionalFormatting>
  <conditionalFormatting sqref="BH5:BH10">
    <cfRule type="cellIs" dxfId="194" priority="16" stopIfTrue="1" operator="equal">
      <formula>0</formula>
    </cfRule>
  </conditionalFormatting>
  <conditionalFormatting sqref="BH99:BH106">
    <cfRule type="cellIs" dxfId="193" priority="15" stopIfTrue="1" operator="equal">
      <formula>0</formula>
    </cfRule>
  </conditionalFormatting>
  <conditionalFormatting sqref="BH116:BH118">
    <cfRule type="cellIs" dxfId="192" priority="14" stopIfTrue="1" operator="equal">
      <formula>0</formula>
    </cfRule>
  </conditionalFormatting>
  <conditionalFormatting sqref="BH120:BH135">
    <cfRule type="cellIs" dxfId="191" priority="13" stopIfTrue="1" operator="equal">
      <formula>0</formula>
    </cfRule>
  </conditionalFormatting>
  <conditionalFormatting sqref="BH137">
    <cfRule type="cellIs" dxfId="190" priority="12" stopIfTrue="1" operator="equal">
      <formula>0</formula>
    </cfRule>
  </conditionalFormatting>
  <conditionalFormatting sqref="AZ85">
    <cfRule type="cellIs" dxfId="189" priority="11" stopIfTrue="1" operator="equal">
      <formula>0</formula>
    </cfRule>
  </conditionalFormatting>
  <conditionalFormatting sqref="AY85">
    <cfRule type="cellIs" dxfId="188" priority="10" stopIfTrue="1" operator="equal">
      <formula>0</formula>
    </cfRule>
  </conditionalFormatting>
  <conditionalFormatting sqref="BH37:BI38">
    <cfRule type="cellIs" dxfId="187" priority="9" stopIfTrue="1" operator="equal">
      <formula>0</formula>
    </cfRule>
  </conditionalFormatting>
  <conditionalFormatting sqref="BH35:BI36">
    <cfRule type="cellIs" dxfId="186" priority="8" stopIfTrue="1" operator="equal">
      <formula>0</formula>
    </cfRule>
  </conditionalFormatting>
  <conditionalFormatting sqref="AY63">
    <cfRule type="cellIs" dxfId="185" priority="7" stopIfTrue="1" operator="equal">
      <formula>0</formula>
    </cfRule>
  </conditionalFormatting>
  <conditionalFormatting sqref="BH11:BH12">
    <cfRule type="cellIs" dxfId="184" priority="6" stopIfTrue="1" operator="equal">
      <formula>0</formula>
    </cfRule>
  </conditionalFormatting>
  <conditionalFormatting sqref="AZ92:AZ93">
    <cfRule type="cellIs" dxfId="183" priority="5" stopIfTrue="1" operator="equal">
      <formula>0</formula>
    </cfRule>
  </conditionalFormatting>
  <conditionalFormatting sqref="AY92:AY93">
    <cfRule type="cellIs" dxfId="182" priority="4" stopIfTrue="1" operator="equal">
      <formula>0</formula>
    </cfRule>
  </conditionalFormatting>
  <conditionalFormatting sqref="BI22:BI24">
    <cfRule type="cellIs" dxfId="181" priority="3" stopIfTrue="1" operator="equal">
      <formula>0</formula>
    </cfRule>
  </conditionalFormatting>
  <conditionalFormatting sqref="BH147">
    <cfRule type="cellIs" dxfId="180" priority="2" stopIfTrue="1" operator="equal">
      <formula>0</formula>
    </cfRule>
  </conditionalFormatting>
  <conditionalFormatting sqref="BI147">
    <cfRule type="cellIs" dxfId="179" priority="1" stopIfTrue="1" operator="equal">
      <formula>0</formula>
    </cfRule>
  </conditionalFormatting>
  <hyperlinks>
    <hyperlink ref="M4" location="MENU!A1" display="MENU!A1" xr:uid="{00000000-0004-0000-1500-000000000000}"/>
    <hyperlink ref="M10" location="OBJ!A1" display="OBJ!A1" xr:uid="{00000000-0004-0000-1500-000001000000}"/>
    <hyperlink ref="M9" location="suhrn!A1" display="suhrn!A1" xr:uid="{00000000-0004-0000-1500-000002000000}"/>
    <hyperlink ref="O2:S2" location="MENU!A5" display="MENU!A5" xr:uid="{00000000-0004-0000-1500-000003000000}"/>
    <hyperlink ref="M69" location="MENU!A1" display="MENU!A1" xr:uid="{00000000-0004-0000-1500-000004000000}"/>
    <hyperlink ref="B67:E67" location="'potr-v101+187-IL'!A1" display="'potr-v101+187-IL'!A1" xr:uid="{00000000-0004-0000-1500-000005000000}"/>
    <hyperlink ref="AK9:AO10" location="'IT70(vn100)'!A66" display="'IT70(vn100)'!A66" xr:uid="{00000000-0004-0000-1500-000006000000}"/>
    <hyperlink ref="AK9:AP10" location="'potr-v101+187-IL'!A66" display="'potr-v101+187-IL'!A66" xr:uid="{00000000-0004-0000-15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61">
    <tabColor theme="1"/>
  </sheetPr>
  <dimension ref="A1:BK161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51.37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3" width="9" style="86" hidden="1" customWidth="1"/>
    <col min="54" max="54" width="9.125" style="86" hidden="1" customWidth="1"/>
    <col min="55" max="55" width="2.625" style="86" hidden="1" customWidth="1"/>
    <col min="56" max="56" width="9" style="86" hidden="1" customWidth="1"/>
    <col min="57" max="57" width="49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212">
        <f>AQ18</f>
        <v>1</v>
      </c>
      <c r="AZ1" s="367" t="s">
        <v>593</v>
      </c>
      <c r="BA1" s="367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  <c r="AY2" s="212">
        <f>AQ21</f>
        <v>0</v>
      </c>
      <c r="AZ2" s="367" t="s">
        <v>591</v>
      </c>
      <c r="BA2" s="367"/>
    </row>
    <row r="3" spans="1:63" ht="12.95" customHeight="1">
      <c r="AV3" s="143"/>
      <c r="AW3" s="143"/>
      <c r="AY3" s="212">
        <f>AQ24</f>
        <v>2</v>
      </c>
      <c r="AZ3" s="367" t="s">
        <v>594</v>
      </c>
      <c r="BA3" s="367"/>
    </row>
    <row r="4" spans="1:63" ht="23.1" customHeight="1">
      <c r="A4" s="89"/>
      <c r="B4" s="93" t="str">
        <f>verze!E206&amp;" AVANTECH YOU  101 / 187"</f>
        <v>Zásuvka AVANTECH YOU  101 / 187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AY4" s="212">
        <f>AQ27</f>
        <v>0</v>
      </c>
      <c r="AZ4" s="367" t="s">
        <v>592</v>
      </c>
      <c r="BA4" s="367"/>
      <c r="BB4" s="322" t="e">
        <f>SUM(BB5:BB150)</f>
        <v>#N/A</v>
      </c>
      <c r="BD4" s="94" t="s">
        <v>34</v>
      </c>
      <c r="BK4" s="322" t="e">
        <f>SUM(BK5:BK1009)</f>
        <v>#N/A</v>
      </c>
    </row>
    <row r="5" spans="1:63" ht="14.45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68"/>
      <c r="AZ5" s="326" t="str">
        <f>IF(AY5="","",IF($AW$4=1,AY5,0))</f>
        <v/>
      </c>
      <c r="BA5" s="95">
        <f>VLOOKUP(AU5,CENY!$B$11:$M$2025,12,FALSE)</f>
        <v>26.248429999999999</v>
      </c>
      <c r="BB5" s="95">
        <f t="shared" ref="BB5:BB74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68"/>
      <c r="BI5" s="326" t="str">
        <f>IF(BH5="","",IF($AW$4=0,BH5,0))</f>
        <v/>
      </c>
      <c r="BJ5" s="95">
        <f>VLOOKUP(BD5,CENY!$B$11:$M$2025,12,FALSE)</f>
        <v>10.00929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387</v>
      </c>
      <c r="G6" s="566"/>
      <c r="H6" s="566"/>
      <c r="I6" s="566"/>
      <c r="J6" s="566"/>
      <c r="K6" s="566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68"/>
      <c r="AZ6" s="326" t="str">
        <f t="shared" ref="AZ6:AZ75" si="1">IF(AY6="","",IF($AW$4=1,AY6,0))</f>
        <v/>
      </c>
      <c r="BA6" s="95">
        <f>VLOOKUP(AU6,CENY!$B$11:$M$2025,12,FALSE)</f>
        <v>26.467459999999999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68"/>
      <c r="BI6" s="326" t="str">
        <f t="shared" ref="BI6:BI83" si="2">IF(BH6="","",IF($AW$4=0,BH6,0))</f>
        <v/>
      </c>
      <c r="BJ6" s="95">
        <f>VLOOKUP(BD6,CENY!$B$11:$M$2025,12,FALSE)</f>
        <v>10.00929</v>
      </c>
      <c r="BK6" s="95">
        <f t="shared" ref="BK6:BK83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68"/>
      <c r="AZ7" s="326" t="str">
        <f t="shared" si="1"/>
        <v/>
      </c>
      <c r="BA7" s="95">
        <f>VLOOKUP(AU7,CENY!$B$11:$M$2025,12,FALSE)</f>
        <v>26.833570000000002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68"/>
      <c r="BI7" s="326" t="str">
        <f t="shared" si="2"/>
        <v/>
      </c>
      <c r="BJ7" s="95">
        <f>VLOOKUP(BD7,CENY!$B$11:$M$2025,12,FALSE)</f>
        <v>10.12106</v>
      </c>
      <c r="BK7" s="95">
        <f t="shared" si="3"/>
        <v>0</v>
      </c>
    </row>
    <row r="8" spans="1:63" ht="14.45" customHeight="1" thickBo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68"/>
      <c r="AZ8" s="326" t="str">
        <f t="shared" si="1"/>
        <v/>
      </c>
      <c r="BA8" s="95">
        <f>VLOOKUP(AU8,CENY!$B$11:$M$2025,12,FALSE)</f>
        <v>27.19903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68"/>
      <c r="BI8" s="326" t="str">
        <f t="shared" si="2"/>
        <v/>
      </c>
      <c r="BJ8" s="95">
        <f>VLOOKUP(BD8,CENY!$B$11:$M$2025,12,FALSE)</f>
        <v>10.12106</v>
      </c>
      <c r="BK8" s="95">
        <f t="shared" si="3"/>
        <v>0</v>
      </c>
    </row>
    <row r="9" spans="1:63" ht="14.45" customHeight="1" thickTop="1">
      <c r="B9" s="552"/>
      <c r="C9" s="560"/>
      <c r="D9" s="560"/>
      <c r="E9" s="561"/>
      <c r="F9" s="562"/>
      <c r="G9" s="563"/>
      <c r="H9" s="563"/>
      <c r="I9" s="563"/>
      <c r="J9" s="563"/>
      <c r="K9" s="564"/>
      <c r="AK9" s="587" t="str">
        <f>verze!E160</f>
        <v>Je nutné natypovať šírky čiel ?</v>
      </c>
      <c r="AL9" s="588"/>
      <c r="AM9" s="588"/>
      <c r="AN9" s="588"/>
      <c r="AO9" s="588"/>
      <c r="AP9" s="589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SUM(AY1:AY2)*(W20+W22+W28)</f>
        <v>0</v>
      </c>
      <c r="AZ9" s="326">
        <f t="shared" si="1"/>
        <v>0</v>
      </c>
      <c r="BA9" s="95">
        <f>VLOOKUP(AU9,CENY!$B$11:$M$2025,12,FALSE)</f>
        <v>26.252320000000001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68"/>
      <c r="BI9" s="326" t="str">
        <f t="shared" si="2"/>
        <v/>
      </c>
      <c r="BJ9" s="95">
        <f>VLOOKUP(BD9,CENY!$B$11:$M$2025,12,FALSE)</f>
        <v>10.307510000000001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K10" s="590"/>
      <c r="AL10" s="591"/>
      <c r="AM10" s="591"/>
      <c r="AN10" s="591"/>
      <c r="AO10" s="591"/>
      <c r="AP10" s="592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SUM(AY1:AY2)*(Y20+Y22+Y28)</f>
        <v>0</v>
      </c>
      <c r="AZ10" s="326">
        <f t="shared" si="1"/>
        <v>0</v>
      </c>
      <c r="BA10" s="95">
        <f>VLOOKUP(AU10,CENY!$B$11:$M$2025,12,FALSE)</f>
        <v>26.6005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68"/>
      <c r="BI10" s="326" t="str">
        <f t="shared" si="2"/>
        <v/>
      </c>
      <c r="BJ10" s="95">
        <f>VLOOKUP(BD10,CENY!$B$11:$M$2025,12,FALSE)</f>
        <v>10.307510000000001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SUM(AY1:AY2)*(AA20+AA22+AA28)</f>
        <v>0</v>
      </c>
      <c r="AZ11" s="326">
        <f t="shared" si="1"/>
        <v>0</v>
      </c>
      <c r="BA11" s="95">
        <f>VLOOKUP(AU11,CENY!$B$11:$M$2025,12,FALSE)</f>
        <v>28.296320000000001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68"/>
      <c r="BI11" s="326" t="str">
        <f t="shared" si="2"/>
        <v/>
      </c>
      <c r="BJ11" s="95">
        <f>VLOOKUP(BD11,CENY!$B$11:$M$2025,12,FALSE)</f>
        <v>10.49362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SUM(AY1:AY2)*(AC20+AC22+AC28)</f>
        <v>0</v>
      </c>
      <c r="AZ12" s="326">
        <f t="shared" si="1"/>
        <v>0</v>
      </c>
      <c r="BA12" s="95">
        <f>VLOOKUP(AU12,CENY!$B$11:$M$2025,12,FALSE)</f>
        <v>28.89237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68"/>
      <c r="BI12" s="326" t="str">
        <f t="shared" si="2"/>
        <v/>
      </c>
      <c r="BJ12" s="95">
        <f>VLOOKUP(BD12,CENY!$B$11:$M$2025,12,FALSE)</f>
        <v>10.49362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SUM(AY1:AY2)*(AE22)</f>
        <v>0</v>
      </c>
      <c r="AZ13" s="326">
        <f t="shared" si="1"/>
        <v>0</v>
      </c>
      <c r="BA13" s="95">
        <f>VLOOKUP(AU13,CENY!$B$11:$M$2025,12,FALSE)</f>
        <v>29.75958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10.680099999999999</v>
      </c>
      <c r="BK13" s="95">
        <f t="shared" si="3"/>
        <v>0</v>
      </c>
    </row>
    <row r="14" spans="1:63" ht="14.45" customHeight="1">
      <c r="AU14" s="319"/>
      <c r="AV14" s="21"/>
      <c r="AW14" s="22"/>
      <c r="AX14" s="362"/>
      <c r="AY14" s="23"/>
      <c r="AZ14" s="326"/>
      <c r="BA14" s="95"/>
      <c r="BB14" s="95"/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10.680099999999999</v>
      </c>
      <c r="BK14" s="95">
        <f t="shared" si="3"/>
        <v>0</v>
      </c>
    </row>
    <row r="15" spans="1:63" ht="14.45" customHeight="1">
      <c r="AU15" s="319">
        <f>OBJ!B116</f>
        <v>9353357</v>
      </c>
      <c r="AV15" s="21" t="str">
        <f>VLOOKUP(AU15,CENY!$B$11:$G$1054,2,FALSE)</f>
        <v>AvanY-sólo oceľ.boky-NW 187/450mm/strieb.</v>
      </c>
      <c r="AW15" s="22">
        <f>VLOOKUP(AU15,CENY!$B$11:$G$1054,3,FALSE)</f>
        <v>1</v>
      </c>
      <c r="AX15" s="362">
        <v>6</v>
      </c>
      <c r="AY15" s="23">
        <f>SUM(AY3:AY4)*(W20+W22+W28)</f>
        <v>0</v>
      </c>
      <c r="AZ15" s="326">
        <f t="shared" ref="AZ15:AZ19" si="4">IF(AY15="","",IF($AW$4=1,AY15,0))</f>
        <v>0</v>
      </c>
      <c r="BA15" s="95">
        <f>VLOOKUP(AU15,CENY!$B$11:$M$2025,12,FALSE)</f>
        <v>37.79374</v>
      </c>
      <c r="BB15" s="95">
        <f t="shared" ref="BB15:BB19" si="5">IF(BA15="","",BA15*AY15)</f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10.348739999999999</v>
      </c>
      <c r="BK15" s="95">
        <f t="shared" si="3"/>
        <v>0</v>
      </c>
    </row>
    <row r="16" spans="1:63" ht="14.45" customHeight="1">
      <c r="AB16" s="341"/>
      <c r="AU16" s="319">
        <f>OBJ!B117</f>
        <v>9353358</v>
      </c>
      <c r="AV16" s="21" t="str">
        <f>VLOOKUP(AU16,CENY!$B$11:$G$1054,2,FALSE)</f>
        <v>AvanY-sólo oceľ.boky-NW 187/500mm/strieb.</v>
      </c>
      <c r="AW16" s="22">
        <f>VLOOKUP(AU16,CENY!$B$11:$G$1054,3,FALSE)</f>
        <v>1</v>
      </c>
      <c r="AX16" s="362">
        <v>8</v>
      </c>
      <c r="AY16" s="23">
        <f>SUM(AY3:AY4)*(Y20+Y22+Y28)</f>
        <v>0</v>
      </c>
      <c r="AZ16" s="326">
        <f t="shared" si="4"/>
        <v>0</v>
      </c>
      <c r="BA16" s="95">
        <f>VLOOKUP(AU16,CENY!$B$11:$M$2025,12,FALSE)</f>
        <v>38.343159999999997</v>
      </c>
      <c r="BB16" s="95">
        <f t="shared" si="5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10.348739999999999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U17" s="319">
        <f>OBJ!B118</f>
        <v>9353359</v>
      </c>
      <c r="AV17" s="21" t="str">
        <f>VLOOKUP(AU17,CENY!$B$11:$G$1054,2,FALSE)</f>
        <v>AvanY-sólo oceľ.boky-NW 187/550mm/strieb.</v>
      </c>
      <c r="AW17" s="22">
        <f>VLOOKUP(AU17,CENY!$B$11:$G$1054,3,FALSE)</f>
        <v>1</v>
      </c>
      <c r="AX17" s="362">
        <v>8</v>
      </c>
      <c r="AY17" s="23">
        <f>SUM(AY3:AY4)*(AA20+AA22+AA28)</f>
        <v>0</v>
      </c>
      <c r="AZ17" s="326">
        <f t="shared" si="4"/>
        <v>0</v>
      </c>
      <c r="BA17" s="95">
        <f>VLOOKUP(AU17,CENY!$B$11:$M$2025,12,FALSE)</f>
        <v>40.83719</v>
      </c>
      <c r="BB17" s="95">
        <f t="shared" si="5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11.052530000000001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P18" s="233" t="s">
        <v>258</v>
      </c>
      <c r="AQ18" s="616">
        <v>1</v>
      </c>
      <c r="AR18" s="617"/>
      <c r="AU18" s="319">
        <f>OBJ!B119</f>
        <v>9353360</v>
      </c>
      <c r="AV18" s="21" t="str">
        <f>VLOOKUP(AU18,CENY!$B$11:$G$1054,2,FALSE)</f>
        <v>AvanY-sólo oceľ.boky-NW 187/600mm/strieb.</v>
      </c>
      <c r="AW18" s="22">
        <f>VLOOKUP(AU18,CENY!$B$11:$G$1054,3,FALSE)</f>
        <v>1</v>
      </c>
      <c r="AX18" s="362">
        <v>8</v>
      </c>
      <c r="AY18" s="23">
        <f>SUM(AY3:AY4)*(AC20+AC22+AC28)</f>
        <v>0</v>
      </c>
      <c r="AZ18" s="326">
        <f t="shared" si="4"/>
        <v>0</v>
      </c>
      <c r="BA18" s="95">
        <f>VLOOKUP(AU18,CENY!$B$11:$M$2025,12,FALSE)</f>
        <v>41.752409999999998</v>
      </c>
      <c r="BB18" s="95">
        <f t="shared" si="5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11.052530000000001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71"/>
      <c r="P19" s="614"/>
      <c r="Q19" s="615"/>
      <c r="R19" s="614"/>
      <c r="S19" s="615"/>
      <c r="T19" s="572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U19" s="319">
        <f>OBJ!B120</f>
        <v>9353371</v>
      </c>
      <c r="AV19" s="21" t="str">
        <f>VLOOKUP(AU19,CENY!$B$11:$G$1054,2,FALSE)</f>
        <v>AvanY-sólo oceľ.boky-NW 187/650mm/strieb.</v>
      </c>
      <c r="AW19" s="22">
        <f>VLOOKUP(AU19,CENY!$B$11:$G$1054,3,FALSE)</f>
        <v>1</v>
      </c>
      <c r="AX19" s="362">
        <v>10</v>
      </c>
      <c r="AY19" s="23">
        <f>SUM(AY3:AY4)*(AE22)</f>
        <v>0</v>
      </c>
      <c r="AZ19" s="326">
        <f t="shared" si="4"/>
        <v>0</v>
      </c>
      <c r="BA19" s="95">
        <f>VLOOKUP(AU19,CENY!$B$11:$M$2025,12,FALSE)</f>
        <v>43.053130000000003</v>
      </c>
      <c r="BB19" s="95">
        <f t="shared" si="5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11.33343</v>
      </c>
      <c r="BK19" s="95">
        <f t="shared" si="3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20"/>
      <c r="P20" s="521"/>
      <c r="Q20" s="520"/>
      <c r="R20" s="521"/>
      <c r="S20" s="520"/>
      <c r="T20" s="521"/>
      <c r="U20" s="520"/>
      <c r="V20" s="521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11.33343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U21" s="319">
        <f>OBJ!B71</f>
        <v>9347502</v>
      </c>
      <c r="AV21" s="21" t="str">
        <f>VLOOKUP(AU21,CENY!$B$11:$G$1054,2,FALSE)</f>
        <v>AvanY-design ALprofil Hybrid na bok 270/ strieb.</v>
      </c>
      <c r="AW21" s="22">
        <f>VLOOKUP(AU21,CENY!$B$11:$G$1054,3,FALSE)</f>
        <v>200</v>
      </c>
      <c r="AX21" s="22"/>
      <c r="AY21" s="68"/>
      <c r="AZ21" s="326" t="str">
        <f t="shared" si="1"/>
        <v/>
      </c>
      <c r="BA21" s="95">
        <f>VLOOKUP(AU21,CENY!$B$11:$M$2025,12,FALSE)</f>
        <v>0.95189000000000001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11.715400000000001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67"/>
      <c r="AF22" s="568"/>
      <c r="AU22" s="319">
        <f>OBJ!B72</f>
        <v>9347503</v>
      </c>
      <c r="AV22" s="21" t="str">
        <f>VLOOKUP(AU22,CENY!$B$11:$G$1054,2,FALSE)</f>
        <v>AvanY-design ALprofil Hybrid na bok 300/ strieb.</v>
      </c>
      <c r="AW22" s="22">
        <f>VLOOKUP(AU22,CENY!$B$11:$G$1054,3,FALSE)</f>
        <v>200</v>
      </c>
      <c r="AX22" s="22"/>
      <c r="AY22" s="68"/>
      <c r="AZ22" s="326" t="str">
        <f t="shared" si="1"/>
        <v/>
      </c>
      <c r="BA22" s="95">
        <f>VLOOKUP(AU22,CENY!$B$11:$M$2025,12,FALSE)</f>
        <v>0.96240999999999999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11.715400000000001</v>
      </c>
      <c r="BK22" s="95">
        <f t="shared" si="3"/>
        <v>0</v>
      </c>
    </row>
    <row r="23" spans="2:63" ht="14.45" customHeight="1" thickBot="1">
      <c r="O23" s="4"/>
      <c r="P23" s="4"/>
      <c r="AU23" s="319">
        <f>OBJ!B73</f>
        <v>9347504</v>
      </c>
      <c r="AV23" s="21" t="str">
        <f>VLOOKUP(AU23,CENY!$B$11:$G$1054,2,FALSE)</f>
        <v>AvanY-design ALprofil Hybrid na bok 350/ strieb.</v>
      </c>
      <c r="AW23" s="22">
        <f>VLOOKUP(AU23,CENY!$B$11:$G$1054,3,FALSE)</f>
        <v>200</v>
      </c>
      <c r="AX23" s="22"/>
      <c r="AY23" s="68"/>
      <c r="AZ23" s="326" t="str">
        <f t="shared" si="1"/>
        <v/>
      </c>
      <c r="BA23" s="95">
        <f>VLOOKUP(AU23,CENY!$B$11:$M$2025,12,FALSE)</f>
        <v>0.98018000000000005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/>
    </row>
    <row r="24" spans="2:63" ht="14.45" customHeight="1" thickBot="1">
      <c r="AP24" s="233" t="s">
        <v>258</v>
      </c>
      <c r="AQ24" s="616">
        <v>2</v>
      </c>
      <c r="AR24" s="617"/>
      <c r="AU24" s="319">
        <f>OBJ!B74</f>
        <v>9347505</v>
      </c>
      <c r="AV24" s="21" t="str">
        <f>VLOOKUP(AU24,CENY!$B$11:$G$1054,2,FALSE)</f>
        <v>AvanY-design ALprofil Hybrid na bok 400/ strieb.</v>
      </c>
      <c r="AW24" s="22">
        <f>VLOOKUP(AU24,CENY!$B$11:$G$1054,3,FALSE)</f>
        <v>200</v>
      </c>
      <c r="AX24" s="22"/>
      <c r="AY24" s="68"/>
      <c r="AZ24" s="326" t="str">
        <f t="shared" si="1"/>
        <v/>
      </c>
      <c r="BA24" s="95">
        <f>VLOOKUP(AU24,CENY!$B$11:$M$2025,12,FALSE)</f>
        <v>0.99777000000000005</v>
      </c>
      <c r="BB24" s="95">
        <f t="shared" si="0"/>
        <v>0</v>
      </c>
      <c r="BD24" s="319">
        <f>OBJ!B130</f>
        <v>9255052</v>
      </c>
      <c r="BE24" s="21" t="str">
        <f>VLOOKUP(BD24,CENY!$B$11:$G$1054,2,FALSE)</f>
        <v>AvanY-bok ľavý /v187/h450/ strieborná</v>
      </c>
      <c r="BF24" s="22">
        <f>VLOOKUP(BD24,CENY!$B$11:$G$1054,3,FALSE)</f>
        <v>10</v>
      </c>
      <c r="BG24" s="22"/>
      <c r="BH24" s="23">
        <f>AY15</f>
        <v>0</v>
      </c>
      <c r="BI24" s="326">
        <f t="shared" si="2"/>
        <v>0</v>
      </c>
      <c r="BJ24" s="95">
        <f>VLOOKUP(BD24,CENY!$B$11:$M$2025,12,FALSE)</f>
        <v>16.80836</v>
      </c>
      <c r="BK24" s="95">
        <f t="shared" ref="BK24:BK33" si="6">IF(BJ24="","",BJ24*BH24)</f>
        <v>0</v>
      </c>
    </row>
    <row r="25" spans="2:63" ht="14.45" customHeight="1" thickBot="1">
      <c r="B25" s="2" t="s">
        <v>285</v>
      </c>
      <c r="AU25" s="319">
        <f>OBJ!B75</f>
        <v>9347506</v>
      </c>
      <c r="AV25" s="21" t="str">
        <f>VLOOKUP(AU25,CENY!$B$11:$G$1054,2,FALSE)</f>
        <v>AvanY-design ALprofil Hybrid na bok 450/ strieb.</v>
      </c>
      <c r="AW25" s="22">
        <f>VLOOKUP(AU25,CENY!$B$11:$G$1054,3,FALSE)</f>
        <v>200</v>
      </c>
      <c r="AX25" s="22"/>
      <c r="AY25" s="23">
        <f>IF(FORM!AM18=FORM!AU16,0,2*SUM(AY1:AY4)*(W20+W22+W28))</f>
        <v>0</v>
      </c>
      <c r="AZ25" s="326">
        <f t="shared" si="1"/>
        <v>0</v>
      </c>
      <c r="BA25" s="95">
        <f>VLOOKUP(AU25,CENY!$B$11:$M$2025,12,FALSE)</f>
        <v>1.01556</v>
      </c>
      <c r="BB25" s="95">
        <f t="shared" si="0"/>
        <v>0</v>
      </c>
      <c r="BD25" s="319">
        <f>OBJ!B131</f>
        <v>9255053</v>
      </c>
      <c r="BE25" s="21" t="str">
        <f>VLOOKUP(BD25,CENY!$B$11:$G$1054,2,FALSE)</f>
        <v>AvanY-bok pravý /v187/h450/ strieborná</v>
      </c>
      <c r="BF25" s="22">
        <f>VLOOKUP(BD25,CENY!$B$11:$G$1054,3,FALSE)</f>
        <v>10</v>
      </c>
      <c r="BG25" s="22"/>
      <c r="BH25" s="23">
        <f>AY15</f>
        <v>0</v>
      </c>
      <c r="BI25" s="326">
        <f t="shared" si="2"/>
        <v>0</v>
      </c>
      <c r="BJ25" s="95">
        <f>VLOOKUP(BD25,CENY!$B$11:$M$2025,12,FALSE)</f>
        <v>16.80836</v>
      </c>
      <c r="BK25" s="95">
        <f t="shared" si="6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U26" s="319">
        <f>OBJ!B76</f>
        <v>9347507</v>
      </c>
      <c r="AV26" s="21" t="str">
        <f>VLOOKUP(AU26,CENY!$B$11:$G$1054,2,FALSE)</f>
        <v>AvanY-design ALprofil Hybrid na bok 500/ strieb.</v>
      </c>
      <c r="AW26" s="22">
        <f>VLOOKUP(AU26,CENY!$B$11:$G$1054,3,FALSE)</f>
        <v>200</v>
      </c>
      <c r="AX26" s="22"/>
      <c r="AY26" s="23">
        <f>IF(FORM!AM18=FORM!AU16,0,2*SUM(AY1:AY4)*(Y20+Y22+Y28))</f>
        <v>0</v>
      </c>
      <c r="AZ26" s="326">
        <f t="shared" si="1"/>
        <v>0</v>
      </c>
      <c r="BA26" s="95">
        <f>VLOOKUP(AU26,CENY!$B$11:$M$2025,12,FALSE)</f>
        <v>1.0332399999999999</v>
      </c>
      <c r="BB26" s="95">
        <f t="shared" si="0"/>
        <v>0</v>
      </c>
      <c r="BD26" s="319">
        <f>OBJ!B132</f>
        <v>9255054</v>
      </c>
      <c r="BE26" s="21" t="str">
        <f>VLOOKUP(BD26,CENY!$B$11:$G$1054,2,FALSE)</f>
        <v>AvanY-bok ľavý /v187/h500/ strieborná</v>
      </c>
      <c r="BF26" s="22">
        <f>VLOOKUP(BD26,CENY!$B$11:$G$1054,3,FALSE)</f>
        <v>10</v>
      </c>
      <c r="BG26" s="22"/>
      <c r="BH26" s="23">
        <f>AY16</f>
        <v>0</v>
      </c>
      <c r="BI26" s="326">
        <f t="shared" si="2"/>
        <v>0</v>
      </c>
      <c r="BJ26" s="95">
        <f>VLOOKUP(BD26,CENY!$B$11:$M$2025,12,FALSE)</f>
        <v>17.10154</v>
      </c>
      <c r="BK26" s="95">
        <f t="shared" si="6"/>
        <v>0</v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71"/>
      <c r="P27" s="614"/>
      <c r="Q27" s="615"/>
      <c r="R27" s="614"/>
      <c r="S27" s="615"/>
      <c r="T27" s="572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U27" s="319">
        <f>OBJ!B77</f>
        <v>9347508</v>
      </c>
      <c r="AV27" s="21" t="str">
        <f>VLOOKUP(AU27,CENY!$B$11:$G$1054,2,FALSE)</f>
        <v>AvanY-design ALprofil Hybrid na bok 550/ strieb.</v>
      </c>
      <c r="AW27" s="22">
        <f>VLOOKUP(AU27,CENY!$B$11:$G$1054,3,FALSE)</f>
        <v>200</v>
      </c>
      <c r="AX27" s="22"/>
      <c r="AY27" s="23">
        <f>IF(FORM!AM18=FORM!AU16,0,2*SUM(AY1:AY4)*(AA20+AA22+AA28))</f>
        <v>0</v>
      </c>
      <c r="AZ27" s="326">
        <f t="shared" si="1"/>
        <v>0</v>
      </c>
      <c r="BA27" s="95">
        <f>VLOOKUP(AU27,CENY!$B$11:$M$2025,12,FALSE)</f>
        <v>1.0508599999999999</v>
      </c>
      <c r="BB27" s="95">
        <f t="shared" si="0"/>
        <v>0</v>
      </c>
      <c r="BD27" s="319">
        <f>OBJ!B133</f>
        <v>9255055</v>
      </c>
      <c r="BE27" s="21" t="str">
        <f>VLOOKUP(BD27,CENY!$B$11:$G$1054,2,FALSE)</f>
        <v>AvanY-bok pravý /v187/h500/ strieborná</v>
      </c>
      <c r="BF27" s="22">
        <f>VLOOKUP(BD27,CENY!$B$11:$G$1054,3,FALSE)</f>
        <v>10</v>
      </c>
      <c r="BG27" s="22"/>
      <c r="BH27" s="23">
        <f>AY16</f>
        <v>0</v>
      </c>
      <c r="BI27" s="326">
        <f t="shared" si="2"/>
        <v>0</v>
      </c>
      <c r="BJ27" s="95">
        <f>VLOOKUP(BD27,CENY!$B$11:$M$2025,12,FALSE)</f>
        <v>17.10154</v>
      </c>
      <c r="BK27" s="95">
        <f t="shared" si="6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20"/>
      <c r="P28" s="521"/>
      <c r="Q28" s="520"/>
      <c r="R28" s="521"/>
      <c r="S28" s="520"/>
      <c r="T28" s="521"/>
      <c r="U28" s="520"/>
      <c r="V28" s="521"/>
      <c r="W28" s="518"/>
      <c r="X28" s="519"/>
      <c r="Y28" s="518"/>
      <c r="Z28" s="519"/>
      <c r="AA28" s="518"/>
      <c r="AB28" s="519"/>
      <c r="AC28" s="518"/>
      <c r="AD28" s="519"/>
      <c r="AU28" s="319">
        <f>OBJ!B78</f>
        <v>9347509</v>
      </c>
      <c r="AV28" s="21" t="str">
        <f>VLOOKUP(AU28,CENY!$B$11:$G$1054,2,FALSE)</f>
        <v>AvanY-design ALprofil Hybrid na bok 600/ strieb.</v>
      </c>
      <c r="AW28" s="22">
        <f>VLOOKUP(AU28,CENY!$B$11:$G$1054,3,FALSE)</f>
        <v>200</v>
      </c>
      <c r="AX28" s="22"/>
      <c r="AY28" s="23">
        <f>IF(FORM!AM18=FORM!AU16,0,2*SUM(AY1:AY4)*(AC20+AC22+AC28))</f>
        <v>0</v>
      </c>
      <c r="AZ28" s="326">
        <f t="shared" si="1"/>
        <v>0</v>
      </c>
      <c r="BA28" s="95">
        <f>VLOOKUP(AU28,CENY!$B$11:$M$2025,12,FALSE)</f>
        <v>1.09639</v>
      </c>
      <c r="BB28" s="95">
        <f t="shared" si="0"/>
        <v>0</v>
      </c>
      <c r="BD28" s="319">
        <f>OBJ!B134</f>
        <v>9255056</v>
      </c>
      <c r="BE28" s="21" t="str">
        <f>VLOOKUP(BD28,CENY!$B$11:$G$1054,2,FALSE)</f>
        <v>AvanY-bok ľavý /v187/h550/ strieborná</v>
      </c>
      <c r="BF28" s="22">
        <f>VLOOKUP(BD28,CENY!$B$11:$G$1054,3,FALSE)</f>
        <v>10</v>
      </c>
      <c r="BG28" s="22"/>
      <c r="BH28" s="23">
        <f>AY17</f>
        <v>0</v>
      </c>
      <c r="BI28" s="326">
        <f t="shared" si="2"/>
        <v>0</v>
      </c>
      <c r="BJ28" s="95">
        <f>VLOOKUP(BD28,CENY!$B$11:$M$2025,12,FALSE)</f>
        <v>18.264230000000001</v>
      </c>
      <c r="BK28" s="95">
        <f t="shared" si="6"/>
        <v>0</v>
      </c>
    </row>
    <row r="29" spans="2:63" ht="14.45" customHeight="1">
      <c r="AU29" s="319">
        <f>OBJ!B79</f>
        <v>9347510</v>
      </c>
      <c r="AV29" s="21" t="str">
        <f>VLOOKUP(AU29,CENY!$B$11:$G$1054,2,FALSE)</f>
        <v>AvanY-design ALprofil Hybrid na bok 650/ strieb.</v>
      </c>
      <c r="AW29" s="22">
        <f>VLOOKUP(AU29,CENY!$B$11:$G$1054,3,FALSE)</f>
        <v>200</v>
      </c>
      <c r="AX29" s="22"/>
      <c r="AY29" s="23">
        <f>IF(FORM!AM18=FORM!AU16,0,2*SUM(AY1:AY4)*AE22)</f>
        <v>0</v>
      </c>
      <c r="AZ29" s="326">
        <f t="shared" si="1"/>
        <v>0</v>
      </c>
      <c r="BA29" s="95">
        <f>VLOOKUP(AU29,CENY!$B$11:$M$2025,12,FALSE)</f>
        <v>1.1824300000000001</v>
      </c>
      <c r="BB29" s="95">
        <f t="shared" si="0"/>
        <v>0</v>
      </c>
      <c r="BD29" s="319">
        <f>OBJ!B135</f>
        <v>9255057</v>
      </c>
      <c r="BE29" s="21" t="str">
        <f>VLOOKUP(BD29,CENY!$B$11:$G$1054,2,FALSE)</f>
        <v>AvanY-bok pravý /v187/h550/ strieborná</v>
      </c>
      <c r="BF29" s="22">
        <f>VLOOKUP(BD29,CENY!$B$11:$G$1054,3,FALSE)</f>
        <v>10</v>
      </c>
      <c r="BG29" s="22"/>
      <c r="BH29" s="23">
        <f>AY17</f>
        <v>0</v>
      </c>
      <c r="BI29" s="326">
        <f t="shared" si="2"/>
        <v>0</v>
      </c>
      <c r="BJ29" s="95">
        <f>VLOOKUP(BD29,CENY!$B$11:$M$2025,12,FALSE)</f>
        <v>18.264230000000001</v>
      </c>
      <c r="BK29" s="95">
        <f t="shared" si="6"/>
        <v>0</v>
      </c>
    </row>
    <row r="30" spans="2:63" ht="14.45" customHeight="1">
      <c r="B30" s="366" t="str">
        <f>verze!E201</f>
        <v>SiSy = tlmenie Silent System</v>
      </c>
      <c r="AU30" s="319"/>
      <c r="AV30" s="21"/>
      <c r="AW30" s="22"/>
      <c r="AX30" s="22"/>
      <c r="AY30" s="23"/>
      <c r="AZ30" s="326" t="str">
        <f t="shared" si="1"/>
        <v/>
      </c>
      <c r="BA30" s="95"/>
      <c r="BB30" s="95" t="str">
        <f t="shared" si="0"/>
        <v/>
      </c>
      <c r="BD30" s="319">
        <f>OBJ!B136</f>
        <v>9255058</v>
      </c>
      <c r="BE30" s="21" t="str">
        <f>VLOOKUP(BD30,CENY!$B$11:$G$1054,2,FALSE)</f>
        <v>AvanY-bok ľavý /v187/h600/ strieborná</v>
      </c>
      <c r="BF30" s="22">
        <f>VLOOKUP(BD30,CENY!$B$11:$G$1054,3,FALSE)</f>
        <v>10</v>
      </c>
      <c r="BG30" s="22"/>
      <c r="BH30" s="23">
        <f>AY18</f>
        <v>0</v>
      </c>
      <c r="BI30" s="326">
        <f t="shared" si="2"/>
        <v>0</v>
      </c>
      <c r="BJ30" s="95">
        <f>VLOOKUP(BD30,CENY!$B$11:$M$2025,12,FALSE)</f>
        <v>18.728680000000001</v>
      </c>
      <c r="BK30" s="95">
        <f t="shared" si="6"/>
        <v>0</v>
      </c>
    </row>
    <row r="31" spans="2:63" ht="14.45" customHeight="1">
      <c r="AU31" s="319">
        <f>OBJ!B233</f>
        <v>9318154</v>
      </c>
      <c r="AV31" s="21" t="str">
        <f>VLOOKUP(AU31,CENY!$B$11:$G$1054,2,FALSE)</f>
        <v>Actro You(S) 270/SiSy 10kg; EB21</v>
      </c>
      <c r="AW31" s="22">
        <f>VLOOKUP(AU31,CENY!$B$11:$G$1054,3,FALSE)</f>
        <v>1</v>
      </c>
      <c r="AX31" s="362">
        <v>4</v>
      </c>
      <c r="AY31" s="68"/>
      <c r="AZ31" s="326" t="str">
        <f t="shared" si="1"/>
        <v/>
      </c>
      <c r="BA31" s="95">
        <f>VLOOKUP(AU31,CENY!$B$11:$M$2025,12,FALSE)</f>
        <v>31.62575</v>
      </c>
      <c r="BB31" s="95">
        <f t="shared" si="0"/>
        <v>0</v>
      </c>
      <c r="BD31" s="319">
        <f>OBJ!B137</f>
        <v>9255059</v>
      </c>
      <c r="BE31" s="21" t="str">
        <f>VLOOKUP(BD31,CENY!$B$11:$G$1054,2,FALSE)</f>
        <v>AvanY-bok pravý /v187/h600/ strieborná</v>
      </c>
      <c r="BF31" s="22">
        <f>VLOOKUP(BD31,CENY!$B$11:$G$1054,3,FALSE)</f>
        <v>10</v>
      </c>
      <c r="BG31" s="22"/>
      <c r="BH31" s="23">
        <f>AY18</f>
        <v>0</v>
      </c>
      <c r="BI31" s="326">
        <f t="shared" si="2"/>
        <v>0</v>
      </c>
      <c r="BJ31" s="95">
        <f>VLOOKUP(BD31,CENY!$B$11:$M$2025,12,FALSE)</f>
        <v>18.728680000000001</v>
      </c>
      <c r="BK31" s="95">
        <f t="shared" si="6"/>
        <v>0</v>
      </c>
    </row>
    <row r="32" spans="2:63" ht="14.45" customHeight="1">
      <c r="AU32" s="319">
        <f>OBJ!B234</f>
        <v>9318156</v>
      </c>
      <c r="AV32" s="21" t="str">
        <f>VLOOKUP(AU32,CENY!$B$11:$G$1054,2,FALSE)</f>
        <v>Actro You(S) 300/SiSy 10kg; EB21</v>
      </c>
      <c r="AW32" s="22">
        <f>VLOOKUP(AU32,CENY!$B$11:$G$1054,3,FALSE)</f>
        <v>1</v>
      </c>
      <c r="AX32" s="362">
        <v>4</v>
      </c>
      <c r="AY32" s="68"/>
      <c r="AZ32" s="326" t="str">
        <f t="shared" si="1"/>
        <v/>
      </c>
      <c r="BA32" s="95">
        <f>VLOOKUP(AU32,CENY!$B$11:$M$2025,12,FALSE)</f>
        <v>31.62575</v>
      </c>
      <c r="BB32" s="95">
        <f t="shared" si="0"/>
        <v>0</v>
      </c>
      <c r="BD32" s="319">
        <f>OBJ!B138</f>
        <v>9255060</v>
      </c>
      <c r="BE32" s="21" t="str">
        <f>VLOOKUP(BD32,CENY!$B$11:$G$1054,2,FALSE)</f>
        <v>AvanY-bok ľavý /v187/h650/ strieborná</v>
      </c>
      <c r="BF32" s="22">
        <f>VLOOKUP(BD32,CENY!$B$11:$G$1054,3,FALSE)</f>
        <v>10</v>
      </c>
      <c r="BG32" s="22"/>
      <c r="BH32" s="23">
        <f>AY19</f>
        <v>0</v>
      </c>
      <c r="BI32" s="326">
        <f t="shared" si="2"/>
        <v>0</v>
      </c>
      <c r="BJ32" s="95">
        <f>VLOOKUP(BD32,CENY!$B$11:$M$2025,12,FALSE)</f>
        <v>19.35998</v>
      </c>
      <c r="BK32" s="95">
        <f t="shared" si="6"/>
        <v>0</v>
      </c>
    </row>
    <row r="33" spans="47:63" ht="14.45" customHeight="1">
      <c r="AU33" s="319">
        <f>OBJ!B235</f>
        <v>9318160</v>
      </c>
      <c r="AV33" s="21" t="str">
        <f>VLOOKUP(AU33,CENY!$B$11:$G$1054,2,FALSE)</f>
        <v>Actro You(S) 350/SiSy 10kg; EB21</v>
      </c>
      <c r="AW33" s="22">
        <f>VLOOKUP(AU33,CENY!$B$11:$G$1054,3,FALSE)</f>
        <v>1</v>
      </c>
      <c r="AX33" s="362">
        <v>4</v>
      </c>
      <c r="AY33" s="68"/>
      <c r="AZ33" s="326" t="str">
        <f t="shared" si="1"/>
        <v/>
      </c>
      <c r="BA33" s="95">
        <f>VLOOKUP(AU33,CENY!$B$11:$M$2025,12,FALSE)</f>
        <v>31.62575</v>
      </c>
      <c r="BB33" s="95">
        <f t="shared" si="0"/>
        <v>0</v>
      </c>
      <c r="BD33" s="319">
        <f>OBJ!B139</f>
        <v>9255061</v>
      </c>
      <c r="BE33" s="21" t="str">
        <f>VLOOKUP(BD33,CENY!$B$11:$G$1054,2,FALSE)</f>
        <v>AvanY-bok pravý /v187/h650/ strieborná</v>
      </c>
      <c r="BF33" s="22">
        <f>VLOOKUP(BD33,CENY!$B$11:$G$1054,3,FALSE)</f>
        <v>10</v>
      </c>
      <c r="BG33" s="22"/>
      <c r="BH33" s="23">
        <f>AY19</f>
        <v>0</v>
      </c>
      <c r="BI33" s="326">
        <f t="shared" si="2"/>
        <v>0</v>
      </c>
      <c r="BJ33" s="95">
        <f>VLOOKUP(BD33,CENY!$B$11:$M$2025,12,FALSE)</f>
        <v>19.35998</v>
      </c>
      <c r="BK33" s="95">
        <f t="shared" si="6"/>
        <v>0</v>
      </c>
    </row>
    <row r="34" spans="47:63" ht="14.45" customHeight="1">
      <c r="AU34" s="20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47:63" ht="14.45" customHeight="1">
      <c r="AU35" s="319">
        <f>OBJ!B243</f>
        <v>9318186</v>
      </c>
      <c r="AV35" s="21" t="str">
        <f>VLOOKUP(AU35,CENY!$B$11:$G$1054,2,FALSE)</f>
        <v>Actro You(L) 270/SiSy 40kg; EB21</v>
      </c>
      <c r="AW35" s="22">
        <f>VLOOKUP(AU35,CENY!$B$11:$G$1054,3,FALSE)</f>
        <v>1</v>
      </c>
      <c r="AX35" s="362">
        <v>8</v>
      </c>
      <c r="AY35" s="68"/>
      <c r="AZ35" s="326" t="str">
        <f t="shared" si="1"/>
        <v/>
      </c>
      <c r="BA35" s="95">
        <f>VLOOKUP(AU35,CENY!$B$11:$M$2025,12,FALSE)</f>
        <v>31.62575</v>
      </c>
      <c r="BB35" s="95">
        <f t="shared" si="0"/>
        <v>0</v>
      </c>
      <c r="BD35" s="319">
        <f>OBJ!B69</f>
        <v>9255835</v>
      </c>
      <c r="BE35" s="21" t="str">
        <f>VLOOKUP(BD35,CENY!$B$11:$G$1054,2,FALSE)</f>
        <v>AvanY-príchytka čela k naskrutk./ v101</v>
      </c>
      <c r="BF35" s="22">
        <f>VLOOKUP(BD35,CENY!$B$11:$G$1054,3,FALSE)</f>
        <v>200</v>
      </c>
      <c r="BG35" s="22"/>
      <c r="BH35" s="23">
        <f>2*(AY2)*(SUM(W20:AD20)+SUM(W22:AF22)+SUM(W28:AD28))</f>
        <v>0</v>
      </c>
      <c r="BI35" s="326">
        <f t="shared" si="2"/>
        <v>0</v>
      </c>
      <c r="BJ35" s="95">
        <f>VLOOKUP(BD35,CENY!$B$11:$M$2025,12,FALSE)</f>
        <v>1.1621999999999999</v>
      </c>
      <c r="BK35" s="95">
        <f t="shared" si="3"/>
        <v>0</v>
      </c>
    </row>
    <row r="36" spans="47:63" ht="14.45" customHeight="1">
      <c r="AU36" s="319">
        <f>OBJ!B244</f>
        <v>9318187</v>
      </c>
      <c r="AV36" s="21" t="str">
        <f>VLOOKUP(AU36,CENY!$B$11:$G$1054,2,FALSE)</f>
        <v>Actro You(L) 300/SiSy 40kg; EB21</v>
      </c>
      <c r="AW36" s="22">
        <f>VLOOKUP(AU36,CENY!$B$11:$G$1054,3,FALSE)</f>
        <v>1</v>
      </c>
      <c r="AX36" s="362">
        <v>8</v>
      </c>
      <c r="AY36" s="68"/>
      <c r="AZ36" s="326" t="str">
        <f t="shared" si="1"/>
        <v/>
      </c>
      <c r="BA36" s="95">
        <f>VLOOKUP(AU36,CENY!$B$11:$M$2025,12,FALSE)</f>
        <v>31.62575</v>
      </c>
      <c r="BB36" s="95">
        <f t="shared" si="0"/>
        <v>0</v>
      </c>
      <c r="BD36" s="319">
        <f>OBJ!B141</f>
        <v>9255838</v>
      </c>
      <c r="BE36" s="21" t="str">
        <f>VLOOKUP(BD36,CENY!$B$11:$G$1054,2,FALSE)</f>
        <v>AvanY-prích.čela k naskrutk./ v187-251</v>
      </c>
      <c r="BF36" s="22">
        <f>VLOOKUP(BD36,CENY!$B$11:$G$1054,3,FALSE)</f>
        <v>200</v>
      </c>
      <c r="BG36" s="22"/>
      <c r="BH36" s="23">
        <f>2*(AY4)*(SUM(W20:AD20)+SUM(W22:AF22)+SUM(W28:AD28))</f>
        <v>0</v>
      </c>
      <c r="BI36" s="326">
        <f t="shared" si="2"/>
        <v>0</v>
      </c>
      <c r="BJ36" s="95">
        <f>VLOOKUP(BD36,CENY!$B$11:$M$2025,12,FALSE)</f>
        <v>2.32422</v>
      </c>
      <c r="BK36" s="95">
        <f t="shared" si="3"/>
        <v>0</v>
      </c>
    </row>
    <row r="37" spans="47:63" ht="14.45" customHeight="1">
      <c r="AU37" s="319">
        <f>OBJ!B245</f>
        <v>9318188</v>
      </c>
      <c r="AV37" s="21" t="str">
        <f>VLOOKUP(AU37,CENY!$B$11:$G$1054,2,FALSE)</f>
        <v>Actro You(L) 350/SiSy 40kg; EB21</v>
      </c>
      <c r="AW37" s="22">
        <f>VLOOKUP(AU37,CENY!$B$11:$G$1054,3,FALSE)</f>
        <v>1</v>
      </c>
      <c r="AX37" s="362">
        <v>8</v>
      </c>
      <c r="AY37" s="68"/>
      <c r="AZ37" s="326" t="str">
        <f t="shared" si="1"/>
        <v/>
      </c>
      <c r="BA37" s="95">
        <f>VLOOKUP(AU37,CENY!$B$11:$M$2025,12,FALSE)</f>
        <v>31.62575</v>
      </c>
      <c r="BB37" s="95">
        <f t="shared" si="0"/>
        <v>0</v>
      </c>
      <c r="BD37" s="320">
        <v>9255835</v>
      </c>
      <c r="BE37" s="321" t="str">
        <f>VLOOKUP(BD37,CENY!$B$11:$G$1054,2,FALSE)</f>
        <v>AvanY-príchytka čela k naskrutk./ v101</v>
      </c>
      <c r="BF37" s="22">
        <f>VLOOKUP(BD37,CENY!$B$11:$G$1054,3,FALSE)</f>
        <v>200</v>
      </c>
      <c r="BG37" s="22"/>
      <c r="BH37" s="68">
        <f>2*(AY1)*(SUM(W20:AD20)+SUM(W22:AF22)+SUM(W28:AD28))</f>
        <v>0</v>
      </c>
      <c r="BI37" s="326">
        <f t="shared" si="2"/>
        <v>0</v>
      </c>
      <c r="BJ37" s="95">
        <f>VLOOKUP(BD37,CENY!$B$11:$M$2025,12,FALSE)</f>
        <v>1.1621999999999999</v>
      </c>
      <c r="BK37" s="95">
        <f t="shared" si="3"/>
        <v>0</v>
      </c>
    </row>
    <row r="38" spans="47:63" ht="14.45" customHeight="1">
      <c r="AU38" s="319">
        <f>OBJ!B246</f>
        <v>9318190</v>
      </c>
      <c r="AV38" s="21" t="str">
        <f>VLOOKUP(AU38,CENY!$B$11:$G$1054,2,FALSE)</f>
        <v>Actro You(L) 400/SiSy 40kg; EB21</v>
      </c>
      <c r="AW38" s="22">
        <f>VLOOKUP(AU38,CENY!$B$11:$G$1054,3,FALSE)</f>
        <v>1</v>
      </c>
      <c r="AX38" s="362">
        <v>8</v>
      </c>
      <c r="AY38" s="68"/>
      <c r="AZ38" s="326" t="str">
        <f t="shared" si="1"/>
        <v/>
      </c>
      <c r="BA38" s="95">
        <f>VLOOKUP(AU38,CENY!$B$11:$M$2025,12,FALSE)</f>
        <v>31.976389999999999</v>
      </c>
      <c r="BB38" s="95">
        <f t="shared" si="0"/>
        <v>0</v>
      </c>
      <c r="BD38" s="320">
        <v>9255838</v>
      </c>
      <c r="BE38" s="321" t="str">
        <f>VLOOKUP(BD38,CENY!$B$11:$G$1054,2,FALSE)</f>
        <v>AvanY-prích.čela k naskrutk./ v187-251</v>
      </c>
      <c r="BF38" s="22">
        <f>VLOOKUP(BD38,CENY!$B$11:$G$1054,3,FALSE)</f>
        <v>200</v>
      </c>
      <c r="BG38" s="22"/>
      <c r="BH38" s="68">
        <f>2*(AY3)*(SUM(W20:AD20)+SUM(W22:AF22)+SUM(W28:AD28))</f>
        <v>0</v>
      </c>
      <c r="BI38" s="326">
        <f t="shared" si="2"/>
        <v>0</v>
      </c>
      <c r="BJ38" s="95">
        <f>VLOOKUP(BD38,CENY!$B$11:$M$2025,12,FALSE)</f>
        <v>2.32422</v>
      </c>
      <c r="BK38" s="95">
        <f t="shared" si="3"/>
        <v>0</v>
      </c>
    </row>
    <row r="39" spans="47:63" ht="14.45" customHeight="1">
      <c r="AU39" s="319">
        <f>OBJ!B247</f>
        <v>9318191</v>
      </c>
      <c r="AV39" s="21" t="str">
        <f>VLOOKUP(AU39,CENY!$B$11:$G$1054,2,FALSE)</f>
        <v>Actro You(L) 450/SiSy 40kg; EB21</v>
      </c>
      <c r="AW39" s="22">
        <f>VLOOKUP(AU39,CENY!$B$11:$G$1054,3,FALSE)</f>
        <v>1</v>
      </c>
      <c r="AX39" s="362">
        <v>10</v>
      </c>
      <c r="AY39" s="23">
        <f>SUM(AY1:AY4)*W20</f>
        <v>0</v>
      </c>
      <c r="AZ39" s="326">
        <f t="shared" si="1"/>
        <v>0</v>
      </c>
      <c r="BA39" s="95">
        <f>VLOOKUP(AU39,CENY!$B$11:$M$2025,12,FALSE)</f>
        <v>32.324420000000003</v>
      </c>
      <c r="BB39" s="95">
        <f t="shared" si="0"/>
        <v>0</v>
      </c>
      <c r="BD39" s="319">
        <f>OBJ!B48</f>
        <v>9257702</v>
      </c>
      <c r="BE39" s="21" t="str">
        <f>VLOOKUP(BD39,CENY!$B$11:$G$1054,2,FALSE)</f>
        <v>AvanY-stabilizátor chrbáta</v>
      </c>
      <c r="BF39" s="22">
        <f>VLOOKUP(BD39,CENY!$B$11:$G$1054,3,FALSE)</f>
        <v>200</v>
      </c>
      <c r="BG39" s="22"/>
      <c r="BH39" s="23">
        <f>2*(SUM(AY1:AY4)*(SUM(W20:AD20)+SUM(W22:AF22)+SUM(W28:AD28)))</f>
        <v>0</v>
      </c>
      <c r="BI39" s="326">
        <f t="shared" si="2"/>
        <v>0</v>
      </c>
      <c r="BJ39" s="95">
        <f>VLOOKUP(BD39,CENY!$B$11:$M$2025,12,FALSE)</f>
        <v>0.74794000000000005</v>
      </c>
      <c r="BK39" s="95">
        <f t="shared" si="3"/>
        <v>0</v>
      </c>
    </row>
    <row r="40" spans="47:63" ht="14.45" customHeight="1">
      <c r="AU40" s="319">
        <f>OBJ!B248</f>
        <v>9318192</v>
      </c>
      <c r="AV40" s="21" t="str">
        <f>VLOOKUP(AU40,CENY!$B$11:$G$1054,2,FALSE)</f>
        <v>Actro You(L) 500/SiSy 40kg; EB21</v>
      </c>
      <c r="AW40" s="22">
        <f>VLOOKUP(AU40,CENY!$B$11:$G$1054,3,FALSE)</f>
        <v>1</v>
      </c>
      <c r="AX40" s="362">
        <v>10</v>
      </c>
      <c r="AY40" s="23">
        <f>SUM(AY1:AY4)*Y20</f>
        <v>0</v>
      </c>
      <c r="AZ40" s="326">
        <f t="shared" si="1"/>
        <v>0</v>
      </c>
      <c r="BA40" s="95">
        <f>VLOOKUP(AU40,CENY!$B$11:$M$2025,12,FALSE)</f>
        <v>6.5957299999999996</v>
      </c>
      <c r="BB40" s="95">
        <f t="shared" si="0"/>
        <v>0</v>
      </c>
      <c r="BD40" s="20"/>
      <c r="BE40" s="21"/>
      <c r="BF40" s="22"/>
      <c r="BG40" s="22"/>
      <c r="BH40" s="23"/>
      <c r="BI40" s="326" t="str">
        <f t="shared" si="2"/>
        <v/>
      </c>
      <c r="BJ40" s="95"/>
      <c r="BK40" s="95" t="str">
        <f t="shared" si="3"/>
        <v/>
      </c>
    </row>
    <row r="41" spans="47:63" ht="14.45" customHeight="1">
      <c r="AU41" s="319">
        <f>OBJ!B249</f>
        <v>9318194</v>
      </c>
      <c r="AV41" s="21" t="str">
        <f>VLOOKUP(AU41,CENY!$B$11:$G$1054,2,FALSE)</f>
        <v>Actro You(L) 550/SiSy 40kg; EB21</v>
      </c>
      <c r="AW41" s="22">
        <f>VLOOKUP(AU41,CENY!$B$11:$G$1054,3,FALSE)</f>
        <v>1</v>
      </c>
      <c r="AX41" s="362">
        <v>10</v>
      </c>
      <c r="AY41" s="23">
        <f>SUM(AY1:AY4)*AA20</f>
        <v>0</v>
      </c>
      <c r="AZ41" s="326">
        <f t="shared" si="1"/>
        <v>0</v>
      </c>
      <c r="BA41" s="95">
        <f>VLOOKUP(AU41,CENY!$B$11:$M$2025,12,FALSE)</f>
        <v>6.9728000000000003</v>
      </c>
      <c r="BB41" s="95">
        <f t="shared" si="0"/>
        <v>0</v>
      </c>
      <c r="BD41" s="319">
        <f>OBJ!B71</f>
        <v>9347502</v>
      </c>
      <c r="BE41" s="21" t="str">
        <f>VLOOKUP(BD41,CENY!$B$11:$G$1054,2,FALSE)</f>
        <v>AvanY-design ALprofil Hybrid na bok 270/ strieb.</v>
      </c>
      <c r="BF41" s="22">
        <f>VLOOKUP(BD41,CENY!$B$11:$G$1054,3,FALSE)</f>
        <v>200</v>
      </c>
      <c r="BG41" s="22"/>
      <c r="BH41" s="68"/>
      <c r="BI41" s="326" t="str">
        <f t="shared" si="2"/>
        <v/>
      </c>
      <c r="BJ41" s="95">
        <f>VLOOKUP(BD41,CENY!$B$11:$M$2025,12,FALSE)</f>
        <v>0.95189000000000001</v>
      </c>
      <c r="BK41" s="95">
        <f t="shared" si="3"/>
        <v>0</v>
      </c>
    </row>
    <row r="42" spans="47:63" ht="14.45" customHeight="1">
      <c r="AU42" s="319">
        <f>OBJ!B250</f>
        <v>9318196</v>
      </c>
      <c r="AV42" s="21" t="str">
        <f>VLOOKUP(AU42,CENY!$B$11:$G$1054,2,FALSE)</f>
        <v>Actro You(L) 600/SiSy 40kg; EB21</v>
      </c>
      <c r="AW42" s="22">
        <f>VLOOKUP(AU42,CENY!$B$11:$G$1054,3,FALSE)</f>
        <v>1</v>
      </c>
      <c r="AX42" s="362">
        <v>10</v>
      </c>
      <c r="AY42" s="23">
        <f>SUM(AY1:AY4)*AC20</f>
        <v>0</v>
      </c>
      <c r="AZ42" s="326">
        <f t="shared" si="1"/>
        <v>0</v>
      </c>
      <c r="BA42" s="95">
        <f>VLOOKUP(AU42,CENY!$B$11:$M$2025,12,FALSE)</f>
        <v>34.956960000000002</v>
      </c>
      <c r="BB42" s="95">
        <f t="shared" si="0"/>
        <v>0</v>
      </c>
      <c r="BD42" s="319">
        <f>OBJ!B72</f>
        <v>9347503</v>
      </c>
      <c r="BE42" s="21" t="str">
        <f>VLOOKUP(BD42,CENY!$B$11:$G$1054,2,FALSE)</f>
        <v>AvanY-design ALprofil Hybrid na bok 300/ strieb.</v>
      </c>
      <c r="BF42" s="22">
        <f>VLOOKUP(BD42,CENY!$B$11:$G$1054,3,FALSE)</f>
        <v>200</v>
      </c>
      <c r="BG42" s="22"/>
      <c r="BH42" s="68"/>
      <c r="BI42" s="326" t="str">
        <f t="shared" si="2"/>
        <v/>
      </c>
      <c r="BJ42" s="95">
        <f>VLOOKUP(BD42,CENY!$B$11:$M$2025,12,FALSE)</f>
        <v>0.96240999999999999</v>
      </c>
      <c r="BK42" s="95">
        <f t="shared" si="3"/>
        <v>0</v>
      </c>
    </row>
    <row r="43" spans="47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OBJ!B73</f>
        <v>9347504</v>
      </c>
      <c r="BE43" s="21" t="str">
        <f>VLOOKUP(BD43,CENY!$B$11:$G$1054,2,FALSE)</f>
        <v>AvanY-design ALprofil Hybrid na bok 350/ strieb.</v>
      </c>
      <c r="BF43" s="22">
        <f>VLOOKUP(BD43,CENY!$B$11:$G$1054,3,FALSE)</f>
        <v>200</v>
      </c>
      <c r="BG43" s="22"/>
      <c r="BH43" s="68"/>
      <c r="BI43" s="326" t="str">
        <f t="shared" si="2"/>
        <v/>
      </c>
      <c r="BJ43" s="95">
        <f>VLOOKUP(BD43,CENY!$B$11:$M$2025,12,FALSE)</f>
        <v>0.98018000000000005</v>
      </c>
      <c r="BK43" s="95">
        <f t="shared" si="3"/>
        <v>0</v>
      </c>
    </row>
    <row r="44" spans="47:63" ht="14.45" customHeight="1">
      <c r="AU44" s="319">
        <f>OBJ!B268</f>
        <v>9318215</v>
      </c>
      <c r="AV44" s="21" t="str">
        <f>VLOOKUP(AU44,CENY!$B$11:$G$1054,2,FALSE)</f>
        <v>Actro You(XL) 450/SiSy 70kg; EB21</v>
      </c>
      <c r="AW44" s="22">
        <f>VLOOKUP(AU44,CENY!$B$11:$G$1054,3,FALSE)</f>
        <v>1</v>
      </c>
      <c r="AX44" s="362">
        <v>10</v>
      </c>
      <c r="AY44" s="23">
        <f>SUM(AY1:AY4)*W22</f>
        <v>0</v>
      </c>
      <c r="AZ44" s="326">
        <f t="shared" si="1"/>
        <v>0</v>
      </c>
      <c r="BA44" s="95">
        <f>VLOOKUP(AU44,CENY!$B$11:$M$2025,12,FALSE)</f>
        <v>7.9265800000000004</v>
      </c>
      <c r="BB44" s="95">
        <f t="shared" si="0"/>
        <v>0</v>
      </c>
      <c r="BD44" s="319">
        <f>OBJ!B74</f>
        <v>9347505</v>
      </c>
      <c r="BE44" s="21" t="str">
        <f>VLOOKUP(BD44,CENY!$B$11:$G$1054,2,FALSE)</f>
        <v>AvanY-design ALprofil Hybrid na bok 400/ strieb.</v>
      </c>
      <c r="BF44" s="22">
        <f>VLOOKUP(BD44,CENY!$B$11:$G$1054,3,FALSE)</f>
        <v>200</v>
      </c>
      <c r="BG44" s="22"/>
      <c r="BH44" s="68"/>
      <c r="BI44" s="326" t="str">
        <f t="shared" si="2"/>
        <v/>
      </c>
      <c r="BJ44" s="95">
        <f>VLOOKUP(BD44,CENY!$B$11:$M$2025,12,FALSE)</f>
        <v>0.99777000000000005</v>
      </c>
      <c r="BK44" s="95">
        <f t="shared" si="3"/>
        <v>0</v>
      </c>
    </row>
    <row r="45" spans="47:63" ht="14.45" customHeight="1">
      <c r="AU45" s="319">
        <f>OBJ!B269</f>
        <v>9318216</v>
      </c>
      <c r="AV45" s="21" t="str">
        <f>VLOOKUP(AU45,CENY!$B$11:$G$1054,2,FALSE)</f>
        <v>Actro You(XL) 500/SiSy 70kg; EB21</v>
      </c>
      <c r="AW45" s="22">
        <f>VLOOKUP(AU45,CENY!$B$11:$G$1054,3,FALSE)</f>
        <v>1</v>
      </c>
      <c r="AX45" s="362">
        <v>10</v>
      </c>
      <c r="AY45" s="23">
        <f>SUM(AY1:AY4)*Y22</f>
        <v>0</v>
      </c>
      <c r="AZ45" s="326">
        <f t="shared" si="1"/>
        <v>0</v>
      </c>
      <c r="BA45" s="95">
        <f>VLOOKUP(AU45,CENY!$B$11:$M$2025,12,FALSE)</f>
        <v>39.622210000000003</v>
      </c>
      <c r="BB45" s="95">
        <f t="shared" si="0"/>
        <v>0</v>
      </c>
      <c r="BD45" s="319">
        <f>OBJ!B75</f>
        <v>9347506</v>
      </c>
      <c r="BE45" s="21" t="str">
        <f>VLOOKUP(BD45,CENY!$B$11:$G$1054,2,FALSE)</f>
        <v>AvanY-design ALprofil Hybrid na bok 450/ strieb.</v>
      </c>
      <c r="BF45" s="22">
        <f>VLOOKUP(BD45,CENY!$B$11:$G$1054,3,FALSE)</f>
        <v>200</v>
      </c>
      <c r="BG45" s="22"/>
      <c r="BH45" s="23">
        <f>2*SUM(AY1:AY4)*(W20+W22+W28)</f>
        <v>0</v>
      </c>
      <c r="BI45" s="326">
        <f t="shared" si="2"/>
        <v>0</v>
      </c>
      <c r="BJ45" s="95">
        <f>VLOOKUP(BD45,CENY!$B$11:$M$2025,12,FALSE)</f>
        <v>1.01556</v>
      </c>
      <c r="BK45" s="95">
        <f t="shared" si="3"/>
        <v>0</v>
      </c>
    </row>
    <row r="46" spans="47:63" ht="14.45" customHeight="1">
      <c r="AU46" s="319">
        <f>OBJ!B270</f>
        <v>9318217</v>
      </c>
      <c r="AV46" s="21" t="str">
        <f>VLOOKUP(AU46,CENY!$B$11:$G$1054,2,FALSE)</f>
        <v>Actro You(XL) 550/SiSy 70kg; EB21</v>
      </c>
      <c r="AW46" s="22">
        <f>VLOOKUP(AU46,CENY!$B$11:$G$1054,3,FALSE)</f>
        <v>1</v>
      </c>
      <c r="AX46" s="362">
        <v>10</v>
      </c>
      <c r="AY46" s="23">
        <f>SUM(AY1:AY4)*AA22</f>
        <v>0</v>
      </c>
      <c r="AZ46" s="326">
        <f t="shared" si="1"/>
        <v>0</v>
      </c>
      <c r="BA46" s="95">
        <f>VLOOKUP(AU46,CENY!$B$11:$M$2025,12,FALSE)</f>
        <v>41.504899999999999</v>
      </c>
      <c r="BB46" s="95">
        <f t="shared" si="0"/>
        <v>0</v>
      </c>
      <c r="BD46" s="319">
        <f>OBJ!B76</f>
        <v>9347507</v>
      </c>
      <c r="BE46" s="21" t="str">
        <f>VLOOKUP(BD46,CENY!$B$11:$G$1054,2,FALSE)</f>
        <v>AvanY-design ALprofil Hybrid na bok 500/ strieb.</v>
      </c>
      <c r="BF46" s="22">
        <f>VLOOKUP(BD46,CENY!$B$11:$G$1054,3,FALSE)</f>
        <v>200</v>
      </c>
      <c r="BG46" s="22"/>
      <c r="BH46" s="23">
        <f>2*SUM(AY1:AY4)*(Y20+Y22+Y28)</f>
        <v>0</v>
      </c>
      <c r="BI46" s="326">
        <f t="shared" si="2"/>
        <v>0</v>
      </c>
      <c r="BJ46" s="95">
        <f>VLOOKUP(BD46,CENY!$B$11:$M$2025,12,FALSE)</f>
        <v>1.0332399999999999</v>
      </c>
      <c r="BK46" s="95">
        <f t="shared" si="3"/>
        <v>0</v>
      </c>
    </row>
    <row r="47" spans="47:63" ht="14.45" customHeight="1">
      <c r="AU47" s="319">
        <f>OBJ!B271</f>
        <v>9318218</v>
      </c>
      <c r="AV47" s="21" t="str">
        <f>VLOOKUP(AU47,CENY!$B$11:$G$1054,2,FALSE)</f>
        <v>Actro You(XL) 600/SiSy 70kg; EB21</v>
      </c>
      <c r="AW47" s="22">
        <f>VLOOKUP(AU47,CENY!$B$11:$G$1054,3,FALSE)</f>
        <v>1</v>
      </c>
      <c r="AX47" s="362">
        <v>10</v>
      </c>
      <c r="AY47" s="23">
        <f>SUM(AY1:AY4)*AC22</f>
        <v>0</v>
      </c>
      <c r="AZ47" s="326">
        <f t="shared" si="1"/>
        <v>0</v>
      </c>
      <c r="BA47" s="95">
        <f>VLOOKUP(AU47,CENY!$B$11:$M$2025,12,FALSE)</f>
        <v>45.308109999999999</v>
      </c>
      <c r="BB47" s="95">
        <f t="shared" si="0"/>
        <v>0</v>
      </c>
      <c r="BD47" s="319">
        <f>OBJ!B77</f>
        <v>9347508</v>
      </c>
      <c r="BE47" s="21" t="str">
        <f>VLOOKUP(BD47,CENY!$B$11:$G$1054,2,FALSE)</f>
        <v>AvanY-design ALprofil Hybrid na bok 550/ strieb.</v>
      </c>
      <c r="BF47" s="22">
        <f>VLOOKUP(BD47,CENY!$B$11:$G$1054,3,FALSE)</f>
        <v>200</v>
      </c>
      <c r="BG47" s="22"/>
      <c r="BH47" s="23">
        <f>2*SUM(AY1:AY4)*(AA20+AA22+AA28)</f>
        <v>0</v>
      </c>
      <c r="BI47" s="326">
        <f t="shared" si="2"/>
        <v>0</v>
      </c>
      <c r="BJ47" s="95">
        <f>VLOOKUP(BD47,CENY!$B$11:$M$2025,12,FALSE)</f>
        <v>1.0508599999999999</v>
      </c>
      <c r="BK47" s="95">
        <f t="shared" si="3"/>
        <v>0</v>
      </c>
    </row>
    <row r="48" spans="47:63" ht="14.45" customHeight="1">
      <c r="AU48" s="319">
        <f>OBJ!B272</f>
        <v>9318219</v>
      </c>
      <c r="AV48" s="21" t="str">
        <f>VLOOKUP(AU48,CENY!$B$11:$G$1054,2,FALSE)</f>
        <v>Actro You(XL) 650/SiSy 70kg; EB21</v>
      </c>
      <c r="AW48" s="22">
        <f>VLOOKUP(AU48,CENY!$B$11:$G$1054,3,FALSE)</f>
        <v>1</v>
      </c>
      <c r="AX48" s="362">
        <v>10</v>
      </c>
      <c r="AY48" s="23">
        <f>SUM(AY1:AY4)*AE22</f>
        <v>0</v>
      </c>
      <c r="AZ48" s="326">
        <f t="shared" si="1"/>
        <v>0</v>
      </c>
      <c r="BA48" s="95">
        <f>VLOOKUP(AU48,CENY!$B$11:$M$2025,12,FALSE)</f>
        <v>47.02431</v>
      </c>
      <c r="BB48" s="95">
        <f t="shared" si="0"/>
        <v>0</v>
      </c>
      <c r="BD48" s="319">
        <f>OBJ!B78</f>
        <v>9347509</v>
      </c>
      <c r="BE48" s="21" t="str">
        <f>VLOOKUP(BD48,CENY!$B$11:$G$1054,2,FALSE)</f>
        <v>AvanY-design ALprofil Hybrid na bok 600/ strieb.</v>
      </c>
      <c r="BF48" s="22">
        <f>VLOOKUP(BD48,CENY!$B$11:$G$1054,3,FALSE)</f>
        <v>200</v>
      </c>
      <c r="BG48" s="22"/>
      <c r="BH48" s="23">
        <f>2*SUM(AY1:AY4)*(AC20+AC22+AC28)</f>
        <v>0</v>
      </c>
      <c r="BI48" s="326">
        <f t="shared" si="2"/>
        <v>0</v>
      </c>
      <c r="BJ48" s="95">
        <f>VLOOKUP(BD48,CENY!$B$11:$M$2025,12,FALSE)</f>
        <v>1.09639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OBJ!B79</f>
        <v>9347510</v>
      </c>
      <c r="BE49" s="21" t="str">
        <f>VLOOKUP(BD49,CENY!$B$11:$G$1054,2,FALSE)</f>
        <v>AvanY-design ALprofil Hybrid na bok 650/ strieb.</v>
      </c>
      <c r="BF49" s="22">
        <f>VLOOKUP(BD49,CENY!$B$11:$G$1054,3,FALSE)</f>
        <v>200</v>
      </c>
      <c r="BG49" s="22"/>
      <c r="BH49" s="23">
        <f>2*SUM(AY1:AY4)*AE22</f>
        <v>0</v>
      </c>
      <c r="BI49" s="326">
        <f t="shared" si="2"/>
        <v>0</v>
      </c>
      <c r="BJ49" s="95">
        <f>VLOOKUP(BD49,CENY!$B$11:$M$2025,12,FALSE)</f>
        <v>1.1824300000000001</v>
      </c>
      <c r="BK49" s="95">
        <f t="shared" si="3"/>
        <v>0</v>
      </c>
    </row>
    <row r="50" spans="47:63" ht="14.45" customHeight="1">
      <c r="AU50" s="319">
        <f>OBJ!B284</f>
        <v>9257890</v>
      </c>
      <c r="AV50" s="21" t="str">
        <f>VLOOKUP(AU50,CENY!$B$11:$G$1054,2,FALSE)</f>
        <v>Actro You - Push to open Silent; &lt;10kg</v>
      </c>
      <c r="AW50" s="22">
        <f>VLOOKUP(AU50,CENY!$B$11:$G$1054,3,FALSE)</f>
        <v>1</v>
      </c>
      <c r="AX50" s="22"/>
      <c r="AY50" s="68"/>
      <c r="AZ50" s="326" t="str">
        <f t="shared" si="1"/>
        <v/>
      </c>
      <c r="BA50" s="95">
        <f>VLOOKUP(AU50,CENY!$B$11:$M$2025,12,FALSE)</f>
        <v>23.177009999999999</v>
      </c>
      <c r="BB50" s="95">
        <f t="shared" si="0"/>
        <v>0</v>
      </c>
      <c r="BD50" s="319"/>
      <c r="BE50" s="21"/>
      <c r="BF50" s="22"/>
      <c r="BG50" s="22"/>
      <c r="BH50" s="23"/>
      <c r="BI50" s="326" t="str">
        <f t="shared" si="2"/>
        <v/>
      </c>
      <c r="BJ50" s="95"/>
      <c r="BK50" s="95" t="str">
        <f t="shared" si="3"/>
        <v/>
      </c>
    </row>
    <row r="51" spans="47:63" ht="14.45" customHeight="1">
      <c r="AU51" s="319">
        <f>OBJ!B285</f>
        <v>9257891</v>
      </c>
      <c r="AV51" s="21" t="str">
        <f>VLOOKUP(AU51,CENY!$B$11:$G$1054,2,FALSE)</f>
        <v>Actro You - Push to open Silent; 8-20kg</v>
      </c>
      <c r="AW51" s="22">
        <f>VLOOKUP(AU51,CENY!$B$11:$G$1054,3,FALSE)</f>
        <v>1</v>
      </c>
      <c r="AX51" s="22"/>
      <c r="AY51" s="68"/>
      <c r="AZ51" s="326" t="str">
        <f t="shared" si="1"/>
        <v/>
      </c>
      <c r="BA51" s="95">
        <f>VLOOKUP(AU51,CENY!$B$11:$M$2025,12,FALSE)</f>
        <v>23.177009999999999</v>
      </c>
      <c r="BB51" s="95">
        <f t="shared" si="0"/>
        <v>0</v>
      </c>
      <c r="BD51" s="319">
        <f>OBJ!B236</f>
        <v>9318145</v>
      </c>
      <c r="BE51" s="21" t="str">
        <f>VLOOKUP(BD51,CENY!$B$11:$G$1054,2,FALSE)</f>
        <v>Actro You(S) 270/SiSy 10kg; EB21; ľavý</v>
      </c>
      <c r="BF51" s="22">
        <f>VLOOKUP(BD51,CENY!$B$11:$G$1054,3,FALSE)</f>
        <v>10</v>
      </c>
      <c r="BG51" s="22"/>
      <c r="BH51" s="68"/>
      <c r="BI51" s="326" t="str">
        <f t="shared" si="2"/>
        <v/>
      </c>
      <c r="BJ51" s="95" t="e">
        <f>VLOOKUP(BD51,CENY!$B$11:$M$2025,12,FALSE)</f>
        <v>#N/A</v>
      </c>
      <c r="BK51" s="95" t="e">
        <f t="shared" si="3"/>
        <v>#N/A</v>
      </c>
    </row>
    <row r="52" spans="47:63" ht="14.45" customHeight="1">
      <c r="AU52" s="319">
        <f>OBJ!B286</f>
        <v>9257892</v>
      </c>
      <c r="AV52" s="21" t="str">
        <f>VLOOKUP(AU52,CENY!$B$11:$G$1054,2,FALSE)</f>
        <v>Actro You - Push to open Silent; 10-40kg</v>
      </c>
      <c r="AW52" s="22">
        <f>VLOOKUP(AU52,CENY!$B$11:$G$1054,3,FALSE)</f>
        <v>1</v>
      </c>
      <c r="AX52" s="22"/>
      <c r="AY52" s="68"/>
      <c r="AZ52" s="326" t="str">
        <f t="shared" si="1"/>
        <v/>
      </c>
      <c r="BA52" s="95">
        <f>VLOOKUP(AU52,CENY!$B$11:$M$2025,12,FALSE)</f>
        <v>23.177009999999999</v>
      </c>
      <c r="BB52" s="95">
        <f t="shared" si="0"/>
        <v>0</v>
      </c>
      <c r="BD52" s="319">
        <f>OBJ!B237</f>
        <v>9318146</v>
      </c>
      <c r="BE52" s="21" t="str">
        <f>VLOOKUP(BD52,CENY!$B$11:$G$1054,2,FALSE)</f>
        <v>Actro You(S) 270/SiSy 10kg; EB21; pravý</v>
      </c>
      <c r="BF52" s="22">
        <f>VLOOKUP(BD52,CENY!$B$11:$G$1054,3,FALSE)</f>
        <v>10</v>
      </c>
      <c r="BG52" s="22"/>
      <c r="BH52" s="68"/>
      <c r="BI52" s="326" t="str">
        <f t="shared" si="2"/>
        <v/>
      </c>
      <c r="BJ52" s="95" t="e">
        <f>VLOOKUP(BD52,CENY!$B$11:$M$2025,12,FALSE)</f>
        <v>#N/A</v>
      </c>
      <c r="BK52" s="95" t="e">
        <f t="shared" si="3"/>
        <v>#N/A</v>
      </c>
    </row>
    <row r="53" spans="47:63" ht="14.45" customHeight="1">
      <c r="AU53" s="319">
        <f>OBJ!B287</f>
        <v>9257893</v>
      </c>
      <c r="AV53" s="21" t="str">
        <f>VLOOKUP(AU53,CENY!$B$11:$G$1054,2,FALSE)</f>
        <v>Actro You - Push to open Silent; 20-70kg</v>
      </c>
      <c r="AW53" s="22">
        <f>VLOOKUP(AU53,CENY!$B$11:$G$1054,3,FALSE)</f>
        <v>1</v>
      </c>
      <c r="AX53" s="22"/>
      <c r="AY53" s="68"/>
      <c r="AZ53" s="326" t="str">
        <f t="shared" si="1"/>
        <v/>
      </c>
      <c r="BA53" s="95">
        <f>VLOOKUP(AU53,CENY!$B$11:$M$2025,12,FALSE)</f>
        <v>23.177009999999999</v>
      </c>
      <c r="BB53" s="95">
        <f t="shared" si="0"/>
        <v>0</v>
      </c>
      <c r="BD53" s="319">
        <f>OBJ!B238</f>
        <v>9318147</v>
      </c>
      <c r="BE53" s="21" t="str">
        <f>VLOOKUP(BD53,CENY!$B$11:$G$1054,2,FALSE)</f>
        <v>Actro You(S) 300/SiSy 10kg; EB21; ľavý</v>
      </c>
      <c r="BF53" s="22">
        <f>VLOOKUP(BD53,CENY!$B$11:$G$1054,3,FALSE)</f>
        <v>10</v>
      </c>
      <c r="BG53" s="22"/>
      <c r="BH53" s="68"/>
      <c r="BI53" s="326" t="str">
        <f t="shared" si="2"/>
        <v/>
      </c>
      <c r="BJ53" s="95" t="e">
        <f>VLOOKUP(BD53,CENY!$B$11:$M$2025,12,FALSE)</f>
        <v>#N/A</v>
      </c>
      <c r="BK53" s="95" t="e">
        <f t="shared" si="3"/>
        <v>#N/A</v>
      </c>
    </row>
    <row r="54" spans="47:63" ht="14.45" customHeight="1">
      <c r="AU54" s="319">
        <f>OBJ!B288</f>
        <v>9236718</v>
      </c>
      <c r="AV54" s="21" t="str">
        <f>VLOOKUP(AU54,CENY!$B$11:$G$1054,2,FALSE)</f>
        <v>Push to open Synchro / tyč 2.000 mm</v>
      </c>
      <c r="AW54" s="22">
        <f>VLOOKUP(AU54,CENY!$B$11:$G$1054,3,FALSE)</f>
        <v>100</v>
      </c>
      <c r="AX54" s="22"/>
      <c r="AY54" s="68"/>
      <c r="AZ54" s="326" t="str">
        <f t="shared" si="1"/>
        <v/>
      </c>
      <c r="BA54" s="95">
        <f>VLOOKUP(AU54,CENY!$B$11:$M$2025,12,FALSE)</f>
        <v>8.7567500000000003</v>
      </c>
      <c r="BB54" s="95">
        <f t="shared" si="0"/>
        <v>0</v>
      </c>
      <c r="BD54" s="319">
        <f>OBJ!B239</f>
        <v>9318148</v>
      </c>
      <c r="BE54" s="21" t="str">
        <f>VLOOKUP(BD54,CENY!$B$11:$G$1054,2,FALSE)</f>
        <v>Actro You(S) 300/SiSy 10kg; EB21; pravý</v>
      </c>
      <c r="BF54" s="22">
        <f>VLOOKUP(BD54,CENY!$B$11:$G$1054,3,FALSE)</f>
        <v>10</v>
      </c>
      <c r="BG54" s="22"/>
      <c r="BH54" s="68"/>
      <c r="BI54" s="326" t="str">
        <f t="shared" si="2"/>
        <v/>
      </c>
      <c r="BJ54" s="95" t="e">
        <f>VLOOKUP(BD54,CENY!$B$11:$M$2025,12,FALSE)</f>
        <v>#N/A</v>
      </c>
      <c r="BK54" s="95" t="e">
        <f t="shared" si="3"/>
        <v>#N/A</v>
      </c>
    </row>
    <row r="55" spans="47:63" ht="14.45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0"/>
        <v/>
      </c>
      <c r="BD55" s="319">
        <f>OBJ!B240</f>
        <v>9318149</v>
      </c>
      <c r="BE55" s="21" t="str">
        <f>VLOOKUP(BD55,CENY!$B$11:$G$1054,2,FALSE)</f>
        <v>Actro You(S) 350/SiSy 10kg; EB21; ľavý</v>
      </c>
      <c r="BF55" s="22">
        <f>VLOOKUP(BD55,CENY!$B$11:$G$1054,3,FALSE)</f>
        <v>10</v>
      </c>
      <c r="BG55" s="22"/>
      <c r="BH55" s="68"/>
      <c r="BI55" s="326" t="str">
        <f t="shared" si="2"/>
        <v/>
      </c>
      <c r="BJ55" s="95">
        <f>VLOOKUP(BD55,CENY!$B$11:$M$2025,12,FALSE)</f>
        <v>14.37729</v>
      </c>
      <c r="BK55" s="95">
        <f t="shared" si="3"/>
        <v>0</v>
      </c>
    </row>
    <row r="56" spans="47:63" ht="14.45" customHeight="1">
      <c r="AU56" s="319">
        <f>OBJ!B294</f>
        <v>9256953</v>
      </c>
      <c r="AV56" s="21" t="str">
        <f>VLOOKUP(AU56,CENY!$B$11:$G$1054,2,FALSE)</f>
        <v>Quadro You(S) 270/SiSy 10kg; EB21</v>
      </c>
      <c r="AW56" s="22">
        <f>VLOOKUP(AU56,CENY!$B$11:$G$1054,3,FALSE)</f>
        <v>1</v>
      </c>
      <c r="AX56" s="362">
        <v>4</v>
      </c>
      <c r="AY56" s="68"/>
      <c r="AZ56" s="326" t="str">
        <f t="shared" si="1"/>
        <v/>
      </c>
      <c r="BA56" s="95">
        <f>VLOOKUP(AU56,CENY!$B$11:$M$2025,12,FALSE)</f>
        <v>23.022449999999999</v>
      </c>
      <c r="BB56" s="95">
        <f t="shared" si="0"/>
        <v>0</v>
      </c>
      <c r="BD56" s="319">
        <f>OBJ!B241</f>
        <v>9318150</v>
      </c>
      <c r="BE56" s="21" t="str">
        <f>VLOOKUP(BD56,CENY!$B$11:$G$1054,2,FALSE)</f>
        <v>Actro You(S) 350/SiSy 10kg; EB21; pravý</v>
      </c>
      <c r="BF56" s="22">
        <f>VLOOKUP(BD56,CENY!$B$11:$G$1054,3,FALSE)</f>
        <v>10</v>
      </c>
      <c r="BG56" s="22"/>
      <c r="BH56" s="68"/>
      <c r="BI56" s="326" t="str">
        <f t="shared" si="2"/>
        <v/>
      </c>
      <c r="BJ56" s="95">
        <f>VLOOKUP(BD56,CENY!$B$11:$M$2025,12,FALSE)</f>
        <v>14.37729</v>
      </c>
      <c r="BK56" s="95">
        <f t="shared" si="3"/>
        <v>0</v>
      </c>
    </row>
    <row r="57" spans="47:63" ht="14.45" customHeight="1">
      <c r="AU57" s="319">
        <f>OBJ!B295</f>
        <v>9256954</v>
      </c>
      <c r="AV57" s="21" t="str">
        <f>VLOOKUP(AU57,CENY!$B$11:$G$1054,2,FALSE)</f>
        <v>Quadro You(S) 300/SiSy 10kg; EB21</v>
      </c>
      <c r="AW57" s="22">
        <f>VLOOKUP(AU57,CENY!$B$11:$G$1054,3,FALSE)</f>
        <v>1</v>
      </c>
      <c r="AX57" s="362">
        <v>4</v>
      </c>
      <c r="AY57" s="68"/>
      <c r="AZ57" s="326" t="str">
        <f t="shared" si="1"/>
        <v/>
      </c>
      <c r="BA57" s="95">
        <f>VLOOKUP(AU57,CENY!$B$11:$M$2025,12,FALSE)</f>
        <v>23.069210000000002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5" customHeight="1">
      <c r="AU58" s="319">
        <f>OBJ!B296</f>
        <v>9256956</v>
      </c>
      <c r="AV58" s="21" t="str">
        <f>VLOOKUP(AU58,CENY!$B$11:$G$1054,2,FALSE)</f>
        <v>Quadro You(S) 350/SiSy 10kg; EB21</v>
      </c>
      <c r="AW58" s="22">
        <f>VLOOKUP(AU58,CENY!$B$11:$G$1054,3,FALSE)</f>
        <v>1</v>
      </c>
      <c r="AX58" s="362">
        <v>4</v>
      </c>
      <c r="AY58" s="68"/>
      <c r="AZ58" s="326" t="str">
        <f t="shared" si="1"/>
        <v/>
      </c>
      <c r="BA58" s="95">
        <f>VLOOKUP(AU58,CENY!$B$11:$M$2025,12,FALSE)</f>
        <v>23.536069999999999</v>
      </c>
      <c r="BB58" s="95">
        <f t="shared" si="0"/>
        <v>0</v>
      </c>
      <c r="BD58" s="319">
        <f>OBJ!B251</f>
        <v>9318167</v>
      </c>
      <c r="BE58" s="21" t="str">
        <f>VLOOKUP(BD58,CENY!$B$11:$G$1054,2,FALSE)</f>
        <v>Actro You(L) 270/SiSy 40kg; EB21; ľavý</v>
      </c>
      <c r="BF58" s="22">
        <f>VLOOKUP(BD58,CENY!$B$11:$G$1054,3,FALSE)</f>
        <v>10</v>
      </c>
      <c r="BG58" s="22"/>
      <c r="BH58" s="68"/>
      <c r="BI58" s="326" t="str">
        <f t="shared" si="2"/>
        <v/>
      </c>
      <c r="BJ58" s="95" t="e">
        <f>VLOOKUP(BD58,CENY!$B$11:$M$2025,12,FALSE)</f>
        <v>#N/A</v>
      </c>
      <c r="BK58" s="95" t="e">
        <f t="shared" si="3"/>
        <v>#N/A</v>
      </c>
    </row>
    <row r="59" spans="47:63" ht="14.45" customHeight="1">
      <c r="AU59" s="319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si="0"/>
        <v/>
      </c>
      <c r="BD59" s="319">
        <f>OBJ!B252</f>
        <v>9318170</v>
      </c>
      <c r="BE59" s="21" t="str">
        <f>VLOOKUP(BD59,CENY!$B$11:$G$1054,2,FALSE)</f>
        <v>Actro You(L) 270/SiSy 40kg; EB21; pravý</v>
      </c>
      <c r="BF59" s="22">
        <f>VLOOKUP(BD59,CENY!$B$11:$G$1054,3,FALSE)</f>
        <v>10</v>
      </c>
      <c r="BG59" s="22"/>
      <c r="BH59" s="68"/>
      <c r="BI59" s="326" t="str">
        <f t="shared" si="2"/>
        <v/>
      </c>
      <c r="BJ59" s="95" t="e">
        <f>VLOOKUP(BD59,CENY!$B$11:$M$2025,12,FALSE)</f>
        <v>#N/A</v>
      </c>
      <c r="BK59" s="95" t="e">
        <f t="shared" si="3"/>
        <v>#N/A</v>
      </c>
    </row>
    <row r="60" spans="47:63" ht="14.45" customHeight="1">
      <c r="AU60" s="319">
        <f>OBJ!B304</f>
        <v>9256883</v>
      </c>
      <c r="AV60" s="21" t="str">
        <f>VLOOKUP(AU60,CENY!$B$11:$G$1054,2,FALSE)</f>
        <v>Quadro You(M) 270/SiSy 20kg; EB21</v>
      </c>
      <c r="AW60" s="22">
        <f>VLOOKUP(AU60,CENY!$B$11:$G$1054,3,FALSE)</f>
        <v>1</v>
      </c>
      <c r="AX60" s="362">
        <v>8</v>
      </c>
      <c r="AY60" s="68"/>
      <c r="AZ60" s="326" t="str">
        <f t="shared" si="1"/>
        <v/>
      </c>
      <c r="BA60" s="95">
        <f>VLOOKUP(AU60,CENY!$B$11:$M$2025,12,FALSE)</f>
        <v>23.022449999999999</v>
      </c>
      <c r="BB60" s="95">
        <f t="shared" si="0"/>
        <v>0</v>
      </c>
      <c r="BD60" s="319">
        <f>OBJ!B253</f>
        <v>9318171</v>
      </c>
      <c r="BE60" s="21" t="str">
        <f>VLOOKUP(BD60,CENY!$B$11:$G$1054,2,FALSE)</f>
        <v>Actro You(L) 300/SiSy 40kg; EB21; ľavý</v>
      </c>
      <c r="BF60" s="22">
        <f>VLOOKUP(BD60,CENY!$B$11:$G$1054,3,FALSE)</f>
        <v>10</v>
      </c>
      <c r="BG60" s="22"/>
      <c r="BH60" s="68"/>
      <c r="BI60" s="326" t="str">
        <f t="shared" si="2"/>
        <v/>
      </c>
      <c r="BJ60" s="95">
        <f>VLOOKUP(BD60,CENY!$B$11:$M$2025,12,FALSE)</f>
        <v>14.37729</v>
      </c>
      <c r="BK60" s="95">
        <f t="shared" si="3"/>
        <v>0</v>
      </c>
    </row>
    <row r="61" spans="47:63" ht="14.45" customHeight="1">
      <c r="AU61" s="319">
        <f>OBJ!B305</f>
        <v>9256884</v>
      </c>
      <c r="AV61" s="21" t="str">
        <f>VLOOKUP(AU61,CENY!$B$11:$G$1054,2,FALSE)</f>
        <v>Quadro You(M) 300/SiSy 20kg; EB21</v>
      </c>
      <c r="AW61" s="22">
        <f>VLOOKUP(AU61,CENY!$B$11:$G$1054,3,FALSE)</f>
        <v>1</v>
      </c>
      <c r="AX61" s="362">
        <v>8</v>
      </c>
      <c r="AY61" s="68"/>
      <c r="AZ61" s="326" t="str">
        <f t="shared" si="1"/>
        <v/>
      </c>
      <c r="BA61" s="95">
        <f>VLOOKUP(AU61,CENY!$B$11:$M$2025,12,FALSE)</f>
        <v>23.069210000000002</v>
      </c>
      <c r="BB61" s="95">
        <f t="shared" si="0"/>
        <v>0</v>
      </c>
      <c r="BD61" s="319">
        <f>OBJ!B254</f>
        <v>9318172</v>
      </c>
      <c r="BE61" s="21" t="str">
        <f>VLOOKUP(BD61,CENY!$B$11:$G$1054,2,FALSE)</f>
        <v>Actro You(L) 300/SiSy 40kg; EB21; pravý</v>
      </c>
      <c r="BF61" s="22">
        <f>VLOOKUP(BD61,CENY!$B$11:$G$1054,3,FALSE)</f>
        <v>10</v>
      </c>
      <c r="BG61" s="22"/>
      <c r="BH61" s="68"/>
      <c r="BI61" s="326" t="str">
        <f t="shared" si="2"/>
        <v/>
      </c>
      <c r="BJ61" s="95">
        <f>VLOOKUP(BD61,CENY!$B$11:$M$2025,12,FALSE)</f>
        <v>14.37729</v>
      </c>
      <c r="BK61" s="95">
        <f t="shared" si="3"/>
        <v>0</v>
      </c>
    </row>
    <row r="62" spans="47:63" ht="14.45" customHeight="1">
      <c r="AU62" s="319">
        <f>OBJ!B306</f>
        <v>9256886</v>
      </c>
      <c r="AV62" s="21" t="str">
        <f>VLOOKUP(AU62,CENY!$B$11:$G$1054,2,FALSE)</f>
        <v>Quadro You(M) 350/SiSy 25kg; EB21</v>
      </c>
      <c r="AW62" s="22">
        <f>VLOOKUP(AU62,CENY!$B$11:$G$1054,3,FALSE)</f>
        <v>1</v>
      </c>
      <c r="AX62" s="362">
        <v>8</v>
      </c>
      <c r="AY62" s="68"/>
      <c r="AZ62" s="326" t="str">
        <f t="shared" si="1"/>
        <v/>
      </c>
      <c r="BA62" s="95" t="e">
        <f>VLOOKUP(AU62,CENY!$B$11:$M$2025,12,FALSE)</f>
        <v>#N/A</v>
      </c>
      <c r="BB62" s="95" t="e">
        <f t="shared" si="0"/>
        <v>#N/A</v>
      </c>
      <c r="BD62" s="319">
        <f>OBJ!B255</f>
        <v>9318173</v>
      </c>
      <c r="BE62" s="21" t="str">
        <f>VLOOKUP(BD62,CENY!$B$11:$G$1054,2,FALSE)</f>
        <v>Actro You(L) 350/SiSy 40kg; EB21; ľavý</v>
      </c>
      <c r="BF62" s="22">
        <f>VLOOKUP(BD62,CENY!$B$11:$G$1054,3,FALSE)</f>
        <v>10</v>
      </c>
      <c r="BG62" s="22"/>
      <c r="BH62" s="68"/>
      <c r="BI62" s="326" t="str">
        <f t="shared" si="2"/>
        <v/>
      </c>
      <c r="BJ62" s="95">
        <f>VLOOKUP(BD62,CENY!$B$11:$M$2025,12,FALSE)</f>
        <v>14.37729</v>
      </c>
      <c r="BK62" s="95">
        <f t="shared" si="3"/>
        <v>0</v>
      </c>
    </row>
    <row r="63" spans="47:63" ht="14.45" customHeight="1">
      <c r="AU63" s="319">
        <f>OBJ!B307</f>
        <v>9256888</v>
      </c>
      <c r="AV63" s="21" t="str">
        <f>VLOOKUP(AU63,CENY!$B$11:$G$1054,2,FALSE)</f>
        <v>Quadro You(M) 400/SiSy 30kg; EB21</v>
      </c>
      <c r="AW63" s="22">
        <f>VLOOKUP(AU63,CENY!$B$11:$G$1054,3,FALSE)</f>
        <v>1</v>
      </c>
      <c r="AX63" s="362">
        <v>8</v>
      </c>
      <c r="AY63" s="68"/>
      <c r="AZ63" s="326" t="str">
        <f t="shared" si="1"/>
        <v/>
      </c>
      <c r="BA63" s="95">
        <f>VLOOKUP(AU63,CENY!$B$11:$M$2025,12,FALSE)</f>
        <v>24.002659999999999</v>
      </c>
      <c r="BB63" s="95">
        <f t="shared" si="0"/>
        <v>0</v>
      </c>
      <c r="BD63" s="319">
        <f>OBJ!B256</f>
        <v>9318174</v>
      </c>
      <c r="BE63" s="21" t="str">
        <f>VLOOKUP(BD63,CENY!$B$11:$G$1054,2,FALSE)</f>
        <v>Actro You(L) 350/SiSy 40kg; EB21; pravý</v>
      </c>
      <c r="BF63" s="22">
        <f>VLOOKUP(BD63,CENY!$B$11:$G$1054,3,FALSE)</f>
        <v>10</v>
      </c>
      <c r="BG63" s="22"/>
      <c r="BH63" s="68"/>
      <c r="BI63" s="326" t="str">
        <f t="shared" si="2"/>
        <v/>
      </c>
      <c r="BJ63" s="95" t="e">
        <f>VLOOKUP(BD63,CENY!$B$11:$M$2025,12,FALSE)</f>
        <v>#N/A</v>
      </c>
      <c r="BK63" s="95" t="e">
        <f t="shared" si="3"/>
        <v>#N/A</v>
      </c>
    </row>
    <row r="64" spans="47:63" ht="14.45" customHeight="1">
      <c r="AU64" s="319">
        <f>OBJ!B308</f>
        <v>9256890</v>
      </c>
      <c r="AV64" s="21" t="str">
        <f>VLOOKUP(AU64,CENY!$B$11:$G$1054,2,FALSE)</f>
        <v>Quadro You(M) 450/SiSy 30kg; EB21</v>
      </c>
      <c r="AW64" s="22">
        <f>VLOOKUP(AU64,CENY!$B$11:$G$1054,3,FALSE)</f>
        <v>1</v>
      </c>
      <c r="AX64" s="362">
        <v>8</v>
      </c>
      <c r="AY64" s="23">
        <f>SUM(AY1:AY4)*W28</f>
        <v>0</v>
      </c>
      <c r="AZ64" s="326">
        <f t="shared" si="1"/>
        <v>0</v>
      </c>
      <c r="BA64" s="95">
        <f>VLOOKUP(AU64,CENY!$B$11:$M$2025,12,FALSE)</f>
        <v>4.9393000000000002</v>
      </c>
      <c r="BB64" s="95">
        <f t="shared" si="0"/>
        <v>0</v>
      </c>
      <c r="BD64" s="319">
        <f>OBJ!B257</f>
        <v>9318175</v>
      </c>
      <c r="BE64" s="21" t="str">
        <f>VLOOKUP(BD64,CENY!$B$11:$G$1054,2,FALSE)</f>
        <v>Actro You(L) 400/SiSy 40kg; EB21; ľavý</v>
      </c>
      <c r="BF64" s="22">
        <f>VLOOKUP(BD64,CENY!$B$11:$G$1054,3,FALSE)</f>
        <v>10</v>
      </c>
      <c r="BG64" s="22"/>
      <c r="BH64" s="68"/>
      <c r="BI64" s="326" t="str">
        <f t="shared" si="2"/>
        <v/>
      </c>
      <c r="BJ64" s="95">
        <f>VLOOKUP(BD64,CENY!$B$11:$M$2025,12,FALSE)</f>
        <v>14.56085</v>
      </c>
      <c r="BK64" s="95">
        <f t="shared" si="3"/>
        <v>0</v>
      </c>
    </row>
    <row r="65" spans="1:63" ht="14.45" customHeight="1">
      <c r="AU65" s="319">
        <f>OBJ!B309</f>
        <v>9256892</v>
      </c>
      <c r="AV65" s="21" t="str">
        <f>VLOOKUP(AU65,CENY!$B$11:$G$1054,2,FALSE)</f>
        <v>Quadro You(M) 500/SiSy 30kg; EB21</v>
      </c>
      <c r="AW65" s="22">
        <f>VLOOKUP(AU65,CENY!$B$11:$G$1054,3,FALSE)</f>
        <v>1</v>
      </c>
      <c r="AX65" s="362">
        <v>8</v>
      </c>
      <c r="AY65" s="23">
        <f>SUM(AY1:AY4)*Y28</f>
        <v>0</v>
      </c>
      <c r="AZ65" s="326">
        <f t="shared" si="1"/>
        <v>0</v>
      </c>
      <c r="BA65" s="95">
        <f>VLOOKUP(AU65,CENY!$B$11:$M$2025,12,FALSE)</f>
        <v>23.748699999999999</v>
      </c>
      <c r="BB65" s="95">
        <f t="shared" si="0"/>
        <v>0</v>
      </c>
      <c r="BD65" s="319">
        <f>OBJ!B258</f>
        <v>9318176</v>
      </c>
      <c r="BE65" s="21" t="str">
        <f>VLOOKUP(BD65,CENY!$B$11:$G$1054,2,FALSE)</f>
        <v>Actro You(L) 400/SiSy 40kg; EB21; pravý</v>
      </c>
      <c r="BF65" s="22">
        <f>VLOOKUP(BD65,CENY!$B$11:$G$1054,3,FALSE)</f>
        <v>10</v>
      </c>
      <c r="BG65" s="22"/>
      <c r="BH65" s="68"/>
      <c r="BI65" s="326" t="str">
        <f t="shared" si="2"/>
        <v/>
      </c>
      <c r="BJ65" s="95">
        <f>VLOOKUP(BD65,CENY!$B$11:$M$2025,12,FALSE)</f>
        <v>14.56085</v>
      </c>
      <c r="BK65" s="95">
        <f t="shared" si="3"/>
        <v>0</v>
      </c>
    </row>
    <row r="66" spans="1:63" ht="12.95" customHeight="1" thickBot="1">
      <c r="A66" s="579"/>
      <c r="AU66" s="319">
        <f>OBJ!B310</f>
        <v>9256894</v>
      </c>
      <c r="AV66" s="21" t="str">
        <f>VLOOKUP(AU66,CENY!$B$11:$G$1054,2,FALSE)</f>
        <v>Quadro You(M) 550/SiSy 30kg; EB21</v>
      </c>
      <c r="AW66" s="22">
        <f>VLOOKUP(AU66,CENY!$B$11:$G$1054,3,FALSE)</f>
        <v>1</v>
      </c>
      <c r="AX66" s="362">
        <v>8</v>
      </c>
      <c r="AY66" s="23">
        <f>SUM(AY1:AY4)*AA28</f>
        <v>0</v>
      </c>
      <c r="AZ66" s="326">
        <f t="shared" si="1"/>
        <v>0</v>
      </c>
      <c r="BA66" s="95">
        <f>VLOOKUP(AU66,CENY!$B$11:$M$2025,12,FALSE)</f>
        <v>5.1277499999999998</v>
      </c>
      <c r="BB66" s="95">
        <f t="shared" si="0"/>
        <v>0</v>
      </c>
      <c r="BD66" s="319">
        <f>OBJ!B259</f>
        <v>9318177</v>
      </c>
      <c r="BE66" s="21" t="str">
        <f>VLOOKUP(BD66,CENY!$B$11:$G$1054,2,FALSE)</f>
        <v>Actro You(L) 450/SiSy 40kg; EB21; ľavý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 t="e">
        <f>VLOOKUP(BD66,CENY!$B$11:$M$2025,12,FALSE)</f>
        <v>#N/A</v>
      </c>
      <c r="BK66" s="95" t="e">
        <f t="shared" si="3"/>
        <v>#N/A</v>
      </c>
    </row>
    <row r="67" spans="1:63" ht="23.1" customHeight="1" thickBot="1">
      <c r="A67" s="579"/>
      <c r="B67" s="486" t="str">
        <f>verze!E13</f>
        <v>&lt;&lt;  späť</v>
      </c>
      <c r="C67" s="487"/>
      <c r="D67" s="487"/>
      <c r="E67" s="488"/>
      <c r="G67" s="515" t="str">
        <f>verze!E6</f>
        <v xml:space="preserve"> Úvod</v>
      </c>
      <c r="H67" s="516"/>
      <c r="I67" s="516"/>
      <c r="J67" s="516"/>
      <c r="K67" s="517"/>
      <c r="O67" s="515" t="str">
        <f>verze!E7</f>
        <v xml:space="preserve"> Výber zásuviek</v>
      </c>
      <c r="P67" s="516"/>
      <c r="Q67" s="516"/>
      <c r="R67" s="516"/>
      <c r="S67" s="517"/>
      <c r="U67" s="515" t="str">
        <f>verze!E8</f>
        <v xml:space="preserve"> </v>
      </c>
      <c r="V67" s="516"/>
      <c r="W67" s="516"/>
      <c r="X67" s="516"/>
      <c r="Y67" s="517"/>
      <c r="AA67" s="515" t="str">
        <f>verze!E9</f>
        <v xml:space="preserve"> </v>
      </c>
      <c r="AB67" s="516"/>
      <c r="AC67" s="516"/>
      <c r="AD67" s="516"/>
      <c r="AE67" s="517"/>
      <c r="AI67" s="515" t="str">
        <f>verze!E10</f>
        <v xml:space="preserve"> Objednávka</v>
      </c>
      <c r="AJ67" s="516"/>
      <c r="AK67" s="516"/>
      <c r="AL67" s="516"/>
      <c r="AM67" s="517"/>
      <c r="AO67" s="477" t="str">
        <f>verze!E14</f>
        <v>vpred  &gt;&gt;</v>
      </c>
      <c r="AP67" s="478"/>
      <c r="AQ67" s="478"/>
      <c r="AR67" s="479"/>
      <c r="AU67" s="319">
        <f>OBJ!B311</f>
        <v>9256896</v>
      </c>
      <c r="AV67" s="21" t="str">
        <f>VLOOKUP(AU67,CENY!$B$11:$G$1054,2,FALSE)</f>
        <v>Quadro You(M) 600/SiSy 25kg; EB21</v>
      </c>
      <c r="AW67" s="22">
        <f>VLOOKUP(AU67,CENY!$B$11:$G$1054,3,FALSE)</f>
        <v>1</v>
      </c>
      <c r="AX67" s="362">
        <v>8</v>
      </c>
      <c r="AY67" s="23">
        <f>SUM(AY1:AY4)*AC28</f>
        <v>0</v>
      </c>
      <c r="AZ67" s="326">
        <f t="shared" si="1"/>
        <v>0</v>
      </c>
      <c r="BA67" s="95">
        <f>VLOOKUP(AU67,CENY!$B$11:$M$2025,12,FALSE)</f>
        <v>25.86984</v>
      </c>
      <c r="BB67" s="95">
        <f t="shared" si="0"/>
        <v>0</v>
      </c>
      <c r="BD67" s="319">
        <f>OBJ!B260</f>
        <v>9318178</v>
      </c>
      <c r="BE67" s="21" t="str">
        <f>VLOOKUP(BD67,CENY!$B$11:$G$1054,2,FALSE)</f>
        <v>Actro You(L) 450/SiSy 40kg; EB21; pravý</v>
      </c>
      <c r="BF67" s="22">
        <f>VLOOKUP(BD67,CENY!$B$11:$G$1054,3,FALSE)</f>
        <v>10</v>
      </c>
      <c r="BG67" s="22"/>
      <c r="BH67" s="23">
        <f>AY39</f>
        <v>0</v>
      </c>
      <c r="BI67" s="326">
        <f t="shared" si="2"/>
        <v>0</v>
      </c>
      <c r="BJ67" s="95">
        <f>VLOOKUP(BD67,CENY!$B$11:$M$2025,12,FALSE)</f>
        <v>14.040839999999999</v>
      </c>
      <c r="BK67" s="95">
        <f t="shared" si="3"/>
        <v>0</v>
      </c>
    </row>
    <row r="68" spans="1:63" ht="12.95" customHeight="1">
      <c r="A68" s="579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OBJ!B261</f>
        <v>9318179</v>
      </c>
      <c r="BE68" s="21" t="str">
        <f>VLOOKUP(BD68,CENY!$B$11:$G$1054,2,FALSE)</f>
        <v>Actro You(L) 500/SiSy 40kg; EB21; ľavý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13.931559999999999</v>
      </c>
      <c r="BK68" s="95">
        <f t="shared" si="3"/>
        <v>0</v>
      </c>
    </row>
    <row r="69" spans="1:63" ht="23.1" customHeight="1">
      <c r="A69" s="579"/>
      <c r="B69" s="93" t="str">
        <f>B4</f>
        <v>Zásuvka AVANTECH YOU  101 / 187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OBJ!B329</f>
        <v>9257894</v>
      </c>
      <c r="AV69" s="21" t="str">
        <f>VLOOKUP(AU69,CENY!$B$11:$G$1054,2,FALSE)</f>
        <v>Quadro You - Push to open Silent; &lt;10kg</v>
      </c>
      <c r="AW69" s="22">
        <f>VLOOKUP(AU69,CENY!$B$11:$G$1054,3,FALSE)</f>
        <v>1</v>
      </c>
      <c r="AX69" s="22"/>
      <c r="AY69" s="68"/>
      <c r="AZ69" s="326" t="str">
        <f t="shared" si="1"/>
        <v/>
      </c>
      <c r="BA69" s="95">
        <f>VLOOKUP(AU69,CENY!$B$11:$M$2025,12,FALSE)</f>
        <v>23.114239999999999</v>
      </c>
      <c r="BB69" s="95">
        <f t="shared" si="0"/>
        <v>0</v>
      </c>
      <c r="BD69" s="319">
        <f>OBJ!B262</f>
        <v>9318180</v>
      </c>
      <c r="BE69" s="21" t="str">
        <f>VLOOKUP(BD69,CENY!$B$11:$G$1054,2,FALSE)</f>
        <v>Actro You(L) 500/SiSy 40kg; EB21; pravý</v>
      </c>
      <c r="BF69" s="22">
        <f>VLOOKUP(BD69,CENY!$B$11:$G$1054,3,FALSE)</f>
        <v>10</v>
      </c>
      <c r="BG69" s="22"/>
      <c r="BH69" s="23">
        <f>AY40</f>
        <v>0</v>
      </c>
      <c r="BI69" s="326">
        <f t="shared" si="2"/>
        <v>0</v>
      </c>
      <c r="BJ69" s="95">
        <f>VLOOKUP(BD69,CENY!$B$11:$M$2025,12,FALSE)</f>
        <v>13.931559999999999</v>
      </c>
      <c r="BK69" s="95">
        <f t="shared" si="3"/>
        <v>0</v>
      </c>
    </row>
    <row r="70" spans="1:63" ht="14.45" customHeight="1">
      <c r="A70" s="579"/>
      <c r="AU70" s="319">
        <f>OBJ!B330</f>
        <v>9257895</v>
      </c>
      <c r="AV70" s="21" t="str">
        <f>VLOOKUP(AU70,CENY!$B$11:$G$1054,2,FALSE)</f>
        <v>Quadro You - Push to open Silent; 8-20kg</v>
      </c>
      <c r="AW70" s="22">
        <f>VLOOKUP(AU70,CENY!$B$11:$G$1054,3,FALSE)</f>
        <v>1</v>
      </c>
      <c r="AX70" s="22"/>
      <c r="AY70" s="68"/>
      <c r="AZ70" s="326" t="str">
        <f t="shared" si="1"/>
        <v/>
      </c>
      <c r="BA70" s="95">
        <f>VLOOKUP(AU70,CENY!$B$11:$M$2025,12,FALSE)</f>
        <v>23.114239999999999</v>
      </c>
      <c r="BB70" s="95">
        <f t="shared" si="0"/>
        <v>0</v>
      </c>
      <c r="BD70" s="319">
        <f>OBJ!B263</f>
        <v>9318181</v>
      </c>
      <c r="BE70" s="21" t="str">
        <f>VLOOKUP(BD70,CENY!$B$11:$G$1054,2,FALSE)</f>
        <v>Actro You(L) 550/SiSy 40kg; EB21; ľavý</v>
      </c>
      <c r="BF70" s="22">
        <f>VLOOKUP(BD70,CENY!$B$11:$G$1054,3,FALSE)</f>
        <v>10</v>
      </c>
      <c r="BG70" s="22"/>
      <c r="BH70" s="23">
        <f>AY41</f>
        <v>0</v>
      </c>
      <c r="BI70" s="326">
        <f t="shared" si="2"/>
        <v>0</v>
      </c>
      <c r="BJ70" s="95">
        <f>VLOOKUP(BD70,CENY!$B$11:$M$2025,12,FALSE)</f>
        <v>15.147040000000001</v>
      </c>
      <c r="BK70" s="95">
        <f t="shared" si="3"/>
        <v>0</v>
      </c>
    </row>
    <row r="71" spans="1:63" ht="14.45" customHeight="1">
      <c r="A71" s="579"/>
      <c r="AU71" s="319">
        <f>OBJ!B331</f>
        <v>9257896</v>
      </c>
      <c r="AV71" s="21" t="str">
        <f>VLOOKUP(AU71,CENY!$B$11:$G$1054,2,FALSE)</f>
        <v>Quadro You - Push to open Silent; 10-30kg</v>
      </c>
      <c r="AW71" s="22">
        <f>VLOOKUP(AU71,CENY!$B$11:$G$1054,3,FALSE)</f>
        <v>1</v>
      </c>
      <c r="AX71" s="22"/>
      <c r="AY71" s="68"/>
      <c r="AZ71" s="326" t="str">
        <f t="shared" si="1"/>
        <v/>
      </c>
      <c r="BA71" s="95">
        <f>VLOOKUP(AU71,CENY!$B$11:$M$2025,12,FALSE)</f>
        <v>23.114239999999999</v>
      </c>
      <c r="BB71" s="95">
        <f t="shared" si="0"/>
        <v>0</v>
      </c>
      <c r="BD71" s="319">
        <f>OBJ!B264</f>
        <v>9318182</v>
      </c>
      <c r="BE71" s="21" t="str">
        <f>VLOOKUP(BD71,CENY!$B$11:$G$1054,2,FALSE)</f>
        <v>Actro You(L) 550/SiSy 40kg; EB21; pravý</v>
      </c>
      <c r="BF71" s="22">
        <f>VLOOKUP(BD71,CENY!$B$11:$G$1054,3,FALSE)</f>
        <v>10</v>
      </c>
      <c r="BG71" s="22"/>
      <c r="BH71" s="23">
        <f>AY41</f>
        <v>0</v>
      </c>
      <c r="BI71" s="326">
        <f t="shared" si="2"/>
        <v>0</v>
      </c>
      <c r="BJ71" s="95">
        <f>VLOOKUP(BD71,CENY!$B$11:$M$2025,12,FALSE)</f>
        <v>15.147040000000001</v>
      </c>
      <c r="BK71" s="95">
        <f t="shared" si="3"/>
        <v>0</v>
      </c>
    </row>
    <row r="72" spans="1:63" ht="14.45" customHeight="1">
      <c r="A72" s="579"/>
      <c r="AU72" s="319"/>
      <c r="AV72" s="21"/>
      <c r="AW72" s="22"/>
      <c r="AX72" s="22"/>
      <c r="AY72" s="23"/>
      <c r="AZ72" s="326" t="str">
        <f t="shared" si="1"/>
        <v/>
      </c>
      <c r="BA72" s="95"/>
      <c r="BB72" s="95" t="str">
        <f t="shared" si="0"/>
        <v/>
      </c>
      <c r="BD72" s="319">
        <f>OBJ!B265</f>
        <v>9318183</v>
      </c>
      <c r="BE72" s="21" t="str">
        <f>VLOOKUP(BD72,CENY!$B$11:$G$1054,2,FALSE)</f>
        <v>Actro You(L) 600/SiSy 40kg; EB21; ľavý</v>
      </c>
      <c r="BF72" s="22">
        <f>VLOOKUP(BD72,CENY!$B$11:$G$1054,3,FALSE)</f>
        <v>10</v>
      </c>
      <c r="BG72" s="22"/>
      <c r="BH72" s="23">
        <f>AY42</f>
        <v>0</v>
      </c>
      <c r="BI72" s="326">
        <f t="shared" si="2"/>
        <v>0</v>
      </c>
      <c r="BJ72" s="95">
        <f>VLOOKUP(BD72,CENY!$B$11:$M$2025,12,FALSE)</f>
        <v>15.35308</v>
      </c>
      <c r="BK72" s="95">
        <f t="shared" si="3"/>
        <v>0</v>
      </c>
    </row>
    <row r="73" spans="1:63" ht="14.45" customHeight="1">
      <c r="A73" s="579"/>
      <c r="AU73" s="319">
        <f>OBJ!B333</f>
        <v>9256928</v>
      </c>
      <c r="AV73" s="21" t="str">
        <f>VLOOKUP(AU73,CENY!$B$11:$G$1054,2,FALSE)</f>
        <v>Quadro You(M) 270/P2O 20kg; EB21</v>
      </c>
      <c r="AW73" s="22">
        <f>VLOOKUP(AU73,CENY!$B$11:$G$1054,3,FALSE)</f>
        <v>1</v>
      </c>
      <c r="AX73" s="362">
        <v>8</v>
      </c>
      <c r="AY73" s="68"/>
      <c r="AZ73" s="326" t="str">
        <f t="shared" si="1"/>
        <v/>
      </c>
      <c r="BA73" s="95">
        <f>VLOOKUP(AU73,CENY!$B$11:$M$2025,12,FALSE)</f>
        <v>25.824369999999998</v>
      </c>
      <c r="BB73" s="95">
        <f t="shared" si="0"/>
        <v>0</v>
      </c>
      <c r="BD73" s="319">
        <f>OBJ!B266</f>
        <v>9318184</v>
      </c>
      <c r="BE73" s="21" t="str">
        <f>VLOOKUP(BD73,CENY!$B$11:$G$1054,2,FALSE)</f>
        <v>Actro You(L) 600/SiSy 40kg; EB21; pravý</v>
      </c>
      <c r="BF73" s="22">
        <f>VLOOKUP(BD73,CENY!$B$11:$G$1054,3,FALSE)</f>
        <v>10</v>
      </c>
      <c r="BG73" s="22"/>
      <c r="BH73" s="23">
        <f>AY42</f>
        <v>0</v>
      </c>
      <c r="BI73" s="326">
        <f t="shared" si="2"/>
        <v>0</v>
      </c>
      <c r="BJ73" s="95" t="e">
        <f>VLOOKUP(BD73,CENY!$B$11:$M$2025,12,FALSE)</f>
        <v>#N/A</v>
      </c>
      <c r="BK73" s="95" t="e">
        <f t="shared" si="3"/>
        <v>#N/A</v>
      </c>
    </row>
    <row r="74" spans="1:63" ht="14.45" customHeight="1">
      <c r="A74" s="579"/>
      <c r="AU74" s="319">
        <f>OBJ!B334</f>
        <v>9256929</v>
      </c>
      <c r="AV74" s="21" t="str">
        <f>VLOOKUP(AU74,CENY!$B$11:$G$1054,2,FALSE)</f>
        <v>Quadro You(M) 300/P2O 20kg; EB21</v>
      </c>
      <c r="AW74" s="22">
        <f>VLOOKUP(AU74,CENY!$B$11:$G$1054,3,FALSE)</f>
        <v>1</v>
      </c>
      <c r="AX74" s="362">
        <v>8</v>
      </c>
      <c r="AY74" s="68"/>
      <c r="AZ74" s="326" t="str">
        <f t="shared" si="1"/>
        <v/>
      </c>
      <c r="BA74" s="95">
        <f>VLOOKUP(AU74,CENY!$B$11:$M$2025,12,FALSE)</f>
        <v>25.86984</v>
      </c>
      <c r="BB74" s="95">
        <f t="shared" si="0"/>
        <v>0</v>
      </c>
      <c r="BD74" s="319"/>
      <c r="BE74" s="21"/>
      <c r="BF74" s="22"/>
      <c r="BG74" s="22"/>
      <c r="BH74" s="23"/>
      <c r="BI74" s="326" t="str">
        <f t="shared" si="2"/>
        <v/>
      </c>
      <c r="BJ74" s="95"/>
      <c r="BK74" s="95" t="str">
        <f t="shared" si="3"/>
        <v/>
      </c>
    </row>
    <row r="75" spans="1:63" ht="14.45" customHeight="1">
      <c r="A75" s="579"/>
      <c r="AU75" s="319">
        <f>OBJ!B335</f>
        <v>9256931</v>
      </c>
      <c r="AV75" s="21" t="str">
        <f>VLOOKUP(AU75,CENY!$B$11:$G$1054,2,FALSE)</f>
        <v>Quadro You(M) 350/P2O 25kg; EB21</v>
      </c>
      <c r="AW75" s="22">
        <f>VLOOKUP(AU75,CENY!$B$11:$G$1054,3,FALSE)</f>
        <v>1</v>
      </c>
      <c r="AX75" s="362">
        <v>8</v>
      </c>
      <c r="AY75" s="68"/>
      <c r="AZ75" s="326" t="str">
        <f t="shared" si="1"/>
        <v/>
      </c>
      <c r="BA75" s="95">
        <f>VLOOKUP(AU75,CENY!$B$11:$M$2025,12,FALSE)</f>
        <v>26.336690000000001</v>
      </c>
      <c r="BB75" s="95">
        <f t="shared" ref="BB75:BB106" si="7">IF(BA75="","",BA75*AY75)</f>
        <v>0</v>
      </c>
      <c r="BD75" s="319">
        <f>OBJ!B273</f>
        <v>9318198</v>
      </c>
      <c r="BE75" s="21" t="str">
        <f>VLOOKUP(BD75,CENY!$B$11:$G$1054,2,FALSE)</f>
        <v>Actro You(XL) 450/SiSy 70kg; EB21; ľavý</v>
      </c>
      <c r="BF75" s="22">
        <f>VLOOKUP(BD75,CENY!$B$11:$G$1054,3,FALSE)</f>
        <v>10</v>
      </c>
      <c r="BG75" s="22"/>
      <c r="BH75" s="23">
        <f>AY44</f>
        <v>0</v>
      </c>
      <c r="BI75" s="326">
        <f t="shared" si="2"/>
        <v>0</v>
      </c>
      <c r="BJ75" s="95" t="e">
        <f>VLOOKUP(BD75,CENY!$B$11:$M$2025,12,FALSE)</f>
        <v>#N/A</v>
      </c>
      <c r="BK75" s="95" t="e">
        <f t="shared" si="3"/>
        <v>#N/A</v>
      </c>
    </row>
    <row r="76" spans="1:63" ht="14.45" customHeight="1">
      <c r="A76" s="579"/>
      <c r="AU76" s="319">
        <f>OBJ!B336</f>
        <v>9256933</v>
      </c>
      <c r="AV76" s="21" t="str">
        <f>VLOOKUP(AU76,CENY!$B$11:$G$1054,2,FALSE)</f>
        <v>Quadro You(M) 400/P2O 30kg; EB21</v>
      </c>
      <c r="AW76" s="22">
        <f>VLOOKUP(AU76,CENY!$B$11:$G$1054,3,FALSE)</f>
        <v>1</v>
      </c>
      <c r="AX76" s="362">
        <v>8</v>
      </c>
      <c r="AY76" s="68"/>
      <c r="AZ76" s="326" t="str">
        <f t="shared" ref="AZ76:AZ142" si="8">IF(AY76="","",IF($AW$4=1,AY76,0))</f>
        <v/>
      </c>
      <c r="BA76" s="95">
        <f>VLOOKUP(AU76,CENY!$B$11:$M$2025,12,FALSE)</f>
        <v>26.80339</v>
      </c>
      <c r="BB76" s="95">
        <f t="shared" si="7"/>
        <v>0</v>
      </c>
      <c r="BD76" s="319">
        <f>OBJ!B274</f>
        <v>9318199</v>
      </c>
      <c r="BE76" s="21" t="str">
        <f>VLOOKUP(BD76,CENY!$B$11:$G$1054,2,FALSE)</f>
        <v>Actro You(XL) 450/SiSy 70kg; EB21; pravý</v>
      </c>
      <c r="BF76" s="22">
        <f>VLOOKUP(BD76,CENY!$B$11:$G$1054,3,FALSE)</f>
        <v>10</v>
      </c>
      <c r="BG76" s="22"/>
      <c r="BH76" s="23">
        <f>AY44</f>
        <v>0</v>
      </c>
      <c r="BI76" s="326">
        <f t="shared" si="2"/>
        <v>0</v>
      </c>
      <c r="BJ76" s="95" t="e">
        <f>VLOOKUP(BD76,CENY!$B$11:$M$2025,12,FALSE)</f>
        <v>#N/A</v>
      </c>
      <c r="BK76" s="95" t="e">
        <f t="shared" si="3"/>
        <v>#N/A</v>
      </c>
    </row>
    <row r="77" spans="1:63" ht="14.45" customHeight="1">
      <c r="A77" s="579"/>
      <c r="AU77" s="319">
        <f>OBJ!B337</f>
        <v>9256935</v>
      </c>
      <c r="AV77" s="21" t="str">
        <f>VLOOKUP(AU77,CENY!$B$11:$G$1054,2,FALSE)</f>
        <v>Quadro You(M) 450/P2O 30kg; EB21</v>
      </c>
      <c r="AW77" s="22">
        <f>VLOOKUP(AU77,CENY!$B$11:$G$1054,3,FALSE)</f>
        <v>1</v>
      </c>
      <c r="AX77" s="362">
        <v>8</v>
      </c>
      <c r="AY77" s="68"/>
      <c r="AZ77" s="326" t="str">
        <f t="shared" si="8"/>
        <v/>
      </c>
      <c r="BA77" s="95">
        <f>VLOOKUP(AU77,CENY!$B$11:$M$2025,12,FALSE)</f>
        <v>27.270389999999999</v>
      </c>
      <c r="BB77" s="95">
        <f t="shared" si="7"/>
        <v>0</v>
      </c>
      <c r="BD77" s="319">
        <f>OBJ!B275</f>
        <v>9318201</v>
      </c>
      <c r="BE77" s="21" t="str">
        <f>VLOOKUP(BD77,CENY!$B$11:$G$1054,2,FALSE)</f>
        <v>Actro You(XL) 500/SiSy 70kg; EB21; ľavý</v>
      </c>
      <c r="BF77" s="22">
        <f>VLOOKUP(BD77,CENY!$B$11:$G$1054,3,FALSE)</f>
        <v>10</v>
      </c>
      <c r="BG77" s="22"/>
      <c r="BH77" s="23">
        <f>AY45</f>
        <v>0</v>
      </c>
      <c r="BI77" s="326">
        <f t="shared" si="2"/>
        <v>0</v>
      </c>
      <c r="BJ77" s="95">
        <f>VLOOKUP(BD77,CENY!$B$11:$M$2025,12,FALSE)</f>
        <v>17.52394</v>
      </c>
      <c r="BK77" s="95">
        <f t="shared" si="3"/>
        <v>0</v>
      </c>
    </row>
    <row r="78" spans="1:63" ht="14.45" customHeight="1">
      <c r="A78" s="579"/>
      <c r="AU78" s="319">
        <f>OBJ!B338</f>
        <v>9256937</v>
      </c>
      <c r="AV78" s="21" t="str">
        <f>VLOOKUP(AU78,CENY!$B$11:$G$1054,2,FALSE)</f>
        <v>Quadro You(M) 500/P2O 30kg; EB21</v>
      </c>
      <c r="AW78" s="22">
        <f>VLOOKUP(AU78,CENY!$B$11:$G$1054,3,FALSE)</f>
        <v>1</v>
      </c>
      <c r="AX78" s="362">
        <v>8</v>
      </c>
      <c r="AY78" s="68"/>
      <c r="AZ78" s="326" t="str">
        <f t="shared" si="8"/>
        <v/>
      </c>
      <c r="BA78" s="95">
        <f>VLOOKUP(AU78,CENY!$B$11:$M$2025,12,FALSE)</f>
        <v>5.5988800000000003</v>
      </c>
      <c r="BB78" s="95">
        <f t="shared" si="7"/>
        <v>0</v>
      </c>
      <c r="BD78" s="319">
        <f>OBJ!B276</f>
        <v>9318203</v>
      </c>
      <c r="BE78" s="21" t="str">
        <f>VLOOKUP(BD78,CENY!$B$11:$G$1054,2,FALSE)</f>
        <v>Actro You(XL) 500/SiSy 70kg; EB21; pravý</v>
      </c>
      <c r="BF78" s="22">
        <f>VLOOKUP(BD78,CENY!$B$11:$G$1054,3,FALSE)</f>
        <v>10</v>
      </c>
      <c r="BG78" s="22"/>
      <c r="BH78" s="23">
        <f>AY45</f>
        <v>0</v>
      </c>
      <c r="BI78" s="326">
        <f t="shared" si="2"/>
        <v>0</v>
      </c>
      <c r="BJ78" s="95">
        <f>VLOOKUP(BD78,CENY!$B$11:$M$2025,12,FALSE)</f>
        <v>17.52394</v>
      </c>
      <c r="BK78" s="95">
        <f t="shared" si="3"/>
        <v>0</v>
      </c>
    </row>
    <row r="79" spans="1:63" ht="14.45" customHeight="1">
      <c r="A79" s="579"/>
      <c r="O79" s="578">
        <f>CEILING((O85*AY1)/FLOOR(2000/O86,1),1)</f>
        <v>0</v>
      </c>
      <c r="P79" s="578"/>
      <c r="Q79" s="578">
        <f>CEILING((Q85*AY1)/FLOOR(2000/Q86,1),1)</f>
        <v>0</v>
      </c>
      <c r="R79" s="578"/>
      <c r="S79" s="578">
        <f>CEILING((S85*AY1)/FLOOR(2000/S86,1),1)</f>
        <v>0</v>
      </c>
      <c r="T79" s="578"/>
      <c r="U79" s="578">
        <f>CEILING((U85*AY1)/FLOOR(2000/U86,1),1)</f>
        <v>0</v>
      </c>
      <c r="V79" s="578"/>
      <c r="W79" s="578">
        <f>CEILING((W85*AY1)/FLOOR(2000/W86,1),1)</f>
        <v>0</v>
      </c>
      <c r="X79" s="578"/>
      <c r="Y79" s="578">
        <f>CEILING((Y85*AY1)/FLOOR(2000/Y86,1),1)</f>
        <v>0</v>
      </c>
      <c r="Z79" s="578"/>
      <c r="AA79" s="578">
        <f>CEILING((AA85*AY1)/FLOOR(2000/AA86,1),1)</f>
        <v>0</v>
      </c>
      <c r="AB79" s="578"/>
      <c r="AC79" s="578">
        <f>CEILING((AC85*AY1)/FLOOR(2000/AC86,1),1)</f>
        <v>0</v>
      </c>
      <c r="AD79" s="578"/>
      <c r="AE79" s="578">
        <f>CEILING((AE85*AY1)/FLOOR(2000/AE86,1),1)</f>
        <v>0</v>
      </c>
      <c r="AF79" s="578"/>
      <c r="AG79" s="578">
        <f>CEILING((AG85*AY1)/FLOOR(2000/AG86,1),1)</f>
        <v>0</v>
      </c>
      <c r="AH79" s="578"/>
      <c r="AI79" s="578">
        <f>CEILING((AI85*AY1)/FLOOR(2000/AI86,1),1)</f>
        <v>0</v>
      </c>
      <c r="AJ79" s="578"/>
      <c r="AU79" s="319">
        <f>OBJ!B339</f>
        <v>9256939</v>
      </c>
      <c r="AV79" s="21" t="str">
        <f>VLOOKUP(AU79,CENY!$B$11:$G$1054,2,FALSE)</f>
        <v>Quadro You(M) 550/P2O 30kg; EB21</v>
      </c>
      <c r="AW79" s="22">
        <f>VLOOKUP(AU79,CENY!$B$11:$G$1054,3,FALSE)</f>
        <v>1</v>
      </c>
      <c r="AX79" s="362">
        <v>8</v>
      </c>
      <c r="AY79" s="68"/>
      <c r="AZ79" s="326" t="str">
        <f t="shared" si="8"/>
        <v/>
      </c>
      <c r="BA79" s="95">
        <f>VLOOKUP(AU79,CENY!$B$11:$M$2025,12,FALSE)</f>
        <v>28.20382</v>
      </c>
      <c r="BB79" s="95">
        <f t="shared" si="7"/>
        <v>0</v>
      </c>
      <c r="BD79" s="319">
        <f>OBJ!B277</f>
        <v>9318208</v>
      </c>
      <c r="BE79" s="21" t="str">
        <f>VLOOKUP(BD79,CENY!$B$11:$G$1054,2,FALSE)</f>
        <v>Actro You(XL) 550/SiSy 70kg; EB21; ľavý</v>
      </c>
      <c r="BF79" s="22">
        <f>VLOOKUP(BD79,CENY!$B$11:$G$1054,3,FALSE)</f>
        <v>10</v>
      </c>
      <c r="BG79" s="22"/>
      <c r="BH79" s="23">
        <f>AY46</f>
        <v>0</v>
      </c>
      <c r="BI79" s="326">
        <f t="shared" si="2"/>
        <v>0</v>
      </c>
      <c r="BJ79" s="95">
        <f>VLOOKUP(BD79,CENY!$B$11:$M$2025,12,FALSE)</f>
        <v>18.45496</v>
      </c>
      <c r="BK79" s="95">
        <f t="shared" si="3"/>
        <v>0</v>
      </c>
    </row>
    <row r="80" spans="1:63" ht="14.45" customHeight="1">
      <c r="A80" s="579"/>
      <c r="O80" s="578">
        <f>CEILING((O85*AY3)/FLOOR(2000/O86,1),1)</f>
        <v>0</v>
      </c>
      <c r="P80" s="578"/>
      <c r="Q80" s="578">
        <f>CEILING((Q85*AY3)/FLOOR(2000/Q86,1),1)</f>
        <v>0</v>
      </c>
      <c r="R80" s="578"/>
      <c r="S80" s="578">
        <f>CEILING((S85*AY3)/FLOOR(2000/S86,1),1)</f>
        <v>0</v>
      </c>
      <c r="T80" s="578"/>
      <c r="U80" s="578">
        <f>CEILING((U85*AY3)/FLOOR(2000/U86,1),1)</f>
        <v>0</v>
      </c>
      <c r="V80" s="578"/>
      <c r="W80" s="578">
        <f>CEILING((W85*AY3)/FLOOR(2000/W86,1),1)</f>
        <v>0</v>
      </c>
      <c r="X80" s="578"/>
      <c r="Y80" s="578">
        <f>CEILING((Y85*AY3)/FLOOR(2000/Y86,1),1)</f>
        <v>0</v>
      </c>
      <c r="Z80" s="578"/>
      <c r="AA80" s="578">
        <f>CEILING((AA85*AY3)/FLOOR(2000/AA86,1),1)</f>
        <v>0</v>
      </c>
      <c r="AB80" s="578"/>
      <c r="AC80" s="578">
        <f>CEILING((AC85*AY3)/FLOOR(2000/AC86,1),1)</f>
        <v>0</v>
      </c>
      <c r="AD80" s="578"/>
      <c r="AE80" s="578">
        <f>CEILING((AE85*AY3)/FLOOR(2000/AE86,1),1)</f>
        <v>0</v>
      </c>
      <c r="AF80" s="578"/>
      <c r="AG80" s="578">
        <f>CEILING((AG85*AY3)/FLOOR(2000/AG86,1),1)</f>
        <v>0</v>
      </c>
      <c r="AH80" s="578"/>
      <c r="AI80" s="578">
        <f>CEILING((AI85*AY3)/FLOOR(2000/AI86,1),1)</f>
        <v>0</v>
      </c>
      <c r="AJ80" s="578"/>
      <c r="AU80" s="319">
        <f>OBJ!B340</f>
        <v>9256941</v>
      </c>
      <c r="AV80" s="21" t="str">
        <f>VLOOKUP(AU80,CENY!$B$11:$G$1054,2,FALSE)</f>
        <v>Quadro You(M) 600/P2O 25kg; EB21</v>
      </c>
      <c r="AW80" s="22">
        <f>VLOOKUP(AU80,CENY!$B$11:$G$1054,3,FALSE)</f>
        <v>1</v>
      </c>
      <c r="AX80" s="362">
        <v>8</v>
      </c>
      <c r="AY80" s="68"/>
      <c r="AZ80" s="326" t="str">
        <f t="shared" si="8"/>
        <v/>
      </c>
      <c r="BA80" s="95">
        <f>VLOOKUP(AU80,CENY!$B$11:$M$2025,12,FALSE)</f>
        <v>28.670570000000001</v>
      </c>
      <c r="BB80" s="95">
        <f t="shared" si="7"/>
        <v>0</v>
      </c>
      <c r="BD80" s="319">
        <f>OBJ!B278</f>
        <v>9318209</v>
      </c>
      <c r="BE80" s="21" t="str">
        <f>VLOOKUP(BD80,CENY!$B$11:$G$1054,2,FALSE)</f>
        <v>Actro You(XL) 550/SiSy 70kg; EB21; pravý</v>
      </c>
      <c r="BF80" s="22">
        <f>VLOOKUP(BD80,CENY!$B$11:$G$1054,3,FALSE)</f>
        <v>10</v>
      </c>
      <c r="BG80" s="22"/>
      <c r="BH80" s="23">
        <f>AY46</f>
        <v>0</v>
      </c>
      <c r="BI80" s="326">
        <f t="shared" si="2"/>
        <v>0</v>
      </c>
      <c r="BJ80" s="95">
        <f>VLOOKUP(BD80,CENY!$B$11:$M$2025,12,FALSE)</f>
        <v>18.45496</v>
      </c>
      <c r="BK80" s="95">
        <f t="shared" si="3"/>
        <v>0</v>
      </c>
    </row>
    <row r="81" spans="1:63" ht="14.45" customHeight="1">
      <c r="A81" s="579"/>
      <c r="O81" s="577">
        <f>O86*O85*$AY$1</f>
        <v>0</v>
      </c>
      <c r="P81" s="577"/>
      <c r="Q81" s="577">
        <f>Q86*Q85*$AY$1</f>
        <v>0</v>
      </c>
      <c r="R81" s="577"/>
      <c r="S81" s="577">
        <f>S86*S85*$AY$1</f>
        <v>0</v>
      </c>
      <c r="T81" s="577"/>
      <c r="U81" s="577">
        <f>U86*U85*$AY$1</f>
        <v>0</v>
      </c>
      <c r="V81" s="577"/>
      <c r="W81" s="577">
        <f>W86*W85*$AY$1</f>
        <v>0</v>
      </c>
      <c r="X81" s="577"/>
      <c r="Y81" s="577">
        <f>Y86*Y85*$AY$1</f>
        <v>0</v>
      </c>
      <c r="Z81" s="577"/>
      <c r="AA81" s="577">
        <f>AA86*AA85*$AY$1</f>
        <v>0</v>
      </c>
      <c r="AB81" s="577"/>
      <c r="AC81" s="577">
        <f>AC86*AC85*$AY$1</f>
        <v>0</v>
      </c>
      <c r="AD81" s="577"/>
      <c r="AE81" s="577">
        <f>AE86*AE85*$AY$1</f>
        <v>0</v>
      </c>
      <c r="AF81" s="577"/>
      <c r="AG81" s="577">
        <f>AG86*AG85*$AY$1</f>
        <v>0</v>
      </c>
      <c r="AH81" s="577"/>
      <c r="AI81" s="577">
        <f>AI86*AI85*$AY$1</f>
        <v>0</v>
      </c>
      <c r="AJ81" s="577"/>
      <c r="AU81" s="319"/>
      <c r="AV81" s="21"/>
      <c r="AW81" s="22"/>
      <c r="AX81" s="22"/>
      <c r="AY81" s="23"/>
      <c r="AZ81" s="326" t="str">
        <f t="shared" si="8"/>
        <v/>
      </c>
      <c r="BA81" s="95"/>
      <c r="BB81" s="95" t="str">
        <f t="shared" si="7"/>
        <v/>
      </c>
      <c r="BD81" s="319">
        <f>OBJ!B279</f>
        <v>9318211</v>
      </c>
      <c r="BE81" s="21" t="str">
        <f>VLOOKUP(BD81,CENY!$B$11:$G$1054,2,FALSE)</f>
        <v>Actro You(XL) 600/SiSy 70kg; EB21; ľavý</v>
      </c>
      <c r="BF81" s="22">
        <f>VLOOKUP(BD81,CENY!$B$11:$G$1054,3,FALSE)</f>
        <v>10</v>
      </c>
      <c r="BG81" s="22"/>
      <c r="BH81" s="23">
        <f>AY47</f>
        <v>0</v>
      </c>
      <c r="BI81" s="326">
        <f t="shared" si="2"/>
        <v>0</v>
      </c>
      <c r="BJ81" s="95">
        <f>VLOOKUP(BD81,CENY!$B$11:$M$2025,12,FALSE)</f>
        <v>21.352720000000001</v>
      </c>
      <c r="BK81" s="95">
        <f t="shared" si="3"/>
        <v>0</v>
      </c>
    </row>
    <row r="82" spans="1:63" ht="14.45" customHeight="1">
      <c r="A82" s="579"/>
      <c r="O82" s="577">
        <f>O86*O85*$AY$3</f>
        <v>0</v>
      </c>
      <c r="P82" s="577"/>
      <c r="Q82" s="577">
        <f>Q86*Q85*$AY$3</f>
        <v>0</v>
      </c>
      <c r="R82" s="577"/>
      <c r="S82" s="577">
        <f>S86*S85*$AY$3</f>
        <v>0</v>
      </c>
      <c r="T82" s="577"/>
      <c r="U82" s="577">
        <f>U86*U85*$AY$3</f>
        <v>0</v>
      </c>
      <c r="V82" s="577"/>
      <c r="W82" s="577">
        <f>W86*W85*$AY$3</f>
        <v>0</v>
      </c>
      <c r="X82" s="577"/>
      <c r="Y82" s="577">
        <f>Y86*Y85*$AY$3</f>
        <v>0</v>
      </c>
      <c r="Z82" s="577"/>
      <c r="AA82" s="577">
        <f>AA86*AA85*$AY$3</f>
        <v>0</v>
      </c>
      <c r="AB82" s="577"/>
      <c r="AC82" s="577">
        <f>AC86*AC85*$AY$3</f>
        <v>0</v>
      </c>
      <c r="AD82" s="577"/>
      <c r="AE82" s="577">
        <f>AE86*AE85*$AY$3</f>
        <v>0</v>
      </c>
      <c r="AF82" s="577"/>
      <c r="AG82" s="577">
        <f>AG86*AG85*$AY$3</f>
        <v>0</v>
      </c>
      <c r="AH82" s="577"/>
      <c r="AI82" s="577">
        <f>AI86*AI85*$AY$3</f>
        <v>0</v>
      </c>
      <c r="AJ82" s="577"/>
      <c r="AK82" s="579"/>
      <c r="AL82" s="579"/>
      <c r="AU82" s="319">
        <f>OBJ!B358</f>
        <v>9219966</v>
      </c>
      <c r="AV82" s="21" t="str">
        <f>VLOOKUP(AU82,CENY!$B$11:$G$1054,2,FALSE)</f>
        <v>Push to open Synchro / adaptér typ A</v>
      </c>
      <c r="AW82" s="22">
        <f>VLOOKUP(AU82,CENY!$B$11:$G$1054,3,FALSE)</f>
        <v>200</v>
      </c>
      <c r="AX82" s="22"/>
      <c r="AY82" s="68"/>
      <c r="AZ82" s="326" t="str">
        <f t="shared" si="8"/>
        <v/>
      </c>
      <c r="BA82" s="95">
        <f>VLOOKUP(AU82,CENY!$B$11:$M$2025,12,FALSE)</f>
        <v>0.79318999999999995</v>
      </c>
      <c r="BB82" s="95">
        <f t="shared" si="7"/>
        <v>0</v>
      </c>
      <c r="BD82" s="319">
        <f>OBJ!B280</f>
        <v>9318212</v>
      </c>
      <c r="BE82" s="21" t="str">
        <f>VLOOKUP(BD82,CENY!$B$11:$G$1054,2,FALSE)</f>
        <v>Actro You(XL) 600/SiSy 70kg; EB21; pravý</v>
      </c>
      <c r="BF82" s="22">
        <f>VLOOKUP(BD82,CENY!$B$11:$G$1054,3,FALSE)</f>
        <v>10</v>
      </c>
      <c r="BG82" s="22"/>
      <c r="BH82" s="23">
        <f>AY47</f>
        <v>0</v>
      </c>
      <c r="BI82" s="326">
        <f t="shared" si="2"/>
        <v>0</v>
      </c>
      <c r="BJ82" s="95">
        <f>VLOOKUP(BD82,CENY!$B$11:$M$2025,12,FALSE)</f>
        <v>21.352720000000001</v>
      </c>
      <c r="BK82" s="95">
        <f t="shared" si="3"/>
        <v>0</v>
      </c>
    </row>
    <row r="83" spans="1:63" ht="14.45" customHeight="1" thickBot="1">
      <c r="A83" s="579"/>
      <c r="B83" s="1" t="str">
        <f>verze!E162</f>
        <v>Čelo na vnútornú zásuvku</v>
      </c>
      <c r="O83" s="583" t="str">
        <f>verze!E163</f>
        <v>vonkajšie rozmery zásuvkovej skrinky [mm]</v>
      </c>
      <c r="P83" s="584"/>
      <c r="Q83" s="584"/>
      <c r="R83" s="584"/>
      <c r="S83" s="584"/>
      <c r="T83" s="584"/>
      <c r="U83" s="584"/>
      <c r="V83" s="584"/>
      <c r="W83" s="584"/>
      <c r="X83" s="584"/>
      <c r="Y83" s="584"/>
      <c r="Z83" s="584"/>
      <c r="AA83" s="584"/>
      <c r="AB83" s="584"/>
      <c r="AC83" s="584"/>
      <c r="AD83" s="584"/>
      <c r="AE83" s="584"/>
      <c r="AF83" s="584"/>
      <c r="AG83" s="584"/>
      <c r="AH83" s="584"/>
      <c r="AI83" s="584"/>
      <c r="AJ83" s="584"/>
      <c r="AU83" s="319"/>
      <c r="AV83" s="21"/>
      <c r="AW83" s="22"/>
      <c r="AX83" s="22"/>
      <c r="AY83" s="23"/>
      <c r="AZ83" s="326" t="str">
        <f t="shared" si="8"/>
        <v/>
      </c>
      <c r="BA83" s="95"/>
      <c r="BB83" s="95" t="str">
        <f t="shared" si="7"/>
        <v/>
      </c>
      <c r="BD83" s="319">
        <f>OBJ!B281</f>
        <v>9318213</v>
      </c>
      <c r="BE83" s="21" t="str">
        <f>VLOOKUP(BD83,CENY!$B$11:$G$1054,2,FALSE)</f>
        <v>Actro You(XL) 650/SiSy 70kg; EB21; ľavý</v>
      </c>
      <c r="BF83" s="22">
        <f>VLOOKUP(BD83,CENY!$B$11:$G$1054,3,FALSE)</f>
        <v>5</v>
      </c>
      <c r="BG83" s="22"/>
      <c r="BH83" s="23">
        <f>AY48</f>
        <v>0</v>
      </c>
      <c r="BI83" s="326">
        <f t="shared" si="2"/>
        <v>0</v>
      </c>
      <c r="BJ83" s="95">
        <f>VLOOKUP(BD83,CENY!$B$11:$M$2025,12,FALSE)</f>
        <v>22.243659999999998</v>
      </c>
      <c r="BK83" s="95">
        <f t="shared" si="3"/>
        <v>0</v>
      </c>
    </row>
    <row r="84" spans="1:63" ht="14.45" customHeight="1" thickBot="1">
      <c r="A84" s="579"/>
      <c r="B84" s="96"/>
      <c r="C84" s="96"/>
      <c r="D84" s="96"/>
      <c r="E84" s="96"/>
      <c r="F84" s="96"/>
      <c r="G84" s="96"/>
      <c r="H84" s="72"/>
      <c r="I84" s="72"/>
      <c r="J84" s="72"/>
      <c r="K84" s="72"/>
      <c r="L84" s="72"/>
      <c r="M84" s="72"/>
      <c r="N84" s="72" t="str">
        <f>verze!E166&amp;" "</f>
        <v xml:space="preserve">Šírka korpusu: </v>
      </c>
      <c r="O84" s="537">
        <v>300</v>
      </c>
      <c r="P84" s="538"/>
      <c r="Q84" s="537">
        <v>400</v>
      </c>
      <c r="R84" s="538"/>
      <c r="S84" s="537">
        <v>450</v>
      </c>
      <c r="T84" s="538"/>
      <c r="U84" s="537">
        <v>500</v>
      </c>
      <c r="V84" s="538"/>
      <c r="W84" s="537">
        <v>550</v>
      </c>
      <c r="X84" s="538"/>
      <c r="Y84" s="537">
        <v>600</v>
      </c>
      <c r="Z84" s="538"/>
      <c r="AA84" s="537">
        <v>700</v>
      </c>
      <c r="AB84" s="538"/>
      <c r="AC84" s="537">
        <v>800</v>
      </c>
      <c r="AD84" s="538"/>
      <c r="AE84" s="537">
        <v>900</v>
      </c>
      <c r="AF84" s="586"/>
      <c r="AG84" s="537">
        <v>1000</v>
      </c>
      <c r="AH84" s="586"/>
      <c r="AI84" s="537">
        <v>1200</v>
      </c>
      <c r="AJ84" s="538"/>
      <c r="AU84" s="320">
        <v>9255836</v>
      </c>
      <c r="AV84" s="321" t="str">
        <f>VLOOKUP(AU84,CENY!$B$11:$G$1054,2,FALSE)</f>
        <v>AvanY-príchytka čela s rozp.púzdrom/ v101</v>
      </c>
      <c r="AW84" s="22">
        <f>VLOOKUP(AU84,CENY!$B$11:$G$1054,3,FALSE)</f>
        <v>200</v>
      </c>
      <c r="AX84" s="22"/>
      <c r="AY84" s="68">
        <f>IF(FORM!AM8=FORM!AU11,(2*(AY2)*(SUM(W20:AD20)+SUM(W22:AF22)+SUM(W28:AD28))),0)</f>
        <v>0</v>
      </c>
      <c r="AZ84" s="326">
        <f t="shared" si="8"/>
        <v>0</v>
      </c>
      <c r="BA84" s="95">
        <f>VLOOKUP(AU84,CENY!$B$11:$M$2025,12,FALSE)</f>
        <v>1.1907000000000001</v>
      </c>
      <c r="BB84" s="95">
        <f t="shared" si="7"/>
        <v>0</v>
      </c>
      <c r="BD84" s="319">
        <f>OBJ!B282</f>
        <v>9318214</v>
      </c>
      <c r="BE84" s="21" t="str">
        <f>VLOOKUP(BD84,CENY!$B$11:$G$1054,2,FALSE)</f>
        <v>Actro You(XL) 650/SiSy 70kg; EB21; pravý</v>
      </c>
      <c r="BF84" s="22">
        <f>VLOOKUP(BD84,CENY!$B$11:$G$1054,3,FALSE)</f>
        <v>5</v>
      </c>
      <c r="BG84" s="22"/>
      <c r="BH84" s="23">
        <f>AY48</f>
        <v>0</v>
      </c>
      <c r="BI84" s="326">
        <f t="shared" ref="BI84:BI148" si="9">IF(BH84="","",IF($AW$4=0,BH84,0))</f>
        <v>0</v>
      </c>
      <c r="BJ84" s="95">
        <f>VLOOKUP(BD84,CENY!$B$11:$M$2025,12,FALSE)</f>
        <v>22.243659999999998</v>
      </c>
      <c r="BK84" s="95">
        <f t="shared" ref="BK84:BK153" si="10">IF(BJ84="","",BJ84*BH84)</f>
        <v>0</v>
      </c>
    </row>
    <row r="85" spans="1:63" ht="14.45" customHeight="1" thickBot="1">
      <c r="A85" s="579"/>
      <c r="B85" s="158" t="str">
        <f>" "&amp;verze!E167</f>
        <v xml:space="preserve"> ALU čelo</v>
      </c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525"/>
      <c r="N85" s="548"/>
      <c r="O85" s="580"/>
      <c r="P85" s="581"/>
      <c r="Q85" s="580"/>
      <c r="R85" s="581"/>
      <c r="S85" s="580"/>
      <c r="T85" s="581"/>
      <c r="U85" s="580"/>
      <c r="V85" s="581"/>
      <c r="W85" s="580"/>
      <c r="X85" s="581"/>
      <c r="Y85" s="580"/>
      <c r="Z85" s="581"/>
      <c r="AA85" s="580"/>
      <c r="AB85" s="581"/>
      <c r="AC85" s="580"/>
      <c r="AD85" s="581"/>
      <c r="AE85" s="580"/>
      <c r="AF85" s="581"/>
      <c r="AG85" s="580"/>
      <c r="AH85" s="581"/>
      <c r="AI85" s="580"/>
      <c r="AJ85" s="585"/>
      <c r="AU85" s="320">
        <v>9255839</v>
      </c>
      <c r="AV85" s="321" t="str">
        <f>VLOOKUP(AU85,CENY!$B$11:$G$1054,2,FALSE)</f>
        <v>AvanY-prích.čela s rozp.púzdrom/ v187-251</v>
      </c>
      <c r="AW85" s="22">
        <f>VLOOKUP(AU85,CENY!$B$11:$G$1054,3,FALSE)</f>
        <v>200</v>
      </c>
      <c r="AX85" s="22"/>
      <c r="AY85" s="68">
        <f>IF(FORM!AM8=FORM!AU11,(2*(AY4)*(SUM(W20:AD20)+SUM(W22:AF22)+SUM(W28:AD28))),0)</f>
        <v>0</v>
      </c>
      <c r="AZ85" s="326">
        <f t="shared" si="8"/>
        <v>0</v>
      </c>
      <c r="BA85" s="95">
        <f>VLOOKUP(AU85,CENY!$B$11:$M$2025,12,FALSE)</f>
        <v>2.3528199999999999</v>
      </c>
      <c r="BB85" s="95">
        <f t="shared" si="7"/>
        <v>0</v>
      </c>
      <c r="BD85" s="319"/>
      <c r="BE85" s="21"/>
      <c r="BF85" s="22"/>
      <c r="BG85" s="22"/>
      <c r="BH85" s="23"/>
      <c r="BI85" s="326" t="str">
        <f t="shared" si="9"/>
        <v/>
      </c>
      <c r="BJ85" s="95"/>
      <c r="BK85" s="95" t="str">
        <f t="shared" si="10"/>
        <v/>
      </c>
    </row>
    <row r="86" spans="1:63" ht="14.45" customHeight="1">
      <c r="A86" s="579"/>
      <c r="O86" s="582">
        <f>O84-2*FORM!$AM$24-12</f>
        <v>252</v>
      </c>
      <c r="P86" s="582"/>
      <c r="Q86" s="582">
        <f>Q84-2*FORM!$AM$24-12</f>
        <v>352</v>
      </c>
      <c r="R86" s="582"/>
      <c r="S86" s="582">
        <f>S84-2*FORM!$AM$24-12</f>
        <v>402</v>
      </c>
      <c r="T86" s="582"/>
      <c r="U86" s="582">
        <f>U84-2*FORM!$AM$24-12</f>
        <v>452</v>
      </c>
      <c r="V86" s="582"/>
      <c r="W86" s="582">
        <f>W84-2*FORM!$AM$24-12</f>
        <v>502</v>
      </c>
      <c r="X86" s="582"/>
      <c r="Y86" s="582">
        <f>Y84-2*FORM!$AM$24-12</f>
        <v>552</v>
      </c>
      <c r="Z86" s="582"/>
      <c r="AA86" s="582">
        <f>AA84-2*FORM!$AM$24-12</f>
        <v>652</v>
      </c>
      <c r="AB86" s="582"/>
      <c r="AC86" s="582">
        <f>AC84-2*FORM!$AM$24-12</f>
        <v>752</v>
      </c>
      <c r="AD86" s="582"/>
      <c r="AE86" s="582">
        <f>AE84-2*FORM!$AM$24-12</f>
        <v>852</v>
      </c>
      <c r="AF86" s="582"/>
      <c r="AG86" s="582">
        <f>AG84-2*FORM!$AM$24-12</f>
        <v>952</v>
      </c>
      <c r="AH86" s="582"/>
      <c r="AI86" s="582">
        <f>AI84-2*FORM!$AM$24-12</f>
        <v>1152</v>
      </c>
      <c r="AJ86" s="582"/>
      <c r="AU86" s="319"/>
      <c r="AV86" s="21"/>
      <c r="AW86" s="22"/>
      <c r="AX86" s="22"/>
      <c r="AY86" s="23"/>
      <c r="AZ86" s="326" t="str">
        <f t="shared" si="8"/>
        <v/>
      </c>
      <c r="BA86" s="95"/>
      <c r="BB86" s="95" t="str">
        <f t="shared" si="7"/>
        <v/>
      </c>
      <c r="BD86" s="319">
        <f>OBJ!B284</f>
        <v>9257890</v>
      </c>
      <c r="BE86" s="21" t="str">
        <f>VLOOKUP(BD86,CENY!$B$11:$G$1054,2,FALSE)</f>
        <v>Actro You - Push to open Silent; &lt;10kg</v>
      </c>
      <c r="BF86" s="22">
        <f>VLOOKUP(BD86,CENY!$B$11:$G$1054,3,FALSE)</f>
        <v>1</v>
      </c>
      <c r="BG86" s="22"/>
      <c r="BH86" s="68"/>
      <c r="BI86" s="326" t="str">
        <f t="shared" si="9"/>
        <v/>
      </c>
      <c r="BJ86" s="95">
        <f>VLOOKUP(BD86,CENY!$B$11:$M$2025,12,FALSE)</f>
        <v>23.177009999999999</v>
      </c>
      <c r="BK86" s="95">
        <f t="shared" si="10"/>
        <v>0</v>
      </c>
    </row>
    <row r="87" spans="1:63" ht="14.45" customHeight="1">
      <c r="A87" s="579"/>
      <c r="AR87" s="157" t="str">
        <f>IF(AU98=0,verze!E169&amp;" "&amp;AU96&amp;" "&amp;verze!E170,"")</f>
        <v>Je potrebné vybrať 0 ks vnútorných čiel.</v>
      </c>
      <c r="AU87" s="319">
        <f>OBJ!B214</f>
        <v>0</v>
      </c>
      <c r="AV87" s="21" t="e">
        <f>VLOOKUP(AU87,CENY!$B$11:$G$1054,2,FALSE)</f>
        <v>#N/A</v>
      </c>
      <c r="AW87" s="22" t="e">
        <f>VLOOKUP(AU87,CENY!$B$11:$G$1054,3,FALSE)</f>
        <v>#N/A</v>
      </c>
      <c r="AX87" s="22"/>
      <c r="AY87" s="68">
        <f>IF(FORM!AM21&lt;&gt;FORM!AW16,(2*SUM(AY1:AY4)*(SUM(W20:AD20)+SUM(W22:AF22)+SUM(W28:AD28))),0)</f>
        <v>0</v>
      </c>
      <c r="AZ87" s="326">
        <f t="shared" si="8"/>
        <v>0</v>
      </c>
      <c r="BA87" s="324" t="str">
        <f>IF(AU87=0,"",VLOOKUP(AU87,CENY!$B$11:$M$2025,12,FALSE))</f>
        <v/>
      </c>
      <c r="BB87" s="95" t="str">
        <f>IF(BA87="","",BA87*AY87)</f>
        <v/>
      </c>
      <c r="BD87" s="319">
        <f>OBJ!B285</f>
        <v>9257891</v>
      </c>
      <c r="BE87" s="21" t="str">
        <f>VLOOKUP(BD87,CENY!$B$11:$G$1054,2,FALSE)</f>
        <v>Actro You - Push to open Silent; 8-20kg</v>
      </c>
      <c r="BF87" s="22">
        <f>VLOOKUP(BD87,CENY!$B$11:$G$1054,3,FALSE)</f>
        <v>1</v>
      </c>
      <c r="BG87" s="22"/>
      <c r="BH87" s="68"/>
      <c r="BI87" s="326" t="str">
        <f t="shared" si="9"/>
        <v/>
      </c>
      <c r="BJ87" s="95">
        <f>VLOOKUP(BD87,CENY!$B$11:$M$2025,12,FALSE)</f>
        <v>23.177009999999999</v>
      </c>
      <c r="BK87" s="95">
        <f t="shared" si="10"/>
        <v>0</v>
      </c>
    </row>
    <row r="88" spans="1:63" ht="14.45" customHeight="1">
      <c r="A88" s="579"/>
      <c r="AR88" s="332" t="str">
        <f>IF(AU98=0,"",IF(AU96=AU98,verze!E174,IF(AU99&gt;0,verze!E171&amp;" "&amp;AU99&amp;" "&amp;verze!E170,verze!E172&amp;" "&amp;AU100&amp;" "&amp;verze!E173)))</f>
        <v/>
      </c>
      <c r="AU88" s="319"/>
      <c r="AV88" s="21"/>
      <c r="AW88" s="22"/>
      <c r="AX88" s="22"/>
      <c r="AY88" s="23"/>
      <c r="AZ88" s="326" t="str">
        <f t="shared" si="8"/>
        <v/>
      </c>
      <c r="BA88" s="95"/>
      <c r="BB88" s="95" t="str">
        <f t="shared" si="7"/>
        <v/>
      </c>
      <c r="BD88" s="319">
        <f>OBJ!B286</f>
        <v>9257892</v>
      </c>
      <c r="BE88" s="21" t="str">
        <f>VLOOKUP(BD88,CENY!$B$11:$G$1054,2,FALSE)</f>
        <v>Actro You - Push to open Silent; 10-40kg</v>
      </c>
      <c r="BF88" s="22">
        <f>VLOOKUP(BD88,CENY!$B$11:$G$1054,3,FALSE)</f>
        <v>1</v>
      </c>
      <c r="BG88" s="22"/>
      <c r="BH88" s="68"/>
      <c r="BI88" s="326" t="str">
        <f t="shared" si="9"/>
        <v/>
      </c>
      <c r="BJ88" s="95">
        <f>VLOOKUP(BD88,CENY!$B$11:$M$2025,12,FALSE)</f>
        <v>23.177009999999999</v>
      </c>
      <c r="BK88" s="95">
        <f t="shared" si="10"/>
        <v>0</v>
      </c>
    </row>
    <row r="89" spans="1:63" ht="14.45" customHeight="1">
      <c r="A89" s="579"/>
      <c r="AU89" s="319"/>
      <c r="AV89" s="21"/>
      <c r="AW89" s="22"/>
      <c r="AX89" s="22"/>
      <c r="AY89" s="23"/>
      <c r="AZ89" s="326" t="str">
        <f t="shared" si="8"/>
        <v/>
      </c>
      <c r="BA89" s="95"/>
      <c r="BB89" s="95" t="str">
        <f t="shared" si="7"/>
        <v/>
      </c>
      <c r="BD89" s="319">
        <f>OBJ!B287</f>
        <v>9257893</v>
      </c>
      <c r="BE89" s="21" t="str">
        <f>VLOOKUP(BD89,CENY!$B$11:$G$1054,2,FALSE)</f>
        <v>Actro You - Push to open Silent; 20-70kg</v>
      </c>
      <c r="BF89" s="22">
        <f>VLOOKUP(BD89,CENY!$B$11:$G$1054,3,FALSE)</f>
        <v>1</v>
      </c>
      <c r="BG89" s="22"/>
      <c r="BH89" s="68"/>
      <c r="BI89" s="326" t="str">
        <f t="shared" si="9"/>
        <v/>
      </c>
      <c r="BJ89" s="95">
        <f>VLOOKUP(BD89,CENY!$B$11:$M$2025,12,FALSE)</f>
        <v>23.177009999999999</v>
      </c>
      <c r="BK89" s="95">
        <f t="shared" si="10"/>
        <v>0</v>
      </c>
    </row>
    <row r="90" spans="1:63" ht="14.45" customHeight="1">
      <c r="A90" s="579"/>
      <c r="AU90" s="319">
        <f>OBJ!B194</f>
        <v>9257269</v>
      </c>
      <c r="AV90" s="21" t="str">
        <f>VLOOKUP(AU90,CENY!$B$11:$G$1054,2,FALSE)</f>
        <v>AvanY-čelo vnút.zásuvky /v101/d2000/strieb.</v>
      </c>
      <c r="AW90" s="22">
        <f>VLOOKUP(AU90,CENY!$B$11:$G$1054,3,FALSE)</f>
        <v>1</v>
      </c>
      <c r="AX90" s="22"/>
      <c r="AY90" s="23">
        <f>IF(AU96=0,0,IF(AU102&lt;2000,1,SUM(O79:AJ79)))</f>
        <v>0</v>
      </c>
      <c r="AZ90" s="326">
        <f>IF(AY90="","",IF($AW$4=1,AY90,0))</f>
        <v>0</v>
      </c>
      <c r="BA90" s="95">
        <f>VLOOKUP(AU90,CENY!$B$11:$M$2025,12,FALSE)</f>
        <v>71.34393</v>
      </c>
      <c r="BB90" s="95">
        <f>IF(BA90="","",BA90*AY90)</f>
        <v>0</v>
      </c>
      <c r="BD90" s="319">
        <f>OBJ!B288</f>
        <v>9236718</v>
      </c>
      <c r="BE90" s="21" t="str">
        <f>VLOOKUP(BD90,CENY!$B$11:$G$1054,2,FALSE)</f>
        <v>Push to open Synchro / tyč 2.000 mm</v>
      </c>
      <c r="BF90" s="22">
        <f>VLOOKUP(BD90,CENY!$B$11:$G$1054,3,FALSE)</f>
        <v>100</v>
      </c>
      <c r="BG90" s="22"/>
      <c r="BH90" s="68"/>
      <c r="BI90" s="326" t="str">
        <f t="shared" si="9"/>
        <v/>
      </c>
      <c r="BJ90" s="95">
        <f>VLOOKUP(BD90,CENY!$B$11:$M$2025,12,FALSE)</f>
        <v>8.7567500000000003</v>
      </c>
      <c r="BK90" s="95">
        <f t="shared" si="10"/>
        <v>0</v>
      </c>
    </row>
    <row r="91" spans="1:63" ht="14.45" customHeight="1">
      <c r="A91" s="579"/>
      <c r="AU91" s="319">
        <f>OBJ!B198</f>
        <v>9257611</v>
      </c>
      <c r="AV91" s="21" t="str">
        <f>VLOOKUP(AU91,CENY!$B$11:$G$1054,2,FALSE)</f>
        <v>AvanY-spojky čela vnút.zás./v101/strieb.</v>
      </c>
      <c r="AW91" s="22">
        <f>VLOOKUP(AU91,CENY!$B$11:$G$1054,3,FALSE)</f>
        <v>1</v>
      </c>
      <c r="AX91" s="22"/>
      <c r="AY91" s="23">
        <f>1*(AY1)*(SUM(W20:AD20)+SUM(W22:AF22)+SUM(W28:AD28))</f>
        <v>0</v>
      </c>
      <c r="AZ91" s="326">
        <f>IF(AY91="","",IF($AW$4=1,AY91,0))</f>
        <v>0</v>
      </c>
      <c r="BA91" s="95">
        <f>VLOOKUP(AU91,CENY!$B$11:$M$2025,12,FALSE)</f>
        <v>4.6785699999999997</v>
      </c>
      <c r="BB91" s="95">
        <f>IF(BA91="","",BA91*AY91)</f>
        <v>0</v>
      </c>
      <c r="BD91" s="319"/>
      <c r="BE91" s="21"/>
      <c r="BF91" s="22"/>
      <c r="BG91" s="22"/>
      <c r="BH91" s="23"/>
      <c r="BI91" s="326" t="str">
        <f t="shared" si="9"/>
        <v/>
      </c>
      <c r="BJ91" s="95"/>
      <c r="BK91" s="95" t="str">
        <f t="shared" si="10"/>
        <v/>
      </c>
    </row>
    <row r="92" spans="1:63" ht="14.45" customHeight="1">
      <c r="A92" s="579"/>
      <c r="AU92" s="319">
        <f>OBJ!B196</f>
        <v>9257271</v>
      </c>
      <c r="AV92" s="21" t="str">
        <f>VLOOKUP(AU92,CENY!$B$11:$G$1054,2,FALSE)</f>
        <v>AvanY-čelo vnút.zásuvky /v187/d2000/strieb.</v>
      </c>
      <c r="AW92" s="22">
        <f>VLOOKUP(AU92,CENY!$B$11:$G$1054,3,FALSE)</f>
        <v>1</v>
      </c>
      <c r="AX92" s="22"/>
      <c r="AY92" s="23">
        <f>IF(AW96=0,0,IF(AW102&lt;2000,1,SUM(O80:AJ80)))</f>
        <v>0</v>
      </c>
      <c r="AZ92" s="326">
        <f>IF(AY92="","",IF($AW$4=1,AY92,0))</f>
        <v>0</v>
      </c>
      <c r="BA92" s="95">
        <f>VLOOKUP(AU92,CENY!$B$11:$M$2025,12,FALSE)</f>
        <v>106.6825</v>
      </c>
      <c r="BB92" s="95">
        <f>IF(BA92="","",BA92*AY92)</f>
        <v>0</v>
      </c>
      <c r="BD92" s="319">
        <f>OBJ!B297</f>
        <v>9256944</v>
      </c>
      <c r="BE92" s="21" t="str">
        <f>VLOOKUP(BD92,CENY!$B$11:$G$1054,2,FALSE)</f>
        <v>Quadro You(S) 270/SiSy 10kg; EB21; ľavý</v>
      </c>
      <c r="BF92" s="22">
        <f>VLOOKUP(BD92,CENY!$B$11:$G$1054,3,FALSE)</f>
        <v>20</v>
      </c>
      <c r="BG92" s="22"/>
      <c r="BH92" s="68"/>
      <c r="BI92" s="326" t="str">
        <f t="shared" si="9"/>
        <v/>
      </c>
      <c r="BJ92" s="95">
        <f>VLOOKUP(BD92,CENY!$B$11:$M$2025,12,FALSE)</f>
        <v>10.7646</v>
      </c>
      <c r="BK92" s="95">
        <f t="shared" si="10"/>
        <v>0</v>
      </c>
    </row>
    <row r="93" spans="1:63" ht="14.45" customHeight="1">
      <c r="A93" s="579"/>
      <c r="AU93" s="319">
        <f>OBJ!B200</f>
        <v>9257613</v>
      </c>
      <c r="AV93" s="21" t="str">
        <f>VLOOKUP(AU93,CENY!$B$11:$G$1054,2,FALSE)</f>
        <v>AvanY-spojky čela vnút.zás./v187/strieb.</v>
      </c>
      <c r="AW93" s="22">
        <f>VLOOKUP(AU93,CENY!$B$11:$G$1054,3,FALSE)</f>
        <v>1</v>
      </c>
      <c r="AX93" s="22"/>
      <c r="AY93" s="23">
        <f>1*(AY3)*(SUM(W20:AD20)+SUM(W22:AF22)+SUM(W28:AD28))</f>
        <v>0</v>
      </c>
      <c r="AZ93" s="326">
        <f>IF(AY93="","",IF($AW$4=1,AY93,0))</f>
        <v>0</v>
      </c>
      <c r="BA93" s="95">
        <f>VLOOKUP(AU93,CENY!$B$11:$M$2025,12,FALSE)</f>
        <v>8.1442599999999992</v>
      </c>
      <c r="BB93" s="95">
        <f>IF(BA93="","",BA93*AY93)</f>
        <v>0</v>
      </c>
      <c r="BD93" s="319">
        <f>OBJ!B298</f>
        <v>9256945</v>
      </c>
      <c r="BE93" s="21" t="str">
        <f>VLOOKUP(BD93,CENY!$B$11:$G$1054,2,FALSE)</f>
        <v>Quadro You(S) 270/SiSy 10kg; EB21; pravý</v>
      </c>
      <c r="BF93" s="22">
        <f>VLOOKUP(BD93,CENY!$B$11:$G$1054,3,FALSE)</f>
        <v>20</v>
      </c>
      <c r="BG93" s="22"/>
      <c r="BH93" s="68"/>
      <c r="BI93" s="326" t="str">
        <f t="shared" si="9"/>
        <v/>
      </c>
      <c r="BJ93" s="95">
        <f>VLOOKUP(BD93,CENY!$B$11:$M$2025,12,FALSE)</f>
        <v>10.7646</v>
      </c>
      <c r="BK93" s="95">
        <f t="shared" si="10"/>
        <v>0</v>
      </c>
    </row>
    <row r="94" spans="1:63" ht="14.45" customHeight="1">
      <c r="A94" s="579"/>
      <c r="AU94" s="319"/>
      <c r="AV94" s="21"/>
      <c r="AW94" s="368"/>
      <c r="AX94" s="368"/>
      <c r="AY94" s="369"/>
      <c r="AZ94" s="326" t="str">
        <f t="shared" si="8"/>
        <v/>
      </c>
      <c r="BA94" s="95"/>
      <c r="BB94" s="95" t="str">
        <f t="shared" si="7"/>
        <v/>
      </c>
      <c r="BD94" s="319">
        <f>OBJ!B299</f>
        <v>9256946</v>
      </c>
      <c r="BE94" s="21" t="str">
        <f>VLOOKUP(BD94,CENY!$B$11:$G$1054,2,FALSE)</f>
        <v>Quadro You(S) 300/SiSy 10kg; EB21; ľavý</v>
      </c>
      <c r="BF94" s="22">
        <f>VLOOKUP(BD94,CENY!$B$11:$G$1054,3,FALSE)</f>
        <v>20</v>
      </c>
      <c r="BG94" s="22"/>
      <c r="BH94" s="68"/>
      <c r="BI94" s="326" t="str">
        <f t="shared" si="9"/>
        <v/>
      </c>
      <c r="BJ94" s="95">
        <f>VLOOKUP(BD94,CENY!$B$11:$M$2025,12,FALSE)</f>
        <v>10.787739999999999</v>
      </c>
      <c r="BK94" s="95">
        <f t="shared" si="10"/>
        <v>0</v>
      </c>
    </row>
    <row r="95" spans="1:63" ht="14.45" customHeight="1">
      <c r="A95" s="579"/>
      <c r="AU95" s="372" t="s">
        <v>595</v>
      </c>
      <c r="AV95" s="21"/>
      <c r="AW95" s="613" t="s">
        <v>596</v>
      </c>
      <c r="AX95" s="613"/>
      <c r="AY95" s="613"/>
      <c r="AZ95" s="326" t="str">
        <f t="shared" si="8"/>
        <v/>
      </c>
      <c r="BA95" s="95"/>
      <c r="BB95" s="95" t="str">
        <f t="shared" si="7"/>
        <v/>
      </c>
      <c r="BD95" s="319">
        <f>OBJ!B300</f>
        <v>9256947</v>
      </c>
      <c r="BE95" s="21" t="str">
        <f>VLOOKUP(BD95,CENY!$B$11:$G$1054,2,FALSE)</f>
        <v>Quadro You(S) 300/SiSy 10kg; EB21; pravý</v>
      </c>
      <c r="BF95" s="22">
        <f>VLOOKUP(BD95,CENY!$B$11:$G$1054,3,FALSE)</f>
        <v>20</v>
      </c>
      <c r="BG95" s="22"/>
      <c r="BH95" s="68"/>
      <c r="BI95" s="326" t="str">
        <f t="shared" si="9"/>
        <v/>
      </c>
      <c r="BJ95" s="95">
        <f>VLOOKUP(BD95,CENY!$B$11:$M$2025,12,FALSE)</f>
        <v>10.787739999999999</v>
      </c>
      <c r="BK95" s="95">
        <f t="shared" si="10"/>
        <v>0</v>
      </c>
    </row>
    <row r="96" spans="1:63" ht="14.45" customHeight="1">
      <c r="A96" s="579"/>
      <c r="AU96" s="330">
        <f>1*(AY1)*(SUM(W20:AD20)+SUM(W22:AF22)+SUM(W28:AD28))</f>
        <v>0</v>
      </c>
      <c r="AV96" s="329" t="s">
        <v>356</v>
      </c>
      <c r="AW96" s="612">
        <f>1*(AY3)*(SUM(W20:AD20)+SUM(W22:AF22)+SUM(W28:AD28))</f>
        <v>0</v>
      </c>
      <c r="AX96" s="612"/>
      <c r="AY96" s="612"/>
      <c r="AZ96" s="326" t="str">
        <f t="shared" si="8"/>
        <v/>
      </c>
      <c r="BA96" s="95"/>
      <c r="BB96" s="95" t="str">
        <f t="shared" si="7"/>
        <v/>
      </c>
      <c r="BD96" s="319">
        <f>OBJ!B301</f>
        <v>9256950</v>
      </c>
      <c r="BE96" s="21" t="str">
        <f>VLOOKUP(BD96,CENY!$B$11:$G$1054,2,FALSE)</f>
        <v>Quadro You(S) 350/SiSy 10kg; EB21; ľavý</v>
      </c>
      <c r="BF96" s="22">
        <f>VLOOKUP(BD96,CENY!$B$11:$G$1054,3,FALSE)</f>
        <v>20</v>
      </c>
      <c r="BG96" s="22"/>
      <c r="BH96" s="68"/>
      <c r="BI96" s="326" t="str">
        <f t="shared" si="9"/>
        <v/>
      </c>
      <c r="BJ96" s="95">
        <f>VLOOKUP(BD96,CENY!$B$11:$M$2025,12,FALSE)</f>
        <v>11.02122</v>
      </c>
      <c r="BK96" s="95">
        <f t="shared" si="10"/>
        <v>0</v>
      </c>
    </row>
    <row r="97" spans="1:63" ht="14.45" customHeight="1">
      <c r="A97" s="579"/>
      <c r="AU97" s="20"/>
      <c r="AV97" s="21"/>
      <c r="AW97" s="612"/>
      <c r="AX97" s="612"/>
      <c r="AY97" s="612"/>
      <c r="AZ97" s="326" t="str">
        <f t="shared" si="8"/>
        <v/>
      </c>
      <c r="BA97" s="95"/>
      <c r="BB97" s="95" t="str">
        <f t="shared" si="7"/>
        <v/>
      </c>
      <c r="BD97" s="319">
        <f>OBJ!B302</f>
        <v>9256951</v>
      </c>
      <c r="BE97" s="21" t="str">
        <f>VLOOKUP(BD97,CENY!$B$11:$G$1054,2,FALSE)</f>
        <v>Quadro You(S) 350/SiSy 10kg; EB21; pravý</v>
      </c>
      <c r="BF97" s="22">
        <f>VLOOKUP(BD97,CENY!$B$11:$G$1054,3,FALSE)</f>
        <v>20</v>
      </c>
      <c r="BG97" s="22"/>
      <c r="BH97" s="68"/>
      <c r="BI97" s="326" t="str">
        <f t="shared" si="9"/>
        <v/>
      </c>
      <c r="BJ97" s="95">
        <f>VLOOKUP(BD97,CENY!$B$11:$M$2025,12,FALSE)</f>
        <v>11.02122</v>
      </c>
      <c r="BK97" s="95">
        <f t="shared" si="10"/>
        <v>0</v>
      </c>
    </row>
    <row r="98" spans="1:63" ht="14.45" customHeight="1">
      <c r="A98" s="579"/>
      <c r="AU98" s="331">
        <f>SUM(O85:AJ85)*AY1</f>
        <v>0</v>
      </c>
      <c r="AV98" s="21" t="s">
        <v>357</v>
      </c>
      <c r="AW98" s="612">
        <f>SUM(O85:AJ85)*AY3</f>
        <v>0</v>
      </c>
      <c r="AX98" s="612"/>
      <c r="AY98" s="612"/>
      <c r="AZ98" s="326" t="str">
        <f t="shared" si="8"/>
        <v/>
      </c>
      <c r="BA98" s="95"/>
      <c r="BB98" s="95" t="str">
        <f t="shared" si="7"/>
        <v/>
      </c>
      <c r="BD98" s="319"/>
      <c r="BE98" s="21"/>
      <c r="BF98" s="22"/>
      <c r="BG98" s="22"/>
      <c r="BH98" s="23"/>
      <c r="BI98" s="326" t="str">
        <f t="shared" si="9"/>
        <v/>
      </c>
      <c r="BJ98" s="95"/>
      <c r="BK98" s="95" t="str">
        <f t="shared" si="10"/>
        <v/>
      </c>
    </row>
    <row r="99" spans="1:63" ht="14.45" customHeight="1">
      <c r="A99" s="579"/>
      <c r="AU99" s="22">
        <f>AU96-AU98</f>
        <v>0</v>
      </c>
      <c r="AV99" s="21"/>
      <c r="AW99" s="612">
        <f>AW96-AW98</f>
        <v>0</v>
      </c>
      <c r="AX99" s="612"/>
      <c r="AY99" s="612"/>
      <c r="AZ99" s="326" t="str">
        <f t="shared" si="8"/>
        <v/>
      </c>
      <c r="BA99" s="95"/>
      <c r="BB99" s="95" t="str">
        <f t="shared" si="7"/>
        <v/>
      </c>
      <c r="BD99" s="319">
        <f>OBJ!B312</f>
        <v>9256854</v>
      </c>
      <c r="BE99" s="21" t="str">
        <f>VLOOKUP(BD99,CENY!$B$11:$G$1054,2,FALSE)</f>
        <v>Quadro You(M) 270/SiSy 20kg; EB21; ľavý</v>
      </c>
      <c r="BF99" s="22">
        <f>VLOOKUP(BD99,CENY!$B$11:$G$1054,3,FALSE)</f>
        <v>20</v>
      </c>
      <c r="BG99" s="22"/>
      <c r="BH99" s="68"/>
      <c r="BI99" s="326" t="str">
        <f t="shared" si="9"/>
        <v/>
      </c>
      <c r="BJ99" s="95">
        <f>VLOOKUP(BD99,CENY!$B$11:$M$2025,12,FALSE)</f>
        <v>10.7646</v>
      </c>
      <c r="BK99" s="95">
        <f t="shared" si="10"/>
        <v>0</v>
      </c>
    </row>
    <row r="100" spans="1:63" ht="14.45" customHeight="1">
      <c r="A100" s="579"/>
      <c r="AU100" s="22">
        <f>ABS(AU99)</f>
        <v>0</v>
      </c>
      <c r="AV100" s="21"/>
      <c r="AW100" s="612">
        <f>ABS(AW99)</f>
        <v>0</v>
      </c>
      <c r="AX100" s="612"/>
      <c r="AY100" s="612"/>
      <c r="AZ100" s="326" t="str">
        <f t="shared" si="8"/>
        <v/>
      </c>
      <c r="BA100" s="95"/>
      <c r="BB100" s="95" t="str">
        <f t="shared" si="7"/>
        <v/>
      </c>
      <c r="BD100" s="319">
        <f>OBJ!B313</f>
        <v>9256855</v>
      </c>
      <c r="BE100" s="21" t="str">
        <f>VLOOKUP(BD100,CENY!$B$11:$G$1054,2,FALSE)</f>
        <v>Quadro You(M) 270/SiSy 20kg; EB21; pravý</v>
      </c>
      <c r="BF100" s="22">
        <f>VLOOKUP(BD100,CENY!$B$11:$G$1054,3,FALSE)</f>
        <v>20</v>
      </c>
      <c r="BG100" s="22"/>
      <c r="BH100" s="68"/>
      <c r="BI100" s="326" t="str">
        <f t="shared" si="9"/>
        <v/>
      </c>
      <c r="BJ100" s="95">
        <f>VLOOKUP(BD100,CENY!$B$11:$M$2025,12,FALSE)</f>
        <v>10.7646</v>
      </c>
      <c r="BK100" s="95">
        <f t="shared" si="10"/>
        <v>0</v>
      </c>
    </row>
    <row r="101" spans="1:63">
      <c r="A101" s="579"/>
      <c r="AU101" s="20"/>
      <c r="AV101" s="21"/>
      <c r="AW101" s="612"/>
      <c r="AX101" s="612"/>
      <c r="AY101" s="612"/>
      <c r="AZ101" s="326" t="str">
        <f t="shared" si="8"/>
        <v/>
      </c>
      <c r="BA101" s="95"/>
      <c r="BB101" s="95" t="str">
        <f t="shared" si="7"/>
        <v/>
      </c>
      <c r="BD101" s="319">
        <f>OBJ!B314</f>
        <v>9256856</v>
      </c>
      <c r="BE101" s="21" t="str">
        <f>VLOOKUP(BD101,CENY!$B$11:$G$1054,2,FALSE)</f>
        <v>Quadro You(M) 300/SiSy 20kg; EB21; ľavý</v>
      </c>
      <c r="BF101" s="22">
        <f>VLOOKUP(BD101,CENY!$B$11:$G$1054,3,FALSE)</f>
        <v>20</v>
      </c>
      <c r="BG101" s="22"/>
      <c r="BH101" s="68"/>
      <c r="BI101" s="326" t="str">
        <f t="shared" si="9"/>
        <v/>
      </c>
      <c r="BJ101" s="95">
        <f>VLOOKUP(BD101,CENY!$B$11:$M$2025,12,FALSE)</f>
        <v>10.787739999999999</v>
      </c>
      <c r="BK101" s="95">
        <f t="shared" si="10"/>
        <v>0</v>
      </c>
    </row>
    <row r="102" spans="1:63">
      <c r="A102" s="579"/>
      <c r="AU102" s="22">
        <f>(AU98-1)*4+SUM(O81:AJ81)</f>
        <v>-4</v>
      </c>
      <c r="AV102" s="21" t="s">
        <v>358</v>
      </c>
      <c r="AW102" s="612">
        <f>(AW98-1)*4+SUM(O82:AJ82)</f>
        <v>-4</v>
      </c>
      <c r="AX102" s="612"/>
      <c r="AY102" s="612"/>
      <c r="AZ102" s="326" t="str">
        <f t="shared" si="8"/>
        <v/>
      </c>
      <c r="BA102" s="95"/>
      <c r="BB102" s="95" t="str">
        <f t="shared" si="7"/>
        <v/>
      </c>
      <c r="BD102" s="319">
        <f>OBJ!B315</f>
        <v>9256857</v>
      </c>
      <c r="BE102" s="21" t="str">
        <f>VLOOKUP(BD102,CENY!$B$11:$G$1054,2,FALSE)</f>
        <v>Quadro You(M) 300/SiSy 20kg; EB21; pravý</v>
      </c>
      <c r="BF102" s="22">
        <f>VLOOKUP(BD102,CENY!$B$11:$G$1054,3,FALSE)</f>
        <v>20</v>
      </c>
      <c r="BG102" s="22"/>
      <c r="BH102" s="68"/>
      <c r="BI102" s="326" t="str">
        <f t="shared" si="9"/>
        <v/>
      </c>
      <c r="BJ102" s="95">
        <f>VLOOKUP(BD102,CENY!$B$11:$M$2025,12,FALSE)</f>
        <v>10.787739999999999</v>
      </c>
      <c r="BK102" s="95">
        <f t="shared" si="10"/>
        <v>0</v>
      </c>
    </row>
    <row r="103" spans="1:63">
      <c r="A103" s="579"/>
      <c r="AU103" s="22"/>
      <c r="AV103" s="21"/>
      <c r="AW103" s="370"/>
      <c r="AX103" s="370"/>
      <c r="AY103" s="371"/>
      <c r="AZ103" s="326" t="str">
        <f t="shared" si="8"/>
        <v/>
      </c>
      <c r="BA103" s="95"/>
      <c r="BB103" s="95" t="str">
        <f t="shared" si="7"/>
        <v/>
      </c>
      <c r="BD103" s="319">
        <f>OBJ!B316</f>
        <v>9256860</v>
      </c>
      <c r="BE103" s="21" t="str">
        <f>VLOOKUP(BD103,CENY!$B$11:$G$1054,2,FALSE)</f>
        <v>Quadro You(M) 350/SiSy 25kg; EB21; ľavý</v>
      </c>
      <c r="BF103" s="22">
        <f>VLOOKUP(BD103,CENY!$B$11:$G$1054,3,FALSE)</f>
        <v>20</v>
      </c>
      <c r="BG103" s="22"/>
      <c r="BH103" s="68"/>
      <c r="BI103" s="326" t="str">
        <f t="shared" si="9"/>
        <v/>
      </c>
      <c r="BJ103" s="95">
        <f>VLOOKUP(BD103,CENY!$B$11:$M$2025,12,FALSE)</f>
        <v>11.02122</v>
      </c>
      <c r="BK103" s="95">
        <f t="shared" si="10"/>
        <v>0</v>
      </c>
    </row>
    <row r="104" spans="1:63">
      <c r="A104" s="579"/>
      <c r="AU104" s="20"/>
      <c r="AV104" s="21"/>
      <c r="AW104" s="22"/>
      <c r="AX104" s="22"/>
      <c r="AY104" s="23"/>
      <c r="AZ104" s="326" t="str">
        <f t="shared" si="8"/>
        <v/>
      </c>
      <c r="BA104" s="95"/>
      <c r="BB104" s="95" t="str">
        <f t="shared" si="7"/>
        <v/>
      </c>
      <c r="BD104" s="319">
        <f>OBJ!B317</f>
        <v>9256861</v>
      </c>
      <c r="BE104" s="21" t="str">
        <f>VLOOKUP(BD104,CENY!$B$11:$G$1054,2,FALSE)</f>
        <v>Quadro You(M) 350/SiSy 25kg; EB21; pravý</v>
      </c>
      <c r="BF104" s="22">
        <f>VLOOKUP(BD104,CENY!$B$11:$G$1054,3,FALSE)</f>
        <v>20</v>
      </c>
      <c r="BG104" s="22"/>
      <c r="BH104" s="68"/>
      <c r="BI104" s="326" t="str">
        <f t="shared" si="9"/>
        <v/>
      </c>
      <c r="BJ104" s="95">
        <f>VLOOKUP(BD104,CENY!$B$11:$M$2025,12,FALSE)</f>
        <v>11.02122</v>
      </c>
      <c r="BK104" s="95">
        <f t="shared" si="10"/>
        <v>0</v>
      </c>
    </row>
    <row r="105" spans="1:63">
      <c r="A105" s="579"/>
      <c r="AU105" s="20"/>
      <c r="AV105" s="21"/>
      <c r="AW105" s="22"/>
      <c r="AX105" s="22"/>
      <c r="AY105" s="23"/>
      <c r="AZ105" s="326" t="str">
        <f t="shared" si="8"/>
        <v/>
      </c>
      <c r="BA105" s="95"/>
      <c r="BB105" s="95" t="str">
        <f t="shared" si="7"/>
        <v/>
      </c>
      <c r="BD105" s="319">
        <f>OBJ!B318</f>
        <v>9256864</v>
      </c>
      <c r="BE105" s="21" t="str">
        <f>VLOOKUP(BD105,CENY!$B$11:$G$1054,2,FALSE)</f>
        <v>Quadro You(M) 400/SiSy 30kg; EB21; ľavý</v>
      </c>
      <c r="BF105" s="22">
        <f>VLOOKUP(BD105,CENY!$B$11:$G$1054,3,FALSE)</f>
        <v>20</v>
      </c>
      <c r="BG105" s="22"/>
      <c r="BH105" s="68"/>
      <c r="BI105" s="326" t="str">
        <f t="shared" si="9"/>
        <v/>
      </c>
      <c r="BJ105" s="95">
        <f>VLOOKUP(BD105,CENY!$B$11:$M$2025,12,FALSE)</f>
        <v>11.25459</v>
      </c>
      <c r="BK105" s="95">
        <f t="shared" si="10"/>
        <v>0</v>
      </c>
    </row>
    <row r="106" spans="1:63">
      <c r="AU106" s="20"/>
      <c r="AV106" s="21"/>
      <c r="AW106" s="22"/>
      <c r="AX106" s="22"/>
      <c r="AY106" s="23"/>
      <c r="AZ106" s="326" t="str">
        <f t="shared" si="8"/>
        <v/>
      </c>
      <c r="BA106" s="95"/>
      <c r="BB106" s="95" t="str">
        <f t="shared" si="7"/>
        <v/>
      </c>
      <c r="BD106" s="319">
        <f>OBJ!B319</f>
        <v>9256865</v>
      </c>
      <c r="BE106" s="21" t="str">
        <f>VLOOKUP(BD106,CENY!$B$11:$G$1054,2,FALSE)</f>
        <v>Quadro You(M) 400/SiSy 30kg; EB21; pravý</v>
      </c>
      <c r="BF106" s="22">
        <f>VLOOKUP(BD106,CENY!$B$11:$G$1054,3,FALSE)</f>
        <v>20</v>
      </c>
      <c r="BG106" s="22"/>
      <c r="BH106" s="68"/>
      <c r="BI106" s="326" t="str">
        <f t="shared" si="9"/>
        <v/>
      </c>
      <c r="BJ106" s="95">
        <f>VLOOKUP(BD106,CENY!$B$11:$M$2025,12,FALSE)</f>
        <v>11.25459</v>
      </c>
      <c r="BK106" s="95">
        <f t="shared" si="10"/>
        <v>0</v>
      </c>
    </row>
    <row r="107" spans="1:63">
      <c r="AU107" s="374">
        <f>OBJ!B367</f>
        <v>9099540</v>
      </c>
      <c r="AV107" s="375" t="str">
        <f>VLOOKUP(AU107,CENY!$B$11:$G$1054,2,FALSE)</f>
        <v>SENSYS 8657i 165st. B12,5/TH52</v>
      </c>
      <c r="AW107" s="22">
        <f>VLOOKUP(AU107,CENY!$B$11:$G$1054,3,FALSE)</f>
        <v>50</v>
      </c>
      <c r="AX107" s="22"/>
      <c r="AY107" s="23">
        <f>VLOOKUP(SUM(AY1:AY4),AY154:AZ161,2,FALSE)*(SUM(W20:AD20)+SUM(W22:AF22)+SUM(W28:AD28))*IF(SUM(AA85:AJ85)=0,1,2)</f>
        <v>0</v>
      </c>
      <c r="AZ107" s="326">
        <f t="shared" si="8"/>
        <v>0</v>
      </c>
      <c r="BA107" s="95">
        <f>VLOOKUP(AU107,CENY!$B$11:$M$2025,12,FALSE)</f>
        <v>6.6812800000000001</v>
      </c>
      <c r="BB107" s="95">
        <f t="shared" ref="BB107:BB113" si="11">IF(BA107="","",BA107*AY107)</f>
        <v>0</v>
      </c>
      <c r="BD107" s="319">
        <f>OBJ!B320</f>
        <v>9256868</v>
      </c>
      <c r="BE107" s="21" t="str">
        <f>VLOOKUP(BD107,CENY!$B$11:$G$1054,2,FALSE)</f>
        <v>Quadro You(M) 450/SiSy 30kg; EB21; ľavý</v>
      </c>
      <c r="BF107" s="22">
        <f>VLOOKUP(BD107,CENY!$B$11:$G$1054,3,FALSE)</f>
        <v>20</v>
      </c>
      <c r="BG107" s="22"/>
      <c r="BH107" s="23">
        <f>AY64</f>
        <v>0</v>
      </c>
      <c r="BI107" s="326">
        <f t="shared" si="9"/>
        <v>0</v>
      </c>
      <c r="BJ107" s="95">
        <f>VLOOKUP(BD107,CENY!$B$11:$M$2025,12,FALSE)</f>
        <v>11.487740000000001</v>
      </c>
      <c r="BK107" s="95">
        <f t="shared" si="10"/>
        <v>0</v>
      </c>
    </row>
    <row r="108" spans="1:63">
      <c r="AU108" s="374">
        <f>OBJ!B368</f>
        <v>9099600</v>
      </c>
      <c r="AV108" s="375" t="str">
        <f>VLOOKUP(AU108,CENY!$B$11:$G$1054,2,FALSE)</f>
        <v>SENSYS 8657 165st. B12,5/TH52 (bez SiSy)</v>
      </c>
      <c r="AW108" s="22">
        <f>VLOOKUP(AU108,CENY!$B$11:$G$1054,3,FALSE)</f>
        <v>50</v>
      </c>
      <c r="AX108" s="22"/>
      <c r="AY108" s="68"/>
      <c r="AZ108" s="326" t="str">
        <f t="shared" si="8"/>
        <v/>
      </c>
      <c r="BA108" s="95">
        <f>VLOOKUP(AU108,CENY!$B$11:$M$2025,12,FALSE)</f>
        <v>6.23475</v>
      </c>
      <c r="BB108" s="95">
        <f t="shared" si="11"/>
        <v>0</v>
      </c>
      <c r="BD108" s="319">
        <f>OBJ!B321</f>
        <v>9256869</v>
      </c>
      <c r="BE108" s="21" t="str">
        <f>VLOOKUP(BD108,CENY!$B$11:$G$1054,2,FALSE)</f>
        <v>Quadro You(M) 450/SiSy 30kg; EB21; pravý</v>
      </c>
      <c r="BF108" s="22">
        <f>VLOOKUP(BD108,CENY!$B$11:$G$1054,3,FALSE)</f>
        <v>20</v>
      </c>
      <c r="BG108" s="22"/>
      <c r="BH108" s="23">
        <f>AY64</f>
        <v>0</v>
      </c>
      <c r="BI108" s="326">
        <f t="shared" si="9"/>
        <v>0</v>
      </c>
      <c r="BJ108" s="95">
        <f>VLOOKUP(BD108,CENY!$B$11:$M$2025,12,FALSE)</f>
        <v>11.487740000000001</v>
      </c>
      <c r="BK108" s="95">
        <f t="shared" si="10"/>
        <v>0</v>
      </c>
    </row>
    <row r="109" spans="1:63">
      <c r="AU109" s="374">
        <f>OBJ!B369</f>
        <v>9099660</v>
      </c>
      <c r="AV109" s="375" t="str">
        <f>VLOOKUP(AU109,CENY!$B$11:$G$1054,2,FALSE)</f>
        <v>SENSYS 8687 165st. B12,5/TH52 (pre P2O)</v>
      </c>
      <c r="AW109" s="22">
        <f>VLOOKUP(AU109,CENY!$B$11:$G$1054,3,FALSE)</f>
        <v>50</v>
      </c>
      <c r="AX109" s="22"/>
      <c r="AY109" s="68"/>
      <c r="AZ109" s="326" t="str">
        <f t="shared" si="8"/>
        <v/>
      </c>
      <c r="BA109" s="95">
        <f>VLOOKUP(AU109,CENY!$B$11:$M$2025,12,FALSE)</f>
        <v>6.4656099999999999</v>
      </c>
      <c r="BB109" s="95">
        <f t="shared" si="11"/>
        <v>0</v>
      </c>
      <c r="BD109" s="319">
        <f>OBJ!B322</f>
        <v>9256872</v>
      </c>
      <c r="BE109" s="21" t="str">
        <f>VLOOKUP(BD109,CENY!$B$11:$G$1054,2,FALSE)</f>
        <v>Quadro You(M) 500/SiSy 30kg; EB21; ľavý</v>
      </c>
      <c r="BF109" s="22">
        <f>VLOOKUP(BD109,CENY!$B$11:$G$1054,3,FALSE)</f>
        <v>20</v>
      </c>
      <c r="BG109" s="22"/>
      <c r="BH109" s="23">
        <f>AY65</f>
        <v>0</v>
      </c>
      <c r="BI109" s="326">
        <f t="shared" si="9"/>
        <v>0</v>
      </c>
      <c r="BJ109" s="95">
        <f>VLOOKUP(BD109,CENY!$B$11:$M$2025,12,FALSE)</f>
        <v>11.163180000000001</v>
      </c>
      <c r="BK109" s="95">
        <f t="shared" si="10"/>
        <v>0</v>
      </c>
    </row>
    <row r="110" spans="1:63">
      <c r="AU110" s="374">
        <f>OBJ!B370</f>
        <v>9071576</v>
      </c>
      <c r="AV110" s="375" t="str">
        <f>VLOOKUP(AU110,CENY!$B$11:$G$1054,2,FALSE)</f>
        <v>Podložka SENSYS k naskrut./D=1,5 mm</v>
      </c>
      <c r="AW110" s="22">
        <f>VLOOKUP(AU110,CENY!$B$11:$G$1054,3,FALSE)</f>
        <v>200</v>
      </c>
      <c r="AX110" s="22"/>
      <c r="AY110" s="23">
        <f>AY107</f>
        <v>0</v>
      </c>
      <c r="AZ110" s="326">
        <f t="shared" si="8"/>
        <v>0</v>
      </c>
      <c r="BA110" s="95">
        <f>VLOOKUP(AU110,CENY!$B$11:$M$2025,12,FALSE)</f>
        <v>0.38334000000000001</v>
      </c>
      <c r="BB110" s="95">
        <f t="shared" si="11"/>
        <v>0</v>
      </c>
      <c r="BD110" s="319">
        <f>OBJ!B323</f>
        <v>9256873</v>
      </c>
      <c r="BE110" s="21" t="str">
        <f>VLOOKUP(BD110,CENY!$B$11:$G$1054,2,FALSE)</f>
        <v>Quadro You(M) 500/SiSy 30kg; EB21; pravý</v>
      </c>
      <c r="BF110" s="22">
        <f>VLOOKUP(BD110,CENY!$B$11:$G$1054,3,FALSE)</f>
        <v>20</v>
      </c>
      <c r="BG110" s="22"/>
      <c r="BH110" s="23">
        <f>AY65</f>
        <v>0</v>
      </c>
      <c r="BI110" s="326">
        <f t="shared" si="9"/>
        <v>0</v>
      </c>
      <c r="BJ110" s="95">
        <f>VLOOKUP(BD110,CENY!$B$11:$M$2025,12,FALSE)</f>
        <v>11.163180000000001</v>
      </c>
      <c r="BK110" s="95">
        <f t="shared" si="10"/>
        <v>0</v>
      </c>
    </row>
    <row r="111" spans="1:63">
      <c r="AU111" s="374">
        <f>OBJ!B371</f>
        <v>9071671</v>
      </c>
      <c r="AV111" s="375" t="str">
        <f>VLOOKUP(AU111,CENY!$B$11:$G$1054,2,FALSE)</f>
        <v>Podlož.SENSYS s predm.skr.D=1,5(exc.)</v>
      </c>
      <c r="AW111" s="22">
        <f>VLOOKUP(AU111,CENY!$B$11:$G$1054,3,FALSE)</f>
        <v>200</v>
      </c>
      <c r="AX111" s="22"/>
      <c r="AY111" s="68"/>
      <c r="AZ111" s="326" t="str">
        <f t="shared" si="8"/>
        <v/>
      </c>
      <c r="BA111" s="95">
        <f>VLOOKUP(AU111,CENY!$B$11:$M$2025,12,FALSE)</f>
        <v>0.82479999999999998</v>
      </c>
      <c r="BB111" s="95">
        <f t="shared" si="11"/>
        <v>0</v>
      </c>
      <c r="BD111" s="319">
        <f>OBJ!B324</f>
        <v>9256876</v>
      </c>
      <c r="BE111" s="21" t="str">
        <f>VLOOKUP(BD111,CENY!$B$11:$G$1054,2,FALSE)</f>
        <v>Quadro You(M) 550/SiSy 30kg; EB21; ľavý</v>
      </c>
      <c r="BF111" s="22">
        <f>VLOOKUP(BD111,CENY!$B$11:$G$1054,3,FALSE)</f>
        <v>20</v>
      </c>
      <c r="BG111" s="22"/>
      <c r="BH111" s="23">
        <f>AY66</f>
        <v>0</v>
      </c>
      <c r="BI111" s="326">
        <f t="shared" si="9"/>
        <v>0</v>
      </c>
      <c r="BJ111" s="95">
        <f>VLOOKUP(BD111,CENY!$B$11:$M$2025,12,FALSE)</f>
        <v>11.38542</v>
      </c>
      <c r="BK111" s="95">
        <f t="shared" si="10"/>
        <v>0</v>
      </c>
    </row>
    <row r="112" spans="1:63">
      <c r="AU112" s="20"/>
      <c r="AV112" s="21"/>
      <c r="AW112" s="22"/>
      <c r="AX112" s="22"/>
      <c r="AY112" s="23"/>
      <c r="AZ112" s="326" t="str">
        <f t="shared" si="8"/>
        <v/>
      </c>
      <c r="BA112" s="95"/>
      <c r="BB112" s="95" t="str">
        <f t="shared" si="11"/>
        <v/>
      </c>
      <c r="BD112" s="319">
        <f>OBJ!B325</f>
        <v>9256877</v>
      </c>
      <c r="BE112" s="21" t="str">
        <f>VLOOKUP(BD112,CENY!$B$11:$G$1054,2,FALSE)</f>
        <v>Quadro You(M) 550/SiSy 30kg; EB21; pravý</v>
      </c>
      <c r="BF112" s="22">
        <f>VLOOKUP(BD112,CENY!$B$11:$G$1054,3,FALSE)</f>
        <v>20</v>
      </c>
      <c r="BG112" s="22"/>
      <c r="BH112" s="23">
        <f>AY66</f>
        <v>0</v>
      </c>
      <c r="BI112" s="326">
        <f t="shared" si="9"/>
        <v>0</v>
      </c>
      <c r="BJ112" s="95">
        <f>VLOOKUP(BD112,CENY!$B$11:$M$2025,12,FALSE)</f>
        <v>11.954689999999999</v>
      </c>
      <c r="BK112" s="95">
        <f t="shared" si="10"/>
        <v>0</v>
      </c>
    </row>
    <row r="113" spans="47:63">
      <c r="AU113" s="20"/>
      <c r="AV113" s="21"/>
      <c r="AW113" s="22"/>
      <c r="AX113" s="22"/>
      <c r="AY113" s="23"/>
      <c r="AZ113" s="326" t="str">
        <f t="shared" si="8"/>
        <v/>
      </c>
      <c r="BA113" s="95"/>
      <c r="BB113" s="95" t="str">
        <f t="shared" si="11"/>
        <v/>
      </c>
      <c r="BD113" s="319">
        <f>OBJ!B326</f>
        <v>9256880</v>
      </c>
      <c r="BE113" s="21" t="str">
        <f>VLOOKUP(BD113,CENY!$B$11:$G$1054,2,FALSE)</f>
        <v>Quadro You(M) 600/SiSy 25kg; EB21; ľavý</v>
      </c>
      <c r="BF113" s="22">
        <f>VLOOKUP(BD113,CENY!$B$11:$G$1054,3,FALSE)</f>
        <v>20</v>
      </c>
      <c r="BG113" s="22"/>
      <c r="BH113" s="23">
        <f>AY67</f>
        <v>0</v>
      </c>
      <c r="BI113" s="326">
        <f t="shared" si="9"/>
        <v>0</v>
      </c>
      <c r="BJ113" s="95">
        <f>VLOOKUP(BD113,CENY!$B$11:$M$2025,12,FALSE)</f>
        <v>12.187939999999999</v>
      </c>
      <c r="BK113" s="95">
        <f t="shared" si="10"/>
        <v>0</v>
      </c>
    </row>
    <row r="114" spans="47:63">
      <c r="AU114" s="20"/>
      <c r="AV114" s="21"/>
      <c r="AW114" s="22"/>
      <c r="AX114" s="22"/>
      <c r="AY114" s="23"/>
      <c r="AZ114" s="326" t="str">
        <f t="shared" ref="AZ114:AZ141" si="12">IF(AY114="","",IF($AW$4=1,AY114,0))</f>
        <v/>
      </c>
      <c r="BA114" s="95"/>
      <c r="BB114" s="95" t="str">
        <f t="shared" ref="BB114:BB141" si="13">IF(BA114="","",BA114*AY114)</f>
        <v/>
      </c>
      <c r="BD114" s="319">
        <f>OBJ!B327</f>
        <v>9256881</v>
      </c>
      <c r="BE114" s="21" t="str">
        <f>VLOOKUP(BD114,CENY!$B$11:$G$1054,2,FALSE)</f>
        <v>Quadro You(M) 600/SiSy 25kg; EB21; pravý</v>
      </c>
      <c r="BF114" s="22">
        <f>VLOOKUP(BD114,CENY!$B$11:$G$1054,3,FALSE)</f>
        <v>20</v>
      </c>
      <c r="BG114" s="22"/>
      <c r="BH114" s="23">
        <f>AY67</f>
        <v>0</v>
      </c>
      <c r="BI114" s="326">
        <f t="shared" si="9"/>
        <v>0</v>
      </c>
      <c r="BJ114" s="95">
        <f>VLOOKUP(BD114,CENY!$B$11:$M$2025,12,FALSE)</f>
        <v>12.187939999999999</v>
      </c>
      <c r="BK114" s="95">
        <f t="shared" si="10"/>
        <v>0</v>
      </c>
    </row>
    <row r="115" spans="47:63">
      <c r="AU115" s="20"/>
      <c r="AV115" s="21"/>
      <c r="AW115" s="22"/>
      <c r="AX115" s="22"/>
      <c r="AY115" s="23"/>
      <c r="AZ115" s="326" t="str">
        <f t="shared" si="12"/>
        <v/>
      </c>
      <c r="BA115" s="95"/>
      <c r="BB115" s="95" t="str">
        <f t="shared" si="13"/>
        <v/>
      </c>
      <c r="BD115" s="319"/>
      <c r="BE115" s="21"/>
      <c r="BF115" s="22"/>
      <c r="BG115" s="22"/>
      <c r="BH115" s="23"/>
      <c r="BI115" s="326" t="str">
        <f t="shared" si="9"/>
        <v/>
      </c>
      <c r="BJ115" s="95"/>
      <c r="BK115" s="95" t="str">
        <f t="shared" si="10"/>
        <v/>
      </c>
    </row>
    <row r="116" spans="47:63">
      <c r="AU116" s="20"/>
      <c r="AV116" s="21"/>
      <c r="AW116" s="22"/>
      <c r="AX116" s="22"/>
      <c r="AY116" s="23"/>
      <c r="AZ116" s="326" t="str">
        <f t="shared" si="12"/>
        <v/>
      </c>
      <c r="BA116" s="95"/>
      <c r="BB116" s="95" t="str">
        <f t="shared" si="13"/>
        <v/>
      </c>
      <c r="BD116" s="319">
        <f>OBJ!B329</f>
        <v>9257894</v>
      </c>
      <c r="BE116" s="21" t="str">
        <f>VLOOKUP(BD116,CENY!$B$11:$G$1054,2,FALSE)</f>
        <v>Quadro You - Push to open Silent; &lt;10kg</v>
      </c>
      <c r="BF116" s="22">
        <f>VLOOKUP(BD116,CENY!$B$11:$G$1054,3,FALSE)</f>
        <v>1</v>
      </c>
      <c r="BG116" s="22"/>
      <c r="BH116" s="68"/>
      <c r="BI116" s="326" t="str">
        <f t="shared" si="9"/>
        <v/>
      </c>
      <c r="BJ116" s="95">
        <f>VLOOKUP(BD116,CENY!$B$11:$M$2025,12,FALSE)</f>
        <v>23.114239999999999</v>
      </c>
      <c r="BK116" s="95">
        <f t="shared" si="10"/>
        <v>0</v>
      </c>
    </row>
    <row r="117" spans="47:63">
      <c r="AU117" s="20"/>
      <c r="AV117" s="21"/>
      <c r="AW117" s="22"/>
      <c r="AX117" s="22"/>
      <c r="AY117" s="23"/>
      <c r="AZ117" s="326" t="str">
        <f t="shared" si="12"/>
        <v/>
      </c>
      <c r="BA117" s="95"/>
      <c r="BB117" s="95" t="str">
        <f t="shared" si="13"/>
        <v/>
      </c>
      <c r="BD117" s="319">
        <f>OBJ!B330</f>
        <v>9257895</v>
      </c>
      <c r="BE117" s="21" t="str">
        <f>VLOOKUP(BD117,CENY!$B$11:$G$1054,2,FALSE)</f>
        <v>Quadro You - Push to open Silent; 8-20kg</v>
      </c>
      <c r="BF117" s="22">
        <f>VLOOKUP(BD117,CENY!$B$11:$G$1054,3,FALSE)</f>
        <v>1</v>
      </c>
      <c r="BG117" s="22"/>
      <c r="BH117" s="68"/>
      <c r="BI117" s="326" t="str">
        <f t="shared" si="9"/>
        <v/>
      </c>
      <c r="BJ117" s="95">
        <f>VLOOKUP(BD117,CENY!$B$11:$M$2025,12,FALSE)</f>
        <v>23.114239999999999</v>
      </c>
      <c r="BK117" s="95">
        <f t="shared" si="10"/>
        <v>0</v>
      </c>
    </row>
    <row r="118" spans="47:63">
      <c r="AU118" s="20"/>
      <c r="AV118" s="21"/>
      <c r="AW118" s="22"/>
      <c r="AX118" s="22"/>
      <c r="AY118" s="23"/>
      <c r="AZ118" s="326" t="str">
        <f t="shared" si="12"/>
        <v/>
      </c>
      <c r="BA118" s="95"/>
      <c r="BB118" s="95" t="str">
        <f t="shared" si="13"/>
        <v/>
      </c>
      <c r="BD118" s="319">
        <f>OBJ!B331</f>
        <v>9257896</v>
      </c>
      <c r="BE118" s="21" t="str">
        <f>VLOOKUP(BD118,CENY!$B$11:$G$1054,2,FALSE)</f>
        <v>Quadro You - Push to open Silent; 10-30kg</v>
      </c>
      <c r="BF118" s="22">
        <f>VLOOKUP(BD118,CENY!$B$11:$G$1054,3,FALSE)</f>
        <v>1</v>
      </c>
      <c r="BG118" s="22"/>
      <c r="BH118" s="68"/>
      <c r="BI118" s="326" t="str">
        <f t="shared" si="9"/>
        <v/>
      </c>
      <c r="BJ118" s="95">
        <f>VLOOKUP(BD118,CENY!$B$11:$M$2025,12,FALSE)</f>
        <v>23.114239999999999</v>
      </c>
      <c r="BK118" s="95">
        <f t="shared" si="10"/>
        <v>0</v>
      </c>
    </row>
    <row r="119" spans="47:63">
      <c r="AU119" s="20"/>
      <c r="AV119" s="21"/>
      <c r="AW119" s="22"/>
      <c r="AX119" s="22"/>
      <c r="AY119" s="23"/>
      <c r="AZ119" s="326" t="str">
        <f t="shared" si="12"/>
        <v/>
      </c>
      <c r="BA119" s="95"/>
      <c r="BB119" s="95" t="str">
        <f t="shared" si="13"/>
        <v/>
      </c>
      <c r="BD119" s="319"/>
      <c r="BE119" s="21"/>
      <c r="BF119" s="22"/>
      <c r="BG119" s="22"/>
      <c r="BH119" s="23"/>
      <c r="BI119" s="326" t="str">
        <f t="shared" si="9"/>
        <v/>
      </c>
      <c r="BJ119" s="95"/>
      <c r="BK119" s="95" t="str">
        <f t="shared" si="10"/>
        <v/>
      </c>
    </row>
    <row r="120" spans="47:63">
      <c r="AU120" s="20"/>
      <c r="AV120" s="21"/>
      <c r="AW120" s="22"/>
      <c r="AX120" s="22"/>
      <c r="AY120" s="23"/>
      <c r="AZ120" s="326" t="str">
        <f t="shared" si="12"/>
        <v/>
      </c>
      <c r="BA120" s="95"/>
      <c r="BB120" s="95" t="str">
        <f t="shared" si="13"/>
        <v/>
      </c>
      <c r="BD120" s="319">
        <f>OBJ!B341</f>
        <v>9256899</v>
      </c>
      <c r="BE120" s="21" t="str">
        <f>VLOOKUP(BD120,CENY!$B$11:$G$1054,2,FALSE)</f>
        <v>Quadro You(M) 270/P2O 20kg; EB21; ľavý</v>
      </c>
      <c r="BF120" s="22">
        <f>VLOOKUP(BD120,CENY!$B$11:$G$1054,3,FALSE)</f>
        <v>20</v>
      </c>
      <c r="BG120" s="22"/>
      <c r="BH120" s="68"/>
      <c r="BI120" s="326" t="str">
        <f t="shared" si="9"/>
        <v/>
      </c>
      <c r="BJ120" s="95">
        <f>VLOOKUP(BD120,CENY!$B$11:$M$2025,12,FALSE)</f>
        <v>12.16503</v>
      </c>
      <c r="BK120" s="95">
        <f t="shared" si="10"/>
        <v>0</v>
      </c>
    </row>
    <row r="121" spans="47:63">
      <c r="AU121" s="20"/>
      <c r="AV121" s="21"/>
      <c r="AW121" s="22"/>
      <c r="AX121" s="22"/>
      <c r="AY121" s="23"/>
      <c r="AZ121" s="326" t="str">
        <f t="shared" si="12"/>
        <v/>
      </c>
      <c r="BA121" s="95"/>
      <c r="BB121" s="95" t="str">
        <f t="shared" si="13"/>
        <v/>
      </c>
      <c r="BD121" s="319">
        <f>OBJ!B342</f>
        <v>9256900</v>
      </c>
      <c r="BE121" s="21" t="str">
        <f>VLOOKUP(BD121,CENY!$B$11:$G$1054,2,FALSE)</f>
        <v>Quadro You(M) 270/P2O 20kg; EB21; pravý</v>
      </c>
      <c r="BF121" s="22">
        <f>VLOOKUP(BD121,CENY!$B$11:$G$1054,3,FALSE)</f>
        <v>20</v>
      </c>
      <c r="BG121" s="22"/>
      <c r="BH121" s="68"/>
      <c r="BI121" s="326" t="str">
        <f t="shared" si="9"/>
        <v/>
      </c>
      <c r="BJ121" s="95">
        <f>VLOOKUP(BD121,CENY!$B$11:$M$2025,12,FALSE)</f>
        <v>12.16503</v>
      </c>
      <c r="BK121" s="95">
        <f t="shared" si="10"/>
        <v>0</v>
      </c>
    </row>
    <row r="122" spans="47:63">
      <c r="AU122" s="20"/>
      <c r="AV122" s="21"/>
      <c r="AW122" s="22"/>
      <c r="AX122" s="22"/>
      <c r="AY122" s="23"/>
      <c r="AZ122" s="326" t="str">
        <f t="shared" si="12"/>
        <v/>
      </c>
      <c r="BA122" s="95"/>
      <c r="BB122" s="95" t="str">
        <f t="shared" si="13"/>
        <v/>
      </c>
      <c r="BD122" s="319">
        <f>OBJ!B343</f>
        <v>9256901</v>
      </c>
      <c r="BE122" s="21" t="str">
        <f>VLOOKUP(BD122,CENY!$B$11:$G$1054,2,FALSE)</f>
        <v>Quadro You(M) 300/P2O 20kg; EB21; ľavý</v>
      </c>
      <c r="BF122" s="22">
        <f>VLOOKUP(BD122,CENY!$B$11:$G$1054,3,FALSE)</f>
        <v>20</v>
      </c>
      <c r="BG122" s="22"/>
      <c r="BH122" s="68"/>
      <c r="BI122" s="326" t="str">
        <f t="shared" si="9"/>
        <v/>
      </c>
      <c r="BJ122" s="95">
        <f>VLOOKUP(BD122,CENY!$B$11:$M$2025,12,FALSE)</f>
        <v>12.187939999999999</v>
      </c>
      <c r="BK122" s="95">
        <f t="shared" si="10"/>
        <v>0</v>
      </c>
    </row>
    <row r="123" spans="47:63">
      <c r="AU123" s="20"/>
      <c r="AV123" s="21"/>
      <c r="AW123" s="22"/>
      <c r="AX123" s="22"/>
      <c r="AY123" s="23"/>
      <c r="AZ123" s="326" t="str">
        <f t="shared" si="12"/>
        <v/>
      </c>
      <c r="BA123" s="95"/>
      <c r="BB123" s="95" t="str">
        <f t="shared" si="13"/>
        <v/>
      </c>
      <c r="BD123" s="319">
        <f>OBJ!B344</f>
        <v>9256902</v>
      </c>
      <c r="BE123" s="21" t="str">
        <f>VLOOKUP(BD123,CENY!$B$11:$G$1054,2,FALSE)</f>
        <v>Quadro You(M) 300/P2O 20kg; EB21; pravý</v>
      </c>
      <c r="BF123" s="22">
        <f>VLOOKUP(BD123,CENY!$B$11:$G$1054,3,FALSE)</f>
        <v>20</v>
      </c>
      <c r="BG123" s="22"/>
      <c r="BH123" s="68"/>
      <c r="BI123" s="326" t="str">
        <f t="shared" si="9"/>
        <v/>
      </c>
      <c r="BJ123" s="95">
        <f>VLOOKUP(BD123,CENY!$B$11:$M$2025,12,FALSE)</f>
        <v>12.187939999999999</v>
      </c>
      <c r="BK123" s="95">
        <f t="shared" si="10"/>
        <v>0</v>
      </c>
    </row>
    <row r="124" spans="47:63">
      <c r="AU124" s="20"/>
      <c r="AV124" s="21"/>
      <c r="AW124" s="22"/>
      <c r="AX124" s="22"/>
      <c r="AY124" s="23"/>
      <c r="AZ124" s="326" t="str">
        <f t="shared" si="12"/>
        <v/>
      </c>
      <c r="BA124" s="95"/>
      <c r="BB124" s="95" t="str">
        <f t="shared" si="13"/>
        <v/>
      </c>
      <c r="BD124" s="319">
        <f>OBJ!B345</f>
        <v>9256905</v>
      </c>
      <c r="BE124" s="21" t="str">
        <f>VLOOKUP(BD124,CENY!$B$11:$G$1054,2,FALSE)</f>
        <v>Quadro You(M) 350/P2O 25kg; EB21; ľavý</v>
      </c>
      <c r="BF124" s="22">
        <f>VLOOKUP(BD124,CENY!$B$11:$G$1054,3,FALSE)</f>
        <v>20</v>
      </c>
      <c r="BG124" s="22"/>
      <c r="BH124" s="68"/>
      <c r="BI124" s="326" t="str">
        <f t="shared" si="9"/>
        <v/>
      </c>
      <c r="BJ124" s="95">
        <f>VLOOKUP(BD124,CENY!$B$11:$M$2025,12,FALSE)</f>
        <v>12.42154</v>
      </c>
      <c r="BK124" s="95">
        <f t="shared" si="10"/>
        <v>0</v>
      </c>
    </row>
    <row r="125" spans="47:63">
      <c r="AU125" s="20"/>
      <c r="AV125" s="21"/>
      <c r="AW125" s="22"/>
      <c r="AX125" s="22"/>
      <c r="AY125" s="23"/>
      <c r="AZ125" s="326" t="str">
        <f t="shared" si="12"/>
        <v/>
      </c>
      <c r="BA125" s="95"/>
      <c r="BB125" s="95" t="str">
        <f t="shared" si="13"/>
        <v/>
      </c>
      <c r="BD125" s="319">
        <f>OBJ!B346</f>
        <v>9256906</v>
      </c>
      <c r="BE125" s="21" t="str">
        <f>VLOOKUP(BD125,CENY!$B$11:$G$1054,2,FALSE)</f>
        <v>Quadro You(M) 350/P2O 25kg; EB21; pravý</v>
      </c>
      <c r="BF125" s="22">
        <f>VLOOKUP(BD125,CENY!$B$11:$G$1054,3,FALSE)</f>
        <v>20</v>
      </c>
      <c r="BG125" s="22"/>
      <c r="BH125" s="68"/>
      <c r="BI125" s="326" t="str">
        <f t="shared" si="9"/>
        <v/>
      </c>
      <c r="BJ125" s="95">
        <f>VLOOKUP(BD125,CENY!$B$11:$M$2025,12,FALSE)</f>
        <v>12.42154</v>
      </c>
      <c r="BK125" s="95">
        <f t="shared" si="10"/>
        <v>0</v>
      </c>
    </row>
    <row r="126" spans="47:63">
      <c r="AU126" s="20"/>
      <c r="AV126" s="21"/>
      <c r="AW126" s="22"/>
      <c r="AX126" s="22"/>
      <c r="AY126" s="23"/>
      <c r="AZ126" s="326" t="str">
        <f t="shared" si="12"/>
        <v/>
      </c>
      <c r="BA126" s="95"/>
      <c r="BB126" s="95" t="str">
        <f t="shared" si="13"/>
        <v/>
      </c>
      <c r="BD126" s="319">
        <f>OBJ!B347</f>
        <v>9256909</v>
      </c>
      <c r="BE126" s="21" t="str">
        <f>VLOOKUP(BD126,CENY!$B$11:$G$1054,2,FALSE)</f>
        <v>Quadro You(M) 400/P2O 30kg; EB21; ľavý</v>
      </c>
      <c r="BF126" s="22">
        <f>VLOOKUP(BD126,CENY!$B$11:$G$1054,3,FALSE)</f>
        <v>20</v>
      </c>
      <c r="BG126" s="22"/>
      <c r="BH126" s="68"/>
      <c r="BI126" s="326" t="str">
        <f t="shared" si="9"/>
        <v/>
      </c>
      <c r="BJ126" s="95">
        <f>VLOOKUP(BD126,CENY!$B$11:$M$2025,12,FALSE)</f>
        <v>12.654769999999999</v>
      </c>
      <c r="BK126" s="95">
        <f t="shared" si="10"/>
        <v>0</v>
      </c>
    </row>
    <row r="127" spans="47:63">
      <c r="AU127" s="20"/>
      <c r="AV127" s="21"/>
      <c r="AW127" s="22"/>
      <c r="AX127" s="22"/>
      <c r="AY127" s="23"/>
      <c r="AZ127" s="326" t="str">
        <f t="shared" si="12"/>
        <v/>
      </c>
      <c r="BA127" s="95"/>
      <c r="BB127" s="95" t="str">
        <f t="shared" si="13"/>
        <v/>
      </c>
      <c r="BD127" s="319">
        <f>OBJ!B348</f>
        <v>9256910</v>
      </c>
      <c r="BE127" s="21" t="str">
        <f>VLOOKUP(BD127,CENY!$B$11:$G$1054,2,FALSE)</f>
        <v>Quadro You(M) 400/P2O 30kg; EB21; pravý</v>
      </c>
      <c r="BF127" s="22">
        <f>VLOOKUP(BD127,CENY!$B$11:$G$1054,3,FALSE)</f>
        <v>20</v>
      </c>
      <c r="BG127" s="22"/>
      <c r="BH127" s="68"/>
      <c r="BI127" s="326" t="str">
        <f t="shared" si="9"/>
        <v/>
      </c>
      <c r="BJ127" s="95">
        <f>VLOOKUP(BD127,CENY!$B$11:$M$2025,12,FALSE)</f>
        <v>12.654769999999999</v>
      </c>
      <c r="BK127" s="95">
        <f t="shared" si="10"/>
        <v>0</v>
      </c>
    </row>
    <row r="128" spans="47:63">
      <c r="AU128" s="20"/>
      <c r="AV128" s="21"/>
      <c r="AW128" s="22"/>
      <c r="AX128" s="22"/>
      <c r="AY128" s="23"/>
      <c r="AZ128" s="326" t="str">
        <f t="shared" si="12"/>
        <v/>
      </c>
      <c r="BA128" s="95"/>
      <c r="BB128" s="95" t="str">
        <f t="shared" si="13"/>
        <v/>
      </c>
      <c r="BD128" s="319">
        <f>OBJ!B349</f>
        <v>9256913</v>
      </c>
      <c r="BE128" s="21" t="str">
        <f>VLOOKUP(BD128,CENY!$B$11:$G$1054,2,FALSE)</f>
        <v>Quadro You(M) 450/P2O 30kg; EB21; ľavý</v>
      </c>
      <c r="BF128" s="22">
        <f>VLOOKUP(BD128,CENY!$B$11:$G$1054,3,FALSE)</f>
        <v>20</v>
      </c>
      <c r="BG128" s="22"/>
      <c r="BH128" s="68"/>
      <c r="BI128" s="326" t="str">
        <f t="shared" si="9"/>
        <v/>
      </c>
      <c r="BJ128" s="95">
        <f>VLOOKUP(BD128,CENY!$B$11:$M$2025,12,FALSE)</f>
        <v>12.888019999999999</v>
      </c>
      <c r="BK128" s="95">
        <f t="shared" si="10"/>
        <v>0</v>
      </c>
    </row>
    <row r="129" spans="47:63">
      <c r="AU129" s="20"/>
      <c r="AV129" s="21"/>
      <c r="AW129" s="22"/>
      <c r="AX129" s="22"/>
      <c r="AY129" s="23"/>
      <c r="AZ129" s="326" t="str">
        <f t="shared" si="12"/>
        <v/>
      </c>
      <c r="BA129" s="95"/>
      <c r="BB129" s="95" t="str">
        <f t="shared" si="13"/>
        <v/>
      </c>
      <c r="BD129" s="319">
        <f>OBJ!B350</f>
        <v>9256914</v>
      </c>
      <c r="BE129" s="21" t="str">
        <f>VLOOKUP(BD129,CENY!$B$11:$G$1054,2,FALSE)</f>
        <v>Quadro You(M) 450/P2O 30kg; EB21; pravý</v>
      </c>
      <c r="BF129" s="22">
        <f>VLOOKUP(BD129,CENY!$B$11:$G$1054,3,FALSE)</f>
        <v>20</v>
      </c>
      <c r="BG129" s="22"/>
      <c r="BH129" s="68"/>
      <c r="BI129" s="326" t="str">
        <f t="shared" si="9"/>
        <v/>
      </c>
      <c r="BJ129" s="95">
        <f>VLOOKUP(BD129,CENY!$B$11:$M$2025,12,FALSE)</f>
        <v>12.888019999999999</v>
      </c>
      <c r="BK129" s="95">
        <f t="shared" si="10"/>
        <v>0</v>
      </c>
    </row>
    <row r="130" spans="47:63">
      <c r="AU130" s="20"/>
      <c r="AV130" s="21"/>
      <c r="AW130" s="22"/>
      <c r="AX130" s="22"/>
      <c r="AY130" s="23"/>
      <c r="AZ130" s="326" t="str">
        <f t="shared" si="12"/>
        <v/>
      </c>
      <c r="BA130" s="95"/>
      <c r="BB130" s="95" t="str">
        <f t="shared" si="13"/>
        <v/>
      </c>
      <c r="BD130" s="319">
        <f>OBJ!B351</f>
        <v>9256917</v>
      </c>
      <c r="BE130" s="21" t="str">
        <f>VLOOKUP(BD130,CENY!$B$11:$G$1054,2,FALSE)</f>
        <v>Quadro You(M) 500/P2O 30kg; EB21; ľavý</v>
      </c>
      <c r="BF130" s="22">
        <f>VLOOKUP(BD130,CENY!$B$11:$G$1054,3,FALSE)</f>
        <v>20</v>
      </c>
      <c r="BG130" s="22"/>
      <c r="BH130" s="68"/>
      <c r="BI130" s="326" t="str">
        <f t="shared" si="9"/>
        <v/>
      </c>
      <c r="BJ130" s="95">
        <f>VLOOKUP(BD130,CENY!$B$11:$M$2025,12,FALSE)</f>
        <v>12.496779999999999</v>
      </c>
      <c r="BK130" s="95">
        <f t="shared" si="10"/>
        <v>0</v>
      </c>
    </row>
    <row r="131" spans="47:63">
      <c r="AU131" s="20"/>
      <c r="AV131" s="21"/>
      <c r="AW131" s="22"/>
      <c r="AX131" s="22"/>
      <c r="AY131" s="23"/>
      <c r="AZ131" s="326" t="str">
        <f t="shared" si="12"/>
        <v/>
      </c>
      <c r="BA131" s="95"/>
      <c r="BB131" s="95" t="str">
        <f t="shared" si="13"/>
        <v/>
      </c>
      <c r="BD131" s="319">
        <f>OBJ!B352</f>
        <v>9256918</v>
      </c>
      <c r="BE131" s="21" t="str">
        <f>VLOOKUP(BD131,CENY!$B$11:$G$1054,2,FALSE)</f>
        <v>Quadro You(M) 500/P2O 30kg; EB21; pravý</v>
      </c>
      <c r="BF131" s="22">
        <f>VLOOKUP(BD131,CENY!$B$11:$G$1054,3,FALSE)</f>
        <v>20</v>
      </c>
      <c r="BG131" s="22"/>
      <c r="BH131" s="68"/>
      <c r="BI131" s="326" t="str">
        <f t="shared" si="9"/>
        <v/>
      </c>
      <c r="BJ131" s="95">
        <f>VLOOKUP(BD131,CENY!$B$11:$M$2025,12,FALSE)</f>
        <v>12.496779999999999</v>
      </c>
      <c r="BK131" s="95">
        <f t="shared" si="10"/>
        <v>0</v>
      </c>
    </row>
    <row r="132" spans="47:63">
      <c r="AU132" s="20"/>
      <c r="AV132" s="21"/>
      <c r="AW132" s="22"/>
      <c r="AX132" s="22"/>
      <c r="AY132" s="23"/>
      <c r="AZ132" s="326" t="str">
        <f t="shared" si="12"/>
        <v/>
      </c>
      <c r="BA132" s="95"/>
      <c r="BB132" s="95" t="str">
        <f t="shared" si="13"/>
        <v/>
      </c>
      <c r="BD132" s="319">
        <f>OBJ!B353</f>
        <v>9256921</v>
      </c>
      <c r="BE132" s="21" t="str">
        <f>VLOOKUP(BD132,CENY!$B$11:$G$1054,2,FALSE)</f>
        <v>Quadro You(M) 550/P2O 30kg; EB21; ľavý</v>
      </c>
      <c r="BF132" s="22">
        <f>VLOOKUP(BD132,CENY!$B$11:$G$1054,3,FALSE)</f>
        <v>20</v>
      </c>
      <c r="BG132" s="22"/>
      <c r="BH132" s="68"/>
      <c r="BI132" s="326" t="str">
        <f t="shared" si="9"/>
        <v/>
      </c>
      <c r="BJ132" s="95">
        <f>VLOOKUP(BD132,CENY!$B$11:$M$2025,12,FALSE)</f>
        <v>12.718019999999999</v>
      </c>
      <c r="BK132" s="95">
        <f t="shared" si="10"/>
        <v>0</v>
      </c>
    </row>
    <row r="133" spans="47:63">
      <c r="AU133" s="20"/>
      <c r="AV133" s="21"/>
      <c r="AW133" s="22"/>
      <c r="AX133" s="22"/>
      <c r="AY133" s="23"/>
      <c r="AZ133" s="326" t="str">
        <f t="shared" si="12"/>
        <v/>
      </c>
      <c r="BA133" s="95"/>
      <c r="BB133" s="95" t="str">
        <f t="shared" si="13"/>
        <v/>
      </c>
      <c r="BD133" s="319">
        <f>OBJ!B354</f>
        <v>9256922</v>
      </c>
      <c r="BE133" s="21" t="str">
        <f>VLOOKUP(BD133,CENY!$B$11:$G$1054,2,FALSE)</f>
        <v>Quadro You(M) 550/P2O 30kg; EB21; pravý</v>
      </c>
      <c r="BF133" s="22">
        <f>VLOOKUP(BD133,CENY!$B$11:$G$1054,3,FALSE)</f>
        <v>20</v>
      </c>
      <c r="BG133" s="22"/>
      <c r="BH133" s="68"/>
      <c r="BI133" s="326" t="str">
        <f t="shared" si="9"/>
        <v/>
      </c>
      <c r="BJ133" s="95">
        <f>VLOOKUP(BD133,CENY!$B$11:$M$2025,12,FALSE)</f>
        <v>13.35392</v>
      </c>
      <c r="BK133" s="95">
        <f t="shared" si="10"/>
        <v>0</v>
      </c>
    </row>
    <row r="134" spans="47:63">
      <c r="AU134" s="20"/>
      <c r="AV134" s="21"/>
      <c r="AW134" s="22"/>
      <c r="AX134" s="22"/>
      <c r="AY134" s="23"/>
      <c r="AZ134" s="326" t="str">
        <f t="shared" si="12"/>
        <v/>
      </c>
      <c r="BA134" s="95"/>
      <c r="BB134" s="95" t="str">
        <f t="shared" si="13"/>
        <v/>
      </c>
      <c r="BD134" s="319">
        <f>OBJ!B355</f>
        <v>9256925</v>
      </c>
      <c r="BE134" s="21" t="str">
        <f>VLOOKUP(BD134,CENY!$B$11:$G$1054,2,FALSE)</f>
        <v>Quadro You(M) 600/P2O 25kg; EB21; ľavý</v>
      </c>
      <c r="BF134" s="22">
        <f>VLOOKUP(BD134,CENY!$B$11:$G$1054,3,FALSE)</f>
        <v>20</v>
      </c>
      <c r="BG134" s="22"/>
      <c r="BH134" s="68"/>
      <c r="BI134" s="326" t="str">
        <f t="shared" si="9"/>
        <v/>
      </c>
      <c r="BJ134" s="95">
        <f>VLOOKUP(BD134,CENY!$B$11:$M$2025,12,FALSE)</f>
        <v>13.58704</v>
      </c>
      <c r="BK134" s="95">
        <f t="shared" si="10"/>
        <v>0</v>
      </c>
    </row>
    <row r="135" spans="47:63">
      <c r="AU135" s="20"/>
      <c r="AV135" s="21"/>
      <c r="AW135" s="22"/>
      <c r="AX135" s="22"/>
      <c r="AY135" s="23"/>
      <c r="AZ135" s="326" t="str">
        <f t="shared" si="12"/>
        <v/>
      </c>
      <c r="BA135" s="95"/>
      <c r="BB135" s="95" t="str">
        <f t="shared" si="13"/>
        <v/>
      </c>
      <c r="BD135" s="319">
        <f>OBJ!B356</f>
        <v>9256926</v>
      </c>
      <c r="BE135" s="21" t="str">
        <f>VLOOKUP(BD135,CENY!$B$11:$G$1054,2,FALSE)</f>
        <v>Quadro You(M) 600/P2O 25kg; EB21; pravý</v>
      </c>
      <c r="BF135" s="22">
        <f>VLOOKUP(BD135,CENY!$B$11:$G$1054,3,FALSE)</f>
        <v>20</v>
      </c>
      <c r="BG135" s="22"/>
      <c r="BH135" s="68"/>
      <c r="BI135" s="326" t="str">
        <f t="shared" si="9"/>
        <v/>
      </c>
      <c r="BJ135" s="95">
        <f>VLOOKUP(BD135,CENY!$B$11:$M$2025,12,FALSE)</f>
        <v>13.58704</v>
      </c>
      <c r="BK135" s="95">
        <f t="shared" si="10"/>
        <v>0</v>
      </c>
    </row>
    <row r="136" spans="47:63">
      <c r="AU136" s="20"/>
      <c r="AV136" s="21"/>
      <c r="AW136" s="22"/>
      <c r="AX136" s="22"/>
      <c r="AY136" s="23"/>
      <c r="AZ136" s="326" t="str">
        <f t="shared" si="12"/>
        <v/>
      </c>
      <c r="BA136" s="95"/>
      <c r="BB136" s="95" t="str">
        <f t="shared" si="13"/>
        <v/>
      </c>
      <c r="BD136" s="319"/>
      <c r="BE136" s="21"/>
      <c r="BF136" s="22"/>
      <c r="BG136" s="22"/>
      <c r="BH136" s="23"/>
      <c r="BI136" s="326" t="str">
        <f t="shared" si="9"/>
        <v/>
      </c>
      <c r="BJ136" s="95"/>
      <c r="BK136" s="95" t="str">
        <f t="shared" si="10"/>
        <v/>
      </c>
    </row>
    <row r="137" spans="47:63">
      <c r="AU137" s="20"/>
      <c r="AV137" s="21"/>
      <c r="AW137" s="22"/>
      <c r="AX137" s="22"/>
      <c r="AY137" s="23"/>
      <c r="AZ137" s="326" t="str">
        <f t="shared" si="12"/>
        <v/>
      </c>
      <c r="BA137" s="95"/>
      <c r="BB137" s="95" t="str">
        <f t="shared" si="13"/>
        <v/>
      </c>
      <c r="BD137" s="319">
        <f>OBJ!B358</f>
        <v>9219966</v>
      </c>
      <c r="BE137" s="21" t="str">
        <f>VLOOKUP(BD137,CENY!$B$11:$G$1054,2,FALSE)</f>
        <v>Push to open Synchro / adaptér typ A</v>
      </c>
      <c r="BF137" s="22">
        <f>VLOOKUP(BD137,CENY!$B$11:$G$1054,3,FALSE)</f>
        <v>200</v>
      </c>
      <c r="BG137" s="22"/>
      <c r="BH137" s="68"/>
      <c r="BI137" s="326" t="str">
        <f t="shared" si="9"/>
        <v/>
      </c>
      <c r="BJ137" s="95">
        <f>VLOOKUP(BD137,CENY!$B$11:$M$2025,12,FALSE)</f>
        <v>0.79318999999999995</v>
      </c>
      <c r="BK137" s="95">
        <f t="shared" si="10"/>
        <v>0</v>
      </c>
    </row>
    <row r="138" spans="47:63">
      <c r="AU138" s="20"/>
      <c r="AV138" s="21"/>
      <c r="AW138" s="22"/>
      <c r="AX138" s="22"/>
      <c r="AY138" s="23"/>
      <c r="AZ138" s="326" t="str">
        <f t="shared" si="12"/>
        <v/>
      </c>
      <c r="BA138" s="95"/>
      <c r="BB138" s="95" t="str">
        <f t="shared" si="13"/>
        <v/>
      </c>
      <c r="BD138" s="319"/>
      <c r="BE138" s="21"/>
      <c r="BF138" s="22"/>
      <c r="BG138" s="22"/>
      <c r="BH138" s="23"/>
      <c r="BI138" s="326" t="str">
        <f t="shared" si="9"/>
        <v/>
      </c>
      <c r="BJ138" s="95"/>
      <c r="BK138" s="95" t="str">
        <f t="shared" si="10"/>
        <v/>
      </c>
    </row>
    <row r="139" spans="47:63">
      <c r="AU139" s="20"/>
      <c r="AV139" s="21"/>
      <c r="AW139" s="22"/>
      <c r="AX139" s="22"/>
      <c r="AY139" s="23"/>
      <c r="AZ139" s="326" t="str">
        <f t="shared" si="12"/>
        <v/>
      </c>
      <c r="BA139" s="95"/>
      <c r="BB139" s="95" t="str">
        <f t="shared" si="13"/>
        <v/>
      </c>
      <c r="BD139" s="319">
        <f>OBJ!B214</f>
        <v>0</v>
      </c>
      <c r="BE139" s="21" t="e">
        <f>VLOOKUP(BD139,CENY!$B$11:$G$1054,2,FALSE)</f>
        <v>#N/A</v>
      </c>
      <c r="BF139" s="22" t="e">
        <f>VLOOKUP(BD139,CENY!$B$11:$G$1054,3,FALSE)</f>
        <v>#N/A</v>
      </c>
      <c r="BG139" s="22"/>
      <c r="BH139" s="23">
        <f>AY87</f>
        <v>0</v>
      </c>
      <c r="BI139" s="326">
        <f t="shared" si="9"/>
        <v>0</v>
      </c>
      <c r="BJ139" s="324" t="str">
        <f>IF(BD139=0,"",VLOOKUP(BD139,CENY!$B$11:$M$2025,12,FALSE))</f>
        <v/>
      </c>
      <c r="BK139" s="95" t="str">
        <f t="shared" si="10"/>
        <v/>
      </c>
    </row>
    <row r="140" spans="47:63">
      <c r="AU140" s="20"/>
      <c r="AV140" s="21"/>
      <c r="AW140" s="22"/>
      <c r="AX140" s="22"/>
      <c r="AY140" s="23"/>
      <c r="AZ140" s="326" t="str">
        <f t="shared" si="12"/>
        <v/>
      </c>
      <c r="BA140" s="95"/>
      <c r="BB140" s="95" t="str">
        <f t="shared" si="13"/>
        <v/>
      </c>
      <c r="BD140" s="319"/>
      <c r="BE140" s="21"/>
      <c r="BF140" s="22"/>
      <c r="BG140" s="22"/>
      <c r="BH140" s="23"/>
      <c r="BI140" s="326" t="str">
        <f t="shared" si="9"/>
        <v/>
      </c>
      <c r="BJ140" s="95"/>
      <c r="BK140" s="95" t="str">
        <f t="shared" si="10"/>
        <v/>
      </c>
    </row>
    <row r="141" spans="47:63">
      <c r="AU141" s="20"/>
      <c r="AV141" s="21"/>
      <c r="AW141" s="22"/>
      <c r="AX141" s="22"/>
      <c r="AY141" s="23"/>
      <c r="AZ141" s="326" t="str">
        <f t="shared" si="12"/>
        <v/>
      </c>
      <c r="BA141" s="95"/>
      <c r="BB141" s="95" t="str">
        <f t="shared" si="13"/>
        <v/>
      </c>
      <c r="BD141" s="319"/>
      <c r="BE141" s="21"/>
      <c r="BF141" s="22"/>
      <c r="BG141" s="22"/>
      <c r="BH141" s="23"/>
      <c r="BI141" s="326" t="str">
        <f t="shared" si="9"/>
        <v/>
      </c>
      <c r="BJ141" s="95"/>
      <c r="BK141" s="95" t="str">
        <f t="shared" si="10"/>
        <v/>
      </c>
    </row>
    <row r="142" spans="47:63">
      <c r="AU142" s="319">
        <f>OBJ!B361</f>
        <v>45167</v>
      </c>
      <c r="AV142" s="21" t="str">
        <f>VLOOKUP(AU142,CENY!$B$11:$G$1054,2,FALSE)</f>
        <v>Skrutka s polgul.hlavou 3,5x12mm</v>
      </c>
      <c r="AW142" s="22">
        <f>VLOOKUP(AU142,CENY!$B$11:$G$1054,3,FALSE)</f>
        <v>200</v>
      </c>
      <c r="AX142" s="22"/>
      <c r="AY142" s="23">
        <f>SUMPRODUCT(AX9:AX19,AY9:AY19)</f>
        <v>0</v>
      </c>
      <c r="AZ142" s="326">
        <f t="shared" si="8"/>
        <v>0</v>
      </c>
      <c r="BA142" s="95">
        <f>VLOOKUP(AU142,CENY!$B$11:$M$2025,12,FALSE)</f>
        <v>3.4759999999999999E-2</v>
      </c>
      <c r="BB142" s="95">
        <f>IF(BA142="","",BA142*AY142)</f>
        <v>0</v>
      </c>
      <c r="BC142" s="373" t="s">
        <v>396</v>
      </c>
      <c r="BD142" s="319">
        <f>OBJ!B194</f>
        <v>9257269</v>
      </c>
      <c r="BE142" s="21" t="str">
        <f>VLOOKUP(BD142,CENY!$B$11:$G$1054,2,FALSE)</f>
        <v>AvanY-čelo vnút.zásuvky /v101/d2000/strieb.</v>
      </c>
      <c r="BF142" s="22">
        <f>VLOOKUP(BD142,CENY!$B$11:$G$1054,3,FALSE)</f>
        <v>1</v>
      </c>
      <c r="BG142" s="22"/>
      <c r="BH142" s="23">
        <f>AY90</f>
        <v>0</v>
      </c>
      <c r="BI142" s="326">
        <f t="shared" si="9"/>
        <v>0</v>
      </c>
      <c r="BJ142" s="95">
        <f>VLOOKUP(BD142,CENY!$B$11:$M$2025,12,FALSE)</f>
        <v>71.34393</v>
      </c>
      <c r="BK142" s="95">
        <f t="shared" si="10"/>
        <v>0</v>
      </c>
    </row>
    <row r="143" spans="47:63">
      <c r="AU143" s="319">
        <f>OBJ!B362</f>
        <v>45168</v>
      </c>
      <c r="AV143" s="21" t="str">
        <f>VLOOKUP(AU143,CENY!$B$11:$G$1054,2,FALSE)</f>
        <v>Skrutka s polgul.hlavou 3,5x20mm</v>
      </c>
      <c r="AW143" s="22">
        <f>VLOOKUP(AU143,CENY!$B$11:$G$1054,3,FALSE)</f>
        <v>200</v>
      </c>
      <c r="AX143" s="22"/>
      <c r="AY143" s="360">
        <v>0</v>
      </c>
      <c r="AZ143" s="326">
        <f t="shared" ref="AZ143:AZ146" si="14">IF(AY143="","",IF($AW$4=1,AY143,0))</f>
        <v>0</v>
      </c>
      <c r="BA143" s="95">
        <f>VLOOKUP(AU143,CENY!$B$11:$M$2025,12,FALSE)</f>
        <v>4.9860000000000002E-2</v>
      </c>
      <c r="BB143" s="95">
        <f>IF(BA143="","",BA143*AY143)</f>
        <v>0</v>
      </c>
      <c r="BC143" s="373" t="s">
        <v>397</v>
      </c>
      <c r="BD143" s="319">
        <f>OBJ!B196</f>
        <v>9257271</v>
      </c>
      <c r="BE143" s="21" t="str">
        <f>VLOOKUP(BD143,CENY!$B$11:$G$1054,2,FALSE)</f>
        <v>AvanY-čelo vnút.zásuvky /v187/d2000/strieb.</v>
      </c>
      <c r="BF143" s="22">
        <f>VLOOKUP(BD143,CENY!$B$11:$G$1054,3,FALSE)</f>
        <v>1</v>
      </c>
      <c r="BG143" s="22"/>
      <c r="BH143" s="23">
        <f>AY92</f>
        <v>0</v>
      </c>
      <c r="BI143" s="326">
        <f t="shared" si="9"/>
        <v>0</v>
      </c>
      <c r="BJ143" s="95">
        <f>VLOOKUP(BD143,CENY!$B$11:$M$2025,12,FALSE)</f>
        <v>106.6825</v>
      </c>
      <c r="BK143" s="95">
        <f t="shared" si="10"/>
        <v>0</v>
      </c>
    </row>
    <row r="144" spans="47:63">
      <c r="AU144" s="319">
        <f>OBJ!B363</f>
        <v>9278224</v>
      </c>
      <c r="AV144" s="21" t="str">
        <f>VLOOKUP(AU144,CENY!$B$11:$G$1054,2,FALSE)</f>
        <v>Skrutka s polgul.hlavou 3,5x30mm</v>
      </c>
      <c r="AW144" s="22">
        <f>VLOOKUP(AU144,CENY!$B$11:$G$1054,3,FALSE)</f>
        <v>200</v>
      </c>
      <c r="AX144" s="22"/>
      <c r="AY144" s="360">
        <v>0</v>
      </c>
      <c r="AZ144" s="326">
        <f t="shared" si="14"/>
        <v>0</v>
      </c>
      <c r="BA144" s="95">
        <f>VLOOKUP(AU144,CENY!$B$11:$M$2025,12,FALSE)</f>
        <v>4.299E-2</v>
      </c>
      <c r="BB144" s="95">
        <f>IF(BA144="","",BA144*AY144)</f>
        <v>0</v>
      </c>
      <c r="BC144" s="373" t="s">
        <v>398</v>
      </c>
      <c r="BD144" s="319"/>
      <c r="BE144" s="21"/>
      <c r="BF144" s="22"/>
      <c r="BG144" s="22"/>
      <c r="BH144" s="23"/>
      <c r="BI144" s="326" t="str">
        <f>IF(BH144="","",IF($AW$4=0,BH144,0))</f>
        <v/>
      </c>
      <c r="BJ144" s="95"/>
      <c r="BK144" s="95" t="str">
        <f t="shared" si="10"/>
        <v/>
      </c>
    </row>
    <row r="145" spans="47:63">
      <c r="AU145" s="319">
        <f>OBJ!B364</f>
        <v>9279197</v>
      </c>
      <c r="AV145" s="21" t="str">
        <f>VLOOKUP(AU145,CENY!$B$11:$G$1054,2,FALSE)</f>
        <v>Skrutka s polgul.hlavou M3,5x12mm</v>
      </c>
      <c r="AW145" s="22">
        <f>VLOOKUP(AU145,CENY!$B$11:$G$1054,3,FALSE)</f>
        <v>1000</v>
      </c>
      <c r="AX145" s="22"/>
      <c r="AY145" s="68">
        <v>0</v>
      </c>
      <c r="AZ145" s="326">
        <f t="shared" si="14"/>
        <v>0</v>
      </c>
      <c r="BA145" s="95" t="e">
        <f>VLOOKUP(AU145,CENY!$B$11:$M$2025,12,FALSE)</f>
        <v>#N/A</v>
      </c>
      <c r="BB145" s="95" t="e">
        <f>IF(BA145="","",BA145*AY145)</f>
        <v>#N/A</v>
      </c>
      <c r="BC145" s="373" t="s">
        <v>399</v>
      </c>
      <c r="BD145" s="319">
        <f>OBJ!B203</f>
        <v>9257641</v>
      </c>
      <c r="BE145" s="21" t="str">
        <f>VLOOKUP(BD145,CENY!$B$11:$G$1054,2,FALSE)</f>
        <v>AvanY-stabilizátor čela vnút.zásuvky</v>
      </c>
      <c r="BF145" s="22">
        <f>VLOOKUP(BD145,CENY!$B$11:$G$1054,3,FALSE)</f>
        <v>100</v>
      </c>
      <c r="BG145" s="22"/>
      <c r="BH145" s="23">
        <f>AY91+AY93</f>
        <v>0</v>
      </c>
      <c r="BI145" s="326">
        <f>IF(BH145="","",IF($AW$4=0,BH145,0))</f>
        <v>0</v>
      </c>
      <c r="BJ145" s="95">
        <f>VLOOKUP(BD145,CENY!$B$11:$M$2025,12,FALSE)</f>
        <v>0.52149000000000001</v>
      </c>
      <c r="BK145" s="95">
        <f t="shared" si="10"/>
        <v>0</v>
      </c>
    </row>
    <row r="146" spans="47:63">
      <c r="AU146" s="319">
        <f>OBJ!B365</f>
        <v>9137114</v>
      </c>
      <c r="AV146" s="21" t="str">
        <f>VLOOKUP(AU146,CENY!$B$11:$G$1054,2,FALSE)</f>
        <v>EURO-skrutka  6,0x14mm / niklovaná</v>
      </c>
      <c r="AW146" s="22">
        <f>VLOOKUP(AU146,CENY!$B$11:$G$1054,3,FALSE)</f>
        <v>200</v>
      </c>
      <c r="AX146" s="22"/>
      <c r="AY146" s="23">
        <f>SUMPRODUCT(AX31:AX80,AY31:AY80)</f>
        <v>0</v>
      </c>
      <c r="AZ146" s="326">
        <f t="shared" si="14"/>
        <v>0</v>
      </c>
      <c r="BA146" s="95">
        <f>VLOOKUP(AU146,CENY!$B$11:$M$2025,12,FALSE)</f>
        <v>7.7280000000000001E-2</v>
      </c>
      <c r="BB146" s="95">
        <f>IF(BA146="","",BA146*AY146)</f>
        <v>0</v>
      </c>
      <c r="BC146" s="373" t="s">
        <v>400</v>
      </c>
      <c r="BD146" s="319">
        <f>OBJ!B204</f>
        <v>9257629</v>
      </c>
      <c r="BE146" s="21" t="str">
        <f>VLOOKUP(BD146,CENY!$B$11:$G$1054,2,FALSE)</f>
        <v>AvanY-krytka čela vnút.zás./v101/strieb.</v>
      </c>
      <c r="BF146" s="22">
        <f>VLOOKUP(BD146,CENY!$B$11:$G$1054,3,FALSE)</f>
        <v>200</v>
      </c>
      <c r="BG146" s="22"/>
      <c r="BH146" s="23">
        <f>2*AY91</f>
        <v>0</v>
      </c>
      <c r="BI146" s="326">
        <f>IF(BH146="","",IF($AW$4=0,BH146,0))</f>
        <v>0</v>
      </c>
      <c r="BJ146" s="95">
        <f>VLOOKUP(BD146,CENY!$B$11:$M$2025,12,FALSE)</f>
        <v>0.21284</v>
      </c>
      <c r="BK146" s="95">
        <f t="shared" si="10"/>
        <v>0</v>
      </c>
    </row>
    <row r="147" spans="47:63">
      <c r="AU147" s="20"/>
      <c r="AV147" s="21"/>
      <c r="AW147" s="22"/>
      <c r="AX147" s="22"/>
      <c r="AY147" s="23"/>
      <c r="AZ147" s="326"/>
      <c r="BA147" s="95"/>
      <c r="BB147" s="95"/>
      <c r="BD147" s="319">
        <f>OBJ!B206</f>
        <v>9257631</v>
      </c>
      <c r="BE147" s="21" t="str">
        <f>VLOOKUP(BD147,CENY!$B$11:$G$1054,2,FALSE)</f>
        <v>AvanY-krytka čela vnút.zás./v187/strieb.</v>
      </c>
      <c r="BF147" s="22">
        <f>VLOOKUP(BD147,CENY!$B$11:$G$1054,3,FALSE)</f>
        <v>200</v>
      </c>
      <c r="BG147" s="22"/>
      <c r="BH147" s="23">
        <f>2*AY93</f>
        <v>0</v>
      </c>
      <c r="BI147" s="326">
        <f>IF(BH147="","",IF($AW$4=0,BH147,0))</f>
        <v>0</v>
      </c>
      <c r="BJ147" s="95">
        <f>VLOOKUP(BD147,CENY!$B$11:$M$2025,12,FALSE)</f>
        <v>0.38140000000000002</v>
      </c>
      <c r="BK147" s="95">
        <f t="shared" si="10"/>
        <v>0</v>
      </c>
    </row>
    <row r="148" spans="47:63">
      <c r="AU148" s="20"/>
      <c r="AV148" s="21"/>
      <c r="AW148" s="22"/>
      <c r="AX148" s="22"/>
      <c r="AY148" s="23"/>
      <c r="AZ148" s="326"/>
      <c r="BA148" s="95"/>
      <c r="BB148" s="95"/>
      <c r="BD148" s="319"/>
      <c r="BE148" s="21"/>
      <c r="BF148" s="22"/>
      <c r="BG148" s="22"/>
      <c r="BH148" s="23"/>
      <c r="BI148" s="326" t="str">
        <f t="shared" si="9"/>
        <v/>
      </c>
      <c r="BJ148" s="95"/>
      <c r="BK148" s="95" t="str">
        <f t="shared" si="10"/>
        <v/>
      </c>
    </row>
    <row r="149" spans="47:63">
      <c r="AU149" s="20"/>
      <c r="AV149" s="21"/>
      <c r="AW149" s="22"/>
      <c r="AX149" s="22"/>
      <c r="AY149" s="23"/>
      <c r="AZ149" s="326"/>
      <c r="BA149" s="95"/>
      <c r="BB149" s="95"/>
      <c r="BD149" s="319">
        <f>OBJ!B361</f>
        <v>45167</v>
      </c>
      <c r="BE149" s="21" t="str">
        <f>VLOOKUP(BD149,CENY!$B$11:$G$1054,2,FALSE)</f>
        <v>Skrutka s polgul.hlavou 3,5x12mm</v>
      </c>
      <c r="BF149" s="22">
        <f>VLOOKUP(BD149,CENY!$B$11:$G$1054,3,FALSE)</f>
        <v>200</v>
      </c>
      <c r="BG149" s="22"/>
      <c r="BH149" s="23">
        <f>AY142+BH39*2+BH145</f>
        <v>0</v>
      </c>
      <c r="BI149" s="326">
        <f>IF(BH149="","",IF($AW$4=0,BH149,0))</f>
        <v>0</v>
      </c>
      <c r="BJ149" s="95">
        <f>VLOOKUP(BD149,CENY!$B$11:$M$2025,12,FALSE)</f>
        <v>3.4759999999999999E-2</v>
      </c>
      <c r="BK149" s="95">
        <f t="shared" si="10"/>
        <v>0</v>
      </c>
    </row>
    <row r="150" spans="47:63">
      <c r="AU150" s="20"/>
      <c r="AV150" s="21"/>
      <c r="AW150" s="22"/>
      <c r="AX150" s="22"/>
      <c r="AY150" s="23"/>
      <c r="AZ150" s="326" t="str">
        <f>IF(AY150="","",IF($AW$4=1,AY150,0))</f>
        <v/>
      </c>
      <c r="BA150" s="95"/>
      <c r="BB150" s="95" t="str">
        <f>IF(BA150="","",BA150*AY150)</f>
        <v/>
      </c>
      <c r="BD150" s="319">
        <f>OBJ!B362</f>
        <v>45168</v>
      </c>
      <c r="BE150" s="21" t="str">
        <f>VLOOKUP(BD150,CENY!$B$11:$G$1054,2,FALSE)</f>
        <v>Skrutka s polgul.hlavou 3,5x20mm</v>
      </c>
      <c r="BF150" s="22">
        <f>VLOOKUP(BD150,CENY!$B$11:$G$1054,3,FALSE)</f>
        <v>200</v>
      </c>
      <c r="BG150" s="22"/>
      <c r="BH150" s="360">
        <f>IF(FORM!$AM$8=FORM!$AU$10,BH35*2+BH36*4,0)</f>
        <v>0</v>
      </c>
      <c r="BI150" s="326">
        <f>IF(BH150="","",IF($AW$4=0,BH150,0))</f>
        <v>0</v>
      </c>
      <c r="BJ150" s="95">
        <f>VLOOKUP(BD150,CENY!$B$11:$M$2025,12,FALSE)</f>
        <v>4.9860000000000002E-2</v>
      </c>
      <c r="BK150" s="95">
        <f t="shared" si="10"/>
        <v>0</v>
      </c>
    </row>
    <row r="151" spans="47:63">
      <c r="BD151" s="319">
        <f>OBJ!B363</f>
        <v>9278224</v>
      </c>
      <c r="BE151" s="21" t="str">
        <f>VLOOKUP(BD151,CENY!$B$11:$G$1054,2,FALSE)</f>
        <v>Skrutka s polgul.hlavou 3,5x30mm</v>
      </c>
      <c r="BF151" s="22">
        <f>VLOOKUP(BD151,CENY!$B$11:$G$1054,3,FALSE)</f>
        <v>200</v>
      </c>
      <c r="BG151" s="22"/>
      <c r="BH151" s="360">
        <f>SUM(BH5:BH22)+2*SUM(BH24:BH33)</f>
        <v>0</v>
      </c>
      <c r="BI151" s="326">
        <f>IF(BH151="","",IF($AW$4=0,BH151,0))</f>
        <v>0</v>
      </c>
      <c r="BJ151" s="95">
        <f>VLOOKUP(BD151,CENY!$B$11:$M$2025,12,FALSE)</f>
        <v>4.299E-2</v>
      </c>
      <c r="BK151" s="95">
        <f t="shared" si="10"/>
        <v>0</v>
      </c>
    </row>
    <row r="152" spans="47:63">
      <c r="BD152" s="319">
        <f>OBJ!B364</f>
        <v>9279197</v>
      </c>
      <c r="BE152" s="21" t="str">
        <f>VLOOKUP(BD152,CENY!$B$11:$G$1054,2,FALSE)</f>
        <v>Skrutka s polgul.hlavou M3,5x12mm</v>
      </c>
      <c r="BF152" s="22">
        <f>VLOOKUP(BD152,CENY!$B$11:$G$1054,3,FALSE)</f>
        <v>1000</v>
      </c>
      <c r="BG152" s="22"/>
      <c r="BH152" s="68">
        <f>2*BH37+4*BH38</f>
        <v>0</v>
      </c>
      <c r="BI152" s="326">
        <f>IF(BH152="","",IF($AW$4=0,BH152,0))</f>
        <v>0</v>
      </c>
      <c r="BJ152" s="95" t="e">
        <f>VLOOKUP(BD152,CENY!$B$11:$M$2025,12,FALSE)</f>
        <v>#N/A</v>
      </c>
      <c r="BK152" s="95" t="e">
        <f t="shared" si="10"/>
        <v>#N/A</v>
      </c>
    </row>
    <row r="153" spans="47:63">
      <c r="AW153" s="376"/>
      <c r="AX153" s="377"/>
      <c r="AY153" s="379" t="s">
        <v>261</v>
      </c>
      <c r="AZ153" s="380" t="s">
        <v>262</v>
      </c>
      <c r="BA153" s="377"/>
      <c r="BB153" s="378"/>
      <c r="BD153" s="319">
        <f>OBJ!B365</f>
        <v>9137114</v>
      </c>
      <c r="BE153" s="21" t="str">
        <f>VLOOKUP(BD153,CENY!$B$11:$G$1054,2,FALSE)</f>
        <v>EURO-skrutka  6,0x14mm / niklovaná</v>
      </c>
      <c r="BF153" s="22">
        <f>VLOOKUP(BD153,CENY!$B$11:$G$1054,3,FALSE)</f>
        <v>200</v>
      </c>
      <c r="BG153" s="22"/>
      <c r="BH153" s="23">
        <f>AY146</f>
        <v>0</v>
      </c>
      <c r="BI153" s="326">
        <f>IF(BH153="","",IF($AW$4=0,BH153,0))</f>
        <v>0</v>
      </c>
      <c r="BJ153" s="95">
        <f>VLOOKUP(BD153,CENY!$B$11:$M$2025,12,FALSE)</f>
        <v>7.7280000000000001E-2</v>
      </c>
      <c r="BK153" s="95">
        <f t="shared" si="10"/>
        <v>0</v>
      </c>
    </row>
    <row r="154" spans="47:63">
      <c r="AW154" s="376">
        <v>350</v>
      </c>
      <c r="AX154" s="377"/>
      <c r="AY154" s="378">
        <v>1</v>
      </c>
      <c r="AZ154" s="378">
        <v>2</v>
      </c>
      <c r="BA154" s="377"/>
      <c r="BB154" s="378"/>
      <c r="BD154" s="319"/>
      <c r="BE154" s="21"/>
      <c r="BF154" s="22"/>
      <c r="BG154" s="22"/>
      <c r="BH154" s="23"/>
      <c r="BI154" s="326"/>
      <c r="BJ154" s="95"/>
      <c r="BK154" s="95"/>
    </row>
    <row r="155" spans="47:63">
      <c r="AW155" s="376">
        <v>700</v>
      </c>
      <c r="AX155" s="377"/>
      <c r="AY155" s="378">
        <v>2</v>
      </c>
      <c r="AZ155" s="378">
        <v>2</v>
      </c>
      <c r="BA155" s="377"/>
      <c r="BB155" s="378"/>
      <c r="BD155" s="374">
        <f>OBJ!B367</f>
        <v>9099540</v>
      </c>
      <c r="BE155" s="375" t="str">
        <f>VLOOKUP(BD155,CENY!$B$11:$G$1054,2,FALSE)</f>
        <v>SENSYS 8657i 165st. B12,5/TH52</v>
      </c>
      <c r="BF155" s="22">
        <f>VLOOKUP(BD155,CENY!$B$11:$G$1054,3,FALSE)</f>
        <v>50</v>
      </c>
      <c r="BG155" s="22"/>
      <c r="BH155" s="23">
        <f>AY107</f>
        <v>0</v>
      </c>
      <c r="BI155" s="326">
        <f t="shared" ref="BI155:BI159" si="15">IF(BH155="","",IF($AW$4=0,BH155,0))</f>
        <v>0</v>
      </c>
      <c r="BJ155" s="95">
        <f>VLOOKUP(BD155,CENY!$B$11:$M$2025,12,FALSE)</f>
        <v>6.6812800000000001</v>
      </c>
      <c r="BK155" s="95">
        <f t="shared" ref="BK155:BK159" si="16">IF(BJ155="","",BJ155*BH155)</f>
        <v>0</v>
      </c>
    </row>
    <row r="156" spans="47:63">
      <c r="AW156" s="376">
        <v>1050</v>
      </c>
      <c r="AX156" s="377"/>
      <c r="AY156" s="378">
        <v>3</v>
      </c>
      <c r="AZ156" s="378">
        <v>3</v>
      </c>
      <c r="BA156" s="377"/>
      <c r="BB156" s="378"/>
      <c r="BD156" s="374">
        <f>OBJ!B368</f>
        <v>9099600</v>
      </c>
      <c r="BE156" s="375" t="str">
        <f>VLOOKUP(BD156,CENY!$B$11:$G$1054,2,FALSE)</f>
        <v>SENSYS 8657 165st. B12,5/TH52 (bez SiSy)</v>
      </c>
      <c r="BF156" s="22">
        <f>VLOOKUP(BD156,CENY!$B$11:$G$1054,3,FALSE)</f>
        <v>50</v>
      </c>
      <c r="BG156" s="22"/>
      <c r="BH156" s="68"/>
      <c r="BI156" s="326" t="str">
        <f t="shared" si="15"/>
        <v/>
      </c>
      <c r="BJ156" s="95">
        <f>VLOOKUP(BD156,CENY!$B$11:$M$2025,12,FALSE)</f>
        <v>6.23475</v>
      </c>
      <c r="BK156" s="95">
        <f t="shared" si="16"/>
        <v>0</v>
      </c>
    </row>
    <row r="157" spans="47:63">
      <c r="AW157" s="376">
        <v>1400</v>
      </c>
      <c r="AX157" s="377"/>
      <c r="AY157" s="378">
        <v>4</v>
      </c>
      <c r="AZ157" s="378">
        <v>3</v>
      </c>
      <c r="BA157" s="377"/>
      <c r="BB157" s="378"/>
      <c r="BD157" s="374">
        <f>OBJ!B369</f>
        <v>9099660</v>
      </c>
      <c r="BE157" s="375" t="str">
        <f>VLOOKUP(BD157,CENY!$B$11:$G$1054,2,FALSE)</f>
        <v>SENSYS 8687 165st. B12,5/TH52 (pre P2O)</v>
      </c>
      <c r="BF157" s="22">
        <f>VLOOKUP(BD157,CENY!$B$11:$G$1054,3,FALSE)</f>
        <v>50</v>
      </c>
      <c r="BG157" s="22"/>
      <c r="BH157" s="68"/>
      <c r="BI157" s="326" t="str">
        <f t="shared" si="15"/>
        <v/>
      </c>
      <c r="BJ157" s="95">
        <f>VLOOKUP(BD157,CENY!$B$11:$M$2025,12,FALSE)</f>
        <v>6.4656099999999999</v>
      </c>
      <c r="BK157" s="95">
        <f t="shared" si="16"/>
        <v>0</v>
      </c>
    </row>
    <row r="158" spans="47:63">
      <c r="AW158" s="376">
        <v>1750</v>
      </c>
      <c r="AX158" s="377"/>
      <c r="AY158" s="378">
        <v>5</v>
      </c>
      <c r="AZ158" s="378">
        <v>4</v>
      </c>
      <c r="BA158" s="377"/>
      <c r="BB158" s="378"/>
      <c r="BD158" s="374">
        <f>OBJ!B370</f>
        <v>9071576</v>
      </c>
      <c r="BE158" s="375" t="str">
        <f>VLOOKUP(BD158,CENY!$B$11:$G$1054,2,FALSE)</f>
        <v>Podložka SENSYS k naskrut./D=1,5 mm</v>
      </c>
      <c r="BF158" s="22">
        <f>VLOOKUP(BD158,CENY!$B$11:$G$1054,3,FALSE)</f>
        <v>200</v>
      </c>
      <c r="BG158" s="22"/>
      <c r="BH158" s="23">
        <f>AY110</f>
        <v>0</v>
      </c>
      <c r="BI158" s="326">
        <f t="shared" si="15"/>
        <v>0</v>
      </c>
      <c r="BJ158" s="95">
        <f>VLOOKUP(BD158,CENY!$B$11:$M$2025,12,FALSE)</f>
        <v>0.38334000000000001</v>
      </c>
      <c r="BK158" s="95">
        <f t="shared" si="16"/>
        <v>0</v>
      </c>
    </row>
    <row r="159" spans="47:63">
      <c r="AW159" s="376">
        <v>2100</v>
      </c>
      <c r="AX159" s="377"/>
      <c r="AY159" s="378">
        <v>6</v>
      </c>
      <c r="AZ159" s="378">
        <v>4</v>
      </c>
      <c r="BA159" s="377"/>
      <c r="BB159" s="378"/>
      <c r="BD159" s="374">
        <f>OBJ!B371</f>
        <v>9071671</v>
      </c>
      <c r="BE159" s="375" t="str">
        <f>VLOOKUP(BD159,CENY!$B$11:$G$1054,2,FALSE)</f>
        <v>Podlož.SENSYS s predm.skr.D=1,5(exc.)</v>
      </c>
      <c r="BF159" s="22">
        <f>VLOOKUP(BD159,CENY!$B$11:$G$1054,3,FALSE)</f>
        <v>200</v>
      </c>
      <c r="BG159" s="22"/>
      <c r="BH159" s="68"/>
      <c r="BI159" s="326" t="str">
        <f t="shared" si="15"/>
        <v/>
      </c>
      <c r="BJ159" s="95">
        <f>VLOOKUP(BD159,CENY!$B$11:$M$2025,12,FALSE)</f>
        <v>0.82479999999999998</v>
      </c>
      <c r="BK159" s="95">
        <f t="shared" si="16"/>
        <v>0</v>
      </c>
    </row>
    <row r="160" spans="47:63">
      <c r="AW160" s="376">
        <v>2450</v>
      </c>
      <c r="AX160" s="377"/>
      <c r="AY160" s="378">
        <v>7</v>
      </c>
      <c r="AZ160" s="378">
        <v>5</v>
      </c>
      <c r="BA160" s="377"/>
      <c r="BB160" s="378"/>
    </row>
    <row r="161" spans="49:54">
      <c r="AW161" s="376">
        <v>2800</v>
      </c>
      <c r="AX161" s="377"/>
      <c r="AY161" s="378">
        <v>8</v>
      </c>
      <c r="AZ161" s="378">
        <v>5</v>
      </c>
      <c r="BA161" s="377"/>
      <c r="BB161" s="378"/>
    </row>
  </sheetData>
  <sheetProtection algorithmName="SHA-512" hashValue="OvRhC48skNmpKCodqdi1Zu8WdnQfHB38+DZbiVRE6CEbjyqViKRGxiAXUJh+bH9O/ACvSBj0vupGlh5j7lKKbQ==" saltValue="cugHkA0TJILZsRAV5Htzyg==" spinCount="100000" sheet="1" objects="1" scenarios="1"/>
  <mergeCells count="189">
    <mergeCell ref="AW99:AY99"/>
    <mergeCell ref="AW100:AY100"/>
    <mergeCell ref="AW101:AY101"/>
    <mergeCell ref="AW102:AY102"/>
    <mergeCell ref="AG86:AH86"/>
    <mergeCell ref="AI86:AJ86"/>
    <mergeCell ref="AW95:AY95"/>
    <mergeCell ref="AW96:AY96"/>
    <mergeCell ref="AW97:AY97"/>
    <mergeCell ref="AW98:AY98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AA84:AB84"/>
    <mergeCell ref="AC84:AD84"/>
    <mergeCell ref="AE84:AF84"/>
    <mergeCell ref="AG84:AH84"/>
    <mergeCell ref="AI84:AJ84"/>
    <mergeCell ref="M85:N85"/>
    <mergeCell ref="O85:P85"/>
    <mergeCell ref="Q85:R85"/>
    <mergeCell ref="S85:T85"/>
    <mergeCell ref="U85:V85"/>
    <mergeCell ref="O84:P84"/>
    <mergeCell ref="Q84:R84"/>
    <mergeCell ref="S84:T84"/>
    <mergeCell ref="U84:V84"/>
    <mergeCell ref="W84:X84"/>
    <mergeCell ref="Y84:Z84"/>
    <mergeCell ref="AI85:AJ85"/>
    <mergeCell ref="W85:X85"/>
    <mergeCell ref="Y85:Z85"/>
    <mergeCell ref="AA85:AB85"/>
    <mergeCell ref="AC85:AD85"/>
    <mergeCell ref="AE85:AF85"/>
    <mergeCell ref="AG85:AH85"/>
    <mergeCell ref="AC82:AD82"/>
    <mergeCell ref="AE82:AF82"/>
    <mergeCell ref="AG82:AH82"/>
    <mergeCell ref="AI82:AJ82"/>
    <mergeCell ref="AK82:AL82"/>
    <mergeCell ref="O83:AJ83"/>
    <mergeCell ref="AE81:AF81"/>
    <mergeCell ref="AG81:AH81"/>
    <mergeCell ref="AI81:AJ81"/>
    <mergeCell ref="O82:P82"/>
    <mergeCell ref="Q82:R82"/>
    <mergeCell ref="S82:T82"/>
    <mergeCell ref="U82:V82"/>
    <mergeCell ref="W82:X82"/>
    <mergeCell ref="Y82:Z82"/>
    <mergeCell ref="AA82:AB82"/>
    <mergeCell ref="AC80:AD80"/>
    <mergeCell ref="AG80:AH80"/>
    <mergeCell ref="AI80:AJ80"/>
    <mergeCell ref="O81:P81"/>
    <mergeCell ref="Q81:R81"/>
    <mergeCell ref="S81:T81"/>
    <mergeCell ref="U81:V81"/>
    <mergeCell ref="W81:X81"/>
    <mergeCell ref="Y81:Z81"/>
    <mergeCell ref="AA81:AB81"/>
    <mergeCell ref="AC81:AD81"/>
    <mergeCell ref="AI67:AM67"/>
    <mergeCell ref="AO67:AR67"/>
    <mergeCell ref="O79:P79"/>
    <mergeCell ref="Q79:R79"/>
    <mergeCell ref="S79:T79"/>
    <mergeCell ref="U79:V79"/>
    <mergeCell ref="W79:X79"/>
    <mergeCell ref="Y79:Z79"/>
    <mergeCell ref="AA79:AB79"/>
    <mergeCell ref="AC79:AD79"/>
    <mergeCell ref="AG79:AH79"/>
    <mergeCell ref="AI79:AJ79"/>
    <mergeCell ref="A66:A105"/>
    <mergeCell ref="B67:E67"/>
    <mergeCell ref="G67:K67"/>
    <mergeCell ref="O67:S67"/>
    <mergeCell ref="U67:Y67"/>
    <mergeCell ref="AA67:AE67"/>
    <mergeCell ref="AE79:AF79"/>
    <mergeCell ref="AE80:AF80"/>
    <mergeCell ref="B28:G28"/>
    <mergeCell ref="H28:L28"/>
    <mergeCell ref="M28:N28"/>
    <mergeCell ref="O28:P28"/>
    <mergeCell ref="Q28:R28"/>
    <mergeCell ref="S28:T28"/>
    <mergeCell ref="U28:V28"/>
    <mergeCell ref="W28:X28"/>
    <mergeCell ref="Y28:Z28"/>
    <mergeCell ref="O80:P80"/>
    <mergeCell ref="Q80:R80"/>
    <mergeCell ref="S80:T80"/>
    <mergeCell ref="U80:V80"/>
    <mergeCell ref="W80:X80"/>
    <mergeCell ref="Y80:Z80"/>
    <mergeCell ref="AA80:AB80"/>
    <mergeCell ref="B27:G27"/>
    <mergeCell ref="H27:L27"/>
    <mergeCell ref="M27:N27"/>
    <mergeCell ref="O27:P27"/>
    <mergeCell ref="Q27:R27"/>
    <mergeCell ref="S27:T27"/>
    <mergeCell ref="AA22:AB22"/>
    <mergeCell ref="AC22:AD22"/>
    <mergeCell ref="AA28:AB28"/>
    <mergeCell ref="AC28:AD28"/>
    <mergeCell ref="AE22:AF22"/>
    <mergeCell ref="AQ24:AR24"/>
    <mergeCell ref="O26:P26"/>
    <mergeCell ref="Q26:R26"/>
    <mergeCell ref="S26:T26"/>
    <mergeCell ref="U26:V26"/>
    <mergeCell ref="W26:X26"/>
    <mergeCell ref="Y26:Z26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6:AB26"/>
    <mergeCell ref="AC26:AD26"/>
    <mergeCell ref="U20:V20"/>
    <mergeCell ref="W20:X20"/>
    <mergeCell ref="Y20:Z20"/>
    <mergeCell ref="AA20:AB20"/>
    <mergeCell ref="AC20:AD20"/>
    <mergeCell ref="AE20:AF20"/>
    <mergeCell ref="B20:G20"/>
    <mergeCell ref="H20:L20"/>
    <mergeCell ref="M20:N20"/>
    <mergeCell ref="O20:P20"/>
    <mergeCell ref="Q20:R20"/>
    <mergeCell ref="S20:T20"/>
    <mergeCell ref="AQ18:AR18"/>
    <mergeCell ref="B19:G19"/>
    <mergeCell ref="H19:L19"/>
    <mergeCell ref="M19:N19"/>
    <mergeCell ref="O19:P19"/>
    <mergeCell ref="Q19:R19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12:E12"/>
    <mergeCell ref="F12:I12"/>
    <mergeCell ref="J12:K12"/>
    <mergeCell ref="B13:E13"/>
    <mergeCell ref="F13:I13"/>
    <mergeCell ref="J13:K13"/>
    <mergeCell ref="B9:E9"/>
    <mergeCell ref="F9:K9"/>
    <mergeCell ref="AK9:AP10"/>
    <mergeCell ref="B10:E10"/>
    <mergeCell ref="F10:K10"/>
    <mergeCell ref="B11:E11"/>
    <mergeCell ref="F11:K11"/>
    <mergeCell ref="AO2:AR2"/>
    <mergeCell ref="B6:E6"/>
    <mergeCell ref="F6:K6"/>
    <mergeCell ref="B7:E7"/>
    <mergeCell ref="F7:K7"/>
    <mergeCell ref="B8:E8"/>
    <mergeCell ref="F8:K8"/>
    <mergeCell ref="B2:E2"/>
    <mergeCell ref="G2:K2"/>
    <mergeCell ref="O2:S2"/>
    <mergeCell ref="U2:Y2"/>
    <mergeCell ref="AA2:AE2"/>
    <mergeCell ref="AI2:AM2"/>
  </mergeCells>
  <conditionalFormatting sqref="AZ94:AZ104 AZ147:AZ150 BI5:BI21 AZ20:AZ84 AZ86:AZ89 BI39:BI141 BH25:BI34 BH40:BH98 AY5:AZ19 AY20:AY48 BH13:BH24 BH142:BI144">
    <cfRule type="cellIs" dxfId="178" priority="66" stopIfTrue="1" operator="equal">
      <formula>0</formula>
    </cfRule>
  </conditionalFormatting>
  <conditionalFormatting sqref="AY59 AY72 AY49 AY55">
    <cfRule type="cellIs" dxfId="177" priority="64" stopIfTrue="1" operator="equal">
      <formula>0</formula>
    </cfRule>
  </conditionalFormatting>
  <conditionalFormatting sqref="O17:AF17 W20:AD20 W22:AF22 W28:AD28">
    <cfRule type="expression" dxfId="176" priority="65" stopIfTrue="1">
      <formula>$AW$4=0</formula>
    </cfRule>
  </conditionalFormatting>
  <conditionalFormatting sqref="AY83 AY86 AY88:AY89">
    <cfRule type="cellIs" dxfId="175" priority="63" stopIfTrue="1" operator="equal">
      <formula>0</formula>
    </cfRule>
  </conditionalFormatting>
  <conditionalFormatting sqref="AY103:AY106">
    <cfRule type="cellIs" dxfId="174" priority="62" stopIfTrue="1" operator="equal">
      <formula>0</formula>
    </cfRule>
  </conditionalFormatting>
  <conditionalFormatting sqref="BH39">
    <cfRule type="cellIs" dxfId="173" priority="61" stopIfTrue="1" operator="equal">
      <formula>0</formula>
    </cfRule>
  </conditionalFormatting>
  <conditionalFormatting sqref="AY64:AY68">
    <cfRule type="cellIs" dxfId="172" priority="60" stopIfTrue="1" operator="equal">
      <formula>0</formula>
    </cfRule>
  </conditionalFormatting>
  <conditionalFormatting sqref="AY147:AY150 AY113:AY141">
    <cfRule type="cellIs" dxfId="171" priority="54" stopIfTrue="1" operator="equal">
      <formula>0</formula>
    </cfRule>
  </conditionalFormatting>
  <conditionalFormatting sqref="AY81">
    <cfRule type="cellIs" dxfId="170" priority="59" stopIfTrue="1" operator="equal">
      <formula>0</formula>
    </cfRule>
  </conditionalFormatting>
  <conditionalFormatting sqref="AY84">
    <cfRule type="cellIs" dxfId="169" priority="58" stopIfTrue="1" operator="equal">
      <formula>0</formula>
    </cfRule>
  </conditionalFormatting>
  <conditionalFormatting sqref="AY94">
    <cfRule type="cellIs" dxfId="168" priority="57" stopIfTrue="1" operator="equal">
      <formula>0</formula>
    </cfRule>
  </conditionalFormatting>
  <conditionalFormatting sqref="BH115 BH119">
    <cfRule type="cellIs" dxfId="167" priority="56" stopIfTrue="1" operator="equal">
      <formula>0</formula>
    </cfRule>
  </conditionalFormatting>
  <conditionalFormatting sqref="BH136 BH140:BH141 BH148 BH154 BH138">
    <cfRule type="cellIs" dxfId="166" priority="55" stopIfTrue="1" operator="equal">
      <formula>0</formula>
    </cfRule>
  </conditionalFormatting>
  <conditionalFormatting sqref="BH105:BH114">
    <cfRule type="cellIs" dxfId="165" priority="53" stopIfTrue="1" operator="equal">
      <formula>0</formula>
    </cfRule>
  </conditionalFormatting>
  <conditionalFormatting sqref="BH139">
    <cfRule type="cellIs" dxfId="164" priority="51" stopIfTrue="1" operator="equal">
      <formula>0</formula>
    </cfRule>
  </conditionalFormatting>
  <conditionalFormatting sqref="AY87">
    <cfRule type="cellIs" dxfId="163" priority="52" stopIfTrue="1" operator="equal">
      <formula>0</formula>
    </cfRule>
  </conditionalFormatting>
  <conditionalFormatting sqref="F13:K13">
    <cfRule type="expression" dxfId="162" priority="50" stopIfTrue="1">
      <formula>$AW$4=1</formula>
    </cfRule>
  </conditionalFormatting>
  <conditionalFormatting sqref="BI148 BI154">
    <cfRule type="cellIs" dxfId="161" priority="49" stopIfTrue="1" operator="equal">
      <formula>0</formula>
    </cfRule>
  </conditionalFormatting>
  <conditionalFormatting sqref="AZ90:AZ91">
    <cfRule type="cellIs" dxfId="160" priority="48" stopIfTrue="1" operator="equal">
      <formula>0</formula>
    </cfRule>
  </conditionalFormatting>
  <conditionalFormatting sqref="AY90:AY91">
    <cfRule type="cellIs" dxfId="159" priority="47" stopIfTrue="1" operator="equal">
      <formula>0</formula>
    </cfRule>
  </conditionalFormatting>
  <conditionalFormatting sqref="BH145:BH146">
    <cfRule type="cellIs" dxfId="158" priority="46" stopIfTrue="1" operator="equal">
      <formula>0</formula>
    </cfRule>
  </conditionalFormatting>
  <conditionalFormatting sqref="BI145:BI146">
    <cfRule type="cellIs" dxfId="157" priority="45" stopIfTrue="1" operator="equal">
      <formula>0</formula>
    </cfRule>
  </conditionalFormatting>
  <conditionalFormatting sqref="AR88">
    <cfRule type="expression" dxfId="156" priority="44" stopIfTrue="1">
      <formula>$AU$96=AU98</formula>
    </cfRule>
  </conditionalFormatting>
  <conditionalFormatting sqref="AZ142:AZ146">
    <cfRule type="cellIs" dxfId="155" priority="43" stopIfTrue="1" operator="equal">
      <formula>0</formula>
    </cfRule>
  </conditionalFormatting>
  <conditionalFormatting sqref="AY142:AY146">
    <cfRule type="cellIs" dxfId="154" priority="42" stopIfTrue="1" operator="equal">
      <formula>0</formula>
    </cfRule>
  </conditionalFormatting>
  <conditionalFormatting sqref="BH149 BH152:BH153">
    <cfRule type="cellIs" dxfId="153" priority="41" stopIfTrue="1" operator="equal">
      <formula>0</formula>
    </cfRule>
  </conditionalFormatting>
  <conditionalFormatting sqref="BI149:BI153">
    <cfRule type="cellIs" dxfId="152" priority="40" stopIfTrue="1" operator="equal">
      <formula>0</formula>
    </cfRule>
  </conditionalFormatting>
  <conditionalFormatting sqref="BH150:BH151">
    <cfRule type="cellIs" dxfId="151" priority="39" stopIfTrue="1" operator="equal">
      <formula>0</formula>
    </cfRule>
  </conditionalFormatting>
  <conditionalFormatting sqref="AY50:AY54">
    <cfRule type="cellIs" dxfId="150" priority="38" stopIfTrue="1" operator="equal">
      <formula>0</formula>
    </cfRule>
  </conditionalFormatting>
  <conditionalFormatting sqref="AY56:AY58">
    <cfRule type="cellIs" dxfId="149" priority="37" stopIfTrue="1" operator="equal">
      <formula>0</formula>
    </cfRule>
  </conditionalFormatting>
  <conditionalFormatting sqref="AY60:AY62">
    <cfRule type="cellIs" dxfId="148" priority="36" stopIfTrue="1" operator="equal">
      <formula>0</formula>
    </cfRule>
  </conditionalFormatting>
  <conditionalFormatting sqref="AY69:AY71">
    <cfRule type="cellIs" dxfId="147" priority="35" stopIfTrue="1" operator="equal">
      <formula>0</formula>
    </cfRule>
  </conditionalFormatting>
  <conditionalFormatting sqref="AY73:AY74">
    <cfRule type="cellIs" dxfId="146" priority="34" stopIfTrue="1" operator="equal">
      <formula>0</formula>
    </cfRule>
  </conditionalFormatting>
  <conditionalFormatting sqref="AY75">
    <cfRule type="cellIs" dxfId="145" priority="33" stopIfTrue="1" operator="equal">
      <formula>0</formula>
    </cfRule>
  </conditionalFormatting>
  <conditionalFormatting sqref="AY76:AY80">
    <cfRule type="cellIs" dxfId="144" priority="32" stopIfTrue="1" operator="equal">
      <formula>0</formula>
    </cfRule>
  </conditionalFormatting>
  <conditionalFormatting sqref="AY82">
    <cfRule type="cellIs" dxfId="143" priority="31" stopIfTrue="1" operator="equal">
      <formula>0</formula>
    </cfRule>
  </conditionalFormatting>
  <conditionalFormatting sqref="BH5:BH10">
    <cfRule type="cellIs" dxfId="142" priority="30" stopIfTrue="1" operator="equal">
      <formula>0</formula>
    </cfRule>
  </conditionalFormatting>
  <conditionalFormatting sqref="BH99:BH106">
    <cfRule type="cellIs" dxfId="141" priority="29" stopIfTrue="1" operator="equal">
      <formula>0</formula>
    </cfRule>
  </conditionalFormatting>
  <conditionalFormatting sqref="BH116:BH118">
    <cfRule type="cellIs" dxfId="140" priority="28" stopIfTrue="1" operator="equal">
      <formula>0</formula>
    </cfRule>
  </conditionalFormatting>
  <conditionalFormatting sqref="BH120:BH135">
    <cfRule type="cellIs" dxfId="139" priority="27" stopIfTrue="1" operator="equal">
      <formula>0</formula>
    </cfRule>
  </conditionalFormatting>
  <conditionalFormatting sqref="BH137">
    <cfRule type="cellIs" dxfId="138" priority="26" stopIfTrue="1" operator="equal">
      <formula>0</formula>
    </cfRule>
  </conditionalFormatting>
  <conditionalFormatting sqref="AZ85">
    <cfRule type="cellIs" dxfId="137" priority="25" stopIfTrue="1" operator="equal">
      <formula>0</formula>
    </cfRule>
  </conditionalFormatting>
  <conditionalFormatting sqref="AY85">
    <cfRule type="cellIs" dxfId="136" priority="24" stopIfTrue="1" operator="equal">
      <formula>0</formula>
    </cfRule>
  </conditionalFormatting>
  <conditionalFormatting sqref="BH37:BI38">
    <cfRule type="cellIs" dxfId="135" priority="23" stopIfTrue="1" operator="equal">
      <formula>0</formula>
    </cfRule>
  </conditionalFormatting>
  <conditionalFormatting sqref="BH35:BI36">
    <cfRule type="cellIs" dxfId="134" priority="22" stopIfTrue="1" operator="equal">
      <formula>0</formula>
    </cfRule>
  </conditionalFormatting>
  <conditionalFormatting sqref="AY63">
    <cfRule type="cellIs" dxfId="133" priority="21" stopIfTrue="1" operator="equal">
      <formula>0</formula>
    </cfRule>
  </conditionalFormatting>
  <conditionalFormatting sqref="BH11:BH12">
    <cfRule type="cellIs" dxfId="132" priority="20" stopIfTrue="1" operator="equal">
      <formula>0</formula>
    </cfRule>
  </conditionalFormatting>
  <conditionalFormatting sqref="AZ92:AZ93">
    <cfRule type="cellIs" dxfId="131" priority="19" stopIfTrue="1" operator="equal">
      <formula>0</formula>
    </cfRule>
  </conditionalFormatting>
  <conditionalFormatting sqref="AY92:AY93">
    <cfRule type="cellIs" dxfId="130" priority="18" stopIfTrue="1" operator="equal">
      <formula>0</formula>
    </cfRule>
  </conditionalFormatting>
  <conditionalFormatting sqref="BI22:BI24">
    <cfRule type="cellIs" dxfId="129" priority="17" stopIfTrue="1" operator="equal">
      <formula>0</formula>
    </cfRule>
  </conditionalFormatting>
  <conditionalFormatting sqref="BH147">
    <cfRule type="cellIs" dxfId="128" priority="16" stopIfTrue="1" operator="equal">
      <formula>0</formula>
    </cfRule>
  </conditionalFormatting>
  <conditionalFormatting sqref="BI147">
    <cfRule type="cellIs" dxfId="127" priority="15" stopIfTrue="1" operator="equal">
      <formula>0</formula>
    </cfRule>
  </conditionalFormatting>
  <conditionalFormatting sqref="AY113:AY114">
    <cfRule type="cellIs" dxfId="126" priority="13" stopIfTrue="1" operator="equal">
      <formula>0</formula>
    </cfRule>
  </conditionalFormatting>
  <conditionalFormatting sqref="AY107 AY110 AY112">
    <cfRule type="cellIs" dxfId="125" priority="12" stopIfTrue="1" operator="equal">
      <formula>0</formula>
    </cfRule>
  </conditionalFormatting>
  <conditionalFormatting sqref="BI155:BI159">
    <cfRule type="cellIs" dxfId="124" priority="11" stopIfTrue="1" operator="equal">
      <formula>0</formula>
    </cfRule>
  </conditionalFormatting>
  <conditionalFormatting sqref="BH155">
    <cfRule type="cellIs" dxfId="123" priority="10" stopIfTrue="1" operator="equal">
      <formula>0</formula>
    </cfRule>
  </conditionalFormatting>
  <conditionalFormatting sqref="AY108:AY109">
    <cfRule type="cellIs" dxfId="122" priority="9" stopIfTrue="1" operator="equal">
      <formula>0</formula>
    </cfRule>
  </conditionalFormatting>
  <conditionalFormatting sqref="AY111">
    <cfRule type="cellIs" dxfId="121" priority="8" stopIfTrue="1" operator="equal">
      <formula>0</formula>
    </cfRule>
  </conditionalFormatting>
  <conditionalFormatting sqref="AZ114:AZ141">
    <cfRule type="cellIs" dxfId="120" priority="3" stopIfTrue="1" operator="equal">
      <formula>0</formula>
    </cfRule>
  </conditionalFormatting>
  <conditionalFormatting sqref="BH156:BH157">
    <cfRule type="cellIs" dxfId="119" priority="6" stopIfTrue="1" operator="equal">
      <formula>0</formula>
    </cfRule>
  </conditionalFormatting>
  <conditionalFormatting sqref="BH159">
    <cfRule type="cellIs" dxfId="118" priority="5" stopIfTrue="1" operator="equal">
      <formula>0</formula>
    </cfRule>
  </conditionalFormatting>
  <conditionalFormatting sqref="BH158">
    <cfRule type="cellIs" dxfId="117" priority="4" stopIfTrue="1" operator="equal">
      <formula>0</formula>
    </cfRule>
  </conditionalFormatting>
  <conditionalFormatting sqref="AZ114:AZ141">
    <cfRule type="cellIs" dxfId="116" priority="2" stopIfTrue="1" operator="equal">
      <formula>0</formula>
    </cfRule>
  </conditionalFormatting>
  <conditionalFormatting sqref="AZ105:AZ113">
    <cfRule type="cellIs" dxfId="115" priority="1" stopIfTrue="1" operator="equal">
      <formula>0</formula>
    </cfRule>
  </conditionalFormatting>
  <hyperlinks>
    <hyperlink ref="M4" location="MENU!A1" display="MENU!A1" xr:uid="{00000000-0004-0000-1600-000000000000}"/>
    <hyperlink ref="M10" location="OBJ!A1" display="OBJ!A1" xr:uid="{00000000-0004-0000-1600-000001000000}"/>
    <hyperlink ref="M9" location="suhrn!A1" display="suhrn!A1" xr:uid="{00000000-0004-0000-1600-000002000000}"/>
    <hyperlink ref="O2:S2" location="MENU!A5" display="MENU!A5" xr:uid="{00000000-0004-0000-1600-000003000000}"/>
    <hyperlink ref="M69" location="MENU!A1" display="MENU!A1" xr:uid="{00000000-0004-0000-1600-000004000000}"/>
    <hyperlink ref="B67:E67" location="'potr-o101+187'!A1" display="'potr-o101+187'!A1" xr:uid="{00000000-0004-0000-1600-000005000000}"/>
    <hyperlink ref="AK9:AO10" location="'IT70(vn100)'!A66" display="'IT70(vn100)'!A66" xr:uid="{00000000-0004-0000-1600-000006000000}"/>
    <hyperlink ref="AK9:AP10" location="'potr-o101+187'!A66" display="'potr-o101+187'!A66" xr:uid="{00000000-0004-0000-16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ignoredErrors>
    <ignoredError sqref="BB107 BB110 AY110" evalError="1"/>
    <ignoredError sqref="AY142" formulaRange="1"/>
  </ignoredErrors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62">
    <tabColor theme="1"/>
  </sheetPr>
  <dimension ref="A1:BK161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51.37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3" width="9" style="86" hidden="1" customWidth="1"/>
    <col min="54" max="54" width="9.125" style="86" hidden="1" customWidth="1"/>
    <col min="55" max="55" width="2.625" style="86" hidden="1" customWidth="1"/>
    <col min="56" max="56" width="9" style="86" hidden="1" customWidth="1"/>
    <col min="57" max="57" width="49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212">
        <f>AQ18</f>
        <v>1</v>
      </c>
      <c r="AZ1" s="367" t="s">
        <v>593</v>
      </c>
      <c r="BA1" s="367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  <c r="AY2" s="212">
        <f>AQ21</f>
        <v>0</v>
      </c>
      <c r="AZ2" s="367" t="s">
        <v>591</v>
      </c>
      <c r="BA2" s="367"/>
    </row>
    <row r="3" spans="1:63" ht="12.95" customHeight="1">
      <c r="AV3" s="143"/>
      <c r="AW3" s="143"/>
      <c r="AY3" s="212">
        <f>AQ24</f>
        <v>2</v>
      </c>
      <c r="AZ3" s="367" t="s">
        <v>594</v>
      </c>
      <c r="BA3" s="367"/>
    </row>
    <row r="4" spans="1:63" ht="23.1" customHeight="1">
      <c r="A4" s="89"/>
      <c r="B4" s="93" t="str">
        <f>verze!E206&amp;" AVANTECH YOU  101 / 187 Inlay"</f>
        <v>Zásuvka AVANTECH YOU  101 /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AY4" s="212">
        <f>AQ27</f>
        <v>0</v>
      </c>
      <c r="AZ4" s="367" t="s">
        <v>592</v>
      </c>
      <c r="BA4" s="367"/>
      <c r="BB4" s="322" t="e">
        <f>SUM(BB5:BB1007)</f>
        <v>#N/A</v>
      </c>
      <c r="BD4" s="94" t="s">
        <v>34</v>
      </c>
      <c r="BK4" s="322" t="e">
        <f>SUM(BK5:BK1009)</f>
        <v>#N/A</v>
      </c>
    </row>
    <row r="5" spans="1:63" ht="14.45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68"/>
      <c r="AZ5" s="326" t="str">
        <f>IF(AY5="","",IF($AW$4=1,AY5,0))</f>
        <v/>
      </c>
      <c r="BA5" s="95">
        <f>VLOOKUP(AU5,CENY!$B$11:$M$2025,12,FALSE)</f>
        <v>26.248429999999999</v>
      </c>
      <c r="BB5" s="95">
        <f t="shared" ref="BB5:BB74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68"/>
      <c r="BI5" s="326" t="str">
        <f>IF(BH5="","",IF($AW$4=0,BH5,0))</f>
        <v/>
      </c>
      <c r="BJ5" s="95">
        <f>VLOOKUP(BD5,CENY!$B$11:$M$2025,12,FALSE)</f>
        <v>10.00929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598</v>
      </c>
      <c r="G6" s="566"/>
      <c r="H6" s="566"/>
      <c r="I6" s="566"/>
      <c r="J6" s="566"/>
      <c r="K6" s="566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68"/>
      <c r="AZ6" s="326" t="str">
        <f t="shared" ref="AZ6:AZ75" si="1">IF(AY6="","",IF($AW$4=1,AY6,0))</f>
        <v/>
      </c>
      <c r="BA6" s="95">
        <f>VLOOKUP(AU6,CENY!$B$11:$M$2025,12,FALSE)</f>
        <v>26.467459999999999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68"/>
      <c r="BI6" s="326" t="str">
        <f t="shared" ref="BI6:BI83" si="2">IF(BH6="","",IF($AW$4=0,BH6,0))</f>
        <v/>
      </c>
      <c r="BJ6" s="95">
        <f>VLOOKUP(BD6,CENY!$B$11:$M$2025,12,FALSE)</f>
        <v>10.00929</v>
      </c>
      <c r="BK6" s="95">
        <f t="shared" ref="BK6:BK83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68"/>
      <c r="AZ7" s="326" t="str">
        <f t="shared" si="1"/>
        <v/>
      </c>
      <c r="BA7" s="95">
        <f>VLOOKUP(AU7,CENY!$B$11:$M$2025,12,FALSE)</f>
        <v>26.833570000000002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68"/>
      <c r="BI7" s="326" t="str">
        <f t="shared" si="2"/>
        <v/>
      </c>
      <c r="BJ7" s="95">
        <f>VLOOKUP(BD7,CENY!$B$11:$M$2025,12,FALSE)</f>
        <v>10.12106</v>
      </c>
      <c r="BK7" s="95">
        <f t="shared" si="3"/>
        <v>0</v>
      </c>
    </row>
    <row r="8" spans="1:63" ht="14.45" customHeight="1" thickBo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68"/>
      <c r="AZ8" s="326" t="str">
        <f t="shared" si="1"/>
        <v/>
      </c>
      <c r="BA8" s="95">
        <f>VLOOKUP(AU8,CENY!$B$11:$M$2025,12,FALSE)</f>
        <v>27.19903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68"/>
      <c r="BI8" s="326" t="str">
        <f t="shared" si="2"/>
        <v/>
      </c>
      <c r="BJ8" s="95">
        <f>VLOOKUP(BD8,CENY!$B$11:$M$2025,12,FALSE)</f>
        <v>10.12106</v>
      </c>
      <c r="BK8" s="95">
        <f t="shared" si="3"/>
        <v>0</v>
      </c>
    </row>
    <row r="9" spans="1:63" ht="14.45" customHeight="1" thickTop="1">
      <c r="B9" s="552"/>
      <c r="C9" s="560"/>
      <c r="D9" s="560"/>
      <c r="E9" s="561"/>
      <c r="F9" s="562"/>
      <c r="G9" s="563"/>
      <c r="H9" s="563"/>
      <c r="I9" s="563"/>
      <c r="J9" s="563"/>
      <c r="K9" s="564"/>
      <c r="AK9" s="587" t="str">
        <f>verze!E160</f>
        <v>Je nutné natypovať šírky čiel ?</v>
      </c>
      <c r="AL9" s="588"/>
      <c r="AM9" s="588"/>
      <c r="AN9" s="588"/>
      <c r="AO9" s="588"/>
      <c r="AP9" s="589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23">
        <f>SUM(AY1:AY2)*(W20+W22+W28)</f>
        <v>0</v>
      </c>
      <c r="AZ9" s="326">
        <f t="shared" si="1"/>
        <v>0</v>
      </c>
      <c r="BA9" s="95">
        <f>VLOOKUP(AU9,CENY!$B$11:$M$2025,12,FALSE)</f>
        <v>26.252320000000001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68"/>
      <c r="BI9" s="326" t="str">
        <f t="shared" si="2"/>
        <v/>
      </c>
      <c r="BJ9" s="95">
        <f>VLOOKUP(BD9,CENY!$B$11:$M$2025,12,FALSE)</f>
        <v>10.307510000000001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K10" s="590"/>
      <c r="AL10" s="591"/>
      <c r="AM10" s="591"/>
      <c r="AN10" s="591"/>
      <c r="AO10" s="591"/>
      <c r="AP10" s="592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23">
        <f>SUM(AY1:AY2)*(Y20+Y22+Y28)</f>
        <v>0</v>
      </c>
      <c r="AZ10" s="326">
        <f t="shared" si="1"/>
        <v>0</v>
      </c>
      <c r="BA10" s="95">
        <f>VLOOKUP(AU10,CENY!$B$11:$M$2025,12,FALSE)</f>
        <v>26.6005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68"/>
      <c r="BI10" s="326" t="str">
        <f t="shared" si="2"/>
        <v/>
      </c>
      <c r="BJ10" s="95">
        <f>VLOOKUP(BD10,CENY!$B$11:$M$2025,12,FALSE)</f>
        <v>10.307510000000001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23">
        <f>SUM(AY1:AY2)*(AA20+AA22+AA28)</f>
        <v>0</v>
      </c>
      <c r="AZ11" s="326">
        <f t="shared" si="1"/>
        <v>0</v>
      </c>
      <c r="BA11" s="95">
        <f>VLOOKUP(AU11,CENY!$B$11:$M$2025,12,FALSE)</f>
        <v>28.296320000000001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68"/>
      <c r="BI11" s="326" t="str">
        <f t="shared" si="2"/>
        <v/>
      </c>
      <c r="BJ11" s="95">
        <f>VLOOKUP(BD11,CENY!$B$11:$M$2025,12,FALSE)</f>
        <v>10.49362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23">
        <f>SUM(AY1:AY2)*(AC20+AC22+AC28)</f>
        <v>0</v>
      </c>
      <c r="AZ12" s="326">
        <f t="shared" si="1"/>
        <v>0</v>
      </c>
      <c r="BA12" s="95">
        <f>VLOOKUP(AU12,CENY!$B$11:$M$2025,12,FALSE)</f>
        <v>28.89237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68"/>
      <c r="BI12" s="326" t="str">
        <f t="shared" si="2"/>
        <v/>
      </c>
      <c r="BJ12" s="95">
        <f>VLOOKUP(BD12,CENY!$B$11:$M$2025,12,FALSE)</f>
        <v>10.49362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23">
        <f>SUM(AY1:AY2)*(AE22)</f>
        <v>0</v>
      </c>
      <c r="AZ13" s="326">
        <f t="shared" si="1"/>
        <v>0</v>
      </c>
      <c r="BA13" s="95">
        <f>VLOOKUP(AU13,CENY!$B$11:$M$2025,12,FALSE)</f>
        <v>29.75958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23">
        <f>AY9</f>
        <v>0</v>
      </c>
      <c r="BI13" s="326">
        <f t="shared" si="2"/>
        <v>0</v>
      </c>
      <c r="BJ13" s="95">
        <f>VLOOKUP(BD13,CENY!$B$11:$M$2025,12,FALSE)</f>
        <v>10.680099999999999</v>
      </c>
      <c r="BK13" s="95">
        <f t="shared" si="3"/>
        <v>0</v>
      </c>
    </row>
    <row r="14" spans="1:63" ht="14.45" customHeight="1">
      <c r="AU14" s="319"/>
      <c r="AV14" s="21"/>
      <c r="AW14" s="22"/>
      <c r="AX14" s="362"/>
      <c r="AY14" s="23"/>
      <c r="AZ14" s="326"/>
      <c r="BA14" s="95"/>
      <c r="BB14" s="95"/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23">
        <f>AY9</f>
        <v>0</v>
      </c>
      <c r="BI14" s="326">
        <f t="shared" si="2"/>
        <v>0</v>
      </c>
      <c r="BJ14" s="95">
        <f>VLOOKUP(BD14,CENY!$B$11:$M$2025,12,FALSE)</f>
        <v>10.680099999999999</v>
      </c>
      <c r="BK14" s="95">
        <f t="shared" si="3"/>
        <v>0</v>
      </c>
    </row>
    <row r="15" spans="1:63" ht="14.45" customHeight="1">
      <c r="AU15" s="319">
        <f>OBJ!B170</f>
        <v>9353285</v>
      </c>
      <c r="AV15" s="21" t="str">
        <f>VLOOKUP(AU15,CENY!$B$11:$G$1054,2,FALSE)</f>
        <v>AvanY-sólo boky Inlay-NW 187/450mm/strieb.</v>
      </c>
      <c r="AW15" s="22">
        <f>VLOOKUP(AU15,CENY!$B$11:$G$1054,3,FALSE)</f>
        <v>1</v>
      </c>
      <c r="AX15" s="362">
        <v>6</v>
      </c>
      <c r="AY15" s="23">
        <f>SUM(AY3:AY4)*(W20+W22+W28)</f>
        <v>0</v>
      </c>
      <c r="AZ15" s="326">
        <f t="shared" ref="AZ15:AZ19" si="4">IF(AY15="","",IF($AW$4=1,AY15,0))</f>
        <v>0</v>
      </c>
      <c r="BA15" s="95">
        <f>VLOOKUP(AU15,CENY!$B$11:$M$2025,12,FALSE)</f>
        <v>39.585979999999999</v>
      </c>
      <c r="BB15" s="95">
        <f t="shared" ref="BB15:BB19" si="5">IF(BA15="","",BA15*AY15)</f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23">
        <f>AY10</f>
        <v>0</v>
      </c>
      <c r="BI15" s="326">
        <f t="shared" si="2"/>
        <v>0</v>
      </c>
      <c r="BJ15" s="95">
        <f>VLOOKUP(BD15,CENY!$B$11:$M$2025,12,FALSE)</f>
        <v>10.348739999999999</v>
      </c>
      <c r="BK15" s="95">
        <f t="shared" si="3"/>
        <v>0</v>
      </c>
    </row>
    <row r="16" spans="1:63" ht="14.45" customHeight="1">
      <c r="AB16" s="341"/>
      <c r="AU16" s="319">
        <f>OBJ!B171</f>
        <v>9353286</v>
      </c>
      <c r="AV16" s="21" t="str">
        <f>VLOOKUP(AU16,CENY!$B$11:$G$1054,2,FALSE)</f>
        <v>AvanY-sólo boky Inlay-NW 187/500mm/strieb.</v>
      </c>
      <c r="AW16" s="22">
        <f>VLOOKUP(AU16,CENY!$B$11:$G$1054,3,FALSE)</f>
        <v>1</v>
      </c>
      <c r="AX16" s="362">
        <v>8</v>
      </c>
      <c r="AY16" s="23">
        <f>SUM(AY3:AY4)*(Y20+Y22+Y28)</f>
        <v>0</v>
      </c>
      <c r="AZ16" s="326">
        <f t="shared" si="4"/>
        <v>0</v>
      </c>
      <c r="BA16" s="95">
        <f>VLOOKUP(AU16,CENY!$B$11:$M$2025,12,FALSE)</f>
        <v>40.13326</v>
      </c>
      <c r="BB16" s="95">
        <f t="shared" si="5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23">
        <f>AY10</f>
        <v>0</v>
      </c>
      <c r="BI16" s="326">
        <f t="shared" si="2"/>
        <v>0</v>
      </c>
      <c r="BJ16" s="95">
        <f>VLOOKUP(BD16,CENY!$B$11:$M$2025,12,FALSE)</f>
        <v>10.348739999999999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U17" s="319">
        <f>OBJ!B172</f>
        <v>9353287</v>
      </c>
      <c r="AV17" s="21" t="str">
        <f>VLOOKUP(AU17,CENY!$B$11:$G$1054,2,FALSE)</f>
        <v>AvanY-sólo boky Inlay-NW 187/550mm/strieb.</v>
      </c>
      <c r="AW17" s="22">
        <f>VLOOKUP(AU17,CENY!$B$11:$G$1054,3,FALSE)</f>
        <v>1</v>
      </c>
      <c r="AX17" s="362">
        <v>8</v>
      </c>
      <c r="AY17" s="23">
        <f>SUM(AY3:AY4)*(AA20+AA22+AA28)</f>
        <v>0</v>
      </c>
      <c r="AZ17" s="326">
        <f t="shared" si="4"/>
        <v>0</v>
      </c>
      <c r="BA17" s="95">
        <f>VLOOKUP(AU17,CENY!$B$11:$M$2025,12,FALSE)</f>
        <v>42.714669999999998</v>
      </c>
      <c r="BB17" s="95">
        <f t="shared" si="5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23">
        <f>AY11</f>
        <v>0</v>
      </c>
      <c r="BI17" s="326">
        <f t="shared" si="2"/>
        <v>0</v>
      </c>
      <c r="BJ17" s="95">
        <f>VLOOKUP(BD17,CENY!$B$11:$M$2025,12,FALSE)</f>
        <v>11.052530000000001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P18" s="233" t="s">
        <v>258</v>
      </c>
      <c r="AQ18" s="616">
        <v>1</v>
      </c>
      <c r="AR18" s="617"/>
      <c r="AU18" s="319">
        <f>OBJ!B173</f>
        <v>9353288</v>
      </c>
      <c r="AV18" s="21" t="str">
        <f>VLOOKUP(AU18,CENY!$B$11:$G$1054,2,FALSE)</f>
        <v>AvanY-sólo boky Inlay-NW 187/600mm/strieb.</v>
      </c>
      <c r="AW18" s="22">
        <f>VLOOKUP(AU18,CENY!$B$11:$G$1054,3,FALSE)</f>
        <v>1</v>
      </c>
      <c r="AX18" s="362">
        <v>8</v>
      </c>
      <c r="AY18" s="23">
        <f>SUM(AY3:AY4)*(AC20+AC22+AC28)</f>
        <v>0</v>
      </c>
      <c r="AZ18" s="326">
        <f t="shared" si="4"/>
        <v>0</v>
      </c>
      <c r="BA18" s="95">
        <f>VLOOKUP(AU18,CENY!$B$11:$M$2025,12,FALSE)</f>
        <v>43.581359999999997</v>
      </c>
      <c r="BB18" s="95">
        <f t="shared" si="5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23">
        <f>AY11</f>
        <v>0</v>
      </c>
      <c r="BI18" s="326">
        <f t="shared" si="2"/>
        <v>0</v>
      </c>
      <c r="BJ18" s="95">
        <f>VLOOKUP(BD18,CENY!$B$11:$M$2025,12,FALSE)</f>
        <v>11.052530000000001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71"/>
      <c r="P19" s="614"/>
      <c r="Q19" s="615"/>
      <c r="R19" s="614"/>
      <c r="S19" s="615"/>
      <c r="T19" s="572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U19" s="319">
        <f>OBJ!B174</f>
        <v>9353289</v>
      </c>
      <c r="AV19" s="21" t="str">
        <f>VLOOKUP(AU19,CENY!$B$11:$G$1054,2,FALSE)</f>
        <v>AvanY-sólo boky Inlay-NW 187/650mm/strieb.</v>
      </c>
      <c r="AW19" s="22">
        <f>VLOOKUP(AU19,CENY!$B$11:$G$1054,3,FALSE)</f>
        <v>1</v>
      </c>
      <c r="AX19" s="362">
        <v>10</v>
      </c>
      <c r="AY19" s="23">
        <f>SUM(AY3:AY4)*(AE22)</f>
        <v>0</v>
      </c>
      <c r="AZ19" s="326">
        <f t="shared" si="4"/>
        <v>0</v>
      </c>
      <c r="BA19" s="95">
        <f>VLOOKUP(AU19,CENY!$B$11:$M$2025,12,FALSE)</f>
        <v>44.76003</v>
      </c>
      <c r="BB19" s="95">
        <f t="shared" si="5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23">
        <f>AY12</f>
        <v>0</v>
      </c>
      <c r="BI19" s="326">
        <f t="shared" si="2"/>
        <v>0</v>
      </c>
      <c r="BJ19" s="95">
        <f>VLOOKUP(BD19,CENY!$B$11:$M$2025,12,FALSE)</f>
        <v>11.33343</v>
      </c>
      <c r="BK19" s="95">
        <f t="shared" si="3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20"/>
      <c r="P20" s="521"/>
      <c r="Q20" s="520"/>
      <c r="R20" s="521"/>
      <c r="S20" s="520"/>
      <c r="T20" s="521"/>
      <c r="U20" s="520"/>
      <c r="V20" s="521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23">
        <f>AY12</f>
        <v>0</v>
      </c>
      <c r="BI20" s="326">
        <f t="shared" si="2"/>
        <v>0</v>
      </c>
      <c r="BJ20" s="95">
        <f>VLOOKUP(BD20,CENY!$B$11:$M$2025,12,FALSE)</f>
        <v>11.33343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U21" s="319">
        <f>OBJ!B71</f>
        <v>9347502</v>
      </c>
      <c r="AV21" s="21" t="str">
        <f>VLOOKUP(AU21,CENY!$B$11:$G$1054,2,FALSE)</f>
        <v>AvanY-design ALprofil Hybrid na bok 270/ strieb.</v>
      </c>
      <c r="AW21" s="22">
        <f>VLOOKUP(AU21,CENY!$B$11:$G$1054,3,FALSE)</f>
        <v>200</v>
      </c>
      <c r="AX21" s="22"/>
      <c r="AY21" s="68"/>
      <c r="AZ21" s="326" t="str">
        <f t="shared" si="1"/>
        <v/>
      </c>
      <c r="BA21" s="95">
        <f>VLOOKUP(AU21,CENY!$B$11:$M$2025,12,FALSE)</f>
        <v>0.95189000000000001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23">
        <f>AY13</f>
        <v>0</v>
      </c>
      <c r="BI21" s="326">
        <f t="shared" si="2"/>
        <v>0</v>
      </c>
      <c r="BJ21" s="95">
        <f>VLOOKUP(BD21,CENY!$B$11:$M$2025,12,FALSE)</f>
        <v>11.715400000000001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67"/>
      <c r="AF22" s="568"/>
      <c r="AU22" s="319">
        <f>OBJ!B72</f>
        <v>9347503</v>
      </c>
      <c r="AV22" s="21" t="str">
        <f>VLOOKUP(AU22,CENY!$B$11:$G$1054,2,FALSE)</f>
        <v>AvanY-design ALprofil Hybrid na bok 300/ strieb.</v>
      </c>
      <c r="AW22" s="22">
        <f>VLOOKUP(AU22,CENY!$B$11:$G$1054,3,FALSE)</f>
        <v>200</v>
      </c>
      <c r="AX22" s="22"/>
      <c r="AY22" s="68"/>
      <c r="AZ22" s="326" t="str">
        <f t="shared" si="1"/>
        <v/>
      </c>
      <c r="BA22" s="95">
        <f>VLOOKUP(AU22,CENY!$B$11:$M$2025,12,FALSE)</f>
        <v>0.96240999999999999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23">
        <f>AY13</f>
        <v>0</v>
      </c>
      <c r="BI22" s="326">
        <f t="shared" si="2"/>
        <v>0</v>
      </c>
      <c r="BJ22" s="95">
        <f>VLOOKUP(BD22,CENY!$B$11:$M$2025,12,FALSE)</f>
        <v>11.715400000000001</v>
      </c>
      <c r="BK22" s="95">
        <f t="shared" si="3"/>
        <v>0</v>
      </c>
    </row>
    <row r="23" spans="2:63" ht="14.45" customHeight="1" thickBot="1">
      <c r="O23" s="4"/>
      <c r="P23" s="4"/>
      <c r="AU23" s="319">
        <f>OBJ!B73</f>
        <v>9347504</v>
      </c>
      <c r="AV23" s="21" t="str">
        <f>VLOOKUP(AU23,CENY!$B$11:$G$1054,2,FALSE)</f>
        <v>AvanY-design ALprofil Hybrid na bok 350/ strieb.</v>
      </c>
      <c r="AW23" s="22">
        <f>VLOOKUP(AU23,CENY!$B$11:$G$1054,3,FALSE)</f>
        <v>200</v>
      </c>
      <c r="AX23" s="22"/>
      <c r="AY23" s="68"/>
      <c r="AZ23" s="326" t="str">
        <f t="shared" si="1"/>
        <v/>
      </c>
      <c r="BA23" s="95">
        <f>VLOOKUP(AU23,CENY!$B$11:$M$2025,12,FALSE)</f>
        <v>0.98018000000000005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/>
    </row>
    <row r="24" spans="2:63" ht="14.45" customHeight="1" thickBot="1">
      <c r="AP24" s="233" t="s">
        <v>258</v>
      </c>
      <c r="AQ24" s="616">
        <v>2</v>
      </c>
      <c r="AR24" s="617"/>
      <c r="AU24" s="319">
        <f>OBJ!B74</f>
        <v>9347505</v>
      </c>
      <c r="AV24" s="21" t="str">
        <f>VLOOKUP(AU24,CENY!$B$11:$G$1054,2,FALSE)</f>
        <v>AvanY-design ALprofil Hybrid na bok 400/ strieb.</v>
      </c>
      <c r="AW24" s="22">
        <f>VLOOKUP(AU24,CENY!$B$11:$G$1054,3,FALSE)</f>
        <v>200</v>
      </c>
      <c r="AX24" s="22"/>
      <c r="AY24" s="68"/>
      <c r="AZ24" s="326" t="str">
        <f t="shared" si="1"/>
        <v/>
      </c>
      <c r="BA24" s="95">
        <f>VLOOKUP(AU24,CENY!$B$11:$M$2025,12,FALSE)</f>
        <v>0.99777000000000005</v>
      </c>
      <c r="BB24" s="95">
        <f t="shared" si="0"/>
        <v>0</v>
      </c>
      <c r="BD24" s="319">
        <f>OBJ!B180</f>
        <v>9257135</v>
      </c>
      <c r="BE24" s="21" t="str">
        <f>VLOOKUP(BD24,CENY!$B$11:$G$1054,2,FALSE)</f>
        <v>AvanY-bok Inlay ľavý /v187/h450/ strieb.</v>
      </c>
      <c r="BF24" s="22">
        <f>VLOOKUP(BD24,CENY!$B$11:$G$1054,3,FALSE)</f>
        <v>10</v>
      </c>
      <c r="BG24" s="22"/>
      <c r="BH24" s="23">
        <f>AY15</f>
        <v>0</v>
      </c>
      <c r="BI24" s="326">
        <f t="shared" si="2"/>
        <v>0</v>
      </c>
      <c r="BJ24" s="95">
        <f>VLOOKUP(BD24,CENY!$B$11:$M$2025,12,FALSE)</f>
        <v>18.945989999999998</v>
      </c>
      <c r="BK24" s="95">
        <f t="shared" ref="BK24:BK33" si="6">IF(BJ24="","",BJ24*BH24)</f>
        <v>0</v>
      </c>
    </row>
    <row r="25" spans="2:63" ht="14.45" customHeight="1" thickBot="1">
      <c r="B25" s="2" t="s">
        <v>285</v>
      </c>
      <c r="AU25" s="319">
        <f>OBJ!B75</f>
        <v>9347506</v>
      </c>
      <c r="AV25" s="21" t="str">
        <f>VLOOKUP(AU25,CENY!$B$11:$G$1054,2,FALSE)</f>
        <v>AvanY-design ALprofil Hybrid na bok 450/ strieb.</v>
      </c>
      <c r="AW25" s="22">
        <f>VLOOKUP(AU25,CENY!$B$11:$G$1054,3,FALSE)</f>
        <v>200</v>
      </c>
      <c r="AX25" s="22"/>
      <c r="AY25" s="23">
        <f>IF(FORM!AM18=FORM!AU16,0,2*SUM(AY1:AY2)*(W20+W22+W28))</f>
        <v>0</v>
      </c>
      <c r="AZ25" s="326">
        <f t="shared" si="1"/>
        <v>0</v>
      </c>
      <c r="BA25" s="95">
        <f>VLOOKUP(AU25,CENY!$B$11:$M$2025,12,FALSE)</f>
        <v>1.01556</v>
      </c>
      <c r="BB25" s="95">
        <f t="shared" si="0"/>
        <v>0</v>
      </c>
      <c r="BD25" s="319">
        <f>OBJ!B181</f>
        <v>9257136</v>
      </c>
      <c r="BE25" s="21" t="str">
        <f>VLOOKUP(BD25,CENY!$B$11:$G$1054,2,FALSE)</f>
        <v>AvanY-bok Inlay pravý /v187/h450/ strieb.</v>
      </c>
      <c r="BF25" s="22">
        <f>VLOOKUP(BD25,CENY!$B$11:$G$1054,3,FALSE)</f>
        <v>10</v>
      </c>
      <c r="BG25" s="22"/>
      <c r="BH25" s="23">
        <f>AY15</f>
        <v>0</v>
      </c>
      <c r="BI25" s="326">
        <f t="shared" si="2"/>
        <v>0</v>
      </c>
      <c r="BJ25" s="95">
        <f>VLOOKUP(BD25,CENY!$B$11:$M$2025,12,FALSE)</f>
        <v>18.945989999999998</v>
      </c>
      <c r="BK25" s="95">
        <f t="shared" si="6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U26" s="319">
        <f>OBJ!B76</f>
        <v>9347507</v>
      </c>
      <c r="AV26" s="21" t="str">
        <f>VLOOKUP(AU26,CENY!$B$11:$G$1054,2,FALSE)</f>
        <v>AvanY-design ALprofil Hybrid na bok 500/ strieb.</v>
      </c>
      <c r="AW26" s="22">
        <f>VLOOKUP(AU26,CENY!$B$11:$G$1054,3,FALSE)</f>
        <v>200</v>
      </c>
      <c r="AX26" s="22"/>
      <c r="AY26" s="23">
        <f>IF(FORM!AM18=FORM!AU16,0,2*SUM(AY1:AY2)*(Y20+Y22+Y28))</f>
        <v>0</v>
      </c>
      <c r="AZ26" s="326">
        <f t="shared" si="1"/>
        <v>0</v>
      </c>
      <c r="BA26" s="95">
        <f>VLOOKUP(AU26,CENY!$B$11:$M$2025,12,FALSE)</f>
        <v>1.0332399999999999</v>
      </c>
      <c r="BB26" s="95">
        <f t="shared" si="0"/>
        <v>0</v>
      </c>
      <c r="BD26" s="319">
        <f>OBJ!B182</f>
        <v>9257137</v>
      </c>
      <c r="BE26" s="21" t="str">
        <f>VLOOKUP(BD26,CENY!$B$11:$G$1054,2,FALSE)</f>
        <v>AvanY-bok Inlay ľavý /v187/h500/ strieb.</v>
      </c>
      <c r="BF26" s="22">
        <f>VLOOKUP(BD26,CENY!$B$11:$G$1054,3,FALSE)</f>
        <v>10</v>
      </c>
      <c r="BG26" s="22"/>
      <c r="BH26" s="23">
        <f>AY16</f>
        <v>0</v>
      </c>
      <c r="BI26" s="326">
        <f t="shared" si="2"/>
        <v>0</v>
      </c>
      <c r="BJ26" s="95">
        <f>VLOOKUP(BD26,CENY!$B$11:$M$2025,12,FALSE)</f>
        <v>18.358360000000001</v>
      </c>
      <c r="BK26" s="95">
        <f t="shared" si="6"/>
        <v>0</v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71"/>
      <c r="P27" s="614"/>
      <c r="Q27" s="615"/>
      <c r="R27" s="614"/>
      <c r="S27" s="615"/>
      <c r="T27" s="572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U27" s="319">
        <f>OBJ!B77</f>
        <v>9347508</v>
      </c>
      <c r="AV27" s="21" t="str">
        <f>VLOOKUP(AU27,CENY!$B$11:$G$1054,2,FALSE)</f>
        <v>AvanY-design ALprofil Hybrid na bok 550/ strieb.</v>
      </c>
      <c r="AW27" s="22">
        <f>VLOOKUP(AU27,CENY!$B$11:$G$1054,3,FALSE)</f>
        <v>200</v>
      </c>
      <c r="AX27" s="22"/>
      <c r="AY27" s="23">
        <f>IF(FORM!AM18=FORM!AU16,0,2*SUM(AY1:AY2)*(AA20+AA22+AA28))</f>
        <v>0</v>
      </c>
      <c r="AZ27" s="326">
        <f t="shared" si="1"/>
        <v>0</v>
      </c>
      <c r="BA27" s="95">
        <f>VLOOKUP(AU27,CENY!$B$11:$M$2025,12,FALSE)</f>
        <v>1.0508599999999999</v>
      </c>
      <c r="BB27" s="95">
        <f t="shared" si="0"/>
        <v>0</v>
      </c>
      <c r="BD27" s="319">
        <f>OBJ!B183</f>
        <v>9257138</v>
      </c>
      <c r="BE27" s="21" t="str">
        <f>VLOOKUP(BD27,CENY!$B$11:$G$1054,2,FALSE)</f>
        <v>AvanY-bok Inlay pravý /v187/h500/ strieb.</v>
      </c>
      <c r="BF27" s="22">
        <f>VLOOKUP(BD27,CENY!$B$11:$G$1054,3,FALSE)</f>
        <v>10</v>
      </c>
      <c r="BG27" s="22"/>
      <c r="BH27" s="23">
        <f>AY16</f>
        <v>0</v>
      </c>
      <c r="BI27" s="326">
        <f t="shared" si="2"/>
        <v>0</v>
      </c>
      <c r="BJ27" s="95">
        <f>VLOOKUP(BD27,CENY!$B$11:$M$2025,12,FALSE)</f>
        <v>18.358360000000001</v>
      </c>
      <c r="BK27" s="95">
        <f t="shared" si="6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20"/>
      <c r="P28" s="521"/>
      <c r="Q28" s="520"/>
      <c r="R28" s="521"/>
      <c r="S28" s="520"/>
      <c r="T28" s="521"/>
      <c r="U28" s="520"/>
      <c r="V28" s="521"/>
      <c r="W28" s="518"/>
      <c r="X28" s="519"/>
      <c r="Y28" s="518"/>
      <c r="Z28" s="519"/>
      <c r="AA28" s="518"/>
      <c r="AB28" s="519"/>
      <c r="AC28" s="518"/>
      <c r="AD28" s="519"/>
      <c r="AU28" s="319">
        <f>OBJ!B78</f>
        <v>9347509</v>
      </c>
      <c r="AV28" s="21" t="str">
        <f>VLOOKUP(AU28,CENY!$B$11:$G$1054,2,FALSE)</f>
        <v>AvanY-design ALprofil Hybrid na bok 600/ strieb.</v>
      </c>
      <c r="AW28" s="22">
        <f>VLOOKUP(AU28,CENY!$B$11:$G$1054,3,FALSE)</f>
        <v>200</v>
      </c>
      <c r="AX28" s="22"/>
      <c r="AY28" s="23">
        <f>IF(FORM!AM18=FORM!AU16,0,2*SUM(AY1:AY2)*(AC20+AC22+AC28))</f>
        <v>0</v>
      </c>
      <c r="AZ28" s="326">
        <f t="shared" si="1"/>
        <v>0</v>
      </c>
      <c r="BA28" s="95">
        <f>VLOOKUP(AU28,CENY!$B$11:$M$2025,12,FALSE)</f>
        <v>1.09639</v>
      </c>
      <c r="BB28" s="95">
        <f t="shared" si="0"/>
        <v>0</v>
      </c>
      <c r="BD28" s="319">
        <f>OBJ!B184</f>
        <v>9257139</v>
      </c>
      <c r="BE28" s="21" t="str">
        <f>VLOOKUP(BD28,CENY!$B$11:$G$1054,2,FALSE)</f>
        <v>AvanY-bok Inlay ľavý /v187/h550/ strieb.</v>
      </c>
      <c r="BF28" s="22">
        <f>VLOOKUP(BD28,CENY!$B$11:$G$1054,3,FALSE)</f>
        <v>10</v>
      </c>
      <c r="BG28" s="22"/>
      <c r="BH28" s="23">
        <f>AY17</f>
        <v>0</v>
      </c>
      <c r="BI28" s="326">
        <f t="shared" si="2"/>
        <v>0</v>
      </c>
      <c r="BJ28" s="95">
        <f>VLOOKUP(BD28,CENY!$B$11:$M$2025,12,FALSE)</f>
        <v>19.60652</v>
      </c>
      <c r="BK28" s="95">
        <f t="shared" si="6"/>
        <v>0</v>
      </c>
    </row>
    <row r="29" spans="2:63" ht="14.45" customHeight="1">
      <c r="AU29" s="319">
        <f>OBJ!B79</f>
        <v>9347510</v>
      </c>
      <c r="AV29" s="21" t="str">
        <f>VLOOKUP(AU29,CENY!$B$11:$G$1054,2,FALSE)</f>
        <v>AvanY-design ALprofil Hybrid na bok 650/ strieb.</v>
      </c>
      <c r="AW29" s="22">
        <f>VLOOKUP(AU29,CENY!$B$11:$G$1054,3,FALSE)</f>
        <v>200</v>
      </c>
      <c r="AX29" s="22"/>
      <c r="AY29" s="23">
        <f>IF(FORM!AM18=FORM!AU16,0,2*SUM(AY1:AY2)*AE22)</f>
        <v>0</v>
      </c>
      <c r="AZ29" s="326">
        <f t="shared" si="1"/>
        <v>0</v>
      </c>
      <c r="BA29" s="95">
        <f>VLOOKUP(AU29,CENY!$B$11:$M$2025,12,FALSE)</f>
        <v>1.1824300000000001</v>
      </c>
      <c r="BB29" s="95">
        <f t="shared" si="0"/>
        <v>0</v>
      </c>
      <c r="BD29" s="319">
        <f>OBJ!B185</f>
        <v>9257140</v>
      </c>
      <c r="BE29" s="21" t="str">
        <f>VLOOKUP(BD29,CENY!$B$11:$G$1054,2,FALSE)</f>
        <v>AvanY-bok Inlay pravý /v187/h550/ strieb.</v>
      </c>
      <c r="BF29" s="22">
        <f>VLOOKUP(BD29,CENY!$B$11:$G$1054,3,FALSE)</f>
        <v>10</v>
      </c>
      <c r="BG29" s="22"/>
      <c r="BH29" s="23">
        <f>AY17</f>
        <v>0</v>
      </c>
      <c r="BI29" s="326">
        <f t="shared" si="2"/>
        <v>0</v>
      </c>
      <c r="BJ29" s="95">
        <f>VLOOKUP(BD29,CENY!$B$11:$M$2025,12,FALSE)</f>
        <v>19.60652</v>
      </c>
      <c r="BK29" s="95">
        <f t="shared" si="6"/>
        <v>0</v>
      </c>
    </row>
    <row r="30" spans="2:63" ht="14.45" customHeight="1">
      <c r="B30" s="366" t="str">
        <f>verze!E201</f>
        <v>SiSy = tlmenie Silent System</v>
      </c>
      <c r="AU30" s="319"/>
      <c r="AV30" s="21"/>
      <c r="AW30" s="22"/>
      <c r="AX30" s="22"/>
      <c r="AY30" s="23"/>
      <c r="AZ30" s="326" t="str">
        <f t="shared" si="1"/>
        <v/>
      </c>
      <c r="BA30" s="95"/>
      <c r="BB30" s="95" t="str">
        <f t="shared" si="0"/>
        <v/>
      </c>
      <c r="BD30" s="319">
        <f>OBJ!B186</f>
        <v>9257141</v>
      </c>
      <c r="BE30" s="21" t="str">
        <f>VLOOKUP(BD30,CENY!$B$11:$G$1054,2,FALSE)</f>
        <v>AvanY-bok Inlay ľavý /v187/h600/ strieb.</v>
      </c>
      <c r="BF30" s="22">
        <f>VLOOKUP(BD30,CENY!$B$11:$G$1054,3,FALSE)</f>
        <v>10</v>
      </c>
      <c r="BG30" s="22"/>
      <c r="BH30" s="23">
        <f>AY18</f>
        <v>0</v>
      </c>
      <c r="BI30" s="326">
        <f t="shared" si="2"/>
        <v>0</v>
      </c>
      <c r="BJ30" s="95">
        <f>VLOOKUP(BD30,CENY!$B$11:$M$2025,12,FALSE)</f>
        <v>20.105229999999999</v>
      </c>
      <c r="BK30" s="95">
        <f t="shared" si="6"/>
        <v>0</v>
      </c>
    </row>
    <row r="31" spans="2:63" ht="14.45" customHeight="1">
      <c r="AU31" s="319">
        <f>OBJ!B233</f>
        <v>9318154</v>
      </c>
      <c r="AV31" s="21" t="str">
        <f>VLOOKUP(AU31,CENY!$B$11:$G$1054,2,FALSE)</f>
        <v>Actro You(S) 270/SiSy 10kg; EB21</v>
      </c>
      <c r="AW31" s="22">
        <f>VLOOKUP(AU31,CENY!$B$11:$G$1054,3,FALSE)</f>
        <v>1</v>
      </c>
      <c r="AX31" s="362">
        <v>4</v>
      </c>
      <c r="AY31" s="68"/>
      <c r="AZ31" s="326" t="str">
        <f t="shared" si="1"/>
        <v/>
      </c>
      <c r="BA31" s="95">
        <f>VLOOKUP(AU31,CENY!$B$11:$M$2025,12,FALSE)</f>
        <v>31.62575</v>
      </c>
      <c r="BB31" s="95">
        <f t="shared" si="0"/>
        <v>0</v>
      </c>
      <c r="BD31" s="319">
        <f>OBJ!B187</f>
        <v>9257142</v>
      </c>
      <c r="BE31" s="21" t="str">
        <f>VLOOKUP(BD31,CENY!$B$11:$G$1054,2,FALSE)</f>
        <v>AvanY-bok Inlay pravý /v187/h600/ strieb.</v>
      </c>
      <c r="BF31" s="22">
        <f>VLOOKUP(BD31,CENY!$B$11:$G$1054,3,FALSE)</f>
        <v>10</v>
      </c>
      <c r="BG31" s="22"/>
      <c r="BH31" s="23">
        <f>AY18</f>
        <v>0</v>
      </c>
      <c r="BI31" s="326">
        <f t="shared" si="2"/>
        <v>0</v>
      </c>
      <c r="BJ31" s="95">
        <f>VLOOKUP(BD31,CENY!$B$11:$M$2025,12,FALSE)</f>
        <v>20.105229999999999</v>
      </c>
      <c r="BK31" s="95">
        <f t="shared" si="6"/>
        <v>0</v>
      </c>
    </row>
    <row r="32" spans="2:63" ht="14.45" customHeight="1">
      <c r="AU32" s="319">
        <f>OBJ!B234</f>
        <v>9318156</v>
      </c>
      <c r="AV32" s="21" t="str">
        <f>VLOOKUP(AU32,CENY!$B$11:$G$1054,2,FALSE)</f>
        <v>Actro You(S) 300/SiSy 10kg; EB21</v>
      </c>
      <c r="AW32" s="22">
        <f>VLOOKUP(AU32,CENY!$B$11:$G$1054,3,FALSE)</f>
        <v>1</v>
      </c>
      <c r="AX32" s="362">
        <v>4</v>
      </c>
      <c r="AY32" s="68"/>
      <c r="AZ32" s="326" t="str">
        <f t="shared" si="1"/>
        <v/>
      </c>
      <c r="BA32" s="95">
        <f>VLOOKUP(AU32,CENY!$B$11:$M$2025,12,FALSE)</f>
        <v>31.62575</v>
      </c>
      <c r="BB32" s="95">
        <f t="shared" si="0"/>
        <v>0</v>
      </c>
      <c r="BD32" s="319">
        <f>OBJ!B188</f>
        <v>9257143</v>
      </c>
      <c r="BE32" s="21" t="str">
        <f>VLOOKUP(BD32,CENY!$B$11:$G$1054,2,FALSE)</f>
        <v>AvanY-bok Inlay ľavý /v187/h650/ strieb.</v>
      </c>
      <c r="BF32" s="22">
        <f>VLOOKUP(BD32,CENY!$B$11:$G$1054,3,FALSE)</f>
        <v>10</v>
      </c>
      <c r="BG32" s="22"/>
      <c r="BH32" s="23">
        <f>AY19</f>
        <v>0</v>
      </c>
      <c r="BI32" s="326">
        <f t="shared" si="2"/>
        <v>0</v>
      </c>
      <c r="BJ32" s="95">
        <f>VLOOKUP(BD32,CENY!$B$11:$M$2025,12,FALSE)</f>
        <v>20.782730000000001</v>
      </c>
      <c r="BK32" s="95">
        <f t="shared" si="6"/>
        <v>0</v>
      </c>
    </row>
    <row r="33" spans="47:63" ht="14.45" customHeight="1">
      <c r="AU33" s="319">
        <f>OBJ!B235</f>
        <v>9318160</v>
      </c>
      <c r="AV33" s="21" t="str">
        <f>VLOOKUP(AU33,CENY!$B$11:$G$1054,2,FALSE)</f>
        <v>Actro You(S) 350/SiSy 10kg; EB21</v>
      </c>
      <c r="AW33" s="22">
        <f>VLOOKUP(AU33,CENY!$B$11:$G$1054,3,FALSE)</f>
        <v>1</v>
      </c>
      <c r="AX33" s="362">
        <v>4</v>
      </c>
      <c r="AY33" s="68"/>
      <c r="AZ33" s="326" t="str">
        <f t="shared" si="1"/>
        <v/>
      </c>
      <c r="BA33" s="95">
        <f>VLOOKUP(AU33,CENY!$B$11:$M$2025,12,FALSE)</f>
        <v>31.62575</v>
      </c>
      <c r="BB33" s="95">
        <f t="shared" si="0"/>
        <v>0</v>
      </c>
      <c r="BD33" s="319">
        <f>OBJ!B189</f>
        <v>9257144</v>
      </c>
      <c r="BE33" s="21" t="str">
        <f>VLOOKUP(BD33,CENY!$B$11:$G$1054,2,FALSE)</f>
        <v>AvanY-bok Inlay pravý /v187/h650/ strieb.</v>
      </c>
      <c r="BF33" s="22">
        <f>VLOOKUP(BD33,CENY!$B$11:$G$1054,3,FALSE)</f>
        <v>10</v>
      </c>
      <c r="BG33" s="22"/>
      <c r="BH33" s="23">
        <f>AY19</f>
        <v>0</v>
      </c>
      <c r="BI33" s="326">
        <f t="shared" si="2"/>
        <v>0</v>
      </c>
      <c r="BJ33" s="95">
        <f>VLOOKUP(BD33,CENY!$B$11:$M$2025,12,FALSE)</f>
        <v>20.782730000000001</v>
      </c>
      <c r="BK33" s="95">
        <f t="shared" si="6"/>
        <v>0</v>
      </c>
    </row>
    <row r="34" spans="47:63" ht="14.45" customHeight="1">
      <c r="AU34" s="20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47:63" ht="14.45" customHeight="1">
      <c r="AU35" s="319">
        <f>OBJ!B243</f>
        <v>9318186</v>
      </c>
      <c r="AV35" s="21" t="str">
        <f>VLOOKUP(AU35,CENY!$B$11:$G$1054,2,FALSE)</f>
        <v>Actro You(L) 270/SiSy 40kg; EB21</v>
      </c>
      <c r="AW35" s="22">
        <f>VLOOKUP(AU35,CENY!$B$11:$G$1054,3,FALSE)</f>
        <v>1</v>
      </c>
      <c r="AX35" s="362">
        <v>8</v>
      </c>
      <c r="AY35" s="68"/>
      <c r="AZ35" s="326" t="str">
        <f t="shared" si="1"/>
        <v/>
      </c>
      <c r="BA35" s="95">
        <f>VLOOKUP(AU35,CENY!$B$11:$M$2025,12,FALSE)</f>
        <v>31.62575</v>
      </c>
      <c r="BB35" s="95">
        <f t="shared" si="0"/>
        <v>0</v>
      </c>
      <c r="BD35" s="319">
        <f>OBJ!B69</f>
        <v>9255835</v>
      </c>
      <c r="BE35" s="21" t="str">
        <f>VLOOKUP(BD35,CENY!$B$11:$G$1054,2,FALSE)</f>
        <v>AvanY-príchytka čela k naskrutk./ v101</v>
      </c>
      <c r="BF35" s="22">
        <f>VLOOKUP(BD35,CENY!$B$11:$G$1054,3,FALSE)</f>
        <v>200</v>
      </c>
      <c r="BG35" s="22"/>
      <c r="BH35" s="23">
        <f>2*(AY2)*(SUM(W20:AD20)+SUM(W22:AF22)+SUM(W28:AD28))</f>
        <v>0</v>
      </c>
      <c r="BI35" s="326">
        <f t="shared" si="2"/>
        <v>0</v>
      </c>
      <c r="BJ35" s="95">
        <f>VLOOKUP(BD35,CENY!$B$11:$M$2025,12,FALSE)</f>
        <v>1.1621999999999999</v>
      </c>
      <c r="BK35" s="95">
        <f t="shared" si="3"/>
        <v>0</v>
      </c>
    </row>
    <row r="36" spans="47:63" ht="14.45" customHeight="1">
      <c r="AU36" s="319">
        <f>OBJ!B244</f>
        <v>9318187</v>
      </c>
      <c r="AV36" s="21" t="str">
        <f>VLOOKUP(AU36,CENY!$B$11:$G$1054,2,FALSE)</f>
        <v>Actro You(L) 300/SiSy 40kg; EB21</v>
      </c>
      <c r="AW36" s="22">
        <f>VLOOKUP(AU36,CENY!$B$11:$G$1054,3,FALSE)</f>
        <v>1</v>
      </c>
      <c r="AX36" s="362">
        <v>8</v>
      </c>
      <c r="AY36" s="68"/>
      <c r="AZ36" s="326" t="str">
        <f t="shared" si="1"/>
        <v/>
      </c>
      <c r="BA36" s="95">
        <f>VLOOKUP(AU36,CENY!$B$11:$M$2025,12,FALSE)</f>
        <v>31.62575</v>
      </c>
      <c r="BB36" s="95">
        <f t="shared" si="0"/>
        <v>0</v>
      </c>
      <c r="BD36" s="319">
        <f>OBJ!B191</f>
        <v>9257257</v>
      </c>
      <c r="BE36" s="21" t="str">
        <f>VLOOKUP(BD36,CENY!$B$11:$G$1054,2,FALSE)</f>
        <v>AvanY-prích.čela Inlay k naskrutk./ v187</v>
      </c>
      <c r="BF36" s="22">
        <f>VLOOKUP(BD36,CENY!$B$11:$G$1054,3,FALSE)</f>
        <v>100</v>
      </c>
      <c r="BG36" s="22"/>
      <c r="BH36" s="23">
        <f>2*(AY4)*(SUM(W20:AD20)+SUM(W22:AF22)+SUM(W28:AD28))</f>
        <v>0</v>
      </c>
      <c r="BI36" s="326">
        <f t="shared" si="2"/>
        <v>0</v>
      </c>
      <c r="BJ36" s="95">
        <f>VLOOKUP(BD36,CENY!$B$11:$M$2025,12,FALSE)</f>
        <v>2.4404300000000001</v>
      </c>
      <c r="BK36" s="95">
        <f t="shared" si="3"/>
        <v>0</v>
      </c>
    </row>
    <row r="37" spans="47:63" ht="14.45" customHeight="1">
      <c r="AU37" s="319">
        <f>OBJ!B245</f>
        <v>9318188</v>
      </c>
      <c r="AV37" s="21" t="str">
        <f>VLOOKUP(AU37,CENY!$B$11:$G$1054,2,FALSE)</f>
        <v>Actro You(L) 350/SiSy 40kg; EB21</v>
      </c>
      <c r="AW37" s="22">
        <f>VLOOKUP(AU37,CENY!$B$11:$G$1054,3,FALSE)</f>
        <v>1</v>
      </c>
      <c r="AX37" s="362">
        <v>8</v>
      </c>
      <c r="AY37" s="68"/>
      <c r="AZ37" s="326" t="str">
        <f t="shared" si="1"/>
        <v/>
      </c>
      <c r="BA37" s="95">
        <f>VLOOKUP(AU37,CENY!$B$11:$M$2025,12,FALSE)</f>
        <v>31.62575</v>
      </c>
      <c r="BB37" s="95">
        <f t="shared" si="0"/>
        <v>0</v>
      </c>
      <c r="BD37" s="320">
        <v>9255835</v>
      </c>
      <c r="BE37" s="321" t="str">
        <f>VLOOKUP(BD37,CENY!$B$11:$G$1054,2,FALSE)</f>
        <v>AvanY-príchytka čela k naskrutk./ v101</v>
      </c>
      <c r="BF37" s="22">
        <f>VLOOKUP(BD37,CENY!$B$11:$G$1054,3,FALSE)</f>
        <v>200</v>
      </c>
      <c r="BG37" s="22"/>
      <c r="BH37" s="68">
        <f>2*(AY1)*(SUM(W20:AD20)+SUM(W22:AF22)+SUM(W28:AD28))</f>
        <v>0</v>
      </c>
      <c r="BI37" s="326">
        <f t="shared" si="2"/>
        <v>0</v>
      </c>
      <c r="BJ37" s="95">
        <f>VLOOKUP(BD37,CENY!$B$11:$M$2025,12,FALSE)</f>
        <v>1.1621999999999999</v>
      </c>
      <c r="BK37" s="95">
        <f t="shared" si="3"/>
        <v>0</v>
      </c>
    </row>
    <row r="38" spans="47:63" ht="14.45" customHeight="1">
      <c r="AU38" s="319">
        <f>OBJ!B246</f>
        <v>9318190</v>
      </c>
      <c r="AV38" s="21" t="str">
        <f>VLOOKUP(AU38,CENY!$B$11:$G$1054,2,FALSE)</f>
        <v>Actro You(L) 400/SiSy 40kg; EB21</v>
      </c>
      <c r="AW38" s="22">
        <f>VLOOKUP(AU38,CENY!$B$11:$G$1054,3,FALSE)</f>
        <v>1</v>
      </c>
      <c r="AX38" s="362">
        <v>8</v>
      </c>
      <c r="AY38" s="68"/>
      <c r="AZ38" s="326" t="str">
        <f t="shared" si="1"/>
        <v/>
      </c>
      <c r="BA38" s="95">
        <f>VLOOKUP(AU38,CENY!$B$11:$M$2025,12,FALSE)</f>
        <v>31.976389999999999</v>
      </c>
      <c r="BB38" s="95">
        <f t="shared" si="0"/>
        <v>0</v>
      </c>
      <c r="BD38" s="320">
        <v>9257257</v>
      </c>
      <c r="BE38" s="321" t="str">
        <f>VLOOKUP(BD38,CENY!$B$11:$G$1054,2,FALSE)</f>
        <v>AvanY-prích.čela Inlay k naskrutk./ v187</v>
      </c>
      <c r="BF38" s="22">
        <f>VLOOKUP(BD38,CENY!$B$11:$G$1054,3,FALSE)</f>
        <v>100</v>
      </c>
      <c r="BG38" s="22"/>
      <c r="BH38" s="68">
        <f>2*(AY3)*(SUM(W20:AD20)+SUM(W22:AF22)+SUM(W28:AD28))</f>
        <v>0</v>
      </c>
      <c r="BI38" s="326">
        <f t="shared" si="2"/>
        <v>0</v>
      </c>
      <c r="BJ38" s="95">
        <f>VLOOKUP(BD38,CENY!$B$11:$M$2025,12,FALSE)</f>
        <v>2.4404300000000001</v>
      </c>
      <c r="BK38" s="95">
        <f t="shared" si="3"/>
        <v>0</v>
      </c>
    </row>
    <row r="39" spans="47:63" ht="14.45" customHeight="1">
      <c r="AU39" s="319">
        <f>OBJ!B247</f>
        <v>9318191</v>
      </c>
      <c r="AV39" s="21" t="str">
        <f>VLOOKUP(AU39,CENY!$B$11:$G$1054,2,FALSE)</f>
        <v>Actro You(L) 450/SiSy 40kg; EB21</v>
      </c>
      <c r="AW39" s="22">
        <f>VLOOKUP(AU39,CENY!$B$11:$G$1054,3,FALSE)</f>
        <v>1</v>
      </c>
      <c r="AX39" s="362">
        <v>10</v>
      </c>
      <c r="AY39" s="23">
        <f>SUM(AY1:AY4)*W20</f>
        <v>0</v>
      </c>
      <c r="AZ39" s="326">
        <f t="shared" si="1"/>
        <v>0</v>
      </c>
      <c r="BA39" s="95">
        <f>VLOOKUP(AU39,CENY!$B$11:$M$2025,12,FALSE)</f>
        <v>32.324420000000003</v>
      </c>
      <c r="BB39" s="95">
        <f t="shared" si="0"/>
        <v>0</v>
      </c>
      <c r="BD39" s="319">
        <f>OBJ!B48</f>
        <v>9257702</v>
      </c>
      <c r="BE39" s="21" t="str">
        <f>VLOOKUP(BD39,CENY!$B$11:$G$1054,2,FALSE)</f>
        <v>AvanY-stabilizátor chrbáta</v>
      </c>
      <c r="BF39" s="22">
        <f>VLOOKUP(BD39,CENY!$B$11:$G$1054,3,FALSE)</f>
        <v>200</v>
      </c>
      <c r="BG39" s="22"/>
      <c r="BH39" s="23">
        <f>2*(SUM(AY1:AY4)*(SUM(W20:AD20)+SUM(W22:AF22)+SUM(W28:AD28)))</f>
        <v>0</v>
      </c>
      <c r="BI39" s="326">
        <f t="shared" si="2"/>
        <v>0</v>
      </c>
      <c r="BJ39" s="95">
        <f>VLOOKUP(BD39,CENY!$B$11:$M$2025,12,FALSE)</f>
        <v>0.74794000000000005</v>
      </c>
      <c r="BK39" s="95">
        <f t="shared" si="3"/>
        <v>0</v>
      </c>
    </row>
    <row r="40" spans="47:63" ht="14.45" customHeight="1">
      <c r="AU40" s="319">
        <f>OBJ!B248</f>
        <v>9318192</v>
      </c>
      <c r="AV40" s="21" t="str">
        <f>VLOOKUP(AU40,CENY!$B$11:$G$1054,2,FALSE)</f>
        <v>Actro You(L) 500/SiSy 40kg; EB21</v>
      </c>
      <c r="AW40" s="22">
        <f>VLOOKUP(AU40,CENY!$B$11:$G$1054,3,FALSE)</f>
        <v>1</v>
      </c>
      <c r="AX40" s="362">
        <v>10</v>
      </c>
      <c r="AY40" s="23">
        <f>SUM(AY1:AY4)*Y20</f>
        <v>0</v>
      </c>
      <c r="AZ40" s="326">
        <f t="shared" si="1"/>
        <v>0</v>
      </c>
      <c r="BA40" s="95">
        <f>VLOOKUP(AU40,CENY!$B$11:$M$2025,12,FALSE)</f>
        <v>6.5957299999999996</v>
      </c>
      <c r="BB40" s="95">
        <f t="shared" si="0"/>
        <v>0</v>
      </c>
      <c r="BD40" s="20"/>
      <c r="BE40" s="21"/>
      <c r="BF40" s="22"/>
      <c r="BG40" s="22"/>
      <c r="BH40" s="23"/>
      <c r="BI40" s="326" t="str">
        <f t="shared" si="2"/>
        <v/>
      </c>
      <c r="BJ40" s="95"/>
      <c r="BK40" s="95" t="str">
        <f t="shared" si="3"/>
        <v/>
      </c>
    </row>
    <row r="41" spans="47:63" ht="14.45" customHeight="1">
      <c r="AU41" s="319">
        <f>OBJ!B249</f>
        <v>9318194</v>
      </c>
      <c r="AV41" s="21" t="str">
        <f>VLOOKUP(AU41,CENY!$B$11:$G$1054,2,FALSE)</f>
        <v>Actro You(L) 550/SiSy 40kg; EB21</v>
      </c>
      <c r="AW41" s="22">
        <f>VLOOKUP(AU41,CENY!$B$11:$G$1054,3,FALSE)</f>
        <v>1</v>
      </c>
      <c r="AX41" s="362">
        <v>10</v>
      </c>
      <c r="AY41" s="23">
        <f>SUM(AY1:AY4)*AA20</f>
        <v>0</v>
      </c>
      <c r="AZ41" s="326">
        <f t="shared" si="1"/>
        <v>0</v>
      </c>
      <c r="BA41" s="95">
        <f>VLOOKUP(AU41,CENY!$B$11:$M$2025,12,FALSE)</f>
        <v>6.9728000000000003</v>
      </c>
      <c r="BB41" s="95">
        <f t="shared" si="0"/>
        <v>0</v>
      </c>
      <c r="BD41" s="319">
        <f>OBJ!B71</f>
        <v>9347502</v>
      </c>
      <c r="BE41" s="21" t="str">
        <f>VLOOKUP(BD41,CENY!$B$11:$G$1054,2,FALSE)</f>
        <v>AvanY-design ALprofil Hybrid na bok 270/ strieb.</v>
      </c>
      <c r="BF41" s="22">
        <f>VLOOKUP(BD41,CENY!$B$11:$G$1054,3,FALSE)</f>
        <v>200</v>
      </c>
      <c r="BG41" s="22"/>
      <c r="BH41" s="68"/>
      <c r="BI41" s="326" t="str">
        <f t="shared" si="2"/>
        <v/>
      </c>
      <c r="BJ41" s="95">
        <f>VLOOKUP(BD41,CENY!$B$11:$M$2025,12,FALSE)</f>
        <v>0.95189000000000001</v>
      </c>
      <c r="BK41" s="95">
        <f t="shared" si="3"/>
        <v>0</v>
      </c>
    </row>
    <row r="42" spans="47:63" ht="14.45" customHeight="1">
      <c r="AU42" s="319">
        <f>OBJ!B250</f>
        <v>9318196</v>
      </c>
      <c r="AV42" s="21" t="str">
        <f>VLOOKUP(AU42,CENY!$B$11:$G$1054,2,FALSE)</f>
        <v>Actro You(L) 600/SiSy 40kg; EB21</v>
      </c>
      <c r="AW42" s="22">
        <f>VLOOKUP(AU42,CENY!$B$11:$G$1054,3,FALSE)</f>
        <v>1</v>
      </c>
      <c r="AX42" s="362">
        <v>10</v>
      </c>
      <c r="AY42" s="23">
        <f>SUM(AY1:AY4)*AC20</f>
        <v>0</v>
      </c>
      <c r="AZ42" s="326">
        <f t="shared" si="1"/>
        <v>0</v>
      </c>
      <c r="BA42" s="95">
        <f>VLOOKUP(AU42,CENY!$B$11:$M$2025,12,FALSE)</f>
        <v>34.956960000000002</v>
      </c>
      <c r="BB42" s="95">
        <f t="shared" si="0"/>
        <v>0</v>
      </c>
      <c r="BD42" s="319">
        <f>OBJ!B72</f>
        <v>9347503</v>
      </c>
      <c r="BE42" s="21" t="str">
        <f>VLOOKUP(BD42,CENY!$B$11:$G$1054,2,FALSE)</f>
        <v>AvanY-design ALprofil Hybrid na bok 300/ strieb.</v>
      </c>
      <c r="BF42" s="22">
        <f>VLOOKUP(BD42,CENY!$B$11:$G$1054,3,FALSE)</f>
        <v>200</v>
      </c>
      <c r="BG42" s="22"/>
      <c r="BH42" s="68"/>
      <c r="BI42" s="326" t="str">
        <f t="shared" si="2"/>
        <v/>
      </c>
      <c r="BJ42" s="95">
        <f>VLOOKUP(BD42,CENY!$B$11:$M$2025,12,FALSE)</f>
        <v>0.96240999999999999</v>
      </c>
      <c r="BK42" s="95">
        <f t="shared" si="3"/>
        <v>0</v>
      </c>
    </row>
    <row r="43" spans="47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OBJ!B73</f>
        <v>9347504</v>
      </c>
      <c r="BE43" s="21" t="str">
        <f>VLOOKUP(BD43,CENY!$B$11:$G$1054,2,FALSE)</f>
        <v>AvanY-design ALprofil Hybrid na bok 350/ strieb.</v>
      </c>
      <c r="BF43" s="22">
        <f>VLOOKUP(BD43,CENY!$B$11:$G$1054,3,FALSE)</f>
        <v>200</v>
      </c>
      <c r="BG43" s="22"/>
      <c r="BH43" s="68"/>
      <c r="BI43" s="326" t="str">
        <f t="shared" si="2"/>
        <v/>
      </c>
      <c r="BJ43" s="95">
        <f>VLOOKUP(BD43,CENY!$B$11:$M$2025,12,FALSE)</f>
        <v>0.98018000000000005</v>
      </c>
      <c r="BK43" s="95">
        <f t="shared" si="3"/>
        <v>0</v>
      </c>
    </row>
    <row r="44" spans="47:63" ht="14.45" customHeight="1">
      <c r="AU44" s="319">
        <f>OBJ!B268</f>
        <v>9318215</v>
      </c>
      <c r="AV44" s="21" t="str">
        <f>VLOOKUP(AU44,CENY!$B$11:$G$1054,2,FALSE)</f>
        <v>Actro You(XL) 450/SiSy 70kg; EB21</v>
      </c>
      <c r="AW44" s="22">
        <f>VLOOKUP(AU44,CENY!$B$11:$G$1054,3,FALSE)</f>
        <v>1</v>
      </c>
      <c r="AX44" s="362">
        <v>10</v>
      </c>
      <c r="AY44" s="23">
        <f>SUM(AY1:AY4)*W22</f>
        <v>0</v>
      </c>
      <c r="AZ44" s="326">
        <f t="shared" si="1"/>
        <v>0</v>
      </c>
      <c r="BA44" s="95">
        <f>VLOOKUP(AU44,CENY!$B$11:$M$2025,12,FALSE)</f>
        <v>7.9265800000000004</v>
      </c>
      <c r="BB44" s="95">
        <f t="shared" si="0"/>
        <v>0</v>
      </c>
      <c r="BD44" s="319">
        <f>OBJ!B74</f>
        <v>9347505</v>
      </c>
      <c r="BE44" s="21" t="str">
        <f>VLOOKUP(BD44,CENY!$B$11:$G$1054,2,FALSE)</f>
        <v>AvanY-design ALprofil Hybrid na bok 400/ strieb.</v>
      </c>
      <c r="BF44" s="22">
        <f>VLOOKUP(BD44,CENY!$B$11:$G$1054,3,FALSE)</f>
        <v>200</v>
      </c>
      <c r="BG44" s="22"/>
      <c r="BH44" s="68"/>
      <c r="BI44" s="326" t="str">
        <f t="shared" si="2"/>
        <v/>
      </c>
      <c r="BJ44" s="95">
        <f>VLOOKUP(BD44,CENY!$B$11:$M$2025,12,FALSE)</f>
        <v>0.99777000000000005</v>
      </c>
      <c r="BK44" s="95">
        <f t="shared" si="3"/>
        <v>0</v>
      </c>
    </row>
    <row r="45" spans="47:63" ht="14.45" customHeight="1">
      <c r="AU45" s="319">
        <f>OBJ!B269</f>
        <v>9318216</v>
      </c>
      <c r="AV45" s="21" t="str">
        <f>VLOOKUP(AU45,CENY!$B$11:$G$1054,2,FALSE)</f>
        <v>Actro You(XL) 500/SiSy 70kg; EB21</v>
      </c>
      <c r="AW45" s="22">
        <f>VLOOKUP(AU45,CENY!$B$11:$G$1054,3,FALSE)</f>
        <v>1</v>
      </c>
      <c r="AX45" s="362">
        <v>10</v>
      </c>
      <c r="AY45" s="23">
        <f>SUM(AY1:AY4)*Y22</f>
        <v>0</v>
      </c>
      <c r="AZ45" s="326">
        <f t="shared" si="1"/>
        <v>0</v>
      </c>
      <c r="BA45" s="95">
        <f>VLOOKUP(AU45,CENY!$B$11:$M$2025,12,FALSE)</f>
        <v>39.622210000000003</v>
      </c>
      <c r="BB45" s="95">
        <f t="shared" si="0"/>
        <v>0</v>
      </c>
      <c r="BD45" s="319">
        <f>OBJ!B75</f>
        <v>9347506</v>
      </c>
      <c r="BE45" s="21" t="str">
        <f>VLOOKUP(BD45,CENY!$B$11:$G$1054,2,FALSE)</f>
        <v>AvanY-design ALprofil Hybrid na bok 450/ strieb.</v>
      </c>
      <c r="BF45" s="22">
        <f>VLOOKUP(BD45,CENY!$B$11:$G$1054,3,FALSE)</f>
        <v>200</v>
      </c>
      <c r="BG45" s="22"/>
      <c r="BH45" s="23">
        <f>2*SUM(AY1:AY2)*(W20+W22+W28)</f>
        <v>0</v>
      </c>
      <c r="BI45" s="326">
        <f t="shared" si="2"/>
        <v>0</v>
      </c>
      <c r="BJ45" s="95">
        <f>VLOOKUP(BD45,CENY!$B$11:$M$2025,12,FALSE)</f>
        <v>1.01556</v>
      </c>
      <c r="BK45" s="95">
        <f t="shared" si="3"/>
        <v>0</v>
      </c>
    </row>
    <row r="46" spans="47:63" ht="14.45" customHeight="1">
      <c r="AU46" s="319">
        <f>OBJ!B270</f>
        <v>9318217</v>
      </c>
      <c r="AV46" s="21" t="str">
        <f>VLOOKUP(AU46,CENY!$B$11:$G$1054,2,FALSE)</f>
        <v>Actro You(XL) 550/SiSy 70kg; EB21</v>
      </c>
      <c r="AW46" s="22">
        <f>VLOOKUP(AU46,CENY!$B$11:$G$1054,3,FALSE)</f>
        <v>1</v>
      </c>
      <c r="AX46" s="362">
        <v>10</v>
      </c>
      <c r="AY46" s="23">
        <f>SUM(AY1:AY4)*AA22</f>
        <v>0</v>
      </c>
      <c r="AZ46" s="326">
        <f t="shared" si="1"/>
        <v>0</v>
      </c>
      <c r="BA46" s="95">
        <f>VLOOKUP(AU46,CENY!$B$11:$M$2025,12,FALSE)</f>
        <v>41.504899999999999</v>
      </c>
      <c r="BB46" s="95">
        <f t="shared" si="0"/>
        <v>0</v>
      </c>
      <c r="BD46" s="319">
        <f>OBJ!B76</f>
        <v>9347507</v>
      </c>
      <c r="BE46" s="21" t="str">
        <f>VLOOKUP(BD46,CENY!$B$11:$G$1054,2,FALSE)</f>
        <v>AvanY-design ALprofil Hybrid na bok 500/ strieb.</v>
      </c>
      <c r="BF46" s="22">
        <f>VLOOKUP(BD46,CENY!$B$11:$G$1054,3,FALSE)</f>
        <v>200</v>
      </c>
      <c r="BG46" s="22"/>
      <c r="BH46" s="23">
        <f>2*SUM(AY1:AY2)*(Y20+Y22+Y28)</f>
        <v>0</v>
      </c>
      <c r="BI46" s="326">
        <f t="shared" si="2"/>
        <v>0</v>
      </c>
      <c r="BJ46" s="95">
        <f>VLOOKUP(BD46,CENY!$B$11:$M$2025,12,FALSE)</f>
        <v>1.0332399999999999</v>
      </c>
      <c r="BK46" s="95">
        <f t="shared" si="3"/>
        <v>0</v>
      </c>
    </row>
    <row r="47" spans="47:63" ht="14.45" customHeight="1">
      <c r="AU47" s="319">
        <f>OBJ!B271</f>
        <v>9318218</v>
      </c>
      <c r="AV47" s="21" t="str">
        <f>VLOOKUP(AU47,CENY!$B$11:$G$1054,2,FALSE)</f>
        <v>Actro You(XL) 600/SiSy 70kg; EB21</v>
      </c>
      <c r="AW47" s="22">
        <f>VLOOKUP(AU47,CENY!$B$11:$G$1054,3,FALSE)</f>
        <v>1</v>
      </c>
      <c r="AX47" s="362">
        <v>10</v>
      </c>
      <c r="AY47" s="23">
        <f>SUM(AY1:AY4)*AC22</f>
        <v>0</v>
      </c>
      <c r="AZ47" s="326">
        <f t="shared" si="1"/>
        <v>0</v>
      </c>
      <c r="BA47" s="95">
        <f>VLOOKUP(AU47,CENY!$B$11:$M$2025,12,FALSE)</f>
        <v>45.308109999999999</v>
      </c>
      <c r="BB47" s="95">
        <f t="shared" si="0"/>
        <v>0</v>
      </c>
      <c r="BD47" s="319">
        <f>OBJ!B77</f>
        <v>9347508</v>
      </c>
      <c r="BE47" s="21" t="str">
        <f>VLOOKUP(BD47,CENY!$B$11:$G$1054,2,FALSE)</f>
        <v>AvanY-design ALprofil Hybrid na bok 550/ strieb.</v>
      </c>
      <c r="BF47" s="22">
        <f>VLOOKUP(BD47,CENY!$B$11:$G$1054,3,FALSE)</f>
        <v>200</v>
      </c>
      <c r="BG47" s="22"/>
      <c r="BH47" s="23">
        <f>2*SUM(AY1:AY2)*(AA20+AA22+AA28)</f>
        <v>0</v>
      </c>
      <c r="BI47" s="326">
        <f t="shared" si="2"/>
        <v>0</v>
      </c>
      <c r="BJ47" s="95">
        <f>VLOOKUP(BD47,CENY!$B$11:$M$2025,12,FALSE)</f>
        <v>1.0508599999999999</v>
      </c>
      <c r="BK47" s="95">
        <f t="shared" si="3"/>
        <v>0</v>
      </c>
    </row>
    <row r="48" spans="47:63" ht="14.45" customHeight="1">
      <c r="AU48" s="319">
        <f>OBJ!B272</f>
        <v>9318219</v>
      </c>
      <c r="AV48" s="21" t="str">
        <f>VLOOKUP(AU48,CENY!$B$11:$G$1054,2,FALSE)</f>
        <v>Actro You(XL) 650/SiSy 70kg; EB21</v>
      </c>
      <c r="AW48" s="22">
        <f>VLOOKUP(AU48,CENY!$B$11:$G$1054,3,FALSE)</f>
        <v>1</v>
      </c>
      <c r="AX48" s="362">
        <v>10</v>
      </c>
      <c r="AY48" s="23">
        <f>SUM(AY1:AY4)*AE22</f>
        <v>0</v>
      </c>
      <c r="AZ48" s="326">
        <f t="shared" si="1"/>
        <v>0</v>
      </c>
      <c r="BA48" s="95">
        <f>VLOOKUP(AU48,CENY!$B$11:$M$2025,12,FALSE)</f>
        <v>47.02431</v>
      </c>
      <c r="BB48" s="95">
        <f t="shared" si="0"/>
        <v>0</v>
      </c>
      <c r="BD48" s="319">
        <f>OBJ!B78</f>
        <v>9347509</v>
      </c>
      <c r="BE48" s="21" t="str">
        <f>VLOOKUP(BD48,CENY!$B$11:$G$1054,2,FALSE)</f>
        <v>AvanY-design ALprofil Hybrid na bok 600/ strieb.</v>
      </c>
      <c r="BF48" s="22">
        <f>VLOOKUP(BD48,CENY!$B$11:$G$1054,3,FALSE)</f>
        <v>200</v>
      </c>
      <c r="BG48" s="22"/>
      <c r="BH48" s="23">
        <f>2*SUM(AY1:AY2)*(AC20+AC22+AC28)</f>
        <v>0</v>
      </c>
      <c r="BI48" s="326">
        <f t="shared" si="2"/>
        <v>0</v>
      </c>
      <c r="BJ48" s="95">
        <f>VLOOKUP(BD48,CENY!$B$11:$M$2025,12,FALSE)</f>
        <v>1.09639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OBJ!B79</f>
        <v>9347510</v>
      </c>
      <c r="BE49" s="21" t="str">
        <f>VLOOKUP(BD49,CENY!$B$11:$G$1054,2,FALSE)</f>
        <v>AvanY-design ALprofil Hybrid na bok 650/ strieb.</v>
      </c>
      <c r="BF49" s="22">
        <f>VLOOKUP(BD49,CENY!$B$11:$G$1054,3,FALSE)</f>
        <v>200</v>
      </c>
      <c r="BG49" s="22"/>
      <c r="BH49" s="23">
        <f>2*SUM(AY1:AY2)*AE22</f>
        <v>0</v>
      </c>
      <c r="BI49" s="326">
        <f t="shared" si="2"/>
        <v>0</v>
      </c>
      <c r="BJ49" s="95">
        <f>VLOOKUP(BD49,CENY!$B$11:$M$2025,12,FALSE)</f>
        <v>1.1824300000000001</v>
      </c>
      <c r="BK49" s="95">
        <f t="shared" si="3"/>
        <v>0</v>
      </c>
    </row>
    <row r="50" spans="47:63" ht="14.45" customHeight="1">
      <c r="AU50" s="319">
        <f>OBJ!B284</f>
        <v>9257890</v>
      </c>
      <c r="AV50" s="21" t="str">
        <f>VLOOKUP(AU50,CENY!$B$11:$G$1054,2,FALSE)</f>
        <v>Actro You - Push to open Silent; &lt;10kg</v>
      </c>
      <c r="AW50" s="22">
        <f>VLOOKUP(AU50,CENY!$B$11:$G$1054,3,FALSE)</f>
        <v>1</v>
      </c>
      <c r="AX50" s="22"/>
      <c r="AY50" s="68"/>
      <c r="AZ50" s="326" t="str">
        <f t="shared" si="1"/>
        <v/>
      </c>
      <c r="BA50" s="95">
        <f>VLOOKUP(AU50,CENY!$B$11:$M$2025,12,FALSE)</f>
        <v>23.177009999999999</v>
      </c>
      <c r="BB50" s="95">
        <f t="shared" si="0"/>
        <v>0</v>
      </c>
      <c r="BD50" s="319"/>
      <c r="BE50" s="21"/>
      <c r="BF50" s="22"/>
      <c r="BG50" s="22"/>
      <c r="BH50" s="23"/>
      <c r="BI50" s="326" t="str">
        <f t="shared" si="2"/>
        <v/>
      </c>
      <c r="BJ50" s="95"/>
      <c r="BK50" s="95" t="str">
        <f t="shared" si="3"/>
        <v/>
      </c>
    </row>
    <row r="51" spans="47:63" ht="14.45" customHeight="1">
      <c r="AU51" s="319">
        <f>OBJ!B285</f>
        <v>9257891</v>
      </c>
      <c r="AV51" s="21" t="str">
        <f>VLOOKUP(AU51,CENY!$B$11:$G$1054,2,FALSE)</f>
        <v>Actro You - Push to open Silent; 8-20kg</v>
      </c>
      <c r="AW51" s="22">
        <f>VLOOKUP(AU51,CENY!$B$11:$G$1054,3,FALSE)</f>
        <v>1</v>
      </c>
      <c r="AX51" s="22"/>
      <c r="AY51" s="68"/>
      <c r="AZ51" s="326" t="str">
        <f t="shared" si="1"/>
        <v/>
      </c>
      <c r="BA51" s="95">
        <f>VLOOKUP(AU51,CENY!$B$11:$M$2025,12,FALSE)</f>
        <v>23.177009999999999</v>
      </c>
      <c r="BB51" s="95">
        <f t="shared" si="0"/>
        <v>0</v>
      </c>
      <c r="BD51" s="319">
        <f>OBJ!B236</f>
        <v>9318145</v>
      </c>
      <c r="BE51" s="21" t="str">
        <f>VLOOKUP(BD51,CENY!$B$11:$G$1054,2,FALSE)</f>
        <v>Actro You(S) 270/SiSy 10kg; EB21; ľavý</v>
      </c>
      <c r="BF51" s="22">
        <f>VLOOKUP(BD51,CENY!$B$11:$G$1054,3,FALSE)</f>
        <v>10</v>
      </c>
      <c r="BG51" s="22"/>
      <c r="BH51" s="68"/>
      <c r="BI51" s="326" t="str">
        <f t="shared" si="2"/>
        <v/>
      </c>
      <c r="BJ51" s="95" t="e">
        <f>VLOOKUP(BD51,CENY!$B$11:$M$2025,12,FALSE)</f>
        <v>#N/A</v>
      </c>
      <c r="BK51" s="95" t="e">
        <f t="shared" si="3"/>
        <v>#N/A</v>
      </c>
    </row>
    <row r="52" spans="47:63" ht="14.45" customHeight="1">
      <c r="AU52" s="319">
        <f>OBJ!B286</f>
        <v>9257892</v>
      </c>
      <c r="AV52" s="21" t="str">
        <f>VLOOKUP(AU52,CENY!$B$11:$G$1054,2,FALSE)</f>
        <v>Actro You - Push to open Silent; 10-40kg</v>
      </c>
      <c r="AW52" s="22">
        <f>VLOOKUP(AU52,CENY!$B$11:$G$1054,3,FALSE)</f>
        <v>1</v>
      </c>
      <c r="AX52" s="22"/>
      <c r="AY52" s="68"/>
      <c r="AZ52" s="326" t="str">
        <f t="shared" si="1"/>
        <v/>
      </c>
      <c r="BA52" s="95">
        <f>VLOOKUP(AU52,CENY!$B$11:$M$2025,12,FALSE)</f>
        <v>23.177009999999999</v>
      </c>
      <c r="BB52" s="95">
        <f t="shared" si="0"/>
        <v>0</v>
      </c>
      <c r="BD52" s="319">
        <f>OBJ!B237</f>
        <v>9318146</v>
      </c>
      <c r="BE52" s="21" t="str">
        <f>VLOOKUP(BD52,CENY!$B$11:$G$1054,2,FALSE)</f>
        <v>Actro You(S) 270/SiSy 10kg; EB21; pravý</v>
      </c>
      <c r="BF52" s="22">
        <f>VLOOKUP(BD52,CENY!$B$11:$G$1054,3,FALSE)</f>
        <v>10</v>
      </c>
      <c r="BG52" s="22"/>
      <c r="BH52" s="68"/>
      <c r="BI52" s="326" t="str">
        <f t="shared" si="2"/>
        <v/>
      </c>
      <c r="BJ52" s="95" t="e">
        <f>VLOOKUP(BD52,CENY!$B$11:$M$2025,12,FALSE)</f>
        <v>#N/A</v>
      </c>
      <c r="BK52" s="95" t="e">
        <f t="shared" si="3"/>
        <v>#N/A</v>
      </c>
    </row>
    <row r="53" spans="47:63" ht="14.45" customHeight="1">
      <c r="AU53" s="319">
        <f>OBJ!B287</f>
        <v>9257893</v>
      </c>
      <c r="AV53" s="21" t="str">
        <f>VLOOKUP(AU53,CENY!$B$11:$G$1054,2,FALSE)</f>
        <v>Actro You - Push to open Silent; 20-70kg</v>
      </c>
      <c r="AW53" s="22">
        <f>VLOOKUP(AU53,CENY!$B$11:$G$1054,3,FALSE)</f>
        <v>1</v>
      </c>
      <c r="AX53" s="22"/>
      <c r="AY53" s="68"/>
      <c r="AZ53" s="326" t="str">
        <f t="shared" si="1"/>
        <v/>
      </c>
      <c r="BA53" s="95">
        <f>VLOOKUP(AU53,CENY!$B$11:$M$2025,12,FALSE)</f>
        <v>23.177009999999999</v>
      </c>
      <c r="BB53" s="95">
        <f t="shared" si="0"/>
        <v>0</v>
      </c>
      <c r="BD53" s="319">
        <f>OBJ!B238</f>
        <v>9318147</v>
      </c>
      <c r="BE53" s="21" t="str">
        <f>VLOOKUP(BD53,CENY!$B$11:$G$1054,2,FALSE)</f>
        <v>Actro You(S) 300/SiSy 10kg; EB21; ľavý</v>
      </c>
      <c r="BF53" s="22">
        <f>VLOOKUP(BD53,CENY!$B$11:$G$1054,3,FALSE)</f>
        <v>10</v>
      </c>
      <c r="BG53" s="22"/>
      <c r="BH53" s="68"/>
      <c r="BI53" s="326" t="str">
        <f t="shared" si="2"/>
        <v/>
      </c>
      <c r="BJ53" s="95" t="e">
        <f>VLOOKUP(BD53,CENY!$B$11:$M$2025,12,FALSE)</f>
        <v>#N/A</v>
      </c>
      <c r="BK53" s="95" t="e">
        <f t="shared" si="3"/>
        <v>#N/A</v>
      </c>
    </row>
    <row r="54" spans="47:63" ht="14.45" customHeight="1">
      <c r="AU54" s="319">
        <f>OBJ!B288</f>
        <v>9236718</v>
      </c>
      <c r="AV54" s="21" t="str">
        <f>VLOOKUP(AU54,CENY!$B$11:$G$1054,2,FALSE)</f>
        <v>Push to open Synchro / tyč 2.000 mm</v>
      </c>
      <c r="AW54" s="22">
        <f>VLOOKUP(AU54,CENY!$B$11:$G$1054,3,FALSE)</f>
        <v>100</v>
      </c>
      <c r="AX54" s="22"/>
      <c r="AY54" s="68"/>
      <c r="AZ54" s="326" t="str">
        <f t="shared" si="1"/>
        <v/>
      </c>
      <c r="BA54" s="95">
        <f>VLOOKUP(AU54,CENY!$B$11:$M$2025,12,FALSE)</f>
        <v>8.7567500000000003</v>
      </c>
      <c r="BB54" s="95">
        <f t="shared" si="0"/>
        <v>0</v>
      </c>
      <c r="BD54" s="319">
        <f>OBJ!B239</f>
        <v>9318148</v>
      </c>
      <c r="BE54" s="21" t="str">
        <f>VLOOKUP(BD54,CENY!$B$11:$G$1054,2,FALSE)</f>
        <v>Actro You(S) 300/SiSy 10kg; EB21; pravý</v>
      </c>
      <c r="BF54" s="22">
        <f>VLOOKUP(BD54,CENY!$B$11:$G$1054,3,FALSE)</f>
        <v>10</v>
      </c>
      <c r="BG54" s="22"/>
      <c r="BH54" s="68"/>
      <c r="BI54" s="326" t="str">
        <f t="shared" si="2"/>
        <v/>
      </c>
      <c r="BJ54" s="95" t="e">
        <f>VLOOKUP(BD54,CENY!$B$11:$M$2025,12,FALSE)</f>
        <v>#N/A</v>
      </c>
      <c r="BK54" s="95" t="e">
        <f t="shared" si="3"/>
        <v>#N/A</v>
      </c>
    </row>
    <row r="55" spans="47:63" ht="14.45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0"/>
        <v/>
      </c>
      <c r="BD55" s="319">
        <f>OBJ!B240</f>
        <v>9318149</v>
      </c>
      <c r="BE55" s="21" t="str">
        <f>VLOOKUP(BD55,CENY!$B$11:$G$1054,2,FALSE)</f>
        <v>Actro You(S) 350/SiSy 10kg; EB21; ľavý</v>
      </c>
      <c r="BF55" s="22">
        <f>VLOOKUP(BD55,CENY!$B$11:$G$1054,3,FALSE)</f>
        <v>10</v>
      </c>
      <c r="BG55" s="22"/>
      <c r="BH55" s="68"/>
      <c r="BI55" s="326" t="str">
        <f t="shared" si="2"/>
        <v/>
      </c>
      <c r="BJ55" s="95">
        <f>VLOOKUP(BD55,CENY!$B$11:$M$2025,12,FALSE)</f>
        <v>14.37729</v>
      </c>
      <c r="BK55" s="95">
        <f t="shared" si="3"/>
        <v>0</v>
      </c>
    </row>
    <row r="56" spans="47:63" ht="14.45" customHeight="1">
      <c r="AU56" s="319">
        <f>OBJ!B294</f>
        <v>9256953</v>
      </c>
      <c r="AV56" s="21" t="str">
        <f>VLOOKUP(AU56,CENY!$B$11:$G$1054,2,FALSE)</f>
        <v>Quadro You(S) 270/SiSy 10kg; EB21</v>
      </c>
      <c r="AW56" s="22">
        <f>VLOOKUP(AU56,CENY!$B$11:$G$1054,3,FALSE)</f>
        <v>1</v>
      </c>
      <c r="AX56" s="362">
        <v>4</v>
      </c>
      <c r="AY56" s="68"/>
      <c r="AZ56" s="326" t="str">
        <f t="shared" si="1"/>
        <v/>
      </c>
      <c r="BA56" s="95">
        <f>VLOOKUP(AU56,CENY!$B$11:$M$2025,12,FALSE)</f>
        <v>23.022449999999999</v>
      </c>
      <c r="BB56" s="95">
        <f t="shared" si="0"/>
        <v>0</v>
      </c>
      <c r="BD56" s="319">
        <f>OBJ!B241</f>
        <v>9318150</v>
      </c>
      <c r="BE56" s="21" t="str">
        <f>VLOOKUP(BD56,CENY!$B$11:$G$1054,2,FALSE)</f>
        <v>Actro You(S) 350/SiSy 10kg; EB21; pravý</v>
      </c>
      <c r="BF56" s="22">
        <f>VLOOKUP(BD56,CENY!$B$11:$G$1054,3,FALSE)</f>
        <v>10</v>
      </c>
      <c r="BG56" s="22"/>
      <c r="BH56" s="68"/>
      <c r="BI56" s="326" t="str">
        <f t="shared" si="2"/>
        <v/>
      </c>
      <c r="BJ56" s="95">
        <f>VLOOKUP(BD56,CENY!$B$11:$M$2025,12,FALSE)</f>
        <v>14.37729</v>
      </c>
      <c r="BK56" s="95">
        <f t="shared" si="3"/>
        <v>0</v>
      </c>
    </row>
    <row r="57" spans="47:63" ht="14.45" customHeight="1">
      <c r="AU57" s="319">
        <f>OBJ!B295</f>
        <v>9256954</v>
      </c>
      <c r="AV57" s="21" t="str">
        <f>VLOOKUP(AU57,CENY!$B$11:$G$1054,2,FALSE)</f>
        <v>Quadro You(S) 300/SiSy 10kg; EB21</v>
      </c>
      <c r="AW57" s="22">
        <f>VLOOKUP(AU57,CENY!$B$11:$G$1054,3,FALSE)</f>
        <v>1</v>
      </c>
      <c r="AX57" s="362">
        <v>4</v>
      </c>
      <c r="AY57" s="68"/>
      <c r="AZ57" s="326" t="str">
        <f t="shared" si="1"/>
        <v/>
      </c>
      <c r="BA57" s="95">
        <f>VLOOKUP(AU57,CENY!$B$11:$M$2025,12,FALSE)</f>
        <v>23.069210000000002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5" customHeight="1">
      <c r="AU58" s="319">
        <f>OBJ!B296</f>
        <v>9256956</v>
      </c>
      <c r="AV58" s="21" t="str">
        <f>VLOOKUP(AU58,CENY!$B$11:$G$1054,2,FALSE)</f>
        <v>Quadro You(S) 350/SiSy 10kg; EB21</v>
      </c>
      <c r="AW58" s="22">
        <f>VLOOKUP(AU58,CENY!$B$11:$G$1054,3,FALSE)</f>
        <v>1</v>
      </c>
      <c r="AX58" s="362">
        <v>4</v>
      </c>
      <c r="AY58" s="68"/>
      <c r="AZ58" s="326" t="str">
        <f t="shared" si="1"/>
        <v/>
      </c>
      <c r="BA58" s="95">
        <f>VLOOKUP(AU58,CENY!$B$11:$M$2025,12,FALSE)</f>
        <v>23.536069999999999</v>
      </c>
      <c r="BB58" s="95">
        <f t="shared" si="0"/>
        <v>0</v>
      </c>
      <c r="BD58" s="319">
        <f>OBJ!B251</f>
        <v>9318167</v>
      </c>
      <c r="BE58" s="21" t="str">
        <f>VLOOKUP(BD58,CENY!$B$11:$G$1054,2,FALSE)</f>
        <v>Actro You(L) 270/SiSy 40kg; EB21; ľavý</v>
      </c>
      <c r="BF58" s="22">
        <f>VLOOKUP(BD58,CENY!$B$11:$G$1054,3,FALSE)</f>
        <v>10</v>
      </c>
      <c r="BG58" s="22"/>
      <c r="BH58" s="68"/>
      <c r="BI58" s="326" t="str">
        <f t="shared" si="2"/>
        <v/>
      </c>
      <c r="BJ58" s="95" t="e">
        <f>VLOOKUP(BD58,CENY!$B$11:$M$2025,12,FALSE)</f>
        <v>#N/A</v>
      </c>
      <c r="BK58" s="95" t="e">
        <f t="shared" si="3"/>
        <v>#N/A</v>
      </c>
    </row>
    <row r="59" spans="47:63" ht="14.45" customHeight="1">
      <c r="AU59" s="319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si="0"/>
        <v/>
      </c>
      <c r="BD59" s="319">
        <f>OBJ!B252</f>
        <v>9318170</v>
      </c>
      <c r="BE59" s="21" t="str">
        <f>VLOOKUP(BD59,CENY!$B$11:$G$1054,2,FALSE)</f>
        <v>Actro You(L) 270/SiSy 40kg; EB21; pravý</v>
      </c>
      <c r="BF59" s="22">
        <f>VLOOKUP(BD59,CENY!$B$11:$G$1054,3,FALSE)</f>
        <v>10</v>
      </c>
      <c r="BG59" s="22"/>
      <c r="BH59" s="68"/>
      <c r="BI59" s="326" t="str">
        <f t="shared" si="2"/>
        <v/>
      </c>
      <c r="BJ59" s="95" t="e">
        <f>VLOOKUP(BD59,CENY!$B$11:$M$2025,12,FALSE)</f>
        <v>#N/A</v>
      </c>
      <c r="BK59" s="95" t="e">
        <f t="shared" si="3"/>
        <v>#N/A</v>
      </c>
    </row>
    <row r="60" spans="47:63" ht="14.45" customHeight="1">
      <c r="AU60" s="319">
        <f>OBJ!B304</f>
        <v>9256883</v>
      </c>
      <c r="AV60" s="21" t="str">
        <f>VLOOKUP(AU60,CENY!$B$11:$G$1054,2,FALSE)</f>
        <v>Quadro You(M) 270/SiSy 20kg; EB21</v>
      </c>
      <c r="AW60" s="22">
        <f>VLOOKUP(AU60,CENY!$B$11:$G$1054,3,FALSE)</f>
        <v>1</v>
      </c>
      <c r="AX60" s="362">
        <v>8</v>
      </c>
      <c r="AY60" s="68"/>
      <c r="AZ60" s="326" t="str">
        <f t="shared" si="1"/>
        <v/>
      </c>
      <c r="BA60" s="95">
        <f>VLOOKUP(AU60,CENY!$B$11:$M$2025,12,FALSE)</f>
        <v>23.022449999999999</v>
      </c>
      <c r="BB60" s="95">
        <f t="shared" si="0"/>
        <v>0</v>
      </c>
      <c r="BD60" s="319">
        <f>OBJ!B253</f>
        <v>9318171</v>
      </c>
      <c r="BE60" s="21" t="str">
        <f>VLOOKUP(BD60,CENY!$B$11:$G$1054,2,FALSE)</f>
        <v>Actro You(L) 300/SiSy 40kg; EB21; ľavý</v>
      </c>
      <c r="BF60" s="22">
        <f>VLOOKUP(BD60,CENY!$B$11:$G$1054,3,FALSE)</f>
        <v>10</v>
      </c>
      <c r="BG60" s="22"/>
      <c r="BH60" s="68"/>
      <c r="BI60" s="326" t="str">
        <f t="shared" si="2"/>
        <v/>
      </c>
      <c r="BJ60" s="95">
        <f>VLOOKUP(BD60,CENY!$B$11:$M$2025,12,FALSE)</f>
        <v>14.37729</v>
      </c>
      <c r="BK60" s="95">
        <f t="shared" si="3"/>
        <v>0</v>
      </c>
    </row>
    <row r="61" spans="47:63" ht="14.45" customHeight="1">
      <c r="AU61" s="319">
        <f>OBJ!B305</f>
        <v>9256884</v>
      </c>
      <c r="AV61" s="21" t="str">
        <f>VLOOKUP(AU61,CENY!$B$11:$G$1054,2,FALSE)</f>
        <v>Quadro You(M) 300/SiSy 20kg; EB21</v>
      </c>
      <c r="AW61" s="22">
        <f>VLOOKUP(AU61,CENY!$B$11:$G$1054,3,FALSE)</f>
        <v>1</v>
      </c>
      <c r="AX61" s="362">
        <v>8</v>
      </c>
      <c r="AY61" s="68"/>
      <c r="AZ61" s="326" t="str">
        <f t="shared" si="1"/>
        <v/>
      </c>
      <c r="BA61" s="95">
        <f>VLOOKUP(AU61,CENY!$B$11:$M$2025,12,FALSE)</f>
        <v>23.069210000000002</v>
      </c>
      <c r="BB61" s="95">
        <f t="shared" si="0"/>
        <v>0</v>
      </c>
      <c r="BD61" s="319">
        <f>OBJ!B254</f>
        <v>9318172</v>
      </c>
      <c r="BE61" s="21" t="str">
        <f>VLOOKUP(BD61,CENY!$B$11:$G$1054,2,FALSE)</f>
        <v>Actro You(L) 300/SiSy 40kg; EB21; pravý</v>
      </c>
      <c r="BF61" s="22">
        <f>VLOOKUP(BD61,CENY!$B$11:$G$1054,3,FALSE)</f>
        <v>10</v>
      </c>
      <c r="BG61" s="22"/>
      <c r="BH61" s="68"/>
      <c r="BI61" s="326" t="str">
        <f t="shared" si="2"/>
        <v/>
      </c>
      <c r="BJ61" s="95">
        <f>VLOOKUP(BD61,CENY!$B$11:$M$2025,12,FALSE)</f>
        <v>14.37729</v>
      </c>
      <c r="BK61" s="95">
        <f t="shared" si="3"/>
        <v>0</v>
      </c>
    </row>
    <row r="62" spans="47:63" ht="14.45" customHeight="1">
      <c r="AU62" s="319">
        <f>OBJ!B306</f>
        <v>9256886</v>
      </c>
      <c r="AV62" s="21" t="str">
        <f>VLOOKUP(AU62,CENY!$B$11:$G$1054,2,FALSE)</f>
        <v>Quadro You(M) 350/SiSy 25kg; EB21</v>
      </c>
      <c r="AW62" s="22">
        <f>VLOOKUP(AU62,CENY!$B$11:$G$1054,3,FALSE)</f>
        <v>1</v>
      </c>
      <c r="AX62" s="362">
        <v>8</v>
      </c>
      <c r="AY62" s="68"/>
      <c r="AZ62" s="326" t="str">
        <f t="shared" si="1"/>
        <v/>
      </c>
      <c r="BA62" s="95" t="e">
        <f>VLOOKUP(AU62,CENY!$B$11:$M$2025,12,FALSE)</f>
        <v>#N/A</v>
      </c>
      <c r="BB62" s="95" t="e">
        <f t="shared" si="0"/>
        <v>#N/A</v>
      </c>
      <c r="BD62" s="319">
        <f>OBJ!B255</f>
        <v>9318173</v>
      </c>
      <c r="BE62" s="21" t="str">
        <f>VLOOKUP(BD62,CENY!$B$11:$G$1054,2,FALSE)</f>
        <v>Actro You(L) 350/SiSy 40kg; EB21; ľavý</v>
      </c>
      <c r="BF62" s="22">
        <f>VLOOKUP(BD62,CENY!$B$11:$G$1054,3,FALSE)</f>
        <v>10</v>
      </c>
      <c r="BG62" s="22"/>
      <c r="BH62" s="68"/>
      <c r="BI62" s="326" t="str">
        <f t="shared" si="2"/>
        <v/>
      </c>
      <c r="BJ62" s="95">
        <f>VLOOKUP(BD62,CENY!$B$11:$M$2025,12,FALSE)</f>
        <v>14.37729</v>
      </c>
      <c r="BK62" s="95">
        <f t="shared" si="3"/>
        <v>0</v>
      </c>
    </row>
    <row r="63" spans="47:63" ht="14.45" customHeight="1">
      <c r="AU63" s="319">
        <f>OBJ!B307</f>
        <v>9256888</v>
      </c>
      <c r="AV63" s="21" t="str">
        <f>VLOOKUP(AU63,CENY!$B$11:$G$1054,2,FALSE)</f>
        <v>Quadro You(M) 400/SiSy 30kg; EB21</v>
      </c>
      <c r="AW63" s="22">
        <f>VLOOKUP(AU63,CENY!$B$11:$G$1054,3,FALSE)</f>
        <v>1</v>
      </c>
      <c r="AX63" s="362">
        <v>8</v>
      </c>
      <c r="AY63" s="68"/>
      <c r="AZ63" s="326" t="str">
        <f t="shared" si="1"/>
        <v/>
      </c>
      <c r="BA63" s="95">
        <f>VLOOKUP(AU63,CENY!$B$11:$M$2025,12,FALSE)</f>
        <v>24.002659999999999</v>
      </c>
      <c r="BB63" s="95">
        <f t="shared" si="0"/>
        <v>0</v>
      </c>
      <c r="BD63" s="319">
        <f>OBJ!B256</f>
        <v>9318174</v>
      </c>
      <c r="BE63" s="21" t="str">
        <f>VLOOKUP(BD63,CENY!$B$11:$G$1054,2,FALSE)</f>
        <v>Actro You(L) 350/SiSy 40kg; EB21; pravý</v>
      </c>
      <c r="BF63" s="22">
        <f>VLOOKUP(BD63,CENY!$B$11:$G$1054,3,FALSE)</f>
        <v>10</v>
      </c>
      <c r="BG63" s="22"/>
      <c r="BH63" s="68"/>
      <c r="BI63" s="326" t="str">
        <f t="shared" si="2"/>
        <v/>
      </c>
      <c r="BJ63" s="95" t="e">
        <f>VLOOKUP(BD63,CENY!$B$11:$M$2025,12,FALSE)</f>
        <v>#N/A</v>
      </c>
      <c r="BK63" s="95" t="e">
        <f t="shared" si="3"/>
        <v>#N/A</v>
      </c>
    </row>
    <row r="64" spans="47:63" ht="14.45" customHeight="1">
      <c r="AU64" s="319">
        <f>OBJ!B308</f>
        <v>9256890</v>
      </c>
      <c r="AV64" s="21" t="str">
        <f>VLOOKUP(AU64,CENY!$B$11:$G$1054,2,FALSE)</f>
        <v>Quadro You(M) 450/SiSy 30kg; EB21</v>
      </c>
      <c r="AW64" s="22">
        <f>VLOOKUP(AU64,CENY!$B$11:$G$1054,3,FALSE)</f>
        <v>1</v>
      </c>
      <c r="AX64" s="362">
        <v>8</v>
      </c>
      <c r="AY64" s="23">
        <f>SUM(AY1:AY4)*W28</f>
        <v>0</v>
      </c>
      <c r="AZ64" s="326">
        <f t="shared" si="1"/>
        <v>0</v>
      </c>
      <c r="BA64" s="95">
        <f>VLOOKUP(AU64,CENY!$B$11:$M$2025,12,FALSE)</f>
        <v>4.9393000000000002</v>
      </c>
      <c r="BB64" s="95">
        <f t="shared" si="0"/>
        <v>0</v>
      </c>
      <c r="BD64" s="319">
        <f>OBJ!B257</f>
        <v>9318175</v>
      </c>
      <c r="BE64" s="21" t="str">
        <f>VLOOKUP(BD64,CENY!$B$11:$G$1054,2,FALSE)</f>
        <v>Actro You(L) 400/SiSy 40kg; EB21; ľavý</v>
      </c>
      <c r="BF64" s="22">
        <f>VLOOKUP(BD64,CENY!$B$11:$G$1054,3,FALSE)</f>
        <v>10</v>
      </c>
      <c r="BG64" s="22"/>
      <c r="BH64" s="68"/>
      <c r="BI64" s="326" t="str">
        <f t="shared" si="2"/>
        <v/>
      </c>
      <c r="BJ64" s="95">
        <f>VLOOKUP(BD64,CENY!$B$11:$M$2025,12,FALSE)</f>
        <v>14.56085</v>
      </c>
      <c r="BK64" s="95">
        <f t="shared" si="3"/>
        <v>0</v>
      </c>
    </row>
    <row r="65" spans="1:63" ht="14.45" customHeight="1">
      <c r="AU65" s="319">
        <f>OBJ!B309</f>
        <v>9256892</v>
      </c>
      <c r="AV65" s="21" t="str">
        <f>VLOOKUP(AU65,CENY!$B$11:$G$1054,2,FALSE)</f>
        <v>Quadro You(M) 500/SiSy 30kg; EB21</v>
      </c>
      <c r="AW65" s="22">
        <f>VLOOKUP(AU65,CENY!$B$11:$G$1054,3,FALSE)</f>
        <v>1</v>
      </c>
      <c r="AX65" s="362">
        <v>8</v>
      </c>
      <c r="AY65" s="23">
        <f>SUM(AY1:AY4)*Y28</f>
        <v>0</v>
      </c>
      <c r="AZ65" s="326">
        <f t="shared" si="1"/>
        <v>0</v>
      </c>
      <c r="BA65" s="95">
        <f>VLOOKUP(AU65,CENY!$B$11:$M$2025,12,FALSE)</f>
        <v>23.748699999999999</v>
      </c>
      <c r="BB65" s="95">
        <f t="shared" si="0"/>
        <v>0</v>
      </c>
      <c r="BD65" s="319">
        <f>OBJ!B258</f>
        <v>9318176</v>
      </c>
      <c r="BE65" s="21" t="str">
        <f>VLOOKUP(BD65,CENY!$B$11:$G$1054,2,FALSE)</f>
        <v>Actro You(L) 400/SiSy 40kg; EB21; pravý</v>
      </c>
      <c r="BF65" s="22">
        <f>VLOOKUP(BD65,CENY!$B$11:$G$1054,3,FALSE)</f>
        <v>10</v>
      </c>
      <c r="BG65" s="22"/>
      <c r="BH65" s="68"/>
      <c r="BI65" s="326" t="str">
        <f t="shared" si="2"/>
        <v/>
      </c>
      <c r="BJ65" s="95">
        <f>VLOOKUP(BD65,CENY!$B$11:$M$2025,12,FALSE)</f>
        <v>14.56085</v>
      </c>
      <c r="BK65" s="95">
        <f t="shared" si="3"/>
        <v>0</v>
      </c>
    </row>
    <row r="66" spans="1:63" ht="12.95" customHeight="1" thickBot="1">
      <c r="A66" s="579"/>
      <c r="AU66" s="319">
        <f>OBJ!B310</f>
        <v>9256894</v>
      </c>
      <c r="AV66" s="21" t="str">
        <f>VLOOKUP(AU66,CENY!$B$11:$G$1054,2,FALSE)</f>
        <v>Quadro You(M) 550/SiSy 30kg; EB21</v>
      </c>
      <c r="AW66" s="22">
        <f>VLOOKUP(AU66,CENY!$B$11:$G$1054,3,FALSE)</f>
        <v>1</v>
      </c>
      <c r="AX66" s="362">
        <v>8</v>
      </c>
      <c r="AY66" s="23">
        <f>SUM(AY1:AY4)*AA28</f>
        <v>0</v>
      </c>
      <c r="AZ66" s="326">
        <f t="shared" si="1"/>
        <v>0</v>
      </c>
      <c r="BA66" s="95">
        <f>VLOOKUP(AU66,CENY!$B$11:$M$2025,12,FALSE)</f>
        <v>5.1277499999999998</v>
      </c>
      <c r="BB66" s="95">
        <f t="shared" si="0"/>
        <v>0</v>
      </c>
      <c r="BD66" s="319">
        <f>OBJ!B259</f>
        <v>9318177</v>
      </c>
      <c r="BE66" s="21" t="str">
        <f>VLOOKUP(BD66,CENY!$B$11:$G$1054,2,FALSE)</f>
        <v>Actro You(L) 450/SiSy 40kg; EB21; ľavý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 t="e">
        <f>VLOOKUP(BD66,CENY!$B$11:$M$2025,12,FALSE)</f>
        <v>#N/A</v>
      </c>
      <c r="BK66" s="95" t="e">
        <f t="shared" si="3"/>
        <v>#N/A</v>
      </c>
    </row>
    <row r="67" spans="1:63" ht="23.1" customHeight="1" thickBot="1">
      <c r="A67" s="579"/>
      <c r="B67" s="486" t="str">
        <f>verze!E13</f>
        <v>&lt;&lt;  späť</v>
      </c>
      <c r="C67" s="487"/>
      <c r="D67" s="487"/>
      <c r="E67" s="488"/>
      <c r="G67" s="515" t="str">
        <f>verze!E6</f>
        <v xml:space="preserve"> Úvod</v>
      </c>
      <c r="H67" s="516"/>
      <c r="I67" s="516"/>
      <c r="J67" s="516"/>
      <c r="K67" s="517"/>
      <c r="O67" s="515" t="str">
        <f>verze!E7</f>
        <v xml:space="preserve"> Výber zásuviek</v>
      </c>
      <c r="P67" s="516"/>
      <c r="Q67" s="516"/>
      <c r="R67" s="516"/>
      <c r="S67" s="517"/>
      <c r="U67" s="515" t="str">
        <f>verze!E8</f>
        <v xml:space="preserve"> </v>
      </c>
      <c r="V67" s="516"/>
      <c r="W67" s="516"/>
      <c r="X67" s="516"/>
      <c r="Y67" s="517"/>
      <c r="AA67" s="515" t="str">
        <f>verze!E9</f>
        <v xml:space="preserve"> </v>
      </c>
      <c r="AB67" s="516"/>
      <c r="AC67" s="516"/>
      <c r="AD67" s="516"/>
      <c r="AE67" s="517"/>
      <c r="AI67" s="515" t="str">
        <f>verze!E10</f>
        <v xml:space="preserve"> Objednávka</v>
      </c>
      <c r="AJ67" s="516"/>
      <c r="AK67" s="516"/>
      <c r="AL67" s="516"/>
      <c r="AM67" s="517"/>
      <c r="AO67" s="477" t="str">
        <f>verze!E14</f>
        <v>vpred  &gt;&gt;</v>
      </c>
      <c r="AP67" s="478"/>
      <c r="AQ67" s="478"/>
      <c r="AR67" s="479"/>
      <c r="AU67" s="319">
        <f>OBJ!B311</f>
        <v>9256896</v>
      </c>
      <c r="AV67" s="21" t="str">
        <f>VLOOKUP(AU67,CENY!$B$11:$G$1054,2,FALSE)</f>
        <v>Quadro You(M) 600/SiSy 25kg; EB21</v>
      </c>
      <c r="AW67" s="22">
        <f>VLOOKUP(AU67,CENY!$B$11:$G$1054,3,FALSE)</f>
        <v>1</v>
      </c>
      <c r="AX67" s="362">
        <v>8</v>
      </c>
      <c r="AY67" s="23">
        <f>SUM(AY1:AY4)*AC28</f>
        <v>0</v>
      </c>
      <c r="AZ67" s="326">
        <f t="shared" si="1"/>
        <v>0</v>
      </c>
      <c r="BA67" s="95">
        <f>VLOOKUP(AU67,CENY!$B$11:$M$2025,12,FALSE)</f>
        <v>25.86984</v>
      </c>
      <c r="BB67" s="95">
        <f t="shared" si="0"/>
        <v>0</v>
      </c>
      <c r="BD67" s="319">
        <f>OBJ!B260</f>
        <v>9318178</v>
      </c>
      <c r="BE67" s="21" t="str">
        <f>VLOOKUP(BD67,CENY!$B$11:$G$1054,2,FALSE)</f>
        <v>Actro You(L) 450/SiSy 40kg; EB21; pravý</v>
      </c>
      <c r="BF67" s="22">
        <f>VLOOKUP(BD67,CENY!$B$11:$G$1054,3,FALSE)</f>
        <v>10</v>
      </c>
      <c r="BG67" s="22"/>
      <c r="BH67" s="23">
        <f>AY39</f>
        <v>0</v>
      </c>
      <c r="BI67" s="326">
        <f t="shared" si="2"/>
        <v>0</v>
      </c>
      <c r="BJ67" s="95">
        <f>VLOOKUP(BD67,CENY!$B$11:$M$2025,12,FALSE)</f>
        <v>14.040839999999999</v>
      </c>
      <c r="BK67" s="95">
        <f t="shared" si="3"/>
        <v>0</v>
      </c>
    </row>
    <row r="68" spans="1:63" ht="12.95" customHeight="1">
      <c r="A68" s="579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OBJ!B261</f>
        <v>9318179</v>
      </c>
      <c r="BE68" s="21" t="str">
        <f>VLOOKUP(BD68,CENY!$B$11:$G$1054,2,FALSE)</f>
        <v>Actro You(L) 500/SiSy 40kg; EB21; ľavý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13.931559999999999</v>
      </c>
      <c r="BK68" s="95">
        <f t="shared" si="3"/>
        <v>0</v>
      </c>
    </row>
    <row r="69" spans="1:63" ht="23.1" customHeight="1">
      <c r="A69" s="579"/>
      <c r="B69" s="93" t="str">
        <f>verze!E206&amp;" AVANTECH YOU  101 / 187"</f>
        <v>Zásuvka AVANTECH YOU  101 / 187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OBJ!B329</f>
        <v>9257894</v>
      </c>
      <c r="AV69" s="21" t="str">
        <f>VLOOKUP(AU69,CENY!$B$11:$G$1054,2,FALSE)</f>
        <v>Quadro You - Push to open Silent; &lt;10kg</v>
      </c>
      <c r="AW69" s="22">
        <f>VLOOKUP(AU69,CENY!$B$11:$G$1054,3,FALSE)</f>
        <v>1</v>
      </c>
      <c r="AX69" s="22"/>
      <c r="AY69" s="68"/>
      <c r="AZ69" s="326" t="str">
        <f t="shared" si="1"/>
        <v/>
      </c>
      <c r="BA69" s="95">
        <f>VLOOKUP(AU69,CENY!$B$11:$M$2025,12,FALSE)</f>
        <v>23.114239999999999</v>
      </c>
      <c r="BB69" s="95">
        <f t="shared" si="0"/>
        <v>0</v>
      </c>
      <c r="BD69" s="319">
        <f>OBJ!B262</f>
        <v>9318180</v>
      </c>
      <c r="BE69" s="21" t="str">
        <f>VLOOKUP(BD69,CENY!$B$11:$G$1054,2,FALSE)</f>
        <v>Actro You(L) 500/SiSy 40kg; EB21; pravý</v>
      </c>
      <c r="BF69" s="22">
        <f>VLOOKUP(BD69,CENY!$B$11:$G$1054,3,FALSE)</f>
        <v>10</v>
      </c>
      <c r="BG69" s="22"/>
      <c r="BH69" s="23">
        <f>AY40</f>
        <v>0</v>
      </c>
      <c r="BI69" s="326">
        <f t="shared" si="2"/>
        <v>0</v>
      </c>
      <c r="BJ69" s="95">
        <f>VLOOKUP(BD69,CENY!$B$11:$M$2025,12,FALSE)</f>
        <v>13.931559999999999</v>
      </c>
      <c r="BK69" s="95">
        <f t="shared" si="3"/>
        <v>0</v>
      </c>
    </row>
    <row r="70" spans="1:63" ht="14.45" customHeight="1">
      <c r="A70" s="579"/>
      <c r="AU70" s="319">
        <f>OBJ!B330</f>
        <v>9257895</v>
      </c>
      <c r="AV70" s="21" t="str">
        <f>VLOOKUP(AU70,CENY!$B$11:$G$1054,2,FALSE)</f>
        <v>Quadro You - Push to open Silent; 8-20kg</v>
      </c>
      <c r="AW70" s="22">
        <f>VLOOKUP(AU70,CENY!$B$11:$G$1054,3,FALSE)</f>
        <v>1</v>
      </c>
      <c r="AX70" s="22"/>
      <c r="AY70" s="68"/>
      <c r="AZ70" s="326" t="str">
        <f t="shared" si="1"/>
        <v/>
      </c>
      <c r="BA70" s="95">
        <f>VLOOKUP(AU70,CENY!$B$11:$M$2025,12,FALSE)</f>
        <v>23.114239999999999</v>
      </c>
      <c r="BB70" s="95">
        <f t="shared" si="0"/>
        <v>0</v>
      </c>
      <c r="BD70" s="319">
        <f>OBJ!B263</f>
        <v>9318181</v>
      </c>
      <c r="BE70" s="21" t="str">
        <f>VLOOKUP(BD70,CENY!$B$11:$G$1054,2,FALSE)</f>
        <v>Actro You(L) 550/SiSy 40kg; EB21; ľavý</v>
      </c>
      <c r="BF70" s="22">
        <f>VLOOKUP(BD70,CENY!$B$11:$G$1054,3,FALSE)</f>
        <v>10</v>
      </c>
      <c r="BG70" s="22"/>
      <c r="BH70" s="23">
        <f>AY41</f>
        <v>0</v>
      </c>
      <c r="BI70" s="326">
        <f t="shared" si="2"/>
        <v>0</v>
      </c>
      <c r="BJ70" s="95">
        <f>VLOOKUP(BD70,CENY!$B$11:$M$2025,12,FALSE)</f>
        <v>15.147040000000001</v>
      </c>
      <c r="BK70" s="95">
        <f t="shared" si="3"/>
        <v>0</v>
      </c>
    </row>
    <row r="71" spans="1:63" ht="14.45" customHeight="1">
      <c r="A71" s="579"/>
      <c r="AU71" s="319">
        <f>OBJ!B331</f>
        <v>9257896</v>
      </c>
      <c r="AV71" s="21" t="str">
        <f>VLOOKUP(AU71,CENY!$B$11:$G$1054,2,FALSE)</f>
        <v>Quadro You - Push to open Silent; 10-30kg</v>
      </c>
      <c r="AW71" s="22">
        <f>VLOOKUP(AU71,CENY!$B$11:$G$1054,3,FALSE)</f>
        <v>1</v>
      </c>
      <c r="AX71" s="22"/>
      <c r="AY71" s="68"/>
      <c r="AZ71" s="326" t="str">
        <f t="shared" si="1"/>
        <v/>
      </c>
      <c r="BA71" s="95">
        <f>VLOOKUP(AU71,CENY!$B$11:$M$2025,12,FALSE)</f>
        <v>23.114239999999999</v>
      </c>
      <c r="BB71" s="95">
        <f t="shared" si="0"/>
        <v>0</v>
      </c>
      <c r="BD71" s="319">
        <f>OBJ!B264</f>
        <v>9318182</v>
      </c>
      <c r="BE71" s="21" t="str">
        <f>VLOOKUP(BD71,CENY!$B$11:$G$1054,2,FALSE)</f>
        <v>Actro You(L) 550/SiSy 40kg; EB21; pravý</v>
      </c>
      <c r="BF71" s="22">
        <f>VLOOKUP(BD71,CENY!$B$11:$G$1054,3,FALSE)</f>
        <v>10</v>
      </c>
      <c r="BG71" s="22"/>
      <c r="BH71" s="23">
        <f>AY41</f>
        <v>0</v>
      </c>
      <c r="BI71" s="326">
        <f t="shared" si="2"/>
        <v>0</v>
      </c>
      <c r="BJ71" s="95">
        <f>VLOOKUP(BD71,CENY!$B$11:$M$2025,12,FALSE)</f>
        <v>15.147040000000001</v>
      </c>
      <c r="BK71" s="95">
        <f t="shared" si="3"/>
        <v>0</v>
      </c>
    </row>
    <row r="72" spans="1:63" ht="14.45" customHeight="1">
      <c r="A72" s="579"/>
      <c r="AU72" s="319"/>
      <c r="AV72" s="21"/>
      <c r="AW72" s="22"/>
      <c r="AX72" s="22"/>
      <c r="AY72" s="23"/>
      <c r="AZ72" s="326" t="str">
        <f t="shared" si="1"/>
        <v/>
      </c>
      <c r="BA72" s="95"/>
      <c r="BB72" s="95" t="str">
        <f t="shared" si="0"/>
        <v/>
      </c>
      <c r="BD72" s="319">
        <f>OBJ!B265</f>
        <v>9318183</v>
      </c>
      <c r="BE72" s="21" t="str">
        <f>VLOOKUP(BD72,CENY!$B$11:$G$1054,2,FALSE)</f>
        <v>Actro You(L) 600/SiSy 40kg; EB21; ľavý</v>
      </c>
      <c r="BF72" s="22">
        <f>VLOOKUP(BD72,CENY!$B$11:$G$1054,3,FALSE)</f>
        <v>10</v>
      </c>
      <c r="BG72" s="22"/>
      <c r="BH72" s="23">
        <f>AY42</f>
        <v>0</v>
      </c>
      <c r="BI72" s="326">
        <f t="shared" si="2"/>
        <v>0</v>
      </c>
      <c r="BJ72" s="95">
        <f>VLOOKUP(BD72,CENY!$B$11:$M$2025,12,FALSE)</f>
        <v>15.35308</v>
      </c>
      <c r="BK72" s="95">
        <f t="shared" si="3"/>
        <v>0</v>
      </c>
    </row>
    <row r="73" spans="1:63" ht="14.45" customHeight="1">
      <c r="A73" s="579"/>
      <c r="AU73" s="319">
        <f>OBJ!B333</f>
        <v>9256928</v>
      </c>
      <c r="AV73" s="21" t="str">
        <f>VLOOKUP(AU73,CENY!$B$11:$G$1054,2,FALSE)</f>
        <v>Quadro You(M) 270/P2O 20kg; EB21</v>
      </c>
      <c r="AW73" s="22">
        <f>VLOOKUP(AU73,CENY!$B$11:$G$1054,3,FALSE)</f>
        <v>1</v>
      </c>
      <c r="AX73" s="362">
        <v>8</v>
      </c>
      <c r="AY73" s="68"/>
      <c r="AZ73" s="326" t="str">
        <f t="shared" si="1"/>
        <v/>
      </c>
      <c r="BA73" s="95">
        <f>VLOOKUP(AU73,CENY!$B$11:$M$2025,12,FALSE)</f>
        <v>25.824369999999998</v>
      </c>
      <c r="BB73" s="95">
        <f t="shared" si="0"/>
        <v>0</v>
      </c>
      <c r="BD73" s="319">
        <f>OBJ!B266</f>
        <v>9318184</v>
      </c>
      <c r="BE73" s="21" t="str">
        <f>VLOOKUP(BD73,CENY!$B$11:$G$1054,2,FALSE)</f>
        <v>Actro You(L) 600/SiSy 40kg; EB21; pravý</v>
      </c>
      <c r="BF73" s="22">
        <f>VLOOKUP(BD73,CENY!$B$11:$G$1054,3,FALSE)</f>
        <v>10</v>
      </c>
      <c r="BG73" s="22"/>
      <c r="BH73" s="23">
        <f>AY42</f>
        <v>0</v>
      </c>
      <c r="BI73" s="326">
        <f t="shared" si="2"/>
        <v>0</v>
      </c>
      <c r="BJ73" s="95" t="e">
        <f>VLOOKUP(BD73,CENY!$B$11:$M$2025,12,FALSE)</f>
        <v>#N/A</v>
      </c>
      <c r="BK73" s="95" t="e">
        <f t="shared" si="3"/>
        <v>#N/A</v>
      </c>
    </row>
    <row r="74" spans="1:63" ht="14.45" customHeight="1">
      <c r="A74" s="579"/>
      <c r="AU74" s="319">
        <f>OBJ!B334</f>
        <v>9256929</v>
      </c>
      <c r="AV74" s="21" t="str">
        <f>VLOOKUP(AU74,CENY!$B$11:$G$1054,2,FALSE)</f>
        <v>Quadro You(M) 300/P2O 20kg; EB21</v>
      </c>
      <c r="AW74" s="22">
        <f>VLOOKUP(AU74,CENY!$B$11:$G$1054,3,FALSE)</f>
        <v>1</v>
      </c>
      <c r="AX74" s="362">
        <v>8</v>
      </c>
      <c r="AY74" s="68"/>
      <c r="AZ74" s="326" t="str">
        <f t="shared" si="1"/>
        <v/>
      </c>
      <c r="BA74" s="95">
        <f>VLOOKUP(AU74,CENY!$B$11:$M$2025,12,FALSE)</f>
        <v>25.86984</v>
      </c>
      <c r="BB74" s="95">
        <f t="shared" si="0"/>
        <v>0</v>
      </c>
      <c r="BD74" s="319"/>
      <c r="BE74" s="21"/>
      <c r="BF74" s="22"/>
      <c r="BG74" s="22"/>
      <c r="BH74" s="23"/>
      <c r="BI74" s="326" t="str">
        <f t="shared" si="2"/>
        <v/>
      </c>
      <c r="BJ74" s="95"/>
      <c r="BK74" s="95" t="str">
        <f t="shared" si="3"/>
        <v/>
      </c>
    </row>
    <row r="75" spans="1:63" ht="14.45" customHeight="1">
      <c r="A75" s="579"/>
      <c r="AU75" s="319">
        <f>OBJ!B335</f>
        <v>9256931</v>
      </c>
      <c r="AV75" s="21" t="str">
        <f>VLOOKUP(AU75,CENY!$B$11:$G$1054,2,FALSE)</f>
        <v>Quadro You(M) 350/P2O 25kg; EB21</v>
      </c>
      <c r="AW75" s="22">
        <f>VLOOKUP(AU75,CENY!$B$11:$G$1054,3,FALSE)</f>
        <v>1</v>
      </c>
      <c r="AX75" s="362">
        <v>8</v>
      </c>
      <c r="AY75" s="68"/>
      <c r="AZ75" s="326" t="str">
        <f t="shared" si="1"/>
        <v/>
      </c>
      <c r="BA75" s="95">
        <f>VLOOKUP(AU75,CENY!$B$11:$M$2025,12,FALSE)</f>
        <v>26.336690000000001</v>
      </c>
      <c r="BB75" s="95">
        <f t="shared" ref="BB75:BB141" si="7">IF(BA75="","",BA75*AY75)</f>
        <v>0</v>
      </c>
      <c r="BD75" s="319">
        <f>OBJ!B273</f>
        <v>9318198</v>
      </c>
      <c r="BE75" s="21" t="str">
        <f>VLOOKUP(BD75,CENY!$B$11:$G$1054,2,FALSE)</f>
        <v>Actro You(XL) 450/SiSy 70kg; EB21; ľavý</v>
      </c>
      <c r="BF75" s="22">
        <f>VLOOKUP(BD75,CENY!$B$11:$G$1054,3,FALSE)</f>
        <v>10</v>
      </c>
      <c r="BG75" s="22"/>
      <c r="BH75" s="23">
        <f>AY44</f>
        <v>0</v>
      </c>
      <c r="BI75" s="326">
        <f t="shared" si="2"/>
        <v>0</v>
      </c>
      <c r="BJ75" s="95" t="e">
        <f>VLOOKUP(BD75,CENY!$B$11:$M$2025,12,FALSE)</f>
        <v>#N/A</v>
      </c>
      <c r="BK75" s="95" t="e">
        <f t="shared" si="3"/>
        <v>#N/A</v>
      </c>
    </row>
    <row r="76" spans="1:63" ht="14.45" customHeight="1">
      <c r="A76" s="579"/>
      <c r="AU76" s="319">
        <f>OBJ!B336</f>
        <v>9256933</v>
      </c>
      <c r="AV76" s="21" t="str">
        <f>VLOOKUP(AU76,CENY!$B$11:$G$1054,2,FALSE)</f>
        <v>Quadro You(M) 400/P2O 30kg; EB21</v>
      </c>
      <c r="AW76" s="22">
        <f>VLOOKUP(AU76,CENY!$B$11:$G$1054,3,FALSE)</f>
        <v>1</v>
      </c>
      <c r="AX76" s="362">
        <v>8</v>
      </c>
      <c r="AY76" s="68"/>
      <c r="AZ76" s="326" t="str">
        <f t="shared" ref="AZ76:AZ142" si="8">IF(AY76="","",IF($AW$4=1,AY76,0))</f>
        <v/>
      </c>
      <c r="BA76" s="95">
        <f>VLOOKUP(AU76,CENY!$B$11:$M$2025,12,FALSE)</f>
        <v>26.80339</v>
      </c>
      <c r="BB76" s="95">
        <f t="shared" si="7"/>
        <v>0</v>
      </c>
      <c r="BD76" s="319">
        <f>OBJ!B274</f>
        <v>9318199</v>
      </c>
      <c r="BE76" s="21" t="str">
        <f>VLOOKUP(BD76,CENY!$B$11:$G$1054,2,FALSE)</f>
        <v>Actro You(XL) 450/SiSy 70kg; EB21; pravý</v>
      </c>
      <c r="BF76" s="22">
        <f>VLOOKUP(BD76,CENY!$B$11:$G$1054,3,FALSE)</f>
        <v>10</v>
      </c>
      <c r="BG76" s="22"/>
      <c r="BH76" s="23">
        <f>AY44</f>
        <v>0</v>
      </c>
      <c r="BI76" s="326">
        <f t="shared" si="2"/>
        <v>0</v>
      </c>
      <c r="BJ76" s="95" t="e">
        <f>VLOOKUP(BD76,CENY!$B$11:$M$2025,12,FALSE)</f>
        <v>#N/A</v>
      </c>
      <c r="BK76" s="95" t="e">
        <f t="shared" si="3"/>
        <v>#N/A</v>
      </c>
    </row>
    <row r="77" spans="1:63" ht="14.45" customHeight="1">
      <c r="A77" s="579"/>
      <c r="AU77" s="319">
        <f>OBJ!B337</f>
        <v>9256935</v>
      </c>
      <c r="AV77" s="21" t="str">
        <f>VLOOKUP(AU77,CENY!$B$11:$G$1054,2,FALSE)</f>
        <v>Quadro You(M) 450/P2O 30kg; EB21</v>
      </c>
      <c r="AW77" s="22">
        <f>VLOOKUP(AU77,CENY!$B$11:$G$1054,3,FALSE)</f>
        <v>1</v>
      </c>
      <c r="AX77" s="362">
        <v>8</v>
      </c>
      <c r="AY77" s="68"/>
      <c r="AZ77" s="326" t="str">
        <f t="shared" si="8"/>
        <v/>
      </c>
      <c r="BA77" s="95">
        <f>VLOOKUP(AU77,CENY!$B$11:$M$2025,12,FALSE)</f>
        <v>27.270389999999999</v>
      </c>
      <c r="BB77" s="95">
        <f t="shared" si="7"/>
        <v>0</v>
      </c>
      <c r="BD77" s="319">
        <f>OBJ!B275</f>
        <v>9318201</v>
      </c>
      <c r="BE77" s="21" t="str">
        <f>VLOOKUP(BD77,CENY!$B$11:$G$1054,2,FALSE)</f>
        <v>Actro You(XL) 500/SiSy 70kg; EB21; ľavý</v>
      </c>
      <c r="BF77" s="22">
        <f>VLOOKUP(BD77,CENY!$B$11:$G$1054,3,FALSE)</f>
        <v>10</v>
      </c>
      <c r="BG77" s="22"/>
      <c r="BH77" s="23">
        <f>AY45</f>
        <v>0</v>
      </c>
      <c r="BI77" s="326">
        <f t="shared" si="2"/>
        <v>0</v>
      </c>
      <c r="BJ77" s="95">
        <f>VLOOKUP(BD77,CENY!$B$11:$M$2025,12,FALSE)</f>
        <v>17.52394</v>
      </c>
      <c r="BK77" s="95">
        <f t="shared" si="3"/>
        <v>0</v>
      </c>
    </row>
    <row r="78" spans="1:63" ht="14.45" customHeight="1">
      <c r="A78" s="579"/>
      <c r="AU78" s="319">
        <f>OBJ!B338</f>
        <v>9256937</v>
      </c>
      <c r="AV78" s="21" t="str">
        <f>VLOOKUP(AU78,CENY!$B$11:$G$1054,2,FALSE)</f>
        <v>Quadro You(M) 500/P2O 30kg; EB21</v>
      </c>
      <c r="AW78" s="22">
        <f>VLOOKUP(AU78,CENY!$B$11:$G$1054,3,FALSE)</f>
        <v>1</v>
      </c>
      <c r="AX78" s="362">
        <v>8</v>
      </c>
      <c r="AY78" s="68"/>
      <c r="AZ78" s="326" t="str">
        <f t="shared" si="8"/>
        <v/>
      </c>
      <c r="BA78" s="95">
        <f>VLOOKUP(AU78,CENY!$B$11:$M$2025,12,FALSE)</f>
        <v>5.5988800000000003</v>
      </c>
      <c r="BB78" s="95">
        <f t="shared" si="7"/>
        <v>0</v>
      </c>
      <c r="BD78" s="319">
        <f>OBJ!B276</f>
        <v>9318203</v>
      </c>
      <c r="BE78" s="21" t="str">
        <f>VLOOKUP(BD78,CENY!$B$11:$G$1054,2,FALSE)</f>
        <v>Actro You(XL) 500/SiSy 70kg; EB21; pravý</v>
      </c>
      <c r="BF78" s="22">
        <f>VLOOKUP(BD78,CENY!$B$11:$G$1054,3,FALSE)</f>
        <v>10</v>
      </c>
      <c r="BG78" s="22"/>
      <c r="BH78" s="23">
        <f>AY45</f>
        <v>0</v>
      </c>
      <c r="BI78" s="326">
        <f t="shared" si="2"/>
        <v>0</v>
      </c>
      <c r="BJ78" s="95">
        <f>VLOOKUP(BD78,CENY!$B$11:$M$2025,12,FALSE)</f>
        <v>17.52394</v>
      </c>
      <c r="BK78" s="95">
        <f t="shared" si="3"/>
        <v>0</v>
      </c>
    </row>
    <row r="79" spans="1:63" ht="14.45" customHeight="1">
      <c r="A79" s="579"/>
      <c r="O79" s="578">
        <f>CEILING((O85*AY1)/FLOOR(2000/O86,1),1)</f>
        <v>0</v>
      </c>
      <c r="P79" s="578"/>
      <c r="Q79" s="578">
        <f>CEILING((Q85*AY1)/FLOOR(2000/Q86,1),1)</f>
        <v>0</v>
      </c>
      <c r="R79" s="578"/>
      <c r="S79" s="578">
        <f>CEILING((S85*AY1)/FLOOR(2000/S86,1),1)</f>
        <v>0</v>
      </c>
      <c r="T79" s="578"/>
      <c r="U79" s="578">
        <f>CEILING((U85*AY1)/FLOOR(2000/U86,1),1)</f>
        <v>0</v>
      </c>
      <c r="V79" s="578"/>
      <c r="W79" s="578">
        <f>CEILING((W85*AY1)/FLOOR(2000/W86,1),1)</f>
        <v>0</v>
      </c>
      <c r="X79" s="578"/>
      <c r="Y79" s="578">
        <f>CEILING((Y85*AY1)/FLOOR(2000/Y86,1),1)</f>
        <v>0</v>
      </c>
      <c r="Z79" s="578"/>
      <c r="AA79" s="578">
        <f>CEILING((AA85*AY1)/FLOOR(2000/AA86,1),1)</f>
        <v>0</v>
      </c>
      <c r="AB79" s="578"/>
      <c r="AC79" s="578">
        <f>CEILING((AC85*AY1)/FLOOR(2000/AC86,1),1)</f>
        <v>0</v>
      </c>
      <c r="AD79" s="578"/>
      <c r="AE79" s="578">
        <f>CEILING((AE85*AY1)/FLOOR(2000/AE86,1),1)</f>
        <v>0</v>
      </c>
      <c r="AF79" s="578"/>
      <c r="AG79" s="578">
        <f>CEILING((AG85*AY1)/FLOOR(2000/AG86,1),1)</f>
        <v>0</v>
      </c>
      <c r="AH79" s="578"/>
      <c r="AI79" s="578">
        <f>CEILING((AI85*AY1)/FLOOR(2000/AI86,1),1)</f>
        <v>0</v>
      </c>
      <c r="AJ79" s="578"/>
      <c r="AU79" s="319">
        <f>OBJ!B339</f>
        <v>9256939</v>
      </c>
      <c r="AV79" s="21" t="str">
        <f>VLOOKUP(AU79,CENY!$B$11:$G$1054,2,FALSE)</f>
        <v>Quadro You(M) 550/P2O 30kg; EB21</v>
      </c>
      <c r="AW79" s="22">
        <f>VLOOKUP(AU79,CENY!$B$11:$G$1054,3,FALSE)</f>
        <v>1</v>
      </c>
      <c r="AX79" s="362">
        <v>8</v>
      </c>
      <c r="AY79" s="68"/>
      <c r="AZ79" s="326" t="str">
        <f t="shared" si="8"/>
        <v/>
      </c>
      <c r="BA79" s="95">
        <f>VLOOKUP(AU79,CENY!$B$11:$M$2025,12,FALSE)</f>
        <v>28.20382</v>
      </c>
      <c r="BB79" s="95">
        <f t="shared" si="7"/>
        <v>0</v>
      </c>
      <c r="BD79" s="319">
        <f>OBJ!B277</f>
        <v>9318208</v>
      </c>
      <c r="BE79" s="21" t="str">
        <f>VLOOKUP(BD79,CENY!$B$11:$G$1054,2,FALSE)</f>
        <v>Actro You(XL) 550/SiSy 70kg; EB21; ľavý</v>
      </c>
      <c r="BF79" s="22">
        <f>VLOOKUP(BD79,CENY!$B$11:$G$1054,3,FALSE)</f>
        <v>10</v>
      </c>
      <c r="BG79" s="22"/>
      <c r="BH79" s="23">
        <f>AY46</f>
        <v>0</v>
      </c>
      <c r="BI79" s="326">
        <f t="shared" si="2"/>
        <v>0</v>
      </c>
      <c r="BJ79" s="95">
        <f>VLOOKUP(BD79,CENY!$B$11:$M$2025,12,FALSE)</f>
        <v>18.45496</v>
      </c>
      <c r="BK79" s="95">
        <f t="shared" si="3"/>
        <v>0</v>
      </c>
    </row>
    <row r="80" spans="1:63" ht="14.45" customHeight="1">
      <c r="A80" s="579"/>
      <c r="O80" s="578">
        <f>CEILING((O85*AY3)/FLOOR(2000/O86,1),1)</f>
        <v>0</v>
      </c>
      <c r="P80" s="578"/>
      <c r="Q80" s="578">
        <f>CEILING((Q85*AY3)/FLOOR(2000/Q86,1),1)</f>
        <v>0</v>
      </c>
      <c r="R80" s="578"/>
      <c r="S80" s="578">
        <f>CEILING((S85*AY3)/FLOOR(2000/S86,1),1)</f>
        <v>0</v>
      </c>
      <c r="T80" s="578"/>
      <c r="U80" s="578">
        <f>CEILING((U85*AY3)/FLOOR(2000/U86,1),1)</f>
        <v>0</v>
      </c>
      <c r="V80" s="578"/>
      <c r="W80" s="578">
        <f>CEILING((W85*AY3)/FLOOR(2000/W86,1),1)</f>
        <v>0</v>
      </c>
      <c r="X80" s="578"/>
      <c r="Y80" s="578">
        <f>CEILING((Y85*AY3)/FLOOR(2000/Y86,1),1)</f>
        <v>0</v>
      </c>
      <c r="Z80" s="578"/>
      <c r="AA80" s="578">
        <f>CEILING((AA85*AY3)/FLOOR(2000/AA86,1),1)</f>
        <v>0</v>
      </c>
      <c r="AB80" s="578"/>
      <c r="AC80" s="578">
        <f>CEILING((AC85*AY3)/FLOOR(2000/AC86,1),1)</f>
        <v>0</v>
      </c>
      <c r="AD80" s="578"/>
      <c r="AE80" s="578">
        <f>CEILING((AE85*AY3)/FLOOR(2000/AE86,1),1)</f>
        <v>0</v>
      </c>
      <c r="AF80" s="578"/>
      <c r="AG80" s="578">
        <f>CEILING((AG85*AY3)/FLOOR(2000/AG86,1),1)</f>
        <v>0</v>
      </c>
      <c r="AH80" s="578"/>
      <c r="AI80" s="578">
        <f>CEILING((AI85*AY3)/FLOOR(2000/AI86,1),1)</f>
        <v>0</v>
      </c>
      <c r="AJ80" s="578"/>
      <c r="AU80" s="319">
        <f>OBJ!B340</f>
        <v>9256941</v>
      </c>
      <c r="AV80" s="21" t="str">
        <f>VLOOKUP(AU80,CENY!$B$11:$G$1054,2,FALSE)</f>
        <v>Quadro You(M) 600/P2O 25kg; EB21</v>
      </c>
      <c r="AW80" s="22">
        <f>VLOOKUP(AU80,CENY!$B$11:$G$1054,3,FALSE)</f>
        <v>1</v>
      </c>
      <c r="AX80" s="362">
        <v>8</v>
      </c>
      <c r="AY80" s="68"/>
      <c r="AZ80" s="326" t="str">
        <f t="shared" si="8"/>
        <v/>
      </c>
      <c r="BA80" s="95">
        <f>VLOOKUP(AU80,CENY!$B$11:$M$2025,12,FALSE)</f>
        <v>28.670570000000001</v>
      </c>
      <c r="BB80" s="95">
        <f t="shared" si="7"/>
        <v>0</v>
      </c>
      <c r="BD80" s="319">
        <f>OBJ!B278</f>
        <v>9318209</v>
      </c>
      <c r="BE80" s="21" t="str">
        <f>VLOOKUP(BD80,CENY!$B$11:$G$1054,2,FALSE)</f>
        <v>Actro You(XL) 550/SiSy 70kg; EB21; pravý</v>
      </c>
      <c r="BF80" s="22">
        <f>VLOOKUP(BD80,CENY!$B$11:$G$1054,3,FALSE)</f>
        <v>10</v>
      </c>
      <c r="BG80" s="22"/>
      <c r="BH80" s="23">
        <f>AY46</f>
        <v>0</v>
      </c>
      <c r="BI80" s="326">
        <f t="shared" si="2"/>
        <v>0</v>
      </c>
      <c r="BJ80" s="95">
        <f>VLOOKUP(BD80,CENY!$B$11:$M$2025,12,FALSE)</f>
        <v>18.45496</v>
      </c>
      <c r="BK80" s="95">
        <f t="shared" si="3"/>
        <v>0</v>
      </c>
    </row>
    <row r="81" spans="1:63" ht="14.45" customHeight="1">
      <c r="A81" s="579"/>
      <c r="O81" s="577">
        <f>O86*O85*$AY$1</f>
        <v>0</v>
      </c>
      <c r="P81" s="577"/>
      <c r="Q81" s="577">
        <f>Q86*Q85*$AY$1</f>
        <v>0</v>
      </c>
      <c r="R81" s="577"/>
      <c r="S81" s="577">
        <f>S86*S85*$AY$1</f>
        <v>0</v>
      </c>
      <c r="T81" s="577"/>
      <c r="U81" s="577">
        <f>U86*U85*$AY$1</f>
        <v>0</v>
      </c>
      <c r="V81" s="577"/>
      <c r="W81" s="577">
        <f>W86*W85*$AY$1</f>
        <v>0</v>
      </c>
      <c r="X81" s="577"/>
      <c r="Y81" s="577">
        <f>Y86*Y85*$AY$1</f>
        <v>0</v>
      </c>
      <c r="Z81" s="577"/>
      <c r="AA81" s="577">
        <f>AA86*AA85*$AY$1</f>
        <v>0</v>
      </c>
      <c r="AB81" s="577"/>
      <c r="AC81" s="577">
        <f>AC86*AC85*$AY$1</f>
        <v>0</v>
      </c>
      <c r="AD81" s="577"/>
      <c r="AE81" s="577">
        <f>AE86*AE85*$AY$1</f>
        <v>0</v>
      </c>
      <c r="AF81" s="577"/>
      <c r="AG81" s="577">
        <f>AG86*AG85*$AY$1</f>
        <v>0</v>
      </c>
      <c r="AH81" s="577"/>
      <c r="AI81" s="577">
        <f>AI86*AI85*$AY$1</f>
        <v>0</v>
      </c>
      <c r="AJ81" s="577"/>
      <c r="AU81" s="319"/>
      <c r="AV81" s="21"/>
      <c r="AW81" s="22"/>
      <c r="AX81" s="22"/>
      <c r="AY81" s="23"/>
      <c r="AZ81" s="326" t="str">
        <f t="shared" si="8"/>
        <v/>
      </c>
      <c r="BA81" s="95"/>
      <c r="BB81" s="95" t="str">
        <f t="shared" si="7"/>
        <v/>
      </c>
      <c r="BD81" s="319">
        <f>OBJ!B279</f>
        <v>9318211</v>
      </c>
      <c r="BE81" s="21" t="str">
        <f>VLOOKUP(BD81,CENY!$B$11:$G$1054,2,FALSE)</f>
        <v>Actro You(XL) 600/SiSy 70kg; EB21; ľavý</v>
      </c>
      <c r="BF81" s="22">
        <f>VLOOKUP(BD81,CENY!$B$11:$G$1054,3,FALSE)</f>
        <v>10</v>
      </c>
      <c r="BG81" s="22"/>
      <c r="BH81" s="23">
        <f>AY47</f>
        <v>0</v>
      </c>
      <c r="BI81" s="326">
        <f t="shared" si="2"/>
        <v>0</v>
      </c>
      <c r="BJ81" s="95">
        <f>VLOOKUP(BD81,CENY!$B$11:$M$2025,12,FALSE)</f>
        <v>21.352720000000001</v>
      </c>
      <c r="BK81" s="95">
        <f t="shared" si="3"/>
        <v>0</v>
      </c>
    </row>
    <row r="82" spans="1:63" ht="14.45" customHeight="1">
      <c r="A82" s="579"/>
      <c r="O82" s="577">
        <f>O86*O85*$AY$3</f>
        <v>0</v>
      </c>
      <c r="P82" s="577"/>
      <c r="Q82" s="577">
        <f>Q86*Q85*$AY$3</f>
        <v>0</v>
      </c>
      <c r="R82" s="577"/>
      <c r="S82" s="577">
        <f>S86*S85*$AY$3</f>
        <v>0</v>
      </c>
      <c r="T82" s="577"/>
      <c r="U82" s="577">
        <f>U86*U85*$AY$3</f>
        <v>0</v>
      </c>
      <c r="V82" s="577"/>
      <c r="W82" s="577">
        <f>W86*W85*$AY$3</f>
        <v>0</v>
      </c>
      <c r="X82" s="577"/>
      <c r="Y82" s="577">
        <f>Y86*Y85*$AY$3</f>
        <v>0</v>
      </c>
      <c r="Z82" s="577"/>
      <c r="AA82" s="577">
        <f>AA86*AA85*$AY$3</f>
        <v>0</v>
      </c>
      <c r="AB82" s="577"/>
      <c r="AC82" s="577">
        <f>AC86*AC85*$AY$3</f>
        <v>0</v>
      </c>
      <c r="AD82" s="577"/>
      <c r="AE82" s="577">
        <f>AE86*AE85*$AY$3</f>
        <v>0</v>
      </c>
      <c r="AF82" s="577"/>
      <c r="AG82" s="577">
        <f>AG86*AG85*$AY$3</f>
        <v>0</v>
      </c>
      <c r="AH82" s="577"/>
      <c r="AI82" s="577">
        <f>AI86*AI85*$AY$3</f>
        <v>0</v>
      </c>
      <c r="AJ82" s="577"/>
      <c r="AK82" s="579"/>
      <c r="AL82" s="579"/>
      <c r="AU82" s="319">
        <f>OBJ!B358</f>
        <v>9219966</v>
      </c>
      <c r="AV82" s="21" t="str">
        <f>VLOOKUP(AU82,CENY!$B$11:$G$1054,2,FALSE)</f>
        <v>Push to open Synchro / adaptér typ A</v>
      </c>
      <c r="AW82" s="22">
        <f>VLOOKUP(AU82,CENY!$B$11:$G$1054,3,FALSE)</f>
        <v>200</v>
      </c>
      <c r="AX82" s="22"/>
      <c r="AY82" s="68"/>
      <c r="AZ82" s="326" t="str">
        <f t="shared" si="8"/>
        <v/>
      </c>
      <c r="BA82" s="95">
        <f>VLOOKUP(AU82,CENY!$B$11:$M$2025,12,FALSE)</f>
        <v>0.79318999999999995</v>
      </c>
      <c r="BB82" s="95">
        <f t="shared" si="7"/>
        <v>0</v>
      </c>
      <c r="BD82" s="319">
        <f>OBJ!B280</f>
        <v>9318212</v>
      </c>
      <c r="BE82" s="21" t="str">
        <f>VLOOKUP(BD82,CENY!$B$11:$G$1054,2,FALSE)</f>
        <v>Actro You(XL) 600/SiSy 70kg; EB21; pravý</v>
      </c>
      <c r="BF82" s="22">
        <f>VLOOKUP(BD82,CENY!$B$11:$G$1054,3,FALSE)</f>
        <v>10</v>
      </c>
      <c r="BG82" s="22"/>
      <c r="BH82" s="23">
        <f>AY47</f>
        <v>0</v>
      </c>
      <c r="BI82" s="326">
        <f t="shared" si="2"/>
        <v>0</v>
      </c>
      <c r="BJ82" s="95">
        <f>VLOOKUP(BD82,CENY!$B$11:$M$2025,12,FALSE)</f>
        <v>21.352720000000001</v>
      </c>
      <c r="BK82" s="95">
        <f t="shared" si="3"/>
        <v>0</v>
      </c>
    </row>
    <row r="83" spans="1:63" ht="14.45" customHeight="1" thickBot="1">
      <c r="A83" s="579"/>
      <c r="B83" s="1" t="str">
        <f>verze!E162</f>
        <v>Čelo na vnútornú zásuvku</v>
      </c>
      <c r="O83" s="583" t="str">
        <f>verze!E163</f>
        <v>vonkajšie rozmery zásuvkovej skrinky [mm]</v>
      </c>
      <c r="P83" s="584"/>
      <c r="Q83" s="584"/>
      <c r="R83" s="584"/>
      <c r="S83" s="584"/>
      <c r="T83" s="584"/>
      <c r="U83" s="584"/>
      <c r="V83" s="584"/>
      <c r="W83" s="584"/>
      <c r="X83" s="584"/>
      <c r="Y83" s="584"/>
      <c r="Z83" s="584"/>
      <c r="AA83" s="584"/>
      <c r="AB83" s="584"/>
      <c r="AC83" s="584"/>
      <c r="AD83" s="584"/>
      <c r="AE83" s="584"/>
      <c r="AF83" s="584"/>
      <c r="AG83" s="584"/>
      <c r="AH83" s="584"/>
      <c r="AI83" s="584"/>
      <c r="AJ83" s="584"/>
      <c r="AU83" s="319"/>
      <c r="AV83" s="21"/>
      <c r="AW83" s="22"/>
      <c r="AX83" s="22"/>
      <c r="AY83" s="23"/>
      <c r="AZ83" s="326" t="str">
        <f t="shared" si="8"/>
        <v/>
      </c>
      <c r="BA83" s="95"/>
      <c r="BB83" s="95" t="str">
        <f t="shared" si="7"/>
        <v/>
      </c>
      <c r="BD83" s="319">
        <f>OBJ!B281</f>
        <v>9318213</v>
      </c>
      <c r="BE83" s="21" t="str">
        <f>VLOOKUP(BD83,CENY!$B$11:$G$1054,2,FALSE)</f>
        <v>Actro You(XL) 650/SiSy 70kg; EB21; ľavý</v>
      </c>
      <c r="BF83" s="22">
        <f>VLOOKUP(BD83,CENY!$B$11:$G$1054,3,FALSE)</f>
        <v>5</v>
      </c>
      <c r="BG83" s="22"/>
      <c r="BH83" s="23">
        <f>AY48</f>
        <v>0</v>
      </c>
      <c r="BI83" s="326">
        <f t="shared" si="2"/>
        <v>0</v>
      </c>
      <c r="BJ83" s="95">
        <f>VLOOKUP(BD83,CENY!$B$11:$M$2025,12,FALSE)</f>
        <v>22.243659999999998</v>
      </c>
      <c r="BK83" s="95">
        <f t="shared" si="3"/>
        <v>0</v>
      </c>
    </row>
    <row r="84" spans="1:63" ht="14.45" customHeight="1" thickBot="1">
      <c r="A84" s="579"/>
      <c r="B84" s="96"/>
      <c r="C84" s="96"/>
      <c r="D84" s="96"/>
      <c r="E84" s="96"/>
      <c r="F84" s="96"/>
      <c r="G84" s="96"/>
      <c r="H84" s="72"/>
      <c r="I84" s="72"/>
      <c r="J84" s="72"/>
      <c r="K84" s="72"/>
      <c r="L84" s="72"/>
      <c r="M84" s="72"/>
      <c r="N84" s="72" t="str">
        <f>verze!E166&amp;" "</f>
        <v xml:space="preserve">Šírka korpusu: </v>
      </c>
      <c r="O84" s="537">
        <v>300</v>
      </c>
      <c r="P84" s="538"/>
      <c r="Q84" s="537">
        <v>400</v>
      </c>
      <c r="R84" s="538"/>
      <c r="S84" s="537">
        <v>450</v>
      </c>
      <c r="T84" s="538"/>
      <c r="U84" s="537">
        <v>500</v>
      </c>
      <c r="V84" s="538"/>
      <c r="W84" s="537">
        <v>550</v>
      </c>
      <c r="X84" s="538"/>
      <c r="Y84" s="537">
        <v>600</v>
      </c>
      <c r="Z84" s="538"/>
      <c r="AA84" s="537">
        <v>700</v>
      </c>
      <c r="AB84" s="538"/>
      <c r="AC84" s="537">
        <v>800</v>
      </c>
      <c r="AD84" s="538"/>
      <c r="AE84" s="537">
        <v>900</v>
      </c>
      <c r="AF84" s="586"/>
      <c r="AG84" s="537">
        <v>1000</v>
      </c>
      <c r="AH84" s="586"/>
      <c r="AI84" s="537">
        <v>1200</v>
      </c>
      <c r="AJ84" s="538"/>
      <c r="AU84" s="320">
        <v>9255836</v>
      </c>
      <c r="AV84" s="321" t="str">
        <f>VLOOKUP(AU84,CENY!$B$11:$G$1054,2,FALSE)</f>
        <v>AvanY-príchytka čela s rozp.púzdrom/ v101</v>
      </c>
      <c r="AW84" s="22">
        <f>VLOOKUP(AU84,CENY!$B$11:$G$1054,3,FALSE)</f>
        <v>200</v>
      </c>
      <c r="AX84" s="22"/>
      <c r="AY84" s="68">
        <f>IF(FORM!AM8=FORM!AU11,(2*(AY2)*(SUM(W20:AD20)+SUM(W22:AF22)+SUM(W28:AD28))),0)</f>
        <v>0</v>
      </c>
      <c r="AZ84" s="326">
        <f t="shared" si="8"/>
        <v>0</v>
      </c>
      <c r="BA84" s="95">
        <f>VLOOKUP(AU84,CENY!$B$11:$M$2025,12,FALSE)</f>
        <v>1.1907000000000001</v>
      </c>
      <c r="BB84" s="95">
        <f t="shared" si="7"/>
        <v>0</v>
      </c>
      <c r="BD84" s="319">
        <f>OBJ!B282</f>
        <v>9318214</v>
      </c>
      <c r="BE84" s="21" t="str">
        <f>VLOOKUP(BD84,CENY!$B$11:$G$1054,2,FALSE)</f>
        <v>Actro You(XL) 650/SiSy 70kg; EB21; pravý</v>
      </c>
      <c r="BF84" s="22">
        <f>VLOOKUP(BD84,CENY!$B$11:$G$1054,3,FALSE)</f>
        <v>5</v>
      </c>
      <c r="BG84" s="22"/>
      <c r="BH84" s="23">
        <f>AY48</f>
        <v>0</v>
      </c>
      <c r="BI84" s="326">
        <f t="shared" ref="BI84:BI148" si="9">IF(BH84="","",IF($AW$4=0,BH84,0))</f>
        <v>0</v>
      </c>
      <c r="BJ84" s="95">
        <f>VLOOKUP(BD84,CENY!$B$11:$M$2025,12,FALSE)</f>
        <v>22.243659999999998</v>
      </c>
      <c r="BK84" s="95">
        <f t="shared" ref="BK84:BK153" si="10">IF(BJ84="","",BJ84*BH84)</f>
        <v>0</v>
      </c>
    </row>
    <row r="85" spans="1:63" ht="14.45" customHeight="1" thickBot="1">
      <c r="A85" s="579"/>
      <c r="B85" s="158" t="str">
        <f>" "&amp;verze!E167</f>
        <v xml:space="preserve"> ALU čelo</v>
      </c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525"/>
      <c r="N85" s="548"/>
      <c r="O85" s="580"/>
      <c r="P85" s="581"/>
      <c r="Q85" s="580"/>
      <c r="R85" s="581"/>
      <c r="S85" s="580"/>
      <c r="T85" s="581"/>
      <c r="U85" s="580"/>
      <c r="V85" s="581"/>
      <c r="W85" s="580"/>
      <c r="X85" s="581"/>
      <c r="Y85" s="580"/>
      <c r="Z85" s="581"/>
      <c r="AA85" s="580"/>
      <c r="AB85" s="581"/>
      <c r="AC85" s="580"/>
      <c r="AD85" s="581"/>
      <c r="AE85" s="580"/>
      <c r="AF85" s="581"/>
      <c r="AG85" s="580"/>
      <c r="AH85" s="581"/>
      <c r="AI85" s="580"/>
      <c r="AJ85" s="585"/>
      <c r="AU85" s="320">
        <v>9257258</v>
      </c>
      <c r="AV85" s="321" t="str">
        <f>VLOOKUP(AU85,CENY!$B$11:$G$1054,2,FALSE)</f>
        <v>AvanY-prích.čela Inlay s rozp.púzdrom/ v187</v>
      </c>
      <c r="AW85" s="22">
        <f>VLOOKUP(AU85,CENY!$B$11:$G$1054,3,FALSE)</f>
        <v>100</v>
      </c>
      <c r="AX85" s="22"/>
      <c r="AY85" s="68">
        <f>IF(FORM!AM8=FORM!AU11,(2*(AY4)*(SUM(W20:AD20)+SUM(W22:AF22)+SUM(W28:AD28))),0)</f>
        <v>0</v>
      </c>
      <c r="AZ85" s="326">
        <f t="shared" si="8"/>
        <v>0</v>
      </c>
      <c r="BA85" s="95">
        <f>VLOOKUP(AU85,CENY!$B$11:$M$2025,12,FALSE)</f>
        <v>2.4704600000000001</v>
      </c>
      <c r="BB85" s="95">
        <f t="shared" si="7"/>
        <v>0</v>
      </c>
      <c r="BD85" s="319"/>
      <c r="BE85" s="21"/>
      <c r="BF85" s="22"/>
      <c r="BG85" s="22"/>
      <c r="BH85" s="23"/>
      <c r="BI85" s="326" t="str">
        <f t="shared" si="9"/>
        <v/>
      </c>
      <c r="BJ85" s="95"/>
      <c r="BK85" s="95" t="str">
        <f t="shared" si="10"/>
        <v/>
      </c>
    </row>
    <row r="86" spans="1:63" ht="14.45" customHeight="1">
      <c r="A86" s="579"/>
      <c r="O86" s="582">
        <f>O84-2*FORM!$AM$24-12</f>
        <v>252</v>
      </c>
      <c r="P86" s="582"/>
      <c r="Q86" s="582">
        <f>Q84-2*FORM!$AM$24-12</f>
        <v>352</v>
      </c>
      <c r="R86" s="582"/>
      <c r="S86" s="582">
        <f>S84-2*FORM!$AM$24-12</f>
        <v>402</v>
      </c>
      <c r="T86" s="582"/>
      <c r="U86" s="582">
        <f>U84-2*FORM!$AM$24-12</f>
        <v>452</v>
      </c>
      <c r="V86" s="582"/>
      <c r="W86" s="582">
        <f>W84-2*FORM!$AM$24-12</f>
        <v>502</v>
      </c>
      <c r="X86" s="582"/>
      <c r="Y86" s="582">
        <f>Y84-2*FORM!$AM$24-12</f>
        <v>552</v>
      </c>
      <c r="Z86" s="582"/>
      <c r="AA86" s="582">
        <f>AA84-2*FORM!$AM$24-12</f>
        <v>652</v>
      </c>
      <c r="AB86" s="582"/>
      <c r="AC86" s="582">
        <f>AC84-2*FORM!$AM$24-12</f>
        <v>752</v>
      </c>
      <c r="AD86" s="582"/>
      <c r="AE86" s="582">
        <f>AE84-2*FORM!$AM$24-12</f>
        <v>852</v>
      </c>
      <c r="AF86" s="582"/>
      <c r="AG86" s="582">
        <f>AG84-2*FORM!$AM$24-12</f>
        <v>952</v>
      </c>
      <c r="AH86" s="582"/>
      <c r="AI86" s="582">
        <f>AI84-2*FORM!$AM$24-12</f>
        <v>1152</v>
      </c>
      <c r="AJ86" s="582"/>
      <c r="AU86" s="319"/>
      <c r="AV86" s="21"/>
      <c r="AW86" s="22"/>
      <c r="AX86" s="22"/>
      <c r="AY86" s="23"/>
      <c r="AZ86" s="326" t="str">
        <f t="shared" si="8"/>
        <v/>
      </c>
      <c r="BA86" s="95"/>
      <c r="BB86" s="95" t="str">
        <f t="shared" si="7"/>
        <v/>
      </c>
      <c r="BD86" s="319">
        <f>OBJ!B284</f>
        <v>9257890</v>
      </c>
      <c r="BE86" s="21" t="str">
        <f>VLOOKUP(BD86,CENY!$B$11:$G$1054,2,FALSE)</f>
        <v>Actro You - Push to open Silent; &lt;10kg</v>
      </c>
      <c r="BF86" s="22">
        <f>VLOOKUP(BD86,CENY!$B$11:$G$1054,3,FALSE)</f>
        <v>1</v>
      </c>
      <c r="BG86" s="22"/>
      <c r="BH86" s="68"/>
      <c r="BI86" s="326" t="str">
        <f t="shared" si="9"/>
        <v/>
      </c>
      <c r="BJ86" s="95">
        <f>VLOOKUP(BD86,CENY!$B$11:$M$2025,12,FALSE)</f>
        <v>23.177009999999999</v>
      </c>
      <c r="BK86" s="95">
        <f t="shared" si="10"/>
        <v>0</v>
      </c>
    </row>
    <row r="87" spans="1:63" ht="14.45" customHeight="1">
      <c r="A87" s="579"/>
      <c r="AR87" s="157" t="str">
        <f>IF(AU98=0,verze!E169&amp;" "&amp;AU96&amp;" "&amp;verze!E170,"")</f>
        <v>Je potrebné vybrať 0 ks vnútorných čiel.</v>
      </c>
      <c r="AU87" s="319">
        <f>OBJ!B214</f>
        <v>0</v>
      </c>
      <c r="AV87" s="21" t="e">
        <f>VLOOKUP(AU87,CENY!$B$11:$G$1054,2,FALSE)</f>
        <v>#N/A</v>
      </c>
      <c r="AW87" s="22" t="e">
        <f>VLOOKUP(AU87,CENY!$B$11:$G$1054,3,FALSE)</f>
        <v>#N/A</v>
      </c>
      <c r="AX87" s="22"/>
      <c r="AY87" s="68">
        <f>IF(FORM!AM21&lt;&gt;FORM!AW16,(2*SUM(AY1:AY4)*(SUM(W20:AD20)+SUM(W22:AF22)+SUM(W28:AD28))),0)</f>
        <v>0</v>
      </c>
      <c r="AZ87" s="326">
        <f t="shared" si="8"/>
        <v>0</v>
      </c>
      <c r="BA87" s="324" t="str">
        <f>IF(AU87=0,"",VLOOKUP(AU87,CENY!$B$11:$M$2025,12,FALSE))</f>
        <v/>
      </c>
      <c r="BB87" s="95" t="str">
        <f>IF(BA87="","",BA87*AY87)</f>
        <v/>
      </c>
      <c r="BD87" s="319">
        <f>OBJ!B285</f>
        <v>9257891</v>
      </c>
      <c r="BE87" s="21" t="str">
        <f>VLOOKUP(BD87,CENY!$B$11:$G$1054,2,FALSE)</f>
        <v>Actro You - Push to open Silent; 8-20kg</v>
      </c>
      <c r="BF87" s="22">
        <f>VLOOKUP(BD87,CENY!$B$11:$G$1054,3,FALSE)</f>
        <v>1</v>
      </c>
      <c r="BG87" s="22"/>
      <c r="BH87" s="68"/>
      <c r="BI87" s="326" t="str">
        <f t="shared" si="9"/>
        <v/>
      </c>
      <c r="BJ87" s="95">
        <f>VLOOKUP(BD87,CENY!$B$11:$M$2025,12,FALSE)</f>
        <v>23.177009999999999</v>
      </c>
      <c r="BK87" s="95">
        <f t="shared" si="10"/>
        <v>0</v>
      </c>
    </row>
    <row r="88" spans="1:63" ht="14.45" customHeight="1">
      <c r="A88" s="579"/>
      <c r="AR88" s="332" t="str">
        <f>IF(AU98=0,"",IF(AU96=AU98,verze!E174,IF(AU99&gt;0,verze!E171&amp;" "&amp;AU99&amp;" "&amp;verze!E170,verze!E172&amp;" "&amp;AU100&amp;" "&amp;verze!E173)))</f>
        <v/>
      </c>
      <c r="AU88" s="319"/>
      <c r="AV88" s="21"/>
      <c r="AW88" s="22"/>
      <c r="AX88" s="22"/>
      <c r="AY88" s="23"/>
      <c r="AZ88" s="326" t="str">
        <f t="shared" si="8"/>
        <v/>
      </c>
      <c r="BA88" s="95"/>
      <c r="BB88" s="95" t="str">
        <f t="shared" si="7"/>
        <v/>
      </c>
      <c r="BD88" s="319">
        <f>OBJ!B286</f>
        <v>9257892</v>
      </c>
      <c r="BE88" s="21" t="str">
        <f>VLOOKUP(BD88,CENY!$B$11:$G$1054,2,FALSE)</f>
        <v>Actro You - Push to open Silent; 10-40kg</v>
      </c>
      <c r="BF88" s="22">
        <f>VLOOKUP(BD88,CENY!$B$11:$G$1054,3,FALSE)</f>
        <v>1</v>
      </c>
      <c r="BG88" s="22"/>
      <c r="BH88" s="68"/>
      <c r="BI88" s="326" t="str">
        <f t="shared" si="9"/>
        <v/>
      </c>
      <c r="BJ88" s="95">
        <f>VLOOKUP(BD88,CENY!$B$11:$M$2025,12,FALSE)</f>
        <v>23.177009999999999</v>
      </c>
      <c r="BK88" s="95">
        <f t="shared" si="10"/>
        <v>0</v>
      </c>
    </row>
    <row r="89" spans="1:63" ht="14.45" customHeight="1">
      <c r="A89" s="579"/>
      <c r="AU89" s="319"/>
      <c r="AV89" s="21"/>
      <c r="AW89" s="22"/>
      <c r="AX89" s="22"/>
      <c r="AY89" s="23"/>
      <c r="AZ89" s="326" t="str">
        <f t="shared" si="8"/>
        <v/>
      </c>
      <c r="BA89" s="95"/>
      <c r="BB89" s="95" t="str">
        <f t="shared" si="7"/>
        <v/>
      </c>
      <c r="BD89" s="319">
        <f>OBJ!B287</f>
        <v>9257893</v>
      </c>
      <c r="BE89" s="21" t="str">
        <f>VLOOKUP(BD89,CENY!$B$11:$G$1054,2,FALSE)</f>
        <v>Actro You - Push to open Silent; 20-70kg</v>
      </c>
      <c r="BF89" s="22">
        <f>VLOOKUP(BD89,CENY!$B$11:$G$1054,3,FALSE)</f>
        <v>1</v>
      </c>
      <c r="BG89" s="22"/>
      <c r="BH89" s="68"/>
      <c r="BI89" s="326" t="str">
        <f t="shared" si="9"/>
        <v/>
      </c>
      <c r="BJ89" s="95">
        <f>VLOOKUP(BD89,CENY!$B$11:$M$2025,12,FALSE)</f>
        <v>23.177009999999999</v>
      </c>
      <c r="BK89" s="95">
        <f t="shared" si="10"/>
        <v>0</v>
      </c>
    </row>
    <row r="90" spans="1:63" ht="14.45" customHeight="1">
      <c r="A90" s="579"/>
      <c r="AU90" s="319">
        <f>OBJ!B194</f>
        <v>9257269</v>
      </c>
      <c r="AV90" s="21" t="str">
        <f>VLOOKUP(AU90,CENY!$B$11:$G$1054,2,FALSE)</f>
        <v>AvanY-čelo vnút.zásuvky /v101/d2000/strieb.</v>
      </c>
      <c r="AW90" s="22">
        <f>VLOOKUP(AU90,CENY!$B$11:$G$1054,3,FALSE)</f>
        <v>1</v>
      </c>
      <c r="AX90" s="22"/>
      <c r="AY90" s="23">
        <f>IF(AU96=0,0,IF(AU102&lt;2000,1,SUM(O79:AJ79)))</f>
        <v>0</v>
      </c>
      <c r="AZ90" s="326">
        <f>IF(AY90="","",IF($AW$4=1,AY90,0))</f>
        <v>0</v>
      </c>
      <c r="BA90" s="95">
        <f>VLOOKUP(AU90,CENY!$B$11:$M$2025,12,FALSE)</f>
        <v>71.34393</v>
      </c>
      <c r="BB90" s="95">
        <f>IF(BA90="","",BA90*AY90)</f>
        <v>0</v>
      </c>
      <c r="BD90" s="319">
        <f>OBJ!B288</f>
        <v>9236718</v>
      </c>
      <c r="BE90" s="21" t="str">
        <f>VLOOKUP(BD90,CENY!$B$11:$G$1054,2,FALSE)</f>
        <v>Push to open Synchro / tyč 2.000 mm</v>
      </c>
      <c r="BF90" s="22">
        <f>VLOOKUP(BD90,CENY!$B$11:$G$1054,3,FALSE)</f>
        <v>100</v>
      </c>
      <c r="BG90" s="22"/>
      <c r="BH90" s="68"/>
      <c r="BI90" s="326" t="str">
        <f t="shared" si="9"/>
        <v/>
      </c>
      <c r="BJ90" s="95">
        <f>VLOOKUP(BD90,CENY!$B$11:$M$2025,12,FALSE)</f>
        <v>8.7567500000000003</v>
      </c>
      <c r="BK90" s="95">
        <f t="shared" si="10"/>
        <v>0</v>
      </c>
    </row>
    <row r="91" spans="1:63" ht="14.45" customHeight="1">
      <c r="A91" s="579"/>
      <c r="AU91" s="319">
        <f>OBJ!B198</f>
        <v>9257611</v>
      </c>
      <c r="AV91" s="21" t="str">
        <f>VLOOKUP(AU91,CENY!$B$11:$G$1054,2,FALSE)</f>
        <v>AvanY-spojky čela vnút.zás./v101/strieb.</v>
      </c>
      <c r="AW91" s="22">
        <f>VLOOKUP(AU91,CENY!$B$11:$G$1054,3,FALSE)</f>
        <v>1</v>
      </c>
      <c r="AX91" s="22"/>
      <c r="AY91" s="23">
        <f>1*(AY1)*(SUM(W20:AD20)+SUM(W22:AF22)+SUM(W28:AD28))</f>
        <v>0</v>
      </c>
      <c r="AZ91" s="326">
        <f>IF(AY91="","",IF($AW$4=1,AY91,0))</f>
        <v>0</v>
      </c>
      <c r="BA91" s="95">
        <f>VLOOKUP(AU91,CENY!$B$11:$M$2025,12,FALSE)</f>
        <v>4.6785699999999997</v>
      </c>
      <c r="BB91" s="95">
        <f>IF(BA91="","",BA91*AY91)</f>
        <v>0</v>
      </c>
      <c r="BD91" s="319"/>
      <c r="BE91" s="21"/>
      <c r="BF91" s="22"/>
      <c r="BG91" s="22"/>
      <c r="BH91" s="23"/>
      <c r="BI91" s="326" t="str">
        <f t="shared" si="9"/>
        <v/>
      </c>
      <c r="BJ91" s="95"/>
      <c r="BK91" s="95" t="str">
        <f t="shared" si="10"/>
        <v/>
      </c>
    </row>
    <row r="92" spans="1:63" ht="14.45" customHeight="1">
      <c r="A92" s="579"/>
      <c r="AU92" s="319">
        <f>OBJ!B196</f>
        <v>9257271</v>
      </c>
      <c r="AV92" s="21" t="str">
        <f>VLOOKUP(AU92,CENY!$B$11:$G$1054,2,FALSE)</f>
        <v>AvanY-čelo vnút.zásuvky /v187/d2000/strieb.</v>
      </c>
      <c r="AW92" s="22">
        <f>VLOOKUP(AU92,CENY!$B$11:$G$1054,3,FALSE)</f>
        <v>1</v>
      </c>
      <c r="AX92" s="22"/>
      <c r="AY92" s="23">
        <f>IF(AW96=0,0,IF(AW102&lt;2000,1,SUM(O80:AJ80)))</f>
        <v>0</v>
      </c>
      <c r="AZ92" s="326">
        <f>IF(AY92="","",IF($AW$4=1,AY92,0))</f>
        <v>0</v>
      </c>
      <c r="BA92" s="95">
        <f>VLOOKUP(AU92,CENY!$B$11:$M$2025,12,FALSE)</f>
        <v>106.6825</v>
      </c>
      <c r="BB92" s="95">
        <f>IF(BA92="","",BA92*AY92)</f>
        <v>0</v>
      </c>
      <c r="BD92" s="319">
        <f>OBJ!B297</f>
        <v>9256944</v>
      </c>
      <c r="BE92" s="21" t="str">
        <f>VLOOKUP(BD92,CENY!$B$11:$G$1054,2,FALSE)</f>
        <v>Quadro You(S) 270/SiSy 10kg; EB21; ľavý</v>
      </c>
      <c r="BF92" s="22">
        <f>VLOOKUP(BD92,CENY!$B$11:$G$1054,3,FALSE)</f>
        <v>20</v>
      </c>
      <c r="BG92" s="22"/>
      <c r="BH92" s="68"/>
      <c r="BI92" s="326" t="str">
        <f t="shared" si="9"/>
        <v/>
      </c>
      <c r="BJ92" s="95">
        <f>VLOOKUP(BD92,CENY!$B$11:$M$2025,12,FALSE)</f>
        <v>10.7646</v>
      </c>
      <c r="BK92" s="95">
        <f t="shared" si="10"/>
        <v>0</v>
      </c>
    </row>
    <row r="93" spans="1:63" ht="14.45" customHeight="1">
      <c r="A93" s="579"/>
      <c r="AU93" s="319">
        <f>OBJ!B201</f>
        <v>9257623</v>
      </c>
      <c r="AV93" s="21" t="str">
        <f>VLOOKUP(AU93,CENY!$B$11:$G$1054,2,FALSE)</f>
        <v>AvanY-spojky čela vnút.Inlay/v187/strieb.</v>
      </c>
      <c r="AW93" s="22">
        <f>VLOOKUP(AU93,CENY!$B$11:$G$1054,3,FALSE)</f>
        <v>1</v>
      </c>
      <c r="AX93" s="22"/>
      <c r="AY93" s="23">
        <f>1*(AY3)*(SUM(W20:AD20)+SUM(W22:AF22)+SUM(W28:AD28))</f>
        <v>0</v>
      </c>
      <c r="AZ93" s="326">
        <f>IF(AY93="","",IF($AW$4=1,AY93,0))</f>
        <v>0</v>
      </c>
      <c r="BA93" s="95">
        <f>VLOOKUP(AU93,CENY!$B$11:$M$2025,12,FALSE)</f>
        <v>7.2178100000000001</v>
      </c>
      <c r="BB93" s="95">
        <f>IF(BA93="","",BA93*AY93)</f>
        <v>0</v>
      </c>
      <c r="BD93" s="319">
        <f>OBJ!B298</f>
        <v>9256945</v>
      </c>
      <c r="BE93" s="21" t="str">
        <f>VLOOKUP(BD93,CENY!$B$11:$G$1054,2,FALSE)</f>
        <v>Quadro You(S) 270/SiSy 10kg; EB21; pravý</v>
      </c>
      <c r="BF93" s="22">
        <f>VLOOKUP(BD93,CENY!$B$11:$G$1054,3,FALSE)</f>
        <v>20</v>
      </c>
      <c r="BG93" s="22"/>
      <c r="BH93" s="68"/>
      <c r="BI93" s="326" t="str">
        <f t="shared" si="9"/>
        <v/>
      </c>
      <c r="BJ93" s="95">
        <f>VLOOKUP(BD93,CENY!$B$11:$M$2025,12,FALSE)</f>
        <v>10.7646</v>
      </c>
      <c r="BK93" s="95">
        <f t="shared" si="10"/>
        <v>0</v>
      </c>
    </row>
    <row r="94" spans="1:63" ht="14.45" customHeight="1">
      <c r="A94" s="579"/>
      <c r="AU94" s="319"/>
      <c r="AV94" s="21"/>
      <c r="AW94" s="368"/>
      <c r="AX94" s="368"/>
      <c r="AY94" s="369"/>
      <c r="AZ94" s="326" t="str">
        <f t="shared" si="8"/>
        <v/>
      </c>
      <c r="BA94" s="95"/>
      <c r="BB94" s="95" t="str">
        <f t="shared" si="7"/>
        <v/>
      </c>
      <c r="BD94" s="319">
        <f>OBJ!B299</f>
        <v>9256946</v>
      </c>
      <c r="BE94" s="21" t="str">
        <f>VLOOKUP(BD94,CENY!$B$11:$G$1054,2,FALSE)</f>
        <v>Quadro You(S) 300/SiSy 10kg; EB21; ľavý</v>
      </c>
      <c r="BF94" s="22">
        <f>VLOOKUP(BD94,CENY!$B$11:$G$1054,3,FALSE)</f>
        <v>20</v>
      </c>
      <c r="BG94" s="22"/>
      <c r="BH94" s="68"/>
      <c r="BI94" s="326" t="str">
        <f t="shared" si="9"/>
        <v/>
      </c>
      <c r="BJ94" s="95">
        <f>VLOOKUP(BD94,CENY!$B$11:$M$2025,12,FALSE)</f>
        <v>10.787739999999999</v>
      </c>
      <c r="BK94" s="95">
        <f t="shared" si="10"/>
        <v>0</v>
      </c>
    </row>
    <row r="95" spans="1:63" ht="14.45" customHeight="1">
      <c r="A95" s="579"/>
      <c r="AU95" s="372" t="s">
        <v>595</v>
      </c>
      <c r="AV95" s="21"/>
      <c r="AW95" s="613" t="s">
        <v>596</v>
      </c>
      <c r="AX95" s="613"/>
      <c r="AY95" s="613"/>
      <c r="AZ95" s="326" t="str">
        <f t="shared" si="8"/>
        <v/>
      </c>
      <c r="BA95" s="95"/>
      <c r="BB95" s="95" t="str">
        <f t="shared" si="7"/>
        <v/>
      </c>
      <c r="BD95" s="319">
        <f>OBJ!B300</f>
        <v>9256947</v>
      </c>
      <c r="BE95" s="21" t="str">
        <f>VLOOKUP(BD95,CENY!$B$11:$G$1054,2,FALSE)</f>
        <v>Quadro You(S) 300/SiSy 10kg; EB21; pravý</v>
      </c>
      <c r="BF95" s="22">
        <f>VLOOKUP(BD95,CENY!$B$11:$G$1054,3,FALSE)</f>
        <v>20</v>
      </c>
      <c r="BG95" s="22"/>
      <c r="BH95" s="68"/>
      <c r="BI95" s="326" t="str">
        <f t="shared" si="9"/>
        <v/>
      </c>
      <c r="BJ95" s="95">
        <f>VLOOKUP(BD95,CENY!$B$11:$M$2025,12,FALSE)</f>
        <v>10.787739999999999</v>
      </c>
      <c r="BK95" s="95">
        <f t="shared" si="10"/>
        <v>0</v>
      </c>
    </row>
    <row r="96" spans="1:63" ht="14.45" customHeight="1">
      <c r="A96" s="579"/>
      <c r="AU96" s="330">
        <f>1*(AY1)*(SUM(W20:AD20)+SUM(W22:AF22)+SUM(W28:AD28))</f>
        <v>0</v>
      </c>
      <c r="AV96" s="329" t="s">
        <v>356</v>
      </c>
      <c r="AW96" s="612">
        <f>1*(AY3)*(SUM(W20:AD20)+SUM(W22:AF22)+SUM(W28:AD28))</f>
        <v>0</v>
      </c>
      <c r="AX96" s="612"/>
      <c r="AY96" s="612"/>
      <c r="AZ96" s="326" t="str">
        <f t="shared" si="8"/>
        <v/>
      </c>
      <c r="BA96" s="95"/>
      <c r="BB96" s="95" t="str">
        <f t="shared" si="7"/>
        <v/>
      </c>
      <c r="BD96" s="319">
        <f>OBJ!B301</f>
        <v>9256950</v>
      </c>
      <c r="BE96" s="21" t="str">
        <f>VLOOKUP(BD96,CENY!$B$11:$G$1054,2,FALSE)</f>
        <v>Quadro You(S) 350/SiSy 10kg; EB21; ľavý</v>
      </c>
      <c r="BF96" s="22">
        <f>VLOOKUP(BD96,CENY!$B$11:$G$1054,3,FALSE)</f>
        <v>20</v>
      </c>
      <c r="BG96" s="22"/>
      <c r="BH96" s="68"/>
      <c r="BI96" s="326" t="str">
        <f t="shared" si="9"/>
        <v/>
      </c>
      <c r="BJ96" s="95">
        <f>VLOOKUP(BD96,CENY!$B$11:$M$2025,12,FALSE)</f>
        <v>11.02122</v>
      </c>
      <c r="BK96" s="95">
        <f t="shared" si="10"/>
        <v>0</v>
      </c>
    </row>
    <row r="97" spans="1:63" ht="14.45" customHeight="1">
      <c r="A97" s="579"/>
      <c r="AU97" s="20"/>
      <c r="AV97" s="21"/>
      <c r="AW97" s="612"/>
      <c r="AX97" s="612"/>
      <c r="AY97" s="612"/>
      <c r="AZ97" s="326" t="str">
        <f t="shared" si="8"/>
        <v/>
      </c>
      <c r="BA97" s="95"/>
      <c r="BB97" s="95" t="str">
        <f t="shared" si="7"/>
        <v/>
      </c>
      <c r="BD97" s="319">
        <f>OBJ!B302</f>
        <v>9256951</v>
      </c>
      <c r="BE97" s="21" t="str">
        <f>VLOOKUP(BD97,CENY!$B$11:$G$1054,2,FALSE)</f>
        <v>Quadro You(S) 350/SiSy 10kg; EB21; pravý</v>
      </c>
      <c r="BF97" s="22">
        <f>VLOOKUP(BD97,CENY!$B$11:$G$1054,3,FALSE)</f>
        <v>20</v>
      </c>
      <c r="BG97" s="22"/>
      <c r="BH97" s="68"/>
      <c r="BI97" s="326" t="str">
        <f t="shared" si="9"/>
        <v/>
      </c>
      <c r="BJ97" s="95">
        <f>VLOOKUP(BD97,CENY!$B$11:$M$2025,12,FALSE)</f>
        <v>11.02122</v>
      </c>
      <c r="BK97" s="95">
        <f t="shared" si="10"/>
        <v>0</v>
      </c>
    </row>
    <row r="98" spans="1:63" ht="14.45" customHeight="1">
      <c r="A98" s="579"/>
      <c r="AU98" s="331">
        <f>SUM(O85:AJ85)*AY1</f>
        <v>0</v>
      </c>
      <c r="AV98" s="21" t="s">
        <v>357</v>
      </c>
      <c r="AW98" s="612">
        <f>SUM(O85:AJ85)*AY3</f>
        <v>0</v>
      </c>
      <c r="AX98" s="612"/>
      <c r="AY98" s="612"/>
      <c r="AZ98" s="326" t="str">
        <f t="shared" si="8"/>
        <v/>
      </c>
      <c r="BA98" s="95"/>
      <c r="BB98" s="95" t="str">
        <f t="shared" si="7"/>
        <v/>
      </c>
      <c r="BD98" s="319"/>
      <c r="BE98" s="21"/>
      <c r="BF98" s="22"/>
      <c r="BG98" s="22"/>
      <c r="BH98" s="23"/>
      <c r="BI98" s="326" t="str">
        <f t="shared" si="9"/>
        <v/>
      </c>
      <c r="BJ98" s="95"/>
      <c r="BK98" s="95" t="str">
        <f t="shared" si="10"/>
        <v/>
      </c>
    </row>
    <row r="99" spans="1:63" ht="14.45" customHeight="1">
      <c r="A99" s="579"/>
      <c r="AU99" s="22">
        <f>AU96-AU98</f>
        <v>0</v>
      </c>
      <c r="AV99" s="21"/>
      <c r="AW99" s="612">
        <f>AW96-AW98</f>
        <v>0</v>
      </c>
      <c r="AX99" s="612"/>
      <c r="AY99" s="612"/>
      <c r="AZ99" s="326" t="str">
        <f t="shared" si="8"/>
        <v/>
      </c>
      <c r="BA99" s="95"/>
      <c r="BB99" s="95" t="str">
        <f t="shared" si="7"/>
        <v/>
      </c>
      <c r="BD99" s="319">
        <f>OBJ!B312</f>
        <v>9256854</v>
      </c>
      <c r="BE99" s="21" t="str">
        <f>VLOOKUP(BD99,CENY!$B$11:$G$1054,2,FALSE)</f>
        <v>Quadro You(M) 270/SiSy 20kg; EB21; ľavý</v>
      </c>
      <c r="BF99" s="22">
        <f>VLOOKUP(BD99,CENY!$B$11:$G$1054,3,FALSE)</f>
        <v>20</v>
      </c>
      <c r="BG99" s="22"/>
      <c r="BH99" s="68"/>
      <c r="BI99" s="326" t="str">
        <f t="shared" si="9"/>
        <v/>
      </c>
      <c r="BJ99" s="95">
        <f>VLOOKUP(BD99,CENY!$B$11:$M$2025,12,FALSE)</f>
        <v>10.7646</v>
      </c>
      <c r="BK99" s="95">
        <f t="shared" si="10"/>
        <v>0</v>
      </c>
    </row>
    <row r="100" spans="1:63" ht="14.45" customHeight="1">
      <c r="A100" s="579"/>
      <c r="AU100" s="22">
        <f>ABS(AU99)</f>
        <v>0</v>
      </c>
      <c r="AV100" s="21"/>
      <c r="AW100" s="612">
        <f>ABS(AW99)</f>
        <v>0</v>
      </c>
      <c r="AX100" s="612"/>
      <c r="AY100" s="612"/>
      <c r="AZ100" s="326" t="str">
        <f t="shared" si="8"/>
        <v/>
      </c>
      <c r="BA100" s="95"/>
      <c r="BB100" s="95" t="str">
        <f t="shared" si="7"/>
        <v/>
      </c>
      <c r="BD100" s="319">
        <f>OBJ!B313</f>
        <v>9256855</v>
      </c>
      <c r="BE100" s="21" t="str">
        <f>VLOOKUP(BD100,CENY!$B$11:$G$1054,2,FALSE)</f>
        <v>Quadro You(M) 270/SiSy 20kg; EB21; pravý</v>
      </c>
      <c r="BF100" s="22">
        <f>VLOOKUP(BD100,CENY!$B$11:$G$1054,3,FALSE)</f>
        <v>20</v>
      </c>
      <c r="BG100" s="22"/>
      <c r="BH100" s="68"/>
      <c r="BI100" s="326" t="str">
        <f t="shared" si="9"/>
        <v/>
      </c>
      <c r="BJ100" s="95">
        <f>VLOOKUP(BD100,CENY!$B$11:$M$2025,12,FALSE)</f>
        <v>10.7646</v>
      </c>
      <c r="BK100" s="95">
        <f t="shared" si="10"/>
        <v>0</v>
      </c>
    </row>
    <row r="101" spans="1:63">
      <c r="A101" s="579"/>
      <c r="AU101" s="20"/>
      <c r="AV101" s="21"/>
      <c r="AW101" s="612"/>
      <c r="AX101" s="612"/>
      <c r="AY101" s="612"/>
      <c r="AZ101" s="326" t="str">
        <f t="shared" si="8"/>
        <v/>
      </c>
      <c r="BA101" s="95"/>
      <c r="BB101" s="95" t="str">
        <f t="shared" si="7"/>
        <v/>
      </c>
      <c r="BD101" s="319">
        <f>OBJ!B314</f>
        <v>9256856</v>
      </c>
      <c r="BE101" s="21" t="str">
        <f>VLOOKUP(BD101,CENY!$B$11:$G$1054,2,FALSE)</f>
        <v>Quadro You(M) 300/SiSy 20kg; EB21; ľavý</v>
      </c>
      <c r="BF101" s="22">
        <f>VLOOKUP(BD101,CENY!$B$11:$G$1054,3,FALSE)</f>
        <v>20</v>
      </c>
      <c r="BG101" s="22"/>
      <c r="BH101" s="68"/>
      <c r="BI101" s="326" t="str">
        <f t="shared" si="9"/>
        <v/>
      </c>
      <c r="BJ101" s="95">
        <f>VLOOKUP(BD101,CENY!$B$11:$M$2025,12,FALSE)</f>
        <v>10.787739999999999</v>
      </c>
      <c r="BK101" s="95">
        <f t="shared" si="10"/>
        <v>0</v>
      </c>
    </row>
    <row r="102" spans="1:63">
      <c r="A102" s="579"/>
      <c r="AU102" s="22">
        <f>(AU98-1)*4+SUM(O81:AJ81)</f>
        <v>-4</v>
      </c>
      <c r="AV102" s="21" t="s">
        <v>358</v>
      </c>
      <c r="AW102" s="612">
        <f>(AW98-1)*4+SUM(O82:AJ82)</f>
        <v>-4</v>
      </c>
      <c r="AX102" s="612"/>
      <c r="AY102" s="612"/>
      <c r="AZ102" s="326" t="str">
        <f t="shared" si="8"/>
        <v/>
      </c>
      <c r="BA102" s="95"/>
      <c r="BB102" s="95" t="str">
        <f t="shared" si="7"/>
        <v/>
      </c>
      <c r="BD102" s="319">
        <f>OBJ!B315</f>
        <v>9256857</v>
      </c>
      <c r="BE102" s="21" t="str">
        <f>VLOOKUP(BD102,CENY!$B$11:$G$1054,2,FALSE)</f>
        <v>Quadro You(M) 300/SiSy 20kg; EB21; pravý</v>
      </c>
      <c r="BF102" s="22">
        <f>VLOOKUP(BD102,CENY!$B$11:$G$1054,3,FALSE)</f>
        <v>20</v>
      </c>
      <c r="BG102" s="22"/>
      <c r="BH102" s="68"/>
      <c r="BI102" s="326" t="str">
        <f t="shared" si="9"/>
        <v/>
      </c>
      <c r="BJ102" s="95">
        <f>VLOOKUP(BD102,CENY!$B$11:$M$2025,12,FALSE)</f>
        <v>10.787739999999999</v>
      </c>
      <c r="BK102" s="95">
        <f t="shared" si="10"/>
        <v>0</v>
      </c>
    </row>
    <row r="103" spans="1:63">
      <c r="A103" s="579"/>
      <c r="AU103" s="22"/>
      <c r="AV103" s="21"/>
      <c r="AW103" s="370"/>
      <c r="AX103" s="370"/>
      <c r="AY103" s="371"/>
      <c r="AZ103" s="326" t="str">
        <f t="shared" si="8"/>
        <v/>
      </c>
      <c r="BA103" s="95"/>
      <c r="BB103" s="95" t="str">
        <f t="shared" si="7"/>
        <v/>
      </c>
      <c r="BD103" s="319">
        <f>OBJ!B316</f>
        <v>9256860</v>
      </c>
      <c r="BE103" s="21" t="str">
        <f>VLOOKUP(BD103,CENY!$B$11:$G$1054,2,FALSE)</f>
        <v>Quadro You(M) 350/SiSy 25kg; EB21; ľavý</v>
      </c>
      <c r="BF103" s="22">
        <f>VLOOKUP(BD103,CENY!$B$11:$G$1054,3,FALSE)</f>
        <v>20</v>
      </c>
      <c r="BG103" s="22"/>
      <c r="BH103" s="68"/>
      <c r="BI103" s="326" t="str">
        <f t="shared" si="9"/>
        <v/>
      </c>
      <c r="BJ103" s="95">
        <f>VLOOKUP(BD103,CENY!$B$11:$M$2025,12,FALSE)</f>
        <v>11.02122</v>
      </c>
      <c r="BK103" s="95">
        <f t="shared" si="10"/>
        <v>0</v>
      </c>
    </row>
    <row r="104" spans="1:63">
      <c r="A104" s="579"/>
      <c r="AU104" s="20"/>
      <c r="AV104" s="21"/>
      <c r="AW104" s="22"/>
      <c r="AX104" s="22"/>
      <c r="AY104" s="23"/>
      <c r="AZ104" s="326" t="str">
        <f t="shared" si="8"/>
        <v/>
      </c>
      <c r="BA104" s="95"/>
      <c r="BB104" s="95" t="str">
        <f t="shared" si="7"/>
        <v/>
      </c>
      <c r="BD104" s="319">
        <f>OBJ!B317</f>
        <v>9256861</v>
      </c>
      <c r="BE104" s="21" t="str">
        <f>VLOOKUP(BD104,CENY!$B$11:$G$1054,2,FALSE)</f>
        <v>Quadro You(M) 350/SiSy 25kg; EB21; pravý</v>
      </c>
      <c r="BF104" s="22">
        <f>VLOOKUP(BD104,CENY!$B$11:$G$1054,3,FALSE)</f>
        <v>20</v>
      </c>
      <c r="BG104" s="22"/>
      <c r="BH104" s="68"/>
      <c r="BI104" s="326" t="str">
        <f t="shared" si="9"/>
        <v/>
      </c>
      <c r="BJ104" s="95">
        <f>VLOOKUP(BD104,CENY!$B$11:$M$2025,12,FALSE)</f>
        <v>11.02122</v>
      </c>
      <c r="BK104" s="95">
        <f t="shared" si="10"/>
        <v>0</v>
      </c>
    </row>
    <row r="105" spans="1:63">
      <c r="A105" s="579"/>
      <c r="AU105" s="20"/>
      <c r="AV105" s="21"/>
      <c r="AW105" s="22"/>
      <c r="AX105" s="22"/>
      <c r="AY105" s="23"/>
      <c r="AZ105" s="326" t="str">
        <f t="shared" si="8"/>
        <v/>
      </c>
      <c r="BA105" s="95"/>
      <c r="BB105" s="95" t="str">
        <f t="shared" si="7"/>
        <v/>
      </c>
      <c r="BD105" s="319">
        <f>OBJ!B318</f>
        <v>9256864</v>
      </c>
      <c r="BE105" s="21" t="str">
        <f>VLOOKUP(BD105,CENY!$B$11:$G$1054,2,FALSE)</f>
        <v>Quadro You(M) 400/SiSy 30kg; EB21; ľavý</v>
      </c>
      <c r="BF105" s="22">
        <f>VLOOKUP(BD105,CENY!$B$11:$G$1054,3,FALSE)</f>
        <v>20</v>
      </c>
      <c r="BG105" s="22"/>
      <c r="BH105" s="68"/>
      <c r="BI105" s="326" t="str">
        <f t="shared" si="9"/>
        <v/>
      </c>
      <c r="BJ105" s="95">
        <f>VLOOKUP(BD105,CENY!$B$11:$M$2025,12,FALSE)</f>
        <v>11.25459</v>
      </c>
      <c r="BK105" s="95">
        <f t="shared" si="10"/>
        <v>0</v>
      </c>
    </row>
    <row r="106" spans="1:63">
      <c r="AU106" s="20"/>
      <c r="AV106" s="21"/>
      <c r="AW106" s="22"/>
      <c r="AX106" s="22"/>
      <c r="AY106" s="23"/>
      <c r="AZ106" s="326" t="str">
        <f t="shared" si="8"/>
        <v/>
      </c>
      <c r="BA106" s="95"/>
      <c r="BB106" s="95" t="str">
        <f t="shared" si="7"/>
        <v/>
      </c>
      <c r="BD106" s="319">
        <f>OBJ!B319</f>
        <v>9256865</v>
      </c>
      <c r="BE106" s="21" t="str">
        <f>VLOOKUP(BD106,CENY!$B$11:$G$1054,2,FALSE)</f>
        <v>Quadro You(M) 400/SiSy 30kg; EB21; pravý</v>
      </c>
      <c r="BF106" s="22">
        <f>VLOOKUP(BD106,CENY!$B$11:$G$1054,3,FALSE)</f>
        <v>20</v>
      </c>
      <c r="BG106" s="22"/>
      <c r="BH106" s="68"/>
      <c r="BI106" s="326" t="str">
        <f t="shared" si="9"/>
        <v/>
      </c>
      <c r="BJ106" s="95">
        <f>VLOOKUP(BD106,CENY!$B$11:$M$2025,12,FALSE)</f>
        <v>11.25459</v>
      </c>
      <c r="BK106" s="95">
        <f t="shared" si="10"/>
        <v>0</v>
      </c>
    </row>
    <row r="107" spans="1:63">
      <c r="AU107" s="374">
        <f>OBJ!B367</f>
        <v>9099540</v>
      </c>
      <c r="AV107" s="375" t="str">
        <f>VLOOKUP(AU107,CENY!$B$11:$G$1054,2,FALSE)</f>
        <v>SENSYS 8657i 165st. B12,5/TH52</v>
      </c>
      <c r="AW107" s="22">
        <f>VLOOKUP(AU107,CENY!$B$11:$G$1054,3,FALSE)</f>
        <v>50</v>
      </c>
      <c r="AX107" s="22"/>
      <c r="AY107" s="23">
        <f>VLOOKUP(SUM(AY1:AY4),AY154:AZ161,2,FALSE)*(SUM(W20:AD20)+SUM(W22:AF22)+SUM(W28:AD28))*IF(SUM(AA85:AJ85)=0,1,2)</f>
        <v>0</v>
      </c>
      <c r="AZ107" s="326">
        <f t="shared" si="8"/>
        <v>0</v>
      </c>
      <c r="BA107" s="95">
        <f>VLOOKUP(AU107,CENY!$B$11:$M$2025,12,FALSE)</f>
        <v>6.6812800000000001</v>
      </c>
      <c r="BB107" s="95">
        <f t="shared" si="7"/>
        <v>0</v>
      </c>
      <c r="BD107" s="319">
        <f>OBJ!B320</f>
        <v>9256868</v>
      </c>
      <c r="BE107" s="21" t="str">
        <f>VLOOKUP(BD107,CENY!$B$11:$G$1054,2,FALSE)</f>
        <v>Quadro You(M) 450/SiSy 30kg; EB21; ľavý</v>
      </c>
      <c r="BF107" s="22">
        <f>VLOOKUP(BD107,CENY!$B$11:$G$1054,3,FALSE)</f>
        <v>20</v>
      </c>
      <c r="BG107" s="22"/>
      <c r="BH107" s="23">
        <f>AY64</f>
        <v>0</v>
      </c>
      <c r="BI107" s="326">
        <f t="shared" si="9"/>
        <v>0</v>
      </c>
      <c r="BJ107" s="95">
        <f>VLOOKUP(BD107,CENY!$B$11:$M$2025,12,FALSE)</f>
        <v>11.487740000000001</v>
      </c>
      <c r="BK107" s="95">
        <f t="shared" si="10"/>
        <v>0</v>
      </c>
    </row>
    <row r="108" spans="1:63">
      <c r="AU108" s="374">
        <f>OBJ!B368</f>
        <v>9099600</v>
      </c>
      <c r="AV108" s="375" t="str">
        <f>VLOOKUP(AU108,CENY!$B$11:$G$1054,2,FALSE)</f>
        <v>SENSYS 8657 165st. B12,5/TH52 (bez SiSy)</v>
      </c>
      <c r="AW108" s="22">
        <f>VLOOKUP(AU108,CENY!$B$11:$G$1054,3,FALSE)</f>
        <v>50</v>
      </c>
      <c r="AX108" s="22"/>
      <c r="AY108" s="68"/>
      <c r="AZ108" s="326" t="str">
        <f t="shared" si="8"/>
        <v/>
      </c>
      <c r="BA108" s="95">
        <f>VLOOKUP(AU108,CENY!$B$11:$M$2025,12,FALSE)</f>
        <v>6.23475</v>
      </c>
      <c r="BB108" s="95">
        <f t="shared" si="7"/>
        <v>0</v>
      </c>
      <c r="BD108" s="319">
        <f>OBJ!B321</f>
        <v>9256869</v>
      </c>
      <c r="BE108" s="21" t="str">
        <f>VLOOKUP(BD108,CENY!$B$11:$G$1054,2,FALSE)</f>
        <v>Quadro You(M) 450/SiSy 30kg; EB21; pravý</v>
      </c>
      <c r="BF108" s="22">
        <f>VLOOKUP(BD108,CENY!$B$11:$G$1054,3,FALSE)</f>
        <v>20</v>
      </c>
      <c r="BG108" s="22"/>
      <c r="BH108" s="23">
        <f>AY64</f>
        <v>0</v>
      </c>
      <c r="BI108" s="326">
        <f t="shared" si="9"/>
        <v>0</v>
      </c>
      <c r="BJ108" s="95">
        <f>VLOOKUP(BD108,CENY!$B$11:$M$2025,12,FALSE)</f>
        <v>11.487740000000001</v>
      </c>
      <c r="BK108" s="95">
        <f t="shared" si="10"/>
        <v>0</v>
      </c>
    </row>
    <row r="109" spans="1:63">
      <c r="AU109" s="374">
        <f>OBJ!B369</f>
        <v>9099660</v>
      </c>
      <c r="AV109" s="375" t="str">
        <f>VLOOKUP(AU109,CENY!$B$11:$G$1054,2,FALSE)</f>
        <v>SENSYS 8687 165st. B12,5/TH52 (pre P2O)</v>
      </c>
      <c r="AW109" s="22">
        <f>VLOOKUP(AU109,CENY!$B$11:$G$1054,3,FALSE)</f>
        <v>50</v>
      </c>
      <c r="AX109" s="22"/>
      <c r="AY109" s="68"/>
      <c r="AZ109" s="326" t="str">
        <f t="shared" si="8"/>
        <v/>
      </c>
      <c r="BA109" s="95">
        <f>VLOOKUP(AU109,CENY!$B$11:$M$2025,12,FALSE)</f>
        <v>6.4656099999999999</v>
      </c>
      <c r="BB109" s="95">
        <f t="shared" si="7"/>
        <v>0</v>
      </c>
      <c r="BD109" s="319">
        <f>OBJ!B322</f>
        <v>9256872</v>
      </c>
      <c r="BE109" s="21" t="str">
        <f>VLOOKUP(BD109,CENY!$B$11:$G$1054,2,FALSE)</f>
        <v>Quadro You(M) 500/SiSy 30kg; EB21; ľavý</v>
      </c>
      <c r="BF109" s="22">
        <f>VLOOKUP(BD109,CENY!$B$11:$G$1054,3,FALSE)</f>
        <v>20</v>
      </c>
      <c r="BG109" s="22"/>
      <c r="BH109" s="23">
        <f>AY65</f>
        <v>0</v>
      </c>
      <c r="BI109" s="326">
        <f t="shared" si="9"/>
        <v>0</v>
      </c>
      <c r="BJ109" s="95">
        <f>VLOOKUP(BD109,CENY!$B$11:$M$2025,12,FALSE)</f>
        <v>11.163180000000001</v>
      </c>
      <c r="BK109" s="95">
        <f t="shared" si="10"/>
        <v>0</v>
      </c>
    </row>
    <row r="110" spans="1:63">
      <c r="AU110" s="374">
        <f>OBJ!B370</f>
        <v>9071576</v>
      </c>
      <c r="AV110" s="375" t="str">
        <f>VLOOKUP(AU110,CENY!$B$11:$G$1054,2,FALSE)</f>
        <v>Podložka SENSYS k naskrut./D=1,5 mm</v>
      </c>
      <c r="AW110" s="22">
        <f>VLOOKUP(AU110,CENY!$B$11:$G$1054,3,FALSE)</f>
        <v>200</v>
      </c>
      <c r="AX110" s="22"/>
      <c r="AY110" s="23">
        <f>AY107</f>
        <v>0</v>
      </c>
      <c r="AZ110" s="326">
        <f t="shared" si="8"/>
        <v>0</v>
      </c>
      <c r="BA110" s="95">
        <f>VLOOKUP(AU110,CENY!$B$11:$M$2025,12,FALSE)</f>
        <v>0.38334000000000001</v>
      </c>
      <c r="BB110" s="95">
        <f t="shared" si="7"/>
        <v>0</v>
      </c>
      <c r="BD110" s="319">
        <f>OBJ!B323</f>
        <v>9256873</v>
      </c>
      <c r="BE110" s="21" t="str">
        <f>VLOOKUP(BD110,CENY!$B$11:$G$1054,2,FALSE)</f>
        <v>Quadro You(M) 500/SiSy 30kg; EB21; pravý</v>
      </c>
      <c r="BF110" s="22">
        <f>VLOOKUP(BD110,CENY!$B$11:$G$1054,3,FALSE)</f>
        <v>20</v>
      </c>
      <c r="BG110" s="22"/>
      <c r="BH110" s="23">
        <f>AY65</f>
        <v>0</v>
      </c>
      <c r="BI110" s="326">
        <f t="shared" si="9"/>
        <v>0</v>
      </c>
      <c r="BJ110" s="95">
        <f>VLOOKUP(BD110,CENY!$B$11:$M$2025,12,FALSE)</f>
        <v>11.163180000000001</v>
      </c>
      <c r="BK110" s="95">
        <f t="shared" si="10"/>
        <v>0</v>
      </c>
    </row>
    <row r="111" spans="1:63">
      <c r="AU111" s="374">
        <f>OBJ!B371</f>
        <v>9071671</v>
      </c>
      <c r="AV111" s="375" t="str">
        <f>VLOOKUP(AU111,CENY!$B$11:$G$1054,2,FALSE)</f>
        <v>Podlož.SENSYS s predm.skr.D=1,5(exc.)</v>
      </c>
      <c r="AW111" s="22">
        <f>VLOOKUP(AU111,CENY!$B$11:$G$1054,3,FALSE)</f>
        <v>200</v>
      </c>
      <c r="AX111" s="22"/>
      <c r="AY111" s="68"/>
      <c r="AZ111" s="326" t="str">
        <f t="shared" si="8"/>
        <v/>
      </c>
      <c r="BA111" s="95">
        <f>VLOOKUP(AU111,CENY!$B$11:$M$2025,12,FALSE)</f>
        <v>0.82479999999999998</v>
      </c>
      <c r="BB111" s="95">
        <f t="shared" si="7"/>
        <v>0</v>
      </c>
      <c r="BD111" s="319">
        <f>OBJ!B324</f>
        <v>9256876</v>
      </c>
      <c r="BE111" s="21" t="str">
        <f>VLOOKUP(BD111,CENY!$B$11:$G$1054,2,FALSE)</f>
        <v>Quadro You(M) 550/SiSy 30kg; EB21; ľavý</v>
      </c>
      <c r="BF111" s="22">
        <f>VLOOKUP(BD111,CENY!$B$11:$G$1054,3,FALSE)</f>
        <v>20</v>
      </c>
      <c r="BG111" s="22"/>
      <c r="BH111" s="23">
        <f>AY66</f>
        <v>0</v>
      </c>
      <c r="BI111" s="326">
        <f t="shared" si="9"/>
        <v>0</v>
      </c>
      <c r="BJ111" s="95">
        <f>VLOOKUP(BD111,CENY!$B$11:$M$2025,12,FALSE)</f>
        <v>11.38542</v>
      </c>
      <c r="BK111" s="95">
        <f t="shared" si="10"/>
        <v>0</v>
      </c>
    </row>
    <row r="112" spans="1:63">
      <c r="AU112" s="20"/>
      <c r="AV112" s="21"/>
      <c r="AW112" s="22"/>
      <c r="AX112" s="22"/>
      <c r="AY112" s="23"/>
      <c r="AZ112" s="326" t="str">
        <f t="shared" si="8"/>
        <v/>
      </c>
      <c r="BA112" s="95"/>
      <c r="BB112" s="95" t="str">
        <f t="shared" si="7"/>
        <v/>
      </c>
      <c r="BD112" s="319">
        <f>OBJ!B325</f>
        <v>9256877</v>
      </c>
      <c r="BE112" s="21" t="str">
        <f>VLOOKUP(BD112,CENY!$B$11:$G$1054,2,FALSE)</f>
        <v>Quadro You(M) 550/SiSy 30kg; EB21; pravý</v>
      </c>
      <c r="BF112" s="22">
        <f>VLOOKUP(BD112,CENY!$B$11:$G$1054,3,FALSE)</f>
        <v>20</v>
      </c>
      <c r="BG112" s="22"/>
      <c r="BH112" s="23">
        <f>AY66</f>
        <v>0</v>
      </c>
      <c r="BI112" s="326">
        <f t="shared" si="9"/>
        <v>0</v>
      </c>
      <c r="BJ112" s="95">
        <f>VLOOKUP(BD112,CENY!$B$11:$M$2025,12,FALSE)</f>
        <v>11.954689999999999</v>
      </c>
      <c r="BK112" s="95">
        <f t="shared" si="10"/>
        <v>0</v>
      </c>
    </row>
    <row r="113" spans="47:63">
      <c r="AU113" s="20"/>
      <c r="AV113" s="21"/>
      <c r="AW113" s="22"/>
      <c r="AX113" s="22"/>
      <c r="AY113" s="23"/>
      <c r="AZ113" s="326" t="str">
        <f t="shared" si="8"/>
        <v/>
      </c>
      <c r="BA113" s="95"/>
      <c r="BB113" s="95" t="str">
        <f t="shared" si="7"/>
        <v/>
      </c>
      <c r="BD113" s="319">
        <f>OBJ!B326</f>
        <v>9256880</v>
      </c>
      <c r="BE113" s="21" t="str">
        <f>VLOOKUP(BD113,CENY!$B$11:$G$1054,2,FALSE)</f>
        <v>Quadro You(M) 600/SiSy 25kg; EB21; ľavý</v>
      </c>
      <c r="BF113" s="22">
        <f>VLOOKUP(BD113,CENY!$B$11:$G$1054,3,FALSE)</f>
        <v>20</v>
      </c>
      <c r="BG113" s="22"/>
      <c r="BH113" s="23">
        <f>AY67</f>
        <v>0</v>
      </c>
      <c r="BI113" s="326">
        <f t="shared" si="9"/>
        <v>0</v>
      </c>
      <c r="BJ113" s="95">
        <f>VLOOKUP(BD113,CENY!$B$11:$M$2025,12,FALSE)</f>
        <v>12.187939999999999</v>
      </c>
      <c r="BK113" s="95">
        <f t="shared" si="10"/>
        <v>0</v>
      </c>
    </row>
    <row r="114" spans="47:63">
      <c r="AU114" s="20"/>
      <c r="AV114" s="21"/>
      <c r="AW114" s="22"/>
      <c r="AX114" s="22"/>
      <c r="AY114" s="23"/>
      <c r="AZ114" s="326" t="str">
        <f t="shared" si="8"/>
        <v/>
      </c>
      <c r="BA114" s="95"/>
      <c r="BB114" s="95" t="str">
        <f t="shared" si="7"/>
        <v/>
      </c>
      <c r="BD114" s="319">
        <f>OBJ!B327</f>
        <v>9256881</v>
      </c>
      <c r="BE114" s="21" t="str">
        <f>VLOOKUP(BD114,CENY!$B$11:$G$1054,2,FALSE)</f>
        <v>Quadro You(M) 600/SiSy 25kg; EB21; pravý</v>
      </c>
      <c r="BF114" s="22">
        <f>VLOOKUP(BD114,CENY!$B$11:$G$1054,3,FALSE)</f>
        <v>20</v>
      </c>
      <c r="BG114" s="22"/>
      <c r="BH114" s="23">
        <f>AY67</f>
        <v>0</v>
      </c>
      <c r="BI114" s="326">
        <f t="shared" si="9"/>
        <v>0</v>
      </c>
      <c r="BJ114" s="95">
        <f>VLOOKUP(BD114,CENY!$B$11:$M$2025,12,FALSE)</f>
        <v>12.187939999999999</v>
      </c>
      <c r="BK114" s="95">
        <f t="shared" si="10"/>
        <v>0</v>
      </c>
    </row>
    <row r="115" spans="47:63">
      <c r="AU115" s="20"/>
      <c r="AV115" s="21"/>
      <c r="AW115" s="22"/>
      <c r="AX115" s="22"/>
      <c r="AY115" s="23"/>
      <c r="AZ115" s="326" t="str">
        <f t="shared" si="8"/>
        <v/>
      </c>
      <c r="BA115" s="95"/>
      <c r="BB115" s="95" t="str">
        <f t="shared" si="7"/>
        <v/>
      </c>
      <c r="BD115" s="319"/>
      <c r="BE115" s="21"/>
      <c r="BF115" s="22"/>
      <c r="BG115" s="22"/>
      <c r="BH115" s="23"/>
      <c r="BI115" s="326" t="str">
        <f t="shared" si="9"/>
        <v/>
      </c>
      <c r="BJ115" s="95"/>
      <c r="BK115" s="95" t="str">
        <f t="shared" si="10"/>
        <v/>
      </c>
    </row>
    <row r="116" spans="47:63">
      <c r="AU116" s="20"/>
      <c r="AV116" s="21"/>
      <c r="AW116" s="22"/>
      <c r="AX116" s="22"/>
      <c r="AY116" s="23"/>
      <c r="AZ116" s="326" t="str">
        <f t="shared" si="8"/>
        <v/>
      </c>
      <c r="BA116" s="95"/>
      <c r="BB116" s="95" t="str">
        <f t="shared" si="7"/>
        <v/>
      </c>
      <c r="BD116" s="319">
        <f>OBJ!B329</f>
        <v>9257894</v>
      </c>
      <c r="BE116" s="21" t="str">
        <f>VLOOKUP(BD116,CENY!$B$11:$G$1054,2,FALSE)</f>
        <v>Quadro You - Push to open Silent; &lt;10kg</v>
      </c>
      <c r="BF116" s="22">
        <f>VLOOKUP(BD116,CENY!$B$11:$G$1054,3,FALSE)</f>
        <v>1</v>
      </c>
      <c r="BG116" s="22"/>
      <c r="BH116" s="68"/>
      <c r="BI116" s="326" t="str">
        <f t="shared" si="9"/>
        <v/>
      </c>
      <c r="BJ116" s="95">
        <f>VLOOKUP(BD116,CENY!$B$11:$M$2025,12,FALSE)</f>
        <v>23.114239999999999</v>
      </c>
      <c r="BK116" s="95">
        <f t="shared" si="10"/>
        <v>0</v>
      </c>
    </row>
    <row r="117" spans="47:63">
      <c r="AU117" s="20"/>
      <c r="AV117" s="21"/>
      <c r="AW117" s="22"/>
      <c r="AX117" s="22"/>
      <c r="AY117" s="23"/>
      <c r="AZ117" s="326" t="str">
        <f t="shared" si="8"/>
        <v/>
      </c>
      <c r="BA117" s="95"/>
      <c r="BB117" s="95" t="str">
        <f t="shared" si="7"/>
        <v/>
      </c>
      <c r="BD117" s="319">
        <f>OBJ!B330</f>
        <v>9257895</v>
      </c>
      <c r="BE117" s="21" t="str">
        <f>VLOOKUP(BD117,CENY!$B$11:$G$1054,2,FALSE)</f>
        <v>Quadro You - Push to open Silent; 8-20kg</v>
      </c>
      <c r="BF117" s="22">
        <f>VLOOKUP(BD117,CENY!$B$11:$G$1054,3,FALSE)</f>
        <v>1</v>
      </c>
      <c r="BG117" s="22"/>
      <c r="BH117" s="68"/>
      <c r="BI117" s="326" t="str">
        <f t="shared" si="9"/>
        <v/>
      </c>
      <c r="BJ117" s="95">
        <f>VLOOKUP(BD117,CENY!$B$11:$M$2025,12,FALSE)</f>
        <v>23.114239999999999</v>
      </c>
      <c r="BK117" s="95">
        <f t="shared" si="10"/>
        <v>0</v>
      </c>
    </row>
    <row r="118" spans="47:63">
      <c r="AU118" s="20"/>
      <c r="AV118" s="21"/>
      <c r="AW118" s="22"/>
      <c r="AX118" s="22"/>
      <c r="AY118" s="23"/>
      <c r="AZ118" s="326" t="str">
        <f t="shared" si="8"/>
        <v/>
      </c>
      <c r="BA118" s="95"/>
      <c r="BB118" s="95" t="str">
        <f t="shared" si="7"/>
        <v/>
      </c>
      <c r="BD118" s="319">
        <f>OBJ!B331</f>
        <v>9257896</v>
      </c>
      <c r="BE118" s="21" t="str">
        <f>VLOOKUP(BD118,CENY!$B$11:$G$1054,2,FALSE)</f>
        <v>Quadro You - Push to open Silent; 10-30kg</v>
      </c>
      <c r="BF118" s="22">
        <f>VLOOKUP(BD118,CENY!$B$11:$G$1054,3,FALSE)</f>
        <v>1</v>
      </c>
      <c r="BG118" s="22"/>
      <c r="BH118" s="68"/>
      <c r="BI118" s="326" t="str">
        <f t="shared" si="9"/>
        <v/>
      </c>
      <c r="BJ118" s="95">
        <f>VLOOKUP(BD118,CENY!$B$11:$M$2025,12,FALSE)</f>
        <v>23.114239999999999</v>
      </c>
      <c r="BK118" s="95">
        <f t="shared" si="10"/>
        <v>0</v>
      </c>
    </row>
    <row r="119" spans="47:63">
      <c r="AU119" s="20"/>
      <c r="AV119" s="21"/>
      <c r="AW119" s="22"/>
      <c r="AX119" s="22"/>
      <c r="AY119" s="23"/>
      <c r="AZ119" s="326" t="str">
        <f t="shared" si="8"/>
        <v/>
      </c>
      <c r="BA119" s="95"/>
      <c r="BB119" s="95" t="str">
        <f t="shared" si="7"/>
        <v/>
      </c>
      <c r="BD119" s="319"/>
      <c r="BE119" s="21"/>
      <c r="BF119" s="22"/>
      <c r="BG119" s="22"/>
      <c r="BH119" s="23"/>
      <c r="BI119" s="326" t="str">
        <f t="shared" si="9"/>
        <v/>
      </c>
      <c r="BJ119" s="95"/>
      <c r="BK119" s="95" t="str">
        <f t="shared" si="10"/>
        <v/>
      </c>
    </row>
    <row r="120" spans="47:63">
      <c r="AU120" s="20"/>
      <c r="AV120" s="21"/>
      <c r="AW120" s="22"/>
      <c r="AX120" s="22"/>
      <c r="AY120" s="23"/>
      <c r="AZ120" s="326" t="str">
        <f t="shared" si="8"/>
        <v/>
      </c>
      <c r="BA120" s="95"/>
      <c r="BB120" s="95" t="str">
        <f t="shared" si="7"/>
        <v/>
      </c>
      <c r="BD120" s="319">
        <f>OBJ!B341</f>
        <v>9256899</v>
      </c>
      <c r="BE120" s="21" t="str">
        <f>VLOOKUP(BD120,CENY!$B$11:$G$1054,2,FALSE)</f>
        <v>Quadro You(M) 270/P2O 20kg; EB21; ľavý</v>
      </c>
      <c r="BF120" s="22">
        <f>VLOOKUP(BD120,CENY!$B$11:$G$1054,3,FALSE)</f>
        <v>20</v>
      </c>
      <c r="BG120" s="22"/>
      <c r="BH120" s="68"/>
      <c r="BI120" s="326" t="str">
        <f t="shared" si="9"/>
        <v/>
      </c>
      <c r="BJ120" s="95">
        <f>VLOOKUP(BD120,CENY!$B$11:$M$2025,12,FALSE)</f>
        <v>12.16503</v>
      </c>
      <c r="BK120" s="95">
        <f t="shared" si="10"/>
        <v>0</v>
      </c>
    </row>
    <row r="121" spans="47:63">
      <c r="AU121" s="20"/>
      <c r="AV121" s="21"/>
      <c r="AW121" s="22"/>
      <c r="AX121" s="22"/>
      <c r="AY121" s="23"/>
      <c r="AZ121" s="326" t="str">
        <f t="shared" si="8"/>
        <v/>
      </c>
      <c r="BA121" s="95"/>
      <c r="BB121" s="95" t="str">
        <f t="shared" si="7"/>
        <v/>
      </c>
      <c r="BD121" s="319">
        <f>OBJ!B342</f>
        <v>9256900</v>
      </c>
      <c r="BE121" s="21" t="str">
        <f>VLOOKUP(BD121,CENY!$B$11:$G$1054,2,FALSE)</f>
        <v>Quadro You(M) 270/P2O 20kg; EB21; pravý</v>
      </c>
      <c r="BF121" s="22">
        <f>VLOOKUP(BD121,CENY!$B$11:$G$1054,3,FALSE)</f>
        <v>20</v>
      </c>
      <c r="BG121" s="22"/>
      <c r="BH121" s="68"/>
      <c r="BI121" s="326" t="str">
        <f t="shared" si="9"/>
        <v/>
      </c>
      <c r="BJ121" s="95">
        <f>VLOOKUP(BD121,CENY!$B$11:$M$2025,12,FALSE)</f>
        <v>12.16503</v>
      </c>
      <c r="BK121" s="95">
        <f t="shared" si="10"/>
        <v>0</v>
      </c>
    </row>
    <row r="122" spans="47:63">
      <c r="AU122" s="20"/>
      <c r="AV122" s="21"/>
      <c r="AW122" s="22"/>
      <c r="AX122" s="22"/>
      <c r="AY122" s="23"/>
      <c r="AZ122" s="326" t="str">
        <f t="shared" si="8"/>
        <v/>
      </c>
      <c r="BA122" s="95"/>
      <c r="BB122" s="95" t="str">
        <f t="shared" si="7"/>
        <v/>
      </c>
      <c r="BD122" s="319">
        <f>OBJ!B343</f>
        <v>9256901</v>
      </c>
      <c r="BE122" s="21" t="str">
        <f>VLOOKUP(BD122,CENY!$B$11:$G$1054,2,FALSE)</f>
        <v>Quadro You(M) 300/P2O 20kg; EB21; ľavý</v>
      </c>
      <c r="BF122" s="22">
        <f>VLOOKUP(BD122,CENY!$B$11:$G$1054,3,FALSE)</f>
        <v>20</v>
      </c>
      <c r="BG122" s="22"/>
      <c r="BH122" s="68"/>
      <c r="BI122" s="326" t="str">
        <f t="shared" si="9"/>
        <v/>
      </c>
      <c r="BJ122" s="95">
        <f>VLOOKUP(BD122,CENY!$B$11:$M$2025,12,FALSE)</f>
        <v>12.187939999999999</v>
      </c>
      <c r="BK122" s="95">
        <f t="shared" si="10"/>
        <v>0</v>
      </c>
    </row>
    <row r="123" spans="47:63">
      <c r="AU123" s="20"/>
      <c r="AV123" s="21"/>
      <c r="AW123" s="22"/>
      <c r="AX123" s="22"/>
      <c r="AY123" s="23"/>
      <c r="AZ123" s="326" t="str">
        <f t="shared" si="8"/>
        <v/>
      </c>
      <c r="BA123" s="95"/>
      <c r="BB123" s="95" t="str">
        <f t="shared" si="7"/>
        <v/>
      </c>
      <c r="BD123" s="319">
        <f>OBJ!B344</f>
        <v>9256902</v>
      </c>
      <c r="BE123" s="21" t="str">
        <f>VLOOKUP(BD123,CENY!$B$11:$G$1054,2,FALSE)</f>
        <v>Quadro You(M) 300/P2O 20kg; EB21; pravý</v>
      </c>
      <c r="BF123" s="22">
        <f>VLOOKUP(BD123,CENY!$B$11:$G$1054,3,FALSE)</f>
        <v>20</v>
      </c>
      <c r="BG123" s="22"/>
      <c r="BH123" s="68"/>
      <c r="BI123" s="326" t="str">
        <f t="shared" si="9"/>
        <v/>
      </c>
      <c r="BJ123" s="95">
        <f>VLOOKUP(BD123,CENY!$B$11:$M$2025,12,FALSE)</f>
        <v>12.187939999999999</v>
      </c>
      <c r="BK123" s="95">
        <f t="shared" si="10"/>
        <v>0</v>
      </c>
    </row>
    <row r="124" spans="47:63">
      <c r="AU124" s="20"/>
      <c r="AV124" s="21"/>
      <c r="AW124" s="22"/>
      <c r="AX124" s="22"/>
      <c r="AY124" s="23"/>
      <c r="AZ124" s="326" t="str">
        <f t="shared" si="8"/>
        <v/>
      </c>
      <c r="BA124" s="95"/>
      <c r="BB124" s="95" t="str">
        <f t="shared" si="7"/>
        <v/>
      </c>
      <c r="BD124" s="319">
        <f>OBJ!B345</f>
        <v>9256905</v>
      </c>
      <c r="BE124" s="21" t="str">
        <f>VLOOKUP(BD124,CENY!$B$11:$G$1054,2,FALSE)</f>
        <v>Quadro You(M) 350/P2O 25kg; EB21; ľavý</v>
      </c>
      <c r="BF124" s="22">
        <f>VLOOKUP(BD124,CENY!$B$11:$G$1054,3,FALSE)</f>
        <v>20</v>
      </c>
      <c r="BG124" s="22"/>
      <c r="BH124" s="68"/>
      <c r="BI124" s="326" t="str">
        <f t="shared" si="9"/>
        <v/>
      </c>
      <c r="BJ124" s="95">
        <f>VLOOKUP(BD124,CENY!$B$11:$M$2025,12,FALSE)</f>
        <v>12.42154</v>
      </c>
      <c r="BK124" s="95">
        <f t="shared" si="10"/>
        <v>0</v>
      </c>
    </row>
    <row r="125" spans="47:63">
      <c r="AU125" s="20"/>
      <c r="AV125" s="21"/>
      <c r="AW125" s="22"/>
      <c r="AX125" s="22"/>
      <c r="AY125" s="23"/>
      <c r="AZ125" s="326" t="str">
        <f t="shared" si="8"/>
        <v/>
      </c>
      <c r="BA125" s="95"/>
      <c r="BB125" s="95" t="str">
        <f t="shared" si="7"/>
        <v/>
      </c>
      <c r="BD125" s="319">
        <f>OBJ!B346</f>
        <v>9256906</v>
      </c>
      <c r="BE125" s="21" t="str">
        <f>VLOOKUP(BD125,CENY!$B$11:$G$1054,2,FALSE)</f>
        <v>Quadro You(M) 350/P2O 25kg; EB21; pravý</v>
      </c>
      <c r="BF125" s="22">
        <f>VLOOKUP(BD125,CENY!$B$11:$G$1054,3,FALSE)</f>
        <v>20</v>
      </c>
      <c r="BG125" s="22"/>
      <c r="BH125" s="68"/>
      <c r="BI125" s="326" t="str">
        <f t="shared" si="9"/>
        <v/>
      </c>
      <c r="BJ125" s="95">
        <f>VLOOKUP(BD125,CENY!$B$11:$M$2025,12,FALSE)</f>
        <v>12.42154</v>
      </c>
      <c r="BK125" s="95">
        <f t="shared" si="10"/>
        <v>0</v>
      </c>
    </row>
    <row r="126" spans="47:63">
      <c r="AU126" s="20"/>
      <c r="AV126" s="21"/>
      <c r="AW126" s="22"/>
      <c r="AX126" s="22"/>
      <c r="AY126" s="23"/>
      <c r="AZ126" s="326" t="str">
        <f t="shared" si="8"/>
        <v/>
      </c>
      <c r="BA126" s="95"/>
      <c r="BB126" s="95" t="str">
        <f t="shared" si="7"/>
        <v/>
      </c>
      <c r="BD126" s="319">
        <f>OBJ!B347</f>
        <v>9256909</v>
      </c>
      <c r="BE126" s="21" t="str">
        <f>VLOOKUP(BD126,CENY!$B$11:$G$1054,2,FALSE)</f>
        <v>Quadro You(M) 400/P2O 30kg; EB21; ľavý</v>
      </c>
      <c r="BF126" s="22">
        <f>VLOOKUP(BD126,CENY!$B$11:$G$1054,3,FALSE)</f>
        <v>20</v>
      </c>
      <c r="BG126" s="22"/>
      <c r="BH126" s="68"/>
      <c r="BI126" s="326" t="str">
        <f t="shared" si="9"/>
        <v/>
      </c>
      <c r="BJ126" s="95">
        <f>VLOOKUP(BD126,CENY!$B$11:$M$2025,12,FALSE)</f>
        <v>12.654769999999999</v>
      </c>
      <c r="BK126" s="95">
        <f t="shared" si="10"/>
        <v>0</v>
      </c>
    </row>
    <row r="127" spans="47:63">
      <c r="AU127" s="20"/>
      <c r="AV127" s="21"/>
      <c r="AW127" s="22"/>
      <c r="AX127" s="22"/>
      <c r="AY127" s="23"/>
      <c r="AZ127" s="326" t="str">
        <f t="shared" si="8"/>
        <v/>
      </c>
      <c r="BA127" s="95"/>
      <c r="BB127" s="95" t="str">
        <f t="shared" si="7"/>
        <v/>
      </c>
      <c r="BD127" s="319">
        <f>OBJ!B348</f>
        <v>9256910</v>
      </c>
      <c r="BE127" s="21" t="str">
        <f>VLOOKUP(BD127,CENY!$B$11:$G$1054,2,FALSE)</f>
        <v>Quadro You(M) 400/P2O 30kg; EB21; pravý</v>
      </c>
      <c r="BF127" s="22">
        <f>VLOOKUP(BD127,CENY!$B$11:$G$1054,3,FALSE)</f>
        <v>20</v>
      </c>
      <c r="BG127" s="22"/>
      <c r="BH127" s="68"/>
      <c r="BI127" s="326" t="str">
        <f t="shared" si="9"/>
        <v/>
      </c>
      <c r="BJ127" s="95">
        <f>VLOOKUP(BD127,CENY!$B$11:$M$2025,12,FALSE)</f>
        <v>12.654769999999999</v>
      </c>
      <c r="BK127" s="95">
        <f t="shared" si="10"/>
        <v>0</v>
      </c>
    </row>
    <row r="128" spans="47:63">
      <c r="AU128" s="20"/>
      <c r="AV128" s="21"/>
      <c r="AW128" s="22"/>
      <c r="AX128" s="22"/>
      <c r="AY128" s="23"/>
      <c r="AZ128" s="326" t="str">
        <f t="shared" si="8"/>
        <v/>
      </c>
      <c r="BA128" s="95"/>
      <c r="BB128" s="95" t="str">
        <f t="shared" si="7"/>
        <v/>
      </c>
      <c r="BD128" s="319">
        <f>OBJ!B349</f>
        <v>9256913</v>
      </c>
      <c r="BE128" s="21" t="str">
        <f>VLOOKUP(BD128,CENY!$B$11:$G$1054,2,FALSE)</f>
        <v>Quadro You(M) 450/P2O 30kg; EB21; ľavý</v>
      </c>
      <c r="BF128" s="22">
        <f>VLOOKUP(BD128,CENY!$B$11:$G$1054,3,FALSE)</f>
        <v>20</v>
      </c>
      <c r="BG128" s="22"/>
      <c r="BH128" s="68"/>
      <c r="BI128" s="326" t="str">
        <f t="shared" si="9"/>
        <v/>
      </c>
      <c r="BJ128" s="95">
        <f>VLOOKUP(BD128,CENY!$B$11:$M$2025,12,FALSE)</f>
        <v>12.888019999999999</v>
      </c>
      <c r="BK128" s="95">
        <f t="shared" si="10"/>
        <v>0</v>
      </c>
    </row>
    <row r="129" spans="47:63">
      <c r="AU129" s="20"/>
      <c r="AV129" s="21"/>
      <c r="AW129" s="22"/>
      <c r="AX129" s="22"/>
      <c r="AY129" s="23"/>
      <c r="AZ129" s="326" t="str">
        <f t="shared" si="8"/>
        <v/>
      </c>
      <c r="BA129" s="95"/>
      <c r="BB129" s="95" t="str">
        <f t="shared" si="7"/>
        <v/>
      </c>
      <c r="BD129" s="319">
        <f>OBJ!B350</f>
        <v>9256914</v>
      </c>
      <c r="BE129" s="21" t="str">
        <f>VLOOKUP(BD129,CENY!$B$11:$G$1054,2,FALSE)</f>
        <v>Quadro You(M) 450/P2O 30kg; EB21; pravý</v>
      </c>
      <c r="BF129" s="22">
        <f>VLOOKUP(BD129,CENY!$B$11:$G$1054,3,FALSE)</f>
        <v>20</v>
      </c>
      <c r="BG129" s="22"/>
      <c r="BH129" s="68"/>
      <c r="BI129" s="326" t="str">
        <f t="shared" si="9"/>
        <v/>
      </c>
      <c r="BJ129" s="95">
        <f>VLOOKUP(BD129,CENY!$B$11:$M$2025,12,FALSE)</f>
        <v>12.888019999999999</v>
      </c>
      <c r="BK129" s="95">
        <f t="shared" si="10"/>
        <v>0</v>
      </c>
    </row>
    <row r="130" spans="47:63">
      <c r="AU130" s="20"/>
      <c r="AV130" s="21"/>
      <c r="AW130" s="22"/>
      <c r="AX130" s="22"/>
      <c r="AY130" s="23"/>
      <c r="AZ130" s="326" t="str">
        <f t="shared" si="8"/>
        <v/>
      </c>
      <c r="BA130" s="95"/>
      <c r="BB130" s="95" t="str">
        <f t="shared" si="7"/>
        <v/>
      </c>
      <c r="BD130" s="319">
        <f>OBJ!B351</f>
        <v>9256917</v>
      </c>
      <c r="BE130" s="21" t="str">
        <f>VLOOKUP(BD130,CENY!$B$11:$G$1054,2,FALSE)</f>
        <v>Quadro You(M) 500/P2O 30kg; EB21; ľavý</v>
      </c>
      <c r="BF130" s="22">
        <f>VLOOKUP(BD130,CENY!$B$11:$G$1054,3,FALSE)</f>
        <v>20</v>
      </c>
      <c r="BG130" s="22"/>
      <c r="BH130" s="68"/>
      <c r="BI130" s="326" t="str">
        <f t="shared" si="9"/>
        <v/>
      </c>
      <c r="BJ130" s="95">
        <f>VLOOKUP(BD130,CENY!$B$11:$M$2025,12,FALSE)</f>
        <v>12.496779999999999</v>
      </c>
      <c r="BK130" s="95">
        <f t="shared" si="10"/>
        <v>0</v>
      </c>
    </row>
    <row r="131" spans="47:63">
      <c r="AU131" s="20"/>
      <c r="AV131" s="21"/>
      <c r="AW131" s="22"/>
      <c r="AX131" s="22"/>
      <c r="AY131" s="23"/>
      <c r="AZ131" s="326" t="str">
        <f t="shared" si="8"/>
        <v/>
      </c>
      <c r="BA131" s="95"/>
      <c r="BB131" s="95" t="str">
        <f t="shared" si="7"/>
        <v/>
      </c>
      <c r="BD131" s="319">
        <f>OBJ!B352</f>
        <v>9256918</v>
      </c>
      <c r="BE131" s="21" t="str">
        <f>VLOOKUP(BD131,CENY!$B$11:$G$1054,2,FALSE)</f>
        <v>Quadro You(M) 500/P2O 30kg; EB21; pravý</v>
      </c>
      <c r="BF131" s="22">
        <f>VLOOKUP(BD131,CENY!$B$11:$G$1054,3,FALSE)</f>
        <v>20</v>
      </c>
      <c r="BG131" s="22"/>
      <c r="BH131" s="68"/>
      <c r="BI131" s="326" t="str">
        <f t="shared" si="9"/>
        <v/>
      </c>
      <c r="BJ131" s="95">
        <f>VLOOKUP(BD131,CENY!$B$11:$M$2025,12,FALSE)</f>
        <v>12.496779999999999</v>
      </c>
      <c r="BK131" s="95">
        <f t="shared" si="10"/>
        <v>0</v>
      </c>
    </row>
    <row r="132" spans="47:63">
      <c r="AU132" s="20"/>
      <c r="AV132" s="21"/>
      <c r="AW132" s="22"/>
      <c r="AX132" s="22"/>
      <c r="AY132" s="23"/>
      <c r="AZ132" s="326" t="str">
        <f t="shared" si="8"/>
        <v/>
      </c>
      <c r="BA132" s="95"/>
      <c r="BB132" s="95" t="str">
        <f t="shared" si="7"/>
        <v/>
      </c>
      <c r="BD132" s="319">
        <f>OBJ!B353</f>
        <v>9256921</v>
      </c>
      <c r="BE132" s="21" t="str">
        <f>VLOOKUP(BD132,CENY!$B$11:$G$1054,2,FALSE)</f>
        <v>Quadro You(M) 550/P2O 30kg; EB21; ľavý</v>
      </c>
      <c r="BF132" s="22">
        <f>VLOOKUP(BD132,CENY!$B$11:$G$1054,3,FALSE)</f>
        <v>20</v>
      </c>
      <c r="BG132" s="22"/>
      <c r="BH132" s="68"/>
      <c r="BI132" s="326" t="str">
        <f t="shared" si="9"/>
        <v/>
      </c>
      <c r="BJ132" s="95">
        <f>VLOOKUP(BD132,CENY!$B$11:$M$2025,12,FALSE)</f>
        <v>12.718019999999999</v>
      </c>
      <c r="BK132" s="95">
        <f t="shared" si="10"/>
        <v>0</v>
      </c>
    </row>
    <row r="133" spans="47:63">
      <c r="AU133" s="20"/>
      <c r="AV133" s="21"/>
      <c r="AW133" s="22"/>
      <c r="AX133" s="22"/>
      <c r="AY133" s="23"/>
      <c r="AZ133" s="326" t="str">
        <f t="shared" si="8"/>
        <v/>
      </c>
      <c r="BA133" s="95"/>
      <c r="BB133" s="95" t="str">
        <f t="shared" si="7"/>
        <v/>
      </c>
      <c r="BD133" s="319">
        <f>OBJ!B354</f>
        <v>9256922</v>
      </c>
      <c r="BE133" s="21" t="str">
        <f>VLOOKUP(BD133,CENY!$B$11:$G$1054,2,FALSE)</f>
        <v>Quadro You(M) 550/P2O 30kg; EB21; pravý</v>
      </c>
      <c r="BF133" s="22">
        <f>VLOOKUP(BD133,CENY!$B$11:$G$1054,3,FALSE)</f>
        <v>20</v>
      </c>
      <c r="BG133" s="22"/>
      <c r="BH133" s="68"/>
      <c r="BI133" s="326" t="str">
        <f t="shared" si="9"/>
        <v/>
      </c>
      <c r="BJ133" s="95">
        <f>VLOOKUP(BD133,CENY!$B$11:$M$2025,12,FALSE)</f>
        <v>13.35392</v>
      </c>
      <c r="BK133" s="95">
        <f t="shared" si="10"/>
        <v>0</v>
      </c>
    </row>
    <row r="134" spans="47:63">
      <c r="AU134" s="20"/>
      <c r="AV134" s="21"/>
      <c r="AW134" s="22"/>
      <c r="AX134" s="22"/>
      <c r="AY134" s="23"/>
      <c r="AZ134" s="326" t="str">
        <f t="shared" si="8"/>
        <v/>
      </c>
      <c r="BA134" s="95"/>
      <c r="BB134" s="95" t="str">
        <f t="shared" si="7"/>
        <v/>
      </c>
      <c r="BD134" s="319">
        <f>OBJ!B355</f>
        <v>9256925</v>
      </c>
      <c r="BE134" s="21" t="str">
        <f>VLOOKUP(BD134,CENY!$B$11:$G$1054,2,FALSE)</f>
        <v>Quadro You(M) 600/P2O 25kg; EB21; ľavý</v>
      </c>
      <c r="BF134" s="22">
        <f>VLOOKUP(BD134,CENY!$B$11:$G$1054,3,FALSE)</f>
        <v>20</v>
      </c>
      <c r="BG134" s="22"/>
      <c r="BH134" s="68"/>
      <c r="BI134" s="326" t="str">
        <f t="shared" si="9"/>
        <v/>
      </c>
      <c r="BJ134" s="95">
        <f>VLOOKUP(BD134,CENY!$B$11:$M$2025,12,FALSE)</f>
        <v>13.58704</v>
      </c>
      <c r="BK134" s="95">
        <f t="shared" si="10"/>
        <v>0</v>
      </c>
    </row>
    <row r="135" spans="47:63">
      <c r="AU135" s="20"/>
      <c r="AV135" s="21"/>
      <c r="AW135" s="22"/>
      <c r="AX135" s="22"/>
      <c r="AY135" s="23"/>
      <c r="AZ135" s="326" t="str">
        <f t="shared" si="8"/>
        <v/>
      </c>
      <c r="BA135" s="95"/>
      <c r="BB135" s="95" t="str">
        <f t="shared" si="7"/>
        <v/>
      </c>
      <c r="BD135" s="319">
        <f>OBJ!B356</f>
        <v>9256926</v>
      </c>
      <c r="BE135" s="21" t="str">
        <f>VLOOKUP(BD135,CENY!$B$11:$G$1054,2,FALSE)</f>
        <v>Quadro You(M) 600/P2O 25kg; EB21; pravý</v>
      </c>
      <c r="BF135" s="22">
        <f>VLOOKUP(BD135,CENY!$B$11:$G$1054,3,FALSE)</f>
        <v>20</v>
      </c>
      <c r="BG135" s="22"/>
      <c r="BH135" s="68"/>
      <c r="BI135" s="326" t="str">
        <f t="shared" si="9"/>
        <v/>
      </c>
      <c r="BJ135" s="95">
        <f>VLOOKUP(BD135,CENY!$B$11:$M$2025,12,FALSE)</f>
        <v>13.58704</v>
      </c>
      <c r="BK135" s="95">
        <f t="shared" si="10"/>
        <v>0</v>
      </c>
    </row>
    <row r="136" spans="47:63">
      <c r="AU136" s="20"/>
      <c r="AV136" s="21"/>
      <c r="AW136" s="22"/>
      <c r="AX136" s="22"/>
      <c r="AY136" s="23"/>
      <c r="AZ136" s="326" t="str">
        <f t="shared" si="8"/>
        <v/>
      </c>
      <c r="BA136" s="95"/>
      <c r="BB136" s="95" t="str">
        <f t="shared" si="7"/>
        <v/>
      </c>
      <c r="BD136" s="319"/>
      <c r="BE136" s="21"/>
      <c r="BF136" s="22"/>
      <c r="BG136" s="22"/>
      <c r="BH136" s="23"/>
      <c r="BI136" s="326" t="str">
        <f t="shared" si="9"/>
        <v/>
      </c>
      <c r="BJ136" s="95"/>
      <c r="BK136" s="95" t="str">
        <f t="shared" si="10"/>
        <v/>
      </c>
    </row>
    <row r="137" spans="47:63">
      <c r="AU137" s="20"/>
      <c r="AV137" s="21"/>
      <c r="AW137" s="22"/>
      <c r="AX137" s="22"/>
      <c r="AY137" s="23"/>
      <c r="AZ137" s="326" t="str">
        <f t="shared" si="8"/>
        <v/>
      </c>
      <c r="BA137" s="95"/>
      <c r="BB137" s="95" t="str">
        <f t="shared" si="7"/>
        <v/>
      </c>
      <c r="BD137" s="319">
        <f>OBJ!B358</f>
        <v>9219966</v>
      </c>
      <c r="BE137" s="21" t="str">
        <f>VLOOKUP(BD137,CENY!$B$11:$G$1054,2,FALSE)</f>
        <v>Push to open Synchro / adaptér typ A</v>
      </c>
      <c r="BF137" s="22">
        <f>VLOOKUP(BD137,CENY!$B$11:$G$1054,3,FALSE)</f>
        <v>200</v>
      </c>
      <c r="BG137" s="22"/>
      <c r="BH137" s="68"/>
      <c r="BI137" s="326" t="str">
        <f t="shared" si="9"/>
        <v/>
      </c>
      <c r="BJ137" s="95">
        <f>VLOOKUP(BD137,CENY!$B$11:$M$2025,12,FALSE)</f>
        <v>0.79318999999999995</v>
      </c>
      <c r="BK137" s="95">
        <f t="shared" si="10"/>
        <v>0</v>
      </c>
    </row>
    <row r="138" spans="47:63">
      <c r="AU138" s="20"/>
      <c r="AV138" s="21"/>
      <c r="AW138" s="22"/>
      <c r="AX138" s="22"/>
      <c r="AY138" s="23"/>
      <c r="AZ138" s="326" t="str">
        <f t="shared" si="8"/>
        <v/>
      </c>
      <c r="BA138" s="95"/>
      <c r="BB138" s="95" t="str">
        <f t="shared" si="7"/>
        <v/>
      </c>
      <c r="BD138" s="319"/>
      <c r="BE138" s="21"/>
      <c r="BF138" s="22"/>
      <c r="BG138" s="22"/>
      <c r="BH138" s="23"/>
      <c r="BI138" s="326" t="str">
        <f t="shared" si="9"/>
        <v/>
      </c>
      <c r="BJ138" s="95"/>
      <c r="BK138" s="95" t="str">
        <f t="shared" si="10"/>
        <v/>
      </c>
    </row>
    <row r="139" spans="47:63">
      <c r="AU139" s="20"/>
      <c r="AV139" s="21"/>
      <c r="AW139" s="22"/>
      <c r="AX139" s="22"/>
      <c r="AY139" s="23"/>
      <c r="AZ139" s="326" t="str">
        <f t="shared" si="8"/>
        <v/>
      </c>
      <c r="BA139" s="95"/>
      <c r="BB139" s="95" t="str">
        <f t="shared" si="7"/>
        <v/>
      </c>
      <c r="BD139" s="319">
        <f>OBJ!B214</f>
        <v>0</v>
      </c>
      <c r="BE139" s="21" t="e">
        <f>VLOOKUP(BD139,CENY!$B$11:$G$1054,2,FALSE)</f>
        <v>#N/A</v>
      </c>
      <c r="BF139" s="22" t="e">
        <f>VLOOKUP(BD139,CENY!$B$11:$G$1054,3,FALSE)</f>
        <v>#N/A</v>
      </c>
      <c r="BG139" s="22"/>
      <c r="BH139" s="23">
        <f>AY87</f>
        <v>0</v>
      </c>
      <c r="BI139" s="326">
        <f t="shared" si="9"/>
        <v>0</v>
      </c>
      <c r="BJ139" s="324" t="str">
        <f>IF(BD139=0,"",VLOOKUP(BD139,CENY!$B$11:$M$2025,12,FALSE))</f>
        <v/>
      </c>
      <c r="BK139" s="95" t="str">
        <f t="shared" si="10"/>
        <v/>
      </c>
    </row>
    <row r="140" spans="47:63">
      <c r="AU140" s="20"/>
      <c r="AV140" s="21"/>
      <c r="AW140" s="22"/>
      <c r="AX140" s="22"/>
      <c r="AY140" s="23"/>
      <c r="AZ140" s="326" t="str">
        <f t="shared" si="8"/>
        <v/>
      </c>
      <c r="BA140" s="95"/>
      <c r="BB140" s="95" t="str">
        <f t="shared" si="7"/>
        <v/>
      </c>
      <c r="BD140" s="319"/>
      <c r="BE140" s="21"/>
      <c r="BF140" s="22"/>
      <c r="BG140" s="22"/>
      <c r="BH140" s="23"/>
      <c r="BI140" s="326" t="str">
        <f t="shared" si="9"/>
        <v/>
      </c>
      <c r="BJ140" s="95"/>
      <c r="BK140" s="95" t="str">
        <f t="shared" si="10"/>
        <v/>
      </c>
    </row>
    <row r="141" spans="47:63">
      <c r="AU141" s="20"/>
      <c r="AV141" s="21"/>
      <c r="AW141" s="22"/>
      <c r="AX141" s="22"/>
      <c r="AY141" s="23"/>
      <c r="AZ141" s="326" t="str">
        <f t="shared" si="8"/>
        <v/>
      </c>
      <c r="BA141" s="95"/>
      <c r="BB141" s="95" t="str">
        <f t="shared" si="7"/>
        <v/>
      </c>
      <c r="BD141" s="319"/>
      <c r="BE141" s="21"/>
      <c r="BF141" s="22"/>
      <c r="BG141" s="22"/>
      <c r="BH141" s="23"/>
      <c r="BI141" s="326" t="str">
        <f t="shared" si="9"/>
        <v/>
      </c>
      <c r="BJ141" s="95"/>
      <c r="BK141" s="95" t="str">
        <f t="shared" si="10"/>
        <v/>
      </c>
    </row>
    <row r="142" spans="47:63">
      <c r="AU142" s="319">
        <f>OBJ!B361</f>
        <v>45167</v>
      </c>
      <c r="AV142" s="21" t="str">
        <f>VLOOKUP(AU142,CENY!$B$11:$G$1054,2,FALSE)</f>
        <v>Skrutka s polgul.hlavou 3,5x12mm</v>
      </c>
      <c r="AW142" s="22">
        <f>VLOOKUP(AU142,CENY!$B$11:$G$1054,3,FALSE)</f>
        <v>200</v>
      </c>
      <c r="AX142" s="22"/>
      <c r="AY142" s="23">
        <f>SUMPRODUCT(AX9:AX19,AY9:AY19)</f>
        <v>0</v>
      </c>
      <c r="AZ142" s="326">
        <f t="shared" si="8"/>
        <v>0</v>
      </c>
      <c r="BA142" s="95">
        <f>VLOOKUP(AU142,CENY!$B$11:$M$2025,12,FALSE)</f>
        <v>3.4759999999999999E-2</v>
      </c>
      <c r="BB142" s="95">
        <f>IF(BA142="","",BA142*AY142)</f>
        <v>0</v>
      </c>
      <c r="BC142" s="373" t="s">
        <v>396</v>
      </c>
      <c r="BD142" s="319">
        <f>OBJ!B194</f>
        <v>9257269</v>
      </c>
      <c r="BE142" s="21" t="str">
        <f>VLOOKUP(BD142,CENY!$B$11:$G$1054,2,FALSE)</f>
        <v>AvanY-čelo vnút.zásuvky /v101/d2000/strieb.</v>
      </c>
      <c r="BF142" s="22">
        <f>VLOOKUP(BD142,CENY!$B$11:$G$1054,3,FALSE)</f>
        <v>1</v>
      </c>
      <c r="BG142" s="22"/>
      <c r="BH142" s="23">
        <f>AY90</f>
        <v>0</v>
      </c>
      <c r="BI142" s="326">
        <f t="shared" si="9"/>
        <v>0</v>
      </c>
      <c r="BJ142" s="95">
        <f>VLOOKUP(BD142,CENY!$B$11:$M$2025,12,FALSE)</f>
        <v>71.34393</v>
      </c>
      <c r="BK142" s="95">
        <f t="shared" si="10"/>
        <v>0</v>
      </c>
    </row>
    <row r="143" spans="47:63">
      <c r="AU143" s="319">
        <f>OBJ!B362</f>
        <v>45168</v>
      </c>
      <c r="AV143" s="21" t="str">
        <f>VLOOKUP(AU143,CENY!$B$11:$G$1054,2,FALSE)</f>
        <v>Skrutka s polgul.hlavou 3,5x20mm</v>
      </c>
      <c r="AW143" s="22">
        <f>VLOOKUP(AU143,CENY!$B$11:$G$1054,3,FALSE)</f>
        <v>200</v>
      </c>
      <c r="AX143" s="22"/>
      <c r="AY143" s="360">
        <v>0</v>
      </c>
      <c r="AZ143" s="326">
        <f t="shared" ref="AZ143:AZ146" si="11">IF(AY143="","",IF($AW$4=1,AY143,0))</f>
        <v>0</v>
      </c>
      <c r="BA143" s="95">
        <f>VLOOKUP(AU143,CENY!$B$11:$M$2025,12,FALSE)</f>
        <v>4.9860000000000002E-2</v>
      </c>
      <c r="BB143" s="95">
        <f>IF(BA143="","",BA143*AY143)</f>
        <v>0</v>
      </c>
      <c r="BC143" s="373" t="s">
        <v>397</v>
      </c>
      <c r="BD143" s="319">
        <f>OBJ!B196</f>
        <v>9257271</v>
      </c>
      <c r="BE143" s="21" t="str">
        <f>VLOOKUP(BD143,CENY!$B$11:$G$1054,2,FALSE)</f>
        <v>AvanY-čelo vnút.zásuvky /v187/d2000/strieb.</v>
      </c>
      <c r="BF143" s="22">
        <f>VLOOKUP(BD143,CENY!$B$11:$G$1054,3,FALSE)</f>
        <v>1</v>
      </c>
      <c r="BG143" s="22"/>
      <c r="BH143" s="23">
        <f>AY92</f>
        <v>0</v>
      </c>
      <c r="BI143" s="326">
        <f t="shared" si="9"/>
        <v>0</v>
      </c>
      <c r="BJ143" s="95">
        <f>VLOOKUP(BD143,CENY!$B$11:$M$2025,12,FALSE)</f>
        <v>106.6825</v>
      </c>
      <c r="BK143" s="95">
        <f t="shared" si="10"/>
        <v>0</v>
      </c>
    </row>
    <row r="144" spans="47:63">
      <c r="AU144" s="319">
        <f>OBJ!B363</f>
        <v>9278224</v>
      </c>
      <c r="AV144" s="21" t="str">
        <f>VLOOKUP(AU144,CENY!$B$11:$G$1054,2,FALSE)</f>
        <v>Skrutka s polgul.hlavou 3,5x30mm</v>
      </c>
      <c r="AW144" s="22">
        <f>VLOOKUP(AU144,CENY!$B$11:$G$1054,3,FALSE)</f>
        <v>200</v>
      </c>
      <c r="AX144" s="22"/>
      <c r="AY144" s="360">
        <v>0</v>
      </c>
      <c r="AZ144" s="326">
        <f t="shared" si="11"/>
        <v>0</v>
      </c>
      <c r="BA144" s="95">
        <f>VLOOKUP(AU144,CENY!$B$11:$M$2025,12,FALSE)</f>
        <v>4.299E-2</v>
      </c>
      <c r="BB144" s="95">
        <f>IF(BA144="","",BA144*AY144)</f>
        <v>0</v>
      </c>
      <c r="BC144" s="373" t="s">
        <v>398</v>
      </c>
      <c r="BD144" s="319"/>
      <c r="BE144" s="21"/>
      <c r="BF144" s="22"/>
      <c r="BG144" s="22"/>
      <c r="BH144" s="23"/>
      <c r="BI144" s="326" t="str">
        <f>IF(BH144="","",IF($AW$4=0,BH144,0))</f>
        <v/>
      </c>
      <c r="BJ144" s="95"/>
      <c r="BK144" s="95" t="str">
        <f t="shared" si="10"/>
        <v/>
      </c>
    </row>
    <row r="145" spans="47:63">
      <c r="AU145" s="319">
        <f>OBJ!B364</f>
        <v>9279197</v>
      </c>
      <c r="AV145" s="21" t="str">
        <f>VLOOKUP(AU145,CENY!$B$11:$G$1054,2,FALSE)</f>
        <v>Skrutka s polgul.hlavou M3,5x12mm</v>
      </c>
      <c r="AW145" s="22">
        <f>VLOOKUP(AU145,CENY!$B$11:$G$1054,3,FALSE)</f>
        <v>1000</v>
      </c>
      <c r="AX145" s="22"/>
      <c r="AY145" s="68">
        <v>0</v>
      </c>
      <c r="AZ145" s="326">
        <f t="shared" si="11"/>
        <v>0</v>
      </c>
      <c r="BA145" s="95" t="e">
        <f>VLOOKUP(AU145,CENY!$B$11:$M$2025,12,FALSE)</f>
        <v>#N/A</v>
      </c>
      <c r="BB145" s="95" t="e">
        <f>IF(BA145="","",BA145*AY145)</f>
        <v>#N/A</v>
      </c>
      <c r="BC145" s="373" t="s">
        <v>399</v>
      </c>
      <c r="BD145" s="319">
        <f>OBJ!B203</f>
        <v>9257641</v>
      </c>
      <c r="BE145" s="21" t="str">
        <f>VLOOKUP(BD145,CENY!$B$11:$G$1054,2,FALSE)</f>
        <v>AvanY-stabilizátor čela vnút.zásuvky</v>
      </c>
      <c r="BF145" s="22">
        <f>VLOOKUP(BD145,CENY!$B$11:$G$1054,3,FALSE)</f>
        <v>100</v>
      </c>
      <c r="BG145" s="22"/>
      <c r="BH145" s="23">
        <f>AY91+AY93</f>
        <v>0</v>
      </c>
      <c r="BI145" s="326">
        <f>IF(BH145="","",IF($AW$4=0,BH145,0))</f>
        <v>0</v>
      </c>
      <c r="BJ145" s="95">
        <f>VLOOKUP(BD145,CENY!$B$11:$M$2025,12,FALSE)</f>
        <v>0.52149000000000001</v>
      </c>
      <c r="BK145" s="95">
        <f t="shared" si="10"/>
        <v>0</v>
      </c>
    </row>
    <row r="146" spans="47:63">
      <c r="AU146" s="319">
        <f>OBJ!B365</f>
        <v>9137114</v>
      </c>
      <c r="AV146" s="21" t="str">
        <f>VLOOKUP(AU146,CENY!$B$11:$G$1054,2,FALSE)</f>
        <v>EURO-skrutka  6,0x14mm / niklovaná</v>
      </c>
      <c r="AW146" s="22">
        <f>VLOOKUP(AU146,CENY!$B$11:$G$1054,3,FALSE)</f>
        <v>200</v>
      </c>
      <c r="AX146" s="22"/>
      <c r="AY146" s="23">
        <f>SUMPRODUCT(AX31:AX80,AY31:AY80)</f>
        <v>0</v>
      </c>
      <c r="AZ146" s="326">
        <f t="shared" si="11"/>
        <v>0</v>
      </c>
      <c r="BA146" s="95">
        <f>VLOOKUP(AU146,CENY!$B$11:$M$2025,12,FALSE)</f>
        <v>7.7280000000000001E-2</v>
      </c>
      <c r="BB146" s="95">
        <f>IF(BA146="","",BA146*AY146)</f>
        <v>0</v>
      </c>
      <c r="BC146" s="373" t="s">
        <v>400</v>
      </c>
      <c r="BD146" s="319">
        <f>OBJ!B204</f>
        <v>9257629</v>
      </c>
      <c r="BE146" s="21" t="str">
        <f>VLOOKUP(BD146,CENY!$B$11:$G$1054,2,FALSE)</f>
        <v>AvanY-krytka čela vnút.zás./v101/strieb.</v>
      </c>
      <c r="BF146" s="22">
        <f>VLOOKUP(BD146,CENY!$B$11:$G$1054,3,FALSE)</f>
        <v>200</v>
      </c>
      <c r="BG146" s="22"/>
      <c r="BH146" s="23">
        <f>2*AY91</f>
        <v>0</v>
      </c>
      <c r="BI146" s="326">
        <f>IF(BH146="","",IF($AW$4=0,BH146,0))</f>
        <v>0</v>
      </c>
      <c r="BJ146" s="95">
        <f>VLOOKUP(BD146,CENY!$B$11:$M$2025,12,FALSE)</f>
        <v>0.21284</v>
      </c>
      <c r="BK146" s="95">
        <f t="shared" si="10"/>
        <v>0</v>
      </c>
    </row>
    <row r="147" spans="47:63">
      <c r="AU147" s="20"/>
      <c r="AV147" s="21"/>
      <c r="AW147" s="22"/>
      <c r="AX147" s="22"/>
      <c r="AY147" s="23"/>
      <c r="AZ147" s="326"/>
      <c r="BA147" s="95"/>
      <c r="BB147" s="95"/>
      <c r="BD147" s="319">
        <f>OBJ!B206</f>
        <v>9257631</v>
      </c>
      <c r="BE147" s="21" t="str">
        <f>VLOOKUP(BD147,CENY!$B$11:$G$1054,2,FALSE)</f>
        <v>AvanY-krytka čela vnút.zás./v187/strieb.</v>
      </c>
      <c r="BF147" s="22">
        <f>VLOOKUP(BD147,CENY!$B$11:$G$1054,3,FALSE)</f>
        <v>200</v>
      </c>
      <c r="BG147" s="22"/>
      <c r="BH147" s="23">
        <f>2*AY93</f>
        <v>0</v>
      </c>
      <c r="BI147" s="326">
        <f>IF(BH147="","",IF($AW$4=0,BH147,0))</f>
        <v>0</v>
      </c>
      <c r="BJ147" s="95">
        <f>VLOOKUP(BD147,CENY!$B$11:$M$2025,12,FALSE)</f>
        <v>0.38140000000000002</v>
      </c>
      <c r="BK147" s="95">
        <f t="shared" si="10"/>
        <v>0</v>
      </c>
    </row>
    <row r="148" spans="47:63">
      <c r="AU148" s="20"/>
      <c r="AV148" s="21"/>
      <c r="AW148" s="22"/>
      <c r="AX148" s="22"/>
      <c r="AY148" s="23"/>
      <c r="AZ148" s="326"/>
      <c r="BA148" s="95"/>
      <c r="BB148" s="95"/>
      <c r="BD148" s="319"/>
      <c r="BE148" s="21"/>
      <c r="BF148" s="22"/>
      <c r="BG148" s="22"/>
      <c r="BH148" s="23"/>
      <c r="BI148" s="326" t="str">
        <f t="shared" si="9"/>
        <v/>
      </c>
      <c r="BJ148" s="95"/>
      <c r="BK148" s="95" t="str">
        <f t="shared" si="10"/>
        <v/>
      </c>
    </row>
    <row r="149" spans="47:63">
      <c r="AU149" s="20"/>
      <c r="AV149" s="21"/>
      <c r="AW149" s="22"/>
      <c r="AX149" s="22"/>
      <c r="AY149" s="23"/>
      <c r="AZ149" s="326"/>
      <c r="BA149" s="95"/>
      <c r="BB149" s="95"/>
      <c r="BD149" s="319">
        <f>OBJ!B361</f>
        <v>45167</v>
      </c>
      <c r="BE149" s="21" t="str">
        <f>VLOOKUP(BD149,CENY!$B$11:$G$1054,2,FALSE)</f>
        <v>Skrutka s polgul.hlavou 3,5x12mm</v>
      </c>
      <c r="BF149" s="22">
        <f>VLOOKUP(BD149,CENY!$B$11:$G$1054,3,FALSE)</f>
        <v>200</v>
      </c>
      <c r="BG149" s="22"/>
      <c r="BH149" s="23">
        <f>AY142+BH39*2+BH145</f>
        <v>0</v>
      </c>
      <c r="BI149" s="326">
        <f>IF(BH149="","",IF($AW$4=0,BH149,0))</f>
        <v>0</v>
      </c>
      <c r="BJ149" s="95">
        <f>VLOOKUP(BD149,CENY!$B$11:$M$2025,12,FALSE)</f>
        <v>3.4759999999999999E-2</v>
      </c>
      <c r="BK149" s="95">
        <f t="shared" si="10"/>
        <v>0</v>
      </c>
    </row>
    <row r="150" spans="47:63">
      <c r="AU150" s="20"/>
      <c r="AV150" s="21"/>
      <c r="AW150" s="22"/>
      <c r="AX150" s="22"/>
      <c r="AY150" s="23"/>
      <c r="AZ150" s="326" t="str">
        <f>IF(AY150="","",IF($AW$4=1,AY150,0))</f>
        <v/>
      </c>
      <c r="BA150" s="95"/>
      <c r="BB150" s="95" t="str">
        <f>IF(BA150="","",BA150*AY150)</f>
        <v/>
      </c>
      <c r="BD150" s="319">
        <f>OBJ!B362</f>
        <v>45168</v>
      </c>
      <c r="BE150" s="21" t="str">
        <f>VLOOKUP(BD150,CENY!$B$11:$G$1054,2,FALSE)</f>
        <v>Skrutka s polgul.hlavou 3,5x20mm</v>
      </c>
      <c r="BF150" s="22">
        <f>VLOOKUP(BD150,CENY!$B$11:$G$1054,3,FALSE)</f>
        <v>200</v>
      </c>
      <c r="BG150" s="22"/>
      <c r="BH150" s="360">
        <f>IF(FORM!$AM$8=FORM!$AU$10,BH35*2+BH36*3,0)</f>
        <v>0</v>
      </c>
      <c r="BI150" s="326">
        <f>IF(BH150="","",IF($AW$4=0,BH150,0))</f>
        <v>0</v>
      </c>
      <c r="BJ150" s="95">
        <f>VLOOKUP(BD150,CENY!$B$11:$M$2025,12,FALSE)</f>
        <v>4.9860000000000002E-2</v>
      </c>
      <c r="BK150" s="95">
        <f t="shared" si="10"/>
        <v>0</v>
      </c>
    </row>
    <row r="151" spans="47:63">
      <c r="BD151" s="319">
        <f>OBJ!B363</f>
        <v>9278224</v>
      </c>
      <c r="BE151" s="21" t="str">
        <f>VLOOKUP(BD151,CENY!$B$11:$G$1054,2,FALSE)</f>
        <v>Skrutka s polgul.hlavou 3,5x30mm</v>
      </c>
      <c r="BF151" s="22">
        <f>VLOOKUP(BD151,CENY!$B$11:$G$1054,3,FALSE)</f>
        <v>200</v>
      </c>
      <c r="BG151" s="22"/>
      <c r="BH151" s="360">
        <f>SUM(BH5:BH22)+2*SUM(BH24:BH33)</f>
        <v>0</v>
      </c>
      <c r="BI151" s="326">
        <f>IF(BH151="","",IF($AW$4=0,BH151,0))</f>
        <v>0</v>
      </c>
      <c r="BJ151" s="95">
        <f>VLOOKUP(BD151,CENY!$B$11:$M$2025,12,FALSE)</f>
        <v>4.299E-2</v>
      </c>
      <c r="BK151" s="95">
        <f t="shared" si="10"/>
        <v>0</v>
      </c>
    </row>
    <row r="152" spans="47:63">
      <c r="BD152" s="319">
        <f>OBJ!B364</f>
        <v>9279197</v>
      </c>
      <c r="BE152" s="21" t="str">
        <f>VLOOKUP(BD152,CENY!$B$11:$G$1054,2,FALSE)</f>
        <v>Skrutka s polgul.hlavou M3,5x12mm</v>
      </c>
      <c r="BF152" s="22">
        <f>VLOOKUP(BD152,CENY!$B$11:$G$1054,3,FALSE)</f>
        <v>1000</v>
      </c>
      <c r="BG152" s="22"/>
      <c r="BH152" s="68">
        <f>2*BH37+3*BH38</f>
        <v>0</v>
      </c>
      <c r="BI152" s="326">
        <f>IF(BH152="","",IF($AW$4=0,BH152,0))</f>
        <v>0</v>
      </c>
      <c r="BJ152" s="95" t="e">
        <f>VLOOKUP(BD152,CENY!$B$11:$M$2025,12,FALSE)</f>
        <v>#N/A</v>
      </c>
      <c r="BK152" s="95" t="e">
        <f t="shared" si="10"/>
        <v>#N/A</v>
      </c>
    </row>
    <row r="153" spans="47:63">
      <c r="AW153" s="376"/>
      <c r="AX153" s="377"/>
      <c r="AY153" s="379" t="s">
        <v>261</v>
      </c>
      <c r="AZ153" s="380" t="s">
        <v>262</v>
      </c>
      <c r="BD153" s="319">
        <f>OBJ!B365</f>
        <v>9137114</v>
      </c>
      <c r="BE153" s="21" t="str">
        <f>VLOOKUP(BD153,CENY!$B$11:$G$1054,2,FALSE)</f>
        <v>EURO-skrutka  6,0x14mm / niklovaná</v>
      </c>
      <c r="BF153" s="22">
        <f>VLOOKUP(BD153,CENY!$B$11:$G$1054,3,FALSE)</f>
        <v>200</v>
      </c>
      <c r="BG153" s="22"/>
      <c r="BH153" s="23">
        <f>AY146</f>
        <v>0</v>
      </c>
      <c r="BI153" s="326">
        <f>IF(BH153="","",IF($AW$4=0,BH153,0))</f>
        <v>0</v>
      </c>
      <c r="BJ153" s="95">
        <f>VLOOKUP(BD153,CENY!$B$11:$M$2025,12,FALSE)</f>
        <v>7.7280000000000001E-2</v>
      </c>
      <c r="BK153" s="95">
        <f t="shared" si="10"/>
        <v>0</v>
      </c>
    </row>
    <row r="154" spans="47:63">
      <c r="AW154" s="376">
        <v>350</v>
      </c>
      <c r="AX154" s="377"/>
      <c r="AY154" s="378">
        <v>1</v>
      </c>
      <c r="AZ154" s="378">
        <v>2</v>
      </c>
      <c r="BD154" s="319"/>
      <c r="BE154" s="21"/>
      <c r="BF154" s="22"/>
      <c r="BG154" s="22"/>
      <c r="BH154" s="23"/>
      <c r="BI154" s="326"/>
      <c r="BJ154" s="95"/>
      <c r="BK154" s="95"/>
    </row>
    <row r="155" spans="47:63">
      <c r="AW155" s="376">
        <v>700</v>
      </c>
      <c r="AX155" s="377"/>
      <c r="AY155" s="378">
        <v>2</v>
      </c>
      <c r="AZ155" s="378">
        <v>2</v>
      </c>
      <c r="BD155" s="374">
        <f>OBJ!B367</f>
        <v>9099540</v>
      </c>
      <c r="BE155" s="375" t="str">
        <f>VLOOKUP(BD155,CENY!$B$11:$G$1054,2,FALSE)</f>
        <v>SENSYS 8657i 165st. B12,5/TH52</v>
      </c>
      <c r="BF155" s="22">
        <f>VLOOKUP(BD155,CENY!$B$11:$G$1054,3,FALSE)</f>
        <v>50</v>
      </c>
      <c r="BG155" s="22"/>
      <c r="BH155" s="23">
        <f>AY107</f>
        <v>0</v>
      </c>
      <c r="BI155" s="326">
        <f t="shared" ref="BI155:BI159" si="12">IF(BH155="","",IF($AW$4=0,BH155,0))</f>
        <v>0</v>
      </c>
      <c r="BJ155" s="95">
        <f>VLOOKUP(BD155,CENY!$B$11:$M$2025,12,FALSE)</f>
        <v>6.6812800000000001</v>
      </c>
      <c r="BK155" s="95">
        <f t="shared" ref="BK155:BK159" si="13">IF(BJ155="","",BJ155*BH155)</f>
        <v>0</v>
      </c>
    </row>
    <row r="156" spans="47:63">
      <c r="AW156" s="376">
        <v>1050</v>
      </c>
      <c r="AX156" s="377"/>
      <c r="AY156" s="378">
        <v>3</v>
      </c>
      <c r="AZ156" s="378">
        <v>3</v>
      </c>
      <c r="BD156" s="374">
        <f>OBJ!B368</f>
        <v>9099600</v>
      </c>
      <c r="BE156" s="375" t="str">
        <f>VLOOKUP(BD156,CENY!$B$11:$G$1054,2,FALSE)</f>
        <v>SENSYS 8657 165st. B12,5/TH52 (bez SiSy)</v>
      </c>
      <c r="BF156" s="22">
        <f>VLOOKUP(BD156,CENY!$B$11:$G$1054,3,FALSE)</f>
        <v>50</v>
      </c>
      <c r="BG156" s="22"/>
      <c r="BH156" s="68"/>
      <c r="BI156" s="326" t="str">
        <f t="shared" si="12"/>
        <v/>
      </c>
      <c r="BJ156" s="95">
        <f>VLOOKUP(BD156,CENY!$B$11:$M$2025,12,FALSE)</f>
        <v>6.23475</v>
      </c>
      <c r="BK156" s="95">
        <f t="shared" si="13"/>
        <v>0</v>
      </c>
    </row>
    <row r="157" spans="47:63">
      <c r="AW157" s="376">
        <v>1400</v>
      </c>
      <c r="AX157" s="377"/>
      <c r="AY157" s="378">
        <v>4</v>
      </c>
      <c r="AZ157" s="378">
        <v>3</v>
      </c>
      <c r="BD157" s="374">
        <f>OBJ!B369</f>
        <v>9099660</v>
      </c>
      <c r="BE157" s="375" t="str">
        <f>VLOOKUP(BD157,CENY!$B$11:$G$1054,2,FALSE)</f>
        <v>SENSYS 8687 165st. B12,5/TH52 (pre P2O)</v>
      </c>
      <c r="BF157" s="22">
        <f>VLOOKUP(BD157,CENY!$B$11:$G$1054,3,FALSE)</f>
        <v>50</v>
      </c>
      <c r="BG157" s="22"/>
      <c r="BH157" s="68"/>
      <c r="BI157" s="326" t="str">
        <f t="shared" si="12"/>
        <v/>
      </c>
      <c r="BJ157" s="95">
        <f>VLOOKUP(BD157,CENY!$B$11:$M$2025,12,FALSE)</f>
        <v>6.4656099999999999</v>
      </c>
      <c r="BK157" s="95">
        <f t="shared" si="13"/>
        <v>0</v>
      </c>
    </row>
    <row r="158" spans="47:63">
      <c r="AW158" s="376">
        <v>1750</v>
      </c>
      <c r="AX158" s="377"/>
      <c r="AY158" s="378">
        <v>5</v>
      </c>
      <c r="AZ158" s="378">
        <v>4</v>
      </c>
      <c r="BD158" s="374">
        <f>OBJ!B370</f>
        <v>9071576</v>
      </c>
      <c r="BE158" s="375" t="str">
        <f>VLOOKUP(BD158,CENY!$B$11:$G$1054,2,FALSE)</f>
        <v>Podložka SENSYS k naskrut./D=1,5 mm</v>
      </c>
      <c r="BF158" s="22">
        <f>VLOOKUP(BD158,CENY!$B$11:$G$1054,3,FALSE)</f>
        <v>200</v>
      </c>
      <c r="BG158" s="22"/>
      <c r="BH158" s="23">
        <f>AY110</f>
        <v>0</v>
      </c>
      <c r="BI158" s="326">
        <f t="shared" si="12"/>
        <v>0</v>
      </c>
      <c r="BJ158" s="95">
        <f>VLOOKUP(BD158,CENY!$B$11:$M$2025,12,FALSE)</f>
        <v>0.38334000000000001</v>
      </c>
      <c r="BK158" s="95">
        <f t="shared" si="13"/>
        <v>0</v>
      </c>
    </row>
    <row r="159" spans="47:63">
      <c r="AW159" s="376">
        <v>2100</v>
      </c>
      <c r="AX159" s="377"/>
      <c r="AY159" s="378">
        <v>6</v>
      </c>
      <c r="AZ159" s="378">
        <v>4</v>
      </c>
      <c r="BD159" s="374">
        <f>OBJ!B371</f>
        <v>9071671</v>
      </c>
      <c r="BE159" s="375" t="str">
        <f>VLOOKUP(BD159,CENY!$B$11:$G$1054,2,FALSE)</f>
        <v>Podlož.SENSYS s predm.skr.D=1,5(exc.)</v>
      </c>
      <c r="BF159" s="22">
        <f>VLOOKUP(BD159,CENY!$B$11:$G$1054,3,FALSE)</f>
        <v>200</v>
      </c>
      <c r="BG159" s="22"/>
      <c r="BH159" s="68"/>
      <c r="BI159" s="326" t="str">
        <f t="shared" si="12"/>
        <v/>
      </c>
      <c r="BJ159" s="95">
        <f>VLOOKUP(BD159,CENY!$B$11:$M$2025,12,FALSE)</f>
        <v>0.82479999999999998</v>
      </c>
      <c r="BK159" s="95">
        <f t="shared" si="13"/>
        <v>0</v>
      </c>
    </row>
    <row r="160" spans="47:63">
      <c r="AW160" s="376">
        <v>2450</v>
      </c>
      <c r="AX160" s="377"/>
      <c r="AY160" s="378">
        <v>7</v>
      </c>
      <c r="AZ160" s="378">
        <v>5</v>
      </c>
    </row>
    <row r="161" spans="49:52">
      <c r="AW161" s="376">
        <v>2800</v>
      </c>
      <c r="AX161" s="377"/>
      <c r="AY161" s="378">
        <v>8</v>
      </c>
      <c r="AZ161" s="378">
        <v>5</v>
      </c>
    </row>
  </sheetData>
  <sheetProtection algorithmName="SHA-512" hashValue="U3rFmE2rHR3oR/Ij6GbsrgPzDwSVUd21RGTpNm7QMs/LAhWFbSEE3f6hM/GA4TiKtyvfFrfmT5H++UruOksomA==" saltValue="FgO/V3gfUmcMm8R5StZndQ==" spinCount="100000" sheet="1" objects="1" scenarios="1"/>
  <mergeCells count="189">
    <mergeCell ref="AW99:AY99"/>
    <mergeCell ref="AW100:AY100"/>
    <mergeCell ref="AW101:AY101"/>
    <mergeCell ref="AW102:AY102"/>
    <mergeCell ref="AG86:AH86"/>
    <mergeCell ref="AI86:AJ86"/>
    <mergeCell ref="AW95:AY95"/>
    <mergeCell ref="AW96:AY96"/>
    <mergeCell ref="AW97:AY97"/>
    <mergeCell ref="AW98:AY98"/>
    <mergeCell ref="O86:P86"/>
    <mergeCell ref="Q86:R86"/>
    <mergeCell ref="S86:T86"/>
    <mergeCell ref="U86:V86"/>
    <mergeCell ref="W86:X86"/>
    <mergeCell ref="Y86:Z86"/>
    <mergeCell ref="AA86:AB86"/>
    <mergeCell ref="AC86:AD86"/>
    <mergeCell ref="AE86:AF86"/>
    <mergeCell ref="AA84:AB84"/>
    <mergeCell ref="AC84:AD84"/>
    <mergeCell ref="AE84:AF84"/>
    <mergeCell ref="AG84:AH84"/>
    <mergeCell ref="AI84:AJ84"/>
    <mergeCell ref="M85:N85"/>
    <mergeCell ref="O85:P85"/>
    <mergeCell ref="Q85:R85"/>
    <mergeCell ref="S85:T85"/>
    <mergeCell ref="U85:V85"/>
    <mergeCell ref="O84:P84"/>
    <mergeCell ref="Q84:R84"/>
    <mergeCell ref="S84:T84"/>
    <mergeCell ref="U84:V84"/>
    <mergeCell ref="W84:X84"/>
    <mergeCell ref="Y84:Z84"/>
    <mergeCell ref="AI85:AJ85"/>
    <mergeCell ref="W85:X85"/>
    <mergeCell ref="Y85:Z85"/>
    <mergeCell ref="AA85:AB85"/>
    <mergeCell ref="AC85:AD85"/>
    <mergeCell ref="AE85:AF85"/>
    <mergeCell ref="AG85:AH85"/>
    <mergeCell ref="AC82:AD82"/>
    <mergeCell ref="AE82:AF82"/>
    <mergeCell ref="AG82:AH82"/>
    <mergeCell ref="AI82:AJ82"/>
    <mergeCell ref="AK82:AL82"/>
    <mergeCell ref="O83:AJ83"/>
    <mergeCell ref="AE81:AF81"/>
    <mergeCell ref="AG81:AH81"/>
    <mergeCell ref="AI81:AJ81"/>
    <mergeCell ref="O82:P82"/>
    <mergeCell ref="Q82:R82"/>
    <mergeCell ref="S82:T82"/>
    <mergeCell ref="U82:V82"/>
    <mergeCell ref="W82:X82"/>
    <mergeCell ref="Y82:Z82"/>
    <mergeCell ref="AA82:AB82"/>
    <mergeCell ref="AC80:AD80"/>
    <mergeCell ref="AG80:AH80"/>
    <mergeCell ref="AI80:AJ80"/>
    <mergeCell ref="O81:P81"/>
    <mergeCell ref="Q81:R81"/>
    <mergeCell ref="S81:T81"/>
    <mergeCell ref="U81:V81"/>
    <mergeCell ref="W81:X81"/>
    <mergeCell ref="Y81:Z81"/>
    <mergeCell ref="AA81:AB81"/>
    <mergeCell ref="AC81:AD81"/>
    <mergeCell ref="AI67:AM67"/>
    <mergeCell ref="AO67:AR67"/>
    <mergeCell ref="O79:P79"/>
    <mergeCell ref="Q79:R79"/>
    <mergeCell ref="S79:T79"/>
    <mergeCell ref="U79:V79"/>
    <mergeCell ref="W79:X79"/>
    <mergeCell ref="Y79:Z79"/>
    <mergeCell ref="AA79:AB79"/>
    <mergeCell ref="AC79:AD79"/>
    <mergeCell ref="AG79:AH79"/>
    <mergeCell ref="AI79:AJ79"/>
    <mergeCell ref="A66:A105"/>
    <mergeCell ref="B67:E67"/>
    <mergeCell ref="G67:K67"/>
    <mergeCell ref="O67:S67"/>
    <mergeCell ref="U67:Y67"/>
    <mergeCell ref="AA67:AE67"/>
    <mergeCell ref="AE79:AF79"/>
    <mergeCell ref="AE80:AF80"/>
    <mergeCell ref="B28:G28"/>
    <mergeCell ref="H28:L28"/>
    <mergeCell ref="M28:N28"/>
    <mergeCell ref="O28:P28"/>
    <mergeCell ref="Q28:R28"/>
    <mergeCell ref="S28:T28"/>
    <mergeCell ref="U28:V28"/>
    <mergeCell ref="W28:X28"/>
    <mergeCell ref="Y28:Z28"/>
    <mergeCell ref="O80:P80"/>
    <mergeCell ref="Q80:R80"/>
    <mergeCell ref="S80:T80"/>
    <mergeCell ref="U80:V80"/>
    <mergeCell ref="W80:X80"/>
    <mergeCell ref="Y80:Z80"/>
    <mergeCell ref="AA80:AB80"/>
    <mergeCell ref="B27:G27"/>
    <mergeCell ref="H27:L27"/>
    <mergeCell ref="M27:N27"/>
    <mergeCell ref="O27:P27"/>
    <mergeCell ref="Q27:R27"/>
    <mergeCell ref="S27:T27"/>
    <mergeCell ref="AA22:AB22"/>
    <mergeCell ref="AC22:AD22"/>
    <mergeCell ref="AA28:AB28"/>
    <mergeCell ref="AC28:AD28"/>
    <mergeCell ref="AE22:AF22"/>
    <mergeCell ref="AQ24:AR24"/>
    <mergeCell ref="O26:P26"/>
    <mergeCell ref="Q26:R26"/>
    <mergeCell ref="S26:T26"/>
    <mergeCell ref="U26:V26"/>
    <mergeCell ref="W26:X26"/>
    <mergeCell ref="Y26:Z26"/>
    <mergeCell ref="B22:G22"/>
    <mergeCell ref="H22:L22"/>
    <mergeCell ref="M22:N22"/>
    <mergeCell ref="O22:P22"/>
    <mergeCell ref="Q22:R22"/>
    <mergeCell ref="S22:T22"/>
    <mergeCell ref="U22:V22"/>
    <mergeCell ref="W22:X22"/>
    <mergeCell ref="Y22:Z22"/>
    <mergeCell ref="AA26:AB26"/>
    <mergeCell ref="AC26:AD26"/>
    <mergeCell ref="U20:V20"/>
    <mergeCell ref="W20:X20"/>
    <mergeCell ref="Y20:Z20"/>
    <mergeCell ref="AA20:AB20"/>
    <mergeCell ref="AC20:AD20"/>
    <mergeCell ref="AE20:AF20"/>
    <mergeCell ref="B20:G20"/>
    <mergeCell ref="H20:L20"/>
    <mergeCell ref="M20:N20"/>
    <mergeCell ref="O20:P20"/>
    <mergeCell ref="Q20:R20"/>
    <mergeCell ref="S20:T20"/>
    <mergeCell ref="AQ18:AR18"/>
    <mergeCell ref="B19:G19"/>
    <mergeCell ref="H19:L19"/>
    <mergeCell ref="M19:N19"/>
    <mergeCell ref="O19:P19"/>
    <mergeCell ref="Q19:R19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12:E12"/>
    <mergeCell ref="F12:I12"/>
    <mergeCell ref="J12:K12"/>
    <mergeCell ref="B13:E13"/>
    <mergeCell ref="F13:I13"/>
    <mergeCell ref="J13:K13"/>
    <mergeCell ref="B9:E9"/>
    <mergeCell ref="F9:K9"/>
    <mergeCell ref="AK9:AP10"/>
    <mergeCell ref="B10:E10"/>
    <mergeCell ref="F10:K10"/>
    <mergeCell ref="B11:E11"/>
    <mergeCell ref="F11:K11"/>
    <mergeCell ref="AO2:AR2"/>
    <mergeCell ref="B6:E6"/>
    <mergeCell ref="F6:K6"/>
    <mergeCell ref="B7:E7"/>
    <mergeCell ref="F7:K7"/>
    <mergeCell ref="B8:E8"/>
    <mergeCell ref="F8:K8"/>
    <mergeCell ref="B2:E2"/>
    <mergeCell ref="G2:K2"/>
    <mergeCell ref="O2:S2"/>
    <mergeCell ref="U2:Y2"/>
    <mergeCell ref="AA2:AE2"/>
    <mergeCell ref="AI2:AM2"/>
  </mergeCells>
  <conditionalFormatting sqref="AZ94:AZ106 AZ147:AZ150 BI5:BI21 AZ20:AZ84 AZ86:AZ89 BI39:BI141 BH25:BI34 BH40:BH98 AY5:AZ19 AY20:AY48 BH13:BH24 BH142:BI144 AZ112:AZ141">
    <cfRule type="cellIs" dxfId="114" priority="55" stopIfTrue="1" operator="equal">
      <formula>0</formula>
    </cfRule>
  </conditionalFormatting>
  <conditionalFormatting sqref="AY59 AY72 AY49 AY55">
    <cfRule type="cellIs" dxfId="113" priority="53" stopIfTrue="1" operator="equal">
      <formula>0</formula>
    </cfRule>
  </conditionalFormatting>
  <conditionalFormatting sqref="O17:AF17 W20:AD20 W22:AF22 W28:AD28">
    <cfRule type="expression" dxfId="112" priority="54" stopIfTrue="1">
      <formula>$AW$4=0</formula>
    </cfRule>
  </conditionalFormatting>
  <conditionalFormatting sqref="AY83 AY86 AY88:AY89">
    <cfRule type="cellIs" dxfId="111" priority="52" stopIfTrue="1" operator="equal">
      <formula>0</formula>
    </cfRule>
  </conditionalFormatting>
  <conditionalFormatting sqref="AY103:AY106">
    <cfRule type="cellIs" dxfId="110" priority="51" stopIfTrue="1" operator="equal">
      <formula>0</formula>
    </cfRule>
  </conditionalFormatting>
  <conditionalFormatting sqref="BH39">
    <cfRule type="cellIs" dxfId="109" priority="50" stopIfTrue="1" operator="equal">
      <formula>0</formula>
    </cfRule>
  </conditionalFormatting>
  <conditionalFormatting sqref="AY64:AY68">
    <cfRule type="cellIs" dxfId="108" priority="49" stopIfTrue="1" operator="equal">
      <formula>0</formula>
    </cfRule>
  </conditionalFormatting>
  <conditionalFormatting sqref="AY112:AY141 AY147:AY150">
    <cfRule type="cellIs" dxfId="107" priority="43" stopIfTrue="1" operator="equal">
      <formula>0</formula>
    </cfRule>
  </conditionalFormatting>
  <conditionalFormatting sqref="AY81">
    <cfRule type="cellIs" dxfId="106" priority="48" stopIfTrue="1" operator="equal">
      <formula>0</formula>
    </cfRule>
  </conditionalFormatting>
  <conditionalFormatting sqref="AY84">
    <cfRule type="cellIs" dxfId="105" priority="47" stopIfTrue="1" operator="equal">
      <formula>0</formula>
    </cfRule>
  </conditionalFormatting>
  <conditionalFormatting sqref="AY94">
    <cfRule type="cellIs" dxfId="104" priority="46" stopIfTrue="1" operator="equal">
      <formula>0</formula>
    </cfRule>
  </conditionalFormatting>
  <conditionalFormatting sqref="BH115 BH119">
    <cfRule type="cellIs" dxfId="103" priority="45" stopIfTrue="1" operator="equal">
      <formula>0</formula>
    </cfRule>
  </conditionalFormatting>
  <conditionalFormatting sqref="BH136 BH140:BH141 BH148 BH154 BH138">
    <cfRule type="cellIs" dxfId="102" priority="44" stopIfTrue="1" operator="equal">
      <formula>0</formula>
    </cfRule>
  </conditionalFormatting>
  <conditionalFormatting sqref="BH105:BH114">
    <cfRule type="cellIs" dxfId="101" priority="42" stopIfTrue="1" operator="equal">
      <formula>0</formula>
    </cfRule>
  </conditionalFormatting>
  <conditionalFormatting sqref="BH139">
    <cfRule type="cellIs" dxfId="100" priority="40" stopIfTrue="1" operator="equal">
      <formula>0</formula>
    </cfRule>
  </conditionalFormatting>
  <conditionalFormatting sqref="AY87">
    <cfRule type="cellIs" dxfId="99" priority="41" stopIfTrue="1" operator="equal">
      <formula>0</formula>
    </cfRule>
  </conditionalFormatting>
  <conditionalFormatting sqref="F13:K13">
    <cfRule type="expression" dxfId="98" priority="39" stopIfTrue="1">
      <formula>$AW$4=1</formula>
    </cfRule>
  </conditionalFormatting>
  <conditionalFormatting sqref="BI148 BI154">
    <cfRule type="cellIs" dxfId="97" priority="38" stopIfTrue="1" operator="equal">
      <formula>0</formula>
    </cfRule>
  </conditionalFormatting>
  <conditionalFormatting sqref="AZ90:AZ91">
    <cfRule type="cellIs" dxfId="96" priority="37" stopIfTrue="1" operator="equal">
      <formula>0</formula>
    </cfRule>
  </conditionalFormatting>
  <conditionalFormatting sqref="AY90:AY91">
    <cfRule type="cellIs" dxfId="95" priority="36" stopIfTrue="1" operator="equal">
      <formula>0</formula>
    </cfRule>
  </conditionalFormatting>
  <conditionalFormatting sqref="BH145:BH146">
    <cfRule type="cellIs" dxfId="94" priority="35" stopIfTrue="1" operator="equal">
      <formula>0</formula>
    </cfRule>
  </conditionalFormatting>
  <conditionalFormatting sqref="BI145:BI146">
    <cfRule type="cellIs" dxfId="93" priority="34" stopIfTrue="1" operator="equal">
      <formula>0</formula>
    </cfRule>
  </conditionalFormatting>
  <conditionalFormatting sqref="AR88">
    <cfRule type="expression" dxfId="92" priority="33" stopIfTrue="1">
      <formula>$AU$96=AU98</formula>
    </cfRule>
  </conditionalFormatting>
  <conditionalFormatting sqref="AZ142:AZ146">
    <cfRule type="cellIs" dxfId="91" priority="32" stopIfTrue="1" operator="equal">
      <formula>0</formula>
    </cfRule>
  </conditionalFormatting>
  <conditionalFormatting sqref="AY142:AY146">
    <cfRule type="cellIs" dxfId="90" priority="31" stopIfTrue="1" operator="equal">
      <formula>0</formula>
    </cfRule>
  </conditionalFormatting>
  <conditionalFormatting sqref="BH149 BH152:BH153">
    <cfRule type="cellIs" dxfId="89" priority="30" stopIfTrue="1" operator="equal">
      <formula>0</formula>
    </cfRule>
  </conditionalFormatting>
  <conditionalFormatting sqref="BI149:BI153">
    <cfRule type="cellIs" dxfId="88" priority="29" stopIfTrue="1" operator="equal">
      <formula>0</formula>
    </cfRule>
  </conditionalFormatting>
  <conditionalFormatting sqref="BH150:BH151">
    <cfRule type="cellIs" dxfId="87" priority="28" stopIfTrue="1" operator="equal">
      <formula>0</formula>
    </cfRule>
  </conditionalFormatting>
  <conditionalFormatting sqref="AY50:AY54">
    <cfRule type="cellIs" dxfId="86" priority="27" stopIfTrue="1" operator="equal">
      <formula>0</formula>
    </cfRule>
  </conditionalFormatting>
  <conditionalFormatting sqref="AY56:AY58">
    <cfRule type="cellIs" dxfId="85" priority="26" stopIfTrue="1" operator="equal">
      <formula>0</formula>
    </cfRule>
  </conditionalFormatting>
  <conditionalFormatting sqref="AY60:AY62">
    <cfRule type="cellIs" dxfId="84" priority="25" stopIfTrue="1" operator="equal">
      <formula>0</formula>
    </cfRule>
  </conditionalFormatting>
  <conditionalFormatting sqref="AY69:AY71">
    <cfRule type="cellIs" dxfId="83" priority="24" stopIfTrue="1" operator="equal">
      <formula>0</formula>
    </cfRule>
  </conditionalFormatting>
  <conditionalFormatting sqref="AY73:AY74">
    <cfRule type="cellIs" dxfId="82" priority="23" stopIfTrue="1" operator="equal">
      <formula>0</formula>
    </cfRule>
  </conditionalFormatting>
  <conditionalFormatting sqref="AY75">
    <cfRule type="cellIs" dxfId="81" priority="22" stopIfTrue="1" operator="equal">
      <formula>0</formula>
    </cfRule>
  </conditionalFormatting>
  <conditionalFormatting sqref="AY76:AY80">
    <cfRule type="cellIs" dxfId="80" priority="21" stopIfTrue="1" operator="equal">
      <formula>0</formula>
    </cfRule>
  </conditionalFormatting>
  <conditionalFormatting sqref="AY82">
    <cfRule type="cellIs" dxfId="79" priority="20" stopIfTrue="1" operator="equal">
      <formula>0</formula>
    </cfRule>
  </conditionalFormatting>
  <conditionalFormatting sqref="BH5:BH10">
    <cfRule type="cellIs" dxfId="78" priority="19" stopIfTrue="1" operator="equal">
      <formula>0</formula>
    </cfRule>
  </conditionalFormatting>
  <conditionalFormatting sqref="BH99:BH106">
    <cfRule type="cellIs" dxfId="77" priority="18" stopIfTrue="1" operator="equal">
      <formula>0</formula>
    </cfRule>
  </conditionalFormatting>
  <conditionalFormatting sqref="BH116:BH118">
    <cfRule type="cellIs" dxfId="76" priority="17" stopIfTrue="1" operator="equal">
      <formula>0</formula>
    </cfRule>
  </conditionalFormatting>
  <conditionalFormatting sqref="BH120:BH135">
    <cfRule type="cellIs" dxfId="75" priority="16" stopIfTrue="1" operator="equal">
      <formula>0</formula>
    </cfRule>
  </conditionalFormatting>
  <conditionalFormatting sqref="BH137">
    <cfRule type="cellIs" dxfId="74" priority="15" stopIfTrue="1" operator="equal">
      <formula>0</formula>
    </cfRule>
  </conditionalFormatting>
  <conditionalFormatting sqref="AZ85">
    <cfRule type="cellIs" dxfId="73" priority="14" stopIfTrue="1" operator="equal">
      <formula>0</formula>
    </cfRule>
  </conditionalFormatting>
  <conditionalFormatting sqref="AY85">
    <cfRule type="cellIs" dxfId="72" priority="13" stopIfTrue="1" operator="equal">
      <formula>0</formula>
    </cfRule>
  </conditionalFormatting>
  <conditionalFormatting sqref="BH37:BI38">
    <cfRule type="cellIs" dxfId="71" priority="12" stopIfTrue="1" operator="equal">
      <formula>0</formula>
    </cfRule>
  </conditionalFormatting>
  <conditionalFormatting sqref="BH35:BI36">
    <cfRule type="cellIs" dxfId="70" priority="11" stopIfTrue="1" operator="equal">
      <formula>0</formula>
    </cfRule>
  </conditionalFormatting>
  <conditionalFormatting sqref="AY63">
    <cfRule type="cellIs" dxfId="69" priority="10" stopIfTrue="1" operator="equal">
      <formula>0</formula>
    </cfRule>
  </conditionalFormatting>
  <conditionalFormatting sqref="BH11:BH12">
    <cfRule type="cellIs" dxfId="68" priority="9" stopIfTrue="1" operator="equal">
      <formula>0</formula>
    </cfRule>
  </conditionalFormatting>
  <conditionalFormatting sqref="AZ92:AZ93">
    <cfRule type="cellIs" dxfId="67" priority="8" stopIfTrue="1" operator="equal">
      <formula>0</formula>
    </cfRule>
  </conditionalFormatting>
  <conditionalFormatting sqref="AY92:AY93">
    <cfRule type="cellIs" dxfId="66" priority="7" stopIfTrue="1" operator="equal">
      <formula>0</formula>
    </cfRule>
  </conditionalFormatting>
  <conditionalFormatting sqref="BI22:BI24">
    <cfRule type="cellIs" dxfId="65" priority="6" stopIfTrue="1" operator="equal">
      <formula>0</formula>
    </cfRule>
  </conditionalFormatting>
  <conditionalFormatting sqref="BH147">
    <cfRule type="cellIs" dxfId="64" priority="5" stopIfTrue="1" operator="equal">
      <formula>0</formula>
    </cfRule>
  </conditionalFormatting>
  <conditionalFormatting sqref="BI147">
    <cfRule type="cellIs" dxfId="63" priority="4" stopIfTrue="1" operator="equal">
      <formula>0</formula>
    </cfRule>
  </conditionalFormatting>
  <conditionalFormatting sqref="AY107:AZ111">
    <cfRule type="cellIs" dxfId="62" priority="3" stopIfTrue="1" operator="equal">
      <formula>0</formula>
    </cfRule>
  </conditionalFormatting>
  <conditionalFormatting sqref="BI155:BI159">
    <cfRule type="cellIs" dxfId="61" priority="2" stopIfTrue="1" operator="equal">
      <formula>0</formula>
    </cfRule>
  </conditionalFormatting>
  <conditionalFormatting sqref="BH155:BH159">
    <cfRule type="cellIs" dxfId="60" priority="1" stopIfTrue="1" operator="equal">
      <formula>0</formula>
    </cfRule>
  </conditionalFormatting>
  <hyperlinks>
    <hyperlink ref="M4" location="MENU!A1" display="MENU!A1" xr:uid="{00000000-0004-0000-1700-000000000000}"/>
    <hyperlink ref="M10" location="OBJ!A1" display="OBJ!A1" xr:uid="{00000000-0004-0000-1700-000001000000}"/>
    <hyperlink ref="M9" location="suhrn!A1" display="suhrn!A1" xr:uid="{00000000-0004-0000-1700-000002000000}"/>
    <hyperlink ref="O2:S2" location="MENU!A5" display="MENU!A5" xr:uid="{00000000-0004-0000-1700-000003000000}"/>
    <hyperlink ref="M69" location="MENU!A1" display="MENU!A1" xr:uid="{00000000-0004-0000-1700-000004000000}"/>
    <hyperlink ref="B67:E67" location="'potr-o101+187-IL'!A1" display="'potr-o101+187-IL'!A1" xr:uid="{00000000-0004-0000-1700-000005000000}"/>
    <hyperlink ref="AK9:AO10" location="'IT70(vn100)'!A66" display="'IT70(vn100)'!A66" xr:uid="{00000000-0004-0000-1700-000006000000}"/>
    <hyperlink ref="AK9:AP10" location="'potr-o101+187-IL'!A66" display="'potr-o101+187-IL'!A66" xr:uid="{00000000-0004-0000-17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List63">
    <tabColor theme="1"/>
  </sheetPr>
  <dimension ref="A1:BK166"/>
  <sheetViews>
    <sheetView showGridLines="0" showRowColHeaders="0" zoomScale="95" zoomScaleNormal="95" workbookViewId="0"/>
  </sheetViews>
  <sheetFormatPr defaultColWidth="9" defaultRowHeight="14.25"/>
  <cols>
    <col min="1" max="1" width="3.625" style="86" customWidth="1"/>
    <col min="2" max="4" width="3.125" style="86" customWidth="1"/>
    <col min="5" max="5" width="7.625" style="86" customWidth="1"/>
    <col min="6" max="44" width="3.125" style="86" customWidth="1"/>
    <col min="45" max="45" width="3.625" style="86" customWidth="1"/>
    <col min="46" max="46" width="9" style="86" customWidth="1"/>
    <col min="47" max="47" width="9" style="86" hidden="1" customWidth="1"/>
    <col min="48" max="48" width="51.375" style="86" hidden="1" customWidth="1"/>
    <col min="49" max="49" width="4.375" style="86" hidden="1" customWidth="1"/>
    <col min="50" max="50" width="2" style="86" hidden="1" customWidth="1"/>
    <col min="51" max="52" width="4.625" style="86" hidden="1" customWidth="1"/>
    <col min="53" max="53" width="9" style="86" hidden="1" customWidth="1"/>
    <col min="54" max="54" width="9.125" style="86" hidden="1" customWidth="1"/>
    <col min="55" max="55" width="2.625" style="86" hidden="1" customWidth="1"/>
    <col min="56" max="56" width="9" style="86" hidden="1" customWidth="1"/>
    <col min="57" max="57" width="49.875" style="86" hidden="1" customWidth="1"/>
    <col min="58" max="58" width="4.375" style="86" hidden="1" customWidth="1"/>
    <col min="59" max="59" width="2" style="86" hidden="1" customWidth="1"/>
    <col min="60" max="61" width="4.625" style="86" hidden="1" customWidth="1"/>
    <col min="62" max="63" width="9" style="86" hidden="1" customWidth="1"/>
    <col min="64" max="75" width="9" style="86" customWidth="1"/>
    <col min="76" max="16384" width="9" style="86"/>
  </cols>
  <sheetData>
    <row r="1" spans="1:63" ht="12.95" customHeight="1" thickBot="1">
      <c r="AU1" s="140"/>
      <c r="AV1" s="279"/>
      <c r="AW1" s="279"/>
      <c r="AX1" s="140"/>
      <c r="AY1" s="212">
        <f>AQ18</f>
        <v>0</v>
      </c>
      <c r="AZ1" s="367" t="s">
        <v>593</v>
      </c>
      <c r="BA1" s="367"/>
      <c r="BB1" s="140"/>
      <c r="BC1" s="140"/>
      <c r="BD1" s="140"/>
      <c r="BE1" s="140"/>
      <c r="BF1" s="140"/>
      <c r="BG1" s="140"/>
      <c r="BH1" s="140"/>
      <c r="BI1" s="140"/>
      <c r="BJ1" s="140"/>
      <c r="BK1" s="140"/>
    </row>
    <row r="2" spans="1:63" ht="23.1" customHeight="1" thickBot="1">
      <c r="B2" s="477" t="str">
        <f>verze!E13</f>
        <v>&lt;&lt;  späť</v>
      </c>
      <c r="C2" s="478"/>
      <c r="D2" s="478"/>
      <c r="E2" s="479"/>
      <c r="G2" s="515" t="str">
        <f>verze!E6</f>
        <v xml:space="preserve"> Úvod</v>
      </c>
      <c r="H2" s="516"/>
      <c r="I2" s="516"/>
      <c r="J2" s="516"/>
      <c r="K2" s="517"/>
      <c r="O2" s="502" t="str">
        <f>verze!E7</f>
        <v xml:space="preserve"> Výber zásuviek</v>
      </c>
      <c r="P2" s="503"/>
      <c r="Q2" s="503"/>
      <c r="R2" s="503"/>
      <c r="S2" s="504"/>
      <c r="U2" s="515" t="str">
        <f>verze!E8</f>
        <v xml:space="preserve"> </v>
      </c>
      <c r="V2" s="516"/>
      <c r="W2" s="516"/>
      <c r="X2" s="516"/>
      <c r="Y2" s="517"/>
      <c r="AA2" s="515" t="str">
        <f>verze!E9</f>
        <v xml:space="preserve"> </v>
      </c>
      <c r="AB2" s="516"/>
      <c r="AC2" s="516"/>
      <c r="AD2" s="516"/>
      <c r="AE2" s="517"/>
      <c r="AI2" s="515" t="str">
        <f>verze!E10</f>
        <v xml:space="preserve"> Objednávka</v>
      </c>
      <c r="AJ2" s="516"/>
      <c r="AK2" s="516"/>
      <c r="AL2" s="516"/>
      <c r="AM2" s="517"/>
      <c r="AO2" s="477" t="str">
        <f>verze!E14</f>
        <v>vpred  &gt;&gt;</v>
      </c>
      <c r="AP2" s="478"/>
      <c r="AQ2" s="478"/>
      <c r="AR2" s="479"/>
      <c r="AV2" s="143"/>
      <c r="AW2" s="143"/>
      <c r="AY2" s="212">
        <f>AQ21</f>
        <v>0</v>
      </c>
      <c r="AZ2" s="367" t="s">
        <v>591</v>
      </c>
      <c r="BA2" s="367"/>
    </row>
    <row r="3" spans="1:63" ht="12.95" customHeight="1">
      <c r="AV3" s="143"/>
      <c r="AW3" s="143"/>
      <c r="AY3" s="212">
        <f>AQ24</f>
        <v>3</v>
      </c>
      <c r="AZ3" s="367" t="s">
        <v>594</v>
      </c>
      <c r="BA3" s="367"/>
    </row>
    <row r="4" spans="1:63" ht="23.1" customHeight="1">
      <c r="A4" s="89"/>
      <c r="B4" s="93" t="str">
        <f>verze!E206&amp;" AVANTECH YOU  187 Inlay"</f>
        <v>Zásuvka AVANTECH YOU  187 Inlay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U4" s="94" t="s">
        <v>33</v>
      </c>
      <c r="AW4" s="285">
        <f>IF(FORM!AU13=FORM!U18,1,0)</f>
        <v>1</v>
      </c>
      <c r="AY4" s="212">
        <f>AQ27</f>
        <v>0</v>
      </c>
      <c r="AZ4" s="367" t="s">
        <v>592</v>
      </c>
      <c r="BA4" s="367"/>
      <c r="BB4" s="322" t="e">
        <f>SUM(BB5:BB1012)</f>
        <v>#N/A</v>
      </c>
      <c r="BD4" s="94" t="s">
        <v>34</v>
      </c>
      <c r="BK4" s="322" t="e">
        <f>SUM(BK5:BK1012)</f>
        <v>#N/A</v>
      </c>
    </row>
    <row r="5" spans="1:63" ht="14.45" customHeight="1">
      <c r="AU5" s="319">
        <f>OBJ!B39</f>
        <v>9353335</v>
      </c>
      <c r="AV5" s="21" t="str">
        <f>VLOOKUP(AU5,CENY!$B$11:$G$1054,2,FALSE)</f>
        <v>AvanY-sólo oceľ.boky-NW 101/400mm/strieb.</v>
      </c>
      <c r="AW5" s="22">
        <f>VLOOKUP(AU5,CENY!$B$11:$G$1054,3,FALSE)</f>
        <v>1</v>
      </c>
      <c r="AX5" s="362">
        <v>4</v>
      </c>
      <c r="AY5" s="68"/>
      <c r="AZ5" s="326" t="str">
        <f>IF(AY5="","",IF($AW$4=1,AY5,0))</f>
        <v/>
      </c>
      <c r="BA5" s="95">
        <f>VLOOKUP(AU5,CENY!$B$11:$M$2025,12,FALSE)</f>
        <v>26.248429999999999</v>
      </c>
      <c r="BB5" s="95">
        <f t="shared" ref="BB5:BB74" si="0">IF(BA5="","",BA5*AY5)</f>
        <v>0</v>
      </c>
      <c r="BD5" s="319">
        <f>OBJ!B50</f>
        <v>9255008</v>
      </c>
      <c r="BE5" s="21" t="str">
        <f>VLOOKUP(BD5,CENY!$B$11:$G$1054,2,FALSE)</f>
        <v>AvanY-bok ľavý /v101/h270/ strieborná</v>
      </c>
      <c r="BF5" s="22">
        <f>VLOOKUP(BD5,CENY!$B$11:$G$1054,3,FALSE)</f>
        <v>20</v>
      </c>
      <c r="BG5" s="22"/>
      <c r="BH5" s="68"/>
      <c r="BI5" s="326" t="str">
        <f>IF(BH5="","",IF($AW$4=0,BH5,0))</f>
        <v/>
      </c>
      <c r="BJ5" s="95">
        <f>VLOOKUP(BD5,CENY!$B$11:$M$2025,12,FALSE)</f>
        <v>10.00929</v>
      </c>
      <c r="BK5" s="95">
        <f>IF(BJ5="","",BJ5*BH5)</f>
        <v>0</v>
      </c>
    </row>
    <row r="6" spans="1:63" ht="14.45" customHeight="1">
      <c r="B6" s="551" t="str">
        <f>" "&amp;verze!E90</f>
        <v xml:space="preserve"> bočnica:</v>
      </c>
      <c r="C6" s="551"/>
      <c r="D6" s="551"/>
      <c r="E6" s="551"/>
      <c r="F6" s="566" t="s">
        <v>343</v>
      </c>
      <c r="G6" s="566"/>
      <c r="H6" s="566"/>
      <c r="I6" s="566"/>
      <c r="J6" s="566"/>
      <c r="K6" s="566"/>
      <c r="AU6" s="319">
        <f>OBJ!B40</f>
        <v>9353336</v>
      </c>
      <c r="AV6" s="21" t="str">
        <f>VLOOKUP(AU6,CENY!$B$11:$G$1054,2,FALSE)</f>
        <v>AvanY-sólo oceľ.boky-NW 101/450mm/strieb.</v>
      </c>
      <c r="AW6" s="22">
        <f>VLOOKUP(AU6,CENY!$B$11:$G$1054,3,FALSE)</f>
        <v>1</v>
      </c>
      <c r="AX6" s="362">
        <v>4</v>
      </c>
      <c r="AY6" s="68"/>
      <c r="AZ6" s="326" t="str">
        <f t="shared" ref="AZ6:AZ75" si="1">IF(AY6="","",IF($AW$4=1,AY6,0))</f>
        <v/>
      </c>
      <c r="BA6" s="95">
        <f>VLOOKUP(AU6,CENY!$B$11:$M$2025,12,FALSE)</f>
        <v>26.467459999999999</v>
      </c>
      <c r="BB6" s="95">
        <f t="shared" si="0"/>
        <v>0</v>
      </c>
      <c r="BD6" s="319">
        <f>OBJ!B51</f>
        <v>9255009</v>
      </c>
      <c r="BE6" s="21" t="str">
        <f>VLOOKUP(BD6,CENY!$B$11:$G$1054,2,FALSE)</f>
        <v>AvanY-bok pravý /v101/h270/ strieborná</v>
      </c>
      <c r="BF6" s="22">
        <f>VLOOKUP(BD6,CENY!$B$11:$G$1054,3,FALSE)</f>
        <v>20</v>
      </c>
      <c r="BG6" s="22"/>
      <c r="BH6" s="68"/>
      <c r="BI6" s="326" t="str">
        <f t="shared" ref="BI6:BI83" si="2">IF(BH6="","",IF($AW$4=0,BH6,0))</f>
        <v/>
      </c>
      <c r="BJ6" s="95">
        <f>VLOOKUP(BD6,CENY!$B$11:$M$2025,12,FALSE)</f>
        <v>10.00929</v>
      </c>
      <c r="BK6" s="95">
        <f t="shared" ref="BK6:BK83" si="3">IF(BJ6="","",BJ6*BH6)</f>
        <v>0</v>
      </c>
    </row>
    <row r="7" spans="1:63" ht="14.45" customHeight="1">
      <c r="B7" s="551" t="str">
        <f>" "&amp;verze!E56</f>
        <v xml:space="preserve"> farba:</v>
      </c>
      <c r="C7" s="551"/>
      <c r="D7" s="551"/>
      <c r="E7" s="551"/>
      <c r="F7" s="566" t="str">
        <f>" "&amp;FORM!U8</f>
        <v xml:space="preserve"> strieborná</v>
      </c>
      <c r="G7" s="566"/>
      <c r="H7" s="566"/>
      <c r="I7" s="566"/>
      <c r="J7" s="566"/>
      <c r="K7" s="566"/>
      <c r="AU7" s="319">
        <f>OBJ!B41</f>
        <v>9353337</v>
      </c>
      <c r="AV7" s="21" t="str">
        <f>VLOOKUP(AU7,CENY!$B$11:$G$1054,2,FALSE)</f>
        <v>AvanY-sólo oceľ.boky-NW 101/500mm/strieb.</v>
      </c>
      <c r="AW7" s="22">
        <f>VLOOKUP(AU7,CENY!$B$11:$G$1054,3,FALSE)</f>
        <v>1</v>
      </c>
      <c r="AX7" s="362">
        <v>6</v>
      </c>
      <c r="AY7" s="68"/>
      <c r="AZ7" s="326" t="str">
        <f t="shared" si="1"/>
        <v/>
      </c>
      <c r="BA7" s="95">
        <f>VLOOKUP(AU7,CENY!$B$11:$M$2025,12,FALSE)</f>
        <v>26.833570000000002</v>
      </c>
      <c r="BB7" s="95">
        <f t="shared" si="0"/>
        <v>0</v>
      </c>
      <c r="BD7" s="319">
        <f>OBJ!B52</f>
        <v>9255010</v>
      </c>
      <c r="BE7" s="21" t="str">
        <f>VLOOKUP(BD7,CENY!$B$11:$G$1054,2,FALSE)</f>
        <v>AvanY-bok ľavý /v101/h300/ strieborná</v>
      </c>
      <c r="BF7" s="22">
        <f>VLOOKUP(BD7,CENY!$B$11:$G$1054,3,FALSE)</f>
        <v>20</v>
      </c>
      <c r="BG7" s="22"/>
      <c r="BH7" s="68"/>
      <c r="BI7" s="326" t="str">
        <f t="shared" si="2"/>
        <v/>
      </c>
      <c r="BJ7" s="95">
        <f>VLOOKUP(BD7,CENY!$B$11:$M$2025,12,FALSE)</f>
        <v>10.12106</v>
      </c>
      <c r="BK7" s="95">
        <f t="shared" si="3"/>
        <v>0</v>
      </c>
    </row>
    <row r="8" spans="1:63" ht="14.45" customHeight="1" thickBot="1">
      <c r="B8" s="551" t="str">
        <f>" "&amp;verze!E70</f>
        <v xml:space="preserve"> dekoratívny profil:</v>
      </c>
      <c r="C8" s="551"/>
      <c r="D8" s="551"/>
      <c r="E8" s="551"/>
      <c r="F8" s="566" t="str">
        <f>" "&amp;FORM!AM18</f>
        <v xml:space="preserve"> vo farbe bočnice</v>
      </c>
      <c r="G8" s="566"/>
      <c r="H8" s="566"/>
      <c r="I8" s="566"/>
      <c r="J8" s="566"/>
      <c r="K8" s="566"/>
      <c r="AU8" s="319">
        <f>OBJ!B42</f>
        <v>9353338</v>
      </c>
      <c r="AV8" s="21" t="str">
        <f>VLOOKUP(AU8,CENY!$B$11:$G$1054,2,FALSE)</f>
        <v>AvanY-sólo oceľ.boky-NW 101/550mm/strieb.</v>
      </c>
      <c r="AW8" s="22">
        <f>VLOOKUP(AU8,CENY!$B$11:$G$1054,3,FALSE)</f>
        <v>1</v>
      </c>
      <c r="AX8" s="362">
        <v>6</v>
      </c>
      <c r="AY8" s="68"/>
      <c r="AZ8" s="326" t="str">
        <f t="shared" si="1"/>
        <v/>
      </c>
      <c r="BA8" s="95">
        <f>VLOOKUP(AU8,CENY!$B$11:$M$2025,12,FALSE)</f>
        <v>27.19903</v>
      </c>
      <c r="BB8" s="95">
        <f t="shared" si="0"/>
        <v>0</v>
      </c>
      <c r="BD8" s="319">
        <f>OBJ!B53</f>
        <v>9255011</v>
      </c>
      <c r="BE8" s="21" t="str">
        <f>VLOOKUP(BD8,CENY!$B$11:$G$1054,2,FALSE)</f>
        <v>AvanY-bok pravý /v101/h300/ strieborná</v>
      </c>
      <c r="BF8" s="22">
        <f>VLOOKUP(BD8,CENY!$B$11:$G$1054,3,FALSE)</f>
        <v>20</v>
      </c>
      <c r="BG8" s="22"/>
      <c r="BH8" s="68"/>
      <c r="BI8" s="326" t="str">
        <f t="shared" si="2"/>
        <v/>
      </c>
      <c r="BJ8" s="95">
        <f>VLOOKUP(BD8,CENY!$B$11:$M$2025,12,FALSE)</f>
        <v>10.12106</v>
      </c>
      <c r="BK8" s="95">
        <f t="shared" si="3"/>
        <v>0</v>
      </c>
    </row>
    <row r="9" spans="1:63" ht="14.45" customHeight="1" thickTop="1">
      <c r="B9" s="552"/>
      <c r="C9" s="560"/>
      <c r="D9" s="560"/>
      <c r="E9" s="561"/>
      <c r="F9" s="562"/>
      <c r="G9" s="563"/>
      <c r="H9" s="563"/>
      <c r="I9" s="563"/>
      <c r="J9" s="563"/>
      <c r="K9" s="564"/>
      <c r="AK9" s="587" t="str">
        <f>verze!E160</f>
        <v>Je nutné natypovať šírky čiel ?</v>
      </c>
      <c r="AL9" s="588"/>
      <c r="AM9" s="588"/>
      <c r="AN9" s="588"/>
      <c r="AO9" s="588"/>
      <c r="AP9" s="589"/>
      <c r="AU9" s="319">
        <f>OBJ!B43</f>
        <v>9353339</v>
      </c>
      <c r="AV9" s="21" t="str">
        <f>VLOOKUP(AU9,CENY!$B$11:$G$1054,2,FALSE)</f>
        <v>AvanY-sólo oceľ.boky-NW 101/600mm/strieb.</v>
      </c>
      <c r="AW9" s="22">
        <f>VLOOKUP(AU9,CENY!$B$11:$G$1054,3,FALSE)</f>
        <v>1</v>
      </c>
      <c r="AX9" s="362">
        <v>6</v>
      </c>
      <c r="AY9" s="68"/>
      <c r="AZ9" s="326" t="str">
        <f t="shared" si="1"/>
        <v/>
      </c>
      <c r="BA9" s="95">
        <f>VLOOKUP(AU9,CENY!$B$11:$M$2025,12,FALSE)</f>
        <v>26.252320000000001</v>
      </c>
      <c r="BB9" s="95">
        <f t="shared" si="0"/>
        <v>0</v>
      </c>
      <c r="BD9" s="319">
        <f>OBJ!B54</f>
        <v>9255012</v>
      </c>
      <c r="BE9" s="21" t="str">
        <f>VLOOKUP(BD9,CENY!$B$11:$G$1054,2,FALSE)</f>
        <v>AvanY-bok ľavý /v101/h350/ strieborná</v>
      </c>
      <c r="BF9" s="22">
        <f>VLOOKUP(BD9,CENY!$B$11:$G$1054,3,FALSE)</f>
        <v>20</v>
      </c>
      <c r="BG9" s="22"/>
      <c r="BH9" s="68"/>
      <c r="BI9" s="326" t="str">
        <f t="shared" si="2"/>
        <v/>
      </c>
      <c r="BJ9" s="95">
        <f>VLOOKUP(BD9,CENY!$B$11:$M$2025,12,FALSE)</f>
        <v>10.307510000000001</v>
      </c>
      <c r="BK9" s="95">
        <f t="shared" si="3"/>
        <v>0</v>
      </c>
    </row>
    <row r="10" spans="1:63" ht="14.45" customHeight="1">
      <c r="B10" s="551" t="str">
        <f>" "&amp;verze!E57</f>
        <v xml:space="preserve"> čelné kovanie:</v>
      </c>
      <c r="C10" s="551"/>
      <c r="D10" s="551"/>
      <c r="E10" s="551"/>
      <c r="F10" s="565" t="str">
        <f>" "&amp;FORM!AM8</f>
        <v xml:space="preserve"> na skrutky</v>
      </c>
      <c r="G10" s="565"/>
      <c r="H10" s="565"/>
      <c r="I10" s="565"/>
      <c r="J10" s="565"/>
      <c r="K10" s="565"/>
      <c r="AK10" s="590"/>
      <c r="AL10" s="591"/>
      <c r="AM10" s="591"/>
      <c r="AN10" s="591"/>
      <c r="AO10" s="591"/>
      <c r="AP10" s="592"/>
      <c r="AU10" s="319">
        <f>OBJ!B44</f>
        <v>9353340</v>
      </c>
      <c r="AV10" s="21" t="str">
        <f>VLOOKUP(AU10,CENY!$B$11:$G$1054,2,FALSE)</f>
        <v>AvanY-sólo oceľ.boky-NW 101/650mm/strieb.</v>
      </c>
      <c r="AW10" s="22">
        <f>VLOOKUP(AU10,CENY!$B$11:$G$1054,3,FALSE)</f>
        <v>1</v>
      </c>
      <c r="AX10" s="362">
        <v>8</v>
      </c>
      <c r="AY10" s="68"/>
      <c r="AZ10" s="326" t="str">
        <f t="shared" si="1"/>
        <v/>
      </c>
      <c r="BA10" s="95">
        <f>VLOOKUP(AU10,CENY!$B$11:$M$2025,12,FALSE)</f>
        <v>26.6005</v>
      </c>
      <c r="BB10" s="95">
        <f t="shared" si="0"/>
        <v>0</v>
      </c>
      <c r="BD10" s="319">
        <f>OBJ!B55</f>
        <v>9255013</v>
      </c>
      <c r="BE10" s="21" t="str">
        <f>VLOOKUP(BD10,CENY!$B$11:$G$1054,2,FALSE)</f>
        <v>AvanY-bok pravý /v101/h350/ strieborná</v>
      </c>
      <c r="BF10" s="22">
        <f>VLOOKUP(BD10,CENY!$B$11:$G$1054,3,FALSE)</f>
        <v>20</v>
      </c>
      <c r="BG10" s="22"/>
      <c r="BH10" s="68"/>
      <c r="BI10" s="326" t="str">
        <f t="shared" si="2"/>
        <v/>
      </c>
      <c r="BJ10" s="95">
        <f>VLOOKUP(BD10,CENY!$B$11:$M$2025,12,FALSE)</f>
        <v>10.307510000000001</v>
      </c>
      <c r="BK10" s="95">
        <f t="shared" si="3"/>
        <v>0</v>
      </c>
    </row>
    <row r="11" spans="1:63" ht="14.45" customHeight="1">
      <c r="B11" s="551" t="str">
        <f>" "&amp;verze!E76</f>
        <v xml:space="preserve"> krytka:</v>
      </c>
      <c r="C11" s="551"/>
      <c r="D11" s="551"/>
      <c r="E11" s="551"/>
      <c r="F11" s="565" t="str">
        <f>" "&amp;FORM!AM21</f>
        <v xml:space="preserve"> žiadna</v>
      </c>
      <c r="G11" s="565"/>
      <c r="H11" s="565"/>
      <c r="I11" s="565"/>
      <c r="J11" s="565"/>
      <c r="K11" s="565"/>
      <c r="AU11" s="319">
        <f>OBJ!B45</f>
        <v>9353341</v>
      </c>
      <c r="AV11" s="21" t="str">
        <f>VLOOKUP(AU11,CENY!$B$11:$G$1054,2,FALSE)</f>
        <v>AvanY-sólo oceľ.boky-NW 101/270mm/biela</v>
      </c>
      <c r="AW11" s="22">
        <f>VLOOKUP(AU11,CENY!$B$11:$G$1054,3,FALSE)</f>
        <v>1</v>
      </c>
      <c r="AX11" s="362">
        <v>8</v>
      </c>
      <c r="AY11" s="68"/>
      <c r="AZ11" s="326" t="str">
        <f t="shared" si="1"/>
        <v/>
      </c>
      <c r="BA11" s="95">
        <f>VLOOKUP(AU11,CENY!$B$11:$M$2025,12,FALSE)</f>
        <v>28.296320000000001</v>
      </c>
      <c r="BB11" s="95">
        <f t="shared" si="0"/>
        <v>0</v>
      </c>
      <c r="BD11" s="319">
        <f>OBJ!B56</f>
        <v>9255014</v>
      </c>
      <c r="BE11" s="21" t="str">
        <f>VLOOKUP(BD11,CENY!$B$11:$G$1054,2,FALSE)</f>
        <v>AvanY-bok ľavý /v101/h400/ strieborná</v>
      </c>
      <c r="BF11" s="22">
        <f>VLOOKUP(BD11,CENY!$B$11:$G$1054,3,FALSE)</f>
        <v>20</v>
      </c>
      <c r="BG11" s="22"/>
      <c r="BH11" s="68"/>
      <c r="BI11" s="326" t="str">
        <f t="shared" si="2"/>
        <v/>
      </c>
      <c r="BJ11" s="95">
        <f>VLOOKUP(BD11,CENY!$B$11:$M$2025,12,FALSE)</f>
        <v>10.49362</v>
      </c>
      <c r="BK11" s="95">
        <f t="shared" si="3"/>
        <v>0</v>
      </c>
    </row>
    <row r="12" spans="1:63" ht="14.45" customHeight="1" thickBot="1">
      <c r="B12" s="551"/>
      <c r="C12" s="551"/>
      <c r="D12" s="551"/>
      <c r="E12" s="552"/>
      <c r="F12" s="553"/>
      <c r="G12" s="554"/>
      <c r="H12" s="554"/>
      <c r="I12" s="554"/>
      <c r="J12" s="555"/>
      <c r="K12" s="556"/>
      <c r="AU12" s="319">
        <f>OBJ!B46</f>
        <v>9353342</v>
      </c>
      <c r="AV12" s="21" t="str">
        <f>VLOOKUP(AU12,CENY!$B$11:$G$1054,2,FALSE)</f>
        <v>AvanY-sólo oceľ.boky-NW 101/300mm/biela</v>
      </c>
      <c r="AW12" s="22">
        <f>VLOOKUP(AU12,CENY!$B$11:$G$1054,3,FALSE)</f>
        <v>1</v>
      </c>
      <c r="AX12" s="362">
        <v>8</v>
      </c>
      <c r="AY12" s="68"/>
      <c r="AZ12" s="326" t="str">
        <f t="shared" si="1"/>
        <v/>
      </c>
      <c r="BA12" s="95">
        <f>VLOOKUP(AU12,CENY!$B$11:$M$2025,12,FALSE)</f>
        <v>28.89237</v>
      </c>
      <c r="BB12" s="95">
        <f t="shared" si="0"/>
        <v>0</v>
      </c>
      <c r="BD12" s="319">
        <f>OBJ!B57</f>
        <v>9255015</v>
      </c>
      <c r="BE12" s="21" t="str">
        <f>VLOOKUP(BD12,CENY!$B$11:$G$1054,2,FALSE)</f>
        <v>AvanY-bok pravý /v101/h400/ strieborná</v>
      </c>
      <c r="BF12" s="22">
        <f>VLOOKUP(BD12,CENY!$B$11:$G$1054,3,FALSE)</f>
        <v>20</v>
      </c>
      <c r="BG12" s="22"/>
      <c r="BH12" s="68"/>
      <c r="BI12" s="326" t="str">
        <f t="shared" si="2"/>
        <v/>
      </c>
      <c r="BJ12" s="95">
        <f>VLOOKUP(BD12,CENY!$B$11:$M$2025,12,FALSE)</f>
        <v>10.49362</v>
      </c>
      <c r="BK12" s="95">
        <f t="shared" si="3"/>
        <v>0</v>
      </c>
    </row>
    <row r="13" spans="1:63" ht="14.45" customHeight="1">
      <c r="B13" s="551" t="str">
        <f>" "&amp;verze!E92</f>
        <v xml:space="preserve"> cena kovania:</v>
      </c>
      <c r="C13" s="551"/>
      <c r="D13" s="551"/>
      <c r="E13" s="552"/>
      <c r="F13" s="557" t="e">
        <f>IF(AW4=1,BB4,BK4)</f>
        <v>#N/A</v>
      </c>
      <c r="G13" s="557"/>
      <c r="H13" s="557"/>
      <c r="I13" s="557"/>
      <c r="J13" s="558" t="str">
        <f>IF(verze!E1="CZK","CZK","EUR")</f>
        <v>EUR</v>
      </c>
      <c r="K13" s="559"/>
      <c r="AU13" s="319">
        <f>OBJ!B47</f>
        <v>9353343</v>
      </c>
      <c r="AV13" s="21" t="str">
        <f>VLOOKUP(AU13,CENY!$B$11:$G$1054,2,FALSE)</f>
        <v>AvanY-sólo oceľ.boky-NW 101/350mm/biela</v>
      </c>
      <c r="AW13" s="22">
        <f>VLOOKUP(AU13,CENY!$B$11:$G$1054,3,FALSE)</f>
        <v>1</v>
      </c>
      <c r="AX13" s="362">
        <v>10</v>
      </c>
      <c r="AY13" s="68"/>
      <c r="AZ13" s="326" t="str">
        <f t="shared" si="1"/>
        <v/>
      </c>
      <c r="BA13" s="95">
        <f>VLOOKUP(AU13,CENY!$B$11:$M$2025,12,FALSE)</f>
        <v>29.75958</v>
      </c>
      <c r="BB13" s="95">
        <f t="shared" si="0"/>
        <v>0</v>
      </c>
      <c r="BD13" s="319">
        <f>OBJ!B58</f>
        <v>9255016</v>
      </c>
      <c r="BE13" s="21" t="str">
        <f>VLOOKUP(BD13,CENY!$B$11:$G$1054,2,FALSE)</f>
        <v>AvanY-bok ľavý /v101/h450/ strieborná</v>
      </c>
      <c r="BF13" s="22">
        <f>VLOOKUP(BD13,CENY!$B$11:$G$1054,3,FALSE)</f>
        <v>20</v>
      </c>
      <c r="BG13" s="22"/>
      <c r="BH13" s="68"/>
      <c r="BI13" s="326" t="str">
        <f t="shared" si="2"/>
        <v/>
      </c>
      <c r="BJ13" s="95">
        <f>VLOOKUP(BD13,CENY!$B$11:$M$2025,12,FALSE)</f>
        <v>10.680099999999999</v>
      </c>
      <c r="BK13" s="95">
        <f t="shared" si="3"/>
        <v>0</v>
      </c>
    </row>
    <row r="14" spans="1:63" ht="14.45" customHeight="1">
      <c r="AU14" s="319"/>
      <c r="AV14" s="21"/>
      <c r="AW14" s="22"/>
      <c r="AX14" s="362"/>
      <c r="AY14" s="23"/>
      <c r="AZ14" s="326"/>
      <c r="BA14" s="95"/>
      <c r="BB14" s="95"/>
      <c r="BD14" s="319">
        <f>OBJ!B59</f>
        <v>9255017</v>
      </c>
      <c r="BE14" s="21" t="str">
        <f>VLOOKUP(BD14,CENY!$B$11:$G$1054,2,FALSE)</f>
        <v>AvanY-bok pravý /v101/h450/ strieborná</v>
      </c>
      <c r="BF14" s="22">
        <f>VLOOKUP(BD14,CENY!$B$11:$G$1054,3,FALSE)</f>
        <v>20</v>
      </c>
      <c r="BG14" s="22"/>
      <c r="BH14" s="68"/>
      <c r="BI14" s="326" t="str">
        <f t="shared" si="2"/>
        <v/>
      </c>
      <c r="BJ14" s="95">
        <f>VLOOKUP(BD14,CENY!$B$11:$M$2025,12,FALSE)</f>
        <v>10.680099999999999</v>
      </c>
      <c r="BK14" s="95">
        <f t="shared" si="3"/>
        <v>0</v>
      </c>
    </row>
    <row r="15" spans="1:63" ht="14.45" customHeight="1">
      <c r="AU15" s="319">
        <f>OBJ!B170</f>
        <v>9353285</v>
      </c>
      <c r="AV15" s="21" t="str">
        <f>VLOOKUP(AU15,CENY!$B$11:$G$1054,2,FALSE)</f>
        <v>AvanY-sólo boky Inlay-NW 187/450mm/strieb.</v>
      </c>
      <c r="AW15" s="22">
        <f>VLOOKUP(AU15,CENY!$B$11:$G$1054,3,FALSE)</f>
        <v>1</v>
      </c>
      <c r="AX15" s="362">
        <v>6</v>
      </c>
      <c r="AY15" s="23">
        <f>SUM(AY3:AY4)*(W20+W22+W28)</f>
        <v>0</v>
      </c>
      <c r="AZ15" s="326">
        <f t="shared" ref="AZ15:AZ19" si="4">IF(AY15="","",IF($AW$4=1,AY15,0))</f>
        <v>0</v>
      </c>
      <c r="BA15" s="95">
        <f>VLOOKUP(AU15,CENY!$B$11:$M$2025,12,FALSE)</f>
        <v>39.585979999999999</v>
      </c>
      <c r="BB15" s="95">
        <f t="shared" ref="BB15:BB19" si="5">IF(BA15="","",BA15*AY15)</f>
        <v>0</v>
      </c>
      <c r="BD15" s="319">
        <f>OBJ!B60</f>
        <v>9255018</v>
      </c>
      <c r="BE15" s="21" t="str">
        <f>VLOOKUP(BD15,CENY!$B$11:$G$1054,2,FALSE)</f>
        <v>AvanY-bok ľavý /v101/h500/ strieborná</v>
      </c>
      <c r="BF15" s="22">
        <f>VLOOKUP(BD15,CENY!$B$11:$G$1054,3,FALSE)</f>
        <v>20</v>
      </c>
      <c r="BG15" s="22"/>
      <c r="BH15" s="68"/>
      <c r="BI15" s="326" t="str">
        <f t="shared" si="2"/>
        <v/>
      </c>
      <c r="BJ15" s="95">
        <f>VLOOKUP(BD15,CENY!$B$11:$M$2025,12,FALSE)</f>
        <v>10.348739999999999</v>
      </c>
      <c r="BK15" s="95">
        <f t="shared" si="3"/>
        <v>0</v>
      </c>
    </row>
    <row r="16" spans="1:63" ht="14.45" customHeight="1">
      <c r="AB16" s="341"/>
      <c r="AU16" s="319">
        <f>OBJ!B171</f>
        <v>9353286</v>
      </c>
      <c r="AV16" s="21" t="str">
        <f>VLOOKUP(AU16,CENY!$B$11:$G$1054,2,FALSE)</f>
        <v>AvanY-sólo boky Inlay-NW 187/500mm/strieb.</v>
      </c>
      <c r="AW16" s="22">
        <f>VLOOKUP(AU16,CENY!$B$11:$G$1054,3,FALSE)</f>
        <v>1</v>
      </c>
      <c r="AX16" s="362">
        <v>8</v>
      </c>
      <c r="AY16" s="23">
        <f>SUM(AY3:AY4)*(Y20+Y22+Y28)</f>
        <v>0</v>
      </c>
      <c r="AZ16" s="326">
        <f t="shared" si="4"/>
        <v>0</v>
      </c>
      <c r="BA16" s="95">
        <f>VLOOKUP(AU16,CENY!$B$11:$M$2025,12,FALSE)</f>
        <v>40.13326</v>
      </c>
      <c r="BB16" s="95">
        <f t="shared" si="5"/>
        <v>0</v>
      </c>
      <c r="BD16" s="319">
        <f>OBJ!B61</f>
        <v>9255019</v>
      </c>
      <c r="BE16" s="21" t="str">
        <f>VLOOKUP(BD16,CENY!$B$11:$G$1054,2,FALSE)</f>
        <v>AvanY-bok pravý /v101/h500/ strieborná</v>
      </c>
      <c r="BF16" s="22">
        <f>VLOOKUP(BD16,CENY!$B$11:$G$1054,3,FALSE)</f>
        <v>20</v>
      </c>
      <c r="BG16" s="22"/>
      <c r="BH16" s="68"/>
      <c r="BI16" s="326" t="str">
        <f t="shared" si="2"/>
        <v/>
      </c>
      <c r="BJ16" s="95">
        <f>VLOOKUP(BD16,CENY!$B$11:$M$2025,12,FALSE)</f>
        <v>10.348739999999999</v>
      </c>
      <c r="BK16" s="95">
        <f t="shared" si="3"/>
        <v>0</v>
      </c>
    </row>
    <row r="17" spans="2:63" ht="14.45" customHeight="1" thickBot="1">
      <c r="B17" s="1" t="s">
        <v>284</v>
      </c>
      <c r="O17" s="549" t="str">
        <f>FORM!U18</f>
        <v>flexibilné sety</v>
      </c>
      <c r="P17" s="550"/>
      <c r="Q17" s="550"/>
      <c r="R17" s="550"/>
      <c r="S17" s="550"/>
      <c r="T17" s="550"/>
      <c r="U17" s="550"/>
      <c r="V17" s="550"/>
      <c r="W17" s="550"/>
      <c r="X17" s="550"/>
      <c r="Y17" s="550"/>
      <c r="Z17" s="550"/>
      <c r="AA17" s="550"/>
      <c r="AB17" s="550"/>
      <c r="AC17" s="550"/>
      <c r="AD17" s="550"/>
      <c r="AE17" s="550"/>
      <c r="AF17" s="550"/>
      <c r="AU17" s="319">
        <f>OBJ!B172</f>
        <v>9353287</v>
      </c>
      <c r="AV17" s="21" t="str">
        <f>VLOOKUP(AU17,CENY!$B$11:$G$1054,2,FALSE)</f>
        <v>AvanY-sólo boky Inlay-NW 187/550mm/strieb.</v>
      </c>
      <c r="AW17" s="22">
        <f>VLOOKUP(AU17,CENY!$B$11:$G$1054,3,FALSE)</f>
        <v>1</v>
      </c>
      <c r="AX17" s="362">
        <v>8</v>
      </c>
      <c r="AY17" s="23">
        <f>SUM(AY3:AY4)*(AA20+AA22+AA28)</f>
        <v>0</v>
      </c>
      <c r="AZ17" s="326">
        <f t="shared" si="4"/>
        <v>0</v>
      </c>
      <c r="BA17" s="95">
        <f>VLOOKUP(AU17,CENY!$B$11:$M$2025,12,FALSE)</f>
        <v>42.714669999999998</v>
      </c>
      <c r="BB17" s="95">
        <f t="shared" si="5"/>
        <v>0</v>
      </c>
      <c r="BD17" s="319">
        <f>OBJ!B62</f>
        <v>9255020</v>
      </c>
      <c r="BE17" s="21" t="str">
        <f>VLOOKUP(BD17,CENY!$B$11:$G$1054,2,FALSE)</f>
        <v>AvanY-bok ľavý /v101/h550/ strieborná</v>
      </c>
      <c r="BF17" s="22">
        <f>VLOOKUP(BD17,CENY!$B$11:$G$1054,3,FALSE)</f>
        <v>20</v>
      </c>
      <c r="BG17" s="22"/>
      <c r="BH17" s="68"/>
      <c r="BI17" s="326" t="str">
        <f t="shared" si="2"/>
        <v/>
      </c>
      <c r="BJ17" s="95">
        <f>VLOOKUP(BD17,CENY!$B$11:$M$2025,12,FALSE)</f>
        <v>11.052530000000001</v>
      </c>
      <c r="BK17" s="95">
        <f t="shared" si="3"/>
        <v>0</v>
      </c>
    </row>
    <row r="18" spans="2:63" ht="14.45" customHeight="1" thickBot="1">
      <c r="B18" s="96"/>
      <c r="C18" s="96"/>
      <c r="D18" s="96"/>
      <c r="E18" s="96"/>
      <c r="F18" s="96"/>
      <c r="G18" s="96"/>
      <c r="H18" s="72"/>
      <c r="I18" s="72"/>
      <c r="J18" s="72"/>
      <c r="K18" s="72"/>
      <c r="L18" s="72"/>
      <c r="M18" s="72"/>
      <c r="N18" s="72" t="str">
        <f>verze!$E$20&amp;" "</f>
        <v xml:space="preserve">Menovitá dĺžka: </v>
      </c>
      <c r="O18" s="537">
        <v>270</v>
      </c>
      <c r="P18" s="538"/>
      <c r="Q18" s="537">
        <v>300</v>
      </c>
      <c r="R18" s="538"/>
      <c r="S18" s="537">
        <v>350</v>
      </c>
      <c r="T18" s="538"/>
      <c r="U18" s="537">
        <v>400</v>
      </c>
      <c r="V18" s="538"/>
      <c r="W18" s="537">
        <v>450</v>
      </c>
      <c r="X18" s="538"/>
      <c r="Y18" s="539">
        <v>500</v>
      </c>
      <c r="Z18" s="540"/>
      <c r="AA18" s="537">
        <v>550</v>
      </c>
      <c r="AB18" s="538"/>
      <c r="AC18" s="537">
        <v>600</v>
      </c>
      <c r="AD18" s="538"/>
      <c r="AE18" s="537">
        <v>650</v>
      </c>
      <c r="AF18" s="538"/>
      <c r="AU18" s="319">
        <f>OBJ!B173</f>
        <v>9353288</v>
      </c>
      <c r="AV18" s="21" t="str">
        <f>VLOOKUP(AU18,CENY!$B$11:$G$1054,2,FALSE)</f>
        <v>AvanY-sólo boky Inlay-NW 187/600mm/strieb.</v>
      </c>
      <c r="AW18" s="22">
        <f>VLOOKUP(AU18,CENY!$B$11:$G$1054,3,FALSE)</f>
        <v>1</v>
      </c>
      <c r="AX18" s="362">
        <v>8</v>
      </c>
      <c r="AY18" s="23">
        <f>SUM(AY3:AY4)*(AC20+AC22+AC28)</f>
        <v>0</v>
      </c>
      <c r="AZ18" s="326">
        <f t="shared" si="4"/>
        <v>0</v>
      </c>
      <c r="BA18" s="95">
        <f>VLOOKUP(AU18,CENY!$B$11:$M$2025,12,FALSE)</f>
        <v>43.581359999999997</v>
      </c>
      <c r="BB18" s="95">
        <f t="shared" si="5"/>
        <v>0</v>
      </c>
      <c r="BD18" s="319">
        <f>OBJ!B63</f>
        <v>9255021</v>
      </c>
      <c r="BE18" s="21" t="str">
        <f>VLOOKUP(BD18,CENY!$B$11:$G$1054,2,FALSE)</f>
        <v>AvanY-bok pravý /v101/h550/ strieborná</v>
      </c>
      <c r="BF18" s="22">
        <f>VLOOKUP(BD18,CENY!$B$11:$G$1054,3,FALSE)</f>
        <v>20</v>
      </c>
      <c r="BG18" s="22"/>
      <c r="BH18" s="68"/>
      <c r="BI18" s="326" t="str">
        <f t="shared" si="2"/>
        <v/>
      </c>
      <c r="BJ18" s="95">
        <f>VLOOKUP(BD18,CENY!$B$11:$M$2025,12,FALSE)</f>
        <v>11.052530000000001</v>
      </c>
      <c r="BK18" s="95">
        <f t="shared" si="3"/>
        <v>0</v>
      </c>
    </row>
    <row r="19" spans="2:63" ht="14.45" customHeight="1" thickBot="1">
      <c r="B19" s="532" t="s">
        <v>289</v>
      </c>
      <c r="C19" s="532"/>
      <c r="D19" s="532"/>
      <c r="E19" s="532"/>
      <c r="F19" s="532"/>
      <c r="G19" s="532"/>
      <c r="H19" s="533" t="str">
        <f>verze!E18</f>
        <v>plnovýsuv</v>
      </c>
      <c r="I19" s="533"/>
      <c r="J19" s="533"/>
      <c r="K19" s="533"/>
      <c r="L19" s="533"/>
      <c r="M19" s="534" t="s">
        <v>286</v>
      </c>
      <c r="N19" s="535"/>
      <c r="O19" s="571"/>
      <c r="P19" s="614"/>
      <c r="Q19" s="615"/>
      <c r="R19" s="614"/>
      <c r="S19" s="615"/>
      <c r="T19" s="572"/>
      <c r="U19" s="283"/>
      <c r="V19" s="284"/>
      <c r="W19" s="283"/>
      <c r="X19" s="284"/>
      <c r="Y19" s="283"/>
      <c r="Z19" s="284"/>
      <c r="AA19" s="283"/>
      <c r="AB19" s="284"/>
      <c r="AC19" s="283"/>
      <c r="AD19" s="284"/>
      <c r="AE19" s="280"/>
      <c r="AF19" s="281"/>
      <c r="AU19" s="319">
        <f>OBJ!B174</f>
        <v>9353289</v>
      </c>
      <c r="AV19" s="21" t="str">
        <f>VLOOKUP(AU19,CENY!$B$11:$G$1054,2,FALSE)</f>
        <v>AvanY-sólo boky Inlay-NW 187/650mm/strieb.</v>
      </c>
      <c r="AW19" s="22">
        <f>VLOOKUP(AU19,CENY!$B$11:$G$1054,3,FALSE)</f>
        <v>1</v>
      </c>
      <c r="AX19" s="362">
        <v>10</v>
      </c>
      <c r="AY19" s="23">
        <f>SUM(AY3:AY4)*(AE22)</f>
        <v>0</v>
      </c>
      <c r="AZ19" s="326">
        <f t="shared" si="4"/>
        <v>0</v>
      </c>
      <c r="BA19" s="95">
        <f>VLOOKUP(AU19,CENY!$B$11:$M$2025,12,FALSE)</f>
        <v>44.76003</v>
      </c>
      <c r="BB19" s="95">
        <f t="shared" si="5"/>
        <v>0</v>
      </c>
      <c r="BD19" s="319">
        <f>OBJ!B64</f>
        <v>9255022</v>
      </c>
      <c r="BE19" s="21" t="str">
        <f>VLOOKUP(BD19,CENY!$B$11:$G$1054,2,FALSE)</f>
        <v>AvanY-bok ľavý /v101/h600/ strieborná</v>
      </c>
      <c r="BF19" s="22">
        <f>VLOOKUP(BD19,CENY!$B$11:$G$1054,3,FALSE)</f>
        <v>20</v>
      </c>
      <c r="BG19" s="22"/>
      <c r="BH19" s="68"/>
      <c r="BI19" s="326" t="str">
        <f t="shared" si="2"/>
        <v/>
      </c>
      <c r="BJ19" s="95">
        <f>VLOOKUP(BD19,CENY!$B$11:$M$2025,12,FALSE)</f>
        <v>11.33343</v>
      </c>
      <c r="BK19" s="95">
        <f t="shared" si="3"/>
        <v>0</v>
      </c>
    </row>
    <row r="20" spans="2:63" ht="14.45" customHeight="1" thickBot="1">
      <c r="B20" s="523" t="s">
        <v>290</v>
      </c>
      <c r="C20" s="523"/>
      <c r="D20" s="523"/>
      <c r="E20" s="523"/>
      <c r="F20" s="523"/>
      <c r="G20" s="523"/>
      <c r="H20" s="524" t="str">
        <f>verze!E18</f>
        <v>plnovýsuv</v>
      </c>
      <c r="I20" s="524"/>
      <c r="J20" s="524"/>
      <c r="K20" s="524"/>
      <c r="L20" s="524"/>
      <c r="M20" s="525" t="s">
        <v>287</v>
      </c>
      <c r="N20" s="548"/>
      <c r="O20" s="520"/>
      <c r="P20" s="521"/>
      <c r="Q20" s="520"/>
      <c r="R20" s="521"/>
      <c r="S20" s="520"/>
      <c r="T20" s="521"/>
      <c r="U20" s="520"/>
      <c r="V20" s="521"/>
      <c r="W20" s="518"/>
      <c r="X20" s="519"/>
      <c r="Y20" s="518"/>
      <c r="Z20" s="519"/>
      <c r="AA20" s="518"/>
      <c r="AB20" s="519"/>
      <c r="AC20" s="567"/>
      <c r="AD20" s="568"/>
      <c r="AE20" s="520"/>
      <c r="AF20" s="521"/>
      <c r="AU20" s="319"/>
      <c r="AV20" s="21"/>
      <c r="AW20" s="22"/>
      <c r="AX20" s="22"/>
      <c r="AY20" s="23"/>
      <c r="AZ20" s="326" t="str">
        <f t="shared" si="1"/>
        <v/>
      </c>
      <c r="BA20" s="95"/>
      <c r="BB20" s="95" t="str">
        <f t="shared" si="0"/>
        <v/>
      </c>
      <c r="BD20" s="319">
        <f>OBJ!B65</f>
        <v>9255023</v>
      </c>
      <c r="BE20" s="21" t="str">
        <f>VLOOKUP(BD20,CENY!$B$11:$G$1054,2,FALSE)</f>
        <v>AvanY-bok pravý /v101/h600/ strieborná</v>
      </c>
      <c r="BF20" s="22">
        <f>VLOOKUP(BD20,CENY!$B$11:$G$1054,3,FALSE)</f>
        <v>20</v>
      </c>
      <c r="BG20" s="22"/>
      <c r="BH20" s="68"/>
      <c r="BI20" s="326" t="str">
        <f t="shared" si="2"/>
        <v/>
      </c>
      <c r="BJ20" s="95">
        <f>VLOOKUP(BD20,CENY!$B$11:$M$2025,12,FALSE)</f>
        <v>11.33343</v>
      </c>
      <c r="BK20" s="95">
        <f t="shared" si="3"/>
        <v>0</v>
      </c>
    </row>
    <row r="21" spans="2:63" ht="14.45" customHeight="1" thickBot="1">
      <c r="O21" s="283"/>
      <c r="P21" s="284"/>
      <c r="Q21" s="283"/>
      <c r="R21" s="284"/>
      <c r="S21" s="283"/>
      <c r="T21" s="284"/>
      <c r="U21" s="283"/>
      <c r="V21" s="284"/>
      <c r="W21" s="283"/>
      <c r="X21" s="284"/>
      <c r="Y21" s="283"/>
      <c r="Z21" s="284"/>
      <c r="AA21" s="283"/>
      <c r="AB21" s="284"/>
      <c r="AC21" s="283"/>
      <c r="AD21" s="284"/>
      <c r="AE21" s="283"/>
      <c r="AF21" s="284"/>
      <c r="AU21" s="319">
        <f>OBJ!B71</f>
        <v>9347502</v>
      </c>
      <c r="AV21" s="21" t="str">
        <f>VLOOKUP(AU21,CENY!$B$11:$G$1054,2,FALSE)</f>
        <v>AvanY-design ALprofil Hybrid na bok 270/ strieb.</v>
      </c>
      <c r="AW21" s="22">
        <f>VLOOKUP(AU21,CENY!$B$11:$G$1054,3,FALSE)</f>
        <v>200</v>
      </c>
      <c r="AX21" s="22"/>
      <c r="AY21" s="68"/>
      <c r="AZ21" s="326" t="str">
        <f t="shared" si="1"/>
        <v/>
      </c>
      <c r="BA21" s="95">
        <f>VLOOKUP(AU21,CENY!$B$11:$M$2025,12,FALSE)</f>
        <v>0.95189000000000001</v>
      </c>
      <c r="BB21" s="95">
        <f t="shared" si="0"/>
        <v>0</v>
      </c>
      <c r="BD21" s="319">
        <f>OBJ!B66</f>
        <v>9255024</v>
      </c>
      <c r="BE21" s="21" t="str">
        <f>VLOOKUP(BD21,CENY!$B$11:$G$1054,2,FALSE)</f>
        <v>AvanY-bok ľavý /v101/h650/ strieborná</v>
      </c>
      <c r="BF21" s="22">
        <f>VLOOKUP(BD21,CENY!$B$11:$G$1054,3,FALSE)</f>
        <v>20</v>
      </c>
      <c r="BG21" s="22"/>
      <c r="BH21" s="68"/>
      <c r="BI21" s="326" t="str">
        <f t="shared" si="2"/>
        <v/>
      </c>
      <c r="BJ21" s="95">
        <f>VLOOKUP(BD21,CENY!$B$11:$M$2025,12,FALSE)</f>
        <v>11.715400000000001</v>
      </c>
      <c r="BK21" s="95">
        <f t="shared" si="3"/>
        <v>0</v>
      </c>
    </row>
    <row r="22" spans="2:63" ht="14.45" customHeight="1" thickBot="1">
      <c r="B22" s="546" t="s">
        <v>291</v>
      </c>
      <c r="C22" s="546"/>
      <c r="D22" s="546"/>
      <c r="E22" s="546"/>
      <c r="F22" s="546"/>
      <c r="G22" s="546"/>
      <c r="H22" s="547" t="str">
        <f>verze!E18</f>
        <v>plnovýsuv</v>
      </c>
      <c r="I22" s="547"/>
      <c r="J22" s="547"/>
      <c r="K22" s="547"/>
      <c r="L22" s="547"/>
      <c r="M22" s="525" t="s">
        <v>288</v>
      </c>
      <c r="N22" s="526"/>
      <c r="O22" s="520"/>
      <c r="P22" s="521"/>
      <c r="Q22" s="520"/>
      <c r="R22" s="521"/>
      <c r="S22" s="520"/>
      <c r="T22" s="521"/>
      <c r="U22" s="520"/>
      <c r="V22" s="521"/>
      <c r="W22" s="518"/>
      <c r="X22" s="519"/>
      <c r="Y22" s="518"/>
      <c r="Z22" s="519"/>
      <c r="AA22" s="518"/>
      <c r="AB22" s="519"/>
      <c r="AC22" s="518"/>
      <c r="AD22" s="519"/>
      <c r="AE22" s="567"/>
      <c r="AF22" s="568"/>
      <c r="AU22" s="319">
        <f>OBJ!B72</f>
        <v>9347503</v>
      </c>
      <c r="AV22" s="21" t="str">
        <f>VLOOKUP(AU22,CENY!$B$11:$G$1054,2,FALSE)</f>
        <v>AvanY-design ALprofil Hybrid na bok 300/ strieb.</v>
      </c>
      <c r="AW22" s="22">
        <f>VLOOKUP(AU22,CENY!$B$11:$G$1054,3,FALSE)</f>
        <v>200</v>
      </c>
      <c r="AX22" s="22"/>
      <c r="AY22" s="68"/>
      <c r="AZ22" s="326" t="str">
        <f t="shared" si="1"/>
        <v/>
      </c>
      <c r="BA22" s="95">
        <f>VLOOKUP(AU22,CENY!$B$11:$M$2025,12,FALSE)</f>
        <v>0.96240999999999999</v>
      </c>
      <c r="BB22" s="95">
        <f t="shared" si="0"/>
        <v>0</v>
      </c>
      <c r="BD22" s="319">
        <f>OBJ!B67</f>
        <v>9255025</v>
      </c>
      <c r="BE22" s="21" t="str">
        <f>VLOOKUP(BD22,CENY!$B$11:$G$1054,2,FALSE)</f>
        <v>AvanY-bok pravý /v101/h650/ strieborná</v>
      </c>
      <c r="BF22" s="22">
        <f>VLOOKUP(BD22,CENY!$B$11:$G$1054,3,FALSE)</f>
        <v>20</v>
      </c>
      <c r="BG22" s="22"/>
      <c r="BH22" s="68"/>
      <c r="BI22" s="326" t="str">
        <f t="shared" si="2"/>
        <v/>
      </c>
      <c r="BJ22" s="95">
        <f>VLOOKUP(BD22,CENY!$B$11:$M$2025,12,FALSE)</f>
        <v>11.715400000000001</v>
      </c>
      <c r="BK22" s="95">
        <f t="shared" si="3"/>
        <v>0</v>
      </c>
    </row>
    <row r="23" spans="2:63" ht="14.45" customHeight="1" thickBot="1">
      <c r="O23" s="4"/>
      <c r="P23" s="4"/>
      <c r="AU23" s="319">
        <f>OBJ!B73</f>
        <v>9347504</v>
      </c>
      <c r="AV23" s="21" t="str">
        <f>VLOOKUP(AU23,CENY!$B$11:$G$1054,2,FALSE)</f>
        <v>AvanY-design ALprofil Hybrid na bok 350/ strieb.</v>
      </c>
      <c r="AW23" s="22">
        <f>VLOOKUP(AU23,CENY!$B$11:$G$1054,3,FALSE)</f>
        <v>200</v>
      </c>
      <c r="AX23" s="22"/>
      <c r="AY23" s="68"/>
      <c r="AZ23" s="326" t="str">
        <f t="shared" si="1"/>
        <v/>
      </c>
      <c r="BA23" s="95">
        <f>VLOOKUP(AU23,CENY!$B$11:$M$2025,12,FALSE)</f>
        <v>0.98018000000000005</v>
      </c>
      <c r="BB23" s="95">
        <f t="shared" si="0"/>
        <v>0</v>
      </c>
      <c r="BD23" s="319"/>
      <c r="BE23" s="21"/>
      <c r="BF23" s="22"/>
      <c r="BG23" s="22"/>
      <c r="BH23" s="23"/>
      <c r="BI23" s="326" t="str">
        <f t="shared" si="2"/>
        <v/>
      </c>
      <c r="BJ23" s="95"/>
      <c r="BK23" s="95"/>
    </row>
    <row r="24" spans="2:63" ht="14.45" customHeight="1" thickBot="1">
      <c r="AP24" s="233" t="s">
        <v>258</v>
      </c>
      <c r="AQ24" s="616">
        <v>3</v>
      </c>
      <c r="AR24" s="617"/>
      <c r="AU24" s="319">
        <f>OBJ!B74</f>
        <v>9347505</v>
      </c>
      <c r="AV24" s="21" t="str">
        <f>VLOOKUP(AU24,CENY!$B$11:$G$1054,2,FALSE)</f>
        <v>AvanY-design ALprofil Hybrid na bok 400/ strieb.</v>
      </c>
      <c r="AW24" s="22">
        <f>VLOOKUP(AU24,CENY!$B$11:$G$1054,3,FALSE)</f>
        <v>200</v>
      </c>
      <c r="AX24" s="22"/>
      <c r="AY24" s="68"/>
      <c r="AZ24" s="326" t="str">
        <f t="shared" si="1"/>
        <v/>
      </c>
      <c r="BA24" s="95">
        <f>VLOOKUP(AU24,CENY!$B$11:$M$2025,12,FALSE)</f>
        <v>0.99777000000000005</v>
      </c>
      <c r="BB24" s="95">
        <f t="shared" si="0"/>
        <v>0</v>
      </c>
      <c r="BD24" s="319">
        <f>OBJ!B180</f>
        <v>9257135</v>
      </c>
      <c r="BE24" s="21" t="str">
        <f>VLOOKUP(BD24,CENY!$B$11:$G$1054,2,FALSE)</f>
        <v>AvanY-bok Inlay ľavý /v187/h450/ strieb.</v>
      </c>
      <c r="BF24" s="22">
        <f>VLOOKUP(BD24,CENY!$B$11:$G$1054,3,FALSE)</f>
        <v>10</v>
      </c>
      <c r="BG24" s="22"/>
      <c r="BH24" s="23">
        <f>AY15</f>
        <v>0</v>
      </c>
      <c r="BI24" s="326">
        <f t="shared" si="2"/>
        <v>0</v>
      </c>
      <c r="BJ24" s="95">
        <f>VLOOKUP(BD24,CENY!$B$11:$M$2025,12,FALSE)</f>
        <v>18.945989999999998</v>
      </c>
      <c r="BK24" s="95">
        <f t="shared" ref="BK24:BK33" si="6">IF(BJ24="","",BJ24*BH24)</f>
        <v>0</v>
      </c>
    </row>
    <row r="25" spans="2:63" ht="14.45" customHeight="1" thickBot="1">
      <c r="B25" s="2" t="s">
        <v>285</v>
      </c>
      <c r="AU25" s="319">
        <f>OBJ!B75</f>
        <v>9347506</v>
      </c>
      <c r="AV25" s="21" t="str">
        <f>VLOOKUP(AU25,CENY!$B$11:$G$1054,2,FALSE)</f>
        <v>AvanY-design ALprofil Hybrid na bok 450/ strieb.</v>
      </c>
      <c r="AW25" s="22">
        <f>VLOOKUP(AU25,CENY!$B$11:$G$1054,3,FALSE)</f>
        <v>200</v>
      </c>
      <c r="AX25" s="22"/>
      <c r="AY25" s="68"/>
      <c r="AZ25" s="326" t="str">
        <f t="shared" si="1"/>
        <v/>
      </c>
      <c r="BA25" s="95">
        <f>VLOOKUP(AU25,CENY!$B$11:$M$2025,12,FALSE)</f>
        <v>1.01556</v>
      </c>
      <c r="BB25" s="95">
        <f t="shared" si="0"/>
        <v>0</v>
      </c>
      <c r="BD25" s="319">
        <f>OBJ!B181</f>
        <v>9257136</v>
      </c>
      <c r="BE25" s="21" t="str">
        <f>VLOOKUP(BD25,CENY!$B$11:$G$1054,2,FALSE)</f>
        <v>AvanY-bok Inlay pravý /v187/h450/ strieb.</v>
      </c>
      <c r="BF25" s="22">
        <f>VLOOKUP(BD25,CENY!$B$11:$G$1054,3,FALSE)</f>
        <v>10</v>
      </c>
      <c r="BG25" s="22"/>
      <c r="BH25" s="23">
        <f>AY15</f>
        <v>0</v>
      </c>
      <c r="BI25" s="326">
        <f t="shared" si="2"/>
        <v>0</v>
      </c>
      <c r="BJ25" s="95">
        <f>VLOOKUP(BD25,CENY!$B$11:$M$2025,12,FALSE)</f>
        <v>18.945989999999998</v>
      </c>
      <c r="BK25" s="95">
        <f t="shared" si="6"/>
        <v>0</v>
      </c>
    </row>
    <row r="26" spans="2:63" ht="14.45" customHeight="1" thickBot="1">
      <c r="B26" s="96"/>
      <c r="C26" s="96"/>
      <c r="D26" s="96"/>
      <c r="E26" s="96"/>
      <c r="F26" s="96"/>
      <c r="G26" s="96"/>
      <c r="H26" s="72"/>
      <c r="I26" s="72"/>
      <c r="J26" s="72"/>
      <c r="K26" s="72"/>
      <c r="L26" s="72"/>
      <c r="M26" s="72"/>
      <c r="N26" s="72" t="str">
        <f>verze!$E$20&amp;" "</f>
        <v xml:space="preserve">Menovitá dĺžka: </v>
      </c>
      <c r="O26" s="537">
        <v>270</v>
      </c>
      <c r="P26" s="538"/>
      <c r="Q26" s="537">
        <v>300</v>
      </c>
      <c r="R26" s="538"/>
      <c r="S26" s="537">
        <v>350</v>
      </c>
      <c r="T26" s="538"/>
      <c r="U26" s="537">
        <v>400</v>
      </c>
      <c r="V26" s="538"/>
      <c r="W26" s="537">
        <v>450</v>
      </c>
      <c r="X26" s="538"/>
      <c r="Y26" s="539">
        <v>500</v>
      </c>
      <c r="Z26" s="540"/>
      <c r="AA26" s="537">
        <v>550</v>
      </c>
      <c r="AB26" s="538"/>
      <c r="AC26" s="537">
        <v>600</v>
      </c>
      <c r="AD26" s="538"/>
      <c r="AU26" s="319">
        <f>OBJ!B76</f>
        <v>9347507</v>
      </c>
      <c r="AV26" s="21" t="str">
        <f>VLOOKUP(AU26,CENY!$B$11:$G$1054,2,FALSE)</f>
        <v>AvanY-design ALprofil Hybrid na bok 500/ strieb.</v>
      </c>
      <c r="AW26" s="22">
        <f>VLOOKUP(AU26,CENY!$B$11:$G$1054,3,FALSE)</f>
        <v>200</v>
      </c>
      <c r="AX26" s="22"/>
      <c r="AY26" s="68"/>
      <c r="AZ26" s="326" t="str">
        <f t="shared" si="1"/>
        <v/>
      </c>
      <c r="BA26" s="95">
        <f>VLOOKUP(AU26,CENY!$B$11:$M$2025,12,FALSE)</f>
        <v>1.0332399999999999</v>
      </c>
      <c r="BB26" s="95">
        <f t="shared" si="0"/>
        <v>0</v>
      </c>
      <c r="BD26" s="319">
        <f>OBJ!B182</f>
        <v>9257137</v>
      </c>
      <c r="BE26" s="21" t="str">
        <f>VLOOKUP(BD26,CENY!$B$11:$G$1054,2,FALSE)</f>
        <v>AvanY-bok Inlay ľavý /v187/h500/ strieb.</v>
      </c>
      <c r="BF26" s="22">
        <f>VLOOKUP(BD26,CENY!$B$11:$G$1054,3,FALSE)</f>
        <v>10</v>
      </c>
      <c r="BG26" s="22"/>
      <c r="BH26" s="23">
        <f>AY16</f>
        <v>0</v>
      </c>
      <c r="BI26" s="326">
        <f t="shared" si="2"/>
        <v>0</v>
      </c>
      <c r="BJ26" s="95">
        <f>VLOOKUP(BD26,CENY!$B$11:$M$2025,12,FALSE)</f>
        <v>18.358360000000001</v>
      </c>
      <c r="BK26" s="95">
        <f t="shared" si="6"/>
        <v>0</v>
      </c>
    </row>
    <row r="27" spans="2:63" ht="14.45" customHeight="1" thickBot="1">
      <c r="B27" s="532" t="s">
        <v>292</v>
      </c>
      <c r="C27" s="532"/>
      <c r="D27" s="532"/>
      <c r="E27" s="532"/>
      <c r="F27" s="532"/>
      <c r="G27" s="532"/>
      <c r="H27" s="533" t="str">
        <f>verze!E18</f>
        <v>plnovýsuv</v>
      </c>
      <c r="I27" s="533"/>
      <c r="J27" s="533"/>
      <c r="K27" s="533"/>
      <c r="L27" s="533"/>
      <c r="M27" s="534" t="s">
        <v>286</v>
      </c>
      <c r="N27" s="535"/>
      <c r="O27" s="571"/>
      <c r="P27" s="614"/>
      <c r="Q27" s="615"/>
      <c r="R27" s="614"/>
      <c r="S27" s="615"/>
      <c r="T27" s="572"/>
      <c r="U27" s="283"/>
      <c r="V27" s="284"/>
      <c r="W27" s="283"/>
      <c r="X27" s="284"/>
      <c r="Y27" s="283"/>
      <c r="Z27" s="284"/>
      <c r="AA27" s="283"/>
      <c r="AB27" s="284"/>
      <c r="AC27" s="283"/>
      <c r="AD27" s="284"/>
      <c r="AU27" s="319">
        <f>OBJ!B77</f>
        <v>9347508</v>
      </c>
      <c r="AV27" s="21" t="str">
        <f>VLOOKUP(AU27,CENY!$B$11:$G$1054,2,FALSE)</f>
        <v>AvanY-design ALprofil Hybrid na bok 550/ strieb.</v>
      </c>
      <c r="AW27" s="22">
        <f>VLOOKUP(AU27,CENY!$B$11:$G$1054,3,FALSE)</f>
        <v>200</v>
      </c>
      <c r="AX27" s="22"/>
      <c r="AY27" s="68"/>
      <c r="AZ27" s="326" t="str">
        <f t="shared" si="1"/>
        <v/>
      </c>
      <c r="BA27" s="95">
        <f>VLOOKUP(AU27,CENY!$B$11:$M$2025,12,FALSE)</f>
        <v>1.0508599999999999</v>
      </c>
      <c r="BB27" s="95">
        <f t="shared" si="0"/>
        <v>0</v>
      </c>
      <c r="BD27" s="319">
        <f>OBJ!B183</f>
        <v>9257138</v>
      </c>
      <c r="BE27" s="21" t="str">
        <f>VLOOKUP(BD27,CENY!$B$11:$G$1054,2,FALSE)</f>
        <v>AvanY-bok Inlay pravý /v187/h500/ strieb.</v>
      </c>
      <c r="BF27" s="22">
        <f>VLOOKUP(BD27,CENY!$B$11:$G$1054,3,FALSE)</f>
        <v>10</v>
      </c>
      <c r="BG27" s="22"/>
      <c r="BH27" s="23">
        <f>AY16</f>
        <v>0</v>
      </c>
      <c r="BI27" s="326">
        <f t="shared" si="2"/>
        <v>0</v>
      </c>
      <c r="BJ27" s="95">
        <f>VLOOKUP(BD27,CENY!$B$11:$M$2025,12,FALSE)</f>
        <v>18.358360000000001</v>
      </c>
      <c r="BK27" s="95">
        <f t="shared" si="6"/>
        <v>0</v>
      </c>
    </row>
    <row r="28" spans="2:63" ht="14.45" customHeight="1" thickBot="1">
      <c r="B28" s="523" t="s">
        <v>372</v>
      </c>
      <c r="C28" s="523"/>
      <c r="D28" s="523"/>
      <c r="E28" s="523"/>
      <c r="F28" s="523"/>
      <c r="G28" s="523"/>
      <c r="H28" s="524" t="str">
        <f>verze!E18</f>
        <v>plnovýsuv</v>
      </c>
      <c r="I28" s="524"/>
      <c r="J28" s="524"/>
      <c r="K28" s="524"/>
      <c r="L28" s="524"/>
      <c r="M28" s="525" t="s">
        <v>1</v>
      </c>
      <c r="N28" s="526"/>
      <c r="O28" s="520"/>
      <c r="P28" s="521"/>
      <c r="Q28" s="520"/>
      <c r="R28" s="521"/>
      <c r="S28" s="520"/>
      <c r="T28" s="521"/>
      <c r="U28" s="520"/>
      <c r="V28" s="521"/>
      <c r="W28" s="518"/>
      <c r="X28" s="519"/>
      <c r="Y28" s="518"/>
      <c r="Z28" s="519"/>
      <c r="AA28" s="518"/>
      <c r="AB28" s="519"/>
      <c r="AC28" s="518"/>
      <c r="AD28" s="519"/>
      <c r="AU28" s="319">
        <f>OBJ!B78</f>
        <v>9347509</v>
      </c>
      <c r="AV28" s="21" t="str">
        <f>VLOOKUP(AU28,CENY!$B$11:$G$1054,2,FALSE)</f>
        <v>AvanY-design ALprofil Hybrid na bok 600/ strieb.</v>
      </c>
      <c r="AW28" s="22">
        <f>VLOOKUP(AU28,CENY!$B$11:$G$1054,3,FALSE)</f>
        <v>200</v>
      </c>
      <c r="AX28" s="22"/>
      <c r="AY28" s="68"/>
      <c r="AZ28" s="326" t="str">
        <f t="shared" si="1"/>
        <v/>
      </c>
      <c r="BA28" s="95">
        <f>VLOOKUP(AU28,CENY!$B$11:$M$2025,12,FALSE)</f>
        <v>1.09639</v>
      </c>
      <c r="BB28" s="95">
        <f t="shared" si="0"/>
        <v>0</v>
      </c>
      <c r="BD28" s="319">
        <f>OBJ!B184</f>
        <v>9257139</v>
      </c>
      <c r="BE28" s="21" t="str">
        <f>VLOOKUP(BD28,CENY!$B$11:$G$1054,2,FALSE)</f>
        <v>AvanY-bok Inlay ľavý /v187/h550/ strieb.</v>
      </c>
      <c r="BF28" s="22">
        <f>VLOOKUP(BD28,CENY!$B$11:$G$1054,3,FALSE)</f>
        <v>10</v>
      </c>
      <c r="BG28" s="22"/>
      <c r="BH28" s="23">
        <f>AY17</f>
        <v>0</v>
      </c>
      <c r="BI28" s="326">
        <f t="shared" si="2"/>
        <v>0</v>
      </c>
      <c r="BJ28" s="95">
        <f>VLOOKUP(BD28,CENY!$B$11:$M$2025,12,FALSE)</f>
        <v>19.60652</v>
      </c>
      <c r="BK28" s="95">
        <f t="shared" si="6"/>
        <v>0</v>
      </c>
    </row>
    <row r="29" spans="2:63" ht="14.45" customHeight="1">
      <c r="AU29" s="319">
        <f>OBJ!B79</f>
        <v>9347510</v>
      </c>
      <c r="AV29" s="21" t="str">
        <f>VLOOKUP(AU29,CENY!$B$11:$G$1054,2,FALSE)</f>
        <v>AvanY-design ALprofil Hybrid na bok 650/ strieb.</v>
      </c>
      <c r="AW29" s="22">
        <f>VLOOKUP(AU29,CENY!$B$11:$G$1054,3,FALSE)</f>
        <v>200</v>
      </c>
      <c r="AX29" s="22"/>
      <c r="AY29" s="68"/>
      <c r="AZ29" s="326" t="str">
        <f t="shared" si="1"/>
        <v/>
      </c>
      <c r="BA29" s="95">
        <f>VLOOKUP(AU29,CENY!$B$11:$M$2025,12,FALSE)</f>
        <v>1.1824300000000001</v>
      </c>
      <c r="BB29" s="95">
        <f t="shared" si="0"/>
        <v>0</v>
      </c>
      <c r="BD29" s="319">
        <f>OBJ!B185</f>
        <v>9257140</v>
      </c>
      <c r="BE29" s="21" t="str">
        <f>VLOOKUP(BD29,CENY!$B$11:$G$1054,2,FALSE)</f>
        <v>AvanY-bok Inlay pravý /v187/h550/ strieb.</v>
      </c>
      <c r="BF29" s="22">
        <f>VLOOKUP(BD29,CENY!$B$11:$G$1054,3,FALSE)</f>
        <v>10</v>
      </c>
      <c r="BG29" s="22"/>
      <c r="BH29" s="23">
        <f>AY17</f>
        <v>0</v>
      </c>
      <c r="BI29" s="326">
        <f t="shared" si="2"/>
        <v>0</v>
      </c>
      <c r="BJ29" s="95">
        <f>VLOOKUP(BD29,CENY!$B$11:$M$2025,12,FALSE)</f>
        <v>19.60652</v>
      </c>
      <c r="BK29" s="95">
        <f t="shared" si="6"/>
        <v>0</v>
      </c>
    </row>
    <row r="30" spans="2:63" ht="14.45" customHeight="1">
      <c r="B30" s="366" t="str">
        <f>verze!E201</f>
        <v>SiSy = tlmenie Silent System</v>
      </c>
      <c r="AU30" s="319"/>
      <c r="AV30" s="21"/>
      <c r="AW30" s="22"/>
      <c r="AX30" s="22"/>
      <c r="AY30" s="23"/>
      <c r="AZ30" s="326" t="str">
        <f t="shared" si="1"/>
        <v/>
      </c>
      <c r="BA30" s="95"/>
      <c r="BB30" s="95" t="str">
        <f t="shared" si="0"/>
        <v/>
      </c>
      <c r="BD30" s="319">
        <f>OBJ!B186</f>
        <v>9257141</v>
      </c>
      <c r="BE30" s="21" t="str">
        <f>VLOOKUP(BD30,CENY!$B$11:$G$1054,2,FALSE)</f>
        <v>AvanY-bok Inlay ľavý /v187/h600/ strieb.</v>
      </c>
      <c r="BF30" s="22">
        <f>VLOOKUP(BD30,CENY!$B$11:$G$1054,3,FALSE)</f>
        <v>10</v>
      </c>
      <c r="BG30" s="22"/>
      <c r="BH30" s="23">
        <f>AY18</f>
        <v>0</v>
      </c>
      <c r="BI30" s="326">
        <f t="shared" si="2"/>
        <v>0</v>
      </c>
      <c r="BJ30" s="95">
        <f>VLOOKUP(BD30,CENY!$B$11:$M$2025,12,FALSE)</f>
        <v>20.105229999999999</v>
      </c>
      <c r="BK30" s="95">
        <f t="shared" si="6"/>
        <v>0</v>
      </c>
    </row>
    <row r="31" spans="2:63" ht="14.45" customHeight="1">
      <c r="AU31" s="319">
        <f>OBJ!B233</f>
        <v>9318154</v>
      </c>
      <c r="AV31" s="21" t="str">
        <f>VLOOKUP(AU31,CENY!$B$11:$G$1054,2,FALSE)</f>
        <v>Actro You(S) 270/SiSy 10kg; EB21</v>
      </c>
      <c r="AW31" s="22">
        <f>VLOOKUP(AU31,CENY!$B$11:$G$1054,3,FALSE)</f>
        <v>1</v>
      </c>
      <c r="AX31" s="362">
        <v>4</v>
      </c>
      <c r="AY31" s="68"/>
      <c r="AZ31" s="326" t="str">
        <f t="shared" si="1"/>
        <v/>
      </c>
      <c r="BA31" s="95">
        <f>VLOOKUP(AU31,CENY!$B$11:$M$2025,12,FALSE)</f>
        <v>31.62575</v>
      </c>
      <c r="BB31" s="95">
        <f t="shared" si="0"/>
        <v>0</v>
      </c>
      <c r="BD31" s="319">
        <f>OBJ!B187</f>
        <v>9257142</v>
      </c>
      <c r="BE31" s="21" t="str">
        <f>VLOOKUP(BD31,CENY!$B$11:$G$1054,2,FALSE)</f>
        <v>AvanY-bok Inlay pravý /v187/h600/ strieb.</v>
      </c>
      <c r="BF31" s="22">
        <f>VLOOKUP(BD31,CENY!$B$11:$G$1054,3,FALSE)</f>
        <v>10</v>
      </c>
      <c r="BG31" s="22"/>
      <c r="BH31" s="23">
        <f>AY18</f>
        <v>0</v>
      </c>
      <c r="BI31" s="326">
        <f t="shared" si="2"/>
        <v>0</v>
      </c>
      <c r="BJ31" s="95">
        <f>VLOOKUP(BD31,CENY!$B$11:$M$2025,12,FALSE)</f>
        <v>20.105229999999999</v>
      </c>
      <c r="BK31" s="95">
        <f t="shared" si="6"/>
        <v>0</v>
      </c>
    </row>
    <row r="32" spans="2:63" ht="14.45" customHeight="1">
      <c r="AU32" s="319">
        <f>OBJ!B234</f>
        <v>9318156</v>
      </c>
      <c r="AV32" s="21" t="str">
        <f>VLOOKUP(AU32,CENY!$B$11:$G$1054,2,FALSE)</f>
        <v>Actro You(S) 300/SiSy 10kg; EB21</v>
      </c>
      <c r="AW32" s="22">
        <f>VLOOKUP(AU32,CENY!$B$11:$G$1054,3,FALSE)</f>
        <v>1</v>
      </c>
      <c r="AX32" s="362">
        <v>4</v>
      </c>
      <c r="AY32" s="68"/>
      <c r="AZ32" s="326" t="str">
        <f t="shared" si="1"/>
        <v/>
      </c>
      <c r="BA32" s="95">
        <f>VLOOKUP(AU32,CENY!$B$11:$M$2025,12,FALSE)</f>
        <v>31.62575</v>
      </c>
      <c r="BB32" s="95">
        <f t="shared" si="0"/>
        <v>0</v>
      </c>
      <c r="BD32" s="319">
        <f>OBJ!B188</f>
        <v>9257143</v>
      </c>
      <c r="BE32" s="21" t="str">
        <f>VLOOKUP(BD32,CENY!$B$11:$G$1054,2,FALSE)</f>
        <v>AvanY-bok Inlay ľavý /v187/h650/ strieb.</v>
      </c>
      <c r="BF32" s="22">
        <f>VLOOKUP(BD32,CENY!$B$11:$G$1054,3,FALSE)</f>
        <v>10</v>
      </c>
      <c r="BG32" s="22"/>
      <c r="BH32" s="23">
        <f>AY19</f>
        <v>0</v>
      </c>
      <c r="BI32" s="326">
        <f t="shared" si="2"/>
        <v>0</v>
      </c>
      <c r="BJ32" s="95">
        <f>VLOOKUP(BD32,CENY!$B$11:$M$2025,12,FALSE)</f>
        <v>20.782730000000001</v>
      </c>
      <c r="BK32" s="95">
        <f t="shared" si="6"/>
        <v>0</v>
      </c>
    </row>
    <row r="33" spans="47:63" ht="14.45" customHeight="1">
      <c r="AU33" s="319">
        <f>OBJ!B235</f>
        <v>9318160</v>
      </c>
      <c r="AV33" s="21" t="str">
        <f>VLOOKUP(AU33,CENY!$B$11:$G$1054,2,FALSE)</f>
        <v>Actro You(S) 350/SiSy 10kg; EB21</v>
      </c>
      <c r="AW33" s="22">
        <f>VLOOKUP(AU33,CENY!$B$11:$G$1054,3,FALSE)</f>
        <v>1</v>
      </c>
      <c r="AX33" s="362">
        <v>4</v>
      </c>
      <c r="AY33" s="68"/>
      <c r="AZ33" s="326" t="str">
        <f t="shared" si="1"/>
        <v/>
      </c>
      <c r="BA33" s="95">
        <f>VLOOKUP(AU33,CENY!$B$11:$M$2025,12,FALSE)</f>
        <v>31.62575</v>
      </c>
      <c r="BB33" s="95">
        <f t="shared" si="0"/>
        <v>0</v>
      </c>
      <c r="BD33" s="319">
        <f>OBJ!B189</f>
        <v>9257144</v>
      </c>
      <c r="BE33" s="21" t="str">
        <f>VLOOKUP(BD33,CENY!$B$11:$G$1054,2,FALSE)</f>
        <v>AvanY-bok Inlay pravý /v187/h650/ strieb.</v>
      </c>
      <c r="BF33" s="22">
        <f>VLOOKUP(BD33,CENY!$B$11:$G$1054,3,FALSE)</f>
        <v>10</v>
      </c>
      <c r="BG33" s="22"/>
      <c r="BH33" s="23">
        <f>AY19</f>
        <v>0</v>
      </c>
      <c r="BI33" s="326">
        <f t="shared" si="2"/>
        <v>0</v>
      </c>
      <c r="BJ33" s="95">
        <f>VLOOKUP(BD33,CENY!$B$11:$M$2025,12,FALSE)</f>
        <v>20.782730000000001</v>
      </c>
      <c r="BK33" s="95">
        <f t="shared" si="6"/>
        <v>0</v>
      </c>
    </row>
    <row r="34" spans="47:63" ht="14.45" customHeight="1">
      <c r="AU34" s="20"/>
      <c r="AV34" s="21"/>
      <c r="AW34" s="22"/>
      <c r="AX34" s="22"/>
      <c r="AY34" s="23"/>
      <c r="AZ34" s="326" t="str">
        <f t="shared" si="1"/>
        <v/>
      </c>
      <c r="BA34" s="95"/>
      <c r="BB34" s="95" t="str">
        <f t="shared" si="0"/>
        <v/>
      </c>
      <c r="BD34" s="319"/>
      <c r="BE34" s="21"/>
      <c r="BF34" s="22"/>
      <c r="BG34" s="22"/>
      <c r="BH34" s="23"/>
      <c r="BI34" s="326" t="str">
        <f t="shared" si="2"/>
        <v/>
      </c>
      <c r="BJ34" s="95"/>
      <c r="BK34" s="95" t="str">
        <f t="shared" si="3"/>
        <v/>
      </c>
    </row>
    <row r="35" spans="47:63" ht="14.45" customHeight="1">
      <c r="AU35" s="319">
        <f>OBJ!B243</f>
        <v>9318186</v>
      </c>
      <c r="AV35" s="21" t="str">
        <f>VLOOKUP(AU35,CENY!$B$11:$G$1054,2,FALSE)</f>
        <v>Actro You(L) 270/SiSy 40kg; EB21</v>
      </c>
      <c r="AW35" s="22">
        <f>VLOOKUP(AU35,CENY!$B$11:$G$1054,3,FALSE)</f>
        <v>1</v>
      </c>
      <c r="AX35" s="362">
        <v>8</v>
      </c>
      <c r="AY35" s="68"/>
      <c r="AZ35" s="326" t="str">
        <f t="shared" si="1"/>
        <v/>
      </c>
      <c r="BA35" s="95">
        <f>VLOOKUP(AU35,CENY!$B$11:$M$2025,12,FALSE)</f>
        <v>31.62575</v>
      </c>
      <c r="BB35" s="95">
        <f t="shared" si="0"/>
        <v>0</v>
      </c>
      <c r="BD35" s="319">
        <f>OBJ!B69</f>
        <v>9255835</v>
      </c>
      <c r="BE35" s="21" t="str">
        <f>VLOOKUP(BD35,CENY!$B$11:$G$1054,2,FALSE)</f>
        <v>AvanY-príchytka čela k naskrutk./ v101</v>
      </c>
      <c r="BF35" s="22">
        <f>VLOOKUP(BD35,CENY!$B$11:$G$1054,3,FALSE)</f>
        <v>200</v>
      </c>
      <c r="BG35" s="22"/>
      <c r="BH35" s="23">
        <f>2*(AY2)*(SUM(W20:AD20)+SUM(W22:AF22)+SUM(W28:AD28))</f>
        <v>0</v>
      </c>
      <c r="BI35" s="326">
        <f t="shared" si="2"/>
        <v>0</v>
      </c>
      <c r="BJ35" s="95">
        <f>VLOOKUP(BD35,CENY!$B$11:$M$2025,12,FALSE)</f>
        <v>1.1621999999999999</v>
      </c>
      <c r="BK35" s="95">
        <f t="shared" si="3"/>
        <v>0</v>
      </c>
    </row>
    <row r="36" spans="47:63" ht="14.45" customHeight="1">
      <c r="AU36" s="319">
        <f>OBJ!B244</f>
        <v>9318187</v>
      </c>
      <c r="AV36" s="21" t="str">
        <f>VLOOKUP(AU36,CENY!$B$11:$G$1054,2,FALSE)</f>
        <v>Actro You(L) 300/SiSy 40kg; EB21</v>
      </c>
      <c r="AW36" s="22">
        <f>VLOOKUP(AU36,CENY!$B$11:$G$1054,3,FALSE)</f>
        <v>1</v>
      </c>
      <c r="AX36" s="362">
        <v>8</v>
      </c>
      <c r="AY36" s="68"/>
      <c r="AZ36" s="326" t="str">
        <f t="shared" si="1"/>
        <v/>
      </c>
      <c r="BA36" s="95">
        <f>VLOOKUP(AU36,CENY!$B$11:$M$2025,12,FALSE)</f>
        <v>31.62575</v>
      </c>
      <c r="BB36" s="95">
        <f t="shared" si="0"/>
        <v>0</v>
      </c>
      <c r="BD36" s="319">
        <f>OBJ!B191</f>
        <v>9257257</v>
      </c>
      <c r="BE36" s="21" t="str">
        <f>VLOOKUP(BD36,CENY!$B$11:$G$1054,2,FALSE)</f>
        <v>AvanY-prích.čela Inlay k naskrutk./ v187</v>
      </c>
      <c r="BF36" s="22">
        <f>VLOOKUP(BD36,CENY!$B$11:$G$1054,3,FALSE)</f>
        <v>100</v>
      </c>
      <c r="BG36" s="22"/>
      <c r="BH36" s="23">
        <f>2*(AY4)*(SUM(W20:AD20)+SUM(W22:AF22)+SUM(W28:AD28))</f>
        <v>0</v>
      </c>
      <c r="BI36" s="326">
        <f t="shared" si="2"/>
        <v>0</v>
      </c>
      <c r="BJ36" s="95">
        <f>VLOOKUP(BD36,CENY!$B$11:$M$2025,12,FALSE)</f>
        <v>2.4404300000000001</v>
      </c>
      <c r="BK36" s="95">
        <f t="shared" si="3"/>
        <v>0</v>
      </c>
    </row>
    <row r="37" spans="47:63" ht="14.45" customHeight="1">
      <c r="AU37" s="319">
        <f>OBJ!B245</f>
        <v>9318188</v>
      </c>
      <c r="AV37" s="21" t="str">
        <f>VLOOKUP(AU37,CENY!$B$11:$G$1054,2,FALSE)</f>
        <v>Actro You(L) 350/SiSy 40kg; EB21</v>
      </c>
      <c r="AW37" s="22">
        <f>VLOOKUP(AU37,CENY!$B$11:$G$1054,3,FALSE)</f>
        <v>1</v>
      </c>
      <c r="AX37" s="362">
        <v>8</v>
      </c>
      <c r="AY37" s="68"/>
      <c r="AZ37" s="326" t="str">
        <f t="shared" si="1"/>
        <v/>
      </c>
      <c r="BA37" s="95">
        <f>VLOOKUP(AU37,CENY!$B$11:$M$2025,12,FALSE)</f>
        <v>31.62575</v>
      </c>
      <c r="BB37" s="95">
        <f t="shared" si="0"/>
        <v>0</v>
      </c>
      <c r="BD37" s="320">
        <v>9255835</v>
      </c>
      <c r="BE37" s="321" t="str">
        <f>VLOOKUP(BD37,CENY!$B$11:$G$1054,2,FALSE)</f>
        <v>AvanY-príchytka čela k naskrutk./ v101</v>
      </c>
      <c r="BF37" s="22">
        <f>VLOOKUP(BD37,CENY!$B$11:$G$1054,3,FALSE)</f>
        <v>200</v>
      </c>
      <c r="BG37" s="22"/>
      <c r="BH37" s="68">
        <f>2*(AY1)*(SUM(W20:AD20)+SUM(W22:AF22)+SUM(W28:AD28))</f>
        <v>0</v>
      </c>
      <c r="BI37" s="326">
        <f t="shared" si="2"/>
        <v>0</v>
      </c>
      <c r="BJ37" s="95">
        <f>VLOOKUP(BD37,CENY!$B$11:$M$2025,12,FALSE)</f>
        <v>1.1621999999999999</v>
      </c>
      <c r="BK37" s="95">
        <f t="shared" si="3"/>
        <v>0</v>
      </c>
    </row>
    <row r="38" spans="47:63" ht="14.45" customHeight="1">
      <c r="AU38" s="319">
        <f>OBJ!B246</f>
        <v>9318190</v>
      </c>
      <c r="AV38" s="21" t="str">
        <f>VLOOKUP(AU38,CENY!$B$11:$G$1054,2,FALSE)</f>
        <v>Actro You(L) 400/SiSy 40kg; EB21</v>
      </c>
      <c r="AW38" s="22">
        <f>VLOOKUP(AU38,CENY!$B$11:$G$1054,3,FALSE)</f>
        <v>1</v>
      </c>
      <c r="AX38" s="362">
        <v>8</v>
      </c>
      <c r="AY38" s="68"/>
      <c r="AZ38" s="326" t="str">
        <f t="shared" si="1"/>
        <v/>
      </c>
      <c r="BA38" s="95">
        <f>VLOOKUP(AU38,CENY!$B$11:$M$2025,12,FALSE)</f>
        <v>31.976389999999999</v>
      </c>
      <c r="BB38" s="95">
        <f t="shared" si="0"/>
        <v>0</v>
      </c>
      <c r="BD38" s="320">
        <v>9257257</v>
      </c>
      <c r="BE38" s="321" t="str">
        <f>VLOOKUP(BD38,CENY!$B$11:$G$1054,2,FALSE)</f>
        <v>AvanY-prích.čela Inlay k naskrutk./ v187</v>
      </c>
      <c r="BF38" s="22">
        <f>VLOOKUP(BD38,CENY!$B$11:$G$1054,3,FALSE)</f>
        <v>100</v>
      </c>
      <c r="BG38" s="22"/>
      <c r="BH38" s="68">
        <f>2*(AY3)*(SUM(W20:AD20)+SUM(W22:AF22)+SUM(W28:AD28))</f>
        <v>0</v>
      </c>
      <c r="BI38" s="326">
        <f t="shared" si="2"/>
        <v>0</v>
      </c>
      <c r="BJ38" s="95">
        <f>VLOOKUP(BD38,CENY!$B$11:$M$2025,12,FALSE)</f>
        <v>2.4404300000000001</v>
      </c>
      <c r="BK38" s="95">
        <f t="shared" si="3"/>
        <v>0</v>
      </c>
    </row>
    <row r="39" spans="47:63" ht="14.45" customHeight="1">
      <c r="AU39" s="319">
        <f>OBJ!B247</f>
        <v>9318191</v>
      </c>
      <c r="AV39" s="21" t="str">
        <f>VLOOKUP(AU39,CENY!$B$11:$G$1054,2,FALSE)</f>
        <v>Actro You(L) 450/SiSy 40kg; EB21</v>
      </c>
      <c r="AW39" s="22">
        <f>VLOOKUP(AU39,CENY!$B$11:$G$1054,3,FALSE)</f>
        <v>1</v>
      </c>
      <c r="AX39" s="362">
        <v>10</v>
      </c>
      <c r="AY39" s="23">
        <f>SUM(AY1:AY4)*W20</f>
        <v>0</v>
      </c>
      <c r="AZ39" s="326">
        <f t="shared" si="1"/>
        <v>0</v>
      </c>
      <c r="BA39" s="95">
        <f>VLOOKUP(AU39,CENY!$B$11:$M$2025,12,FALSE)</f>
        <v>32.324420000000003</v>
      </c>
      <c r="BB39" s="95">
        <f t="shared" si="0"/>
        <v>0</v>
      </c>
      <c r="BD39" s="319">
        <f>OBJ!B48</f>
        <v>9257702</v>
      </c>
      <c r="BE39" s="21" t="str">
        <f>VLOOKUP(BD39,CENY!$B$11:$G$1054,2,FALSE)</f>
        <v>AvanY-stabilizátor chrbáta</v>
      </c>
      <c r="BF39" s="22">
        <f>VLOOKUP(BD39,CENY!$B$11:$G$1054,3,FALSE)</f>
        <v>200</v>
      </c>
      <c r="BG39" s="22"/>
      <c r="BH39" s="23">
        <f>2*(SUM(AY1:AY4)*(SUM(W20:AD20)+SUM(W22:AF22)+SUM(W28:AD28)))</f>
        <v>0</v>
      </c>
      <c r="BI39" s="326">
        <f t="shared" si="2"/>
        <v>0</v>
      </c>
      <c r="BJ39" s="95">
        <f>VLOOKUP(BD39,CENY!$B$11:$M$2025,12,FALSE)</f>
        <v>0.74794000000000005</v>
      </c>
      <c r="BK39" s="95">
        <f t="shared" si="3"/>
        <v>0</v>
      </c>
    </row>
    <row r="40" spans="47:63" ht="14.45" customHeight="1">
      <c r="AU40" s="319">
        <f>OBJ!B248</f>
        <v>9318192</v>
      </c>
      <c r="AV40" s="21" t="str">
        <f>VLOOKUP(AU40,CENY!$B$11:$G$1054,2,FALSE)</f>
        <v>Actro You(L) 500/SiSy 40kg; EB21</v>
      </c>
      <c r="AW40" s="22">
        <f>VLOOKUP(AU40,CENY!$B$11:$G$1054,3,FALSE)</f>
        <v>1</v>
      </c>
      <c r="AX40" s="362">
        <v>10</v>
      </c>
      <c r="AY40" s="23">
        <f>SUM(AY1:AY4)*Y20</f>
        <v>0</v>
      </c>
      <c r="AZ40" s="326">
        <f t="shared" si="1"/>
        <v>0</v>
      </c>
      <c r="BA40" s="95">
        <f>VLOOKUP(AU40,CENY!$B$11:$M$2025,12,FALSE)</f>
        <v>6.5957299999999996</v>
      </c>
      <c r="BB40" s="95">
        <f t="shared" si="0"/>
        <v>0</v>
      </c>
      <c r="BD40" s="20"/>
      <c r="BE40" s="21"/>
      <c r="BF40" s="22"/>
      <c r="BG40" s="22"/>
      <c r="BH40" s="23"/>
      <c r="BI40" s="326" t="str">
        <f t="shared" si="2"/>
        <v/>
      </c>
      <c r="BJ40" s="95"/>
      <c r="BK40" s="95" t="str">
        <f t="shared" si="3"/>
        <v/>
      </c>
    </row>
    <row r="41" spans="47:63" ht="14.45" customHeight="1">
      <c r="AU41" s="319">
        <f>OBJ!B249</f>
        <v>9318194</v>
      </c>
      <c r="AV41" s="21" t="str">
        <f>VLOOKUP(AU41,CENY!$B$11:$G$1054,2,FALSE)</f>
        <v>Actro You(L) 550/SiSy 40kg; EB21</v>
      </c>
      <c r="AW41" s="22">
        <f>VLOOKUP(AU41,CENY!$B$11:$G$1054,3,FALSE)</f>
        <v>1</v>
      </c>
      <c r="AX41" s="362">
        <v>10</v>
      </c>
      <c r="AY41" s="23">
        <f>SUM(AY1:AY4)*AA20</f>
        <v>0</v>
      </c>
      <c r="AZ41" s="326">
        <f t="shared" si="1"/>
        <v>0</v>
      </c>
      <c r="BA41" s="95">
        <f>VLOOKUP(AU41,CENY!$B$11:$M$2025,12,FALSE)</f>
        <v>6.9728000000000003</v>
      </c>
      <c r="BB41" s="95">
        <f t="shared" si="0"/>
        <v>0</v>
      </c>
      <c r="BD41" s="319">
        <f>OBJ!B71</f>
        <v>9347502</v>
      </c>
      <c r="BE41" s="21" t="str">
        <f>VLOOKUP(BD41,CENY!$B$11:$G$1054,2,FALSE)</f>
        <v>AvanY-design ALprofil Hybrid na bok 270/ strieb.</v>
      </c>
      <c r="BF41" s="22">
        <f>VLOOKUP(BD41,CENY!$B$11:$G$1054,3,FALSE)</f>
        <v>200</v>
      </c>
      <c r="BG41" s="22"/>
      <c r="BH41" s="68"/>
      <c r="BI41" s="326" t="str">
        <f t="shared" si="2"/>
        <v/>
      </c>
      <c r="BJ41" s="95">
        <f>VLOOKUP(BD41,CENY!$B$11:$M$2025,12,FALSE)</f>
        <v>0.95189000000000001</v>
      </c>
      <c r="BK41" s="95">
        <f t="shared" si="3"/>
        <v>0</v>
      </c>
    </row>
    <row r="42" spans="47:63" ht="14.45" customHeight="1">
      <c r="AU42" s="319">
        <f>OBJ!B250</f>
        <v>9318196</v>
      </c>
      <c r="AV42" s="21" t="str">
        <f>VLOOKUP(AU42,CENY!$B$11:$G$1054,2,FALSE)</f>
        <v>Actro You(L) 600/SiSy 40kg; EB21</v>
      </c>
      <c r="AW42" s="22">
        <f>VLOOKUP(AU42,CENY!$B$11:$G$1054,3,FALSE)</f>
        <v>1</v>
      </c>
      <c r="AX42" s="362">
        <v>10</v>
      </c>
      <c r="AY42" s="23">
        <f>SUM(AY1:AY4)*AC20</f>
        <v>0</v>
      </c>
      <c r="AZ42" s="326">
        <f t="shared" si="1"/>
        <v>0</v>
      </c>
      <c r="BA42" s="95">
        <f>VLOOKUP(AU42,CENY!$B$11:$M$2025,12,FALSE)</f>
        <v>34.956960000000002</v>
      </c>
      <c r="BB42" s="95">
        <f t="shared" si="0"/>
        <v>0</v>
      </c>
      <c r="BD42" s="319">
        <f>OBJ!B72</f>
        <v>9347503</v>
      </c>
      <c r="BE42" s="21" t="str">
        <f>VLOOKUP(BD42,CENY!$B$11:$G$1054,2,FALSE)</f>
        <v>AvanY-design ALprofil Hybrid na bok 300/ strieb.</v>
      </c>
      <c r="BF42" s="22">
        <f>VLOOKUP(BD42,CENY!$B$11:$G$1054,3,FALSE)</f>
        <v>200</v>
      </c>
      <c r="BG42" s="22"/>
      <c r="BH42" s="68"/>
      <c r="BI42" s="326" t="str">
        <f t="shared" si="2"/>
        <v/>
      </c>
      <c r="BJ42" s="95">
        <f>VLOOKUP(BD42,CENY!$B$11:$M$2025,12,FALSE)</f>
        <v>0.96240999999999999</v>
      </c>
      <c r="BK42" s="95">
        <f t="shared" si="3"/>
        <v>0</v>
      </c>
    </row>
    <row r="43" spans="47:63" ht="14.45" customHeight="1">
      <c r="AU43" s="319"/>
      <c r="AV43" s="21"/>
      <c r="AW43" s="22"/>
      <c r="AX43" s="22"/>
      <c r="AY43" s="23"/>
      <c r="AZ43" s="326" t="str">
        <f t="shared" si="1"/>
        <v/>
      </c>
      <c r="BA43" s="95"/>
      <c r="BB43" s="95" t="str">
        <f t="shared" si="0"/>
        <v/>
      </c>
      <c r="BD43" s="319">
        <f>OBJ!B73</f>
        <v>9347504</v>
      </c>
      <c r="BE43" s="21" t="str">
        <f>VLOOKUP(BD43,CENY!$B$11:$G$1054,2,FALSE)</f>
        <v>AvanY-design ALprofil Hybrid na bok 350/ strieb.</v>
      </c>
      <c r="BF43" s="22">
        <f>VLOOKUP(BD43,CENY!$B$11:$G$1054,3,FALSE)</f>
        <v>200</v>
      </c>
      <c r="BG43" s="22"/>
      <c r="BH43" s="68"/>
      <c r="BI43" s="326" t="str">
        <f t="shared" si="2"/>
        <v/>
      </c>
      <c r="BJ43" s="95">
        <f>VLOOKUP(BD43,CENY!$B$11:$M$2025,12,FALSE)</f>
        <v>0.98018000000000005</v>
      </c>
      <c r="BK43" s="95">
        <f t="shared" si="3"/>
        <v>0</v>
      </c>
    </row>
    <row r="44" spans="47:63" ht="14.45" customHeight="1">
      <c r="AU44" s="319">
        <f>OBJ!B268</f>
        <v>9318215</v>
      </c>
      <c r="AV44" s="21" t="str">
        <f>VLOOKUP(AU44,CENY!$B$11:$G$1054,2,FALSE)</f>
        <v>Actro You(XL) 450/SiSy 70kg; EB21</v>
      </c>
      <c r="AW44" s="22">
        <f>VLOOKUP(AU44,CENY!$B$11:$G$1054,3,FALSE)</f>
        <v>1</v>
      </c>
      <c r="AX44" s="362">
        <v>10</v>
      </c>
      <c r="AY44" s="23">
        <f>SUM(AY1:AY4)*W22</f>
        <v>0</v>
      </c>
      <c r="AZ44" s="326">
        <f t="shared" si="1"/>
        <v>0</v>
      </c>
      <c r="BA44" s="95">
        <f>VLOOKUP(AU44,CENY!$B$11:$M$2025,12,FALSE)</f>
        <v>7.9265800000000004</v>
      </c>
      <c r="BB44" s="95">
        <f t="shared" si="0"/>
        <v>0</v>
      </c>
      <c r="BD44" s="319">
        <f>OBJ!B74</f>
        <v>9347505</v>
      </c>
      <c r="BE44" s="21" t="str">
        <f>VLOOKUP(BD44,CENY!$B$11:$G$1054,2,FALSE)</f>
        <v>AvanY-design ALprofil Hybrid na bok 400/ strieb.</v>
      </c>
      <c r="BF44" s="22">
        <f>VLOOKUP(BD44,CENY!$B$11:$G$1054,3,FALSE)</f>
        <v>200</v>
      </c>
      <c r="BG44" s="22"/>
      <c r="BH44" s="68"/>
      <c r="BI44" s="326" t="str">
        <f t="shared" si="2"/>
        <v/>
      </c>
      <c r="BJ44" s="95">
        <f>VLOOKUP(BD44,CENY!$B$11:$M$2025,12,FALSE)</f>
        <v>0.99777000000000005</v>
      </c>
      <c r="BK44" s="95">
        <f t="shared" si="3"/>
        <v>0</v>
      </c>
    </row>
    <row r="45" spans="47:63" ht="14.45" customHeight="1">
      <c r="AU45" s="319">
        <f>OBJ!B269</f>
        <v>9318216</v>
      </c>
      <c r="AV45" s="21" t="str">
        <f>VLOOKUP(AU45,CENY!$B$11:$G$1054,2,FALSE)</f>
        <v>Actro You(XL) 500/SiSy 70kg; EB21</v>
      </c>
      <c r="AW45" s="22">
        <f>VLOOKUP(AU45,CENY!$B$11:$G$1054,3,FALSE)</f>
        <v>1</v>
      </c>
      <c r="AX45" s="362">
        <v>10</v>
      </c>
      <c r="AY45" s="23">
        <f>SUM(AY1:AY4)*Y22</f>
        <v>0</v>
      </c>
      <c r="AZ45" s="326">
        <f t="shared" si="1"/>
        <v>0</v>
      </c>
      <c r="BA45" s="95">
        <f>VLOOKUP(AU45,CENY!$B$11:$M$2025,12,FALSE)</f>
        <v>39.622210000000003</v>
      </c>
      <c r="BB45" s="95">
        <f t="shared" si="0"/>
        <v>0</v>
      </c>
      <c r="BD45" s="319">
        <f>OBJ!B75</f>
        <v>9347506</v>
      </c>
      <c r="BE45" s="21" t="str">
        <f>VLOOKUP(BD45,CENY!$B$11:$G$1054,2,FALSE)</f>
        <v>AvanY-design ALprofil Hybrid na bok 450/ strieb.</v>
      </c>
      <c r="BF45" s="22">
        <f>VLOOKUP(BD45,CENY!$B$11:$G$1054,3,FALSE)</f>
        <v>200</v>
      </c>
      <c r="BG45" s="22"/>
      <c r="BH45" s="68"/>
      <c r="BI45" s="326" t="str">
        <f t="shared" si="2"/>
        <v/>
      </c>
      <c r="BJ45" s="95">
        <f>VLOOKUP(BD45,CENY!$B$11:$M$2025,12,FALSE)</f>
        <v>1.01556</v>
      </c>
      <c r="BK45" s="95">
        <f t="shared" si="3"/>
        <v>0</v>
      </c>
    </row>
    <row r="46" spans="47:63" ht="14.45" customHeight="1">
      <c r="AU46" s="319">
        <f>OBJ!B270</f>
        <v>9318217</v>
      </c>
      <c r="AV46" s="21" t="str">
        <f>VLOOKUP(AU46,CENY!$B$11:$G$1054,2,FALSE)</f>
        <v>Actro You(XL) 550/SiSy 70kg; EB21</v>
      </c>
      <c r="AW46" s="22">
        <f>VLOOKUP(AU46,CENY!$B$11:$G$1054,3,FALSE)</f>
        <v>1</v>
      </c>
      <c r="AX46" s="362">
        <v>10</v>
      </c>
      <c r="AY46" s="23">
        <f>SUM(AY1:AY4)*AA22</f>
        <v>0</v>
      </c>
      <c r="AZ46" s="326">
        <f t="shared" si="1"/>
        <v>0</v>
      </c>
      <c r="BA46" s="95">
        <f>VLOOKUP(AU46,CENY!$B$11:$M$2025,12,FALSE)</f>
        <v>41.504899999999999</v>
      </c>
      <c r="BB46" s="95">
        <f t="shared" si="0"/>
        <v>0</v>
      </c>
      <c r="BD46" s="319">
        <f>OBJ!B76</f>
        <v>9347507</v>
      </c>
      <c r="BE46" s="21" t="str">
        <f>VLOOKUP(BD46,CENY!$B$11:$G$1054,2,FALSE)</f>
        <v>AvanY-design ALprofil Hybrid na bok 500/ strieb.</v>
      </c>
      <c r="BF46" s="22">
        <f>VLOOKUP(BD46,CENY!$B$11:$G$1054,3,FALSE)</f>
        <v>200</v>
      </c>
      <c r="BG46" s="22"/>
      <c r="BH46" s="68"/>
      <c r="BI46" s="326" t="str">
        <f t="shared" si="2"/>
        <v/>
      </c>
      <c r="BJ46" s="95">
        <f>VLOOKUP(BD46,CENY!$B$11:$M$2025,12,FALSE)</f>
        <v>1.0332399999999999</v>
      </c>
      <c r="BK46" s="95">
        <f t="shared" si="3"/>
        <v>0</v>
      </c>
    </row>
    <row r="47" spans="47:63" ht="14.45" customHeight="1">
      <c r="AU47" s="319">
        <f>OBJ!B271</f>
        <v>9318218</v>
      </c>
      <c r="AV47" s="21" t="str">
        <f>VLOOKUP(AU47,CENY!$B$11:$G$1054,2,FALSE)</f>
        <v>Actro You(XL) 600/SiSy 70kg; EB21</v>
      </c>
      <c r="AW47" s="22">
        <f>VLOOKUP(AU47,CENY!$B$11:$G$1054,3,FALSE)</f>
        <v>1</v>
      </c>
      <c r="AX47" s="362">
        <v>10</v>
      </c>
      <c r="AY47" s="23">
        <f>SUM(AY1:AY4)*AC22</f>
        <v>0</v>
      </c>
      <c r="AZ47" s="326">
        <f t="shared" si="1"/>
        <v>0</v>
      </c>
      <c r="BA47" s="95">
        <f>VLOOKUP(AU47,CENY!$B$11:$M$2025,12,FALSE)</f>
        <v>45.308109999999999</v>
      </c>
      <c r="BB47" s="95">
        <f t="shared" si="0"/>
        <v>0</v>
      </c>
      <c r="BD47" s="319">
        <f>OBJ!B77</f>
        <v>9347508</v>
      </c>
      <c r="BE47" s="21" t="str">
        <f>VLOOKUP(BD47,CENY!$B$11:$G$1054,2,FALSE)</f>
        <v>AvanY-design ALprofil Hybrid na bok 550/ strieb.</v>
      </c>
      <c r="BF47" s="22">
        <f>VLOOKUP(BD47,CENY!$B$11:$G$1054,3,FALSE)</f>
        <v>200</v>
      </c>
      <c r="BG47" s="22"/>
      <c r="BH47" s="68"/>
      <c r="BI47" s="326" t="str">
        <f t="shared" si="2"/>
        <v/>
      </c>
      <c r="BJ47" s="95">
        <f>VLOOKUP(BD47,CENY!$B$11:$M$2025,12,FALSE)</f>
        <v>1.0508599999999999</v>
      </c>
      <c r="BK47" s="95">
        <f t="shared" si="3"/>
        <v>0</v>
      </c>
    </row>
    <row r="48" spans="47:63" ht="14.45" customHeight="1">
      <c r="AU48" s="319">
        <f>OBJ!B272</f>
        <v>9318219</v>
      </c>
      <c r="AV48" s="21" t="str">
        <f>VLOOKUP(AU48,CENY!$B$11:$G$1054,2,FALSE)</f>
        <v>Actro You(XL) 650/SiSy 70kg; EB21</v>
      </c>
      <c r="AW48" s="22">
        <f>VLOOKUP(AU48,CENY!$B$11:$G$1054,3,FALSE)</f>
        <v>1</v>
      </c>
      <c r="AX48" s="362">
        <v>10</v>
      </c>
      <c r="AY48" s="23">
        <f>SUM(AY1:AY4)*AE22</f>
        <v>0</v>
      </c>
      <c r="AZ48" s="326">
        <f t="shared" si="1"/>
        <v>0</v>
      </c>
      <c r="BA48" s="95">
        <f>VLOOKUP(AU48,CENY!$B$11:$M$2025,12,FALSE)</f>
        <v>47.02431</v>
      </c>
      <c r="BB48" s="95">
        <f t="shared" si="0"/>
        <v>0</v>
      </c>
      <c r="BD48" s="319">
        <f>OBJ!B78</f>
        <v>9347509</v>
      </c>
      <c r="BE48" s="21" t="str">
        <f>VLOOKUP(BD48,CENY!$B$11:$G$1054,2,FALSE)</f>
        <v>AvanY-design ALprofil Hybrid na bok 600/ strieb.</v>
      </c>
      <c r="BF48" s="22">
        <f>VLOOKUP(BD48,CENY!$B$11:$G$1054,3,FALSE)</f>
        <v>200</v>
      </c>
      <c r="BG48" s="22"/>
      <c r="BH48" s="68"/>
      <c r="BI48" s="326" t="str">
        <f t="shared" si="2"/>
        <v/>
      </c>
      <c r="BJ48" s="95">
        <f>VLOOKUP(BD48,CENY!$B$11:$M$2025,12,FALSE)</f>
        <v>1.09639</v>
      </c>
      <c r="BK48" s="95">
        <f t="shared" si="3"/>
        <v>0</v>
      </c>
    </row>
    <row r="49" spans="47:63" ht="14.45" customHeight="1">
      <c r="AU49" s="319"/>
      <c r="AV49" s="21"/>
      <c r="AW49" s="22"/>
      <c r="AX49" s="22"/>
      <c r="AY49" s="23"/>
      <c r="AZ49" s="326" t="str">
        <f t="shared" si="1"/>
        <v/>
      </c>
      <c r="BA49" s="95"/>
      <c r="BB49" s="95" t="str">
        <f t="shared" si="0"/>
        <v/>
      </c>
      <c r="BD49" s="319">
        <f>OBJ!B79</f>
        <v>9347510</v>
      </c>
      <c r="BE49" s="21" t="str">
        <f>VLOOKUP(BD49,CENY!$B$11:$G$1054,2,FALSE)</f>
        <v>AvanY-design ALprofil Hybrid na bok 650/ strieb.</v>
      </c>
      <c r="BF49" s="22">
        <f>VLOOKUP(BD49,CENY!$B$11:$G$1054,3,FALSE)</f>
        <v>200</v>
      </c>
      <c r="BG49" s="22"/>
      <c r="BH49" s="68"/>
      <c r="BI49" s="326" t="str">
        <f t="shared" si="2"/>
        <v/>
      </c>
      <c r="BJ49" s="95">
        <f>VLOOKUP(BD49,CENY!$B$11:$M$2025,12,FALSE)</f>
        <v>1.1824300000000001</v>
      </c>
      <c r="BK49" s="95">
        <f t="shared" si="3"/>
        <v>0</v>
      </c>
    </row>
    <row r="50" spans="47:63" ht="14.45" customHeight="1">
      <c r="AU50" s="319">
        <f>OBJ!B284</f>
        <v>9257890</v>
      </c>
      <c r="AV50" s="21" t="str">
        <f>VLOOKUP(AU50,CENY!$B$11:$G$1054,2,FALSE)</f>
        <v>Actro You - Push to open Silent; &lt;10kg</v>
      </c>
      <c r="AW50" s="22">
        <f>VLOOKUP(AU50,CENY!$B$11:$G$1054,3,FALSE)</f>
        <v>1</v>
      </c>
      <c r="AX50" s="22"/>
      <c r="AY50" s="68"/>
      <c r="AZ50" s="326" t="str">
        <f t="shared" si="1"/>
        <v/>
      </c>
      <c r="BA50" s="95">
        <f>VLOOKUP(AU50,CENY!$B$11:$M$2025,12,FALSE)</f>
        <v>23.177009999999999</v>
      </c>
      <c r="BB50" s="95">
        <f t="shared" si="0"/>
        <v>0</v>
      </c>
      <c r="BD50" s="319"/>
      <c r="BE50" s="21"/>
      <c r="BF50" s="22"/>
      <c r="BG50" s="22"/>
      <c r="BH50" s="23"/>
      <c r="BI50" s="326" t="str">
        <f t="shared" si="2"/>
        <v/>
      </c>
      <c r="BJ50" s="95"/>
      <c r="BK50" s="95" t="str">
        <f t="shared" si="3"/>
        <v/>
      </c>
    </row>
    <row r="51" spans="47:63" ht="14.45" customHeight="1">
      <c r="AU51" s="319">
        <f>OBJ!B285</f>
        <v>9257891</v>
      </c>
      <c r="AV51" s="21" t="str">
        <f>VLOOKUP(AU51,CENY!$B$11:$G$1054,2,FALSE)</f>
        <v>Actro You - Push to open Silent; 8-20kg</v>
      </c>
      <c r="AW51" s="22">
        <f>VLOOKUP(AU51,CENY!$B$11:$G$1054,3,FALSE)</f>
        <v>1</v>
      </c>
      <c r="AX51" s="22"/>
      <c r="AY51" s="68"/>
      <c r="AZ51" s="326" t="str">
        <f t="shared" si="1"/>
        <v/>
      </c>
      <c r="BA51" s="95">
        <f>VLOOKUP(AU51,CENY!$B$11:$M$2025,12,FALSE)</f>
        <v>23.177009999999999</v>
      </c>
      <c r="BB51" s="95">
        <f t="shared" si="0"/>
        <v>0</v>
      </c>
      <c r="BD51" s="319">
        <f>OBJ!B236</f>
        <v>9318145</v>
      </c>
      <c r="BE51" s="21" t="str">
        <f>VLOOKUP(BD51,CENY!$B$11:$G$1054,2,FALSE)</f>
        <v>Actro You(S) 270/SiSy 10kg; EB21; ľavý</v>
      </c>
      <c r="BF51" s="22">
        <f>VLOOKUP(BD51,CENY!$B$11:$G$1054,3,FALSE)</f>
        <v>10</v>
      </c>
      <c r="BG51" s="22"/>
      <c r="BH51" s="68"/>
      <c r="BI51" s="326" t="str">
        <f t="shared" si="2"/>
        <v/>
      </c>
      <c r="BJ51" s="95" t="e">
        <f>VLOOKUP(BD51,CENY!$B$11:$M$2025,12,FALSE)</f>
        <v>#N/A</v>
      </c>
      <c r="BK51" s="95" t="e">
        <f t="shared" si="3"/>
        <v>#N/A</v>
      </c>
    </row>
    <row r="52" spans="47:63" ht="14.45" customHeight="1">
      <c r="AU52" s="319">
        <f>OBJ!B286</f>
        <v>9257892</v>
      </c>
      <c r="AV52" s="21" t="str">
        <f>VLOOKUP(AU52,CENY!$B$11:$G$1054,2,FALSE)</f>
        <v>Actro You - Push to open Silent; 10-40kg</v>
      </c>
      <c r="AW52" s="22">
        <f>VLOOKUP(AU52,CENY!$B$11:$G$1054,3,FALSE)</f>
        <v>1</v>
      </c>
      <c r="AX52" s="22"/>
      <c r="AY52" s="68"/>
      <c r="AZ52" s="326" t="str">
        <f t="shared" si="1"/>
        <v/>
      </c>
      <c r="BA52" s="95">
        <f>VLOOKUP(AU52,CENY!$B$11:$M$2025,12,FALSE)</f>
        <v>23.177009999999999</v>
      </c>
      <c r="BB52" s="95">
        <f t="shared" si="0"/>
        <v>0</v>
      </c>
      <c r="BD52" s="319">
        <f>OBJ!B237</f>
        <v>9318146</v>
      </c>
      <c r="BE52" s="21" t="str">
        <f>VLOOKUP(BD52,CENY!$B$11:$G$1054,2,FALSE)</f>
        <v>Actro You(S) 270/SiSy 10kg; EB21; pravý</v>
      </c>
      <c r="BF52" s="22">
        <f>VLOOKUP(BD52,CENY!$B$11:$G$1054,3,FALSE)</f>
        <v>10</v>
      </c>
      <c r="BG52" s="22"/>
      <c r="BH52" s="68"/>
      <c r="BI52" s="326" t="str">
        <f t="shared" si="2"/>
        <v/>
      </c>
      <c r="BJ52" s="95" t="e">
        <f>VLOOKUP(BD52,CENY!$B$11:$M$2025,12,FALSE)</f>
        <v>#N/A</v>
      </c>
      <c r="BK52" s="95" t="e">
        <f t="shared" si="3"/>
        <v>#N/A</v>
      </c>
    </row>
    <row r="53" spans="47:63" ht="14.45" customHeight="1">
      <c r="AU53" s="319">
        <f>OBJ!B287</f>
        <v>9257893</v>
      </c>
      <c r="AV53" s="21" t="str">
        <f>VLOOKUP(AU53,CENY!$B$11:$G$1054,2,FALSE)</f>
        <v>Actro You - Push to open Silent; 20-70kg</v>
      </c>
      <c r="AW53" s="22">
        <f>VLOOKUP(AU53,CENY!$B$11:$G$1054,3,FALSE)</f>
        <v>1</v>
      </c>
      <c r="AX53" s="22"/>
      <c r="AY53" s="68"/>
      <c r="AZ53" s="326" t="str">
        <f t="shared" si="1"/>
        <v/>
      </c>
      <c r="BA53" s="95">
        <f>VLOOKUP(AU53,CENY!$B$11:$M$2025,12,FALSE)</f>
        <v>23.177009999999999</v>
      </c>
      <c r="BB53" s="95">
        <f t="shared" si="0"/>
        <v>0</v>
      </c>
      <c r="BD53" s="319">
        <f>OBJ!B238</f>
        <v>9318147</v>
      </c>
      <c r="BE53" s="21" t="str">
        <f>VLOOKUP(BD53,CENY!$B$11:$G$1054,2,FALSE)</f>
        <v>Actro You(S) 300/SiSy 10kg; EB21; ľavý</v>
      </c>
      <c r="BF53" s="22">
        <f>VLOOKUP(BD53,CENY!$B$11:$G$1054,3,FALSE)</f>
        <v>10</v>
      </c>
      <c r="BG53" s="22"/>
      <c r="BH53" s="68"/>
      <c r="BI53" s="326" t="str">
        <f t="shared" si="2"/>
        <v/>
      </c>
      <c r="BJ53" s="95" t="e">
        <f>VLOOKUP(BD53,CENY!$B$11:$M$2025,12,FALSE)</f>
        <v>#N/A</v>
      </c>
      <c r="BK53" s="95" t="e">
        <f t="shared" si="3"/>
        <v>#N/A</v>
      </c>
    </row>
    <row r="54" spans="47:63" ht="14.45" customHeight="1">
      <c r="AU54" s="319">
        <f>OBJ!B288</f>
        <v>9236718</v>
      </c>
      <c r="AV54" s="21" t="str">
        <f>VLOOKUP(AU54,CENY!$B$11:$G$1054,2,FALSE)</f>
        <v>Push to open Synchro / tyč 2.000 mm</v>
      </c>
      <c r="AW54" s="22">
        <f>VLOOKUP(AU54,CENY!$B$11:$G$1054,3,FALSE)</f>
        <v>100</v>
      </c>
      <c r="AX54" s="22"/>
      <c r="AY54" s="68"/>
      <c r="AZ54" s="326" t="str">
        <f t="shared" si="1"/>
        <v/>
      </c>
      <c r="BA54" s="95">
        <f>VLOOKUP(AU54,CENY!$B$11:$M$2025,12,FALSE)</f>
        <v>8.7567500000000003</v>
      </c>
      <c r="BB54" s="95">
        <f t="shared" si="0"/>
        <v>0</v>
      </c>
      <c r="BD54" s="319">
        <f>OBJ!B239</f>
        <v>9318148</v>
      </c>
      <c r="BE54" s="21" t="str">
        <f>VLOOKUP(BD54,CENY!$B$11:$G$1054,2,FALSE)</f>
        <v>Actro You(S) 300/SiSy 10kg; EB21; pravý</v>
      </c>
      <c r="BF54" s="22">
        <f>VLOOKUP(BD54,CENY!$B$11:$G$1054,3,FALSE)</f>
        <v>10</v>
      </c>
      <c r="BG54" s="22"/>
      <c r="BH54" s="68"/>
      <c r="BI54" s="326" t="str">
        <f t="shared" si="2"/>
        <v/>
      </c>
      <c r="BJ54" s="95" t="e">
        <f>VLOOKUP(BD54,CENY!$B$11:$M$2025,12,FALSE)</f>
        <v>#N/A</v>
      </c>
      <c r="BK54" s="95" t="e">
        <f t="shared" si="3"/>
        <v>#N/A</v>
      </c>
    </row>
    <row r="55" spans="47:63" ht="14.45" customHeight="1">
      <c r="AU55" s="319"/>
      <c r="AV55" s="21"/>
      <c r="AW55" s="22"/>
      <c r="AX55" s="22"/>
      <c r="AY55" s="23"/>
      <c r="AZ55" s="326" t="str">
        <f t="shared" si="1"/>
        <v/>
      </c>
      <c r="BA55" s="95"/>
      <c r="BB55" s="95" t="str">
        <f t="shared" si="0"/>
        <v/>
      </c>
      <c r="BD55" s="319">
        <f>OBJ!B240</f>
        <v>9318149</v>
      </c>
      <c r="BE55" s="21" t="str">
        <f>VLOOKUP(BD55,CENY!$B$11:$G$1054,2,FALSE)</f>
        <v>Actro You(S) 350/SiSy 10kg; EB21; ľavý</v>
      </c>
      <c r="BF55" s="22">
        <f>VLOOKUP(BD55,CENY!$B$11:$G$1054,3,FALSE)</f>
        <v>10</v>
      </c>
      <c r="BG55" s="22"/>
      <c r="BH55" s="68"/>
      <c r="BI55" s="326" t="str">
        <f t="shared" si="2"/>
        <v/>
      </c>
      <c r="BJ55" s="95">
        <f>VLOOKUP(BD55,CENY!$B$11:$M$2025,12,FALSE)</f>
        <v>14.37729</v>
      </c>
      <c r="BK55" s="95">
        <f t="shared" si="3"/>
        <v>0</v>
      </c>
    </row>
    <row r="56" spans="47:63" ht="14.45" customHeight="1">
      <c r="AU56" s="319">
        <f>OBJ!B294</f>
        <v>9256953</v>
      </c>
      <c r="AV56" s="21" t="str">
        <f>VLOOKUP(AU56,CENY!$B$11:$G$1054,2,FALSE)</f>
        <v>Quadro You(S) 270/SiSy 10kg; EB21</v>
      </c>
      <c r="AW56" s="22">
        <f>VLOOKUP(AU56,CENY!$B$11:$G$1054,3,FALSE)</f>
        <v>1</v>
      </c>
      <c r="AX56" s="362">
        <v>4</v>
      </c>
      <c r="AY56" s="68"/>
      <c r="AZ56" s="326" t="str">
        <f t="shared" si="1"/>
        <v/>
      </c>
      <c r="BA56" s="95">
        <f>VLOOKUP(AU56,CENY!$B$11:$M$2025,12,FALSE)</f>
        <v>23.022449999999999</v>
      </c>
      <c r="BB56" s="95">
        <f t="shared" si="0"/>
        <v>0</v>
      </c>
      <c r="BD56" s="319">
        <f>OBJ!B241</f>
        <v>9318150</v>
      </c>
      <c r="BE56" s="21" t="str">
        <f>VLOOKUP(BD56,CENY!$B$11:$G$1054,2,FALSE)</f>
        <v>Actro You(S) 350/SiSy 10kg; EB21; pravý</v>
      </c>
      <c r="BF56" s="22">
        <f>VLOOKUP(BD56,CENY!$B$11:$G$1054,3,FALSE)</f>
        <v>10</v>
      </c>
      <c r="BG56" s="22"/>
      <c r="BH56" s="68"/>
      <c r="BI56" s="326" t="str">
        <f t="shared" si="2"/>
        <v/>
      </c>
      <c r="BJ56" s="95">
        <f>VLOOKUP(BD56,CENY!$B$11:$M$2025,12,FALSE)</f>
        <v>14.37729</v>
      </c>
      <c r="BK56" s="95">
        <f t="shared" si="3"/>
        <v>0</v>
      </c>
    </row>
    <row r="57" spans="47:63" ht="14.45" customHeight="1">
      <c r="AU57" s="319">
        <f>OBJ!B295</f>
        <v>9256954</v>
      </c>
      <c r="AV57" s="21" t="str">
        <f>VLOOKUP(AU57,CENY!$B$11:$G$1054,2,FALSE)</f>
        <v>Quadro You(S) 300/SiSy 10kg; EB21</v>
      </c>
      <c r="AW57" s="22">
        <f>VLOOKUP(AU57,CENY!$B$11:$G$1054,3,FALSE)</f>
        <v>1</v>
      </c>
      <c r="AX57" s="362">
        <v>4</v>
      </c>
      <c r="AY57" s="68"/>
      <c r="AZ57" s="326" t="str">
        <f t="shared" si="1"/>
        <v/>
      </c>
      <c r="BA57" s="95">
        <f>VLOOKUP(AU57,CENY!$B$11:$M$2025,12,FALSE)</f>
        <v>23.069210000000002</v>
      </c>
      <c r="BB57" s="95">
        <f t="shared" si="0"/>
        <v>0</v>
      </c>
      <c r="BD57" s="319"/>
      <c r="BE57" s="21"/>
      <c r="BF57" s="22"/>
      <c r="BG57" s="22"/>
      <c r="BH57" s="23"/>
      <c r="BI57" s="326" t="str">
        <f t="shared" si="2"/>
        <v/>
      </c>
      <c r="BJ57" s="95"/>
      <c r="BK57" s="95" t="str">
        <f t="shared" si="3"/>
        <v/>
      </c>
    </row>
    <row r="58" spans="47:63" ht="14.45" customHeight="1">
      <c r="AU58" s="319">
        <f>OBJ!B296</f>
        <v>9256956</v>
      </c>
      <c r="AV58" s="21" t="str">
        <f>VLOOKUP(AU58,CENY!$B$11:$G$1054,2,FALSE)</f>
        <v>Quadro You(S) 350/SiSy 10kg; EB21</v>
      </c>
      <c r="AW58" s="22">
        <f>VLOOKUP(AU58,CENY!$B$11:$G$1054,3,FALSE)</f>
        <v>1</v>
      </c>
      <c r="AX58" s="362">
        <v>4</v>
      </c>
      <c r="AY58" s="68"/>
      <c r="AZ58" s="326" t="str">
        <f t="shared" si="1"/>
        <v/>
      </c>
      <c r="BA58" s="95">
        <f>VLOOKUP(AU58,CENY!$B$11:$M$2025,12,FALSE)</f>
        <v>23.536069999999999</v>
      </c>
      <c r="BB58" s="95">
        <f t="shared" si="0"/>
        <v>0</v>
      </c>
      <c r="BD58" s="319">
        <f>OBJ!B251</f>
        <v>9318167</v>
      </c>
      <c r="BE58" s="21" t="str">
        <f>VLOOKUP(BD58,CENY!$B$11:$G$1054,2,FALSE)</f>
        <v>Actro You(L) 270/SiSy 40kg; EB21; ľavý</v>
      </c>
      <c r="BF58" s="22">
        <f>VLOOKUP(BD58,CENY!$B$11:$G$1054,3,FALSE)</f>
        <v>10</v>
      </c>
      <c r="BG58" s="22"/>
      <c r="BH58" s="68"/>
      <c r="BI58" s="326" t="str">
        <f t="shared" si="2"/>
        <v/>
      </c>
      <c r="BJ58" s="95" t="e">
        <f>VLOOKUP(BD58,CENY!$B$11:$M$2025,12,FALSE)</f>
        <v>#N/A</v>
      </c>
      <c r="BK58" s="95" t="e">
        <f t="shared" si="3"/>
        <v>#N/A</v>
      </c>
    </row>
    <row r="59" spans="47:63" ht="14.45" customHeight="1">
      <c r="AU59" s="319"/>
      <c r="AV59" s="21"/>
      <c r="AW59" s="22"/>
      <c r="AX59" s="22"/>
      <c r="AY59" s="23"/>
      <c r="AZ59" s="326" t="str">
        <f t="shared" si="1"/>
        <v/>
      </c>
      <c r="BA59" s="95"/>
      <c r="BB59" s="95" t="str">
        <f t="shared" si="0"/>
        <v/>
      </c>
      <c r="BD59" s="319">
        <f>OBJ!B252</f>
        <v>9318170</v>
      </c>
      <c r="BE59" s="21" t="str">
        <f>VLOOKUP(BD59,CENY!$B$11:$G$1054,2,FALSE)</f>
        <v>Actro You(L) 270/SiSy 40kg; EB21; pravý</v>
      </c>
      <c r="BF59" s="22">
        <f>VLOOKUP(BD59,CENY!$B$11:$G$1054,3,FALSE)</f>
        <v>10</v>
      </c>
      <c r="BG59" s="22"/>
      <c r="BH59" s="68"/>
      <c r="BI59" s="326" t="str">
        <f t="shared" si="2"/>
        <v/>
      </c>
      <c r="BJ59" s="95" t="e">
        <f>VLOOKUP(BD59,CENY!$B$11:$M$2025,12,FALSE)</f>
        <v>#N/A</v>
      </c>
      <c r="BK59" s="95" t="e">
        <f t="shared" si="3"/>
        <v>#N/A</v>
      </c>
    </row>
    <row r="60" spans="47:63" ht="14.45" customHeight="1">
      <c r="AU60" s="319">
        <f>OBJ!B304</f>
        <v>9256883</v>
      </c>
      <c r="AV60" s="21" t="str">
        <f>VLOOKUP(AU60,CENY!$B$11:$G$1054,2,FALSE)</f>
        <v>Quadro You(M) 270/SiSy 20kg; EB21</v>
      </c>
      <c r="AW60" s="22">
        <f>VLOOKUP(AU60,CENY!$B$11:$G$1054,3,FALSE)</f>
        <v>1</v>
      </c>
      <c r="AX60" s="362">
        <v>8</v>
      </c>
      <c r="AY60" s="68"/>
      <c r="AZ60" s="326" t="str">
        <f t="shared" si="1"/>
        <v/>
      </c>
      <c r="BA60" s="95">
        <f>VLOOKUP(AU60,CENY!$B$11:$M$2025,12,FALSE)</f>
        <v>23.022449999999999</v>
      </c>
      <c r="BB60" s="95">
        <f t="shared" si="0"/>
        <v>0</v>
      </c>
      <c r="BD60" s="319">
        <f>OBJ!B253</f>
        <v>9318171</v>
      </c>
      <c r="BE60" s="21" t="str">
        <f>VLOOKUP(BD60,CENY!$B$11:$G$1054,2,FALSE)</f>
        <v>Actro You(L) 300/SiSy 40kg; EB21; ľavý</v>
      </c>
      <c r="BF60" s="22">
        <f>VLOOKUP(BD60,CENY!$B$11:$G$1054,3,FALSE)</f>
        <v>10</v>
      </c>
      <c r="BG60" s="22"/>
      <c r="BH60" s="68"/>
      <c r="BI60" s="326" t="str">
        <f t="shared" si="2"/>
        <v/>
      </c>
      <c r="BJ60" s="95">
        <f>VLOOKUP(BD60,CENY!$B$11:$M$2025,12,FALSE)</f>
        <v>14.37729</v>
      </c>
      <c r="BK60" s="95">
        <f t="shared" si="3"/>
        <v>0</v>
      </c>
    </row>
    <row r="61" spans="47:63" ht="14.45" customHeight="1">
      <c r="AU61" s="319">
        <f>OBJ!B305</f>
        <v>9256884</v>
      </c>
      <c r="AV61" s="21" t="str">
        <f>VLOOKUP(AU61,CENY!$B$11:$G$1054,2,FALSE)</f>
        <v>Quadro You(M) 300/SiSy 20kg; EB21</v>
      </c>
      <c r="AW61" s="22">
        <f>VLOOKUP(AU61,CENY!$B$11:$G$1054,3,FALSE)</f>
        <v>1</v>
      </c>
      <c r="AX61" s="362">
        <v>8</v>
      </c>
      <c r="AY61" s="68"/>
      <c r="AZ61" s="326" t="str">
        <f t="shared" si="1"/>
        <v/>
      </c>
      <c r="BA61" s="95">
        <f>VLOOKUP(AU61,CENY!$B$11:$M$2025,12,FALSE)</f>
        <v>23.069210000000002</v>
      </c>
      <c r="BB61" s="95">
        <f t="shared" si="0"/>
        <v>0</v>
      </c>
      <c r="BD61" s="319">
        <f>OBJ!B254</f>
        <v>9318172</v>
      </c>
      <c r="BE61" s="21" t="str">
        <f>VLOOKUP(BD61,CENY!$B$11:$G$1054,2,FALSE)</f>
        <v>Actro You(L) 300/SiSy 40kg; EB21; pravý</v>
      </c>
      <c r="BF61" s="22">
        <f>VLOOKUP(BD61,CENY!$B$11:$G$1054,3,FALSE)</f>
        <v>10</v>
      </c>
      <c r="BG61" s="22"/>
      <c r="BH61" s="68"/>
      <c r="BI61" s="326" t="str">
        <f t="shared" si="2"/>
        <v/>
      </c>
      <c r="BJ61" s="95">
        <f>VLOOKUP(BD61,CENY!$B$11:$M$2025,12,FALSE)</f>
        <v>14.37729</v>
      </c>
      <c r="BK61" s="95">
        <f t="shared" si="3"/>
        <v>0</v>
      </c>
    </row>
    <row r="62" spans="47:63" ht="14.45" customHeight="1">
      <c r="AU62" s="319">
        <f>OBJ!B306</f>
        <v>9256886</v>
      </c>
      <c r="AV62" s="21" t="str">
        <f>VLOOKUP(AU62,CENY!$B$11:$G$1054,2,FALSE)</f>
        <v>Quadro You(M) 350/SiSy 25kg; EB21</v>
      </c>
      <c r="AW62" s="22">
        <f>VLOOKUP(AU62,CENY!$B$11:$G$1054,3,FALSE)</f>
        <v>1</v>
      </c>
      <c r="AX62" s="362">
        <v>8</v>
      </c>
      <c r="AY62" s="68"/>
      <c r="AZ62" s="326" t="str">
        <f t="shared" si="1"/>
        <v/>
      </c>
      <c r="BA62" s="95" t="e">
        <f>VLOOKUP(AU62,CENY!$B$11:$M$2025,12,FALSE)</f>
        <v>#N/A</v>
      </c>
      <c r="BB62" s="95" t="e">
        <f t="shared" si="0"/>
        <v>#N/A</v>
      </c>
      <c r="BD62" s="319">
        <f>OBJ!B255</f>
        <v>9318173</v>
      </c>
      <c r="BE62" s="21" t="str">
        <f>VLOOKUP(BD62,CENY!$B$11:$G$1054,2,FALSE)</f>
        <v>Actro You(L) 350/SiSy 40kg; EB21; ľavý</v>
      </c>
      <c r="BF62" s="22">
        <f>VLOOKUP(BD62,CENY!$B$11:$G$1054,3,FALSE)</f>
        <v>10</v>
      </c>
      <c r="BG62" s="22"/>
      <c r="BH62" s="68"/>
      <c r="BI62" s="326" t="str">
        <f t="shared" si="2"/>
        <v/>
      </c>
      <c r="BJ62" s="95">
        <f>VLOOKUP(BD62,CENY!$B$11:$M$2025,12,FALSE)</f>
        <v>14.37729</v>
      </c>
      <c r="BK62" s="95">
        <f t="shared" si="3"/>
        <v>0</v>
      </c>
    </row>
    <row r="63" spans="47:63" ht="14.45" customHeight="1">
      <c r="AU63" s="319">
        <f>OBJ!B307</f>
        <v>9256888</v>
      </c>
      <c r="AV63" s="21" t="str">
        <f>VLOOKUP(AU63,CENY!$B$11:$G$1054,2,FALSE)</f>
        <v>Quadro You(M) 400/SiSy 30kg; EB21</v>
      </c>
      <c r="AW63" s="22">
        <f>VLOOKUP(AU63,CENY!$B$11:$G$1054,3,FALSE)</f>
        <v>1</v>
      </c>
      <c r="AX63" s="362">
        <v>8</v>
      </c>
      <c r="AY63" s="68"/>
      <c r="AZ63" s="326" t="str">
        <f t="shared" si="1"/>
        <v/>
      </c>
      <c r="BA63" s="95">
        <f>VLOOKUP(AU63,CENY!$B$11:$M$2025,12,FALSE)</f>
        <v>24.002659999999999</v>
      </c>
      <c r="BB63" s="95">
        <f t="shared" si="0"/>
        <v>0</v>
      </c>
      <c r="BD63" s="319">
        <f>OBJ!B256</f>
        <v>9318174</v>
      </c>
      <c r="BE63" s="21" t="str">
        <f>VLOOKUP(BD63,CENY!$B$11:$G$1054,2,FALSE)</f>
        <v>Actro You(L) 350/SiSy 40kg; EB21; pravý</v>
      </c>
      <c r="BF63" s="22">
        <f>VLOOKUP(BD63,CENY!$B$11:$G$1054,3,FALSE)</f>
        <v>10</v>
      </c>
      <c r="BG63" s="22"/>
      <c r="BH63" s="68"/>
      <c r="BI63" s="326" t="str">
        <f t="shared" si="2"/>
        <v/>
      </c>
      <c r="BJ63" s="95" t="e">
        <f>VLOOKUP(BD63,CENY!$B$11:$M$2025,12,FALSE)</f>
        <v>#N/A</v>
      </c>
      <c r="BK63" s="95" t="e">
        <f t="shared" si="3"/>
        <v>#N/A</v>
      </c>
    </row>
    <row r="64" spans="47:63" ht="14.45" customHeight="1">
      <c r="AU64" s="319">
        <f>OBJ!B308</f>
        <v>9256890</v>
      </c>
      <c r="AV64" s="21" t="str">
        <f>VLOOKUP(AU64,CENY!$B$11:$G$1054,2,FALSE)</f>
        <v>Quadro You(M) 450/SiSy 30kg; EB21</v>
      </c>
      <c r="AW64" s="22">
        <f>VLOOKUP(AU64,CENY!$B$11:$G$1054,3,FALSE)</f>
        <v>1</v>
      </c>
      <c r="AX64" s="362">
        <v>8</v>
      </c>
      <c r="AY64" s="23">
        <f>SUM(AY1:AY4)*W28</f>
        <v>0</v>
      </c>
      <c r="AZ64" s="326">
        <f t="shared" si="1"/>
        <v>0</v>
      </c>
      <c r="BA64" s="95">
        <f>VLOOKUP(AU64,CENY!$B$11:$M$2025,12,FALSE)</f>
        <v>4.9393000000000002</v>
      </c>
      <c r="BB64" s="95">
        <f t="shared" si="0"/>
        <v>0</v>
      </c>
      <c r="BD64" s="319">
        <f>OBJ!B257</f>
        <v>9318175</v>
      </c>
      <c r="BE64" s="21" t="str">
        <f>VLOOKUP(BD64,CENY!$B$11:$G$1054,2,FALSE)</f>
        <v>Actro You(L) 400/SiSy 40kg; EB21; ľavý</v>
      </c>
      <c r="BF64" s="22">
        <f>VLOOKUP(BD64,CENY!$B$11:$G$1054,3,FALSE)</f>
        <v>10</v>
      </c>
      <c r="BG64" s="22"/>
      <c r="BH64" s="68"/>
      <c r="BI64" s="326" t="str">
        <f t="shared" si="2"/>
        <v/>
      </c>
      <c r="BJ64" s="95">
        <f>VLOOKUP(BD64,CENY!$B$11:$M$2025,12,FALSE)</f>
        <v>14.56085</v>
      </c>
      <c r="BK64" s="95">
        <f t="shared" si="3"/>
        <v>0</v>
      </c>
    </row>
    <row r="65" spans="1:63" ht="14.45" customHeight="1">
      <c r="AU65" s="319">
        <f>OBJ!B309</f>
        <v>9256892</v>
      </c>
      <c r="AV65" s="21" t="str">
        <f>VLOOKUP(AU65,CENY!$B$11:$G$1054,2,FALSE)</f>
        <v>Quadro You(M) 500/SiSy 30kg; EB21</v>
      </c>
      <c r="AW65" s="22">
        <f>VLOOKUP(AU65,CENY!$B$11:$G$1054,3,FALSE)</f>
        <v>1</v>
      </c>
      <c r="AX65" s="362">
        <v>8</v>
      </c>
      <c r="AY65" s="23">
        <f>SUM(AY1:AY4)*Y28</f>
        <v>0</v>
      </c>
      <c r="AZ65" s="326">
        <f t="shared" si="1"/>
        <v>0</v>
      </c>
      <c r="BA65" s="95">
        <f>VLOOKUP(AU65,CENY!$B$11:$M$2025,12,FALSE)</f>
        <v>23.748699999999999</v>
      </c>
      <c r="BB65" s="95">
        <f t="shared" si="0"/>
        <v>0</v>
      </c>
      <c r="BD65" s="319">
        <f>OBJ!B258</f>
        <v>9318176</v>
      </c>
      <c r="BE65" s="21" t="str">
        <f>VLOOKUP(BD65,CENY!$B$11:$G$1054,2,FALSE)</f>
        <v>Actro You(L) 400/SiSy 40kg; EB21; pravý</v>
      </c>
      <c r="BF65" s="22">
        <f>VLOOKUP(BD65,CENY!$B$11:$G$1054,3,FALSE)</f>
        <v>10</v>
      </c>
      <c r="BG65" s="22"/>
      <c r="BH65" s="68"/>
      <c r="BI65" s="326" t="str">
        <f t="shared" si="2"/>
        <v/>
      </c>
      <c r="BJ65" s="95">
        <f>VLOOKUP(BD65,CENY!$B$11:$M$2025,12,FALSE)</f>
        <v>14.56085</v>
      </c>
      <c r="BK65" s="95">
        <f t="shared" si="3"/>
        <v>0</v>
      </c>
    </row>
    <row r="66" spans="1:63" ht="12.95" customHeight="1" thickBot="1">
      <c r="A66" s="579"/>
      <c r="AU66" s="319">
        <f>OBJ!B310</f>
        <v>9256894</v>
      </c>
      <c r="AV66" s="21" t="str">
        <f>VLOOKUP(AU66,CENY!$B$11:$G$1054,2,FALSE)</f>
        <v>Quadro You(M) 550/SiSy 30kg; EB21</v>
      </c>
      <c r="AW66" s="22">
        <f>VLOOKUP(AU66,CENY!$B$11:$G$1054,3,FALSE)</f>
        <v>1</v>
      </c>
      <c r="AX66" s="362">
        <v>8</v>
      </c>
      <c r="AY66" s="23">
        <f>SUM(AY1:AY4)*AA28</f>
        <v>0</v>
      </c>
      <c r="AZ66" s="326">
        <f t="shared" si="1"/>
        <v>0</v>
      </c>
      <c r="BA66" s="95">
        <f>VLOOKUP(AU66,CENY!$B$11:$M$2025,12,FALSE)</f>
        <v>5.1277499999999998</v>
      </c>
      <c r="BB66" s="95">
        <f t="shared" si="0"/>
        <v>0</v>
      </c>
      <c r="BD66" s="319">
        <f>OBJ!B259</f>
        <v>9318177</v>
      </c>
      <c r="BE66" s="21" t="str">
        <f>VLOOKUP(BD66,CENY!$B$11:$G$1054,2,FALSE)</f>
        <v>Actro You(L) 450/SiSy 40kg; EB21; ľavý</v>
      </c>
      <c r="BF66" s="22">
        <f>VLOOKUP(BD66,CENY!$B$11:$G$1054,3,FALSE)</f>
        <v>10</v>
      </c>
      <c r="BG66" s="22"/>
      <c r="BH66" s="23">
        <f>AY39</f>
        <v>0</v>
      </c>
      <c r="BI66" s="326">
        <f t="shared" si="2"/>
        <v>0</v>
      </c>
      <c r="BJ66" s="95" t="e">
        <f>VLOOKUP(BD66,CENY!$B$11:$M$2025,12,FALSE)</f>
        <v>#N/A</v>
      </c>
      <c r="BK66" s="95" t="e">
        <f t="shared" si="3"/>
        <v>#N/A</v>
      </c>
    </row>
    <row r="67" spans="1:63" ht="23.1" customHeight="1" thickBot="1">
      <c r="A67" s="579"/>
      <c r="B67" s="486" t="str">
        <f>verze!E13</f>
        <v>&lt;&lt;  späť</v>
      </c>
      <c r="C67" s="487"/>
      <c r="D67" s="487"/>
      <c r="E67" s="488"/>
      <c r="G67" s="515" t="str">
        <f>verze!E6</f>
        <v xml:space="preserve"> Úvod</v>
      </c>
      <c r="H67" s="516"/>
      <c r="I67" s="516"/>
      <c r="J67" s="516"/>
      <c r="K67" s="517"/>
      <c r="O67" s="515" t="str">
        <f>verze!E7</f>
        <v xml:space="preserve"> Výber zásuviek</v>
      </c>
      <c r="P67" s="516"/>
      <c r="Q67" s="516"/>
      <c r="R67" s="516"/>
      <c r="S67" s="517"/>
      <c r="U67" s="515" t="str">
        <f>verze!E8</f>
        <v xml:space="preserve"> </v>
      </c>
      <c r="V67" s="516"/>
      <c r="W67" s="516"/>
      <c r="X67" s="516"/>
      <c r="Y67" s="517"/>
      <c r="AA67" s="515" t="str">
        <f>verze!E9</f>
        <v xml:space="preserve"> </v>
      </c>
      <c r="AB67" s="516"/>
      <c r="AC67" s="516"/>
      <c r="AD67" s="516"/>
      <c r="AE67" s="517"/>
      <c r="AI67" s="515" t="str">
        <f>verze!E10</f>
        <v xml:space="preserve"> Objednávka</v>
      </c>
      <c r="AJ67" s="516"/>
      <c r="AK67" s="516"/>
      <c r="AL67" s="516"/>
      <c r="AM67" s="517"/>
      <c r="AO67" s="477" t="str">
        <f>verze!E14</f>
        <v>vpred  &gt;&gt;</v>
      </c>
      <c r="AP67" s="478"/>
      <c r="AQ67" s="478"/>
      <c r="AR67" s="479"/>
      <c r="AU67" s="319">
        <f>OBJ!B311</f>
        <v>9256896</v>
      </c>
      <c r="AV67" s="21" t="str">
        <f>VLOOKUP(AU67,CENY!$B$11:$G$1054,2,FALSE)</f>
        <v>Quadro You(M) 600/SiSy 25kg; EB21</v>
      </c>
      <c r="AW67" s="22">
        <f>VLOOKUP(AU67,CENY!$B$11:$G$1054,3,FALSE)</f>
        <v>1</v>
      </c>
      <c r="AX67" s="362">
        <v>8</v>
      </c>
      <c r="AY67" s="23">
        <f>SUM(AY1:AY4)*AC28</f>
        <v>0</v>
      </c>
      <c r="AZ67" s="326">
        <f t="shared" si="1"/>
        <v>0</v>
      </c>
      <c r="BA67" s="95">
        <f>VLOOKUP(AU67,CENY!$B$11:$M$2025,12,FALSE)</f>
        <v>25.86984</v>
      </c>
      <c r="BB67" s="95">
        <f t="shared" si="0"/>
        <v>0</v>
      </c>
      <c r="BD67" s="319">
        <f>OBJ!B260</f>
        <v>9318178</v>
      </c>
      <c r="BE67" s="21" t="str">
        <f>VLOOKUP(BD67,CENY!$B$11:$G$1054,2,FALSE)</f>
        <v>Actro You(L) 450/SiSy 40kg; EB21; pravý</v>
      </c>
      <c r="BF67" s="22">
        <f>VLOOKUP(BD67,CENY!$B$11:$G$1054,3,FALSE)</f>
        <v>10</v>
      </c>
      <c r="BG67" s="22"/>
      <c r="BH67" s="23">
        <f>AY39</f>
        <v>0</v>
      </c>
      <c r="BI67" s="326">
        <f t="shared" si="2"/>
        <v>0</v>
      </c>
      <c r="BJ67" s="95">
        <f>VLOOKUP(BD67,CENY!$B$11:$M$2025,12,FALSE)</f>
        <v>14.040839999999999</v>
      </c>
      <c r="BK67" s="95">
        <f t="shared" si="3"/>
        <v>0</v>
      </c>
    </row>
    <row r="68" spans="1:63" ht="12.95" customHeight="1">
      <c r="A68" s="579"/>
      <c r="AU68" s="319"/>
      <c r="AV68" s="21"/>
      <c r="AW68" s="22"/>
      <c r="AX68" s="22"/>
      <c r="AY68" s="23"/>
      <c r="AZ68" s="326" t="str">
        <f t="shared" si="1"/>
        <v/>
      </c>
      <c r="BA68" s="95"/>
      <c r="BB68" s="95" t="str">
        <f t="shared" si="0"/>
        <v/>
      </c>
      <c r="BD68" s="319">
        <f>OBJ!B261</f>
        <v>9318179</v>
      </c>
      <c r="BE68" s="21" t="str">
        <f>VLOOKUP(BD68,CENY!$B$11:$G$1054,2,FALSE)</f>
        <v>Actro You(L) 500/SiSy 40kg; EB21; ľavý</v>
      </c>
      <c r="BF68" s="22">
        <f>VLOOKUP(BD68,CENY!$B$11:$G$1054,3,FALSE)</f>
        <v>10</v>
      </c>
      <c r="BG68" s="22"/>
      <c r="BH68" s="23">
        <f>AY40</f>
        <v>0</v>
      </c>
      <c r="BI68" s="326">
        <f t="shared" si="2"/>
        <v>0</v>
      </c>
      <c r="BJ68" s="95">
        <f>VLOOKUP(BD68,CENY!$B$11:$M$2025,12,FALSE)</f>
        <v>13.931559999999999</v>
      </c>
      <c r="BK68" s="95">
        <f t="shared" si="3"/>
        <v>0</v>
      </c>
    </row>
    <row r="69" spans="1:63" ht="23.1" customHeight="1">
      <c r="A69" s="579"/>
      <c r="B69" s="93" t="str">
        <f>B4</f>
        <v>Zásuvka AVANTECH YOU  187 Inlay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U69" s="319">
        <f>OBJ!B329</f>
        <v>9257894</v>
      </c>
      <c r="AV69" s="21" t="str">
        <f>VLOOKUP(AU69,CENY!$B$11:$G$1054,2,FALSE)</f>
        <v>Quadro You - Push to open Silent; &lt;10kg</v>
      </c>
      <c r="AW69" s="22">
        <f>VLOOKUP(AU69,CENY!$B$11:$G$1054,3,FALSE)</f>
        <v>1</v>
      </c>
      <c r="AX69" s="22"/>
      <c r="AY69" s="68"/>
      <c r="AZ69" s="326" t="str">
        <f t="shared" si="1"/>
        <v/>
      </c>
      <c r="BA69" s="95">
        <f>VLOOKUP(AU69,CENY!$B$11:$M$2025,12,FALSE)</f>
        <v>23.114239999999999</v>
      </c>
      <c r="BB69" s="95">
        <f t="shared" si="0"/>
        <v>0</v>
      </c>
      <c r="BD69" s="319">
        <f>OBJ!B262</f>
        <v>9318180</v>
      </c>
      <c r="BE69" s="21" t="str">
        <f>VLOOKUP(BD69,CENY!$B$11:$G$1054,2,FALSE)</f>
        <v>Actro You(L) 500/SiSy 40kg; EB21; pravý</v>
      </c>
      <c r="BF69" s="22">
        <f>VLOOKUP(BD69,CENY!$B$11:$G$1054,3,FALSE)</f>
        <v>10</v>
      </c>
      <c r="BG69" s="22"/>
      <c r="BH69" s="23">
        <f>AY40</f>
        <v>0</v>
      </c>
      <c r="BI69" s="326">
        <f t="shared" si="2"/>
        <v>0</v>
      </c>
      <c r="BJ69" s="95">
        <f>VLOOKUP(BD69,CENY!$B$11:$M$2025,12,FALSE)</f>
        <v>13.931559999999999</v>
      </c>
      <c r="BK69" s="95">
        <f t="shared" si="3"/>
        <v>0</v>
      </c>
    </row>
    <row r="70" spans="1:63" ht="14.45" customHeight="1">
      <c r="A70" s="579"/>
      <c r="AU70" s="319">
        <f>OBJ!B330</f>
        <v>9257895</v>
      </c>
      <c r="AV70" s="21" t="str">
        <f>VLOOKUP(AU70,CENY!$B$11:$G$1054,2,FALSE)</f>
        <v>Quadro You - Push to open Silent; 8-20kg</v>
      </c>
      <c r="AW70" s="22">
        <f>VLOOKUP(AU70,CENY!$B$11:$G$1054,3,FALSE)</f>
        <v>1</v>
      </c>
      <c r="AX70" s="22"/>
      <c r="AY70" s="68"/>
      <c r="AZ70" s="326" t="str">
        <f t="shared" si="1"/>
        <v/>
      </c>
      <c r="BA70" s="95">
        <f>VLOOKUP(AU70,CENY!$B$11:$M$2025,12,FALSE)</f>
        <v>23.114239999999999</v>
      </c>
      <c r="BB70" s="95">
        <f t="shared" si="0"/>
        <v>0</v>
      </c>
      <c r="BD70" s="319">
        <f>OBJ!B263</f>
        <v>9318181</v>
      </c>
      <c r="BE70" s="21" t="str">
        <f>VLOOKUP(BD70,CENY!$B$11:$G$1054,2,FALSE)</f>
        <v>Actro You(L) 550/SiSy 40kg; EB21; ľavý</v>
      </c>
      <c r="BF70" s="22">
        <f>VLOOKUP(BD70,CENY!$B$11:$G$1054,3,FALSE)</f>
        <v>10</v>
      </c>
      <c r="BG70" s="22"/>
      <c r="BH70" s="23">
        <f>AY41</f>
        <v>0</v>
      </c>
      <c r="BI70" s="326">
        <f t="shared" si="2"/>
        <v>0</v>
      </c>
      <c r="BJ70" s="95">
        <f>VLOOKUP(BD70,CENY!$B$11:$M$2025,12,FALSE)</f>
        <v>15.147040000000001</v>
      </c>
      <c r="BK70" s="95">
        <f t="shared" si="3"/>
        <v>0</v>
      </c>
    </row>
    <row r="71" spans="1:63" ht="14.45" customHeight="1">
      <c r="A71" s="579"/>
      <c r="AU71" s="319">
        <f>OBJ!B331</f>
        <v>9257896</v>
      </c>
      <c r="AV71" s="21" t="str">
        <f>VLOOKUP(AU71,CENY!$B$11:$G$1054,2,FALSE)</f>
        <v>Quadro You - Push to open Silent; 10-30kg</v>
      </c>
      <c r="AW71" s="22">
        <f>VLOOKUP(AU71,CENY!$B$11:$G$1054,3,FALSE)</f>
        <v>1</v>
      </c>
      <c r="AX71" s="22"/>
      <c r="AY71" s="68"/>
      <c r="AZ71" s="326" t="str">
        <f t="shared" si="1"/>
        <v/>
      </c>
      <c r="BA71" s="95">
        <f>VLOOKUP(AU71,CENY!$B$11:$M$2025,12,FALSE)</f>
        <v>23.114239999999999</v>
      </c>
      <c r="BB71" s="95">
        <f t="shared" si="0"/>
        <v>0</v>
      </c>
      <c r="BD71" s="319">
        <f>OBJ!B264</f>
        <v>9318182</v>
      </c>
      <c r="BE71" s="21" t="str">
        <f>VLOOKUP(BD71,CENY!$B$11:$G$1054,2,FALSE)</f>
        <v>Actro You(L) 550/SiSy 40kg; EB21; pravý</v>
      </c>
      <c r="BF71" s="22">
        <f>VLOOKUP(BD71,CENY!$B$11:$G$1054,3,FALSE)</f>
        <v>10</v>
      </c>
      <c r="BG71" s="22"/>
      <c r="BH71" s="23">
        <f>AY41</f>
        <v>0</v>
      </c>
      <c r="BI71" s="326">
        <f t="shared" si="2"/>
        <v>0</v>
      </c>
      <c r="BJ71" s="95">
        <f>VLOOKUP(BD71,CENY!$B$11:$M$2025,12,FALSE)</f>
        <v>15.147040000000001</v>
      </c>
      <c r="BK71" s="95">
        <f t="shared" si="3"/>
        <v>0</v>
      </c>
    </row>
    <row r="72" spans="1:63" ht="14.45" customHeight="1">
      <c r="A72" s="579"/>
      <c r="AU72" s="319"/>
      <c r="AV72" s="21"/>
      <c r="AW72" s="22"/>
      <c r="AX72" s="22"/>
      <c r="AY72" s="23"/>
      <c r="AZ72" s="326" t="str">
        <f t="shared" si="1"/>
        <v/>
      </c>
      <c r="BA72" s="95"/>
      <c r="BB72" s="95" t="str">
        <f t="shared" si="0"/>
        <v/>
      </c>
      <c r="BD72" s="319">
        <f>OBJ!B265</f>
        <v>9318183</v>
      </c>
      <c r="BE72" s="21" t="str">
        <f>VLOOKUP(BD72,CENY!$B$11:$G$1054,2,FALSE)</f>
        <v>Actro You(L) 600/SiSy 40kg; EB21; ľavý</v>
      </c>
      <c r="BF72" s="22">
        <f>VLOOKUP(BD72,CENY!$B$11:$G$1054,3,FALSE)</f>
        <v>10</v>
      </c>
      <c r="BG72" s="22"/>
      <c r="BH72" s="23">
        <f>AY42</f>
        <v>0</v>
      </c>
      <c r="BI72" s="326">
        <f t="shared" si="2"/>
        <v>0</v>
      </c>
      <c r="BJ72" s="95">
        <f>VLOOKUP(BD72,CENY!$B$11:$M$2025,12,FALSE)</f>
        <v>15.35308</v>
      </c>
      <c r="BK72" s="95">
        <f t="shared" si="3"/>
        <v>0</v>
      </c>
    </row>
    <row r="73" spans="1:63" ht="14.45" customHeight="1">
      <c r="A73" s="579"/>
      <c r="AU73" s="319">
        <f>OBJ!B333</f>
        <v>9256928</v>
      </c>
      <c r="AV73" s="21" t="str">
        <f>VLOOKUP(AU73,CENY!$B$11:$G$1054,2,FALSE)</f>
        <v>Quadro You(M) 270/P2O 20kg; EB21</v>
      </c>
      <c r="AW73" s="22">
        <f>VLOOKUP(AU73,CENY!$B$11:$G$1054,3,FALSE)</f>
        <v>1</v>
      </c>
      <c r="AX73" s="362">
        <v>8</v>
      </c>
      <c r="AY73" s="68"/>
      <c r="AZ73" s="326" t="str">
        <f t="shared" si="1"/>
        <v/>
      </c>
      <c r="BA73" s="95">
        <f>VLOOKUP(AU73,CENY!$B$11:$M$2025,12,FALSE)</f>
        <v>25.824369999999998</v>
      </c>
      <c r="BB73" s="95">
        <f t="shared" si="0"/>
        <v>0</v>
      </c>
      <c r="BD73" s="319">
        <f>OBJ!B266</f>
        <v>9318184</v>
      </c>
      <c r="BE73" s="21" t="str">
        <f>VLOOKUP(BD73,CENY!$B$11:$G$1054,2,FALSE)</f>
        <v>Actro You(L) 600/SiSy 40kg; EB21; pravý</v>
      </c>
      <c r="BF73" s="22">
        <f>VLOOKUP(BD73,CENY!$B$11:$G$1054,3,FALSE)</f>
        <v>10</v>
      </c>
      <c r="BG73" s="22"/>
      <c r="BH73" s="23">
        <f>AY42</f>
        <v>0</v>
      </c>
      <c r="BI73" s="326">
        <f t="shared" si="2"/>
        <v>0</v>
      </c>
      <c r="BJ73" s="95" t="e">
        <f>VLOOKUP(BD73,CENY!$B$11:$M$2025,12,FALSE)</f>
        <v>#N/A</v>
      </c>
      <c r="BK73" s="95" t="e">
        <f t="shared" si="3"/>
        <v>#N/A</v>
      </c>
    </row>
    <row r="74" spans="1:63" ht="14.45" customHeight="1">
      <c r="A74" s="579"/>
      <c r="AU74" s="319">
        <f>OBJ!B334</f>
        <v>9256929</v>
      </c>
      <c r="AV74" s="21" t="str">
        <f>VLOOKUP(AU74,CENY!$B$11:$G$1054,2,FALSE)</f>
        <v>Quadro You(M) 300/P2O 20kg; EB21</v>
      </c>
      <c r="AW74" s="22">
        <f>VLOOKUP(AU74,CENY!$B$11:$G$1054,3,FALSE)</f>
        <v>1</v>
      </c>
      <c r="AX74" s="362">
        <v>8</v>
      </c>
      <c r="AY74" s="68"/>
      <c r="AZ74" s="326" t="str">
        <f t="shared" si="1"/>
        <v/>
      </c>
      <c r="BA74" s="95">
        <f>VLOOKUP(AU74,CENY!$B$11:$M$2025,12,FALSE)</f>
        <v>25.86984</v>
      </c>
      <c r="BB74" s="95">
        <f t="shared" si="0"/>
        <v>0</v>
      </c>
      <c r="BD74" s="319"/>
      <c r="BE74" s="21"/>
      <c r="BF74" s="22"/>
      <c r="BG74" s="22"/>
      <c r="BH74" s="23"/>
      <c r="BI74" s="326" t="str">
        <f t="shared" si="2"/>
        <v/>
      </c>
      <c r="BJ74" s="95"/>
      <c r="BK74" s="95" t="str">
        <f t="shared" si="3"/>
        <v/>
      </c>
    </row>
    <row r="75" spans="1:63" ht="14.45" customHeight="1">
      <c r="A75" s="579"/>
      <c r="AU75" s="319">
        <f>OBJ!B335</f>
        <v>9256931</v>
      </c>
      <c r="AV75" s="21" t="str">
        <f>VLOOKUP(AU75,CENY!$B$11:$G$1054,2,FALSE)</f>
        <v>Quadro You(M) 350/P2O 25kg; EB21</v>
      </c>
      <c r="AW75" s="22">
        <f>VLOOKUP(AU75,CENY!$B$11:$G$1054,3,FALSE)</f>
        <v>1</v>
      </c>
      <c r="AX75" s="362">
        <v>8</v>
      </c>
      <c r="AY75" s="68"/>
      <c r="AZ75" s="326" t="str">
        <f t="shared" si="1"/>
        <v/>
      </c>
      <c r="BA75" s="95">
        <f>VLOOKUP(AU75,CENY!$B$11:$M$2025,12,FALSE)</f>
        <v>26.336690000000001</v>
      </c>
      <c r="BB75" s="95">
        <f t="shared" ref="BB75:BB146" si="7">IF(BA75="","",BA75*AY75)</f>
        <v>0</v>
      </c>
      <c r="BD75" s="319">
        <f>OBJ!B273</f>
        <v>9318198</v>
      </c>
      <c r="BE75" s="21" t="str">
        <f>VLOOKUP(BD75,CENY!$B$11:$G$1054,2,FALSE)</f>
        <v>Actro You(XL) 450/SiSy 70kg; EB21; ľavý</v>
      </c>
      <c r="BF75" s="22">
        <f>VLOOKUP(BD75,CENY!$B$11:$G$1054,3,FALSE)</f>
        <v>10</v>
      </c>
      <c r="BG75" s="22"/>
      <c r="BH75" s="23">
        <f>AY44</f>
        <v>0</v>
      </c>
      <c r="BI75" s="326">
        <f t="shared" si="2"/>
        <v>0</v>
      </c>
      <c r="BJ75" s="95" t="e">
        <f>VLOOKUP(BD75,CENY!$B$11:$M$2025,12,FALSE)</f>
        <v>#N/A</v>
      </c>
      <c r="BK75" s="95" t="e">
        <f t="shared" si="3"/>
        <v>#N/A</v>
      </c>
    </row>
    <row r="76" spans="1:63" ht="14.45" customHeight="1">
      <c r="A76" s="579"/>
      <c r="AU76" s="319">
        <f>OBJ!B336</f>
        <v>9256933</v>
      </c>
      <c r="AV76" s="21" t="str">
        <f>VLOOKUP(AU76,CENY!$B$11:$G$1054,2,FALSE)</f>
        <v>Quadro You(M) 400/P2O 30kg; EB21</v>
      </c>
      <c r="AW76" s="22">
        <f>VLOOKUP(AU76,CENY!$B$11:$G$1054,3,FALSE)</f>
        <v>1</v>
      </c>
      <c r="AX76" s="362">
        <v>8</v>
      </c>
      <c r="AY76" s="68"/>
      <c r="AZ76" s="326" t="str">
        <f t="shared" ref="AZ76:AZ147" si="8">IF(AY76="","",IF($AW$4=1,AY76,0))</f>
        <v/>
      </c>
      <c r="BA76" s="95">
        <f>VLOOKUP(AU76,CENY!$B$11:$M$2025,12,FALSE)</f>
        <v>26.80339</v>
      </c>
      <c r="BB76" s="95">
        <f t="shared" si="7"/>
        <v>0</v>
      </c>
      <c r="BD76" s="319">
        <f>OBJ!B274</f>
        <v>9318199</v>
      </c>
      <c r="BE76" s="21" t="str">
        <f>VLOOKUP(BD76,CENY!$B$11:$G$1054,2,FALSE)</f>
        <v>Actro You(XL) 450/SiSy 70kg; EB21; pravý</v>
      </c>
      <c r="BF76" s="22">
        <f>VLOOKUP(BD76,CENY!$B$11:$G$1054,3,FALSE)</f>
        <v>10</v>
      </c>
      <c r="BG76" s="22"/>
      <c r="BH76" s="23">
        <f>AY44</f>
        <v>0</v>
      </c>
      <c r="BI76" s="326">
        <f t="shared" si="2"/>
        <v>0</v>
      </c>
      <c r="BJ76" s="95" t="e">
        <f>VLOOKUP(BD76,CENY!$B$11:$M$2025,12,FALSE)</f>
        <v>#N/A</v>
      </c>
      <c r="BK76" s="95" t="e">
        <f t="shared" si="3"/>
        <v>#N/A</v>
      </c>
    </row>
    <row r="77" spans="1:63" ht="14.45" customHeight="1">
      <c r="A77" s="579"/>
      <c r="AU77" s="319">
        <f>OBJ!B337</f>
        <v>9256935</v>
      </c>
      <c r="AV77" s="21" t="str">
        <f>VLOOKUP(AU77,CENY!$B$11:$G$1054,2,FALSE)</f>
        <v>Quadro You(M) 450/P2O 30kg; EB21</v>
      </c>
      <c r="AW77" s="22">
        <f>VLOOKUP(AU77,CENY!$B$11:$G$1054,3,FALSE)</f>
        <v>1</v>
      </c>
      <c r="AX77" s="362">
        <v>8</v>
      </c>
      <c r="AY77" s="68"/>
      <c r="AZ77" s="326" t="str">
        <f t="shared" si="8"/>
        <v/>
      </c>
      <c r="BA77" s="95">
        <f>VLOOKUP(AU77,CENY!$B$11:$M$2025,12,FALSE)</f>
        <v>27.270389999999999</v>
      </c>
      <c r="BB77" s="95">
        <f t="shared" si="7"/>
        <v>0</v>
      </c>
      <c r="BD77" s="319">
        <f>OBJ!B275</f>
        <v>9318201</v>
      </c>
      <c r="BE77" s="21" t="str">
        <f>VLOOKUP(BD77,CENY!$B$11:$G$1054,2,FALSE)</f>
        <v>Actro You(XL) 500/SiSy 70kg; EB21; ľavý</v>
      </c>
      <c r="BF77" s="22">
        <f>VLOOKUP(BD77,CENY!$B$11:$G$1054,3,FALSE)</f>
        <v>10</v>
      </c>
      <c r="BG77" s="22"/>
      <c r="BH77" s="23">
        <f>AY45</f>
        <v>0</v>
      </c>
      <c r="BI77" s="326">
        <f t="shared" si="2"/>
        <v>0</v>
      </c>
      <c r="BJ77" s="95">
        <f>VLOOKUP(BD77,CENY!$B$11:$M$2025,12,FALSE)</f>
        <v>17.52394</v>
      </c>
      <c r="BK77" s="95">
        <f t="shared" si="3"/>
        <v>0</v>
      </c>
    </row>
    <row r="78" spans="1:63" ht="14.45" customHeight="1">
      <c r="A78" s="579"/>
      <c r="AU78" s="319">
        <f>OBJ!B338</f>
        <v>9256937</v>
      </c>
      <c r="AV78" s="21" t="str">
        <f>VLOOKUP(AU78,CENY!$B$11:$G$1054,2,FALSE)</f>
        <v>Quadro You(M) 500/P2O 30kg; EB21</v>
      </c>
      <c r="AW78" s="22">
        <f>VLOOKUP(AU78,CENY!$B$11:$G$1054,3,FALSE)</f>
        <v>1</v>
      </c>
      <c r="AX78" s="362">
        <v>8</v>
      </c>
      <c r="AY78" s="68"/>
      <c r="AZ78" s="326" t="str">
        <f t="shared" si="8"/>
        <v/>
      </c>
      <c r="BA78" s="95">
        <f>VLOOKUP(AU78,CENY!$B$11:$M$2025,12,FALSE)</f>
        <v>5.5988800000000003</v>
      </c>
      <c r="BB78" s="95">
        <f t="shared" si="7"/>
        <v>0</v>
      </c>
      <c r="BD78" s="319">
        <f>OBJ!B276</f>
        <v>9318203</v>
      </c>
      <c r="BE78" s="21" t="str">
        <f>VLOOKUP(BD78,CENY!$B$11:$G$1054,2,FALSE)</f>
        <v>Actro You(XL) 500/SiSy 70kg; EB21; pravý</v>
      </c>
      <c r="BF78" s="22">
        <f>VLOOKUP(BD78,CENY!$B$11:$G$1054,3,FALSE)</f>
        <v>10</v>
      </c>
      <c r="BG78" s="22"/>
      <c r="BH78" s="23">
        <f>AY45</f>
        <v>0</v>
      </c>
      <c r="BI78" s="326">
        <f t="shared" si="2"/>
        <v>0</v>
      </c>
      <c r="BJ78" s="95">
        <f>VLOOKUP(BD78,CENY!$B$11:$M$2025,12,FALSE)</f>
        <v>17.52394</v>
      </c>
      <c r="BK78" s="95">
        <f t="shared" si="3"/>
        <v>0</v>
      </c>
    </row>
    <row r="79" spans="1:63" ht="14.45" customHeight="1">
      <c r="A79" s="579"/>
      <c r="AU79" s="319">
        <f>OBJ!B339</f>
        <v>9256939</v>
      </c>
      <c r="AV79" s="21" t="str">
        <f>VLOOKUP(AU79,CENY!$B$11:$G$1054,2,FALSE)</f>
        <v>Quadro You(M) 550/P2O 30kg; EB21</v>
      </c>
      <c r="AW79" s="22">
        <f>VLOOKUP(AU79,CENY!$B$11:$G$1054,3,FALSE)</f>
        <v>1</v>
      </c>
      <c r="AX79" s="362">
        <v>8</v>
      </c>
      <c r="AY79" s="68"/>
      <c r="AZ79" s="326" t="str">
        <f t="shared" si="8"/>
        <v/>
      </c>
      <c r="BA79" s="95">
        <f>VLOOKUP(AU79,CENY!$B$11:$M$2025,12,FALSE)</f>
        <v>28.20382</v>
      </c>
      <c r="BB79" s="95">
        <f t="shared" si="7"/>
        <v>0</v>
      </c>
      <c r="BD79" s="319">
        <f>OBJ!B277</f>
        <v>9318208</v>
      </c>
      <c r="BE79" s="21" t="str">
        <f>VLOOKUP(BD79,CENY!$B$11:$G$1054,2,FALSE)</f>
        <v>Actro You(XL) 550/SiSy 70kg; EB21; ľavý</v>
      </c>
      <c r="BF79" s="22">
        <f>VLOOKUP(BD79,CENY!$B$11:$G$1054,3,FALSE)</f>
        <v>10</v>
      </c>
      <c r="BG79" s="22"/>
      <c r="BH79" s="23">
        <f>AY46</f>
        <v>0</v>
      </c>
      <c r="BI79" s="326">
        <f t="shared" si="2"/>
        <v>0</v>
      </c>
      <c r="BJ79" s="95">
        <f>VLOOKUP(BD79,CENY!$B$11:$M$2025,12,FALSE)</f>
        <v>18.45496</v>
      </c>
      <c r="BK79" s="95">
        <f t="shared" si="3"/>
        <v>0</v>
      </c>
    </row>
    <row r="80" spans="1:63" ht="14.45" customHeight="1">
      <c r="A80" s="579"/>
      <c r="AU80" s="319">
        <f>OBJ!B340</f>
        <v>9256941</v>
      </c>
      <c r="AV80" s="21" t="str">
        <f>VLOOKUP(AU80,CENY!$B$11:$G$1054,2,FALSE)</f>
        <v>Quadro You(M) 600/P2O 25kg; EB21</v>
      </c>
      <c r="AW80" s="22">
        <f>VLOOKUP(AU80,CENY!$B$11:$G$1054,3,FALSE)</f>
        <v>1</v>
      </c>
      <c r="AX80" s="362">
        <v>8</v>
      </c>
      <c r="AY80" s="68"/>
      <c r="AZ80" s="326" t="str">
        <f t="shared" si="8"/>
        <v/>
      </c>
      <c r="BA80" s="95">
        <f>VLOOKUP(AU80,CENY!$B$11:$M$2025,12,FALSE)</f>
        <v>28.670570000000001</v>
      </c>
      <c r="BB80" s="95">
        <f t="shared" si="7"/>
        <v>0</v>
      </c>
      <c r="BD80" s="319">
        <f>OBJ!B278</f>
        <v>9318209</v>
      </c>
      <c r="BE80" s="21" t="str">
        <f>VLOOKUP(BD80,CENY!$B$11:$G$1054,2,FALSE)</f>
        <v>Actro You(XL) 550/SiSy 70kg; EB21; pravý</v>
      </c>
      <c r="BF80" s="22">
        <f>VLOOKUP(BD80,CENY!$B$11:$G$1054,3,FALSE)</f>
        <v>10</v>
      </c>
      <c r="BG80" s="22"/>
      <c r="BH80" s="23">
        <f>AY46</f>
        <v>0</v>
      </c>
      <c r="BI80" s="326">
        <f t="shared" si="2"/>
        <v>0</v>
      </c>
      <c r="BJ80" s="95">
        <f>VLOOKUP(BD80,CENY!$B$11:$M$2025,12,FALSE)</f>
        <v>18.45496</v>
      </c>
      <c r="BK80" s="95">
        <f t="shared" si="3"/>
        <v>0</v>
      </c>
    </row>
    <row r="81" spans="1:63" ht="14.45" customHeight="1">
      <c r="A81" s="579"/>
      <c r="O81" s="578">
        <f>CEILING(O86/FLOOR(2000/O87,1),1)</f>
        <v>0</v>
      </c>
      <c r="P81" s="578"/>
      <c r="Q81" s="578">
        <f>CEILING(Q86/FLOOR(2000/Q87,1),1)</f>
        <v>0</v>
      </c>
      <c r="R81" s="578"/>
      <c r="S81" s="578">
        <f>CEILING(S86/FLOOR(2000/S87,1),1)</f>
        <v>0</v>
      </c>
      <c r="T81" s="578"/>
      <c r="U81" s="578">
        <f>CEILING(U86/FLOOR(2000/U87,1),1)</f>
        <v>0</v>
      </c>
      <c r="V81" s="578"/>
      <c r="W81" s="578"/>
      <c r="X81" s="578"/>
      <c r="Y81" s="578"/>
      <c r="Z81" s="578"/>
      <c r="AA81" s="578"/>
      <c r="AB81" s="578"/>
      <c r="AC81" s="578">
        <f>CEILING(AC86/FLOOR(2000/AC87,1),1)</f>
        <v>0</v>
      </c>
      <c r="AD81" s="578"/>
      <c r="AE81" s="578">
        <f>CEILING(AE86/FLOOR(2000/AE87,1),1)</f>
        <v>0</v>
      </c>
      <c r="AF81" s="578"/>
      <c r="AG81" s="578">
        <f>CEILING(AG86/FLOOR(2000/AG87,1),1)</f>
        <v>0</v>
      </c>
      <c r="AH81" s="578"/>
      <c r="AI81" s="578">
        <f>CEILING(AI86/FLOOR(2000/AI87,1),1)</f>
        <v>0</v>
      </c>
      <c r="AJ81" s="578"/>
      <c r="AU81" s="319"/>
      <c r="AV81" s="21"/>
      <c r="AW81" s="22"/>
      <c r="AX81" s="22"/>
      <c r="AY81" s="23"/>
      <c r="AZ81" s="326" t="str">
        <f t="shared" si="8"/>
        <v/>
      </c>
      <c r="BA81" s="95"/>
      <c r="BB81" s="95" t="str">
        <f t="shared" si="7"/>
        <v/>
      </c>
      <c r="BD81" s="319">
        <f>OBJ!B279</f>
        <v>9318211</v>
      </c>
      <c r="BE81" s="21" t="str">
        <f>VLOOKUP(BD81,CENY!$B$11:$G$1054,2,FALSE)</f>
        <v>Actro You(XL) 600/SiSy 70kg; EB21; ľavý</v>
      </c>
      <c r="BF81" s="22">
        <f>VLOOKUP(BD81,CENY!$B$11:$G$1054,3,FALSE)</f>
        <v>10</v>
      </c>
      <c r="BG81" s="22"/>
      <c r="BH81" s="23">
        <f>AY47</f>
        <v>0</v>
      </c>
      <c r="BI81" s="326">
        <f t="shared" si="2"/>
        <v>0</v>
      </c>
      <c r="BJ81" s="95">
        <f>VLOOKUP(BD81,CENY!$B$11:$M$2025,12,FALSE)</f>
        <v>21.352720000000001</v>
      </c>
      <c r="BK81" s="95">
        <f t="shared" si="3"/>
        <v>0</v>
      </c>
    </row>
    <row r="82" spans="1:63" ht="14.45" customHeight="1">
      <c r="A82" s="579"/>
      <c r="O82" s="577">
        <f>O87*O86</f>
        <v>0</v>
      </c>
      <c r="P82" s="577"/>
      <c r="Q82" s="577">
        <f>Q87*Q86</f>
        <v>0</v>
      </c>
      <c r="R82" s="577"/>
      <c r="S82" s="577">
        <f>S87*S86</f>
        <v>0</v>
      </c>
      <c r="T82" s="577"/>
      <c r="U82" s="577">
        <f>U87*U86</f>
        <v>0</v>
      </c>
      <c r="V82" s="577"/>
      <c r="W82" s="577"/>
      <c r="X82" s="577"/>
      <c r="Y82" s="577"/>
      <c r="Z82" s="577"/>
      <c r="AA82" s="577"/>
      <c r="AB82" s="577"/>
      <c r="AC82" s="577">
        <f>AC87*AC86</f>
        <v>0</v>
      </c>
      <c r="AD82" s="577"/>
      <c r="AE82" s="577">
        <f>AE87*AE86</f>
        <v>0</v>
      </c>
      <c r="AF82" s="577"/>
      <c r="AG82" s="577">
        <f>AG87*AG86</f>
        <v>0</v>
      </c>
      <c r="AH82" s="577"/>
      <c r="AI82" s="577">
        <f>AI87*AI86</f>
        <v>0</v>
      </c>
      <c r="AJ82" s="577"/>
      <c r="AK82" s="579"/>
      <c r="AL82" s="579"/>
      <c r="AU82" s="319">
        <f>OBJ!B358</f>
        <v>9219966</v>
      </c>
      <c r="AV82" s="21" t="str">
        <f>VLOOKUP(AU82,CENY!$B$11:$G$1054,2,FALSE)</f>
        <v>Push to open Synchro / adaptér typ A</v>
      </c>
      <c r="AW82" s="22">
        <f>VLOOKUP(AU82,CENY!$B$11:$G$1054,3,FALSE)</f>
        <v>200</v>
      </c>
      <c r="AX82" s="22"/>
      <c r="AY82" s="68"/>
      <c r="AZ82" s="326" t="str">
        <f t="shared" si="8"/>
        <v/>
      </c>
      <c r="BA82" s="95">
        <f>VLOOKUP(AU82,CENY!$B$11:$M$2025,12,FALSE)</f>
        <v>0.79318999999999995</v>
      </c>
      <c r="BB82" s="95">
        <f t="shared" si="7"/>
        <v>0</v>
      </c>
      <c r="BD82" s="319">
        <f>OBJ!B280</f>
        <v>9318212</v>
      </c>
      <c r="BE82" s="21" t="str">
        <f>VLOOKUP(BD82,CENY!$B$11:$G$1054,2,FALSE)</f>
        <v>Actro You(XL) 600/SiSy 70kg; EB21; pravý</v>
      </c>
      <c r="BF82" s="22">
        <f>VLOOKUP(BD82,CENY!$B$11:$G$1054,3,FALSE)</f>
        <v>10</v>
      </c>
      <c r="BG82" s="22"/>
      <c r="BH82" s="23">
        <f>AY47</f>
        <v>0</v>
      </c>
      <c r="BI82" s="326">
        <f t="shared" si="2"/>
        <v>0</v>
      </c>
      <c r="BJ82" s="95">
        <f>VLOOKUP(BD82,CENY!$B$11:$M$2025,12,FALSE)</f>
        <v>21.352720000000001</v>
      </c>
      <c r="BK82" s="95">
        <f t="shared" si="3"/>
        <v>0</v>
      </c>
    </row>
    <row r="83" spans="1:63" ht="14.45" customHeight="1" thickBot="1">
      <c r="A83" s="579"/>
      <c r="B83" s="1" t="str">
        <f>verze!E162</f>
        <v>Čelo na vnútornú zásuvku</v>
      </c>
      <c r="O83" s="583" t="str">
        <f>verze!E163</f>
        <v>vonkajšie rozmery zásuvkovej skrinky [mm]</v>
      </c>
      <c r="P83" s="584"/>
      <c r="Q83" s="584"/>
      <c r="R83" s="584"/>
      <c r="S83" s="584"/>
      <c r="T83" s="584"/>
      <c r="U83" s="584"/>
      <c r="V83" s="584"/>
      <c r="W83" s="584"/>
      <c r="X83" s="584"/>
      <c r="Y83" s="584"/>
      <c r="Z83" s="584"/>
      <c r="AA83" s="584"/>
      <c r="AB83" s="584"/>
      <c r="AC83" s="584"/>
      <c r="AD83" s="584"/>
      <c r="AE83" s="584"/>
      <c r="AF83" s="584"/>
      <c r="AG83" s="584"/>
      <c r="AH83" s="584"/>
      <c r="AI83" s="584"/>
      <c r="AJ83" s="584"/>
      <c r="AU83" s="319"/>
      <c r="AV83" s="21"/>
      <c r="AW83" s="22"/>
      <c r="AX83" s="22"/>
      <c r="AY83" s="23"/>
      <c r="AZ83" s="326" t="str">
        <f t="shared" si="8"/>
        <v/>
      </c>
      <c r="BA83" s="95"/>
      <c r="BB83" s="95" t="str">
        <f t="shared" si="7"/>
        <v/>
      </c>
      <c r="BD83" s="319">
        <f>OBJ!B281</f>
        <v>9318213</v>
      </c>
      <c r="BE83" s="21" t="str">
        <f>VLOOKUP(BD83,CENY!$B$11:$G$1054,2,FALSE)</f>
        <v>Actro You(XL) 650/SiSy 70kg; EB21; ľavý</v>
      </c>
      <c r="BF83" s="22">
        <f>VLOOKUP(BD83,CENY!$B$11:$G$1054,3,FALSE)</f>
        <v>5</v>
      </c>
      <c r="BG83" s="22"/>
      <c r="BH83" s="23">
        <f>AY48</f>
        <v>0</v>
      </c>
      <c r="BI83" s="326">
        <f t="shared" si="2"/>
        <v>0</v>
      </c>
      <c r="BJ83" s="95">
        <f>VLOOKUP(BD83,CENY!$B$11:$M$2025,12,FALSE)</f>
        <v>22.243659999999998</v>
      </c>
      <c r="BK83" s="95">
        <f t="shared" si="3"/>
        <v>0</v>
      </c>
    </row>
    <row r="84" spans="1:63" ht="14.45" customHeight="1" thickBot="1">
      <c r="A84" s="579"/>
      <c r="B84" s="96"/>
      <c r="C84" s="96"/>
      <c r="D84" s="96"/>
      <c r="E84" s="96"/>
      <c r="F84" s="96"/>
      <c r="G84" s="96"/>
      <c r="H84" s="72"/>
      <c r="I84" s="72"/>
      <c r="J84" s="72"/>
      <c r="K84" s="72"/>
      <c r="L84" s="72"/>
      <c r="M84" s="72"/>
      <c r="N84" s="72" t="str">
        <f>verze!E166&amp;" "</f>
        <v xml:space="preserve">Šírka korpusu: </v>
      </c>
      <c r="O84" s="597" t="str">
        <f>verze!E164</f>
        <v>nízke čelo = 66 mm</v>
      </c>
      <c r="P84" s="598"/>
      <c r="Q84" s="598"/>
      <c r="R84" s="598"/>
      <c r="S84" s="598"/>
      <c r="T84" s="598"/>
      <c r="U84" s="598"/>
      <c r="V84" s="598"/>
      <c r="W84" s="334"/>
      <c r="X84" s="334"/>
      <c r="Y84" s="334"/>
      <c r="Z84" s="334"/>
      <c r="AA84" s="596"/>
      <c r="AB84" s="596"/>
      <c r="AC84" s="598" t="str">
        <f>verze!E165</f>
        <v>vysoké čelo = 130 mm</v>
      </c>
      <c r="AD84" s="598"/>
      <c r="AE84" s="598"/>
      <c r="AF84" s="598"/>
      <c r="AG84" s="598"/>
      <c r="AH84" s="598"/>
      <c r="AI84" s="598"/>
      <c r="AJ84" s="598"/>
      <c r="AU84" s="320">
        <v>9255836</v>
      </c>
      <c r="AV84" s="321" t="str">
        <f>VLOOKUP(AU84,CENY!$B$11:$G$1054,2,FALSE)</f>
        <v>AvanY-príchytka čela s rozp.púzdrom/ v101</v>
      </c>
      <c r="AW84" s="22">
        <f>VLOOKUP(AU84,CENY!$B$11:$G$1054,3,FALSE)</f>
        <v>200</v>
      </c>
      <c r="AX84" s="22"/>
      <c r="AY84" s="68">
        <f>IF(FORM!AM8=FORM!AU11,(2*(AY2)*(SUM(W20:AD20)+SUM(W22:AF22)+SUM(W28:AD28))),0)</f>
        <v>0</v>
      </c>
      <c r="AZ84" s="326">
        <f t="shared" si="8"/>
        <v>0</v>
      </c>
      <c r="BA84" s="95">
        <f>VLOOKUP(AU84,CENY!$B$11:$M$2025,12,FALSE)</f>
        <v>1.1907000000000001</v>
      </c>
      <c r="BB84" s="95">
        <f t="shared" si="7"/>
        <v>0</v>
      </c>
      <c r="BD84" s="319">
        <f>OBJ!B282</f>
        <v>9318214</v>
      </c>
      <c r="BE84" s="21" t="str">
        <f>VLOOKUP(BD84,CENY!$B$11:$G$1054,2,FALSE)</f>
        <v>Actro You(XL) 650/SiSy 70kg; EB21; pravý</v>
      </c>
      <c r="BF84" s="22">
        <f>VLOOKUP(BD84,CENY!$B$11:$G$1054,3,FALSE)</f>
        <v>5</v>
      </c>
      <c r="BG84" s="22"/>
      <c r="BH84" s="23">
        <f>AY48</f>
        <v>0</v>
      </c>
      <c r="BI84" s="326">
        <f t="shared" ref="BI84:BI151" si="9">IF(BH84="","",IF($AW$4=0,BH84,0))</f>
        <v>0</v>
      </c>
      <c r="BJ84" s="95">
        <f>VLOOKUP(BD84,CENY!$B$11:$M$2025,12,FALSE)</f>
        <v>22.243659999999998</v>
      </c>
      <c r="BK84" s="95">
        <f t="shared" ref="BK84:BK156" si="10">IF(BJ84="","",BJ84*BH84)</f>
        <v>0</v>
      </c>
    </row>
    <row r="85" spans="1:63" ht="14.45" customHeight="1" thickBot="1">
      <c r="A85" s="579"/>
      <c r="B85" s="158" t="str">
        <f>" "&amp;verze!E167</f>
        <v xml:space="preserve"> ALU čelo</v>
      </c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525"/>
      <c r="N85" s="548"/>
      <c r="O85" s="600">
        <v>450</v>
      </c>
      <c r="P85" s="601"/>
      <c r="Q85" s="603">
        <v>600</v>
      </c>
      <c r="R85" s="603"/>
      <c r="S85" s="603">
        <v>900</v>
      </c>
      <c r="T85" s="603"/>
      <c r="U85" s="603">
        <v>1200</v>
      </c>
      <c r="V85" s="600"/>
      <c r="W85" s="334"/>
      <c r="X85" s="334"/>
      <c r="Y85" s="334"/>
      <c r="Z85" s="334"/>
      <c r="AA85" s="596"/>
      <c r="AB85" s="596"/>
      <c r="AC85" s="602">
        <v>450</v>
      </c>
      <c r="AD85" s="603"/>
      <c r="AE85" s="602">
        <v>600</v>
      </c>
      <c r="AF85" s="603"/>
      <c r="AG85" s="600">
        <v>900</v>
      </c>
      <c r="AH85" s="601"/>
      <c r="AI85" s="600">
        <v>1200</v>
      </c>
      <c r="AJ85" s="601"/>
      <c r="AU85" s="320">
        <v>9257258</v>
      </c>
      <c r="AV85" s="321" t="str">
        <f>VLOOKUP(AU85,CENY!$B$11:$G$1054,2,FALSE)</f>
        <v>AvanY-prích.čela Inlay s rozp.púzdrom/ v187</v>
      </c>
      <c r="AW85" s="22">
        <f>VLOOKUP(AU85,CENY!$B$11:$G$1054,3,FALSE)</f>
        <v>100</v>
      </c>
      <c r="AX85" s="22"/>
      <c r="AY85" s="68">
        <f>IF(FORM!AM8=FORM!AU11,(2*(AY4)*(SUM(W20:AD20)+SUM(W22:AF22)+SUM(W28:AD28))),0)</f>
        <v>0</v>
      </c>
      <c r="AZ85" s="326">
        <f t="shared" si="8"/>
        <v>0</v>
      </c>
      <c r="BA85" s="95">
        <f>VLOOKUP(AU85,CENY!$B$11:$M$2025,12,FALSE)</f>
        <v>2.4704600000000001</v>
      </c>
      <c r="BB85" s="95">
        <f t="shared" si="7"/>
        <v>0</v>
      </c>
      <c r="BD85" s="319"/>
      <c r="BE85" s="21"/>
      <c r="BF85" s="22"/>
      <c r="BG85" s="22"/>
      <c r="BH85" s="23"/>
      <c r="BI85" s="326" t="str">
        <f t="shared" si="9"/>
        <v/>
      </c>
      <c r="BJ85" s="95"/>
      <c r="BK85" s="95" t="str">
        <f t="shared" si="10"/>
        <v/>
      </c>
    </row>
    <row r="86" spans="1:63" ht="14.45" customHeight="1" thickBot="1">
      <c r="A86" s="579"/>
      <c r="O86" s="580"/>
      <c r="P86" s="581"/>
      <c r="Q86" s="599"/>
      <c r="R86" s="599"/>
      <c r="S86" s="599"/>
      <c r="T86" s="599"/>
      <c r="U86" s="599"/>
      <c r="V86" s="580"/>
      <c r="W86" s="336"/>
      <c r="X86" s="336"/>
      <c r="Y86" s="336"/>
      <c r="Z86" s="336"/>
      <c r="AA86" s="336"/>
      <c r="AB86" s="336"/>
      <c r="AC86" s="581"/>
      <c r="AD86" s="599"/>
      <c r="AE86" s="581"/>
      <c r="AF86" s="599"/>
      <c r="AG86" s="585"/>
      <c r="AH86" s="581"/>
      <c r="AI86" s="580"/>
      <c r="AJ86" s="585"/>
      <c r="AU86" s="319"/>
      <c r="AV86" s="21"/>
      <c r="AW86" s="22"/>
      <c r="AX86" s="22"/>
      <c r="AY86" s="23"/>
      <c r="AZ86" s="326" t="str">
        <f t="shared" si="8"/>
        <v/>
      </c>
      <c r="BA86" s="95"/>
      <c r="BB86" s="95" t="str">
        <f t="shared" si="7"/>
        <v/>
      </c>
      <c r="BD86" s="319">
        <f>OBJ!B284</f>
        <v>9257890</v>
      </c>
      <c r="BE86" s="21" t="str">
        <f>VLOOKUP(BD86,CENY!$B$11:$G$1054,2,FALSE)</f>
        <v>Actro You - Push to open Silent; &lt;10kg</v>
      </c>
      <c r="BF86" s="22">
        <f>VLOOKUP(BD86,CENY!$B$11:$G$1054,3,FALSE)</f>
        <v>1</v>
      </c>
      <c r="BG86" s="22"/>
      <c r="BH86" s="68"/>
      <c r="BI86" s="326" t="str">
        <f t="shared" si="9"/>
        <v/>
      </c>
      <c r="BJ86" s="95">
        <f>VLOOKUP(BD86,CENY!$B$11:$M$2025,12,FALSE)</f>
        <v>23.177009999999999</v>
      </c>
      <c r="BK86" s="95">
        <f t="shared" si="10"/>
        <v>0</v>
      </c>
    </row>
    <row r="87" spans="1:63" ht="14.45" customHeight="1">
      <c r="A87" s="579"/>
      <c r="O87" s="582">
        <f>O85-2*FORM!$AM$24-66</f>
        <v>348</v>
      </c>
      <c r="P87" s="582"/>
      <c r="Q87" s="582">
        <f>Q85-2*FORM!$AM$24-66</f>
        <v>498</v>
      </c>
      <c r="R87" s="582"/>
      <c r="S87" s="582">
        <f>S85-2*FORM!$AM$24-66</f>
        <v>798</v>
      </c>
      <c r="T87" s="582"/>
      <c r="U87" s="582">
        <f>U85-2*FORM!$AM$24-66</f>
        <v>1098</v>
      </c>
      <c r="V87" s="582"/>
      <c r="W87" s="577"/>
      <c r="X87" s="577"/>
      <c r="Y87" s="577"/>
      <c r="Z87" s="577"/>
      <c r="AA87" s="577"/>
      <c r="AB87" s="577"/>
      <c r="AC87" s="582">
        <f>AC85-2*FORM!$AM$24-66</f>
        <v>348</v>
      </c>
      <c r="AD87" s="582"/>
      <c r="AE87" s="582">
        <f>AE85-2*FORM!$AM$24-66</f>
        <v>498</v>
      </c>
      <c r="AF87" s="582"/>
      <c r="AG87" s="582">
        <f>AG85-2*FORM!$AM$24-66</f>
        <v>798</v>
      </c>
      <c r="AH87" s="582"/>
      <c r="AI87" s="582">
        <f>AI85-2*FORM!$AM$24-66</f>
        <v>1098</v>
      </c>
      <c r="AJ87" s="582"/>
      <c r="AR87" s="157"/>
      <c r="AU87" s="319">
        <f>OBJ!B214</f>
        <v>0</v>
      </c>
      <c r="AV87" s="21" t="e">
        <f>VLOOKUP(AU87,CENY!$B$11:$G$1054,2,FALSE)</f>
        <v>#N/A</v>
      </c>
      <c r="AW87" s="22" t="e">
        <f>VLOOKUP(AU87,CENY!$B$11:$G$1054,3,FALSE)</f>
        <v>#N/A</v>
      </c>
      <c r="AX87" s="22"/>
      <c r="AY87" s="68">
        <f>IF(FORM!AM21&lt;&gt;FORM!AW16,(2*SUM(AY1:AY4)*(SUM(W20:AD20)+SUM(W22:AF22)+SUM(W28:AD28))),0)</f>
        <v>0</v>
      </c>
      <c r="AZ87" s="326">
        <f t="shared" si="8"/>
        <v>0</v>
      </c>
      <c r="BA87" s="324" t="str">
        <f>IF(AU87=0,"",VLOOKUP(AU87,CENY!$B$11:$M$2025,12,FALSE))</f>
        <v/>
      </c>
      <c r="BB87" s="95" t="str">
        <f>IF(BA87="","",BA87*AY87)</f>
        <v/>
      </c>
      <c r="BD87" s="319">
        <f>OBJ!B285</f>
        <v>9257891</v>
      </c>
      <c r="BE87" s="21" t="str">
        <f>VLOOKUP(BD87,CENY!$B$11:$G$1054,2,FALSE)</f>
        <v>Actro You - Push to open Silent; 8-20kg</v>
      </c>
      <c r="BF87" s="22">
        <f>VLOOKUP(BD87,CENY!$B$11:$G$1054,3,FALSE)</f>
        <v>1</v>
      </c>
      <c r="BG87" s="22"/>
      <c r="BH87" s="68"/>
      <c r="BI87" s="326" t="str">
        <f t="shared" si="9"/>
        <v/>
      </c>
      <c r="BJ87" s="95">
        <f>VLOOKUP(BD87,CENY!$B$11:$M$2025,12,FALSE)</f>
        <v>23.177009999999999</v>
      </c>
      <c r="BK87" s="95">
        <f t="shared" si="10"/>
        <v>0</v>
      </c>
    </row>
    <row r="88" spans="1:63" ht="14.45" customHeight="1">
      <c r="A88" s="579"/>
      <c r="AR88" s="332" t="str">
        <f>IF(AU103=0,"",IF(AU101=AU103,verze!E174,IF(AU104&gt;0,verze!E171&amp;" "&amp;AU104&amp;" "&amp;verze!E170,verze!E172&amp;" "&amp;AU105&amp;" "&amp;verze!E173)))</f>
        <v/>
      </c>
      <c r="AU88" s="319"/>
      <c r="AV88" s="21"/>
      <c r="AW88" s="22"/>
      <c r="AX88" s="22"/>
      <c r="AY88" s="23"/>
      <c r="AZ88" s="326" t="str">
        <f t="shared" si="8"/>
        <v/>
      </c>
      <c r="BA88" s="95"/>
      <c r="BB88" s="95" t="str">
        <f t="shared" si="7"/>
        <v/>
      </c>
      <c r="BD88" s="319">
        <f>OBJ!B286</f>
        <v>9257892</v>
      </c>
      <c r="BE88" s="21" t="str">
        <f>VLOOKUP(BD88,CENY!$B$11:$G$1054,2,FALSE)</f>
        <v>Actro You - Push to open Silent; 10-40kg</v>
      </c>
      <c r="BF88" s="22">
        <f>VLOOKUP(BD88,CENY!$B$11:$G$1054,3,FALSE)</f>
        <v>1</v>
      </c>
      <c r="BG88" s="22"/>
      <c r="BH88" s="68"/>
      <c r="BI88" s="326" t="str">
        <f t="shared" si="9"/>
        <v/>
      </c>
      <c r="BJ88" s="95">
        <f>VLOOKUP(BD88,CENY!$B$11:$M$2025,12,FALSE)</f>
        <v>23.177009999999999</v>
      </c>
      <c r="BK88" s="95">
        <f t="shared" si="10"/>
        <v>0</v>
      </c>
    </row>
    <row r="89" spans="1:63" ht="14.45" customHeight="1">
      <c r="A89" s="579"/>
      <c r="V89" s="595" t="str">
        <f>IF(AW103=0,AU109,AU110)</f>
        <v>Je potrebné vybrať 0 ks vnútorných čiel.</v>
      </c>
      <c r="W89" s="595"/>
      <c r="X89" s="595"/>
      <c r="Y89" s="595"/>
      <c r="Z89" s="595"/>
      <c r="AA89" s="595"/>
      <c r="AB89" s="595"/>
      <c r="AC89" s="595"/>
      <c r="AU89" s="319">
        <f>OBJ!B210</f>
        <v>9257663</v>
      </c>
      <c r="AV89" s="21" t="str">
        <f>VLOOKUP(AU89,CENY!$B$11:$G$1054,2,FALSE)</f>
        <v>AvanY-indiv.čelo vnút.zásuv./d2000/strieb.</v>
      </c>
      <c r="AW89" s="22">
        <f>VLOOKUP(AU89,CENY!$B$11:$G$1054,3,FALSE)</f>
        <v>1</v>
      </c>
      <c r="AX89" s="22"/>
      <c r="AY89" s="23">
        <f>IF(AW101=0,0,IF(AW107&lt;2000,1,SUM(O81:AJ81)))</f>
        <v>0</v>
      </c>
      <c r="AZ89" s="326">
        <f t="shared" si="8"/>
        <v>0</v>
      </c>
      <c r="BA89" s="95">
        <f>VLOOKUP(AU89,CENY!$B$11:$M$2025,12,FALSE)</f>
        <v>35.672049999999999</v>
      </c>
      <c r="BB89" s="95">
        <f t="shared" si="7"/>
        <v>0</v>
      </c>
      <c r="BD89" s="319">
        <f>OBJ!B287</f>
        <v>9257893</v>
      </c>
      <c r="BE89" s="21" t="str">
        <f>VLOOKUP(BD89,CENY!$B$11:$G$1054,2,FALSE)</f>
        <v>Actro You - Push to open Silent; 20-70kg</v>
      </c>
      <c r="BF89" s="22">
        <f>VLOOKUP(BD89,CENY!$B$11:$G$1054,3,FALSE)</f>
        <v>1</v>
      </c>
      <c r="BG89" s="22"/>
      <c r="BH89" s="68"/>
      <c r="BI89" s="326" t="str">
        <f t="shared" si="9"/>
        <v/>
      </c>
      <c r="BJ89" s="95">
        <f>VLOOKUP(BD89,CENY!$B$11:$M$2025,12,FALSE)</f>
        <v>23.177009999999999</v>
      </c>
      <c r="BK89" s="95">
        <f t="shared" si="10"/>
        <v>0</v>
      </c>
    </row>
    <row r="90" spans="1:63" ht="14.45" customHeight="1">
      <c r="A90" s="579"/>
      <c r="V90" s="595"/>
      <c r="W90" s="595"/>
      <c r="X90" s="595"/>
      <c r="Y90" s="595"/>
      <c r="Z90" s="595"/>
      <c r="AA90" s="595"/>
      <c r="AB90" s="595"/>
      <c r="AC90" s="595"/>
      <c r="AU90" s="319">
        <f>OBJ!B212</f>
        <v>9257657</v>
      </c>
      <c r="AV90" s="21" t="str">
        <f>VLOOKUP(AU90,CENY!$B$11:$G$1054,2,FALSE)</f>
        <v>AvanY-spojky indiv.čela vn.Inlay/v187/strieb.</v>
      </c>
      <c r="AW90" s="22">
        <f>VLOOKUP(AU90,CENY!$B$11:$G$1054,3,FALSE)</f>
        <v>1</v>
      </c>
      <c r="AX90" s="22"/>
      <c r="AY90" s="23">
        <f>AY3*(SUM(W20:AD20)+SUM(W22:AF22)+SUM(W28:AD28))</f>
        <v>0</v>
      </c>
      <c r="AZ90" s="326">
        <f t="shared" si="8"/>
        <v>0</v>
      </c>
      <c r="BA90" s="95">
        <f>VLOOKUP(AU90,CENY!$B$11:$M$2025,12,FALSE)</f>
        <v>26.795850000000002</v>
      </c>
      <c r="BB90" s="95">
        <f t="shared" si="7"/>
        <v>0</v>
      </c>
      <c r="BD90" s="319">
        <f>OBJ!B288</f>
        <v>9236718</v>
      </c>
      <c r="BE90" s="21" t="str">
        <f>VLOOKUP(BD90,CENY!$B$11:$G$1054,2,FALSE)</f>
        <v>Push to open Synchro / tyč 2.000 mm</v>
      </c>
      <c r="BF90" s="22">
        <f>VLOOKUP(BD90,CENY!$B$11:$G$1054,3,FALSE)</f>
        <v>100</v>
      </c>
      <c r="BG90" s="22"/>
      <c r="BH90" s="68"/>
      <c r="BI90" s="326" t="str">
        <f t="shared" si="9"/>
        <v/>
      </c>
      <c r="BJ90" s="95">
        <f>VLOOKUP(BD90,CENY!$B$11:$M$2025,12,FALSE)</f>
        <v>8.7567500000000003</v>
      </c>
      <c r="BK90" s="95">
        <f t="shared" si="10"/>
        <v>0</v>
      </c>
    </row>
    <row r="91" spans="1:63" ht="14.45" customHeight="1">
      <c r="A91" s="579"/>
      <c r="V91" s="595"/>
      <c r="W91" s="595"/>
      <c r="X91" s="595"/>
      <c r="Y91" s="595"/>
      <c r="Z91" s="595"/>
      <c r="AA91" s="595"/>
      <c r="AB91" s="595"/>
      <c r="AC91" s="595"/>
      <c r="AU91" s="319">
        <f>OBJ!B224</f>
        <v>9283228</v>
      </c>
      <c r="AV91" s="21" t="str">
        <f>VLOOKUP(AU91,CENY!$B$11:$G$1054,2,FALSE)</f>
        <v>AvanY-sklo pre vnút.čelo /v66/s450/hr18</v>
      </c>
      <c r="AW91" s="22">
        <f>VLOOKUP(AU91,CENY!$B$11:$G$1054,3,FALSE)</f>
        <v>1</v>
      </c>
      <c r="AX91" s="22"/>
      <c r="AY91" s="23">
        <f>O86</f>
        <v>0</v>
      </c>
      <c r="AZ91" s="326">
        <f t="shared" si="8"/>
        <v>0</v>
      </c>
      <c r="BA91" s="95" t="e">
        <f>VLOOKUP(AU91,CENY!$B$11:$M$2025,12,FALSE)</f>
        <v>#N/A</v>
      </c>
      <c r="BB91" s="95" t="e">
        <f t="shared" si="7"/>
        <v>#N/A</v>
      </c>
      <c r="BD91" s="319"/>
      <c r="BE91" s="21"/>
      <c r="BF91" s="22"/>
      <c r="BG91" s="22"/>
      <c r="BH91" s="23"/>
      <c r="BI91" s="326" t="str">
        <f t="shared" si="9"/>
        <v/>
      </c>
      <c r="BJ91" s="95"/>
      <c r="BK91" s="95" t="str">
        <f t="shared" si="10"/>
        <v/>
      </c>
    </row>
    <row r="92" spans="1:63" ht="14.45" customHeight="1">
      <c r="A92" s="579"/>
      <c r="V92" s="595"/>
      <c r="W92" s="595"/>
      <c r="X92" s="595"/>
      <c r="Y92" s="595"/>
      <c r="Z92" s="595"/>
      <c r="AA92" s="595"/>
      <c r="AB92" s="595"/>
      <c r="AC92" s="595"/>
      <c r="AU92" s="319">
        <f>OBJ!B225</f>
        <v>9283229</v>
      </c>
      <c r="AV92" s="21" t="str">
        <f>VLOOKUP(AU92,CENY!$B$11:$G$1054,2,FALSE)</f>
        <v>AvanY-sklo pre vnút.čelo /v66/s600/hr18</v>
      </c>
      <c r="AW92" s="22">
        <f>VLOOKUP(AU92,CENY!$B$11:$G$1054,3,FALSE)</f>
        <v>1</v>
      </c>
      <c r="AX92" s="22"/>
      <c r="AY92" s="23">
        <f>Q86</f>
        <v>0</v>
      </c>
      <c r="AZ92" s="326">
        <f t="shared" si="8"/>
        <v>0</v>
      </c>
      <c r="BA92" s="95">
        <f>VLOOKUP(AU92,CENY!$B$11:$M$2025,12,FALSE)</f>
        <v>19.680150000000001</v>
      </c>
      <c r="BB92" s="95">
        <f t="shared" si="7"/>
        <v>0</v>
      </c>
      <c r="BD92" s="319">
        <f>OBJ!B297</f>
        <v>9256944</v>
      </c>
      <c r="BE92" s="21" t="str">
        <f>VLOOKUP(BD92,CENY!$B$11:$G$1054,2,FALSE)</f>
        <v>Quadro You(S) 270/SiSy 10kg; EB21; ľavý</v>
      </c>
      <c r="BF92" s="22">
        <f>VLOOKUP(BD92,CENY!$B$11:$G$1054,3,FALSE)</f>
        <v>20</v>
      </c>
      <c r="BG92" s="22"/>
      <c r="BH92" s="68"/>
      <c r="BI92" s="326" t="str">
        <f t="shared" si="9"/>
        <v/>
      </c>
      <c r="BJ92" s="95">
        <f>VLOOKUP(BD92,CENY!$B$11:$M$2025,12,FALSE)</f>
        <v>10.7646</v>
      </c>
      <c r="BK92" s="95">
        <f t="shared" si="10"/>
        <v>0</v>
      </c>
    </row>
    <row r="93" spans="1:63" ht="14.45" customHeight="1">
      <c r="A93" s="579"/>
      <c r="V93" s="595"/>
      <c r="W93" s="595"/>
      <c r="X93" s="595"/>
      <c r="Y93" s="595"/>
      <c r="Z93" s="595"/>
      <c r="AA93" s="595"/>
      <c r="AB93" s="595"/>
      <c r="AC93" s="595"/>
      <c r="AU93" s="319">
        <f>OBJ!B226</f>
        <v>9283231</v>
      </c>
      <c r="AV93" s="21" t="str">
        <f>VLOOKUP(AU93,CENY!$B$11:$G$1054,2,FALSE)</f>
        <v>AvanY-sklo pre vnút.čelo /v66/s900/hr18</v>
      </c>
      <c r="AW93" s="22">
        <f>VLOOKUP(AU93,CENY!$B$11:$G$1054,3,FALSE)</f>
        <v>1</v>
      </c>
      <c r="AX93" s="22"/>
      <c r="AY93" s="23">
        <f>S86</f>
        <v>0</v>
      </c>
      <c r="AZ93" s="326">
        <f>IF(AY93="","",IF($AW$4=1,AY93,0))</f>
        <v>0</v>
      </c>
      <c r="BA93" s="95">
        <f>VLOOKUP(AU93,CENY!$B$11:$M$2025,12,FALSE)</f>
        <v>34.754010000000001</v>
      </c>
      <c r="BB93" s="95">
        <f>IF(BA93="","",BA93*AY93)</f>
        <v>0</v>
      </c>
      <c r="BD93" s="319">
        <f>OBJ!B298</f>
        <v>9256945</v>
      </c>
      <c r="BE93" s="21" t="str">
        <f>VLOOKUP(BD93,CENY!$B$11:$G$1054,2,FALSE)</f>
        <v>Quadro You(S) 270/SiSy 10kg; EB21; pravý</v>
      </c>
      <c r="BF93" s="22">
        <f>VLOOKUP(BD93,CENY!$B$11:$G$1054,3,FALSE)</f>
        <v>20</v>
      </c>
      <c r="BG93" s="22"/>
      <c r="BH93" s="68"/>
      <c r="BI93" s="326" t="str">
        <f t="shared" si="9"/>
        <v/>
      </c>
      <c r="BJ93" s="95">
        <f>VLOOKUP(BD93,CENY!$B$11:$M$2025,12,FALSE)</f>
        <v>10.7646</v>
      </c>
      <c r="BK93" s="95">
        <f t="shared" si="10"/>
        <v>0</v>
      </c>
    </row>
    <row r="94" spans="1:63" ht="14.45" customHeight="1">
      <c r="A94" s="579"/>
      <c r="V94" s="595"/>
      <c r="W94" s="595"/>
      <c r="X94" s="595"/>
      <c r="Y94" s="595"/>
      <c r="Z94" s="595"/>
      <c r="AA94" s="595"/>
      <c r="AB94" s="595"/>
      <c r="AC94" s="595"/>
      <c r="AU94" s="319">
        <f>OBJ!B227</f>
        <v>9283232</v>
      </c>
      <c r="AV94" s="21" t="str">
        <f>VLOOKUP(AU94,CENY!$B$11:$G$1054,2,FALSE)</f>
        <v>AvanY-sklo pre vnút.čelo /v66/s1200/hr18</v>
      </c>
      <c r="AW94" s="22">
        <f>VLOOKUP(AU94,CENY!$B$11:$G$1054,3,FALSE)</f>
        <v>1</v>
      </c>
      <c r="AX94" s="22"/>
      <c r="AY94" s="23">
        <f>U86</f>
        <v>0</v>
      </c>
      <c r="AZ94" s="326">
        <f>IF(AY94="","",IF($AW$4=1,AY94,0))</f>
        <v>0</v>
      </c>
      <c r="BA94" s="95">
        <f>VLOOKUP(AU94,CENY!$B$11:$M$2025,12,FALSE)</f>
        <v>44.803019999999997</v>
      </c>
      <c r="BB94" s="95">
        <f>IF(BA94="","",BA94*AY94)</f>
        <v>0</v>
      </c>
      <c r="BD94" s="319">
        <f>OBJ!B299</f>
        <v>9256946</v>
      </c>
      <c r="BE94" s="21" t="str">
        <f>VLOOKUP(BD94,CENY!$B$11:$G$1054,2,FALSE)</f>
        <v>Quadro You(S) 300/SiSy 10kg; EB21; ľavý</v>
      </c>
      <c r="BF94" s="22">
        <f>VLOOKUP(BD94,CENY!$B$11:$G$1054,3,FALSE)</f>
        <v>20</v>
      </c>
      <c r="BG94" s="22"/>
      <c r="BH94" s="68"/>
      <c r="BI94" s="326" t="str">
        <f t="shared" si="9"/>
        <v/>
      </c>
      <c r="BJ94" s="95">
        <f>VLOOKUP(BD94,CENY!$B$11:$M$2025,12,FALSE)</f>
        <v>10.787739999999999</v>
      </c>
      <c r="BK94" s="95">
        <f t="shared" si="10"/>
        <v>0</v>
      </c>
    </row>
    <row r="95" spans="1:63" ht="14.45" customHeight="1">
      <c r="A95" s="579"/>
      <c r="AU95" s="319">
        <f>OBJ!B228</f>
        <v>9283233</v>
      </c>
      <c r="AV95" s="21" t="str">
        <f>VLOOKUP(AU95,CENY!$B$11:$G$1054,2,FALSE)</f>
        <v>AvanY-sklo pre vnút.čelo /v130/s450/hr18</v>
      </c>
      <c r="AW95" s="22">
        <f>VLOOKUP(AU95,CENY!$B$11:$G$1054,3,FALSE)</f>
        <v>1</v>
      </c>
      <c r="AX95" s="22"/>
      <c r="AY95" s="23">
        <f>AC86</f>
        <v>0</v>
      </c>
      <c r="AZ95" s="326">
        <f>IF(AY95="","",IF($AW$4=1,AY95,0))</f>
        <v>0</v>
      </c>
      <c r="BA95" s="95">
        <f>VLOOKUP(AU95,CENY!$B$11:$M$2025,12,FALSE)</f>
        <v>27.140440000000002</v>
      </c>
      <c r="BB95" s="95">
        <f>IF(BA95="","",BA95*AY95)</f>
        <v>0</v>
      </c>
      <c r="BD95" s="319">
        <f>OBJ!B300</f>
        <v>9256947</v>
      </c>
      <c r="BE95" s="21" t="str">
        <f>VLOOKUP(BD95,CENY!$B$11:$G$1054,2,FALSE)</f>
        <v>Quadro You(S) 300/SiSy 10kg; EB21; pravý</v>
      </c>
      <c r="BF95" s="22">
        <f>VLOOKUP(BD95,CENY!$B$11:$G$1054,3,FALSE)</f>
        <v>20</v>
      </c>
      <c r="BG95" s="22"/>
      <c r="BH95" s="68"/>
      <c r="BI95" s="326" t="str">
        <f t="shared" si="9"/>
        <v/>
      </c>
      <c r="BJ95" s="95">
        <f>VLOOKUP(BD95,CENY!$B$11:$M$2025,12,FALSE)</f>
        <v>10.787739999999999</v>
      </c>
      <c r="BK95" s="95">
        <f t="shared" si="10"/>
        <v>0</v>
      </c>
    </row>
    <row r="96" spans="1:63" ht="14.45" customHeight="1">
      <c r="A96" s="579"/>
      <c r="AU96" s="319">
        <f>OBJ!B229</f>
        <v>9283235</v>
      </c>
      <c r="AV96" s="21" t="str">
        <f>VLOOKUP(AU96,CENY!$B$11:$G$1054,2,FALSE)</f>
        <v>AvanY-sklo pre vnút.čelo /v130/s600/hr18</v>
      </c>
      <c r="AW96" s="22">
        <f>VLOOKUP(AU96,CENY!$B$11:$G$1054,3,FALSE)</f>
        <v>1</v>
      </c>
      <c r="AX96" s="22"/>
      <c r="AY96" s="23">
        <f>AE86</f>
        <v>0</v>
      </c>
      <c r="AZ96" s="326">
        <f t="shared" ref="AZ96:AZ98" si="11">IF(AY96="","",IF($AW$4=1,AY96,0))</f>
        <v>0</v>
      </c>
      <c r="BA96" s="95">
        <f>VLOOKUP(AU96,CENY!$B$11:$M$2025,12,FALSE)</f>
        <v>30.842929999999999</v>
      </c>
      <c r="BB96" s="95">
        <f t="shared" ref="BB96:BB98" si="12">IF(BA96="","",BA96*AY96)</f>
        <v>0</v>
      </c>
      <c r="BD96" s="319">
        <f>OBJ!B301</f>
        <v>9256950</v>
      </c>
      <c r="BE96" s="21" t="str">
        <f>VLOOKUP(BD96,CENY!$B$11:$G$1054,2,FALSE)</f>
        <v>Quadro You(S) 350/SiSy 10kg; EB21; ľavý</v>
      </c>
      <c r="BF96" s="22">
        <f>VLOOKUP(BD96,CENY!$B$11:$G$1054,3,FALSE)</f>
        <v>20</v>
      </c>
      <c r="BG96" s="22"/>
      <c r="BH96" s="68"/>
      <c r="BI96" s="326" t="str">
        <f t="shared" si="9"/>
        <v/>
      </c>
      <c r="BJ96" s="95">
        <f>VLOOKUP(BD96,CENY!$B$11:$M$2025,12,FALSE)</f>
        <v>11.02122</v>
      </c>
      <c r="BK96" s="95">
        <f t="shared" si="10"/>
        <v>0</v>
      </c>
    </row>
    <row r="97" spans="1:63" ht="14.45" customHeight="1">
      <c r="A97" s="579"/>
      <c r="AU97" s="319">
        <f>OBJ!B230</f>
        <v>9283237</v>
      </c>
      <c r="AV97" s="21" t="str">
        <f>VLOOKUP(AU97,CENY!$B$11:$G$1054,2,FALSE)</f>
        <v>AvanY-sklo pre vnút.čelo /v130/s900/hr18</v>
      </c>
      <c r="AW97" s="22">
        <f>VLOOKUP(AU97,CENY!$B$11:$G$1054,3,FALSE)</f>
        <v>1</v>
      </c>
      <c r="AX97" s="22"/>
      <c r="AY97" s="23">
        <f>AG86</f>
        <v>0</v>
      </c>
      <c r="AZ97" s="326">
        <f t="shared" si="11"/>
        <v>0</v>
      </c>
      <c r="BA97" s="95">
        <f>VLOOKUP(AU97,CENY!$B$11:$M$2025,12,FALSE)</f>
        <v>51.404679999999999</v>
      </c>
      <c r="BB97" s="95">
        <f t="shared" si="12"/>
        <v>0</v>
      </c>
      <c r="BD97" s="319">
        <f>OBJ!B302</f>
        <v>9256951</v>
      </c>
      <c r="BE97" s="21" t="str">
        <f>VLOOKUP(BD97,CENY!$B$11:$G$1054,2,FALSE)</f>
        <v>Quadro You(S) 350/SiSy 10kg; EB21; pravý</v>
      </c>
      <c r="BF97" s="22">
        <f>VLOOKUP(BD97,CENY!$B$11:$G$1054,3,FALSE)</f>
        <v>20</v>
      </c>
      <c r="BG97" s="22"/>
      <c r="BH97" s="68"/>
      <c r="BI97" s="326" t="str">
        <f t="shared" si="9"/>
        <v/>
      </c>
      <c r="BJ97" s="95">
        <f>VLOOKUP(BD97,CENY!$B$11:$M$2025,12,FALSE)</f>
        <v>11.02122</v>
      </c>
      <c r="BK97" s="95">
        <f t="shared" si="10"/>
        <v>0</v>
      </c>
    </row>
    <row r="98" spans="1:63" ht="14.45" customHeight="1">
      <c r="A98" s="579"/>
      <c r="AU98" s="319">
        <f>OBJ!B231</f>
        <v>9283238</v>
      </c>
      <c r="AV98" s="21" t="str">
        <f>VLOOKUP(AU98,CENY!$B$11:$G$1054,2,FALSE)</f>
        <v>AvanY-sklo pre vnút.čelo /v130/s1200/hr18</v>
      </c>
      <c r="AW98" s="22">
        <f>VLOOKUP(AU98,CENY!$B$11:$G$1054,3,FALSE)</f>
        <v>1</v>
      </c>
      <c r="AX98" s="22"/>
      <c r="AY98" s="23">
        <f>AI86</f>
        <v>0</v>
      </c>
      <c r="AZ98" s="326">
        <f t="shared" si="11"/>
        <v>0</v>
      </c>
      <c r="BA98" s="95">
        <f>VLOOKUP(AU98,CENY!$B$11:$M$2025,12,FALSE)</f>
        <v>66.209140000000005</v>
      </c>
      <c r="BB98" s="95">
        <f t="shared" si="12"/>
        <v>0</v>
      </c>
      <c r="BD98" s="319"/>
      <c r="BE98" s="21"/>
      <c r="BF98" s="22"/>
      <c r="BG98" s="22"/>
      <c r="BH98" s="23"/>
      <c r="BI98" s="326" t="str">
        <f t="shared" si="9"/>
        <v/>
      </c>
      <c r="BJ98" s="95"/>
      <c r="BK98" s="95" t="str">
        <f t="shared" si="10"/>
        <v/>
      </c>
    </row>
    <row r="99" spans="1:63" ht="14.45" customHeight="1">
      <c r="A99" s="579"/>
      <c r="AU99" s="319"/>
      <c r="AV99" s="21"/>
      <c r="AW99" s="368"/>
      <c r="AX99" s="368"/>
      <c r="AY99" s="369"/>
      <c r="AZ99" s="326" t="str">
        <f t="shared" si="8"/>
        <v/>
      </c>
      <c r="BA99" s="95"/>
      <c r="BB99" s="95" t="str">
        <f t="shared" si="7"/>
        <v/>
      </c>
      <c r="BD99" s="319">
        <f>OBJ!B312</f>
        <v>9256854</v>
      </c>
      <c r="BE99" s="21" t="str">
        <f>VLOOKUP(BD99,CENY!$B$11:$G$1054,2,FALSE)</f>
        <v>Quadro You(M) 270/SiSy 20kg; EB21; ľavý</v>
      </c>
      <c r="BF99" s="22">
        <f>VLOOKUP(BD99,CENY!$B$11:$G$1054,3,FALSE)</f>
        <v>20</v>
      </c>
      <c r="BG99" s="22"/>
      <c r="BH99" s="68"/>
      <c r="BI99" s="326" t="str">
        <f t="shared" si="9"/>
        <v/>
      </c>
      <c r="BJ99" s="95">
        <f>VLOOKUP(BD99,CENY!$B$11:$M$2025,12,FALSE)</f>
        <v>10.7646</v>
      </c>
      <c r="BK99" s="95">
        <f t="shared" si="10"/>
        <v>0</v>
      </c>
    </row>
    <row r="100" spans="1:63" ht="14.45" customHeight="1">
      <c r="A100" s="579"/>
      <c r="AU100" s="372" t="s">
        <v>595</v>
      </c>
      <c r="AV100" s="21"/>
      <c r="AW100" s="613" t="s">
        <v>596</v>
      </c>
      <c r="AX100" s="613"/>
      <c r="AY100" s="613"/>
      <c r="AZ100" s="326" t="str">
        <f t="shared" si="8"/>
        <v/>
      </c>
      <c r="BA100" s="95"/>
      <c r="BB100" s="95" t="str">
        <f t="shared" si="7"/>
        <v/>
      </c>
      <c r="BD100" s="319">
        <f>OBJ!B313</f>
        <v>9256855</v>
      </c>
      <c r="BE100" s="21" t="str">
        <f>VLOOKUP(BD100,CENY!$B$11:$G$1054,2,FALSE)</f>
        <v>Quadro You(M) 270/SiSy 20kg; EB21; pravý</v>
      </c>
      <c r="BF100" s="22">
        <f>VLOOKUP(BD100,CENY!$B$11:$G$1054,3,FALSE)</f>
        <v>20</v>
      </c>
      <c r="BG100" s="22"/>
      <c r="BH100" s="68"/>
      <c r="BI100" s="326" t="str">
        <f t="shared" si="9"/>
        <v/>
      </c>
      <c r="BJ100" s="95">
        <f>VLOOKUP(BD100,CENY!$B$11:$M$2025,12,FALSE)</f>
        <v>10.7646</v>
      </c>
      <c r="BK100" s="95">
        <f t="shared" si="10"/>
        <v>0</v>
      </c>
    </row>
    <row r="101" spans="1:63">
      <c r="A101" s="579"/>
      <c r="AU101" s="381">
        <f>1*(AY1)*(SUM(W20:AD20)+SUM(W22:AF22)+SUM(W28:AD28))</f>
        <v>0</v>
      </c>
      <c r="AV101" s="329" t="s">
        <v>356</v>
      </c>
      <c r="AW101" s="612">
        <f>1*(AY3)*(SUM(W20:AD20)+SUM(W22:AF22)+SUM(W28:AD28))</f>
        <v>0</v>
      </c>
      <c r="AX101" s="612"/>
      <c r="AY101" s="612"/>
      <c r="AZ101" s="326" t="str">
        <f t="shared" si="8"/>
        <v/>
      </c>
      <c r="BA101" s="95"/>
      <c r="BB101" s="95" t="str">
        <f t="shared" si="7"/>
        <v/>
      </c>
      <c r="BD101" s="319">
        <f>OBJ!B314</f>
        <v>9256856</v>
      </c>
      <c r="BE101" s="21" t="str">
        <f>VLOOKUP(BD101,CENY!$B$11:$G$1054,2,FALSE)</f>
        <v>Quadro You(M) 300/SiSy 20kg; EB21; ľavý</v>
      </c>
      <c r="BF101" s="22">
        <f>VLOOKUP(BD101,CENY!$B$11:$G$1054,3,FALSE)</f>
        <v>20</v>
      </c>
      <c r="BG101" s="22"/>
      <c r="BH101" s="68"/>
      <c r="BI101" s="326" t="str">
        <f t="shared" si="9"/>
        <v/>
      </c>
      <c r="BJ101" s="95">
        <f>VLOOKUP(BD101,CENY!$B$11:$M$2025,12,FALSE)</f>
        <v>10.787739999999999</v>
      </c>
      <c r="BK101" s="95">
        <f t="shared" si="10"/>
        <v>0</v>
      </c>
    </row>
    <row r="102" spans="1:63">
      <c r="A102" s="579"/>
      <c r="AU102" s="20"/>
      <c r="AV102" s="21"/>
      <c r="AW102" s="612"/>
      <c r="AX102" s="612"/>
      <c r="AY102" s="612"/>
      <c r="AZ102" s="326" t="str">
        <f t="shared" si="8"/>
        <v/>
      </c>
      <c r="BA102" s="95"/>
      <c r="BB102" s="95" t="str">
        <f t="shared" si="7"/>
        <v/>
      </c>
      <c r="BD102" s="319">
        <f>OBJ!B315</f>
        <v>9256857</v>
      </c>
      <c r="BE102" s="21" t="str">
        <f>VLOOKUP(BD102,CENY!$B$11:$G$1054,2,FALSE)</f>
        <v>Quadro You(M) 300/SiSy 20kg; EB21; pravý</v>
      </c>
      <c r="BF102" s="22">
        <f>VLOOKUP(BD102,CENY!$B$11:$G$1054,3,FALSE)</f>
        <v>20</v>
      </c>
      <c r="BG102" s="22"/>
      <c r="BH102" s="68"/>
      <c r="BI102" s="326" t="str">
        <f t="shared" si="9"/>
        <v/>
      </c>
      <c r="BJ102" s="95">
        <f>VLOOKUP(BD102,CENY!$B$11:$M$2025,12,FALSE)</f>
        <v>10.787739999999999</v>
      </c>
      <c r="BK102" s="95">
        <f t="shared" si="10"/>
        <v>0</v>
      </c>
    </row>
    <row r="103" spans="1:63">
      <c r="A103" s="579"/>
      <c r="AU103" s="382">
        <f>SUM(O85:AJ85)*AY1</f>
        <v>0</v>
      </c>
      <c r="AV103" s="21" t="s">
        <v>357</v>
      </c>
      <c r="AW103" s="612">
        <f>SUM(O86:AJ86)</f>
        <v>0</v>
      </c>
      <c r="AX103" s="612"/>
      <c r="AY103" s="612"/>
      <c r="AZ103" s="326" t="str">
        <f t="shared" si="8"/>
        <v/>
      </c>
      <c r="BA103" s="95"/>
      <c r="BB103" s="95" t="str">
        <f t="shared" si="7"/>
        <v/>
      </c>
      <c r="BD103" s="319">
        <f>OBJ!B316</f>
        <v>9256860</v>
      </c>
      <c r="BE103" s="21" t="str">
        <f>VLOOKUP(BD103,CENY!$B$11:$G$1054,2,FALSE)</f>
        <v>Quadro You(M) 350/SiSy 25kg; EB21; ľavý</v>
      </c>
      <c r="BF103" s="22">
        <f>VLOOKUP(BD103,CENY!$B$11:$G$1054,3,FALSE)</f>
        <v>20</v>
      </c>
      <c r="BG103" s="22"/>
      <c r="BH103" s="68"/>
      <c r="BI103" s="326" t="str">
        <f t="shared" si="9"/>
        <v/>
      </c>
      <c r="BJ103" s="95">
        <f>VLOOKUP(BD103,CENY!$B$11:$M$2025,12,FALSE)</f>
        <v>11.02122</v>
      </c>
      <c r="BK103" s="95">
        <f t="shared" si="10"/>
        <v>0</v>
      </c>
    </row>
    <row r="104" spans="1:63">
      <c r="A104" s="579"/>
      <c r="AU104" s="383">
        <f>AU101-AU103</f>
        <v>0</v>
      </c>
      <c r="AV104" s="21"/>
      <c r="AW104" s="612">
        <f>AW101-AW103</f>
        <v>0</v>
      </c>
      <c r="AX104" s="612"/>
      <c r="AY104" s="612"/>
      <c r="AZ104" s="326" t="str">
        <f t="shared" si="8"/>
        <v/>
      </c>
      <c r="BA104" s="95"/>
      <c r="BB104" s="95" t="str">
        <f t="shared" si="7"/>
        <v/>
      </c>
      <c r="BD104" s="319">
        <f>OBJ!B317</f>
        <v>9256861</v>
      </c>
      <c r="BE104" s="21" t="str">
        <f>VLOOKUP(BD104,CENY!$B$11:$G$1054,2,FALSE)</f>
        <v>Quadro You(M) 350/SiSy 25kg; EB21; pravý</v>
      </c>
      <c r="BF104" s="22">
        <f>VLOOKUP(BD104,CENY!$B$11:$G$1054,3,FALSE)</f>
        <v>20</v>
      </c>
      <c r="BG104" s="22"/>
      <c r="BH104" s="68"/>
      <c r="BI104" s="326" t="str">
        <f t="shared" si="9"/>
        <v/>
      </c>
      <c r="BJ104" s="95">
        <f>VLOOKUP(BD104,CENY!$B$11:$M$2025,12,FALSE)</f>
        <v>11.02122</v>
      </c>
      <c r="BK104" s="95">
        <f t="shared" si="10"/>
        <v>0</v>
      </c>
    </row>
    <row r="105" spans="1:63">
      <c r="A105" s="579"/>
      <c r="AU105" s="383">
        <f>ABS(AU104)</f>
        <v>0</v>
      </c>
      <c r="AV105" s="21"/>
      <c r="AW105" s="612">
        <f>ABS(AW104)</f>
        <v>0</v>
      </c>
      <c r="AX105" s="612"/>
      <c r="AY105" s="612"/>
      <c r="AZ105" s="326" t="str">
        <f t="shared" si="8"/>
        <v/>
      </c>
      <c r="BA105" s="95"/>
      <c r="BB105" s="95" t="str">
        <f t="shared" si="7"/>
        <v/>
      </c>
      <c r="BD105" s="319">
        <f>OBJ!B318</f>
        <v>9256864</v>
      </c>
      <c r="BE105" s="21" t="str">
        <f>VLOOKUP(BD105,CENY!$B$11:$G$1054,2,FALSE)</f>
        <v>Quadro You(M) 400/SiSy 30kg; EB21; ľavý</v>
      </c>
      <c r="BF105" s="22">
        <f>VLOOKUP(BD105,CENY!$B$11:$G$1054,3,FALSE)</f>
        <v>20</v>
      </c>
      <c r="BG105" s="22"/>
      <c r="BH105" s="68"/>
      <c r="BI105" s="326" t="str">
        <f t="shared" si="9"/>
        <v/>
      </c>
      <c r="BJ105" s="95">
        <f>VLOOKUP(BD105,CENY!$B$11:$M$2025,12,FALSE)</f>
        <v>11.25459</v>
      </c>
      <c r="BK105" s="95">
        <f t="shared" si="10"/>
        <v>0</v>
      </c>
    </row>
    <row r="106" spans="1:63">
      <c r="AU106" s="20"/>
      <c r="AV106" s="21"/>
      <c r="AW106" s="612"/>
      <c r="AX106" s="612"/>
      <c r="AY106" s="612"/>
      <c r="AZ106" s="326" t="str">
        <f t="shared" si="8"/>
        <v/>
      </c>
      <c r="BA106" s="95"/>
      <c r="BB106" s="95" t="str">
        <f t="shared" si="7"/>
        <v/>
      </c>
      <c r="BD106" s="319">
        <f>OBJ!B319</f>
        <v>9256865</v>
      </c>
      <c r="BE106" s="21" t="str">
        <f>VLOOKUP(BD106,CENY!$B$11:$G$1054,2,FALSE)</f>
        <v>Quadro You(M) 400/SiSy 30kg; EB21; pravý</v>
      </c>
      <c r="BF106" s="22">
        <f>VLOOKUP(BD106,CENY!$B$11:$G$1054,3,FALSE)</f>
        <v>20</v>
      </c>
      <c r="BG106" s="22"/>
      <c r="BH106" s="68"/>
      <c r="BI106" s="326" t="str">
        <f t="shared" si="9"/>
        <v/>
      </c>
      <c r="BJ106" s="95">
        <f>VLOOKUP(BD106,CENY!$B$11:$M$2025,12,FALSE)</f>
        <v>11.25459</v>
      </c>
      <c r="BK106" s="95">
        <f t="shared" si="10"/>
        <v>0</v>
      </c>
    </row>
    <row r="107" spans="1:63">
      <c r="AU107" s="383">
        <f>(AU103-1)*4+SUM(O81:AJ81)</f>
        <v>-4</v>
      </c>
      <c r="AV107" s="21" t="s">
        <v>358</v>
      </c>
      <c r="AW107" s="612">
        <f>(AW103-1)*4+SUM(O82:AJ82)</f>
        <v>-4</v>
      </c>
      <c r="AX107" s="612"/>
      <c r="AY107" s="612"/>
      <c r="AZ107" s="326" t="str">
        <f t="shared" si="8"/>
        <v/>
      </c>
      <c r="BA107" s="95"/>
      <c r="BB107" s="95" t="str">
        <f t="shared" si="7"/>
        <v/>
      </c>
      <c r="BD107" s="319">
        <f>OBJ!B320</f>
        <v>9256868</v>
      </c>
      <c r="BE107" s="21" t="str">
        <f>VLOOKUP(BD107,CENY!$B$11:$G$1054,2,FALSE)</f>
        <v>Quadro You(M) 450/SiSy 30kg; EB21; ľavý</v>
      </c>
      <c r="BF107" s="22">
        <f>VLOOKUP(BD107,CENY!$B$11:$G$1054,3,FALSE)</f>
        <v>20</v>
      </c>
      <c r="BG107" s="22"/>
      <c r="BH107" s="23">
        <f>AY64</f>
        <v>0</v>
      </c>
      <c r="BI107" s="326">
        <f t="shared" si="9"/>
        <v>0</v>
      </c>
      <c r="BJ107" s="95">
        <f>VLOOKUP(BD107,CENY!$B$11:$M$2025,12,FALSE)</f>
        <v>11.487740000000001</v>
      </c>
      <c r="BK107" s="95">
        <f t="shared" si="10"/>
        <v>0</v>
      </c>
    </row>
    <row r="108" spans="1:63">
      <c r="AU108" s="22"/>
      <c r="AV108" s="21"/>
      <c r="AW108" s="370"/>
      <c r="AX108" s="370"/>
      <c r="AY108" s="371"/>
      <c r="AZ108" s="326" t="str">
        <f t="shared" si="8"/>
        <v/>
      </c>
      <c r="BA108" s="95"/>
      <c r="BB108" s="95" t="str">
        <f t="shared" si="7"/>
        <v/>
      </c>
      <c r="BD108" s="319">
        <f>OBJ!B321</f>
        <v>9256869</v>
      </c>
      <c r="BE108" s="21" t="str">
        <f>VLOOKUP(BD108,CENY!$B$11:$G$1054,2,FALSE)</f>
        <v>Quadro You(M) 450/SiSy 30kg; EB21; pravý</v>
      </c>
      <c r="BF108" s="22">
        <f>VLOOKUP(BD108,CENY!$B$11:$G$1054,3,FALSE)</f>
        <v>20</v>
      </c>
      <c r="BG108" s="22"/>
      <c r="BH108" s="23">
        <f>AY64</f>
        <v>0</v>
      </c>
      <c r="BI108" s="326">
        <f t="shared" si="9"/>
        <v>0</v>
      </c>
      <c r="BJ108" s="95">
        <f>VLOOKUP(BD108,CENY!$B$11:$M$2025,12,FALSE)</f>
        <v>11.487740000000001</v>
      </c>
      <c r="BK108" s="95">
        <f t="shared" si="10"/>
        <v>0</v>
      </c>
    </row>
    <row r="109" spans="1:63">
      <c r="AU109" s="335" t="str">
        <f>IF(AW103=0,verze!E169&amp;" "&amp;AW101&amp;" "&amp;verze!E170,"")</f>
        <v>Je potrebné vybrať 0 ks vnútorných čiel.</v>
      </c>
      <c r="AV109" s="21"/>
      <c r="AW109" s="22"/>
      <c r="AX109" s="22"/>
      <c r="AY109" s="23"/>
      <c r="AZ109" s="326" t="str">
        <f t="shared" si="8"/>
        <v/>
      </c>
      <c r="BA109" s="95"/>
      <c r="BB109" s="95" t="str">
        <f t="shared" si="7"/>
        <v/>
      </c>
      <c r="BD109" s="319">
        <f>OBJ!B322</f>
        <v>9256872</v>
      </c>
      <c r="BE109" s="21" t="str">
        <f>VLOOKUP(BD109,CENY!$B$11:$G$1054,2,FALSE)</f>
        <v>Quadro You(M) 500/SiSy 30kg; EB21; ľavý</v>
      </c>
      <c r="BF109" s="22">
        <f>VLOOKUP(BD109,CENY!$B$11:$G$1054,3,FALSE)</f>
        <v>20</v>
      </c>
      <c r="BG109" s="22"/>
      <c r="BH109" s="23">
        <f>AY65</f>
        <v>0</v>
      </c>
      <c r="BI109" s="326">
        <f t="shared" si="9"/>
        <v>0</v>
      </c>
      <c r="BJ109" s="95">
        <f>VLOOKUP(BD109,CENY!$B$11:$M$2025,12,FALSE)</f>
        <v>11.163180000000001</v>
      </c>
      <c r="BK109" s="95">
        <f t="shared" si="10"/>
        <v>0</v>
      </c>
    </row>
    <row r="110" spans="1:63">
      <c r="AU110" s="335" t="str">
        <f>IF(AW103=0,"",IF(AW101=AW103,verze!E174,IF(AW104&gt;0,verze!E171&amp;" "&amp;AW104&amp;" "&amp;verze!E170,verze!E172&amp;" "&amp;AW105&amp;" "&amp;verze!E173)))</f>
        <v/>
      </c>
      <c r="AV110" s="21"/>
      <c r="AW110" s="22"/>
      <c r="AX110" s="22"/>
      <c r="AY110" s="23"/>
      <c r="AZ110" s="326" t="str">
        <f t="shared" si="8"/>
        <v/>
      </c>
      <c r="BA110" s="95"/>
      <c r="BB110" s="95" t="str">
        <f t="shared" si="7"/>
        <v/>
      </c>
      <c r="BD110" s="319">
        <f>OBJ!B323</f>
        <v>9256873</v>
      </c>
      <c r="BE110" s="21" t="str">
        <f>VLOOKUP(BD110,CENY!$B$11:$G$1054,2,FALSE)</f>
        <v>Quadro You(M) 500/SiSy 30kg; EB21; pravý</v>
      </c>
      <c r="BF110" s="22">
        <f>VLOOKUP(BD110,CENY!$B$11:$G$1054,3,FALSE)</f>
        <v>20</v>
      </c>
      <c r="BG110" s="22"/>
      <c r="BH110" s="23">
        <f>AY65</f>
        <v>0</v>
      </c>
      <c r="BI110" s="326">
        <f t="shared" si="9"/>
        <v>0</v>
      </c>
      <c r="BJ110" s="95">
        <f>VLOOKUP(BD110,CENY!$B$11:$M$2025,12,FALSE)</f>
        <v>11.163180000000001</v>
      </c>
      <c r="BK110" s="95">
        <f t="shared" si="10"/>
        <v>0</v>
      </c>
    </row>
    <row r="111" spans="1:63">
      <c r="AU111" s="20"/>
      <c r="AV111" s="21"/>
      <c r="AW111" s="22"/>
      <c r="AX111" s="22"/>
      <c r="AY111" s="23"/>
      <c r="AZ111" s="326" t="str">
        <f t="shared" si="8"/>
        <v/>
      </c>
      <c r="BA111" s="95"/>
      <c r="BB111" s="95" t="str">
        <f t="shared" si="7"/>
        <v/>
      </c>
      <c r="BD111" s="319">
        <f>OBJ!B324</f>
        <v>9256876</v>
      </c>
      <c r="BE111" s="21" t="str">
        <f>VLOOKUP(BD111,CENY!$B$11:$G$1054,2,FALSE)</f>
        <v>Quadro You(M) 550/SiSy 30kg; EB21; ľavý</v>
      </c>
      <c r="BF111" s="22">
        <f>VLOOKUP(BD111,CENY!$B$11:$G$1054,3,FALSE)</f>
        <v>20</v>
      </c>
      <c r="BG111" s="22"/>
      <c r="BH111" s="23">
        <f>AY66</f>
        <v>0</v>
      </c>
      <c r="BI111" s="326">
        <f t="shared" si="9"/>
        <v>0</v>
      </c>
      <c r="BJ111" s="95">
        <f>VLOOKUP(BD111,CENY!$B$11:$M$2025,12,FALSE)</f>
        <v>11.38542</v>
      </c>
      <c r="BK111" s="95">
        <f t="shared" si="10"/>
        <v>0</v>
      </c>
    </row>
    <row r="112" spans="1:63">
      <c r="AU112" s="374">
        <f>OBJ!B367</f>
        <v>9099540</v>
      </c>
      <c r="AV112" s="375" t="str">
        <f>VLOOKUP(AU112,CENY!$B$11:$G$1054,2,FALSE)</f>
        <v>SENSYS 8657i 165st. B12,5/TH52</v>
      </c>
      <c r="AW112" s="22">
        <f>VLOOKUP(AU112,CENY!$B$11:$G$1054,3,FALSE)</f>
        <v>50</v>
      </c>
      <c r="AX112" s="22"/>
      <c r="AY112" s="23">
        <f>VLOOKUP(SUM(AY1:AY4),AY159:AZ166,2,FALSE)*(SUM(W20:AD20)+SUM(W22:AF22)+SUM(W28:AD28))*IF(AND(SUM(AG86:AJ86)=0,SUM(S86:V86)=0),1,2)</f>
        <v>0</v>
      </c>
      <c r="AZ112" s="326">
        <f t="shared" si="8"/>
        <v>0</v>
      </c>
      <c r="BA112" s="95">
        <f>VLOOKUP(AU112,CENY!$B$11:$M$2025,12,FALSE)</f>
        <v>6.6812800000000001</v>
      </c>
      <c r="BB112" s="95">
        <f t="shared" si="7"/>
        <v>0</v>
      </c>
      <c r="BD112" s="319">
        <f>OBJ!B325</f>
        <v>9256877</v>
      </c>
      <c r="BE112" s="21" t="str">
        <f>VLOOKUP(BD112,CENY!$B$11:$G$1054,2,FALSE)</f>
        <v>Quadro You(M) 550/SiSy 30kg; EB21; pravý</v>
      </c>
      <c r="BF112" s="22">
        <f>VLOOKUP(BD112,CENY!$B$11:$G$1054,3,FALSE)</f>
        <v>20</v>
      </c>
      <c r="BG112" s="22"/>
      <c r="BH112" s="23">
        <f>AY66</f>
        <v>0</v>
      </c>
      <c r="BI112" s="326">
        <f t="shared" si="9"/>
        <v>0</v>
      </c>
      <c r="BJ112" s="95">
        <f>VLOOKUP(BD112,CENY!$B$11:$M$2025,12,FALSE)</f>
        <v>11.954689999999999</v>
      </c>
      <c r="BK112" s="95">
        <f t="shared" si="10"/>
        <v>0</v>
      </c>
    </row>
    <row r="113" spans="47:63">
      <c r="AU113" s="374">
        <f>OBJ!B368</f>
        <v>9099600</v>
      </c>
      <c r="AV113" s="375" t="str">
        <f>VLOOKUP(AU113,CENY!$B$11:$G$1054,2,FALSE)</f>
        <v>SENSYS 8657 165st. B12,5/TH52 (bez SiSy)</v>
      </c>
      <c r="AW113" s="22">
        <f>VLOOKUP(AU113,CENY!$B$11:$G$1054,3,FALSE)</f>
        <v>50</v>
      </c>
      <c r="AX113" s="22"/>
      <c r="AY113" s="68"/>
      <c r="AZ113" s="326" t="str">
        <f t="shared" si="8"/>
        <v/>
      </c>
      <c r="BA113" s="95">
        <f>VLOOKUP(AU113,CENY!$B$11:$M$2025,12,FALSE)</f>
        <v>6.23475</v>
      </c>
      <c r="BB113" s="95">
        <f t="shared" si="7"/>
        <v>0</v>
      </c>
      <c r="BD113" s="319">
        <f>OBJ!B326</f>
        <v>9256880</v>
      </c>
      <c r="BE113" s="21" t="str">
        <f>VLOOKUP(BD113,CENY!$B$11:$G$1054,2,FALSE)</f>
        <v>Quadro You(M) 600/SiSy 25kg; EB21; ľavý</v>
      </c>
      <c r="BF113" s="22">
        <f>VLOOKUP(BD113,CENY!$B$11:$G$1054,3,FALSE)</f>
        <v>20</v>
      </c>
      <c r="BG113" s="22"/>
      <c r="BH113" s="23">
        <f>AY67</f>
        <v>0</v>
      </c>
      <c r="BI113" s="326">
        <f t="shared" si="9"/>
        <v>0</v>
      </c>
      <c r="BJ113" s="95">
        <f>VLOOKUP(BD113,CENY!$B$11:$M$2025,12,FALSE)</f>
        <v>12.187939999999999</v>
      </c>
      <c r="BK113" s="95">
        <f t="shared" si="10"/>
        <v>0</v>
      </c>
    </row>
    <row r="114" spans="47:63">
      <c r="AU114" s="374">
        <f>OBJ!B369</f>
        <v>9099660</v>
      </c>
      <c r="AV114" s="375" t="str">
        <f>VLOOKUP(AU114,CENY!$B$11:$G$1054,2,FALSE)</f>
        <v>SENSYS 8687 165st. B12,5/TH52 (pre P2O)</v>
      </c>
      <c r="AW114" s="22">
        <f>VLOOKUP(AU114,CENY!$B$11:$G$1054,3,FALSE)</f>
        <v>50</v>
      </c>
      <c r="AX114" s="22"/>
      <c r="AY114" s="68"/>
      <c r="AZ114" s="326" t="str">
        <f t="shared" si="8"/>
        <v/>
      </c>
      <c r="BA114" s="95">
        <f>VLOOKUP(AU114,CENY!$B$11:$M$2025,12,FALSE)</f>
        <v>6.4656099999999999</v>
      </c>
      <c r="BB114" s="95">
        <f t="shared" si="7"/>
        <v>0</v>
      </c>
      <c r="BD114" s="319">
        <f>OBJ!B327</f>
        <v>9256881</v>
      </c>
      <c r="BE114" s="21" t="str">
        <f>VLOOKUP(BD114,CENY!$B$11:$G$1054,2,FALSE)</f>
        <v>Quadro You(M) 600/SiSy 25kg; EB21; pravý</v>
      </c>
      <c r="BF114" s="22">
        <f>VLOOKUP(BD114,CENY!$B$11:$G$1054,3,FALSE)</f>
        <v>20</v>
      </c>
      <c r="BG114" s="22"/>
      <c r="BH114" s="23">
        <f>AY67</f>
        <v>0</v>
      </c>
      <c r="BI114" s="326">
        <f t="shared" si="9"/>
        <v>0</v>
      </c>
      <c r="BJ114" s="95">
        <f>VLOOKUP(BD114,CENY!$B$11:$M$2025,12,FALSE)</f>
        <v>12.187939999999999</v>
      </c>
      <c r="BK114" s="95">
        <f t="shared" si="10"/>
        <v>0</v>
      </c>
    </row>
    <row r="115" spans="47:63">
      <c r="AU115" s="374">
        <f>OBJ!B370</f>
        <v>9071576</v>
      </c>
      <c r="AV115" s="375" t="str">
        <f>VLOOKUP(AU115,CENY!$B$11:$G$1054,2,FALSE)</f>
        <v>Podložka SENSYS k naskrut./D=1,5 mm</v>
      </c>
      <c r="AW115" s="22">
        <f>VLOOKUP(AU115,CENY!$B$11:$G$1054,3,FALSE)</f>
        <v>200</v>
      </c>
      <c r="AX115" s="22"/>
      <c r="AY115" s="23">
        <f>AY112</f>
        <v>0</v>
      </c>
      <c r="AZ115" s="326">
        <f t="shared" si="8"/>
        <v>0</v>
      </c>
      <c r="BA115" s="95">
        <f>VLOOKUP(AU115,CENY!$B$11:$M$2025,12,FALSE)</f>
        <v>0.38334000000000001</v>
      </c>
      <c r="BB115" s="95">
        <f t="shared" si="7"/>
        <v>0</v>
      </c>
      <c r="BD115" s="319"/>
      <c r="BE115" s="21"/>
      <c r="BF115" s="22"/>
      <c r="BG115" s="22"/>
      <c r="BH115" s="23"/>
      <c r="BI115" s="326" t="str">
        <f t="shared" si="9"/>
        <v/>
      </c>
      <c r="BJ115" s="95"/>
      <c r="BK115" s="95" t="str">
        <f t="shared" si="10"/>
        <v/>
      </c>
    </row>
    <row r="116" spans="47:63">
      <c r="AU116" s="374">
        <f>OBJ!B371</f>
        <v>9071671</v>
      </c>
      <c r="AV116" s="375" t="str">
        <f>VLOOKUP(AU116,CENY!$B$11:$G$1054,2,FALSE)</f>
        <v>Podlož.SENSYS s predm.skr.D=1,5(exc.)</v>
      </c>
      <c r="AW116" s="22">
        <f>VLOOKUP(AU116,CENY!$B$11:$G$1054,3,FALSE)</f>
        <v>200</v>
      </c>
      <c r="AX116" s="22"/>
      <c r="AY116" s="68"/>
      <c r="AZ116" s="326" t="str">
        <f t="shared" si="8"/>
        <v/>
      </c>
      <c r="BA116" s="95">
        <f>VLOOKUP(AU116,CENY!$B$11:$M$2025,12,FALSE)</f>
        <v>0.82479999999999998</v>
      </c>
      <c r="BB116" s="95">
        <f t="shared" si="7"/>
        <v>0</v>
      </c>
      <c r="BD116" s="319">
        <f>OBJ!B329</f>
        <v>9257894</v>
      </c>
      <c r="BE116" s="21" t="str">
        <f>VLOOKUP(BD116,CENY!$B$11:$G$1054,2,FALSE)</f>
        <v>Quadro You - Push to open Silent; &lt;10kg</v>
      </c>
      <c r="BF116" s="22">
        <f>VLOOKUP(BD116,CENY!$B$11:$G$1054,3,FALSE)</f>
        <v>1</v>
      </c>
      <c r="BG116" s="22"/>
      <c r="BH116" s="68"/>
      <c r="BI116" s="326" t="str">
        <f t="shared" si="9"/>
        <v/>
      </c>
      <c r="BJ116" s="95">
        <f>VLOOKUP(BD116,CENY!$B$11:$M$2025,12,FALSE)</f>
        <v>23.114239999999999</v>
      </c>
      <c r="BK116" s="95">
        <f t="shared" si="10"/>
        <v>0</v>
      </c>
    </row>
    <row r="117" spans="47:63">
      <c r="AU117" s="20"/>
      <c r="AV117" s="21"/>
      <c r="AW117" s="22"/>
      <c r="AX117" s="22"/>
      <c r="AY117" s="23"/>
      <c r="AZ117" s="326" t="str">
        <f t="shared" si="8"/>
        <v/>
      </c>
      <c r="BA117" s="95"/>
      <c r="BB117" s="95" t="str">
        <f t="shared" si="7"/>
        <v/>
      </c>
      <c r="BD117" s="319">
        <f>OBJ!B330</f>
        <v>9257895</v>
      </c>
      <c r="BE117" s="21" t="str">
        <f>VLOOKUP(BD117,CENY!$B$11:$G$1054,2,FALSE)</f>
        <v>Quadro You - Push to open Silent; 8-20kg</v>
      </c>
      <c r="BF117" s="22">
        <f>VLOOKUP(BD117,CENY!$B$11:$G$1054,3,FALSE)</f>
        <v>1</v>
      </c>
      <c r="BG117" s="22"/>
      <c r="BH117" s="68"/>
      <c r="BI117" s="326" t="str">
        <f t="shared" si="9"/>
        <v/>
      </c>
      <c r="BJ117" s="95">
        <f>VLOOKUP(BD117,CENY!$B$11:$M$2025,12,FALSE)</f>
        <v>23.114239999999999</v>
      </c>
      <c r="BK117" s="95">
        <f t="shared" si="10"/>
        <v>0</v>
      </c>
    </row>
    <row r="118" spans="47:63">
      <c r="AU118" s="20"/>
      <c r="AV118" s="21"/>
      <c r="AW118" s="22"/>
      <c r="AX118" s="22"/>
      <c r="AY118" s="23"/>
      <c r="AZ118" s="326" t="str">
        <f t="shared" si="8"/>
        <v/>
      </c>
      <c r="BA118" s="95"/>
      <c r="BB118" s="95" t="str">
        <f t="shared" si="7"/>
        <v/>
      </c>
      <c r="BD118" s="319">
        <f>OBJ!B331</f>
        <v>9257896</v>
      </c>
      <c r="BE118" s="21" t="str">
        <f>VLOOKUP(BD118,CENY!$B$11:$G$1054,2,FALSE)</f>
        <v>Quadro You - Push to open Silent; 10-30kg</v>
      </c>
      <c r="BF118" s="22">
        <f>VLOOKUP(BD118,CENY!$B$11:$G$1054,3,FALSE)</f>
        <v>1</v>
      </c>
      <c r="BG118" s="22"/>
      <c r="BH118" s="68"/>
      <c r="BI118" s="326" t="str">
        <f t="shared" si="9"/>
        <v/>
      </c>
      <c r="BJ118" s="95">
        <f>VLOOKUP(BD118,CENY!$B$11:$M$2025,12,FALSE)</f>
        <v>23.114239999999999</v>
      </c>
      <c r="BK118" s="95">
        <f t="shared" si="10"/>
        <v>0</v>
      </c>
    </row>
    <row r="119" spans="47:63">
      <c r="AU119" s="20"/>
      <c r="AV119" s="21"/>
      <c r="AW119" s="22"/>
      <c r="AX119" s="22"/>
      <c r="AY119" s="23"/>
      <c r="AZ119" s="326" t="str">
        <f t="shared" si="8"/>
        <v/>
      </c>
      <c r="BA119" s="95"/>
      <c r="BB119" s="95" t="str">
        <f t="shared" si="7"/>
        <v/>
      </c>
      <c r="BD119" s="319"/>
      <c r="BE119" s="21"/>
      <c r="BF119" s="22"/>
      <c r="BG119" s="22"/>
      <c r="BH119" s="23"/>
      <c r="BI119" s="326" t="str">
        <f t="shared" si="9"/>
        <v/>
      </c>
      <c r="BJ119" s="95"/>
      <c r="BK119" s="95" t="str">
        <f t="shared" si="10"/>
        <v/>
      </c>
    </row>
    <row r="120" spans="47:63">
      <c r="AU120" s="20"/>
      <c r="AV120" s="21"/>
      <c r="AW120" s="22"/>
      <c r="AX120" s="22"/>
      <c r="AY120" s="23"/>
      <c r="AZ120" s="326" t="str">
        <f t="shared" si="8"/>
        <v/>
      </c>
      <c r="BA120" s="95"/>
      <c r="BB120" s="95" t="str">
        <f t="shared" si="7"/>
        <v/>
      </c>
      <c r="BD120" s="319">
        <f>OBJ!B341</f>
        <v>9256899</v>
      </c>
      <c r="BE120" s="21" t="str">
        <f>VLOOKUP(BD120,CENY!$B$11:$G$1054,2,FALSE)</f>
        <v>Quadro You(M) 270/P2O 20kg; EB21; ľavý</v>
      </c>
      <c r="BF120" s="22">
        <f>VLOOKUP(BD120,CENY!$B$11:$G$1054,3,FALSE)</f>
        <v>20</v>
      </c>
      <c r="BG120" s="22"/>
      <c r="BH120" s="68"/>
      <c r="BI120" s="326" t="str">
        <f t="shared" si="9"/>
        <v/>
      </c>
      <c r="BJ120" s="95">
        <f>VLOOKUP(BD120,CENY!$B$11:$M$2025,12,FALSE)</f>
        <v>12.16503</v>
      </c>
      <c r="BK120" s="95">
        <f t="shared" si="10"/>
        <v>0</v>
      </c>
    </row>
    <row r="121" spans="47:63">
      <c r="AU121" s="20"/>
      <c r="AV121" s="21"/>
      <c r="AW121" s="22"/>
      <c r="AX121" s="22"/>
      <c r="AY121" s="23"/>
      <c r="AZ121" s="326" t="str">
        <f t="shared" si="8"/>
        <v/>
      </c>
      <c r="BA121" s="95"/>
      <c r="BB121" s="95" t="str">
        <f t="shared" si="7"/>
        <v/>
      </c>
      <c r="BD121" s="319">
        <f>OBJ!B342</f>
        <v>9256900</v>
      </c>
      <c r="BE121" s="21" t="str">
        <f>VLOOKUP(BD121,CENY!$B$11:$G$1054,2,FALSE)</f>
        <v>Quadro You(M) 270/P2O 20kg; EB21; pravý</v>
      </c>
      <c r="BF121" s="22">
        <f>VLOOKUP(BD121,CENY!$B$11:$G$1054,3,FALSE)</f>
        <v>20</v>
      </c>
      <c r="BG121" s="22"/>
      <c r="BH121" s="68"/>
      <c r="BI121" s="326" t="str">
        <f t="shared" si="9"/>
        <v/>
      </c>
      <c r="BJ121" s="95">
        <f>VLOOKUP(BD121,CENY!$B$11:$M$2025,12,FALSE)</f>
        <v>12.16503</v>
      </c>
      <c r="BK121" s="95">
        <f t="shared" si="10"/>
        <v>0</v>
      </c>
    </row>
    <row r="122" spans="47:63">
      <c r="AU122" s="20"/>
      <c r="AV122" s="21"/>
      <c r="AW122" s="22"/>
      <c r="AX122" s="22"/>
      <c r="AY122" s="23"/>
      <c r="AZ122" s="326" t="str">
        <f t="shared" si="8"/>
        <v/>
      </c>
      <c r="BA122" s="95"/>
      <c r="BB122" s="95" t="str">
        <f t="shared" si="7"/>
        <v/>
      </c>
      <c r="BD122" s="319">
        <f>OBJ!B343</f>
        <v>9256901</v>
      </c>
      <c r="BE122" s="21" t="str">
        <f>VLOOKUP(BD122,CENY!$B$11:$G$1054,2,FALSE)</f>
        <v>Quadro You(M) 300/P2O 20kg; EB21; ľavý</v>
      </c>
      <c r="BF122" s="22">
        <f>VLOOKUP(BD122,CENY!$B$11:$G$1054,3,FALSE)</f>
        <v>20</v>
      </c>
      <c r="BG122" s="22"/>
      <c r="BH122" s="68"/>
      <c r="BI122" s="326" t="str">
        <f t="shared" si="9"/>
        <v/>
      </c>
      <c r="BJ122" s="95">
        <f>VLOOKUP(BD122,CENY!$B$11:$M$2025,12,FALSE)</f>
        <v>12.187939999999999</v>
      </c>
      <c r="BK122" s="95">
        <f t="shared" si="10"/>
        <v>0</v>
      </c>
    </row>
    <row r="123" spans="47:63">
      <c r="AU123" s="20"/>
      <c r="AV123" s="21"/>
      <c r="AW123" s="22"/>
      <c r="AX123" s="22"/>
      <c r="AY123" s="23"/>
      <c r="AZ123" s="326" t="str">
        <f t="shared" si="8"/>
        <v/>
      </c>
      <c r="BA123" s="95"/>
      <c r="BB123" s="95" t="str">
        <f t="shared" si="7"/>
        <v/>
      </c>
      <c r="BD123" s="319">
        <f>OBJ!B344</f>
        <v>9256902</v>
      </c>
      <c r="BE123" s="21" t="str">
        <f>VLOOKUP(BD123,CENY!$B$11:$G$1054,2,FALSE)</f>
        <v>Quadro You(M) 300/P2O 20kg; EB21; pravý</v>
      </c>
      <c r="BF123" s="22">
        <f>VLOOKUP(BD123,CENY!$B$11:$G$1054,3,FALSE)</f>
        <v>20</v>
      </c>
      <c r="BG123" s="22"/>
      <c r="BH123" s="68"/>
      <c r="BI123" s="326" t="str">
        <f t="shared" si="9"/>
        <v/>
      </c>
      <c r="BJ123" s="95">
        <f>VLOOKUP(BD123,CENY!$B$11:$M$2025,12,FALSE)</f>
        <v>12.187939999999999</v>
      </c>
      <c r="BK123" s="95">
        <f t="shared" si="10"/>
        <v>0</v>
      </c>
    </row>
    <row r="124" spans="47:63">
      <c r="AU124" s="20"/>
      <c r="AV124" s="21"/>
      <c r="AW124" s="22"/>
      <c r="AX124" s="22"/>
      <c r="AY124" s="23"/>
      <c r="AZ124" s="326" t="str">
        <f t="shared" si="8"/>
        <v/>
      </c>
      <c r="BA124" s="95"/>
      <c r="BB124" s="95" t="str">
        <f t="shared" si="7"/>
        <v/>
      </c>
      <c r="BD124" s="319">
        <f>OBJ!B345</f>
        <v>9256905</v>
      </c>
      <c r="BE124" s="21" t="str">
        <f>VLOOKUP(BD124,CENY!$B$11:$G$1054,2,FALSE)</f>
        <v>Quadro You(M) 350/P2O 25kg; EB21; ľavý</v>
      </c>
      <c r="BF124" s="22">
        <f>VLOOKUP(BD124,CENY!$B$11:$G$1054,3,FALSE)</f>
        <v>20</v>
      </c>
      <c r="BG124" s="22"/>
      <c r="BH124" s="68"/>
      <c r="BI124" s="326" t="str">
        <f t="shared" si="9"/>
        <v/>
      </c>
      <c r="BJ124" s="95">
        <f>VLOOKUP(BD124,CENY!$B$11:$M$2025,12,FALSE)</f>
        <v>12.42154</v>
      </c>
      <c r="BK124" s="95">
        <f t="shared" si="10"/>
        <v>0</v>
      </c>
    </row>
    <row r="125" spans="47:63">
      <c r="AU125" s="20"/>
      <c r="AV125" s="21"/>
      <c r="AW125" s="22"/>
      <c r="AX125" s="22"/>
      <c r="AY125" s="23"/>
      <c r="AZ125" s="326" t="str">
        <f t="shared" si="8"/>
        <v/>
      </c>
      <c r="BA125" s="95"/>
      <c r="BB125" s="95" t="str">
        <f t="shared" si="7"/>
        <v/>
      </c>
      <c r="BD125" s="319">
        <f>OBJ!B346</f>
        <v>9256906</v>
      </c>
      <c r="BE125" s="21" t="str">
        <f>VLOOKUP(BD125,CENY!$B$11:$G$1054,2,FALSE)</f>
        <v>Quadro You(M) 350/P2O 25kg; EB21; pravý</v>
      </c>
      <c r="BF125" s="22">
        <f>VLOOKUP(BD125,CENY!$B$11:$G$1054,3,FALSE)</f>
        <v>20</v>
      </c>
      <c r="BG125" s="22"/>
      <c r="BH125" s="68"/>
      <c r="BI125" s="326" t="str">
        <f t="shared" si="9"/>
        <v/>
      </c>
      <c r="BJ125" s="95">
        <f>VLOOKUP(BD125,CENY!$B$11:$M$2025,12,FALSE)</f>
        <v>12.42154</v>
      </c>
      <c r="BK125" s="95">
        <f t="shared" si="10"/>
        <v>0</v>
      </c>
    </row>
    <row r="126" spans="47:63">
      <c r="AU126" s="20"/>
      <c r="AV126" s="21"/>
      <c r="AW126" s="22"/>
      <c r="AX126" s="22"/>
      <c r="AY126" s="23"/>
      <c r="AZ126" s="326" t="str">
        <f t="shared" si="8"/>
        <v/>
      </c>
      <c r="BA126" s="95"/>
      <c r="BB126" s="95" t="str">
        <f t="shared" si="7"/>
        <v/>
      </c>
      <c r="BD126" s="319">
        <f>OBJ!B347</f>
        <v>9256909</v>
      </c>
      <c r="BE126" s="21" t="str">
        <f>VLOOKUP(BD126,CENY!$B$11:$G$1054,2,FALSE)</f>
        <v>Quadro You(M) 400/P2O 30kg; EB21; ľavý</v>
      </c>
      <c r="BF126" s="22">
        <f>VLOOKUP(BD126,CENY!$B$11:$G$1054,3,FALSE)</f>
        <v>20</v>
      </c>
      <c r="BG126" s="22"/>
      <c r="BH126" s="68"/>
      <c r="BI126" s="326" t="str">
        <f t="shared" si="9"/>
        <v/>
      </c>
      <c r="BJ126" s="95">
        <f>VLOOKUP(BD126,CENY!$B$11:$M$2025,12,FALSE)</f>
        <v>12.654769999999999</v>
      </c>
      <c r="BK126" s="95">
        <f t="shared" si="10"/>
        <v>0</v>
      </c>
    </row>
    <row r="127" spans="47:63">
      <c r="AU127" s="20"/>
      <c r="AV127" s="21"/>
      <c r="AW127" s="22"/>
      <c r="AX127" s="22"/>
      <c r="AY127" s="23"/>
      <c r="AZ127" s="326" t="str">
        <f t="shared" si="8"/>
        <v/>
      </c>
      <c r="BA127" s="95"/>
      <c r="BB127" s="95" t="str">
        <f t="shared" si="7"/>
        <v/>
      </c>
      <c r="BD127" s="319">
        <f>OBJ!B348</f>
        <v>9256910</v>
      </c>
      <c r="BE127" s="21" t="str">
        <f>VLOOKUP(BD127,CENY!$B$11:$G$1054,2,FALSE)</f>
        <v>Quadro You(M) 400/P2O 30kg; EB21; pravý</v>
      </c>
      <c r="BF127" s="22">
        <f>VLOOKUP(BD127,CENY!$B$11:$G$1054,3,FALSE)</f>
        <v>20</v>
      </c>
      <c r="BG127" s="22"/>
      <c r="BH127" s="68"/>
      <c r="BI127" s="326" t="str">
        <f t="shared" si="9"/>
        <v/>
      </c>
      <c r="BJ127" s="95">
        <f>VLOOKUP(BD127,CENY!$B$11:$M$2025,12,FALSE)</f>
        <v>12.654769999999999</v>
      </c>
      <c r="BK127" s="95">
        <f t="shared" si="10"/>
        <v>0</v>
      </c>
    </row>
    <row r="128" spans="47:63">
      <c r="AU128" s="20"/>
      <c r="AV128" s="21"/>
      <c r="AW128" s="22"/>
      <c r="AX128" s="22"/>
      <c r="AY128" s="23"/>
      <c r="AZ128" s="326" t="str">
        <f t="shared" si="8"/>
        <v/>
      </c>
      <c r="BA128" s="95"/>
      <c r="BB128" s="95" t="str">
        <f t="shared" si="7"/>
        <v/>
      </c>
      <c r="BD128" s="319">
        <f>OBJ!B349</f>
        <v>9256913</v>
      </c>
      <c r="BE128" s="21" t="str">
        <f>VLOOKUP(BD128,CENY!$B$11:$G$1054,2,FALSE)</f>
        <v>Quadro You(M) 450/P2O 30kg; EB21; ľavý</v>
      </c>
      <c r="BF128" s="22">
        <f>VLOOKUP(BD128,CENY!$B$11:$G$1054,3,FALSE)</f>
        <v>20</v>
      </c>
      <c r="BG128" s="22"/>
      <c r="BH128" s="68"/>
      <c r="BI128" s="326" t="str">
        <f t="shared" si="9"/>
        <v/>
      </c>
      <c r="BJ128" s="95">
        <f>VLOOKUP(BD128,CENY!$B$11:$M$2025,12,FALSE)</f>
        <v>12.888019999999999</v>
      </c>
      <c r="BK128" s="95">
        <f t="shared" si="10"/>
        <v>0</v>
      </c>
    </row>
    <row r="129" spans="47:63">
      <c r="AU129" s="20"/>
      <c r="AV129" s="21"/>
      <c r="AW129" s="22"/>
      <c r="AX129" s="22"/>
      <c r="AY129" s="23"/>
      <c r="AZ129" s="326" t="str">
        <f t="shared" si="8"/>
        <v/>
      </c>
      <c r="BA129" s="95"/>
      <c r="BB129" s="95" t="str">
        <f t="shared" si="7"/>
        <v/>
      </c>
      <c r="BD129" s="319">
        <f>OBJ!B350</f>
        <v>9256914</v>
      </c>
      <c r="BE129" s="21" t="str">
        <f>VLOOKUP(BD129,CENY!$B$11:$G$1054,2,FALSE)</f>
        <v>Quadro You(M) 450/P2O 30kg; EB21; pravý</v>
      </c>
      <c r="BF129" s="22">
        <f>VLOOKUP(BD129,CENY!$B$11:$G$1054,3,FALSE)</f>
        <v>20</v>
      </c>
      <c r="BG129" s="22"/>
      <c r="BH129" s="68"/>
      <c r="BI129" s="326" t="str">
        <f t="shared" si="9"/>
        <v/>
      </c>
      <c r="BJ129" s="95">
        <f>VLOOKUP(BD129,CENY!$B$11:$M$2025,12,FALSE)</f>
        <v>12.888019999999999</v>
      </c>
      <c r="BK129" s="95">
        <f t="shared" si="10"/>
        <v>0</v>
      </c>
    </row>
    <row r="130" spans="47:63">
      <c r="AU130" s="20"/>
      <c r="AV130" s="21"/>
      <c r="AW130" s="22"/>
      <c r="AX130" s="22"/>
      <c r="AY130" s="23"/>
      <c r="AZ130" s="326" t="str">
        <f t="shared" si="8"/>
        <v/>
      </c>
      <c r="BA130" s="95"/>
      <c r="BB130" s="95" t="str">
        <f t="shared" si="7"/>
        <v/>
      </c>
      <c r="BD130" s="319">
        <f>OBJ!B351</f>
        <v>9256917</v>
      </c>
      <c r="BE130" s="21" t="str">
        <f>VLOOKUP(BD130,CENY!$B$11:$G$1054,2,FALSE)</f>
        <v>Quadro You(M) 500/P2O 30kg; EB21; ľavý</v>
      </c>
      <c r="BF130" s="22">
        <f>VLOOKUP(BD130,CENY!$B$11:$G$1054,3,FALSE)</f>
        <v>20</v>
      </c>
      <c r="BG130" s="22"/>
      <c r="BH130" s="68"/>
      <c r="BI130" s="326" t="str">
        <f t="shared" si="9"/>
        <v/>
      </c>
      <c r="BJ130" s="95">
        <f>VLOOKUP(BD130,CENY!$B$11:$M$2025,12,FALSE)</f>
        <v>12.496779999999999</v>
      </c>
      <c r="BK130" s="95">
        <f t="shared" si="10"/>
        <v>0</v>
      </c>
    </row>
    <row r="131" spans="47:63">
      <c r="AU131" s="20"/>
      <c r="AV131" s="21"/>
      <c r="AW131" s="22"/>
      <c r="AX131" s="22"/>
      <c r="AY131" s="23"/>
      <c r="AZ131" s="326" t="str">
        <f t="shared" si="8"/>
        <v/>
      </c>
      <c r="BA131" s="95"/>
      <c r="BB131" s="95" t="str">
        <f t="shared" si="7"/>
        <v/>
      </c>
      <c r="BD131" s="319">
        <f>OBJ!B352</f>
        <v>9256918</v>
      </c>
      <c r="BE131" s="21" t="str">
        <f>VLOOKUP(BD131,CENY!$B$11:$G$1054,2,FALSE)</f>
        <v>Quadro You(M) 500/P2O 30kg; EB21; pravý</v>
      </c>
      <c r="BF131" s="22">
        <f>VLOOKUP(BD131,CENY!$B$11:$G$1054,3,FALSE)</f>
        <v>20</v>
      </c>
      <c r="BG131" s="22"/>
      <c r="BH131" s="68"/>
      <c r="BI131" s="326" t="str">
        <f t="shared" si="9"/>
        <v/>
      </c>
      <c r="BJ131" s="95">
        <f>VLOOKUP(BD131,CENY!$B$11:$M$2025,12,FALSE)</f>
        <v>12.496779999999999</v>
      </c>
      <c r="BK131" s="95">
        <f t="shared" si="10"/>
        <v>0</v>
      </c>
    </row>
    <row r="132" spans="47:63">
      <c r="AU132" s="20"/>
      <c r="AV132" s="21"/>
      <c r="AW132" s="22"/>
      <c r="AX132" s="22"/>
      <c r="AY132" s="23"/>
      <c r="AZ132" s="326" t="str">
        <f t="shared" si="8"/>
        <v/>
      </c>
      <c r="BA132" s="95"/>
      <c r="BB132" s="95" t="str">
        <f t="shared" si="7"/>
        <v/>
      </c>
      <c r="BD132" s="319">
        <f>OBJ!B353</f>
        <v>9256921</v>
      </c>
      <c r="BE132" s="21" t="str">
        <f>VLOOKUP(BD132,CENY!$B$11:$G$1054,2,FALSE)</f>
        <v>Quadro You(M) 550/P2O 30kg; EB21; ľavý</v>
      </c>
      <c r="BF132" s="22">
        <f>VLOOKUP(BD132,CENY!$B$11:$G$1054,3,FALSE)</f>
        <v>20</v>
      </c>
      <c r="BG132" s="22"/>
      <c r="BH132" s="68"/>
      <c r="BI132" s="326" t="str">
        <f t="shared" si="9"/>
        <v/>
      </c>
      <c r="BJ132" s="95">
        <f>VLOOKUP(BD132,CENY!$B$11:$M$2025,12,FALSE)</f>
        <v>12.718019999999999</v>
      </c>
      <c r="BK132" s="95">
        <f t="shared" si="10"/>
        <v>0</v>
      </c>
    </row>
    <row r="133" spans="47:63">
      <c r="AU133" s="20"/>
      <c r="AV133" s="21"/>
      <c r="AW133" s="22"/>
      <c r="AX133" s="22"/>
      <c r="AY133" s="23"/>
      <c r="AZ133" s="326" t="str">
        <f t="shared" si="8"/>
        <v/>
      </c>
      <c r="BA133" s="95"/>
      <c r="BB133" s="95" t="str">
        <f t="shared" si="7"/>
        <v/>
      </c>
      <c r="BD133" s="319">
        <f>OBJ!B354</f>
        <v>9256922</v>
      </c>
      <c r="BE133" s="21" t="str">
        <f>VLOOKUP(BD133,CENY!$B$11:$G$1054,2,FALSE)</f>
        <v>Quadro You(M) 550/P2O 30kg; EB21; pravý</v>
      </c>
      <c r="BF133" s="22">
        <f>VLOOKUP(BD133,CENY!$B$11:$G$1054,3,FALSE)</f>
        <v>20</v>
      </c>
      <c r="BG133" s="22"/>
      <c r="BH133" s="68"/>
      <c r="BI133" s="326" t="str">
        <f t="shared" si="9"/>
        <v/>
      </c>
      <c r="BJ133" s="95">
        <f>VLOOKUP(BD133,CENY!$B$11:$M$2025,12,FALSE)</f>
        <v>13.35392</v>
      </c>
      <c r="BK133" s="95">
        <f t="shared" si="10"/>
        <v>0</v>
      </c>
    </row>
    <row r="134" spans="47:63">
      <c r="AU134" s="20"/>
      <c r="AV134" s="21"/>
      <c r="AW134" s="22"/>
      <c r="AX134" s="22"/>
      <c r="AY134" s="23"/>
      <c r="AZ134" s="326" t="str">
        <f t="shared" si="8"/>
        <v/>
      </c>
      <c r="BA134" s="95"/>
      <c r="BB134" s="95" t="str">
        <f t="shared" si="7"/>
        <v/>
      </c>
      <c r="BD134" s="319">
        <f>OBJ!B355</f>
        <v>9256925</v>
      </c>
      <c r="BE134" s="21" t="str">
        <f>VLOOKUP(BD134,CENY!$B$11:$G$1054,2,FALSE)</f>
        <v>Quadro You(M) 600/P2O 25kg; EB21; ľavý</v>
      </c>
      <c r="BF134" s="22">
        <f>VLOOKUP(BD134,CENY!$B$11:$G$1054,3,FALSE)</f>
        <v>20</v>
      </c>
      <c r="BG134" s="22"/>
      <c r="BH134" s="68"/>
      <c r="BI134" s="326" t="str">
        <f t="shared" si="9"/>
        <v/>
      </c>
      <c r="BJ134" s="95">
        <f>VLOOKUP(BD134,CENY!$B$11:$M$2025,12,FALSE)</f>
        <v>13.58704</v>
      </c>
      <c r="BK134" s="95">
        <f t="shared" si="10"/>
        <v>0</v>
      </c>
    </row>
    <row r="135" spans="47:63">
      <c r="AU135" s="20"/>
      <c r="AV135" s="21"/>
      <c r="AW135" s="22"/>
      <c r="AX135" s="22"/>
      <c r="AY135" s="23"/>
      <c r="AZ135" s="326" t="str">
        <f t="shared" si="8"/>
        <v/>
      </c>
      <c r="BA135" s="95"/>
      <c r="BB135" s="95" t="str">
        <f t="shared" si="7"/>
        <v/>
      </c>
      <c r="BD135" s="319">
        <f>OBJ!B356</f>
        <v>9256926</v>
      </c>
      <c r="BE135" s="21" t="str">
        <f>VLOOKUP(BD135,CENY!$B$11:$G$1054,2,FALSE)</f>
        <v>Quadro You(M) 600/P2O 25kg; EB21; pravý</v>
      </c>
      <c r="BF135" s="22">
        <f>VLOOKUP(BD135,CENY!$B$11:$G$1054,3,FALSE)</f>
        <v>20</v>
      </c>
      <c r="BG135" s="22"/>
      <c r="BH135" s="68"/>
      <c r="BI135" s="326" t="str">
        <f t="shared" si="9"/>
        <v/>
      </c>
      <c r="BJ135" s="95">
        <f>VLOOKUP(BD135,CENY!$B$11:$M$2025,12,FALSE)</f>
        <v>13.58704</v>
      </c>
      <c r="BK135" s="95">
        <f t="shared" si="10"/>
        <v>0</v>
      </c>
    </row>
    <row r="136" spans="47:63">
      <c r="AU136" s="20"/>
      <c r="AV136" s="21"/>
      <c r="AW136" s="22"/>
      <c r="AX136" s="22"/>
      <c r="AY136" s="23"/>
      <c r="AZ136" s="326" t="str">
        <f t="shared" si="8"/>
        <v/>
      </c>
      <c r="BA136" s="95"/>
      <c r="BB136" s="95" t="str">
        <f t="shared" si="7"/>
        <v/>
      </c>
      <c r="BD136" s="319"/>
      <c r="BE136" s="21"/>
      <c r="BF136" s="22"/>
      <c r="BG136" s="22"/>
      <c r="BH136" s="23"/>
      <c r="BI136" s="326" t="str">
        <f t="shared" si="9"/>
        <v/>
      </c>
      <c r="BJ136" s="95"/>
      <c r="BK136" s="95" t="str">
        <f t="shared" si="10"/>
        <v/>
      </c>
    </row>
    <row r="137" spans="47:63">
      <c r="AU137" s="20"/>
      <c r="AV137" s="21"/>
      <c r="AW137" s="22"/>
      <c r="AX137" s="22"/>
      <c r="AY137" s="23"/>
      <c r="AZ137" s="326" t="str">
        <f t="shared" si="8"/>
        <v/>
      </c>
      <c r="BA137" s="95"/>
      <c r="BB137" s="95" t="str">
        <f t="shared" si="7"/>
        <v/>
      </c>
      <c r="BD137" s="319">
        <f>OBJ!B358</f>
        <v>9219966</v>
      </c>
      <c r="BE137" s="21" t="str">
        <f>VLOOKUP(BD137,CENY!$B$11:$G$1054,2,FALSE)</f>
        <v>Push to open Synchro / adaptér typ A</v>
      </c>
      <c r="BF137" s="22">
        <f>VLOOKUP(BD137,CENY!$B$11:$G$1054,3,FALSE)</f>
        <v>200</v>
      </c>
      <c r="BG137" s="22"/>
      <c r="BH137" s="68"/>
      <c r="BI137" s="326" t="str">
        <f t="shared" si="9"/>
        <v/>
      </c>
      <c r="BJ137" s="95">
        <f>VLOOKUP(BD137,CENY!$B$11:$M$2025,12,FALSE)</f>
        <v>0.79318999999999995</v>
      </c>
      <c r="BK137" s="95">
        <f t="shared" si="10"/>
        <v>0</v>
      </c>
    </row>
    <row r="138" spans="47:63">
      <c r="AU138" s="20"/>
      <c r="AV138" s="21"/>
      <c r="AW138" s="22"/>
      <c r="AX138" s="22"/>
      <c r="AY138" s="23"/>
      <c r="AZ138" s="326" t="str">
        <f t="shared" si="8"/>
        <v/>
      </c>
      <c r="BA138" s="95"/>
      <c r="BB138" s="95" t="str">
        <f t="shared" si="7"/>
        <v/>
      </c>
      <c r="BD138" s="319"/>
      <c r="BE138" s="21"/>
      <c r="BF138" s="22"/>
      <c r="BG138" s="22"/>
      <c r="BH138" s="23"/>
      <c r="BI138" s="326" t="str">
        <f t="shared" si="9"/>
        <v/>
      </c>
      <c r="BJ138" s="95"/>
      <c r="BK138" s="95" t="str">
        <f t="shared" si="10"/>
        <v/>
      </c>
    </row>
    <row r="139" spans="47:63">
      <c r="AU139" s="20"/>
      <c r="AV139" s="21"/>
      <c r="AW139" s="22"/>
      <c r="AX139" s="22"/>
      <c r="AY139" s="23"/>
      <c r="AZ139" s="326" t="str">
        <f t="shared" si="8"/>
        <v/>
      </c>
      <c r="BA139" s="95"/>
      <c r="BB139" s="95" t="str">
        <f t="shared" si="7"/>
        <v/>
      </c>
      <c r="BD139" s="319">
        <f>OBJ!B214</f>
        <v>0</v>
      </c>
      <c r="BE139" s="21" t="e">
        <f>VLOOKUP(BD139,CENY!$B$11:$G$1054,2,FALSE)</f>
        <v>#N/A</v>
      </c>
      <c r="BF139" s="22" t="e">
        <f>VLOOKUP(BD139,CENY!$B$11:$G$1054,3,FALSE)</f>
        <v>#N/A</v>
      </c>
      <c r="BG139" s="22"/>
      <c r="BH139" s="23">
        <f>AY87</f>
        <v>0</v>
      </c>
      <c r="BI139" s="326">
        <f t="shared" si="9"/>
        <v>0</v>
      </c>
      <c r="BJ139" s="324" t="str">
        <f>IF(BD139=0,"",VLOOKUP(BD139,CENY!$B$11:$M$2025,12,FALSE))</f>
        <v/>
      </c>
      <c r="BK139" s="95" t="str">
        <f t="shared" si="10"/>
        <v/>
      </c>
    </row>
    <row r="140" spans="47:63">
      <c r="AU140" s="20"/>
      <c r="AV140" s="21"/>
      <c r="AW140" s="22"/>
      <c r="AX140" s="22"/>
      <c r="AY140" s="23"/>
      <c r="AZ140" s="326" t="str">
        <f t="shared" si="8"/>
        <v/>
      </c>
      <c r="BA140" s="95"/>
      <c r="BB140" s="95" t="str">
        <f t="shared" si="7"/>
        <v/>
      </c>
      <c r="BD140" s="319"/>
      <c r="BE140" s="21"/>
      <c r="BF140" s="22"/>
      <c r="BG140" s="22"/>
      <c r="BH140" s="23"/>
      <c r="BI140" s="326" t="str">
        <f t="shared" si="9"/>
        <v/>
      </c>
      <c r="BJ140" s="95"/>
      <c r="BK140" s="95" t="str">
        <f t="shared" si="10"/>
        <v/>
      </c>
    </row>
    <row r="141" spans="47:63">
      <c r="AU141" s="20"/>
      <c r="AV141" s="21"/>
      <c r="AW141" s="22"/>
      <c r="AX141" s="22"/>
      <c r="AY141" s="23"/>
      <c r="AZ141" s="326" t="str">
        <f t="shared" si="8"/>
        <v/>
      </c>
      <c r="BA141" s="95"/>
      <c r="BB141" s="95" t="str">
        <f t="shared" si="7"/>
        <v/>
      </c>
      <c r="BD141" s="319"/>
      <c r="BE141" s="21"/>
      <c r="BF141" s="22"/>
      <c r="BG141" s="22"/>
      <c r="BH141" s="23"/>
      <c r="BI141" s="326" t="str">
        <f t="shared" si="9"/>
        <v/>
      </c>
      <c r="BJ141" s="95"/>
      <c r="BK141" s="95" t="str">
        <f t="shared" si="10"/>
        <v/>
      </c>
    </row>
    <row r="142" spans="47:63">
      <c r="AU142" s="20"/>
      <c r="AV142" s="21"/>
      <c r="AW142" s="22"/>
      <c r="AX142" s="22"/>
      <c r="AY142" s="23"/>
      <c r="AZ142" s="326" t="str">
        <f t="shared" si="8"/>
        <v/>
      </c>
      <c r="BA142" s="95"/>
      <c r="BB142" s="95" t="str">
        <f t="shared" si="7"/>
        <v/>
      </c>
      <c r="BC142" s="373" t="s">
        <v>396</v>
      </c>
      <c r="BD142" s="319">
        <f>OBJ!B210</f>
        <v>9257663</v>
      </c>
      <c r="BE142" s="21" t="str">
        <f>VLOOKUP(BD142,CENY!$B$11:$G$1054,2,FALSE)</f>
        <v>AvanY-indiv.čelo vnút.zásuv./d2000/strieb.</v>
      </c>
      <c r="BF142" s="22">
        <f>VLOOKUP(BD142,CENY!$B$11:$G$1054,3,FALSE)</f>
        <v>1</v>
      </c>
      <c r="BG142" s="22"/>
      <c r="BH142" s="23">
        <f>AY89</f>
        <v>0</v>
      </c>
      <c r="BI142" s="326">
        <f t="shared" si="9"/>
        <v>0</v>
      </c>
      <c r="BJ142" s="95">
        <f>VLOOKUP(BD142,CENY!$B$11:$M$2025,12,FALSE)</f>
        <v>35.672049999999999</v>
      </c>
      <c r="BK142" s="95">
        <f t="shared" si="10"/>
        <v>0</v>
      </c>
    </row>
    <row r="143" spans="47:63">
      <c r="AU143" s="20"/>
      <c r="AV143" s="21"/>
      <c r="AW143" s="22"/>
      <c r="AX143" s="22"/>
      <c r="AY143" s="23"/>
      <c r="AZ143" s="326" t="str">
        <f t="shared" si="8"/>
        <v/>
      </c>
      <c r="BA143" s="95"/>
      <c r="BB143" s="95" t="str">
        <f t="shared" si="7"/>
        <v/>
      </c>
      <c r="BC143" s="373" t="s">
        <v>397</v>
      </c>
      <c r="BD143" s="319">
        <f>OBJ!B212</f>
        <v>9257657</v>
      </c>
      <c r="BE143" s="21" t="str">
        <f>VLOOKUP(BD143,CENY!$B$11:$G$1054,2,FALSE)</f>
        <v>AvanY-spojky indiv.čela vn.Inlay/v187/strieb.</v>
      </c>
      <c r="BF143" s="22">
        <f>VLOOKUP(BD143,CENY!$B$11:$G$1054,3,FALSE)</f>
        <v>1</v>
      </c>
      <c r="BG143" s="22"/>
      <c r="BH143" s="23">
        <f t="shared" ref="BH143:BH150" si="13">AY90</f>
        <v>0</v>
      </c>
      <c r="BI143" s="326">
        <f t="shared" ref="BI143:BI150" si="14">IF(BH143="","",IF($AW$4=0,BH143,0))</f>
        <v>0</v>
      </c>
      <c r="BJ143" s="95">
        <f>VLOOKUP(BD143,CENY!$B$11:$M$2025,12,FALSE)</f>
        <v>26.795850000000002</v>
      </c>
      <c r="BK143" s="95">
        <f t="shared" ref="BK143:BK150" si="15">IF(BJ143="","",BJ143*BH143)</f>
        <v>0</v>
      </c>
    </row>
    <row r="144" spans="47:63">
      <c r="AU144" s="20"/>
      <c r="AV144" s="21"/>
      <c r="AW144" s="22"/>
      <c r="AX144" s="22"/>
      <c r="AY144" s="23"/>
      <c r="AZ144" s="326" t="str">
        <f t="shared" si="8"/>
        <v/>
      </c>
      <c r="BA144" s="95"/>
      <c r="BB144" s="95" t="str">
        <f t="shared" si="7"/>
        <v/>
      </c>
      <c r="BC144" s="373" t="s">
        <v>398</v>
      </c>
      <c r="BD144" s="319">
        <f>OBJ!B224</f>
        <v>9283228</v>
      </c>
      <c r="BE144" s="21" t="str">
        <f>VLOOKUP(BD144,CENY!$B$11:$G$1054,2,FALSE)</f>
        <v>AvanY-sklo pre vnút.čelo /v66/s450/hr18</v>
      </c>
      <c r="BF144" s="22">
        <f>VLOOKUP(BD144,CENY!$B$11:$G$1054,3,FALSE)</f>
        <v>1</v>
      </c>
      <c r="BG144" s="22"/>
      <c r="BH144" s="23">
        <f t="shared" si="13"/>
        <v>0</v>
      </c>
      <c r="BI144" s="326">
        <f t="shared" si="14"/>
        <v>0</v>
      </c>
      <c r="BJ144" s="95" t="e">
        <f>VLOOKUP(BD144,CENY!$B$11:$M$2025,12,FALSE)</f>
        <v>#N/A</v>
      </c>
      <c r="BK144" s="95" t="e">
        <f t="shared" si="15"/>
        <v>#N/A</v>
      </c>
    </row>
    <row r="145" spans="47:63">
      <c r="AU145" s="20"/>
      <c r="AV145" s="21"/>
      <c r="AW145" s="22"/>
      <c r="AX145" s="22"/>
      <c r="AY145" s="23"/>
      <c r="AZ145" s="326" t="str">
        <f t="shared" si="8"/>
        <v/>
      </c>
      <c r="BA145" s="95"/>
      <c r="BB145" s="95" t="str">
        <f t="shared" si="7"/>
        <v/>
      </c>
      <c r="BC145" s="373" t="s">
        <v>399</v>
      </c>
      <c r="BD145" s="319">
        <f>OBJ!B225</f>
        <v>9283229</v>
      </c>
      <c r="BE145" s="21" t="str">
        <f>VLOOKUP(BD145,CENY!$B$11:$G$1054,2,FALSE)</f>
        <v>AvanY-sklo pre vnút.čelo /v66/s600/hr18</v>
      </c>
      <c r="BF145" s="22">
        <f>VLOOKUP(BD145,CENY!$B$11:$G$1054,3,FALSE)</f>
        <v>1</v>
      </c>
      <c r="BG145" s="22"/>
      <c r="BH145" s="23">
        <f t="shared" si="13"/>
        <v>0</v>
      </c>
      <c r="BI145" s="326">
        <f t="shared" si="14"/>
        <v>0</v>
      </c>
      <c r="BJ145" s="95">
        <f>VLOOKUP(BD145,CENY!$B$11:$M$2025,12,FALSE)</f>
        <v>19.680150000000001</v>
      </c>
      <c r="BK145" s="95">
        <f t="shared" si="15"/>
        <v>0</v>
      </c>
    </row>
    <row r="146" spans="47:63">
      <c r="AU146" s="20"/>
      <c r="AV146" s="21"/>
      <c r="AW146" s="22"/>
      <c r="AX146" s="22"/>
      <c r="AY146" s="23"/>
      <c r="AZ146" s="326" t="str">
        <f t="shared" si="8"/>
        <v/>
      </c>
      <c r="BA146" s="95"/>
      <c r="BB146" s="95" t="str">
        <f t="shared" si="7"/>
        <v/>
      </c>
      <c r="BC146" s="373" t="s">
        <v>400</v>
      </c>
      <c r="BD146" s="319">
        <f>OBJ!B226</f>
        <v>9283231</v>
      </c>
      <c r="BE146" s="21" t="str">
        <f>VLOOKUP(BD146,CENY!$B$11:$G$1054,2,FALSE)</f>
        <v>AvanY-sklo pre vnút.čelo /v66/s900/hr18</v>
      </c>
      <c r="BF146" s="22">
        <f>VLOOKUP(BD146,CENY!$B$11:$G$1054,3,FALSE)</f>
        <v>1</v>
      </c>
      <c r="BG146" s="22"/>
      <c r="BH146" s="23">
        <f t="shared" si="13"/>
        <v>0</v>
      </c>
      <c r="BI146" s="326">
        <f t="shared" si="14"/>
        <v>0</v>
      </c>
      <c r="BJ146" s="95">
        <f>VLOOKUP(BD146,CENY!$B$11:$M$2025,12,FALSE)</f>
        <v>34.754010000000001</v>
      </c>
      <c r="BK146" s="95">
        <f t="shared" si="15"/>
        <v>0</v>
      </c>
    </row>
    <row r="147" spans="47:63">
      <c r="AU147" s="319">
        <f>OBJ!B361</f>
        <v>45167</v>
      </c>
      <c r="AV147" s="21" t="str">
        <f>VLOOKUP(AU147,CENY!$B$11:$G$1054,2,FALSE)</f>
        <v>Skrutka s polgul.hlavou 3,5x12mm</v>
      </c>
      <c r="AW147" s="22">
        <f>VLOOKUP(AU147,CENY!$B$11:$G$1054,3,FALSE)</f>
        <v>200</v>
      </c>
      <c r="AX147" s="22"/>
      <c r="AY147" s="23">
        <f>SUMPRODUCT(AX9:AX19,AY9:AY19)</f>
        <v>0</v>
      </c>
      <c r="AZ147" s="326">
        <f t="shared" si="8"/>
        <v>0</v>
      </c>
      <c r="BA147" s="95">
        <f>VLOOKUP(AU147,CENY!$B$11:$M$2025,12,FALSE)</f>
        <v>3.4759999999999999E-2</v>
      </c>
      <c r="BB147" s="95">
        <f>IF(BA147="","",BA147*AY147)</f>
        <v>0</v>
      </c>
      <c r="BD147" s="319">
        <f>OBJ!B227</f>
        <v>9283232</v>
      </c>
      <c r="BE147" s="21" t="str">
        <f>VLOOKUP(BD147,CENY!$B$11:$G$1054,2,FALSE)</f>
        <v>AvanY-sklo pre vnút.čelo /v66/s1200/hr18</v>
      </c>
      <c r="BF147" s="22">
        <f>VLOOKUP(BD147,CENY!$B$11:$G$1054,3,FALSE)</f>
        <v>1</v>
      </c>
      <c r="BG147" s="22"/>
      <c r="BH147" s="23">
        <f t="shared" si="13"/>
        <v>0</v>
      </c>
      <c r="BI147" s="326">
        <f t="shared" si="14"/>
        <v>0</v>
      </c>
      <c r="BJ147" s="95">
        <f>VLOOKUP(BD147,CENY!$B$11:$M$2025,12,FALSE)</f>
        <v>44.803019999999997</v>
      </c>
      <c r="BK147" s="95">
        <f t="shared" si="15"/>
        <v>0</v>
      </c>
    </row>
    <row r="148" spans="47:63">
      <c r="AU148" s="319">
        <f>OBJ!B362</f>
        <v>45168</v>
      </c>
      <c r="AV148" s="21" t="str">
        <f>VLOOKUP(AU148,CENY!$B$11:$G$1054,2,FALSE)</f>
        <v>Skrutka s polgul.hlavou 3,5x20mm</v>
      </c>
      <c r="AW148" s="22">
        <f>VLOOKUP(AU148,CENY!$B$11:$G$1054,3,FALSE)</f>
        <v>200</v>
      </c>
      <c r="AX148" s="22"/>
      <c r="AY148" s="360">
        <v>0</v>
      </c>
      <c r="AZ148" s="326">
        <f t="shared" ref="AZ148:AZ151" si="16">IF(AY148="","",IF($AW$4=1,AY148,0))</f>
        <v>0</v>
      </c>
      <c r="BA148" s="95">
        <f>VLOOKUP(AU148,CENY!$B$11:$M$2025,12,FALSE)</f>
        <v>4.9860000000000002E-2</v>
      </c>
      <c r="BB148" s="95">
        <f>IF(BA148="","",BA148*AY148)</f>
        <v>0</v>
      </c>
      <c r="BD148" s="319">
        <f>OBJ!B228</f>
        <v>9283233</v>
      </c>
      <c r="BE148" s="21" t="str">
        <f>VLOOKUP(BD148,CENY!$B$11:$G$1054,2,FALSE)</f>
        <v>AvanY-sklo pre vnút.čelo /v130/s450/hr18</v>
      </c>
      <c r="BF148" s="22">
        <f>VLOOKUP(BD148,CENY!$B$11:$G$1054,3,FALSE)</f>
        <v>1</v>
      </c>
      <c r="BG148" s="22"/>
      <c r="BH148" s="23">
        <f t="shared" si="13"/>
        <v>0</v>
      </c>
      <c r="BI148" s="326">
        <f t="shared" si="14"/>
        <v>0</v>
      </c>
      <c r="BJ148" s="95">
        <f>VLOOKUP(BD148,CENY!$B$11:$M$2025,12,FALSE)</f>
        <v>27.140440000000002</v>
      </c>
      <c r="BK148" s="95">
        <f t="shared" si="15"/>
        <v>0</v>
      </c>
    </row>
    <row r="149" spans="47:63">
      <c r="AU149" s="319">
        <f>OBJ!B363</f>
        <v>9278224</v>
      </c>
      <c r="AV149" s="21" t="str">
        <f>VLOOKUP(AU149,CENY!$B$11:$G$1054,2,FALSE)</f>
        <v>Skrutka s polgul.hlavou 3,5x30mm</v>
      </c>
      <c r="AW149" s="22">
        <f>VLOOKUP(AU149,CENY!$B$11:$G$1054,3,FALSE)</f>
        <v>200</v>
      </c>
      <c r="AX149" s="22"/>
      <c r="AY149" s="360">
        <v>0</v>
      </c>
      <c r="AZ149" s="326">
        <f t="shared" si="16"/>
        <v>0</v>
      </c>
      <c r="BA149" s="95">
        <f>VLOOKUP(AU149,CENY!$B$11:$M$2025,12,FALSE)</f>
        <v>4.299E-2</v>
      </c>
      <c r="BB149" s="95">
        <f>IF(BA149="","",BA149*AY149)</f>
        <v>0</v>
      </c>
      <c r="BD149" s="319">
        <f>OBJ!B229</f>
        <v>9283235</v>
      </c>
      <c r="BE149" s="21" t="str">
        <f>VLOOKUP(BD149,CENY!$B$11:$G$1054,2,FALSE)</f>
        <v>AvanY-sklo pre vnút.čelo /v130/s600/hr18</v>
      </c>
      <c r="BF149" s="22">
        <f>VLOOKUP(BD149,CENY!$B$11:$G$1054,3,FALSE)</f>
        <v>1</v>
      </c>
      <c r="BG149" s="22"/>
      <c r="BH149" s="23">
        <f t="shared" si="13"/>
        <v>0</v>
      </c>
      <c r="BI149" s="326">
        <f t="shared" si="14"/>
        <v>0</v>
      </c>
      <c r="BJ149" s="95">
        <f>VLOOKUP(BD149,CENY!$B$11:$M$2025,12,FALSE)</f>
        <v>30.842929999999999</v>
      </c>
      <c r="BK149" s="95">
        <f t="shared" si="15"/>
        <v>0</v>
      </c>
    </row>
    <row r="150" spans="47:63">
      <c r="AU150" s="319">
        <f>OBJ!B364</f>
        <v>9279197</v>
      </c>
      <c r="AV150" s="21" t="str">
        <f>VLOOKUP(AU150,CENY!$B$11:$G$1054,2,FALSE)</f>
        <v>Skrutka s polgul.hlavou M3,5x12mm</v>
      </c>
      <c r="AW150" s="22">
        <f>VLOOKUP(AU150,CENY!$B$11:$G$1054,3,FALSE)</f>
        <v>1000</v>
      </c>
      <c r="AX150" s="22"/>
      <c r="AY150" s="68">
        <v>0</v>
      </c>
      <c r="AZ150" s="326">
        <f t="shared" si="16"/>
        <v>0</v>
      </c>
      <c r="BA150" s="95" t="e">
        <f>VLOOKUP(AU150,CENY!$B$11:$M$2025,12,FALSE)</f>
        <v>#N/A</v>
      </c>
      <c r="BB150" s="95" t="e">
        <f>IF(BA150="","",BA150*AY150)</f>
        <v>#N/A</v>
      </c>
      <c r="BD150" s="319">
        <f>OBJ!B230</f>
        <v>9283237</v>
      </c>
      <c r="BE150" s="21" t="str">
        <f>VLOOKUP(BD150,CENY!$B$11:$G$1054,2,FALSE)</f>
        <v>AvanY-sklo pre vnút.čelo /v130/s900/hr18</v>
      </c>
      <c r="BF150" s="22">
        <f>VLOOKUP(BD150,CENY!$B$11:$G$1054,3,FALSE)</f>
        <v>1</v>
      </c>
      <c r="BG150" s="22"/>
      <c r="BH150" s="23">
        <f t="shared" si="13"/>
        <v>0</v>
      </c>
      <c r="BI150" s="326">
        <f t="shared" si="14"/>
        <v>0</v>
      </c>
      <c r="BJ150" s="95">
        <f>VLOOKUP(BD150,CENY!$B$11:$M$2025,12,FALSE)</f>
        <v>51.404679999999999</v>
      </c>
      <c r="BK150" s="95">
        <f t="shared" si="15"/>
        <v>0</v>
      </c>
    </row>
    <row r="151" spans="47:63">
      <c r="AU151" s="319">
        <f>OBJ!B365</f>
        <v>9137114</v>
      </c>
      <c r="AV151" s="21" t="str">
        <f>VLOOKUP(AU151,CENY!$B$11:$G$1054,2,FALSE)</f>
        <v>EURO-skrutka  6,0x14mm / niklovaná</v>
      </c>
      <c r="AW151" s="22">
        <f>VLOOKUP(AU151,CENY!$B$11:$G$1054,3,FALSE)</f>
        <v>200</v>
      </c>
      <c r="AX151" s="22"/>
      <c r="AY151" s="23">
        <f>SUMPRODUCT(AX31:AX80,AY31:AY80)</f>
        <v>0</v>
      </c>
      <c r="AZ151" s="326">
        <f t="shared" si="16"/>
        <v>0</v>
      </c>
      <c r="BA151" s="95">
        <f>VLOOKUP(AU151,CENY!$B$11:$M$2025,12,FALSE)</f>
        <v>7.7280000000000001E-2</v>
      </c>
      <c r="BB151" s="95">
        <f>IF(BA151="","",BA151*AY151)</f>
        <v>0</v>
      </c>
      <c r="BD151" s="319"/>
      <c r="BE151" s="21"/>
      <c r="BF151" s="22"/>
      <c r="BG151" s="22"/>
      <c r="BH151" s="23"/>
      <c r="BI151" s="326" t="str">
        <f t="shared" si="9"/>
        <v/>
      </c>
      <c r="BJ151" s="95"/>
      <c r="BK151" s="95" t="str">
        <f t="shared" si="10"/>
        <v/>
      </c>
    </row>
    <row r="152" spans="47:63">
      <c r="AU152" s="20"/>
      <c r="AV152" s="21"/>
      <c r="AW152" s="22"/>
      <c r="AX152" s="22"/>
      <c r="AY152" s="23"/>
      <c r="AZ152" s="326"/>
      <c r="BA152" s="95"/>
      <c r="BB152" s="95"/>
      <c r="BD152" s="319">
        <f>OBJ!B361</f>
        <v>45167</v>
      </c>
      <c r="BE152" s="21" t="str">
        <f>VLOOKUP(BD152,CENY!$B$11:$G$1054,2,FALSE)</f>
        <v>Skrutka s polgul.hlavou 3,5x12mm</v>
      </c>
      <c r="BF152" s="22">
        <f>VLOOKUP(BD152,CENY!$B$11:$G$1054,3,FALSE)</f>
        <v>200</v>
      </c>
      <c r="BG152" s="22"/>
      <c r="BH152" s="23">
        <f>AY147+BH39*2+BH148</f>
        <v>0</v>
      </c>
      <c r="BI152" s="326">
        <f>IF(BH152="","",IF($AW$4=0,BH152,0))</f>
        <v>0</v>
      </c>
      <c r="BJ152" s="95">
        <f>VLOOKUP(BD152,CENY!$B$11:$M$2025,12,FALSE)</f>
        <v>3.4759999999999999E-2</v>
      </c>
      <c r="BK152" s="95">
        <f t="shared" si="10"/>
        <v>0</v>
      </c>
    </row>
    <row r="153" spans="47:63">
      <c r="AU153" s="20"/>
      <c r="AV153" s="21"/>
      <c r="AW153" s="22"/>
      <c r="AX153" s="22"/>
      <c r="AY153" s="23"/>
      <c r="AZ153" s="326"/>
      <c r="BA153" s="95"/>
      <c r="BB153" s="95"/>
      <c r="BD153" s="319">
        <f>OBJ!B362</f>
        <v>45168</v>
      </c>
      <c r="BE153" s="21" t="str">
        <f>VLOOKUP(BD153,CENY!$B$11:$G$1054,2,FALSE)</f>
        <v>Skrutka s polgul.hlavou 3,5x20mm</v>
      </c>
      <c r="BF153" s="22">
        <f>VLOOKUP(BD153,CENY!$B$11:$G$1054,3,FALSE)</f>
        <v>200</v>
      </c>
      <c r="BG153" s="22"/>
      <c r="BH153" s="360">
        <f>IF(FORM!$AM$8=FORM!$AU$10,BH35*2+BH36*3,0)</f>
        <v>0</v>
      </c>
      <c r="BI153" s="326">
        <f>IF(BH153="","",IF($AW$4=0,BH153,0))</f>
        <v>0</v>
      </c>
      <c r="BJ153" s="95">
        <f>VLOOKUP(BD153,CENY!$B$11:$M$2025,12,FALSE)</f>
        <v>4.9860000000000002E-2</v>
      </c>
      <c r="BK153" s="95">
        <f t="shared" si="10"/>
        <v>0</v>
      </c>
    </row>
    <row r="154" spans="47:63">
      <c r="AU154" s="20"/>
      <c r="AV154" s="21"/>
      <c r="AW154" s="22"/>
      <c r="AX154" s="22"/>
      <c r="AY154" s="23"/>
      <c r="AZ154" s="326"/>
      <c r="BA154" s="95"/>
      <c r="BB154" s="95"/>
      <c r="BD154" s="319">
        <f>OBJ!B363</f>
        <v>9278224</v>
      </c>
      <c r="BE154" s="21" t="str">
        <f>VLOOKUP(BD154,CENY!$B$11:$G$1054,2,FALSE)</f>
        <v>Skrutka s polgul.hlavou 3,5x30mm</v>
      </c>
      <c r="BF154" s="22">
        <f>VLOOKUP(BD154,CENY!$B$11:$G$1054,3,FALSE)</f>
        <v>200</v>
      </c>
      <c r="BG154" s="22"/>
      <c r="BH154" s="360">
        <f>SUM(BH5:BH22)+2*SUM(BH24:BH33)</f>
        <v>0</v>
      </c>
      <c r="BI154" s="326">
        <f>IF(BH154="","",IF($AW$4=0,BH154,0))</f>
        <v>0</v>
      </c>
      <c r="BJ154" s="95">
        <f>VLOOKUP(BD154,CENY!$B$11:$M$2025,12,FALSE)</f>
        <v>4.299E-2</v>
      </c>
      <c r="BK154" s="95">
        <f t="shared" si="10"/>
        <v>0</v>
      </c>
    </row>
    <row r="155" spans="47:63">
      <c r="AU155" s="20"/>
      <c r="AV155" s="21"/>
      <c r="AW155" s="22"/>
      <c r="AX155" s="22"/>
      <c r="AY155" s="23"/>
      <c r="AZ155" s="326" t="str">
        <f>IF(AY155="","",IF($AW$4=1,AY155,0))</f>
        <v/>
      </c>
      <c r="BA155" s="95"/>
      <c r="BB155" s="95" t="str">
        <f>IF(BA155="","",BA155*AY155)</f>
        <v/>
      </c>
      <c r="BD155" s="319">
        <f>OBJ!B364</f>
        <v>9279197</v>
      </c>
      <c r="BE155" s="21" t="str">
        <f>VLOOKUP(BD155,CENY!$B$11:$G$1054,2,FALSE)</f>
        <v>Skrutka s polgul.hlavou M3,5x12mm</v>
      </c>
      <c r="BF155" s="22">
        <f>VLOOKUP(BD155,CENY!$B$11:$G$1054,3,FALSE)</f>
        <v>1000</v>
      </c>
      <c r="BG155" s="22"/>
      <c r="BH155" s="68">
        <f>2*BH37+3*BH38</f>
        <v>0</v>
      </c>
      <c r="BI155" s="326">
        <f>IF(BH155="","",IF($AW$4=0,BH155,0))</f>
        <v>0</v>
      </c>
      <c r="BJ155" s="95" t="e">
        <f>VLOOKUP(BD155,CENY!$B$11:$M$2025,12,FALSE)</f>
        <v>#N/A</v>
      </c>
      <c r="BK155" s="95" t="e">
        <f t="shared" si="10"/>
        <v>#N/A</v>
      </c>
    </row>
    <row r="156" spans="47:63">
      <c r="BD156" s="319">
        <f>OBJ!B365</f>
        <v>9137114</v>
      </c>
      <c r="BE156" s="21" t="str">
        <f>VLOOKUP(BD156,CENY!$B$11:$G$1054,2,FALSE)</f>
        <v>EURO-skrutka  6,0x14mm / niklovaná</v>
      </c>
      <c r="BF156" s="22">
        <f>VLOOKUP(BD156,CENY!$B$11:$G$1054,3,FALSE)</f>
        <v>200</v>
      </c>
      <c r="BG156" s="22"/>
      <c r="BH156" s="23">
        <f>AY151</f>
        <v>0</v>
      </c>
      <c r="BI156" s="326">
        <f>IF(BH156="","",IF($AW$4=0,BH156,0))</f>
        <v>0</v>
      </c>
      <c r="BJ156" s="95">
        <f>VLOOKUP(BD156,CENY!$B$11:$M$2025,12,FALSE)</f>
        <v>7.7280000000000001E-2</v>
      </c>
      <c r="BK156" s="95">
        <f t="shared" si="10"/>
        <v>0</v>
      </c>
    </row>
    <row r="157" spans="47:63">
      <c r="BD157" s="319"/>
      <c r="BE157" s="21"/>
      <c r="BF157" s="22"/>
      <c r="BG157" s="22"/>
      <c r="BH157" s="23"/>
      <c r="BI157" s="326"/>
      <c r="BJ157" s="95"/>
      <c r="BK157" s="95"/>
    </row>
    <row r="158" spans="47:63">
      <c r="AW158" s="376"/>
      <c r="AX158" s="377"/>
      <c r="AY158" s="379" t="s">
        <v>261</v>
      </c>
      <c r="AZ158" s="380" t="s">
        <v>262</v>
      </c>
      <c r="BD158" s="374">
        <f>OBJ!B367</f>
        <v>9099540</v>
      </c>
      <c r="BE158" s="375" t="str">
        <f>VLOOKUP(BD158,CENY!$B$11:$G$1054,2,FALSE)</f>
        <v>SENSYS 8657i 165st. B12,5/TH52</v>
      </c>
      <c r="BF158" s="22">
        <f>VLOOKUP(BD158,CENY!$B$11:$G$1054,3,FALSE)</f>
        <v>50</v>
      </c>
      <c r="BG158" s="22"/>
      <c r="BH158" s="23">
        <f>AY112</f>
        <v>0</v>
      </c>
      <c r="BI158" s="326">
        <f t="shared" ref="BI158:BI162" si="17">IF(BH158="","",IF($AW$4=0,BH158,0))</f>
        <v>0</v>
      </c>
      <c r="BJ158" s="95">
        <f>VLOOKUP(BD158,CENY!$B$11:$M$2025,12,FALSE)</f>
        <v>6.6812800000000001</v>
      </c>
      <c r="BK158" s="95">
        <f t="shared" ref="BK158:BK162" si="18">IF(BJ158="","",BJ158*BH158)</f>
        <v>0</v>
      </c>
    </row>
    <row r="159" spans="47:63">
      <c r="AW159" s="376">
        <v>350</v>
      </c>
      <c r="AX159" s="377"/>
      <c r="AY159" s="378">
        <v>1</v>
      </c>
      <c r="AZ159" s="378">
        <v>2</v>
      </c>
      <c r="BD159" s="374">
        <f>OBJ!B368</f>
        <v>9099600</v>
      </c>
      <c r="BE159" s="375" t="str">
        <f>VLOOKUP(BD159,CENY!$B$11:$G$1054,2,FALSE)</f>
        <v>SENSYS 8657 165st. B12,5/TH52 (bez SiSy)</v>
      </c>
      <c r="BF159" s="22">
        <f>VLOOKUP(BD159,CENY!$B$11:$G$1054,3,FALSE)</f>
        <v>50</v>
      </c>
      <c r="BG159" s="22"/>
      <c r="BH159" s="68"/>
      <c r="BI159" s="326" t="str">
        <f t="shared" si="17"/>
        <v/>
      </c>
      <c r="BJ159" s="95">
        <f>VLOOKUP(BD159,CENY!$B$11:$M$2025,12,FALSE)</f>
        <v>6.23475</v>
      </c>
      <c r="BK159" s="95">
        <f t="shared" si="18"/>
        <v>0</v>
      </c>
    </row>
    <row r="160" spans="47:63">
      <c r="AW160" s="376">
        <v>700</v>
      </c>
      <c r="AX160" s="377"/>
      <c r="AY160" s="378">
        <v>2</v>
      </c>
      <c r="AZ160" s="378">
        <v>2</v>
      </c>
      <c r="BD160" s="374">
        <f>OBJ!B369</f>
        <v>9099660</v>
      </c>
      <c r="BE160" s="375" t="str">
        <f>VLOOKUP(BD160,CENY!$B$11:$G$1054,2,FALSE)</f>
        <v>SENSYS 8687 165st. B12,5/TH52 (pre P2O)</v>
      </c>
      <c r="BF160" s="22">
        <f>VLOOKUP(BD160,CENY!$B$11:$G$1054,3,FALSE)</f>
        <v>50</v>
      </c>
      <c r="BG160" s="22"/>
      <c r="BH160" s="68"/>
      <c r="BI160" s="326" t="str">
        <f t="shared" si="17"/>
        <v/>
      </c>
      <c r="BJ160" s="95">
        <f>VLOOKUP(BD160,CENY!$B$11:$M$2025,12,FALSE)</f>
        <v>6.4656099999999999</v>
      </c>
      <c r="BK160" s="95">
        <f t="shared" si="18"/>
        <v>0</v>
      </c>
    </row>
    <row r="161" spans="49:63">
      <c r="AW161" s="376">
        <v>1050</v>
      </c>
      <c r="AX161" s="377"/>
      <c r="AY161" s="378">
        <v>3</v>
      </c>
      <c r="AZ161" s="378">
        <v>3</v>
      </c>
      <c r="BD161" s="374">
        <f>OBJ!B370</f>
        <v>9071576</v>
      </c>
      <c r="BE161" s="375" t="str">
        <f>VLOOKUP(BD161,CENY!$B$11:$G$1054,2,FALSE)</f>
        <v>Podložka SENSYS k naskrut./D=1,5 mm</v>
      </c>
      <c r="BF161" s="22">
        <f>VLOOKUP(BD161,CENY!$B$11:$G$1054,3,FALSE)</f>
        <v>200</v>
      </c>
      <c r="BG161" s="22"/>
      <c r="BH161" s="23">
        <f>AY115</f>
        <v>0</v>
      </c>
      <c r="BI161" s="326">
        <f t="shared" si="17"/>
        <v>0</v>
      </c>
      <c r="BJ161" s="95">
        <f>VLOOKUP(BD161,CENY!$B$11:$M$2025,12,FALSE)</f>
        <v>0.38334000000000001</v>
      </c>
      <c r="BK161" s="95">
        <f t="shared" si="18"/>
        <v>0</v>
      </c>
    </row>
    <row r="162" spans="49:63">
      <c r="AW162" s="376">
        <v>1400</v>
      </c>
      <c r="AX162" s="377"/>
      <c r="AY162" s="378">
        <v>4</v>
      </c>
      <c r="AZ162" s="378">
        <v>3</v>
      </c>
      <c r="BD162" s="374">
        <f>OBJ!B371</f>
        <v>9071671</v>
      </c>
      <c r="BE162" s="375" t="str">
        <f>VLOOKUP(BD162,CENY!$B$11:$G$1054,2,FALSE)</f>
        <v>Podlož.SENSYS s predm.skr.D=1,5(exc.)</v>
      </c>
      <c r="BF162" s="22">
        <f>VLOOKUP(BD162,CENY!$B$11:$G$1054,3,FALSE)</f>
        <v>200</v>
      </c>
      <c r="BG162" s="22"/>
      <c r="BH162" s="68"/>
      <c r="BI162" s="326" t="str">
        <f t="shared" si="17"/>
        <v/>
      </c>
      <c r="BJ162" s="95">
        <f>VLOOKUP(BD162,CENY!$B$11:$M$2025,12,FALSE)</f>
        <v>0.82479999999999998</v>
      </c>
      <c r="BK162" s="95">
        <f t="shared" si="18"/>
        <v>0</v>
      </c>
    </row>
    <row r="163" spans="49:63">
      <c r="AW163" s="376">
        <v>1750</v>
      </c>
      <c r="AX163" s="377"/>
      <c r="AY163" s="378">
        <v>5</v>
      </c>
      <c r="AZ163" s="378">
        <v>4</v>
      </c>
    </row>
    <row r="164" spans="49:63">
      <c r="AW164" s="376">
        <v>2100</v>
      </c>
      <c r="AX164" s="377"/>
      <c r="AY164" s="378">
        <v>6</v>
      </c>
      <c r="AZ164" s="378">
        <v>4</v>
      </c>
    </row>
    <row r="165" spans="49:63">
      <c r="AW165" s="376">
        <v>2450</v>
      </c>
      <c r="AX165" s="377"/>
      <c r="AY165" s="378">
        <v>7</v>
      </c>
      <c r="AZ165" s="378">
        <v>5</v>
      </c>
    </row>
    <row r="166" spans="49:63">
      <c r="AW166" s="376">
        <v>2800</v>
      </c>
      <c r="AX166" s="377"/>
      <c r="AY166" s="378">
        <v>8</v>
      </c>
      <c r="AZ166" s="378">
        <v>5</v>
      </c>
    </row>
  </sheetData>
  <sheetProtection algorithmName="SHA-512" hashValue="tjPAnuHcJd/Yq3iLeDVRiNVUaOj8YOv+/qJAM+ZYR32BE5zkammUN+KmsaigRogXFxlpLSFUMlcn7FQk87ImEg==" saltValue="PfQxIvb5TEKpQBNJbH+7Ww==" spinCount="100000" sheet="1" objects="1" scenarios="1"/>
  <mergeCells count="165">
    <mergeCell ref="V89:AC94"/>
    <mergeCell ref="AW107:AY107"/>
    <mergeCell ref="O84:V84"/>
    <mergeCell ref="AC84:AJ84"/>
    <mergeCell ref="O87:P87"/>
    <mergeCell ref="Q87:R87"/>
    <mergeCell ref="S87:T87"/>
    <mergeCell ref="U87:V87"/>
    <mergeCell ref="W87:X87"/>
    <mergeCell ref="Y87:Z87"/>
    <mergeCell ref="AA87:AB87"/>
    <mergeCell ref="AW101:AY101"/>
    <mergeCell ref="AW102:AY102"/>
    <mergeCell ref="AW103:AY103"/>
    <mergeCell ref="AW104:AY104"/>
    <mergeCell ref="AW105:AY105"/>
    <mergeCell ref="AW106:AY106"/>
    <mergeCell ref="AC86:AD86"/>
    <mergeCell ref="AE86:AF86"/>
    <mergeCell ref="AG86:AH86"/>
    <mergeCell ref="AI86:AJ86"/>
    <mergeCell ref="AW100:AY100"/>
    <mergeCell ref="AC87:AD87"/>
    <mergeCell ref="AE87:AF87"/>
    <mergeCell ref="AG87:AH87"/>
    <mergeCell ref="AI87:AJ87"/>
    <mergeCell ref="AC85:AD85"/>
    <mergeCell ref="AE85:AF85"/>
    <mergeCell ref="AG85:AH85"/>
    <mergeCell ref="AI85:AJ85"/>
    <mergeCell ref="O86:P86"/>
    <mergeCell ref="Q86:R86"/>
    <mergeCell ref="S86:T86"/>
    <mergeCell ref="U86:V86"/>
    <mergeCell ref="M85:N85"/>
    <mergeCell ref="O85:P85"/>
    <mergeCell ref="Q85:R85"/>
    <mergeCell ref="S85:T85"/>
    <mergeCell ref="U85:V85"/>
    <mergeCell ref="AA85:AB85"/>
    <mergeCell ref="O83:AJ83"/>
    <mergeCell ref="AA84:AB84"/>
    <mergeCell ref="AA82:AB82"/>
    <mergeCell ref="AC82:AD82"/>
    <mergeCell ref="AE82:AF82"/>
    <mergeCell ref="AG82:AH82"/>
    <mergeCell ref="AI82:AJ82"/>
    <mergeCell ref="W82:X82"/>
    <mergeCell ref="Y82:Z82"/>
    <mergeCell ref="Y81:Z81"/>
    <mergeCell ref="AA81:AB81"/>
    <mergeCell ref="AC81:AD81"/>
    <mergeCell ref="AE81:AF81"/>
    <mergeCell ref="AG81:AH81"/>
    <mergeCell ref="AI81:AJ81"/>
    <mergeCell ref="O81:P81"/>
    <mergeCell ref="Q81:R81"/>
    <mergeCell ref="S81:T81"/>
    <mergeCell ref="U81:V81"/>
    <mergeCell ref="W81:X81"/>
    <mergeCell ref="AA67:AE67"/>
    <mergeCell ref="AI67:AM67"/>
    <mergeCell ref="AO67:AR67"/>
    <mergeCell ref="U28:V28"/>
    <mergeCell ref="W28:X28"/>
    <mergeCell ref="Y28:Z28"/>
    <mergeCell ref="AA28:AB28"/>
    <mergeCell ref="AC28:AD28"/>
    <mergeCell ref="A66:A105"/>
    <mergeCell ref="B67:E67"/>
    <mergeCell ref="G67:K67"/>
    <mergeCell ref="O67:S67"/>
    <mergeCell ref="U67:Y67"/>
    <mergeCell ref="B28:G28"/>
    <mergeCell ref="H28:L28"/>
    <mergeCell ref="M28:N28"/>
    <mergeCell ref="O28:P28"/>
    <mergeCell ref="Q28:R28"/>
    <mergeCell ref="S28:T28"/>
    <mergeCell ref="AK82:AL82"/>
    <mergeCell ref="O82:P82"/>
    <mergeCell ref="Q82:R82"/>
    <mergeCell ref="S82:T82"/>
    <mergeCell ref="U82:V82"/>
    <mergeCell ref="B27:G27"/>
    <mergeCell ref="H27:L27"/>
    <mergeCell ref="M27:N27"/>
    <mergeCell ref="O27:P27"/>
    <mergeCell ref="Q27:R27"/>
    <mergeCell ref="S27:T27"/>
    <mergeCell ref="AQ24:AR24"/>
    <mergeCell ref="O26:P26"/>
    <mergeCell ref="Q26:R26"/>
    <mergeCell ref="S26:T26"/>
    <mergeCell ref="U26:V26"/>
    <mergeCell ref="W26:X26"/>
    <mergeCell ref="Y26:Z26"/>
    <mergeCell ref="AA26:AB26"/>
    <mergeCell ref="AC26:AD26"/>
    <mergeCell ref="U22:V22"/>
    <mergeCell ref="W22:X22"/>
    <mergeCell ref="Y22:Z22"/>
    <mergeCell ref="AA22:AB22"/>
    <mergeCell ref="AC22:AD22"/>
    <mergeCell ref="AE22:AF22"/>
    <mergeCell ref="B22:G22"/>
    <mergeCell ref="H22:L22"/>
    <mergeCell ref="M22:N22"/>
    <mergeCell ref="O22:P22"/>
    <mergeCell ref="Q22:R22"/>
    <mergeCell ref="S22:T22"/>
    <mergeCell ref="U20:V20"/>
    <mergeCell ref="W20:X20"/>
    <mergeCell ref="Y20:Z20"/>
    <mergeCell ref="AA20:AB20"/>
    <mergeCell ref="AC20:AD20"/>
    <mergeCell ref="AE20:AF20"/>
    <mergeCell ref="B20:G20"/>
    <mergeCell ref="H20:L20"/>
    <mergeCell ref="M20:N20"/>
    <mergeCell ref="O20:P20"/>
    <mergeCell ref="Q20:R20"/>
    <mergeCell ref="S20:T20"/>
    <mergeCell ref="B19:G19"/>
    <mergeCell ref="H19:L19"/>
    <mergeCell ref="M19:N19"/>
    <mergeCell ref="O19:P19"/>
    <mergeCell ref="Q19:R19"/>
    <mergeCell ref="S19:T19"/>
    <mergeCell ref="O17:AF17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B12:E12"/>
    <mergeCell ref="F12:I12"/>
    <mergeCell ref="J12:K12"/>
    <mergeCell ref="B13:E13"/>
    <mergeCell ref="F13:I13"/>
    <mergeCell ref="J13:K13"/>
    <mergeCell ref="B9:E9"/>
    <mergeCell ref="F9:K9"/>
    <mergeCell ref="AK9:AP10"/>
    <mergeCell ref="B10:E10"/>
    <mergeCell ref="F10:K10"/>
    <mergeCell ref="B11:E11"/>
    <mergeCell ref="F11:K11"/>
    <mergeCell ref="AO2:AR2"/>
    <mergeCell ref="B6:E6"/>
    <mergeCell ref="F6:K6"/>
    <mergeCell ref="B7:E7"/>
    <mergeCell ref="F7:K7"/>
    <mergeCell ref="B8:E8"/>
    <mergeCell ref="F8:K8"/>
    <mergeCell ref="B2:E2"/>
    <mergeCell ref="G2:K2"/>
    <mergeCell ref="O2:S2"/>
    <mergeCell ref="U2:Y2"/>
    <mergeCell ref="AA2:AE2"/>
    <mergeCell ref="AI2:AM2"/>
  </mergeCells>
  <conditionalFormatting sqref="AZ99:AZ111 AZ152:AZ155 BI5:BI21 AZ20:AZ84 AZ86:AZ88 BI39:BI141 BH25:BI34 BH23:BH24 AZ117:AZ146 AY5:AZ19 AY20:AY48 AY95:AZ95 BH142:BI142 BH40:BH98">
    <cfRule type="cellIs" dxfId="59" priority="64" stopIfTrue="1" operator="equal">
      <formula>0</formula>
    </cfRule>
  </conditionalFormatting>
  <conditionalFormatting sqref="AY59 AY72 AY49 AY55">
    <cfRule type="cellIs" dxfId="58" priority="62" stopIfTrue="1" operator="equal">
      <formula>0</formula>
    </cfRule>
  </conditionalFormatting>
  <conditionalFormatting sqref="O17:AF17 W20:AD20 W22:AF22 W28:AD28">
    <cfRule type="expression" dxfId="57" priority="63" stopIfTrue="1">
      <formula>$AW$4=0</formula>
    </cfRule>
  </conditionalFormatting>
  <conditionalFormatting sqref="AY83 AY86 AY88">
    <cfRule type="cellIs" dxfId="56" priority="61" stopIfTrue="1" operator="equal">
      <formula>0</formula>
    </cfRule>
  </conditionalFormatting>
  <conditionalFormatting sqref="AY108:AY111">
    <cfRule type="cellIs" dxfId="55" priority="60" stopIfTrue="1" operator="equal">
      <formula>0</formula>
    </cfRule>
  </conditionalFormatting>
  <conditionalFormatting sqref="BH39">
    <cfRule type="cellIs" dxfId="54" priority="59" stopIfTrue="1" operator="equal">
      <formula>0</formula>
    </cfRule>
  </conditionalFormatting>
  <conditionalFormatting sqref="AY64:AY68">
    <cfRule type="cellIs" dxfId="53" priority="58" stopIfTrue="1" operator="equal">
      <formula>0</formula>
    </cfRule>
  </conditionalFormatting>
  <conditionalFormatting sqref="AY117:AY146 AY152:AY155">
    <cfRule type="cellIs" dxfId="52" priority="52" stopIfTrue="1" operator="equal">
      <formula>0</formula>
    </cfRule>
  </conditionalFormatting>
  <conditionalFormatting sqref="AY81">
    <cfRule type="cellIs" dxfId="51" priority="57" stopIfTrue="1" operator="equal">
      <formula>0</formula>
    </cfRule>
  </conditionalFormatting>
  <conditionalFormatting sqref="AY84">
    <cfRule type="cellIs" dxfId="50" priority="56" stopIfTrue="1" operator="equal">
      <formula>0</formula>
    </cfRule>
  </conditionalFormatting>
  <conditionalFormatting sqref="AY99">
    <cfRule type="cellIs" dxfId="49" priority="55" stopIfTrue="1" operator="equal">
      <formula>0</formula>
    </cfRule>
  </conditionalFormatting>
  <conditionalFormatting sqref="BH115 BH119">
    <cfRule type="cellIs" dxfId="48" priority="54" stopIfTrue="1" operator="equal">
      <formula>0</formula>
    </cfRule>
  </conditionalFormatting>
  <conditionalFormatting sqref="BH136 BH140:BH141 BH151 BH157 BH138">
    <cfRule type="cellIs" dxfId="47" priority="53" stopIfTrue="1" operator="equal">
      <formula>0</formula>
    </cfRule>
  </conditionalFormatting>
  <conditionalFormatting sqref="BH105:BH114">
    <cfRule type="cellIs" dxfId="46" priority="51" stopIfTrue="1" operator="equal">
      <formula>0</formula>
    </cfRule>
  </conditionalFormatting>
  <conditionalFormatting sqref="BH139">
    <cfRule type="cellIs" dxfId="45" priority="49" stopIfTrue="1" operator="equal">
      <formula>0</formula>
    </cfRule>
  </conditionalFormatting>
  <conditionalFormatting sqref="AY87">
    <cfRule type="cellIs" dxfId="44" priority="50" stopIfTrue="1" operator="equal">
      <formula>0</formula>
    </cfRule>
  </conditionalFormatting>
  <conditionalFormatting sqref="F13:K13">
    <cfRule type="expression" dxfId="43" priority="48" stopIfTrue="1">
      <formula>$AW$4=1</formula>
    </cfRule>
  </conditionalFormatting>
  <conditionalFormatting sqref="BI151 BI157">
    <cfRule type="cellIs" dxfId="42" priority="47" stopIfTrue="1" operator="equal">
      <formula>0</formula>
    </cfRule>
  </conditionalFormatting>
  <conditionalFormatting sqref="AZ93:AZ94">
    <cfRule type="cellIs" dxfId="41" priority="46" stopIfTrue="1" operator="equal">
      <formula>0</formula>
    </cfRule>
  </conditionalFormatting>
  <conditionalFormatting sqref="AY93:AY94">
    <cfRule type="cellIs" dxfId="40" priority="45" stopIfTrue="1" operator="equal">
      <formula>0</formula>
    </cfRule>
  </conditionalFormatting>
  <conditionalFormatting sqref="AR88">
    <cfRule type="expression" dxfId="39" priority="42" stopIfTrue="1">
      <formula>$AU$101=AU103</formula>
    </cfRule>
  </conditionalFormatting>
  <conditionalFormatting sqref="AZ147:AZ151">
    <cfRule type="cellIs" dxfId="38" priority="41" stopIfTrue="1" operator="equal">
      <formula>0</formula>
    </cfRule>
  </conditionalFormatting>
  <conditionalFormatting sqref="AY147:AY151">
    <cfRule type="cellIs" dxfId="37" priority="40" stopIfTrue="1" operator="equal">
      <formula>0</formula>
    </cfRule>
  </conditionalFormatting>
  <conditionalFormatting sqref="BH152 BH155:BH156">
    <cfRule type="cellIs" dxfId="36" priority="39" stopIfTrue="1" operator="equal">
      <formula>0</formula>
    </cfRule>
  </conditionalFormatting>
  <conditionalFormatting sqref="BI152:BI156">
    <cfRule type="cellIs" dxfId="35" priority="38" stopIfTrue="1" operator="equal">
      <formula>0</formula>
    </cfRule>
  </conditionalFormatting>
  <conditionalFormatting sqref="BH153:BH154">
    <cfRule type="cellIs" dxfId="34" priority="37" stopIfTrue="1" operator="equal">
      <formula>0</formula>
    </cfRule>
  </conditionalFormatting>
  <conditionalFormatting sqref="AY50:AY54">
    <cfRule type="cellIs" dxfId="33" priority="36" stopIfTrue="1" operator="equal">
      <formula>0</formula>
    </cfRule>
  </conditionalFormatting>
  <conditionalFormatting sqref="AY56:AY58">
    <cfRule type="cellIs" dxfId="32" priority="35" stopIfTrue="1" operator="equal">
      <formula>0</formula>
    </cfRule>
  </conditionalFormatting>
  <conditionalFormatting sqref="AY60:AY62">
    <cfRule type="cellIs" dxfId="31" priority="34" stopIfTrue="1" operator="equal">
      <formula>0</formula>
    </cfRule>
  </conditionalFormatting>
  <conditionalFormatting sqref="AY69:AY71">
    <cfRule type="cellIs" dxfId="30" priority="33" stopIfTrue="1" operator="equal">
      <formula>0</formula>
    </cfRule>
  </conditionalFormatting>
  <conditionalFormatting sqref="AY73:AY74">
    <cfRule type="cellIs" dxfId="29" priority="32" stopIfTrue="1" operator="equal">
      <formula>0</formula>
    </cfRule>
  </conditionalFormatting>
  <conditionalFormatting sqref="AY75">
    <cfRule type="cellIs" dxfId="28" priority="31" stopIfTrue="1" operator="equal">
      <formula>0</formula>
    </cfRule>
  </conditionalFormatting>
  <conditionalFormatting sqref="AY76:AY80">
    <cfRule type="cellIs" dxfId="27" priority="30" stopIfTrue="1" operator="equal">
      <formula>0</formula>
    </cfRule>
  </conditionalFormatting>
  <conditionalFormatting sqref="AY82">
    <cfRule type="cellIs" dxfId="26" priority="29" stopIfTrue="1" operator="equal">
      <formula>0</formula>
    </cfRule>
  </conditionalFormatting>
  <conditionalFormatting sqref="BH5:BH10">
    <cfRule type="cellIs" dxfId="25" priority="28" stopIfTrue="1" operator="equal">
      <formula>0</formula>
    </cfRule>
  </conditionalFormatting>
  <conditionalFormatting sqref="BH99:BH106">
    <cfRule type="cellIs" dxfId="24" priority="27" stopIfTrue="1" operator="equal">
      <formula>0</formula>
    </cfRule>
  </conditionalFormatting>
  <conditionalFormatting sqref="BH116:BH118">
    <cfRule type="cellIs" dxfId="23" priority="26" stopIfTrue="1" operator="equal">
      <formula>0</formula>
    </cfRule>
  </conditionalFormatting>
  <conditionalFormatting sqref="BH120:BH135">
    <cfRule type="cellIs" dxfId="22" priority="25" stopIfTrue="1" operator="equal">
      <formula>0</formula>
    </cfRule>
  </conditionalFormatting>
  <conditionalFormatting sqref="BH137">
    <cfRule type="cellIs" dxfId="21" priority="24" stopIfTrue="1" operator="equal">
      <formula>0</formula>
    </cfRule>
  </conditionalFormatting>
  <conditionalFormatting sqref="AZ85">
    <cfRule type="cellIs" dxfId="20" priority="23" stopIfTrue="1" operator="equal">
      <formula>0</formula>
    </cfRule>
  </conditionalFormatting>
  <conditionalFormatting sqref="AY85">
    <cfRule type="cellIs" dxfId="19" priority="22" stopIfTrue="1" operator="equal">
      <formula>0</formula>
    </cfRule>
  </conditionalFormatting>
  <conditionalFormatting sqref="BH37:BI38">
    <cfRule type="cellIs" dxfId="18" priority="21" stopIfTrue="1" operator="equal">
      <formula>0</formula>
    </cfRule>
  </conditionalFormatting>
  <conditionalFormatting sqref="BH35:BI36">
    <cfRule type="cellIs" dxfId="17" priority="20" stopIfTrue="1" operator="equal">
      <formula>0</formula>
    </cfRule>
  </conditionalFormatting>
  <conditionalFormatting sqref="AY63">
    <cfRule type="cellIs" dxfId="16" priority="19" stopIfTrue="1" operator="equal">
      <formula>0</formula>
    </cfRule>
  </conditionalFormatting>
  <conditionalFormatting sqref="BH11:BH12">
    <cfRule type="cellIs" dxfId="15" priority="18" stopIfTrue="1" operator="equal">
      <formula>0</formula>
    </cfRule>
  </conditionalFormatting>
  <conditionalFormatting sqref="BI22:BI24">
    <cfRule type="cellIs" dxfId="14" priority="15" stopIfTrue="1" operator="equal">
      <formula>0</formula>
    </cfRule>
  </conditionalFormatting>
  <conditionalFormatting sqref="AY112:AZ116">
    <cfRule type="cellIs" dxfId="13" priority="12" stopIfTrue="1" operator="equal">
      <formula>0</formula>
    </cfRule>
  </conditionalFormatting>
  <conditionalFormatting sqref="BI158:BI162">
    <cfRule type="cellIs" dxfId="12" priority="11" stopIfTrue="1" operator="equal">
      <formula>0</formula>
    </cfRule>
  </conditionalFormatting>
  <conditionalFormatting sqref="BH158:BH162">
    <cfRule type="cellIs" dxfId="11" priority="10" stopIfTrue="1" operator="equal">
      <formula>0</formula>
    </cfRule>
  </conditionalFormatting>
  <conditionalFormatting sqref="V89:AC94">
    <cfRule type="expression" dxfId="10" priority="9" stopIfTrue="1">
      <formula>OR($AW$103=0,$AW$103=$AW$101)</formula>
    </cfRule>
  </conditionalFormatting>
  <conditionalFormatting sqref="AZ89:AZ92">
    <cfRule type="cellIs" dxfId="9" priority="6" stopIfTrue="1" operator="equal">
      <formula>0</formula>
    </cfRule>
  </conditionalFormatting>
  <conditionalFormatting sqref="AY89:AY92">
    <cfRule type="cellIs" dxfId="8" priority="5" stopIfTrue="1" operator="equal">
      <formula>0</formula>
    </cfRule>
  </conditionalFormatting>
  <conditionalFormatting sqref="AY96:AZ98">
    <cfRule type="cellIs" dxfId="7" priority="4" stopIfTrue="1" operator="equal">
      <formula>0</formula>
    </cfRule>
  </conditionalFormatting>
  <conditionalFormatting sqref="BI143:BI150">
    <cfRule type="cellIs" dxfId="6" priority="3" stopIfTrue="1" operator="equal">
      <formula>0</formula>
    </cfRule>
  </conditionalFormatting>
  <conditionalFormatting sqref="BH143:BH150">
    <cfRule type="cellIs" dxfId="5" priority="2" stopIfTrue="1" operator="equal">
      <formula>0</formula>
    </cfRule>
  </conditionalFormatting>
  <conditionalFormatting sqref="BH13:BH22">
    <cfRule type="cellIs" dxfId="4" priority="1" stopIfTrue="1" operator="equal">
      <formula>0</formula>
    </cfRule>
  </conditionalFormatting>
  <hyperlinks>
    <hyperlink ref="M4" location="MENU!A1" display="MENU!A1" xr:uid="{00000000-0004-0000-1800-000000000000}"/>
    <hyperlink ref="M10" location="OBJ!A1" display="OBJ!A1" xr:uid="{00000000-0004-0000-1800-000001000000}"/>
    <hyperlink ref="M9" location="suhrn!A1" display="suhrn!A1" xr:uid="{00000000-0004-0000-1800-000002000000}"/>
    <hyperlink ref="O2:S2" location="MENU!A5" display="MENU!A5" xr:uid="{00000000-0004-0000-1800-000003000000}"/>
    <hyperlink ref="M69" location="MENU!A1" display="MENU!A1" xr:uid="{00000000-0004-0000-1800-000004000000}"/>
    <hyperlink ref="B67:E67" location="'potr-o187-IL'!A1" display="'potr-o187-IL'!A1" xr:uid="{00000000-0004-0000-1800-000005000000}"/>
    <hyperlink ref="AK9:AO10" location="'IT70(vn100)'!A66" display="'IT70(vn100)'!A66" xr:uid="{00000000-0004-0000-1800-000006000000}"/>
    <hyperlink ref="AK9:AP10" location="'potr-o187-IL'!A66" display="'potr-o187-IL'!A66" xr:uid="{00000000-0004-0000-1800-000007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>
    <oddHeader>&amp;R&amp;"Aptos"&amp;10&amp;K000000 Restricted&amp;1#_x000D_</oddHeader>
  </headerFooter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30"/>
  <dimension ref="A1"/>
  <sheetViews>
    <sheetView showGridLines="0" showRowColHeaders="0" workbookViewId="0">
      <selection activeCell="L22" sqref="L22"/>
    </sheetView>
  </sheetViews>
  <sheetFormatPr defaultRowHeight="14.25"/>
  <sheetData/>
  <sheetProtection password="DD97" sheet="1"/>
  <pageMargins left="0.7" right="0.7" top="0.78740157499999996" bottom="0.78740157499999996" header="0.3" footer="0.3"/>
  <headerFooter>
    <oddHeader>&amp;R&amp;"Aptos"&amp;10&amp;K000000 Restricted&amp;1#_x000D_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List32" filterMode="1">
    <pageSetUpPr fitToPage="1"/>
  </sheetPr>
  <dimension ref="A3:CE426"/>
  <sheetViews>
    <sheetView showGridLines="0" showRowColHeaders="0" zoomScaleNormal="100" workbookViewId="0">
      <selection activeCell="I268" sqref="I268"/>
    </sheetView>
  </sheetViews>
  <sheetFormatPr defaultColWidth="9" defaultRowHeight="14.25"/>
  <cols>
    <col min="1" max="1" width="1.625" style="3" customWidth="1"/>
    <col min="2" max="2" width="11.75" style="3" customWidth="1"/>
    <col min="3" max="3" width="35.5" style="3" customWidth="1"/>
    <col min="4" max="4" width="5.125" style="3" customWidth="1"/>
    <col min="5" max="5" width="2.625" style="3" customWidth="1"/>
    <col min="6" max="6" width="4.375" style="3" customWidth="1"/>
    <col min="7" max="7" width="9" style="3"/>
    <col min="8" max="8" width="4.125" style="3" bestFit="1" customWidth="1"/>
    <col min="9" max="9" width="9" style="3"/>
    <col min="10" max="10" width="4.375" style="3" bestFit="1" customWidth="1"/>
    <col min="11" max="11" width="9" style="3"/>
    <col min="12" max="12" width="8.875" style="3" customWidth="1"/>
    <col min="13" max="13" width="1.625" style="3" customWidth="1"/>
    <col min="14" max="15" width="9" style="3" hidden="1" customWidth="1"/>
    <col min="16" max="75" width="4.625" style="3" hidden="1" customWidth="1"/>
    <col min="76" max="76" width="3" style="3" hidden="1" customWidth="1"/>
    <col min="77" max="77" width="3.125" style="3" hidden="1" customWidth="1"/>
    <col min="78" max="78" width="10.625" style="3" customWidth="1"/>
    <col min="79" max="16384" width="9" style="3"/>
  </cols>
  <sheetData>
    <row r="3" spans="1:77" ht="15" customHeight="1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86"/>
      <c r="Q3" s="86"/>
      <c r="R3" s="86"/>
      <c r="S3" s="86"/>
      <c r="T3" s="86"/>
      <c r="U3" s="86"/>
      <c r="V3" s="86"/>
    </row>
    <row r="4" spans="1:77" ht="15" customHeight="1">
      <c r="A4" s="76"/>
      <c r="B4" s="98" t="str">
        <f>verze!E30</f>
        <v>Odberateľ</v>
      </c>
      <c r="C4" s="100"/>
      <c r="D4" s="100"/>
      <c r="E4" s="100"/>
      <c r="F4" s="100"/>
      <c r="G4" s="100"/>
      <c r="H4" s="100"/>
      <c r="I4" s="100"/>
      <c r="J4" s="100"/>
      <c r="K4" s="100"/>
      <c r="L4" s="76"/>
      <c r="M4" s="76"/>
      <c r="N4" s="154"/>
      <c r="O4" s="154"/>
      <c r="P4" s="140"/>
      <c r="Q4" s="140"/>
      <c r="R4" s="140"/>
      <c r="S4" s="140"/>
      <c r="T4" s="140"/>
      <c r="U4" s="140"/>
      <c r="V4" s="140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</row>
    <row r="5" spans="1:77" ht="15" customHeight="1">
      <c r="A5" s="76"/>
      <c r="B5" s="99" t="str">
        <f>verze!E32&amp;" :"</f>
        <v>Fakturačná adresa :</v>
      </c>
      <c r="C5" s="100"/>
      <c r="D5" s="100"/>
      <c r="E5" s="100"/>
      <c r="F5" s="99" t="str">
        <f>verze!E33&amp;" :"</f>
        <v>Dodacia adresa :</v>
      </c>
      <c r="G5" s="100"/>
      <c r="H5" s="100"/>
      <c r="I5" s="100"/>
      <c r="J5" s="100"/>
      <c r="K5" s="100"/>
      <c r="L5" s="76"/>
      <c r="M5" s="76"/>
      <c r="N5" s="76"/>
      <c r="O5" s="76"/>
      <c r="P5" s="86"/>
      <c r="Q5" s="86"/>
      <c r="R5" s="86"/>
      <c r="S5" s="86"/>
      <c r="T5" s="86"/>
      <c r="U5" s="86"/>
      <c r="V5" s="86"/>
    </row>
    <row r="6" spans="1:77" ht="6.75" customHeight="1" thickBot="1">
      <c r="A6" s="76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76"/>
      <c r="M6" s="76"/>
      <c r="N6" s="76"/>
      <c r="O6" s="76"/>
      <c r="P6" s="86"/>
      <c r="Q6" s="86"/>
      <c r="R6" s="86"/>
      <c r="S6" s="86"/>
      <c r="T6" s="86"/>
      <c r="U6" s="86"/>
      <c r="V6" s="86"/>
      <c r="AA6" s="24" t="str">
        <f>FORM!AU16</f>
        <v>vo farbe bočnice</v>
      </c>
    </row>
    <row r="7" spans="1:77" ht="15" customHeight="1">
      <c r="A7" s="76"/>
      <c r="B7" s="101" t="str">
        <f>IF(Napoveda!B9="","",Napoveda!B9)</f>
        <v/>
      </c>
      <c r="C7" s="102"/>
      <c r="D7" s="100"/>
      <c r="E7" s="100"/>
      <c r="F7" s="103"/>
      <c r="G7" s="104"/>
      <c r="H7" s="104"/>
      <c r="I7" s="104"/>
      <c r="J7" s="104"/>
      <c r="K7" s="105"/>
      <c r="L7" s="76"/>
      <c r="M7" s="76"/>
      <c r="N7" s="76"/>
      <c r="O7" s="76"/>
      <c r="P7" s="86"/>
      <c r="Q7" s="69" t="str">
        <f>FORM!U8</f>
        <v>strieborná</v>
      </c>
      <c r="R7" s="86"/>
      <c r="S7" s="69"/>
      <c r="T7" s="69" t="str">
        <f>FORM!AM8</f>
        <v>na skrutky</v>
      </c>
      <c r="U7" s="86"/>
      <c r="V7" s="86"/>
      <c r="Y7" s="69">
        <f>FORM!AM24</f>
        <v>18</v>
      </c>
      <c r="AA7" s="69" t="str">
        <f>IF(FORM!AM18=AA6,Q7,FORM!AM18)</f>
        <v>strieborná</v>
      </c>
    </row>
    <row r="8" spans="1:77" ht="15" customHeight="1">
      <c r="A8" s="76"/>
      <c r="B8" s="106" t="str">
        <f>IF(Napoveda!B11="","",Napoveda!B11)</f>
        <v/>
      </c>
      <c r="C8" s="107"/>
      <c r="D8" s="100"/>
      <c r="E8" s="100"/>
      <c r="F8" s="108" t="str">
        <f>IF(Napoveda!B15="","",Napoveda!B15)</f>
        <v/>
      </c>
      <c r="G8" s="100"/>
      <c r="H8" s="100"/>
      <c r="I8" s="100"/>
      <c r="J8" s="100"/>
      <c r="K8" s="109"/>
      <c r="L8" s="76"/>
      <c r="M8" s="76"/>
      <c r="N8" s="76"/>
      <c r="O8" s="76"/>
      <c r="P8" s="86"/>
      <c r="Q8" s="24" t="str">
        <f>FORM!AU6</f>
        <v>strieborná</v>
      </c>
      <c r="R8" s="86"/>
      <c r="S8" s="86"/>
      <c r="T8" s="24" t="str">
        <f>FORM!AU10</f>
        <v>na skrutky</v>
      </c>
      <c r="U8" s="86"/>
      <c r="V8" s="86"/>
      <c r="Y8" s="24">
        <f>FORM!AU24</f>
        <v>16</v>
      </c>
      <c r="AA8" s="24" t="str">
        <f>FORM!AU6</f>
        <v>strieborná</v>
      </c>
    </row>
    <row r="9" spans="1:77" ht="15" customHeight="1">
      <c r="A9" s="76"/>
      <c r="B9" s="106" t="str">
        <f>IF(Napoveda!B12="","",Napoveda!B12)</f>
        <v/>
      </c>
      <c r="C9" s="107"/>
      <c r="D9" s="100"/>
      <c r="E9" s="100"/>
      <c r="F9" s="108" t="str">
        <f>IF(Napoveda!B16="","",Napoveda!B16)</f>
        <v/>
      </c>
      <c r="G9" s="100"/>
      <c r="H9" s="100"/>
      <c r="I9" s="100"/>
      <c r="J9" s="100"/>
      <c r="K9" s="109"/>
      <c r="L9" s="76"/>
      <c r="M9" s="76"/>
      <c r="N9" s="76"/>
      <c r="O9" s="76"/>
      <c r="P9" s="86"/>
      <c r="Q9" s="24" t="str">
        <f>FORM!AU7</f>
        <v>biela</v>
      </c>
      <c r="R9" s="24"/>
      <c r="S9" s="24"/>
      <c r="T9" s="24" t="str">
        <f>FORM!AU11</f>
        <v>s rozpernými púzdrami</v>
      </c>
      <c r="U9" s="86"/>
      <c r="V9" s="86"/>
      <c r="Y9" s="24">
        <f>FORM!AU25</f>
        <v>18</v>
      </c>
      <c r="AA9" s="24" t="str">
        <f>FORM!AU7</f>
        <v>biela</v>
      </c>
    </row>
    <row r="10" spans="1:77" ht="15" customHeight="1" thickBot="1">
      <c r="A10" s="76"/>
      <c r="B10" s="110" t="str">
        <f>IF(Napoveda!B13="","",Napoveda!B13)</f>
        <v/>
      </c>
      <c r="C10" s="111"/>
      <c r="D10" s="100"/>
      <c r="E10" s="100"/>
      <c r="F10" s="112" t="str">
        <f>IF(Napoveda!B17="","",Napoveda!B17)</f>
        <v/>
      </c>
      <c r="G10" s="113"/>
      <c r="H10" s="113"/>
      <c r="I10" s="113"/>
      <c r="J10" s="113"/>
      <c r="K10" s="114"/>
      <c r="L10" s="76"/>
      <c r="M10" s="76"/>
      <c r="N10" s="76"/>
      <c r="O10" s="76"/>
      <c r="P10" s="86"/>
      <c r="Q10" s="24" t="str">
        <f>FORM!AU8</f>
        <v>antracit</v>
      </c>
      <c r="R10" s="24"/>
      <c r="S10" s="24"/>
      <c r="T10" s="86"/>
      <c r="U10" s="86"/>
      <c r="V10" s="86"/>
      <c r="Y10" s="24">
        <f>FORM!AU26</f>
        <v>19</v>
      </c>
      <c r="AA10" s="24" t="str">
        <f>FORM!AU8</f>
        <v>antracit</v>
      </c>
    </row>
    <row r="11" spans="1:77" ht="8.1" customHeight="1">
      <c r="A11" s="76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76"/>
      <c r="M11" s="76"/>
      <c r="N11" s="76"/>
      <c r="O11" s="76"/>
      <c r="P11" s="86"/>
      <c r="Q11" s="24"/>
      <c r="R11" s="24"/>
      <c r="S11" s="24"/>
      <c r="T11" s="86"/>
      <c r="U11" s="86"/>
      <c r="V11" s="86"/>
      <c r="AA11" s="24" t="str">
        <f>FORM!AU17</f>
        <v>nerez</v>
      </c>
    </row>
    <row r="12" spans="1:77" ht="15" customHeight="1">
      <c r="A12" s="76"/>
      <c r="B12" s="115" t="str">
        <f>verze!E34&amp;": "&amp;Napoveda!B19</f>
        <v xml:space="preserve">IČO: </v>
      </c>
      <c r="C12" s="105"/>
      <c r="D12" s="100"/>
      <c r="E12" s="100"/>
      <c r="F12" s="100"/>
      <c r="G12" s="100"/>
      <c r="H12" s="100"/>
      <c r="I12" s="100"/>
      <c r="J12" s="100"/>
      <c r="K12" s="100"/>
      <c r="L12" s="76"/>
      <c r="M12" s="76"/>
      <c r="N12" s="76"/>
      <c r="O12" s="76"/>
      <c r="P12" s="86"/>
      <c r="Q12" s="86"/>
      <c r="R12" s="86"/>
      <c r="S12" s="86"/>
      <c r="T12" s="86"/>
      <c r="U12" s="86"/>
      <c r="V12" s="86"/>
      <c r="AA12" s="24" t="str">
        <f>FORM!AU18</f>
        <v>hliník</v>
      </c>
    </row>
    <row r="13" spans="1:77" ht="15" customHeight="1">
      <c r="A13" s="76"/>
      <c r="B13" s="116" t="str">
        <f>verze!E35&amp;": "&amp;Napoveda!B21</f>
        <v xml:space="preserve">DIČ / IČDPH: </v>
      </c>
      <c r="C13" s="114"/>
      <c r="D13" s="100"/>
      <c r="E13" s="100"/>
      <c r="F13" s="100"/>
      <c r="G13" s="100"/>
      <c r="H13" s="100"/>
      <c r="I13" s="100"/>
      <c r="J13" s="100"/>
      <c r="K13" s="100"/>
      <c r="L13" s="76"/>
      <c r="M13" s="76"/>
      <c r="N13" s="76"/>
      <c r="O13" s="76"/>
      <c r="P13" s="86"/>
      <c r="Q13" s="86"/>
      <c r="R13" s="86"/>
      <c r="S13" s="86"/>
      <c r="T13" s="86"/>
      <c r="U13" s="86"/>
      <c r="V13" s="86"/>
      <c r="AA13" s="24" t="str">
        <f>FORM!AU19</f>
        <v>chróm</v>
      </c>
    </row>
    <row r="14" spans="1:77" ht="8.1" customHeight="1">
      <c r="A14" s="76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76"/>
      <c r="M14" s="76"/>
      <c r="N14" s="76"/>
      <c r="O14" s="76"/>
      <c r="P14" s="86"/>
      <c r="Q14" s="86"/>
      <c r="R14" s="86"/>
      <c r="S14" s="86"/>
      <c r="T14" s="86"/>
      <c r="U14" s="86"/>
      <c r="V14" s="86"/>
      <c r="AA14" s="24" t="str">
        <f>FORM!AU20</f>
        <v>dub</v>
      </c>
    </row>
    <row r="15" spans="1:77" ht="15" customHeight="1">
      <c r="A15" s="76"/>
      <c r="B15" s="252" t="str">
        <f>IF(Napoveda!B23="","",Napoveda!B23)</f>
        <v/>
      </c>
      <c r="C15" s="105"/>
      <c r="D15" s="100"/>
      <c r="E15" s="100"/>
      <c r="F15" s="100" t="str">
        <f>verze!E39</f>
        <v>Číslo objednávky</v>
      </c>
      <c r="G15" s="100"/>
      <c r="H15" s="100"/>
      <c r="I15" s="100"/>
      <c r="J15" s="100"/>
      <c r="K15" s="100"/>
      <c r="L15" s="76"/>
      <c r="M15" s="76"/>
      <c r="N15" s="76"/>
      <c r="O15" s="76"/>
      <c r="P15" s="86"/>
      <c r="Q15" s="86"/>
      <c r="R15" s="86"/>
      <c r="S15" s="86"/>
      <c r="T15" s="86"/>
      <c r="U15" s="86"/>
      <c r="V15" s="86"/>
      <c r="AA15" s="24" t="str">
        <f>FORM!AU21</f>
        <v>orech</v>
      </c>
    </row>
    <row r="16" spans="1:77" ht="15" customHeight="1">
      <c r="A16" s="76"/>
      <c r="B16" s="253" t="str">
        <f>IF(Napoveda!B24="","",Napoveda!B24)</f>
        <v/>
      </c>
      <c r="C16" s="109"/>
      <c r="D16" s="100"/>
      <c r="E16" s="100"/>
      <c r="F16" s="623"/>
      <c r="G16" s="623"/>
      <c r="H16" s="623"/>
      <c r="I16" s="623"/>
      <c r="J16" s="623"/>
      <c r="K16" s="623"/>
      <c r="L16" s="76"/>
      <c r="M16" s="76"/>
      <c r="N16" s="76"/>
      <c r="O16" s="76"/>
      <c r="P16" s="86"/>
      <c r="Q16" s="86"/>
      <c r="R16" s="86"/>
      <c r="S16" s="86"/>
      <c r="T16" s="86"/>
      <c r="U16" s="86"/>
      <c r="V16" s="86"/>
      <c r="AA16" s="24"/>
    </row>
    <row r="17" spans="1:83" ht="15" customHeight="1">
      <c r="A17" s="76"/>
      <c r="B17" s="253" t="str">
        <f>IF(Napoveda!B25="","",Napoveda!B25)</f>
        <v/>
      </c>
      <c r="C17" s="109"/>
      <c r="D17" s="100"/>
      <c r="E17" s="100"/>
      <c r="F17" s="100" t="str">
        <f>verze!E40</f>
        <v>Zákazka</v>
      </c>
      <c r="G17" s="100"/>
      <c r="H17" s="100"/>
      <c r="I17" s="100"/>
      <c r="J17" s="100"/>
      <c r="K17" s="100"/>
      <c r="L17" s="76"/>
      <c r="M17" s="76"/>
      <c r="N17" s="76"/>
      <c r="O17" s="76"/>
      <c r="P17" s="86"/>
      <c r="Q17" s="86"/>
      <c r="R17" s="86"/>
      <c r="S17" s="86"/>
      <c r="T17" s="86"/>
      <c r="U17" s="86"/>
      <c r="V17" s="86"/>
    </row>
    <row r="18" spans="1:83" ht="15" customHeight="1">
      <c r="A18" s="76"/>
      <c r="B18" s="254"/>
      <c r="C18" s="114"/>
      <c r="D18" s="100"/>
      <c r="E18" s="100"/>
      <c r="F18" s="623"/>
      <c r="G18" s="623"/>
      <c r="H18" s="623"/>
      <c r="I18" s="623"/>
      <c r="J18" s="623"/>
      <c r="K18" s="623"/>
      <c r="L18" s="76"/>
      <c r="M18" s="76"/>
      <c r="N18" s="76"/>
      <c r="O18" s="76"/>
      <c r="P18" s="86"/>
      <c r="Q18" s="86"/>
      <c r="R18" s="86"/>
      <c r="S18" s="86"/>
      <c r="T18" s="86"/>
      <c r="U18" s="86"/>
      <c r="V18" s="86"/>
    </row>
    <row r="19" spans="1:83" ht="15" customHeight="1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86"/>
      <c r="Q19" s="86"/>
      <c r="R19" s="86"/>
      <c r="S19" s="86"/>
      <c r="T19" s="86"/>
      <c r="U19" s="86"/>
      <c r="V19" s="86"/>
    </row>
    <row r="20" spans="1:83" ht="26.25">
      <c r="A20" s="76"/>
      <c r="B20" s="117" t="str">
        <f>verze!E38</f>
        <v>Objednávka</v>
      </c>
      <c r="C20" s="118"/>
      <c r="D20" s="118"/>
      <c r="E20" s="118"/>
      <c r="F20" s="119" t="s">
        <v>395</v>
      </c>
      <c r="G20" s="118"/>
      <c r="H20" s="118"/>
      <c r="I20" s="118"/>
      <c r="J20" s="118"/>
      <c r="K20" s="120" t="str">
        <f>verze!E51&amp;": "&amp;verze!E52</f>
        <v>Verzia: 2.0.0</v>
      </c>
      <c r="L20" s="118"/>
      <c r="M20" s="76"/>
      <c r="N20" s="76"/>
      <c r="O20" s="76"/>
      <c r="P20" s="86"/>
      <c r="Q20" s="86"/>
      <c r="R20" s="86"/>
      <c r="S20" s="86"/>
      <c r="T20" s="86"/>
      <c r="U20" s="86"/>
      <c r="V20" s="86"/>
      <c r="Z20" s="624" t="s">
        <v>359</v>
      </c>
      <c r="AA20" s="624"/>
      <c r="AB20" s="624"/>
      <c r="AC20" s="624"/>
      <c r="AD20" s="624"/>
      <c r="AE20" s="624"/>
      <c r="AF20" s="338"/>
      <c r="AG20" s="338"/>
      <c r="AH20" s="618" t="s">
        <v>366</v>
      </c>
      <c r="AI20" s="618"/>
      <c r="AJ20" s="618"/>
      <c r="AK20" s="618"/>
      <c r="AZ20" s="3" t="s">
        <v>590</v>
      </c>
      <c r="BA20" s="3" t="s">
        <v>590</v>
      </c>
      <c r="BB20" s="3" t="s">
        <v>590</v>
      </c>
      <c r="BC20" s="3" t="s">
        <v>590</v>
      </c>
      <c r="BD20" s="3" t="s">
        <v>590</v>
      </c>
      <c r="BE20" s="3" t="s">
        <v>590</v>
      </c>
    </row>
    <row r="21" spans="1:83" ht="15" customHeight="1">
      <c r="A21" s="4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619" t="s">
        <v>331</v>
      </c>
      <c r="Q21" s="621" t="s">
        <v>331</v>
      </c>
      <c r="R21" s="619" t="s">
        <v>329</v>
      </c>
      <c r="S21" s="621" t="s">
        <v>329</v>
      </c>
      <c r="T21" s="619" t="s">
        <v>330</v>
      </c>
      <c r="U21" s="621" t="s">
        <v>330</v>
      </c>
      <c r="V21" s="619" t="s">
        <v>332</v>
      </c>
      <c r="W21" s="621" t="s">
        <v>332</v>
      </c>
      <c r="X21" s="619" t="s">
        <v>344</v>
      </c>
      <c r="Y21" s="621" t="s">
        <v>344</v>
      </c>
      <c r="Z21" s="619" t="s">
        <v>369</v>
      </c>
      <c r="AA21" s="621" t="s">
        <v>369</v>
      </c>
      <c r="AB21" s="619" t="s">
        <v>370</v>
      </c>
      <c r="AC21" s="621" t="s">
        <v>370</v>
      </c>
      <c r="AD21" s="619" t="s">
        <v>371</v>
      </c>
      <c r="AE21" s="621" t="s">
        <v>371</v>
      </c>
      <c r="AF21" s="619" t="s">
        <v>378</v>
      </c>
      <c r="AG21" s="621" t="s">
        <v>378</v>
      </c>
      <c r="AH21" s="619" t="s">
        <v>368</v>
      </c>
      <c r="AI21" s="621" t="s">
        <v>368</v>
      </c>
      <c r="AJ21" s="619" t="s">
        <v>367</v>
      </c>
      <c r="AK21" s="621" t="s">
        <v>367</v>
      </c>
      <c r="AL21" s="619" t="s">
        <v>377</v>
      </c>
      <c r="AM21" s="621" t="s">
        <v>377</v>
      </c>
      <c r="AN21" s="619" t="s">
        <v>391</v>
      </c>
      <c r="AO21" s="621" t="s">
        <v>391</v>
      </c>
      <c r="AP21" s="619" t="s">
        <v>392</v>
      </c>
      <c r="AQ21" s="621" t="s">
        <v>392</v>
      </c>
      <c r="AR21" s="619" t="s">
        <v>393</v>
      </c>
      <c r="AS21" s="621" t="s">
        <v>393</v>
      </c>
      <c r="AT21" s="619" t="s">
        <v>394</v>
      </c>
      <c r="AU21" s="621" t="s">
        <v>394</v>
      </c>
      <c r="AV21" s="619" t="s">
        <v>597</v>
      </c>
      <c r="AW21" s="621" t="s">
        <v>597</v>
      </c>
      <c r="AX21" s="619" t="s">
        <v>599</v>
      </c>
      <c r="AY21" s="621" t="s">
        <v>599</v>
      </c>
      <c r="AZ21" s="619" t="s">
        <v>600</v>
      </c>
      <c r="BA21" s="621" t="s">
        <v>600</v>
      </c>
      <c r="BB21" s="619" t="s">
        <v>601</v>
      </c>
      <c r="BC21" s="621" t="s">
        <v>601</v>
      </c>
      <c r="BD21" s="619" t="s">
        <v>602</v>
      </c>
      <c r="BE21" s="621" t="s">
        <v>602</v>
      </c>
      <c r="BF21" s="230"/>
      <c r="BG21" s="230"/>
      <c r="BH21" s="230"/>
      <c r="BI21" s="230"/>
      <c r="BJ21" s="230"/>
      <c r="BK21" s="230"/>
      <c r="BL21" s="230"/>
      <c r="BM21" s="230"/>
      <c r="BN21" s="230"/>
      <c r="BO21" s="165"/>
      <c r="BP21" s="165"/>
      <c r="BQ21" s="165"/>
      <c r="BR21" s="165"/>
      <c r="BS21" s="165"/>
      <c r="BT21" s="165"/>
      <c r="BU21" s="165"/>
      <c r="BV21" s="55"/>
      <c r="BW21" s="625"/>
      <c r="BX21" s="24"/>
      <c r="BY21" s="24"/>
      <c r="BZ21" s="4"/>
      <c r="CA21" s="24"/>
      <c r="CB21" s="24"/>
      <c r="CC21" s="24"/>
      <c r="CD21" s="24"/>
      <c r="CE21" s="24"/>
    </row>
    <row r="22" spans="1:83" ht="33.75" customHeight="1">
      <c r="A22" s="4"/>
      <c r="B22" s="27" t="str">
        <f>verze!E41</f>
        <v>Číslo artiklu</v>
      </c>
      <c r="C22" s="27" t="str">
        <f>verze!E42</f>
        <v>Názov</v>
      </c>
      <c r="D22" s="27" t="str">
        <f>verze!E43</f>
        <v>balenie</v>
      </c>
      <c r="E22" s="28" t="str">
        <f>verze!E44</f>
        <v>Sklad</v>
      </c>
      <c r="F22" s="152" t="str">
        <f>verze!E45</f>
        <v>Počet</v>
      </c>
      <c r="G22" s="29" t="str">
        <f>verze!E46</f>
        <v>Jednotková cena</v>
      </c>
      <c r="H22" s="29" t="str">
        <f>IF(verze!E1="CZK"," CZK"," EUR")</f>
        <v xml:space="preserve"> EUR</v>
      </c>
      <c r="I22" s="30" t="str">
        <f>verze!E47</f>
        <v>Celkom</v>
      </c>
      <c r="J22" s="31" t="str">
        <f>verze!E48</f>
        <v>Zmena</v>
      </c>
      <c r="K22" s="29" t="str">
        <f>verze!E49</f>
        <v>Voľné pole</v>
      </c>
      <c r="L22" s="29" t="str">
        <f>verze!E50</f>
        <v>Kód predajcu</v>
      </c>
      <c r="M22" s="4"/>
      <c r="N22" s="32" t="s">
        <v>44</v>
      </c>
      <c r="O22" s="25" t="s">
        <v>45</v>
      </c>
      <c r="P22" s="619"/>
      <c r="Q22" s="621"/>
      <c r="R22" s="619"/>
      <c r="S22" s="621"/>
      <c r="T22" s="619"/>
      <c r="U22" s="621"/>
      <c r="V22" s="619"/>
      <c r="W22" s="621"/>
      <c r="X22" s="619"/>
      <c r="Y22" s="621"/>
      <c r="Z22" s="619"/>
      <c r="AA22" s="621"/>
      <c r="AB22" s="619"/>
      <c r="AC22" s="621"/>
      <c r="AD22" s="619"/>
      <c r="AE22" s="621"/>
      <c r="AF22" s="619"/>
      <c r="AG22" s="621"/>
      <c r="AH22" s="619"/>
      <c r="AI22" s="621"/>
      <c r="AJ22" s="619"/>
      <c r="AK22" s="621"/>
      <c r="AL22" s="619"/>
      <c r="AM22" s="621"/>
      <c r="AN22" s="619"/>
      <c r="AO22" s="621"/>
      <c r="AP22" s="619"/>
      <c r="AQ22" s="621"/>
      <c r="AR22" s="619"/>
      <c r="AS22" s="621"/>
      <c r="AT22" s="619"/>
      <c r="AU22" s="621"/>
      <c r="AV22" s="619"/>
      <c r="AW22" s="621"/>
      <c r="AX22" s="619"/>
      <c r="AY22" s="621"/>
      <c r="AZ22" s="619"/>
      <c r="BA22" s="621"/>
      <c r="BB22" s="619"/>
      <c r="BC22" s="621"/>
      <c r="BD22" s="619"/>
      <c r="BE22" s="621"/>
      <c r="BF22" s="230"/>
      <c r="BG22" s="230"/>
      <c r="BH22" s="230"/>
      <c r="BI22" s="230"/>
      <c r="BJ22" s="230"/>
      <c r="BK22" s="230"/>
      <c r="BL22" s="230"/>
      <c r="BM22" s="230"/>
      <c r="BN22" s="230"/>
      <c r="BO22" s="165"/>
      <c r="BP22" s="165"/>
      <c r="BQ22" s="165"/>
      <c r="BR22" s="165"/>
      <c r="BS22" s="165"/>
      <c r="BT22" s="165"/>
      <c r="BU22" s="165"/>
      <c r="BV22" s="55"/>
      <c r="BW22" s="625"/>
      <c r="BX22" s="24"/>
      <c r="BY22" s="24"/>
      <c r="BZ22" s="4"/>
      <c r="CA22" s="24"/>
      <c r="CB22" s="24"/>
      <c r="CC22" s="24"/>
      <c r="CD22" s="24"/>
      <c r="CE22" s="24"/>
    </row>
    <row r="23" spans="1:83" ht="15" hidden="1" customHeight="1">
      <c r="A23" s="4"/>
      <c r="B23" s="317">
        <f>IF($Q$8=$Q$7,CENY!B11,IF($Q$7=$Q$9,CENY!B15,CENY!B19))</f>
        <v>9353331</v>
      </c>
      <c r="C23" s="33" t="str">
        <f>VLOOKUP(B23,CENY!$B$11:$G$1054,2,FALSE)</f>
        <v>AvanY-sólo oceľ.boky-NW 77/400mm/strieb.</v>
      </c>
      <c r="D23" s="363">
        <f>VLOOKUP(B23,CENY!$B$11:$G$1054,3,FALSE)</f>
        <v>1</v>
      </c>
      <c r="E23" s="144" t="str">
        <f>IF(VLOOKUP(B23,CENY!$B$11:$G$1054,4,FALSE)=0,"",VLOOKUP(B23,CENY!$B$11:$G$1054,4,FALSE))</f>
        <v/>
      </c>
      <c r="F23" s="40" t="str">
        <f>IF(J23&lt;&gt;"",J23,IF(N23=0,"",N23))</f>
        <v/>
      </c>
      <c r="G23" s="51">
        <f>VLOOKUP(B23,CENY!$B$11:$M$1054,12,FALSE)</f>
        <v>27.198930000000001</v>
      </c>
      <c r="H23" s="53" t="str">
        <f>IF(G23="","",$H$22)</f>
        <v xml:space="preserve"> EUR</v>
      </c>
      <c r="I23" s="41" t="str">
        <f>IF(F23="","",G23*F23)</f>
        <v/>
      </c>
      <c r="J23" s="121"/>
      <c r="K23" s="34" t="str">
        <f>VLOOKUP(B23,CENY!$B$11:$M$1054,8,FALSE)</f>
        <v xml:space="preserve"> </v>
      </c>
      <c r="L23" s="34" t="str">
        <f>VLOOKUP(B23,CENY!$B$11:$M$1054,9,FALSE)</f>
        <v>529995</v>
      </c>
      <c r="M23" s="4"/>
      <c r="N23" s="35">
        <f>SUM(P23:BW23)</f>
        <v>0</v>
      </c>
      <c r="O23" s="36">
        <v>0</v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5">
        <f>'AVT77'!AZ5</f>
        <v>0</v>
      </c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165"/>
      <c r="BP23" s="165"/>
      <c r="BQ23" s="165"/>
      <c r="BR23" s="165"/>
      <c r="BS23" s="165"/>
      <c r="BT23" s="165"/>
      <c r="BU23" s="165"/>
      <c r="BV23" s="55"/>
      <c r="BW23" s="160"/>
      <c r="BX23" s="24"/>
      <c r="BY23" s="24"/>
      <c r="BZ23" s="4"/>
      <c r="CA23" s="24"/>
      <c r="CB23" s="24"/>
      <c r="CC23" s="24"/>
      <c r="CD23" s="24"/>
      <c r="CE23" s="24"/>
    </row>
    <row r="24" spans="1:83" ht="15" customHeight="1">
      <c r="A24" s="4"/>
      <c r="B24" s="317">
        <f>IF($Q$8=$Q$7,CENY!B12,IF($Q$7=$Q$9,CENY!B16,CENY!B20))</f>
        <v>9353332</v>
      </c>
      <c r="C24" s="203" t="str">
        <f>VLOOKUP(B24,CENY!$B$11:$G$1054,2,FALSE)</f>
        <v>AvanY-sólo oceľ.boky-NW 77/450mm/strieb.</v>
      </c>
      <c r="D24" s="364">
        <f>VLOOKUP(B24,CENY!$B$11:$G$1054,3,FALSE)</f>
        <v>1</v>
      </c>
      <c r="E24" s="204" t="str">
        <f>IF(VLOOKUP(B24,CENY!$B$11:$G$1054,4,FALSE)=0,"",VLOOKUP(B24,CENY!$B$11:$G$1054,4,FALSE))</f>
        <v/>
      </c>
      <c r="F24" s="205" t="str">
        <f>IF(J24&lt;&gt;"",J24,IF(N24=0,"",N24))</f>
        <v/>
      </c>
      <c r="G24" s="206">
        <f>VLOOKUP(B24,CENY!$B$11:$M$1054,12,FALSE)</f>
        <v>26.252420000000001</v>
      </c>
      <c r="H24" s="207" t="str">
        <f>IF(G24="","",$H$22)</f>
        <v xml:space="preserve"> EUR</v>
      </c>
      <c r="I24" s="208" t="str">
        <f>IF(F24="","",G24*F24)</f>
        <v/>
      </c>
      <c r="J24" s="209"/>
      <c r="K24" s="210" t="str">
        <f>VLOOKUP(B24,CENY!$B$11:$M$1054,8,FALSE)</f>
        <v xml:space="preserve"> </v>
      </c>
      <c r="L24" s="210" t="str">
        <f>VLOOKUP(B24,CENY!$B$11:$M$1054,9,FALSE)</f>
        <v>529996</v>
      </c>
      <c r="M24" s="4"/>
      <c r="N24" s="35">
        <f>SUM(P24:BW24)</f>
        <v>0</v>
      </c>
      <c r="O24" s="36">
        <v>0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5">
        <f>'AVT77'!AZ6</f>
        <v>0</v>
      </c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165"/>
      <c r="BP24" s="165"/>
      <c r="BQ24" s="165"/>
      <c r="BR24" s="165"/>
      <c r="BS24" s="165"/>
      <c r="BT24" s="165"/>
      <c r="BU24" s="165"/>
      <c r="BV24" s="55"/>
      <c r="BW24" s="160"/>
      <c r="BX24" s="32"/>
      <c r="BY24" s="24"/>
      <c r="BZ24" s="24"/>
      <c r="CA24" s="24"/>
      <c r="CB24" s="24"/>
      <c r="CC24" s="24"/>
      <c r="CD24" s="24"/>
      <c r="CE24" s="24"/>
    </row>
    <row r="25" spans="1:83" ht="15" hidden="1" customHeight="1">
      <c r="A25" s="4"/>
      <c r="B25" s="317">
        <f>IF($Q$8=$Q$7,CENY!B13,IF($Q$7=$Q$9,CENY!B17,CENY!B21))</f>
        <v>9353333</v>
      </c>
      <c r="C25" s="203" t="str">
        <f>VLOOKUP(B25,CENY!$B$11:$G$1054,2,FALSE)</f>
        <v>AvanY-sólo oceľ.boky-NW 77/500mm/strieb.</v>
      </c>
      <c r="D25" s="364">
        <f>VLOOKUP(B25,CENY!$B$11:$G$1054,3,FALSE)</f>
        <v>1</v>
      </c>
      <c r="E25" s="204" t="str">
        <f>IF(VLOOKUP(B25,CENY!$B$11:$G$1054,4,FALSE)=0,"",VLOOKUP(B25,CENY!$B$11:$G$1054,4,FALSE))</f>
        <v/>
      </c>
      <c r="F25" s="205" t="str">
        <f>IF(J25&lt;&gt;"",J25,IF(N25=0,"",N25))</f>
        <v/>
      </c>
      <c r="G25" s="206">
        <f>VLOOKUP(B25,CENY!$B$11:$M$1054,12,FALSE)</f>
        <v>26.6004</v>
      </c>
      <c r="H25" s="207" t="str">
        <f t="shared" ref="H25:H88" si="0">IF(G25="","",$H$22)</f>
        <v xml:space="preserve"> EUR</v>
      </c>
      <c r="I25" s="208" t="str">
        <f t="shared" ref="I25:I88" si="1">IF(F25="","",G25*F25)</f>
        <v/>
      </c>
      <c r="J25" s="209"/>
      <c r="K25" s="210" t="str">
        <f>VLOOKUP(B25,CENY!$B$11:$M$1054,8,FALSE)</f>
        <v xml:space="preserve"> </v>
      </c>
      <c r="L25" s="210" t="str">
        <f>VLOOKUP(B25,CENY!$B$11:$M$1054,9,FALSE)</f>
        <v>529997</v>
      </c>
      <c r="M25" s="4"/>
      <c r="N25" s="35">
        <f>SUM(P25:BW25)</f>
        <v>0</v>
      </c>
      <c r="O25" s="36">
        <v>0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5">
        <f>'AVT77'!AZ7</f>
        <v>0</v>
      </c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165"/>
      <c r="BP25" s="165"/>
      <c r="BQ25" s="165"/>
      <c r="BR25" s="165"/>
      <c r="BS25" s="165"/>
      <c r="BT25" s="165"/>
      <c r="BU25" s="165"/>
      <c r="BV25" s="55"/>
      <c r="BW25" s="160"/>
      <c r="BX25" s="32"/>
      <c r="BY25" s="24"/>
      <c r="BZ25" s="24"/>
      <c r="CA25" s="24"/>
      <c r="CB25" s="24"/>
      <c r="CC25" s="24"/>
      <c r="CD25" s="24"/>
      <c r="CE25" s="24"/>
    </row>
    <row r="26" spans="1:83" ht="15" hidden="1" customHeight="1">
      <c r="A26" s="4"/>
      <c r="B26" s="317">
        <f>IF($Q$8=$Q$7,CENY!B14,IF($Q$7=$Q$9,CENY!B18,CENY!B22))</f>
        <v>9353334</v>
      </c>
      <c r="C26" s="39" t="str">
        <f>VLOOKUP(B26,CENY!$B$11:$G$1054,2,FALSE)</f>
        <v>AvanY-sólo oceľ.boky-NW 77/550mm/strieb.</v>
      </c>
      <c r="D26" s="364">
        <f>VLOOKUP(B26,CENY!$B$11:$G$1054,3,FALSE)</f>
        <v>1</v>
      </c>
      <c r="E26" s="56" t="str">
        <f>IF(VLOOKUP(B26,CENY!$B$11:$G$1054,4,FALSE)=0,"",VLOOKUP(B26,CENY!$B$11:$G$1054,4,FALSE))</f>
        <v/>
      </c>
      <c r="F26" s="40" t="str">
        <f>IF(J26&lt;&gt;"",J26,IF(N26=0,"",N26))</f>
        <v/>
      </c>
      <c r="G26" s="52">
        <f>VLOOKUP(B26,CENY!$B$11:$M$1054,12,FALSE)</f>
        <v>28.296320000000001</v>
      </c>
      <c r="H26" s="54" t="str">
        <f t="shared" si="0"/>
        <v xml:space="preserve"> EUR</v>
      </c>
      <c r="I26" s="41" t="str">
        <f t="shared" si="1"/>
        <v/>
      </c>
      <c r="J26" s="122"/>
      <c r="K26" s="42" t="str">
        <f>VLOOKUP(B26,CENY!$B$11:$M$1054,8,FALSE)</f>
        <v xml:space="preserve"> </v>
      </c>
      <c r="L26" s="42" t="str">
        <f>VLOOKUP(B26,CENY!$B$11:$M$1054,9,FALSE)</f>
        <v>529998</v>
      </c>
      <c r="M26" s="4"/>
      <c r="N26" s="35">
        <f>SUM(P26:BW26)</f>
        <v>0</v>
      </c>
      <c r="O26" s="36">
        <v>0</v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5">
        <f>'AVT77'!AZ8</f>
        <v>0</v>
      </c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165"/>
      <c r="BP26" s="165"/>
      <c r="BQ26" s="165"/>
      <c r="BR26" s="165"/>
      <c r="BS26" s="165"/>
      <c r="BT26" s="165"/>
      <c r="BU26" s="165"/>
      <c r="BV26" s="55"/>
      <c r="BW26" s="160"/>
      <c r="BX26" s="32"/>
      <c r="BY26" s="24"/>
      <c r="BZ26" s="24"/>
      <c r="CA26" s="24"/>
      <c r="CB26" s="24"/>
      <c r="CC26" s="24"/>
      <c r="CD26" s="24"/>
      <c r="CE26" s="24"/>
    </row>
    <row r="27" spans="1:83" ht="15" hidden="1" customHeight="1">
      <c r="A27" s="4"/>
      <c r="B27" s="317">
        <f>CENY!B23</f>
        <v>79665</v>
      </c>
      <c r="C27" s="39" t="str">
        <f>VLOOKUP(B27,CENY!$B$11:$G$1054,2,FALSE)</f>
        <v>Univerzálny uholník  31x31mm</v>
      </c>
      <c r="D27" s="353">
        <f>VLOOKUP(B27,CENY!$B$11:$G$1054,3,FALSE)</f>
        <v>100</v>
      </c>
      <c r="E27" s="56" t="str">
        <f>IF(VLOOKUP(B27,CENY!$B$11:$G$1054,4,FALSE)=0,"",VLOOKUP(B27,CENY!$B$11:$G$1054,4,FALSE))</f>
        <v/>
      </c>
      <c r="F27" s="40" t="str">
        <f>IF(J27&lt;&gt;"",J27,IF(N27=0,"",N27))</f>
        <v/>
      </c>
      <c r="G27" s="52">
        <f>VLOOKUP(B27,CENY!$B$11:$M$1054,12,FALSE)</f>
        <v>0.38266</v>
      </c>
      <c r="H27" s="54" t="str">
        <f t="shared" si="0"/>
        <v xml:space="preserve"> EUR</v>
      </c>
      <c r="I27" s="41" t="str">
        <f t="shared" si="1"/>
        <v/>
      </c>
      <c r="J27" s="122"/>
      <c r="K27" s="42" t="str">
        <f>VLOOKUP(B27,CENY!$B$11:$M$1054,8,FALSE)</f>
        <v xml:space="preserve"> </v>
      </c>
      <c r="L27" s="42" t="str">
        <f>VLOOKUP(B27,CENY!$B$11:$M$1054,9,FALSE)</f>
        <v>178288</v>
      </c>
      <c r="M27" s="4"/>
      <c r="N27" s="35">
        <f>SUM(P27:BW27)</f>
        <v>0</v>
      </c>
      <c r="O27" s="36">
        <v>0</v>
      </c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5">
        <f>'AVT77'!BI15</f>
        <v>0</v>
      </c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165"/>
      <c r="BP27" s="165"/>
      <c r="BQ27" s="165"/>
      <c r="BR27" s="165"/>
      <c r="BS27" s="165"/>
      <c r="BT27" s="165"/>
      <c r="BU27" s="165"/>
      <c r="BV27" s="55"/>
      <c r="BW27" s="160"/>
      <c r="BX27" s="32"/>
      <c r="BY27" s="24"/>
      <c r="BZ27" s="24"/>
      <c r="CA27" s="24"/>
      <c r="CB27" s="24"/>
      <c r="CC27" s="24"/>
      <c r="CD27" s="24"/>
      <c r="CE27" s="24"/>
    </row>
    <row r="28" spans="1:83" ht="8.1" hidden="1" customHeight="1">
      <c r="A28" s="4"/>
      <c r="B28" s="317"/>
      <c r="C28" s="39"/>
      <c r="D28" s="39"/>
      <c r="E28" s="57"/>
      <c r="F28" s="40"/>
      <c r="G28" s="52"/>
      <c r="H28" s="54"/>
      <c r="I28" s="41"/>
      <c r="J28" s="122"/>
      <c r="K28" s="42"/>
      <c r="L28" s="42"/>
      <c r="M28" s="32"/>
      <c r="N28" s="35"/>
      <c r="O28" s="36">
        <v>0</v>
      </c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165"/>
      <c r="BP28" s="165"/>
      <c r="BQ28" s="165"/>
      <c r="BR28" s="165"/>
      <c r="BS28" s="165"/>
      <c r="BT28" s="165"/>
      <c r="BU28" s="165"/>
      <c r="BV28" s="55"/>
      <c r="BW28" s="160"/>
      <c r="BX28" s="32"/>
      <c r="BY28" s="24"/>
      <c r="BZ28" s="24"/>
      <c r="CA28" s="24"/>
      <c r="CB28" s="24"/>
      <c r="CC28" s="24"/>
      <c r="CD28" s="24"/>
      <c r="CE28" s="24"/>
    </row>
    <row r="29" spans="1:83" ht="15" hidden="1" customHeight="1">
      <c r="A29" s="4"/>
      <c r="B29" s="317">
        <f>IF($Q$8=$Q$7,CENY!B24,IF($Q$7=$Q$9,CENY!B32,CENY!B40))</f>
        <v>9255000</v>
      </c>
      <c r="C29" s="39" t="str">
        <f>VLOOKUP(B29,CENY!$B$11:$G$1054,2,FALSE)</f>
        <v>AvanY-bok ľavý /v77/h400/ strieborná</v>
      </c>
      <c r="D29" s="353">
        <f>VLOOKUP(B29,CENY!$B$11:$G$1054,3,FALSE)</f>
        <v>10</v>
      </c>
      <c r="E29" s="56" t="str">
        <f>IF(VLOOKUP(B29,CENY!$B$11:$G$1054,4,FALSE)=0,"",VLOOKUP(B29,CENY!$B$11:$G$1054,4,FALSE))</f>
        <v/>
      </c>
      <c r="F29" s="40" t="str">
        <f t="shared" ref="F29:F37" si="2">IF(J29&lt;&gt;"",J29,IF(N29=0,"",N29))</f>
        <v/>
      </c>
      <c r="G29" s="52">
        <f>VLOOKUP(B29,CENY!$B$11:$M$1054,12,FALSE)</f>
        <v>10.49362</v>
      </c>
      <c r="H29" s="54" t="str">
        <f t="shared" si="0"/>
        <v xml:space="preserve"> EUR</v>
      </c>
      <c r="I29" s="41" t="str">
        <f t="shared" si="1"/>
        <v/>
      </c>
      <c r="J29" s="122"/>
      <c r="K29" s="42" t="str">
        <f>VLOOKUP(B29,CENY!$B$11:$M$1054,8,FALSE)</f>
        <v xml:space="preserve"> </v>
      </c>
      <c r="L29" s="42" t="str">
        <f>VLOOKUP(B29,CENY!$B$11:$M$1054,9,FALSE)</f>
        <v>396535</v>
      </c>
      <c r="M29" s="4"/>
      <c r="N29" s="35">
        <f t="shared" ref="N29:N37" si="3">SUM(P29:BW29)</f>
        <v>0</v>
      </c>
      <c r="O29" s="36">
        <v>0</v>
      </c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5">
        <f>'AVT77'!BI5</f>
        <v>0</v>
      </c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165"/>
      <c r="BP29" s="165"/>
      <c r="BQ29" s="165"/>
      <c r="BR29" s="165"/>
      <c r="BS29" s="165"/>
      <c r="BT29" s="165"/>
      <c r="BU29" s="165"/>
      <c r="BV29" s="55"/>
      <c r="BW29" s="160"/>
      <c r="BX29" s="32"/>
      <c r="BY29" s="24"/>
      <c r="BZ29" s="24"/>
      <c r="CA29" s="24"/>
      <c r="CB29" s="24"/>
      <c r="CC29" s="24"/>
      <c r="CD29" s="24"/>
      <c r="CE29" s="24"/>
    </row>
    <row r="30" spans="1:83" ht="15" hidden="1" customHeight="1">
      <c r="A30" s="4"/>
      <c r="B30" s="317">
        <f>IF($Q$8=$Q$7,CENY!B25,IF($Q$7=$Q$9,CENY!B33,CENY!B41))</f>
        <v>9255001</v>
      </c>
      <c r="C30" s="39" t="str">
        <f>VLOOKUP(B30,CENY!$B$11:$G$1054,2,FALSE)</f>
        <v>AvanY-bok pravý /v77/h400/ strieborná</v>
      </c>
      <c r="D30" s="353">
        <f>VLOOKUP(B30,CENY!$B$11:$G$1054,3,FALSE)</f>
        <v>10</v>
      </c>
      <c r="E30" s="56" t="str">
        <f>IF(VLOOKUP(B30,CENY!$B$11:$G$1054,4,FALSE)=0,"",VLOOKUP(B30,CENY!$B$11:$G$1054,4,FALSE))</f>
        <v/>
      </c>
      <c r="F30" s="40" t="str">
        <f t="shared" si="2"/>
        <v/>
      </c>
      <c r="G30" s="52">
        <f>VLOOKUP(B30,CENY!$B$11:$M$1054,12,FALSE)</f>
        <v>10.49362</v>
      </c>
      <c r="H30" s="54" t="str">
        <f t="shared" si="0"/>
        <v xml:space="preserve"> EUR</v>
      </c>
      <c r="I30" s="41" t="str">
        <f t="shared" si="1"/>
        <v/>
      </c>
      <c r="J30" s="122"/>
      <c r="K30" s="42" t="str">
        <f>VLOOKUP(B30,CENY!$B$11:$M$1054,8,FALSE)</f>
        <v xml:space="preserve"> </v>
      </c>
      <c r="L30" s="42" t="str">
        <f>VLOOKUP(B30,CENY!$B$11:$M$1054,9,FALSE)</f>
        <v>396536</v>
      </c>
      <c r="M30" s="4"/>
      <c r="N30" s="35">
        <f t="shared" si="3"/>
        <v>0</v>
      </c>
      <c r="O30" s="36">
        <v>0</v>
      </c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5">
        <f>'AVT77'!BI6</f>
        <v>0</v>
      </c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165"/>
      <c r="BP30" s="165"/>
      <c r="BQ30" s="165"/>
      <c r="BR30" s="165"/>
      <c r="BS30" s="165"/>
      <c r="BT30" s="165"/>
      <c r="BU30" s="165"/>
      <c r="BV30" s="55"/>
      <c r="BW30" s="160"/>
      <c r="BX30" s="32"/>
      <c r="BY30" s="24"/>
      <c r="BZ30" s="24"/>
      <c r="CA30" s="24"/>
      <c r="CB30" s="24"/>
      <c r="CC30" s="24"/>
      <c r="CD30" s="24"/>
      <c r="CE30" s="24"/>
    </row>
    <row r="31" spans="1:83" ht="15" hidden="1" customHeight="1">
      <c r="A31" s="4"/>
      <c r="B31" s="317">
        <f>IF($Q$8=$Q$7,CENY!B26,IF($Q$7=$Q$9,CENY!B34,CENY!B42))</f>
        <v>9255002</v>
      </c>
      <c r="C31" s="39" t="str">
        <f>VLOOKUP(B31,CENY!$B$11:$G$1054,2,FALSE)</f>
        <v>AvanY-bok ľavý /v77/h450/ strieborná</v>
      </c>
      <c r="D31" s="353">
        <f>VLOOKUP(B31,CENY!$B$11:$G$1054,3,FALSE)</f>
        <v>10</v>
      </c>
      <c r="E31" s="56" t="str">
        <f>IF(VLOOKUP(B31,CENY!$B$11:$G$1054,4,FALSE)=0,"",VLOOKUP(B31,CENY!$B$11:$G$1054,4,FALSE))</f>
        <v/>
      </c>
      <c r="F31" s="40" t="str">
        <f t="shared" si="2"/>
        <v/>
      </c>
      <c r="G31" s="52">
        <f>VLOOKUP(B31,CENY!$B$11:$M$1054,12,FALSE)</f>
        <v>10.680099999999999</v>
      </c>
      <c r="H31" s="54" t="str">
        <f t="shared" si="0"/>
        <v xml:space="preserve"> EUR</v>
      </c>
      <c r="I31" s="41" t="str">
        <f t="shared" si="1"/>
        <v/>
      </c>
      <c r="J31" s="122"/>
      <c r="K31" s="42" t="str">
        <f>VLOOKUP(B31,CENY!$B$11:$M$1054,8,FALSE)</f>
        <v xml:space="preserve"> </v>
      </c>
      <c r="L31" s="42" t="str">
        <f>VLOOKUP(B31,CENY!$B$11:$M$1054,9,FALSE)</f>
        <v>396537</v>
      </c>
      <c r="M31" s="32"/>
      <c r="N31" s="35">
        <f t="shared" si="3"/>
        <v>0</v>
      </c>
      <c r="O31" s="36">
        <v>0</v>
      </c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5">
        <f>'AVT77'!BI7</f>
        <v>0</v>
      </c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165"/>
      <c r="BP31" s="165"/>
      <c r="BQ31" s="165"/>
      <c r="BR31" s="165"/>
      <c r="BS31" s="165"/>
      <c r="BT31" s="165"/>
      <c r="BU31" s="165"/>
      <c r="BV31" s="55"/>
      <c r="BW31" s="160"/>
      <c r="BX31" s="32"/>
      <c r="BY31" s="24"/>
      <c r="BZ31" s="24"/>
      <c r="CA31" s="24"/>
      <c r="CB31" s="24"/>
      <c r="CC31" s="24"/>
      <c r="CD31" s="24"/>
      <c r="CE31" s="24"/>
    </row>
    <row r="32" spans="1:83" ht="15" hidden="1" customHeight="1">
      <c r="A32" s="4"/>
      <c r="B32" s="317">
        <f>IF($Q$8=$Q$7,CENY!B27,IF($Q$7=$Q$9,CENY!B35,CENY!B43))</f>
        <v>9255003</v>
      </c>
      <c r="C32" s="39" t="str">
        <f>VLOOKUP(B32,CENY!$B$11:$G$1054,2,FALSE)</f>
        <v>AvanY-bok pravý /v77/h450/ strieborná</v>
      </c>
      <c r="D32" s="353">
        <f>VLOOKUP(B32,CENY!$B$11:$G$1054,3,FALSE)</f>
        <v>10</v>
      </c>
      <c r="E32" s="56" t="str">
        <f>IF(VLOOKUP(B32,CENY!$B$11:$G$1054,4,FALSE)=0,"",VLOOKUP(B32,CENY!$B$11:$G$1054,4,FALSE))</f>
        <v/>
      </c>
      <c r="F32" s="40" t="str">
        <f t="shared" si="2"/>
        <v/>
      </c>
      <c r="G32" s="52">
        <f>VLOOKUP(B32,CENY!$B$11:$M$1054,12,FALSE)</f>
        <v>10.680099999999999</v>
      </c>
      <c r="H32" s="54" t="str">
        <f t="shared" si="0"/>
        <v xml:space="preserve"> EUR</v>
      </c>
      <c r="I32" s="41" t="str">
        <f t="shared" si="1"/>
        <v/>
      </c>
      <c r="J32" s="122"/>
      <c r="K32" s="42" t="str">
        <f>VLOOKUP(B32,CENY!$B$11:$M$1054,8,FALSE)</f>
        <v xml:space="preserve"> </v>
      </c>
      <c r="L32" s="42" t="str">
        <f>VLOOKUP(B32,CENY!$B$11:$M$1054,9,FALSE)</f>
        <v>396538</v>
      </c>
      <c r="M32" s="32"/>
      <c r="N32" s="35">
        <f t="shared" si="3"/>
        <v>0</v>
      </c>
      <c r="O32" s="36">
        <v>0</v>
      </c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5">
        <f>'AVT77'!BI8</f>
        <v>0</v>
      </c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165"/>
      <c r="BP32" s="165"/>
      <c r="BQ32" s="165"/>
      <c r="BR32" s="165"/>
      <c r="BS32" s="165"/>
      <c r="BT32" s="165"/>
      <c r="BU32" s="165"/>
      <c r="BV32" s="55"/>
      <c r="BW32" s="160"/>
      <c r="BX32" s="32"/>
      <c r="BY32" s="24"/>
      <c r="BZ32" s="24"/>
      <c r="CA32" s="24"/>
      <c r="CB32" s="24"/>
      <c r="CC32" s="24"/>
      <c r="CD32" s="24"/>
      <c r="CE32" s="24"/>
    </row>
    <row r="33" spans="1:83" ht="15" hidden="1" customHeight="1">
      <c r="A33" s="4"/>
      <c r="B33" s="317">
        <f>IF($Q$8=$Q$7,CENY!B28,IF($Q$7=$Q$9,CENY!B36,CENY!B44))</f>
        <v>9255004</v>
      </c>
      <c r="C33" s="39" t="str">
        <f>VLOOKUP(B33,CENY!$B$11:$G$1054,2,FALSE)</f>
        <v>AvanY-bok ľavý /v77/h500/ strieborná</v>
      </c>
      <c r="D33" s="353">
        <f>VLOOKUP(B33,CENY!$B$11:$G$1054,3,FALSE)</f>
        <v>10</v>
      </c>
      <c r="E33" s="56" t="str">
        <f>IF(VLOOKUP(B33,CENY!$B$11:$G$1054,4,FALSE)=0,"",VLOOKUP(B33,CENY!$B$11:$G$1054,4,FALSE))</f>
        <v/>
      </c>
      <c r="F33" s="40" t="str">
        <f t="shared" si="2"/>
        <v/>
      </c>
      <c r="G33" s="52">
        <f>VLOOKUP(B33,CENY!$B$11:$M$1054,12,FALSE)</f>
        <v>10.86618</v>
      </c>
      <c r="H33" s="54" t="str">
        <f t="shared" si="0"/>
        <v xml:space="preserve"> EUR</v>
      </c>
      <c r="I33" s="41" t="str">
        <f t="shared" si="1"/>
        <v/>
      </c>
      <c r="J33" s="122"/>
      <c r="K33" s="42" t="str">
        <f>VLOOKUP(B33,CENY!$B$11:$M$1054,8,FALSE)</f>
        <v xml:space="preserve"> </v>
      </c>
      <c r="L33" s="42" t="str">
        <f>VLOOKUP(B33,CENY!$B$11:$M$1054,9,FALSE)</f>
        <v>396539</v>
      </c>
      <c r="M33" s="32"/>
      <c r="N33" s="35">
        <f t="shared" si="3"/>
        <v>0</v>
      </c>
      <c r="O33" s="36">
        <v>0</v>
      </c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5">
        <f>'AVT77'!BI9</f>
        <v>0</v>
      </c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165"/>
      <c r="BP33" s="165"/>
      <c r="BQ33" s="165"/>
      <c r="BR33" s="165"/>
      <c r="BS33" s="165"/>
      <c r="BT33" s="165"/>
      <c r="BU33" s="165"/>
      <c r="BV33" s="55"/>
      <c r="BW33" s="160"/>
      <c r="BX33" s="32"/>
      <c r="BY33" s="24"/>
      <c r="BZ33" s="24"/>
      <c r="CA33" s="24"/>
      <c r="CB33" s="24"/>
      <c r="CC33" s="24"/>
      <c r="CD33" s="24"/>
      <c r="CE33" s="24"/>
    </row>
    <row r="34" spans="1:83" ht="15" hidden="1" customHeight="1">
      <c r="A34" s="4"/>
      <c r="B34" s="317">
        <f>IF($Q$8=$Q$7,CENY!B29,IF($Q$7=$Q$9,CENY!B37,CENY!B45))</f>
        <v>9255005</v>
      </c>
      <c r="C34" s="39" t="str">
        <f>VLOOKUP(B34,CENY!$B$11:$G$1054,2,FALSE)</f>
        <v>AvanY-bok pravý /v77/h500/ strieborná</v>
      </c>
      <c r="D34" s="353">
        <f>VLOOKUP(B34,CENY!$B$11:$G$1054,3,FALSE)</f>
        <v>10</v>
      </c>
      <c r="E34" s="56" t="str">
        <f>IF(VLOOKUP(B34,CENY!$B$11:$G$1054,4,FALSE)=0,"",VLOOKUP(B34,CENY!$B$11:$G$1054,4,FALSE))</f>
        <v/>
      </c>
      <c r="F34" s="40" t="str">
        <f t="shared" si="2"/>
        <v/>
      </c>
      <c r="G34" s="52">
        <f>VLOOKUP(B34,CENY!$B$11:$M$1054,12,FALSE)</f>
        <v>10.86618</v>
      </c>
      <c r="H34" s="54" t="str">
        <f t="shared" si="0"/>
        <v xml:space="preserve"> EUR</v>
      </c>
      <c r="I34" s="41" t="str">
        <f t="shared" si="1"/>
        <v/>
      </c>
      <c r="J34" s="122"/>
      <c r="K34" s="42" t="str">
        <f>VLOOKUP(B34,CENY!$B$11:$M$1054,8,FALSE)</f>
        <v xml:space="preserve"> </v>
      </c>
      <c r="L34" s="42" t="str">
        <f>VLOOKUP(B34,CENY!$B$11:$M$1054,9,FALSE)</f>
        <v>396540</v>
      </c>
      <c r="M34" s="32"/>
      <c r="N34" s="35">
        <f t="shared" si="3"/>
        <v>0</v>
      </c>
      <c r="O34" s="36">
        <v>0</v>
      </c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5">
        <f>'AVT77'!BI10</f>
        <v>0</v>
      </c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165"/>
      <c r="BP34" s="165"/>
      <c r="BQ34" s="165"/>
      <c r="BR34" s="165"/>
      <c r="BS34" s="165"/>
      <c r="BT34" s="165"/>
      <c r="BU34" s="165"/>
      <c r="BV34" s="55"/>
      <c r="BW34" s="160"/>
      <c r="BX34" s="32"/>
      <c r="BY34" s="24"/>
      <c r="BZ34" s="24"/>
      <c r="CA34" s="24"/>
      <c r="CB34" s="24"/>
      <c r="CC34" s="24"/>
      <c r="CD34" s="24"/>
      <c r="CE34" s="24"/>
    </row>
    <row r="35" spans="1:83" ht="15" hidden="1" customHeight="1">
      <c r="A35" s="4"/>
      <c r="B35" s="317">
        <f>IF($Q$8=$Q$7,CENY!B30,IF($Q$7=$Q$9,CENY!B38,CENY!B46))</f>
        <v>9255006</v>
      </c>
      <c r="C35" s="39" t="str">
        <f>VLOOKUP(B35,CENY!$B$11:$G$1054,2,FALSE)</f>
        <v>AvanY-bok ľavý /v77/h550/ strieborná</v>
      </c>
      <c r="D35" s="353">
        <f>VLOOKUP(B35,CENY!$B$11:$G$1054,3,FALSE)</f>
        <v>10</v>
      </c>
      <c r="E35" s="56" t="str">
        <f>IF(VLOOKUP(B35,CENY!$B$11:$G$1054,4,FALSE)=0,"",VLOOKUP(B35,CENY!$B$11:$G$1054,4,FALSE))</f>
        <v/>
      </c>
      <c r="F35" s="40" t="str">
        <f t="shared" si="2"/>
        <v/>
      </c>
      <c r="G35" s="52">
        <f>VLOOKUP(B35,CENY!$B$11:$M$1054,12,FALSE)</f>
        <v>11.052530000000001</v>
      </c>
      <c r="H35" s="54" t="str">
        <f t="shared" si="0"/>
        <v xml:space="preserve"> EUR</v>
      </c>
      <c r="I35" s="41" t="str">
        <f t="shared" si="1"/>
        <v/>
      </c>
      <c r="J35" s="122"/>
      <c r="K35" s="42" t="str">
        <f>VLOOKUP(B35,CENY!$B$11:$M$1054,8,FALSE)</f>
        <v xml:space="preserve"> </v>
      </c>
      <c r="L35" s="42" t="str">
        <f>VLOOKUP(B35,CENY!$B$11:$M$1054,9,FALSE)</f>
        <v>396541</v>
      </c>
      <c r="M35" s="32"/>
      <c r="N35" s="35">
        <f t="shared" si="3"/>
        <v>0</v>
      </c>
      <c r="O35" s="36">
        <v>0</v>
      </c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5">
        <f>'AVT77'!BI11</f>
        <v>0</v>
      </c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165"/>
      <c r="BP35" s="165"/>
      <c r="BQ35" s="165"/>
      <c r="BR35" s="165"/>
      <c r="BS35" s="165"/>
      <c r="BT35" s="165"/>
      <c r="BU35" s="165"/>
      <c r="BV35" s="55"/>
      <c r="BW35" s="160"/>
      <c r="BX35" s="32"/>
      <c r="BY35" s="24"/>
      <c r="BZ35" s="24"/>
      <c r="CA35" s="24"/>
      <c r="CB35" s="24"/>
      <c r="CC35" s="24"/>
      <c r="CD35" s="24"/>
      <c r="CE35" s="24"/>
    </row>
    <row r="36" spans="1:83" ht="15" hidden="1" customHeight="1">
      <c r="A36" s="4"/>
      <c r="B36" s="317">
        <f>IF($Q$8=$Q$7,CENY!B31,IF($Q$7=$Q$9,CENY!B39,CENY!B47))</f>
        <v>9255007</v>
      </c>
      <c r="C36" s="39" t="str">
        <f>VLOOKUP(B36,CENY!$B$11:$G$1054,2,FALSE)</f>
        <v>AvanY-bok pravý /v77/h550/ strieborná</v>
      </c>
      <c r="D36" s="353">
        <f>VLOOKUP(B36,CENY!$B$11:$G$1054,3,FALSE)</f>
        <v>10</v>
      </c>
      <c r="E36" s="56" t="str">
        <f>IF(VLOOKUP(B36,CENY!$B$11:$G$1054,4,FALSE)=0,"",VLOOKUP(B36,CENY!$B$11:$G$1054,4,FALSE))</f>
        <v/>
      </c>
      <c r="F36" s="40" t="str">
        <f t="shared" si="2"/>
        <v/>
      </c>
      <c r="G36" s="52">
        <f>VLOOKUP(B36,CENY!$B$11:$M$1054,12,FALSE)</f>
        <v>11.052530000000001</v>
      </c>
      <c r="H36" s="54" t="str">
        <f t="shared" si="0"/>
        <v xml:space="preserve"> EUR</v>
      </c>
      <c r="I36" s="41" t="str">
        <f t="shared" si="1"/>
        <v/>
      </c>
      <c r="J36" s="122"/>
      <c r="K36" s="42" t="str">
        <f>VLOOKUP(B36,CENY!$B$11:$M$1054,8,FALSE)</f>
        <v xml:space="preserve"> </v>
      </c>
      <c r="L36" s="42" t="str">
        <f>VLOOKUP(B36,CENY!$B$11:$M$1054,9,FALSE)</f>
        <v>396542</v>
      </c>
      <c r="M36" s="32"/>
      <c r="N36" s="35">
        <f t="shared" si="3"/>
        <v>0</v>
      </c>
      <c r="O36" s="36">
        <v>0</v>
      </c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5">
        <f>'AVT77'!BI12</f>
        <v>0</v>
      </c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165"/>
      <c r="BP36" s="165"/>
      <c r="BQ36" s="165"/>
      <c r="BR36" s="165"/>
      <c r="BS36" s="165"/>
      <c r="BT36" s="165"/>
      <c r="BU36" s="165"/>
      <c r="BV36" s="55"/>
      <c r="BW36" s="160"/>
      <c r="BX36" s="32"/>
      <c r="BY36" s="24"/>
      <c r="BZ36" s="24"/>
      <c r="CA36" s="24"/>
      <c r="CB36" s="24"/>
      <c r="CC36" s="24"/>
      <c r="CD36" s="24"/>
      <c r="CE36" s="24"/>
    </row>
    <row r="37" spans="1:83" ht="15" customHeight="1">
      <c r="A37" s="4"/>
      <c r="B37" s="317">
        <f>IF($T$7=$T$8,CENY!B48,CENY!B49)</f>
        <v>9255832</v>
      </c>
      <c r="C37" s="39" t="str">
        <f>VLOOKUP(B37,CENY!$B$11:$G$1054,2,FALSE)</f>
        <v>AvanY-príchytka čela k naskrutk./ v77</v>
      </c>
      <c r="D37" s="353">
        <f>VLOOKUP(B37,CENY!$B$11:$G$1054,3,FALSE)</f>
        <v>100</v>
      </c>
      <c r="E37" s="56" t="str">
        <f>IF(VLOOKUP(B37,CENY!$B$11:$G$1054,4,FALSE)=0,"",VLOOKUP(B37,CENY!$B$11:$G$1054,4,FALSE))</f>
        <v/>
      </c>
      <c r="F37" s="40" t="str">
        <f t="shared" si="2"/>
        <v/>
      </c>
      <c r="G37" s="52">
        <f>VLOOKUP(B37,CENY!$B$11:$M$1054,12,FALSE)</f>
        <v>0.81357999999999997</v>
      </c>
      <c r="H37" s="54" t="str">
        <f t="shared" si="0"/>
        <v xml:space="preserve"> EUR</v>
      </c>
      <c r="I37" s="41" t="str">
        <f t="shared" si="1"/>
        <v/>
      </c>
      <c r="J37" s="122"/>
      <c r="K37" s="42" t="str">
        <f>VLOOKUP(B37,CENY!$B$11:$M$1054,8,FALSE)</f>
        <v xml:space="preserve"> </v>
      </c>
      <c r="L37" s="42" t="str">
        <f>VLOOKUP(B37,CENY!$B$11:$M$1054,9,FALSE)</f>
        <v>396631</v>
      </c>
      <c r="M37" s="32"/>
      <c r="N37" s="35">
        <f t="shared" si="3"/>
        <v>0</v>
      </c>
      <c r="O37" s="36">
        <v>0</v>
      </c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5">
        <f>'AVT77'!AZ46</f>
        <v>0</v>
      </c>
      <c r="AM37" s="325">
        <f>'AVT77'!BI14</f>
        <v>0</v>
      </c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165"/>
      <c r="BP37" s="165"/>
      <c r="BQ37" s="165"/>
      <c r="BR37" s="165"/>
      <c r="BS37" s="165"/>
      <c r="BT37" s="165"/>
      <c r="BU37" s="165"/>
      <c r="BV37" s="55"/>
      <c r="BW37" s="160"/>
      <c r="BX37" s="32"/>
      <c r="BY37" s="24"/>
      <c r="BZ37" s="24"/>
      <c r="CA37" s="24"/>
      <c r="CB37" s="24"/>
      <c r="CC37" s="24"/>
      <c r="CD37" s="24"/>
      <c r="CE37" s="24"/>
    </row>
    <row r="38" spans="1:83" ht="8.1" hidden="1" customHeight="1">
      <c r="A38" s="4"/>
      <c r="B38" s="317"/>
      <c r="C38" s="39"/>
      <c r="D38" s="39"/>
      <c r="E38" s="57"/>
      <c r="F38" s="40"/>
      <c r="G38" s="52"/>
      <c r="H38" s="54"/>
      <c r="I38" s="41"/>
      <c r="J38" s="122"/>
      <c r="K38" s="42"/>
      <c r="L38" s="42"/>
      <c r="M38" s="32"/>
      <c r="N38" s="35"/>
      <c r="O38" s="36">
        <v>0</v>
      </c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165"/>
      <c r="BP38" s="165"/>
      <c r="BQ38" s="165"/>
      <c r="BR38" s="165"/>
      <c r="BS38" s="165"/>
      <c r="BT38" s="165"/>
      <c r="BU38" s="165"/>
      <c r="BV38" s="55"/>
      <c r="BW38" s="160"/>
      <c r="BX38" s="32"/>
      <c r="BY38" s="24"/>
      <c r="BZ38" s="24"/>
      <c r="CA38" s="24"/>
      <c r="CB38" s="24"/>
      <c r="CC38" s="24"/>
      <c r="CD38" s="24"/>
      <c r="CE38" s="24"/>
    </row>
    <row r="39" spans="1:83" ht="15" hidden="1" customHeight="1">
      <c r="A39" s="4"/>
      <c r="B39" s="317">
        <f>IF($Q$8=$Q$7,CENY!B51,IF($Q$7=$Q$9,CENY!B60,CENY!B69))</f>
        <v>9353335</v>
      </c>
      <c r="C39" s="39" t="str">
        <f>VLOOKUP(B39,CENY!$B$11:$G$1054,2,FALSE)</f>
        <v>AvanY-sólo oceľ.boky-NW 101/400mm/strieb.</v>
      </c>
      <c r="D39" s="364">
        <f>VLOOKUP(B39,CENY!$B$11:$G$1054,3,FALSE)</f>
        <v>1</v>
      </c>
      <c r="E39" s="56" t="str">
        <f>IF(VLOOKUP(B39,CENY!$B$11:$G$1054,4,FALSE)=0,"",VLOOKUP(B39,CENY!$B$11:$G$1054,4,FALSE))</f>
        <v/>
      </c>
      <c r="F39" s="40" t="str">
        <f t="shared" ref="F39:F48" si="4">IF(J39&lt;&gt;"",J39,IF(N39=0,"",N39))</f>
        <v/>
      </c>
      <c r="G39" s="52">
        <f>VLOOKUP(B39,CENY!$B$11:$M$1054,12,FALSE)</f>
        <v>26.248429999999999</v>
      </c>
      <c r="H39" s="54" t="str">
        <f t="shared" si="0"/>
        <v xml:space="preserve"> EUR</v>
      </c>
      <c r="I39" s="41" t="str">
        <f t="shared" si="1"/>
        <v/>
      </c>
      <c r="J39" s="122"/>
      <c r="K39" s="42" t="str">
        <f>VLOOKUP(B39,CENY!$B$11:$M$1054,8,FALSE)</f>
        <v xml:space="preserve"> </v>
      </c>
      <c r="L39" s="42" t="str">
        <f>VLOOKUP(B39,CENY!$B$11:$M$1054,9,FALSE)</f>
        <v>530007</v>
      </c>
      <c r="M39" s="32"/>
      <c r="N39" s="35">
        <f t="shared" ref="N39:N48" si="5">SUM(P39:BW39)</f>
        <v>0</v>
      </c>
      <c r="O39" s="36">
        <v>0</v>
      </c>
      <c r="P39" s="325">
        <f>'AVT101'!AZ5</f>
        <v>0</v>
      </c>
      <c r="Q39" s="32"/>
      <c r="R39" s="32"/>
      <c r="S39" s="32"/>
      <c r="T39" s="32"/>
      <c r="U39" s="32"/>
      <c r="V39" s="32"/>
      <c r="W39" s="32"/>
      <c r="X39" s="32"/>
      <c r="Y39" s="32"/>
      <c r="Z39" s="325">
        <f>'AVT101(vn-A)'!AZ5</f>
        <v>0</v>
      </c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5">
        <f>'AVT-celny-101+187'!AZ5</f>
        <v>0</v>
      </c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165"/>
      <c r="BP39" s="165"/>
      <c r="BQ39" s="165"/>
      <c r="BR39" s="165"/>
      <c r="BS39" s="165"/>
      <c r="BT39" s="165"/>
      <c r="BU39" s="165"/>
      <c r="BV39" s="55"/>
      <c r="BW39" s="160"/>
      <c r="BX39" s="32"/>
      <c r="BY39" s="24"/>
      <c r="BZ39" s="24"/>
      <c r="CA39" s="24"/>
      <c r="CB39" s="24"/>
      <c r="CC39" s="24"/>
      <c r="CD39" s="24"/>
      <c r="CE39" s="24"/>
    </row>
    <row r="40" spans="1:83" ht="15" hidden="1" customHeight="1">
      <c r="A40" s="4"/>
      <c r="B40" s="317">
        <f>IF($Q$8=$Q$7,CENY!B52,IF($Q$7=$Q$9,CENY!B61,CENY!B70))</f>
        <v>9353336</v>
      </c>
      <c r="C40" s="39" t="str">
        <f>VLOOKUP(B40,CENY!$B$11:$G$1054,2,FALSE)</f>
        <v>AvanY-sólo oceľ.boky-NW 101/450mm/strieb.</v>
      </c>
      <c r="D40" s="364">
        <f>VLOOKUP(B40,CENY!$B$11:$G$1054,3,FALSE)</f>
        <v>1</v>
      </c>
      <c r="E40" s="56" t="str">
        <f>IF(VLOOKUP(B40,CENY!$B$11:$G$1054,4,FALSE)=0,"",VLOOKUP(B40,CENY!$B$11:$G$1054,4,FALSE))</f>
        <v/>
      </c>
      <c r="F40" s="40" t="str">
        <f t="shared" si="4"/>
        <v/>
      </c>
      <c r="G40" s="52">
        <f>VLOOKUP(B40,CENY!$B$11:$M$1054,12,FALSE)</f>
        <v>26.467459999999999</v>
      </c>
      <c r="H40" s="54" t="str">
        <f t="shared" si="0"/>
        <v xml:space="preserve"> EUR</v>
      </c>
      <c r="I40" s="41" t="str">
        <f t="shared" si="1"/>
        <v/>
      </c>
      <c r="J40" s="122"/>
      <c r="K40" s="42" t="str">
        <f>VLOOKUP(B40,CENY!$B$11:$M$1054,8,FALSE)</f>
        <v xml:space="preserve"> </v>
      </c>
      <c r="L40" s="42" t="str">
        <f>VLOOKUP(B40,CENY!$B$11:$M$1054,9,FALSE)</f>
        <v>530008</v>
      </c>
      <c r="M40" s="32"/>
      <c r="N40" s="35">
        <f t="shared" si="5"/>
        <v>0</v>
      </c>
      <c r="O40" s="36">
        <v>0</v>
      </c>
      <c r="P40" s="325">
        <f>'AVT101'!AZ6</f>
        <v>0</v>
      </c>
      <c r="Q40" s="32"/>
      <c r="R40" s="32"/>
      <c r="S40" s="32"/>
      <c r="T40" s="32"/>
      <c r="U40" s="32"/>
      <c r="V40" s="32"/>
      <c r="W40" s="32"/>
      <c r="X40" s="32"/>
      <c r="Y40" s="32"/>
      <c r="Z40" s="325">
        <f>'AVT101(vn-A)'!AZ6</f>
        <v>0</v>
      </c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5">
        <f>'AVT-celny-101+187'!AZ6</f>
        <v>0</v>
      </c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165"/>
      <c r="BP40" s="165"/>
      <c r="BQ40" s="165"/>
      <c r="BR40" s="165"/>
      <c r="BS40" s="165"/>
      <c r="BT40" s="165"/>
      <c r="BU40" s="165"/>
      <c r="BV40" s="55"/>
      <c r="BW40" s="160"/>
      <c r="BX40" s="32"/>
      <c r="BY40" s="24"/>
      <c r="BZ40" s="24"/>
      <c r="CA40" s="24"/>
      <c r="CB40" s="24"/>
      <c r="CC40" s="24"/>
      <c r="CD40" s="24"/>
      <c r="CE40" s="24"/>
    </row>
    <row r="41" spans="1:83" ht="15" hidden="1" customHeight="1">
      <c r="A41" s="4"/>
      <c r="B41" s="317">
        <f>IF($Q$8=$Q$7,CENY!B53,IF($Q$7=$Q$9,CENY!B62,CENY!B71))</f>
        <v>9353337</v>
      </c>
      <c r="C41" s="39" t="str">
        <f>VLOOKUP(B41,CENY!$B$11:$G$1054,2,FALSE)</f>
        <v>AvanY-sólo oceľ.boky-NW 101/500mm/strieb.</v>
      </c>
      <c r="D41" s="364">
        <f>VLOOKUP(B41,CENY!$B$11:$G$1054,3,FALSE)</f>
        <v>1</v>
      </c>
      <c r="E41" s="56" t="str">
        <f>IF(VLOOKUP(B41,CENY!$B$11:$G$1054,4,FALSE)=0,"",VLOOKUP(B41,CENY!$B$11:$G$1054,4,FALSE))</f>
        <v/>
      </c>
      <c r="F41" s="40" t="str">
        <f t="shared" si="4"/>
        <v/>
      </c>
      <c r="G41" s="52">
        <f>VLOOKUP(B41,CENY!$B$11:$M$1054,12,FALSE)</f>
        <v>26.833570000000002</v>
      </c>
      <c r="H41" s="54" t="str">
        <f t="shared" si="0"/>
        <v xml:space="preserve"> EUR</v>
      </c>
      <c r="I41" s="41" t="str">
        <f t="shared" si="1"/>
        <v/>
      </c>
      <c r="J41" s="122"/>
      <c r="K41" s="42" t="str">
        <f>VLOOKUP(B41,CENY!$B$11:$M$1054,8,FALSE)</f>
        <v xml:space="preserve"> </v>
      </c>
      <c r="L41" s="42" t="str">
        <f>VLOOKUP(B41,CENY!$B$11:$M$1054,9,FALSE)</f>
        <v>530009</v>
      </c>
      <c r="M41" s="32"/>
      <c r="N41" s="35">
        <f t="shared" si="5"/>
        <v>0</v>
      </c>
      <c r="O41" s="36">
        <v>0</v>
      </c>
      <c r="P41" s="325">
        <f>'AVT101'!AZ7</f>
        <v>0</v>
      </c>
      <c r="Q41" s="32"/>
      <c r="R41" s="32"/>
      <c r="S41" s="32"/>
      <c r="T41" s="32"/>
      <c r="U41" s="32"/>
      <c r="V41" s="32"/>
      <c r="W41" s="32"/>
      <c r="X41" s="32"/>
      <c r="Y41" s="32"/>
      <c r="Z41" s="325">
        <f>'AVT101(vn-A)'!AZ7</f>
        <v>0</v>
      </c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5">
        <f>'AVT-celny-101+187'!AZ7</f>
        <v>0</v>
      </c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165"/>
      <c r="BP41" s="165"/>
      <c r="BQ41" s="165"/>
      <c r="BR41" s="165"/>
      <c r="BS41" s="165"/>
      <c r="BT41" s="165"/>
      <c r="BU41" s="165"/>
      <c r="BV41" s="55"/>
      <c r="BW41" s="160"/>
      <c r="BX41" s="32"/>
      <c r="BY41" s="24"/>
      <c r="BZ41" s="24"/>
      <c r="CA41" s="24"/>
      <c r="CB41" s="24"/>
      <c r="CC41" s="24"/>
      <c r="CD41" s="24"/>
      <c r="CE41" s="24"/>
    </row>
    <row r="42" spans="1:83" ht="15" hidden="1" customHeight="1">
      <c r="A42" s="4"/>
      <c r="B42" s="317">
        <f>IF($Q$8=$Q$7,CENY!B54,IF($Q$7=$Q$9,CENY!B63,CENY!B72))</f>
        <v>9353338</v>
      </c>
      <c r="C42" s="39" t="str">
        <f>VLOOKUP(B42,CENY!$B$11:$G$1054,2,FALSE)</f>
        <v>AvanY-sólo oceľ.boky-NW 101/550mm/strieb.</v>
      </c>
      <c r="D42" s="364">
        <f>VLOOKUP(B42,CENY!$B$11:$G$1054,3,FALSE)</f>
        <v>1</v>
      </c>
      <c r="E42" s="56" t="str">
        <f>IF(VLOOKUP(B42,CENY!$B$11:$G$1054,4,FALSE)=0,"",VLOOKUP(B42,CENY!$B$11:$G$1054,4,FALSE))</f>
        <v/>
      </c>
      <c r="F42" s="40" t="str">
        <f t="shared" si="4"/>
        <v/>
      </c>
      <c r="G42" s="52">
        <f>VLOOKUP(B42,CENY!$B$11:$M$1054,12,FALSE)</f>
        <v>27.19903</v>
      </c>
      <c r="H42" s="54" t="str">
        <f t="shared" si="0"/>
        <v xml:space="preserve"> EUR</v>
      </c>
      <c r="I42" s="41" t="str">
        <f t="shared" si="1"/>
        <v/>
      </c>
      <c r="J42" s="122"/>
      <c r="K42" s="42" t="str">
        <f>VLOOKUP(B42,CENY!$B$11:$M$1054,8,FALSE)</f>
        <v xml:space="preserve"> </v>
      </c>
      <c r="L42" s="42" t="str">
        <f>VLOOKUP(B42,CENY!$B$11:$M$1054,9,FALSE)</f>
        <v>530010</v>
      </c>
      <c r="M42" s="32"/>
      <c r="N42" s="35">
        <f t="shared" si="5"/>
        <v>0</v>
      </c>
      <c r="O42" s="36">
        <v>0</v>
      </c>
      <c r="P42" s="325">
        <f>'AVT101'!AZ8</f>
        <v>0</v>
      </c>
      <c r="Q42" s="32"/>
      <c r="R42" s="32"/>
      <c r="S42" s="32"/>
      <c r="T42" s="32"/>
      <c r="U42" s="32"/>
      <c r="V42" s="32"/>
      <c r="W42" s="32"/>
      <c r="X42" s="32"/>
      <c r="Y42" s="32"/>
      <c r="Z42" s="325">
        <f>'AVT101(vn-A)'!AZ8</f>
        <v>0</v>
      </c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5">
        <f>'AVT-celny-101+187'!AZ8</f>
        <v>0</v>
      </c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165"/>
      <c r="BP42" s="165"/>
      <c r="BQ42" s="165"/>
      <c r="BR42" s="165"/>
      <c r="BS42" s="165"/>
      <c r="BT42" s="165"/>
      <c r="BU42" s="165"/>
      <c r="BV42" s="55"/>
      <c r="BW42" s="160"/>
      <c r="BX42" s="32"/>
      <c r="BY42" s="24"/>
      <c r="BZ42" s="24"/>
      <c r="CA42" s="24"/>
      <c r="CB42" s="24"/>
      <c r="CC42" s="24"/>
      <c r="CD42" s="24"/>
      <c r="CE42" s="24"/>
    </row>
    <row r="43" spans="1:83" ht="15" hidden="1" customHeight="1">
      <c r="A43" s="4"/>
      <c r="B43" s="317">
        <f>IF($Q$8=$Q$7,CENY!B55,IF($Q$7=$Q$9,CENY!B64,CENY!B73))</f>
        <v>9353339</v>
      </c>
      <c r="C43" s="39" t="str">
        <f>VLOOKUP(B43,CENY!$B$11:$G$1054,2,FALSE)</f>
        <v>AvanY-sólo oceľ.boky-NW 101/600mm/strieb.</v>
      </c>
      <c r="D43" s="364">
        <f>VLOOKUP(B43,CENY!$B$11:$G$1054,3,FALSE)</f>
        <v>1</v>
      </c>
      <c r="E43" s="57" t="str">
        <f>IF(VLOOKUP(B43,CENY!$B$11:$G$1054,4,FALSE)=0,"",VLOOKUP(B43,CENY!$B$11:$G$1054,4,FALSE))</f>
        <v/>
      </c>
      <c r="F43" s="40" t="str">
        <f t="shared" si="4"/>
        <v/>
      </c>
      <c r="G43" s="52">
        <f>VLOOKUP(B43,CENY!$B$11:$M$1054,12,FALSE)</f>
        <v>26.252320000000001</v>
      </c>
      <c r="H43" s="54" t="str">
        <f t="shared" si="0"/>
        <v xml:space="preserve"> EUR</v>
      </c>
      <c r="I43" s="41" t="str">
        <f t="shared" si="1"/>
        <v/>
      </c>
      <c r="J43" s="122"/>
      <c r="K43" s="42" t="str">
        <f>VLOOKUP(B43,CENY!$B$11:$M$1054,8,FALSE)</f>
        <v xml:space="preserve"> </v>
      </c>
      <c r="L43" s="42" t="str">
        <f>VLOOKUP(B43,CENY!$B$11:$M$1054,9,FALSE)</f>
        <v>530011</v>
      </c>
      <c r="M43" s="32"/>
      <c r="N43" s="35">
        <f t="shared" si="5"/>
        <v>0</v>
      </c>
      <c r="O43" s="36">
        <v>0</v>
      </c>
      <c r="P43" s="325">
        <f>'AVT101'!AZ9</f>
        <v>0</v>
      </c>
      <c r="Q43" s="32"/>
      <c r="R43" s="32"/>
      <c r="S43" s="32"/>
      <c r="T43" s="32"/>
      <c r="U43" s="32"/>
      <c r="V43" s="32"/>
      <c r="W43" s="32"/>
      <c r="X43" s="32"/>
      <c r="Y43" s="32"/>
      <c r="Z43" s="325">
        <f>'AVT101(vn-A)'!AZ9</f>
        <v>0</v>
      </c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5">
        <f>'AVT-celny-101+187'!AZ9</f>
        <v>0</v>
      </c>
      <c r="AO43" s="32"/>
      <c r="AP43" s="32"/>
      <c r="AQ43" s="32"/>
      <c r="AR43" s="32"/>
      <c r="AS43" s="32"/>
      <c r="AT43" s="32"/>
      <c r="AU43" s="32"/>
      <c r="AV43" s="325">
        <f>'potr-v101+187'!AZ9</f>
        <v>0</v>
      </c>
      <c r="AW43" s="32"/>
      <c r="AX43" s="325">
        <f>'potr-v101+187-IL'!AZ9</f>
        <v>0</v>
      </c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165"/>
      <c r="BP43" s="165"/>
      <c r="BQ43" s="165"/>
      <c r="BR43" s="165"/>
      <c r="BS43" s="165"/>
      <c r="BT43" s="165"/>
      <c r="BU43" s="165"/>
      <c r="BV43" s="55"/>
      <c r="BW43" s="160"/>
      <c r="BX43" s="32"/>
      <c r="BY43" s="24"/>
      <c r="BZ43" s="24"/>
      <c r="CA43" s="24"/>
      <c r="CB43" s="24"/>
      <c r="CC43" s="24"/>
      <c r="CD43" s="24"/>
      <c r="CE43" s="24"/>
    </row>
    <row r="44" spans="1:83" ht="15" hidden="1" customHeight="1">
      <c r="A44" s="4"/>
      <c r="B44" s="317">
        <f>IF($Q$8=$Q$7,CENY!B56,IF($Q$7=$Q$9,CENY!B65,CENY!B74))</f>
        <v>9353340</v>
      </c>
      <c r="C44" s="39" t="str">
        <f>VLOOKUP(B44,CENY!$B$11:$G$1054,2,FALSE)</f>
        <v>AvanY-sólo oceľ.boky-NW 101/650mm/strieb.</v>
      </c>
      <c r="D44" s="364">
        <f>VLOOKUP(B44,CENY!$B$11:$G$1054,3,FALSE)</f>
        <v>1</v>
      </c>
      <c r="E44" s="57" t="str">
        <f>IF(VLOOKUP(B44,CENY!$B$11:$G$1054,4,FALSE)=0,"",VLOOKUP(B44,CENY!$B$11:$G$1054,4,FALSE))</f>
        <v/>
      </c>
      <c r="F44" s="40" t="str">
        <f t="shared" si="4"/>
        <v/>
      </c>
      <c r="G44" s="52">
        <f>VLOOKUP(B44,CENY!$B$11:$M$1054,12,FALSE)</f>
        <v>26.6005</v>
      </c>
      <c r="H44" s="54" t="str">
        <f t="shared" si="0"/>
        <v xml:space="preserve"> EUR</v>
      </c>
      <c r="I44" s="41" t="str">
        <f t="shared" si="1"/>
        <v/>
      </c>
      <c r="J44" s="122"/>
      <c r="K44" s="42" t="str">
        <f>VLOOKUP(B44,CENY!$B$11:$M$1054,8,FALSE)</f>
        <v xml:space="preserve"> </v>
      </c>
      <c r="L44" s="42" t="str">
        <f>VLOOKUP(B44,CENY!$B$11:$M$1054,9,FALSE)</f>
        <v>530012</v>
      </c>
      <c r="M44" s="32"/>
      <c r="N44" s="35">
        <f t="shared" si="5"/>
        <v>0</v>
      </c>
      <c r="O44" s="36">
        <v>0</v>
      </c>
      <c r="P44" s="325">
        <f>'AVT101'!AZ10</f>
        <v>0</v>
      </c>
      <c r="Q44" s="32"/>
      <c r="R44" s="32"/>
      <c r="S44" s="32"/>
      <c r="T44" s="32"/>
      <c r="U44" s="32"/>
      <c r="V44" s="32"/>
      <c r="W44" s="32"/>
      <c r="X44" s="32"/>
      <c r="Y44" s="32"/>
      <c r="Z44" s="325">
        <f>'AVT101(vn-A)'!AZ10</f>
        <v>0</v>
      </c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5">
        <f>'AVT-celny-101+187'!AZ10</f>
        <v>0</v>
      </c>
      <c r="AO44" s="32"/>
      <c r="AP44" s="32"/>
      <c r="AQ44" s="32"/>
      <c r="AR44" s="32"/>
      <c r="AS44" s="32"/>
      <c r="AT44" s="32"/>
      <c r="AU44" s="32"/>
      <c r="AV44" s="325">
        <f>'potr-v101+187'!AZ10</f>
        <v>0</v>
      </c>
      <c r="AW44" s="32"/>
      <c r="AX44" s="325">
        <f>'potr-v101+187-IL'!AZ10</f>
        <v>0</v>
      </c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165"/>
      <c r="BP44" s="165"/>
      <c r="BQ44" s="165"/>
      <c r="BR44" s="165"/>
      <c r="BS44" s="165"/>
      <c r="BT44" s="165"/>
      <c r="BU44" s="165"/>
      <c r="BV44" s="55"/>
      <c r="BW44" s="160"/>
      <c r="BX44" s="32"/>
      <c r="BY44" s="24"/>
      <c r="BZ44" s="24"/>
      <c r="CA44" s="24"/>
      <c r="CB44" s="24"/>
      <c r="CC44" s="24"/>
      <c r="CD44" s="24"/>
      <c r="CE44" s="24"/>
    </row>
    <row r="45" spans="1:83" ht="15" hidden="1" customHeight="1">
      <c r="A45" s="4"/>
      <c r="B45" s="317">
        <f>IF($Q$8=$Q$7,CENY!B57,IF($Q$7=$Q$9,CENY!B66,CENY!B75))</f>
        <v>9353341</v>
      </c>
      <c r="C45" s="39" t="str">
        <f>VLOOKUP(B45,CENY!$B$11:$G$1054,2,FALSE)</f>
        <v>AvanY-sólo oceľ.boky-NW 101/270mm/biela</v>
      </c>
      <c r="D45" s="364">
        <f>VLOOKUP(B45,CENY!$B$11:$G$1054,3,FALSE)</f>
        <v>1</v>
      </c>
      <c r="E45" s="57" t="str">
        <f>IF(VLOOKUP(B45,CENY!$B$11:$G$1054,4,FALSE)=0,"",VLOOKUP(B45,CENY!$B$11:$G$1054,4,FALSE))</f>
        <v/>
      </c>
      <c r="F45" s="40" t="str">
        <f t="shared" si="4"/>
        <v/>
      </c>
      <c r="G45" s="52">
        <f>VLOOKUP(B45,CENY!$B$11:$M$1054,12,FALSE)</f>
        <v>28.296320000000001</v>
      </c>
      <c r="H45" s="54" t="str">
        <f t="shared" si="0"/>
        <v xml:space="preserve"> EUR</v>
      </c>
      <c r="I45" s="41" t="str">
        <f t="shared" si="1"/>
        <v/>
      </c>
      <c r="J45" s="122"/>
      <c r="K45" s="42" t="str">
        <f>VLOOKUP(B45,CENY!$B$11:$M$1054,8,FALSE)</f>
        <v xml:space="preserve"> </v>
      </c>
      <c r="L45" s="42" t="str">
        <f>VLOOKUP(B45,CENY!$B$11:$M$1054,9,FALSE)</f>
        <v>530013</v>
      </c>
      <c r="M45" s="32"/>
      <c r="N45" s="35">
        <f t="shared" si="5"/>
        <v>0</v>
      </c>
      <c r="O45" s="36">
        <v>0</v>
      </c>
      <c r="P45" s="325">
        <f>'AVT101'!AZ11</f>
        <v>0</v>
      </c>
      <c r="Q45" s="32"/>
      <c r="R45" s="32"/>
      <c r="S45" s="32"/>
      <c r="T45" s="32"/>
      <c r="U45" s="32"/>
      <c r="V45" s="32"/>
      <c r="W45" s="32"/>
      <c r="X45" s="32"/>
      <c r="Y45" s="32"/>
      <c r="Z45" s="325">
        <f>'AVT101(vn-A)'!AZ11</f>
        <v>0</v>
      </c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5">
        <f>'AVT-celny-101+187'!AZ11</f>
        <v>0</v>
      </c>
      <c r="AO45" s="32"/>
      <c r="AP45" s="32"/>
      <c r="AQ45" s="32"/>
      <c r="AR45" s="32"/>
      <c r="AS45" s="32"/>
      <c r="AT45" s="32"/>
      <c r="AU45" s="32"/>
      <c r="AV45" s="325">
        <f>'potr-v101+187'!AZ11</f>
        <v>0</v>
      </c>
      <c r="AW45" s="32"/>
      <c r="AX45" s="325">
        <f>'potr-v101+187-IL'!AZ11</f>
        <v>0</v>
      </c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165"/>
      <c r="BP45" s="165"/>
      <c r="BQ45" s="165"/>
      <c r="BR45" s="165"/>
      <c r="BS45" s="165"/>
      <c r="BT45" s="165"/>
      <c r="BU45" s="165"/>
      <c r="BV45" s="55"/>
      <c r="BW45" s="160"/>
      <c r="BX45" s="32"/>
      <c r="BY45" s="24"/>
      <c r="BZ45" s="24"/>
      <c r="CA45" s="24"/>
      <c r="CB45" s="24"/>
      <c r="CC45" s="24"/>
      <c r="CD45" s="24"/>
      <c r="CE45" s="24"/>
    </row>
    <row r="46" spans="1:83" ht="15" hidden="1" customHeight="1">
      <c r="A46" s="4"/>
      <c r="B46" s="317">
        <f>IF($Q$8=$Q$7,CENY!B58,IF($Q$7=$Q$9,CENY!B67,CENY!B76))</f>
        <v>9353342</v>
      </c>
      <c r="C46" s="39" t="str">
        <f>VLOOKUP(B46,CENY!$B$11:$G$1054,2,FALSE)</f>
        <v>AvanY-sólo oceľ.boky-NW 101/300mm/biela</v>
      </c>
      <c r="D46" s="364">
        <f>VLOOKUP(B46,CENY!$B$11:$G$1054,3,FALSE)</f>
        <v>1</v>
      </c>
      <c r="E46" s="57" t="str">
        <f>IF(VLOOKUP(B46,CENY!$B$11:$G$1054,4,FALSE)=0,"",VLOOKUP(B46,CENY!$B$11:$G$1054,4,FALSE))</f>
        <v/>
      </c>
      <c r="F46" s="40" t="str">
        <f t="shared" si="4"/>
        <v/>
      </c>
      <c r="G46" s="52">
        <f>VLOOKUP(B46,CENY!$B$11:$M$1054,12,FALSE)</f>
        <v>28.89237</v>
      </c>
      <c r="H46" s="54" t="str">
        <f t="shared" si="0"/>
        <v xml:space="preserve"> EUR</v>
      </c>
      <c r="I46" s="41" t="str">
        <f t="shared" si="1"/>
        <v/>
      </c>
      <c r="J46" s="122"/>
      <c r="K46" s="42" t="str">
        <f>VLOOKUP(B46,CENY!$B$11:$M$1054,8,FALSE)</f>
        <v xml:space="preserve"> </v>
      </c>
      <c r="L46" s="42" t="str">
        <f>VLOOKUP(B46,CENY!$B$11:$M$1054,9,FALSE)</f>
        <v>530014</v>
      </c>
      <c r="M46" s="32"/>
      <c r="N46" s="35">
        <f t="shared" si="5"/>
        <v>0</v>
      </c>
      <c r="O46" s="36">
        <v>0</v>
      </c>
      <c r="P46" s="325">
        <f>'AVT101'!AZ12</f>
        <v>0</v>
      </c>
      <c r="Q46" s="32"/>
      <c r="R46" s="32"/>
      <c r="S46" s="32"/>
      <c r="T46" s="32"/>
      <c r="U46" s="32"/>
      <c r="V46" s="32"/>
      <c r="W46" s="32"/>
      <c r="X46" s="32"/>
      <c r="Y46" s="32"/>
      <c r="Z46" s="325">
        <f>'AVT101(vn-A)'!AZ12</f>
        <v>0</v>
      </c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5">
        <f>'AVT-celny-101+187'!AZ12</f>
        <v>0</v>
      </c>
      <c r="AO46" s="32"/>
      <c r="AP46" s="32"/>
      <c r="AQ46" s="32"/>
      <c r="AR46" s="32"/>
      <c r="AS46" s="32"/>
      <c r="AT46" s="32"/>
      <c r="AU46" s="32"/>
      <c r="AV46" s="325">
        <f>'potr-v101+187'!AZ12</f>
        <v>0</v>
      </c>
      <c r="AW46" s="32"/>
      <c r="AX46" s="325">
        <f>'potr-v101+187-IL'!AZ12</f>
        <v>0</v>
      </c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165"/>
      <c r="BP46" s="165"/>
      <c r="BQ46" s="165"/>
      <c r="BR46" s="165"/>
      <c r="BS46" s="165"/>
      <c r="BT46" s="165"/>
      <c r="BU46" s="165"/>
      <c r="BV46" s="55"/>
      <c r="BW46" s="160"/>
      <c r="BX46" s="32"/>
      <c r="BY46" s="24"/>
      <c r="BZ46" s="24"/>
      <c r="CA46" s="24"/>
      <c r="CB46" s="24"/>
      <c r="CC46" s="24"/>
      <c r="CD46" s="24"/>
      <c r="CE46" s="24"/>
    </row>
    <row r="47" spans="1:83" ht="15" hidden="1" customHeight="1">
      <c r="A47" s="4"/>
      <c r="B47" s="317">
        <f>IF($Q$8=$Q$7,CENY!B59,IF($Q$7=$Q$9,CENY!B68,CENY!B77))</f>
        <v>9353343</v>
      </c>
      <c r="C47" s="39" t="str">
        <f>VLOOKUP(B47,CENY!$B$11:$G$1054,2,FALSE)</f>
        <v>AvanY-sólo oceľ.boky-NW 101/350mm/biela</v>
      </c>
      <c r="D47" s="364">
        <f>VLOOKUP(B47,CENY!$B$11:$G$1054,3,FALSE)</f>
        <v>1</v>
      </c>
      <c r="E47" s="57" t="str">
        <f>IF(VLOOKUP(B47,CENY!$B$11:$G$1054,4,FALSE)=0,"",VLOOKUP(B47,CENY!$B$11:$G$1054,4,FALSE))</f>
        <v/>
      </c>
      <c r="F47" s="40" t="str">
        <f t="shared" si="4"/>
        <v/>
      </c>
      <c r="G47" s="52">
        <f>VLOOKUP(B47,CENY!$B$11:$M$1054,12,FALSE)</f>
        <v>29.75958</v>
      </c>
      <c r="H47" s="54" t="str">
        <f t="shared" si="0"/>
        <v xml:space="preserve"> EUR</v>
      </c>
      <c r="I47" s="41" t="str">
        <f t="shared" si="1"/>
        <v/>
      </c>
      <c r="J47" s="122"/>
      <c r="K47" s="42" t="str">
        <f>VLOOKUP(B47,CENY!$B$11:$M$1054,8,FALSE)</f>
        <v xml:space="preserve"> </v>
      </c>
      <c r="L47" s="42" t="str">
        <f>VLOOKUP(B47,CENY!$B$11:$M$1054,9,FALSE)</f>
        <v>530015</v>
      </c>
      <c r="M47" s="32"/>
      <c r="N47" s="35">
        <f t="shared" si="5"/>
        <v>0</v>
      </c>
      <c r="O47" s="36">
        <v>0</v>
      </c>
      <c r="P47" s="325">
        <f>'AVT101'!AZ13</f>
        <v>0</v>
      </c>
      <c r="Q47" s="32"/>
      <c r="R47" s="32"/>
      <c r="S47" s="32"/>
      <c r="T47" s="32"/>
      <c r="U47" s="32"/>
      <c r="V47" s="32"/>
      <c r="W47" s="32"/>
      <c r="X47" s="32"/>
      <c r="Y47" s="32"/>
      <c r="Z47" s="325">
        <f>'AVT101(vn-A)'!AZ13</f>
        <v>0</v>
      </c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5">
        <f>'AVT-celny-101+187'!AZ13</f>
        <v>0</v>
      </c>
      <c r="AO47" s="32"/>
      <c r="AP47" s="32"/>
      <c r="AQ47" s="32"/>
      <c r="AR47" s="32"/>
      <c r="AS47" s="32"/>
      <c r="AT47" s="32"/>
      <c r="AU47" s="32"/>
      <c r="AV47" s="325">
        <f>'potr-v101+187'!AZ13</f>
        <v>0</v>
      </c>
      <c r="AW47" s="32"/>
      <c r="AX47" s="325">
        <f>'potr-v101+187-IL'!AZ13</f>
        <v>0</v>
      </c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165"/>
      <c r="BP47" s="165"/>
      <c r="BQ47" s="165"/>
      <c r="BR47" s="165"/>
      <c r="BS47" s="165"/>
      <c r="BT47" s="165"/>
      <c r="BU47" s="165"/>
      <c r="BV47" s="55"/>
      <c r="BW47" s="160"/>
      <c r="BX47" s="32"/>
      <c r="BY47" s="24"/>
      <c r="BZ47" s="24"/>
      <c r="CA47" s="24"/>
      <c r="CB47" s="24"/>
      <c r="CC47" s="24"/>
      <c r="CD47" s="24"/>
      <c r="CE47" s="24"/>
    </row>
    <row r="48" spans="1:83" ht="15" hidden="1" customHeight="1">
      <c r="A48" s="4"/>
      <c r="B48" s="317">
        <f>CENY!B78</f>
        <v>9257702</v>
      </c>
      <c r="C48" s="39" t="str">
        <f>VLOOKUP(B48,CENY!$B$11:$G$1054,2,FALSE)</f>
        <v>AvanY-stabilizátor chrbáta</v>
      </c>
      <c r="D48" s="353">
        <f>VLOOKUP(B48,CENY!$B$11:$G$1054,3,FALSE)</f>
        <v>200</v>
      </c>
      <c r="E48" s="57" t="str">
        <f>IF(VLOOKUP(B48,CENY!$B$11:$G$1054,4,FALSE)=0,"",VLOOKUP(B48,CENY!$B$11:$G$1054,4,FALSE))</f>
        <v/>
      </c>
      <c r="F48" s="40" t="str">
        <f t="shared" si="4"/>
        <v/>
      </c>
      <c r="G48" s="52">
        <f>VLOOKUP(B48,CENY!$B$11:$M$1054,12,FALSE)</f>
        <v>0.74794000000000005</v>
      </c>
      <c r="H48" s="54" t="str">
        <f t="shared" si="0"/>
        <v xml:space="preserve"> EUR</v>
      </c>
      <c r="I48" s="41" t="str">
        <f t="shared" si="1"/>
        <v/>
      </c>
      <c r="J48" s="122"/>
      <c r="K48" s="42" t="str">
        <f>VLOOKUP(B48,CENY!$B$11:$M$1054,8,FALSE)</f>
        <v xml:space="preserve"> </v>
      </c>
      <c r="L48" s="42" t="str">
        <f>VLOOKUP(B48,CENY!$B$11:$M$1054,9,FALSE)</f>
        <v>396633</v>
      </c>
      <c r="M48" s="32"/>
      <c r="N48" s="35">
        <f t="shared" si="5"/>
        <v>0</v>
      </c>
      <c r="O48" s="36">
        <v>0</v>
      </c>
      <c r="P48" s="32"/>
      <c r="Q48" s="325">
        <f>'AVT101'!BI25</f>
        <v>0</v>
      </c>
      <c r="R48" s="32"/>
      <c r="S48" s="325">
        <f>'AVT139'!BI25</f>
        <v>0</v>
      </c>
      <c r="T48" s="32"/>
      <c r="U48" s="325">
        <f>'AVT187'!BI25</f>
        <v>0</v>
      </c>
      <c r="V48" s="32"/>
      <c r="W48" s="325">
        <f>'AVT251'!BI22</f>
        <v>0</v>
      </c>
      <c r="X48" s="32"/>
      <c r="Y48" s="325">
        <f>AVT187In!BI21</f>
        <v>0</v>
      </c>
      <c r="Z48" s="32"/>
      <c r="AA48" s="325">
        <f>'AVT101(vn-A)'!BI25</f>
        <v>0</v>
      </c>
      <c r="AB48" s="32"/>
      <c r="AC48" s="325">
        <f>'AVT139(vn-A)'!BI25</f>
        <v>0</v>
      </c>
      <c r="AD48" s="32"/>
      <c r="AE48" s="325">
        <f>'AVT187(vn-A)'!BI25</f>
        <v>0</v>
      </c>
      <c r="AF48" s="32"/>
      <c r="AG48" s="325">
        <f>'AVT187In(vn-A)'!BI21</f>
        <v>0</v>
      </c>
      <c r="AH48" s="32"/>
      <c r="AI48" s="325">
        <f>'AVT187(vn-S)'!BI25</f>
        <v>0</v>
      </c>
      <c r="AJ48" s="32"/>
      <c r="AK48" s="325">
        <f>'AVT187In(vn-S)'!BI21</f>
        <v>0</v>
      </c>
      <c r="AL48" s="32"/>
      <c r="AM48" s="32"/>
      <c r="AN48" s="32"/>
      <c r="AO48" s="325">
        <f>'AVT-celny-101+187'!BI45</f>
        <v>0</v>
      </c>
      <c r="AP48" s="32"/>
      <c r="AQ48" s="325">
        <f>'AVT-celny-139+187'!BI37</f>
        <v>0</v>
      </c>
      <c r="AR48" s="32"/>
      <c r="AS48" s="325">
        <f>'AVT-celny-2x187'!BI25</f>
        <v>0</v>
      </c>
      <c r="AT48" s="32"/>
      <c r="AU48" s="325">
        <f>'AVT-celny-2x187In'!BI21</f>
        <v>0</v>
      </c>
      <c r="AV48" s="32"/>
      <c r="AW48" s="325">
        <f>'potr-v101+187'!BI39</f>
        <v>0</v>
      </c>
      <c r="AX48" s="32"/>
      <c r="AY48" s="325">
        <f>'potr-v101+187-IL'!BI39</f>
        <v>0</v>
      </c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165"/>
      <c r="BP48" s="165"/>
      <c r="BQ48" s="165"/>
      <c r="BR48" s="165"/>
      <c r="BS48" s="165"/>
      <c r="BT48" s="165"/>
      <c r="BU48" s="165"/>
      <c r="BV48" s="55"/>
      <c r="BW48" s="160"/>
      <c r="BX48" s="32"/>
      <c r="BY48" s="24"/>
      <c r="BZ48" s="24"/>
      <c r="CA48" s="24"/>
      <c r="CB48" s="24"/>
      <c r="CC48" s="24"/>
      <c r="CD48" s="24"/>
      <c r="CE48" s="24"/>
    </row>
    <row r="49" spans="1:83" ht="8.1" hidden="1" customHeight="1">
      <c r="A49" s="4"/>
      <c r="B49" s="317"/>
      <c r="C49" s="39"/>
      <c r="D49" s="39"/>
      <c r="E49" s="56"/>
      <c r="F49" s="40"/>
      <c r="G49" s="52"/>
      <c r="H49" s="54"/>
      <c r="I49" s="41"/>
      <c r="J49" s="122"/>
      <c r="K49" s="42"/>
      <c r="L49" s="42"/>
      <c r="M49" s="32"/>
      <c r="N49" s="35"/>
      <c r="O49" s="36">
        <v>0</v>
      </c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165"/>
      <c r="BP49" s="165"/>
      <c r="BQ49" s="165"/>
      <c r="BR49" s="165"/>
      <c r="BS49" s="165"/>
      <c r="BT49" s="165"/>
      <c r="BU49" s="165"/>
      <c r="BV49" s="55"/>
      <c r="BW49" s="160"/>
      <c r="BX49" s="32"/>
      <c r="BY49" s="24"/>
      <c r="BZ49" s="24"/>
      <c r="CA49" s="24"/>
      <c r="CB49" s="24"/>
      <c r="CC49" s="24"/>
      <c r="CD49" s="24"/>
      <c r="CE49" s="24"/>
    </row>
    <row r="50" spans="1:83" ht="15" hidden="1" customHeight="1">
      <c r="A50" s="4"/>
      <c r="B50" s="317">
        <f>IF($Q$8=$Q$7,CENY!B79,IF($Q$7=$Q$9,CENY!B97,CENY!B115))</f>
        <v>9255008</v>
      </c>
      <c r="C50" s="39" t="str">
        <f>VLOOKUP(B50,CENY!$B$11:$G$1054,2,FALSE)</f>
        <v>AvanY-bok ľavý /v101/h270/ strieborná</v>
      </c>
      <c r="D50" s="353">
        <f>VLOOKUP(B50,CENY!$B$11:$G$1054,3,FALSE)</f>
        <v>20</v>
      </c>
      <c r="E50" s="57" t="str">
        <f>IF(VLOOKUP(B50,CENY!$B$11:$G$1054,4,FALSE)=0,"",VLOOKUP(B50,CENY!$B$11:$G$1054,4,FALSE))</f>
        <v/>
      </c>
      <c r="F50" s="40" t="str">
        <f t="shared" ref="F50:F67" si="6">IF(J50&lt;&gt;"",J50,IF(N50=0,"",N50))</f>
        <v/>
      </c>
      <c r="G50" s="52">
        <f>VLOOKUP(B50,CENY!$B$11:$M$1054,12,FALSE)</f>
        <v>10.00929</v>
      </c>
      <c r="H50" s="54" t="str">
        <f t="shared" si="0"/>
        <v xml:space="preserve"> EUR</v>
      </c>
      <c r="I50" s="41" t="str">
        <f t="shared" si="1"/>
        <v/>
      </c>
      <c r="J50" s="122"/>
      <c r="K50" s="42" t="str">
        <f>VLOOKUP(B50,CENY!$B$11:$M$1054,8,FALSE)</f>
        <v xml:space="preserve"> </v>
      </c>
      <c r="L50" s="42" t="str">
        <f>VLOOKUP(B50,CENY!$B$11:$M$1054,9,FALSE)</f>
        <v>396661</v>
      </c>
      <c r="M50" s="32"/>
      <c r="N50" s="35">
        <f t="shared" ref="N50:N69" si="7">SUM(P50:BW50)</f>
        <v>0</v>
      </c>
      <c r="O50" s="36">
        <v>0</v>
      </c>
      <c r="P50" s="32"/>
      <c r="Q50" s="325">
        <f>'AVT101'!BI5</f>
        <v>0</v>
      </c>
      <c r="R50" s="32"/>
      <c r="S50" s="32"/>
      <c r="T50" s="32"/>
      <c r="U50" s="32"/>
      <c r="V50" s="32"/>
      <c r="W50" s="32"/>
      <c r="X50" s="32"/>
      <c r="Y50" s="32"/>
      <c r="Z50" s="32"/>
      <c r="AA50" s="325">
        <f>'AVT101(vn-A)'!BI5</f>
        <v>0</v>
      </c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5">
        <f>'AVT-celny-101+187'!BI5</f>
        <v>0</v>
      </c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165"/>
      <c r="BP50" s="165"/>
      <c r="BQ50" s="165"/>
      <c r="BR50" s="165"/>
      <c r="BS50" s="165"/>
      <c r="BT50" s="165"/>
      <c r="BU50" s="165"/>
      <c r="BV50" s="55"/>
      <c r="BW50" s="160"/>
      <c r="BX50" s="32"/>
      <c r="BY50" s="24"/>
      <c r="BZ50" s="24"/>
      <c r="CA50" s="24"/>
      <c r="CB50" s="24"/>
      <c r="CC50" s="24"/>
      <c r="CD50" s="24"/>
      <c r="CE50" s="24"/>
    </row>
    <row r="51" spans="1:83" ht="15" hidden="1" customHeight="1">
      <c r="A51" s="4"/>
      <c r="B51" s="317">
        <f>IF($Q$8=$Q$7,CENY!B80,IF($Q$7=$Q$9,CENY!B98,CENY!B116))</f>
        <v>9255009</v>
      </c>
      <c r="C51" s="39" t="str">
        <f>VLOOKUP(B51,CENY!$B$11:$G$1054,2,FALSE)</f>
        <v>AvanY-bok pravý /v101/h270/ strieborná</v>
      </c>
      <c r="D51" s="353">
        <f>VLOOKUP(B51,CENY!$B$11:$G$1054,3,FALSE)</f>
        <v>20</v>
      </c>
      <c r="E51" s="57" t="str">
        <f>IF(VLOOKUP(B51,CENY!$B$11:$G$1054,4,FALSE)=0,"",VLOOKUP(B51,CENY!$B$11:$G$1054,4,FALSE))</f>
        <v/>
      </c>
      <c r="F51" s="40" t="str">
        <f t="shared" si="6"/>
        <v/>
      </c>
      <c r="G51" s="52">
        <f>VLOOKUP(B51,CENY!$B$11:$M$1054,12,FALSE)</f>
        <v>10.00929</v>
      </c>
      <c r="H51" s="54" t="str">
        <f t="shared" si="0"/>
        <v xml:space="preserve"> EUR</v>
      </c>
      <c r="I51" s="41" t="str">
        <f t="shared" si="1"/>
        <v/>
      </c>
      <c r="J51" s="122"/>
      <c r="K51" s="42" t="str">
        <f>VLOOKUP(B51,CENY!$B$11:$M$1054,8,FALSE)</f>
        <v xml:space="preserve"> </v>
      </c>
      <c r="L51" s="42" t="str">
        <f>VLOOKUP(B51,CENY!$B$11:$M$1054,9,FALSE)</f>
        <v>396662</v>
      </c>
      <c r="M51" s="32"/>
      <c r="N51" s="35">
        <f t="shared" si="7"/>
        <v>0</v>
      </c>
      <c r="O51" s="36">
        <v>0</v>
      </c>
      <c r="P51" s="32"/>
      <c r="Q51" s="325">
        <f>'AVT101'!BI6</f>
        <v>0</v>
      </c>
      <c r="R51" s="32"/>
      <c r="S51" s="32"/>
      <c r="T51" s="32"/>
      <c r="U51" s="32"/>
      <c r="V51" s="32"/>
      <c r="W51" s="32"/>
      <c r="X51" s="32"/>
      <c r="Y51" s="32"/>
      <c r="Z51" s="32"/>
      <c r="AA51" s="325">
        <f>'AVT101(vn-A)'!BI6</f>
        <v>0</v>
      </c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5">
        <f>'AVT-celny-101+187'!BI6</f>
        <v>0</v>
      </c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165"/>
      <c r="BP51" s="165"/>
      <c r="BQ51" s="165"/>
      <c r="BR51" s="165"/>
      <c r="BS51" s="165"/>
      <c r="BT51" s="165"/>
      <c r="BU51" s="165"/>
      <c r="BV51" s="55"/>
      <c r="BW51" s="160"/>
      <c r="BX51" s="32"/>
      <c r="BY51" s="24"/>
      <c r="BZ51" s="24"/>
      <c r="CA51" s="24"/>
      <c r="CB51" s="24"/>
      <c r="CC51" s="24"/>
      <c r="CD51" s="24"/>
      <c r="CE51" s="24"/>
    </row>
    <row r="52" spans="1:83" ht="15" hidden="1" customHeight="1">
      <c r="A52" s="4"/>
      <c r="B52" s="317">
        <f>IF($Q$8=$Q$7,CENY!B81,IF($Q$7=$Q$9,CENY!B99,CENY!B117))</f>
        <v>9255010</v>
      </c>
      <c r="C52" s="39" t="str">
        <f>VLOOKUP(B52,CENY!$B$11:$G$1054,2,FALSE)</f>
        <v>AvanY-bok ľavý /v101/h300/ strieborná</v>
      </c>
      <c r="D52" s="353">
        <f>VLOOKUP(B52,CENY!$B$11:$G$1054,3,FALSE)</f>
        <v>20</v>
      </c>
      <c r="E52" s="57" t="str">
        <f>IF(VLOOKUP(B52,CENY!$B$11:$G$1054,4,FALSE)=0,"",VLOOKUP(B52,CENY!$B$11:$G$1054,4,FALSE))</f>
        <v/>
      </c>
      <c r="F52" s="40" t="str">
        <f t="shared" si="6"/>
        <v/>
      </c>
      <c r="G52" s="52">
        <f>VLOOKUP(B52,CENY!$B$11:$M$1054,12,FALSE)</f>
        <v>10.12106</v>
      </c>
      <c r="H52" s="54" t="str">
        <f t="shared" si="0"/>
        <v xml:space="preserve"> EUR</v>
      </c>
      <c r="I52" s="41" t="str">
        <f t="shared" si="1"/>
        <v/>
      </c>
      <c r="J52" s="122"/>
      <c r="K52" s="42" t="str">
        <f>VLOOKUP(B52,CENY!$B$11:$M$1054,8,FALSE)</f>
        <v xml:space="preserve"> </v>
      </c>
      <c r="L52" s="42" t="str">
        <f>VLOOKUP(B52,CENY!$B$11:$M$1054,9,FALSE)</f>
        <v>396663</v>
      </c>
      <c r="M52" s="32"/>
      <c r="N52" s="35">
        <f t="shared" si="7"/>
        <v>0</v>
      </c>
      <c r="O52" s="36">
        <v>0</v>
      </c>
      <c r="P52" s="32"/>
      <c r="Q52" s="325">
        <f>'AVT101'!BI7</f>
        <v>0</v>
      </c>
      <c r="R52" s="32"/>
      <c r="S52" s="32"/>
      <c r="T52" s="32"/>
      <c r="U52" s="32"/>
      <c r="V52" s="32"/>
      <c r="W52" s="32"/>
      <c r="X52" s="32"/>
      <c r="Y52" s="32"/>
      <c r="Z52" s="32"/>
      <c r="AA52" s="325">
        <f>'AVT101(vn-A)'!BI7</f>
        <v>0</v>
      </c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5">
        <f>'AVT-celny-101+187'!BI7</f>
        <v>0</v>
      </c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165"/>
      <c r="BP52" s="165"/>
      <c r="BQ52" s="165"/>
      <c r="BR52" s="165"/>
      <c r="BS52" s="165"/>
      <c r="BT52" s="165"/>
      <c r="BU52" s="165"/>
      <c r="BV52" s="55"/>
      <c r="BW52" s="160"/>
      <c r="BX52" s="32"/>
      <c r="BY52" s="24"/>
      <c r="BZ52" s="24"/>
      <c r="CA52" s="24"/>
      <c r="CB52" s="24"/>
      <c r="CC52" s="24"/>
      <c r="CD52" s="24"/>
      <c r="CE52" s="24"/>
    </row>
    <row r="53" spans="1:83" ht="15" hidden="1" customHeight="1">
      <c r="A53" s="4"/>
      <c r="B53" s="317">
        <f>IF($Q$8=$Q$7,CENY!B82,IF($Q$7=$Q$9,CENY!B100,CENY!B118))</f>
        <v>9255011</v>
      </c>
      <c r="C53" s="39" t="str">
        <f>VLOOKUP(B53,CENY!$B$11:$G$1054,2,FALSE)</f>
        <v>AvanY-bok pravý /v101/h300/ strieborná</v>
      </c>
      <c r="D53" s="353">
        <f>VLOOKUP(B53,CENY!$B$11:$G$1054,3,FALSE)</f>
        <v>20</v>
      </c>
      <c r="E53" s="57" t="str">
        <f>IF(VLOOKUP(B53,CENY!$B$11:$G$1054,4,FALSE)=0,"",VLOOKUP(B53,CENY!$B$11:$G$1054,4,FALSE))</f>
        <v/>
      </c>
      <c r="F53" s="40" t="str">
        <f t="shared" si="6"/>
        <v/>
      </c>
      <c r="G53" s="52">
        <f>VLOOKUP(B53,CENY!$B$11:$M$1054,12,FALSE)</f>
        <v>10.12106</v>
      </c>
      <c r="H53" s="54" t="str">
        <f t="shared" si="0"/>
        <v xml:space="preserve"> EUR</v>
      </c>
      <c r="I53" s="41" t="str">
        <f t="shared" si="1"/>
        <v/>
      </c>
      <c r="J53" s="122"/>
      <c r="K53" s="42" t="str">
        <f>VLOOKUP(B53,CENY!$B$11:$M$1054,8,FALSE)</f>
        <v xml:space="preserve"> </v>
      </c>
      <c r="L53" s="42" t="str">
        <f>VLOOKUP(B53,CENY!$B$11:$M$1054,9,FALSE)</f>
        <v>396664</v>
      </c>
      <c r="M53" s="32"/>
      <c r="N53" s="35">
        <f t="shared" si="7"/>
        <v>0</v>
      </c>
      <c r="O53" s="36">
        <v>0</v>
      </c>
      <c r="P53" s="32"/>
      <c r="Q53" s="325">
        <f>'AVT101'!BI8</f>
        <v>0</v>
      </c>
      <c r="R53" s="32"/>
      <c r="S53" s="32"/>
      <c r="T53" s="32"/>
      <c r="U53" s="32"/>
      <c r="V53" s="32"/>
      <c r="W53" s="32"/>
      <c r="X53" s="32"/>
      <c r="Y53" s="32"/>
      <c r="Z53" s="32"/>
      <c r="AA53" s="325">
        <f>'AVT101(vn-A)'!BI8</f>
        <v>0</v>
      </c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5">
        <f>'AVT-celny-101+187'!BI8</f>
        <v>0</v>
      </c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165"/>
      <c r="BP53" s="165"/>
      <c r="BQ53" s="165"/>
      <c r="BR53" s="165"/>
      <c r="BS53" s="165"/>
      <c r="BT53" s="165"/>
      <c r="BU53" s="165"/>
      <c r="BV53" s="55"/>
      <c r="BW53" s="160"/>
      <c r="BX53" s="32"/>
      <c r="BY53" s="24"/>
      <c r="BZ53" s="24"/>
      <c r="CA53" s="24"/>
      <c r="CB53" s="24"/>
      <c r="CC53" s="24"/>
      <c r="CD53" s="24"/>
      <c r="CE53" s="24"/>
    </row>
    <row r="54" spans="1:83" ht="15" hidden="1" customHeight="1">
      <c r="A54" s="4"/>
      <c r="B54" s="317">
        <f>IF($Q$8=$Q$7,CENY!B83,IF($Q$7=$Q$9,CENY!B101,CENY!B119))</f>
        <v>9255012</v>
      </c>
      <c r="C54" s="39" t="str">
        <f>VLOOKUP(B54,CENY!$B$11:$G$1054,2,FALSE)</f>
        <v>AvanY-bok ľavý /v101/h350/ strieborná</v>
      </c>
      <c r="D54" s="353">
        <f>VLOOKUP(B54,CENY!$B$11:$G$1054,3,FALSE)</f>
        <v>20</v>
      </c>
      <c r="E54" s="57" t="str">
        <f>IF(VLOOKUP(B54,CENY!$B$11:$G$1054,4,FALSE)=0,"",VLOOKUP(B54,CENY!$B$11:$G$1054,4,FALSE))</f>
        <v/>
      </c>
      <c r="F54" s="40" t="str">
        <f t="shared" si="6"/>
        <v/>
      </c>
      <c r="G54" s="52">
        <f>VLOOKUP(B54,CENY!$B$11:$M$1054,12,FALSE)</f>
        <v>10.307510000000001</v>
      </c>
      <c r="H54" s="54" t="str">
        <f t="shared" si="0"/>
        <v xml:space="preserve"> EUR</v>
      </c>
      <c r="I54" s="41" t="str">
        <f t="shared" si="1"/>
        <v/>
      </c>
      <c r="J54" s="122"/>
      <c r="K54" s="42" t="str">
        <f>VLOOKUP(B54,CENY!$B$11:$M$1054,8,FALSE)</f>
        <v xml:space="preserve"> </v>
      </c>
      <c r="L54" s="42" t="str">
        <f>VLOOKUP(B54,CENY!$B$11:$M$1054,9,FALSE)</f>
        <v>396665</v>
      </c>
      <c r="M54" s="32"/>
      <c r="N54" s="35">
        <f t="shared" si="7"/>
        <v>0</v>
      </c>
      <c r="O54" s="36">
        <v>0</v>
      </c>
      <c r="P54" s="32"/>
      <c r="Q54" s="325">
        <f>'AVT101'!BI9</f>
        <v>0</v>
      </c>
      <c r="R54" s="32"/>
      <c r="S54" s="32"/>
      <c r="T54" s="32"/>
      <c r="U54" s="32"/>
      <c r="V54" s="32"/>
      <c r="W54" s="32"/>
      <c r="X54" s="32"/>
      <c r="Y54" s="32"/>
      <c r="Z54" s="32"/>
      <c r="AA54" s="325">
        <f>'AVT101(vn-A)'!BI9</f>
        <v>0</v>
      </c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5">
        <f>'AVT-celny-101+187'!BI9</f>
        <v>0</v>
      </c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165"/>
      <c r="BP54" s="165"/>
      <c r="BQ54" s="165"/>
      <c r="BR54" s="165"/>
      <c r="BS54" s="165"/>
      <c r="BT54" s="165"/>
      <c r="BU54" s="165"/>
      <c r="BV54" s="55"/>
      <c r="BW54" s="160"/>
      <c r="BX54" s="32"/>
      <c r="BY54" s="24"/>
      <c r="BZ54" s="24"/>
      <c r="CA54" s="24"/>
      <c r="CB54" s="24"/>
      <c r="CC54" s="24"/>
      <c r="CD54" s="24"/>
      <c r="CE54" s="24"/>
    </row>
    <row r="55" spans="1:83" ht="15" hidden="1" customHeight="1">
      <c r="A55" s="4"/>
      <c r="B55" s="317">
        <f>IF($Q$8=$Q$7,CENY!B84,IF($Q$7=$Q$9,CENY!B102,CENY!B120))</f>
        <v>9255013</v>
      </c>
      <c r="C55" s="39" t="str">
        <f>VLOOKUP(B55,CENY!$B$11:$G$1054,2,FALSE)</f>
        <v>AvanY-bok pravý /v101/h350/ strieborná</v>
      </c>
      <c r="D55" s="353">
        <f>VLOOKUP(B55,CENY!$B$11:$G$1054,3,FALSE)</f>
        <v>20</v>
      </c>
      <c r="E55" s="57" t="str">
        <f>IF(VLOOKUP(B55,CENY!$B$11:$G$1054,4,FALSE)=0,"",VLOOKUP(B55,CENY!$B$11:$G$1054,4,FALSE))</f>
        <v/>
      </c>
      <c r="F55" s="40" t="str">
        <f t="shared" si="6"/>
        <v/>
      </c>
      <c r="G55" s="52">
        <f>VLOOKUP(B55,CENY!$B$11:$M$1054,12,FALSE)</f>
        <v>10.307510000000001</v>
      </c>
      <c r="H55" s="54" t="str">
        <f t="shared" si="0"/>
        <v xml:space="preserve"> EUR</v>
      </c>
      <c r="I55" s="41" t="str">
        <f t="shared" si="1"/>
        <v/>
      </c>
      <c r="J55" s="122"/>
      <c r="K55" s="42" t="str">
        <f>VLOOKUP(B55,CENY!$B$11:$M$1054,8,FALSE)</f>
        <v xml:space="preserve"> </v>
      </c>
      <c r="L55" s="42" t="str">
        <f>VLOOKUP(B55,CENY!$B$11:$M$1054,9,FALSE)</f>
        <v>396666</v>
      </c>
      <c r="M55" s="32"/>
      <c r="N55" s="35">
        <f t="shared" si="7"/>
        <v>0</v>
      </c>
      <c r="O55" s="36">
        <v>0</v>
      </c>
      <c r="P55" s="32"/>
      <c r="Q55" s="325">
        <f>'AVT101'!BI10</f>
        <v>0</v>
      </c>
      <c r="R55" s="32"/>
      <c r="S55" s="32"/>
      <c r="T55" s="32"/>
      <c r="U55" s="32"/>
      <c r="V55" s="32"/>
      <c r="W55" s="32"/>
      <c r="X55" s="32"/>
      <c r="Y55" s="32"/>
      <c r="Z55" s="32"/>
      <c r="AA55" s="325">
        <f>'AVT101(vn-A)'!BI10</f>
        <v>0</v>
      </c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5">
        <f>'AVT-celny-101+187'!BI10</f>
        <v>0</v>
      </c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165"/>
      <c r="BP55" s="165"/>
      <c r="BQ55" s="165"/>
      <c r="BR55" s="165"/>
      <c r="BS55" s="165"/>
      <c r="BT55" s="165"/>
      <c r="BU55" s="165"/>
      <c r="BV55" s="55"/>
      <c r="BW55" s="160"/>
      <c r="BX55" s="32"/>
      <c r="BY55" s="24"/>
      <c r="BZ55" s="24"/>
      <c r="CA55" s="24"/>
      <c r="CB55" s="24"/>
      <c r="CC55" s="24"/>
      <c r="CD55" s="24"/>
      <c r="CE55" s="24"/>
    </row>
    <row r="56" spans="1:83" ht="15" hidden="1" customHeight="1">
      <c r="A56" s="4"/>
      <c r="B56" s="317">
        <f>IF($Q$8=$Q$7,CENY!B85,IF($Q$7=$Q$9,CENY!B103,CENY!B121))</f>
        <v>9255014</v>
      </c>
      <c r="C56" s="39" t="str">
        <f>VLOOKUP(B56,CENY!$B$11:$G$1054,2,FALSE)</f>
        <v>AvanY-bok ľavý /v101/h400/ strieborná</v>
      </c>
      <c r="D56" s="353">
        <f>VLOOKUP(B56,CENY!$B$11:$G$1054,3,FALSE)</f>
        <v>20</v>
      </c>
      <c r="E56" s="57" t="str">
        <f>IF(VLOOKUP(B56,CENY!$B$11:$G$1054,4,FALSE)=0,"",VLOOKUP(B56,CENY!$B$11:$G$1054,4,FALSE))</f>
        <v/>
      </c>
      <c r="F56" s="40" t="str">
        <f t="shared" si="6"/>
        <v/>
      </c>
      <c r="G56" s="52">
        <f>VLOOKUP(B56,CENY!$B$11:$M$1054,12,FALSE)</f>
        <v>10.49362</v>
      </c>
      <c r="H56" s="54" t="str">
        <f t="shared" si="0"/>
        <v xml:space="preserve"> EUR</v>
      </c>
      <c r="I56" s="41" t="str">
        <f t="shared" si="1"/>
        <v/>
      </c>
      <c r="J56" s="122"/>
      <c r="K56" s="42" t="str">
        <f>VLOOKUP(B56,CENY!$B$11:$M$1054,8,FALSE)</f>
        <v xml:space="preserve"> </v>
      </c>
      <c r="L56" s="42" t="str">
        <f>VLOOKUP(B56,CENY!$B$11:$M$1054,9,FALSE)</f>
        <v>396667</v>
      </c>
      <c r="M56" s="32"/>
      <c r="N56" s="35">
        <f t="shared" si="7"/>
        <v>0</v>
      </c>
      <c r="O56" s="36">
        <v>0</v>
      </c>
      <c r="P56" s="32"/>
      <c r="Q56" s="325">
        <f>'AVT101'!BI11</f>
        <v>0</v>
      </c>
      <c r="R56" s="32"/>
      <c r="S56" s="32"/>
      <c r="T56" s="32"/>
      <c r="U56" s="32"/>
      <c r="V56" s="32"/>
      <c r="W56" s="32"/>
      <c r="X56" s="32"/>
      <c r="Y56" s="32"/>
      <c r="Z56" s="32"/>
      <c r="AA56" s="325">
        <f>'AVT101(vn-A)'!BI11</f>
        <v>0</v>
      </c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5">
        <f>'AVT-celny-101+187'!BI11</f>
        <v>0</v>
      </c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165"/>
      <c r="BP56" s="165"/>
      <c r="BQ56" s="165"/>
      <c r="BR56" s="165"/>
      <c r="BS56" s="165"/>
      <c r="BT56" s="165"/>
      <c r="BU56" s="165"/>
      <c r="BV56" s="55"/>
      <c r="BW56" s="160"/>
      <c r="BX56" s="32"/>
      <c r="BY56" s="24"/>
      <c r="BZ56" s="24"/>
      <c r="CA56" s="24"/>
      <c r="CB56" s="24"/>
      <c r="CC56" s="24"/>
      <c r="CD56" s="24"/>
      <c r="CE56" s="24"/>
    </row>
    <row r="57" spans="1:83" ht="15" hidden="1" customHeight="1">
      <c r="A57" s="4"/>
      <c r="B57" s="317">
        <f>IF($Q$8=$Q$7,CENY!B86,IF($Q$7=$Q$9,CENY!B104,CENY!B122))</f>
        <v>9255015</v>
      </c>
      <c r="C57" s="39" t="str">
        <f>VLOOKUP(B57,CENY!$B$11:$G$1054,2,FALSE)</f>
        <v>AvanY-bok pravý /v101/h400/ strieborná</v>
      </c>
      <c r="D57" s="353">
        <f>VLOOKUP(B57,CENY!$B$11:$G$1054,3,FALSE)</f>
        <v>20</v>
      </c>
      <c r="E57" s="57" t="str">
        <f>IF(VLOOKUP(B57,CENY!$B$11:$G$1054,4,FALSE)=0,"",VLOOKUP(B57,CENY!$B$11:$G$1054,4,FALSE))</f>
        <v/>
      </c>
      <c r="F57" s="40" t="str">
        <f t="shared" si="6"/>
        <v/>
      </c>
      <c r="G57" s="52">
        <f>VLOOKUP(B57,CENY!$B$11:$M$1054,12,FALSE)</f>
        <v>10.49362</v>
      </c>
      <c r="H57" s="54" t="str">
        <f t="shared" si="0"/>
        <v xml:space="preserve"> EUR</v>
      </c>
      <c r="I57" s="41" t="str">
        <f t="shared" si="1"/>
        <v/>
      </c>
      <c r="J57" s="122"/>
      <c r="K57" s="42" t="str">
        <f>VLOOKUP(B57,CENY!$B$11:$M$1054,8,FALSE)</f>
        <v xml:space="preserve"> </v>
      </c>
      <c r="L57" s="42" t="str">
        <f>VLOOKUP(B57,CENY!$B$11:$M$1054,9,FALSE)</f>
        <v>396668</v>
      </c>
      <c r="M57" s="32"/>
      <c r="N57" s="35">
        <f t="shared" si="7"/>
        <v>0</v>
      </c>
      <c r="O57" s="36">
        <v>0</v>
      </c>
      <c r="P57" s="32"/>
      <c r="Q57" s="325">
        <f>'AVT101'!BI12</f>
        <v>0</v>
      </c>
      <c r="R57" s="32"/>
      <c r="S57" s="32"/>
      <c r="T57" s="32"/>
      <c r="U57" s="32"/>
      <c r="V57" s="32"/>
      <c r="W57" s="32"/>
      <c r="X57" s="32"/>
      <c r="Y57" s="32"/>
      <c r="Z57" s="32"/>
      <c r="AA57" s="325">
        <f>'AVT101(vn-A)'!BI12</f>
        <v>0</v>
      </c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5">
        <f>'AVT-celny-101+187'!BI12</f>
        <v>0</v>
      </c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165"/>
      <c r="BP57" s="165"/>
      <c r="BQ57" s="165"/>
      <c r="BR57" s="165"/>
      <c r="BS57" s="165"/>
      <c r="BT57" s="165"/>
      <c r="BU57" s="165"/>
      <c r="BV57" s="55"/>
      <c r="BW57" s="160"/>
      <c r="BX57" s="32"/>
      <c r="BY57" s="24"/>
      <c r="BZ57" s="24"/>
      <c r="CA57" s="24"/>
      <c r="CB57" s="24"/>
      <c r="CC57" s="24"/>
      <c r="CD57" s="24"/>
      <c r="CE57" s="24"/>
    </row>
    <row r="58" spans="1:83" ht="15" hidden="1" customHeight="1">
      <c r="A58" s="4"/>
      <c r="B58" s="317">
        <f>IF($Q$8=$Q$7,CENY!B87,IF($Q$7=$Q$9,CENY!B105,CENY!B123))</f>
        <v>9255016</v>
      </c>
      <c r="C58" s="39" t="str">
        <f>VLOOKUP(B58,CENY!$B$11:$G$1054,2,FALSE)</f>
        <v>AvanY-bok ľavý /v101/h450/ strieborná</v>
      </c>
      <c r="D58" s="353">
        <f>VLOOKUP(B58,CENY!$B$11:$G$1054,3,FALSE)</f>
        <v>20</v>
      </c>
      <c r="E58" s="57" t="str">
        <f>IF(VLOOKUP(B58,CENY!$B$11:$G$1054,4,FALSE)=0,"",VLOOKUP(B58,CENY!$B$11:$G$1054,4,FALSE))</f>
        <v/>
      </c>
      <c r="F58" s="40" t="str">
        <f t="shared" si="6"/>
        <v/>
      </c>
      <c r="G58" s="52">
        <f>VLOOKUP(B58,CENY!$B$11:$M$1054,12,FALSE)</f>
        <v>10.680099999999999</v>
      </c>
      <c r="H58" s="54" t="str">
        <f t="shared" si="0"/>
        <v xml:space="preserve"> EUR</v>
      </c>
      <c r="I58" s="41" t="str">
        <f t="shared" si="1"/>
        <v/>
      </c>
      <c r="J58" s="122"/>
      <c r="K58" s="42" t="str">
        <f>VLOOKUP(B58,CENY!$B$11:$M$1054,8,FALSE)</f>
        <v xml:space="preserve"> </v>
      </c>
      <c r="L58" s="42" t="str">
        <f>VLOOKUP(B58,CENY!$B$11:$M$1054,9,FALSE)</f>
        <v>396669</v>
      </c>
      <c r="M58" s="32"/>
      <c r="N58" s="35">
        <f t="shared" si="7"/>
        <v>0</v>
      </c>
      <c r="O58" s="36">
        <v>0</v>
      </c>
      <c r="P58" s="32"/>
      <c r="Q58" s="325">
        <f>'AVT101'!BI13</f>
        <v>0</v>
      </c>
      <c r="R58" s="32"/>
      <c r="S58" s="32"/>
      <c r="T58" s="32"/>
      <c r="U58" s="32"/>
      <c r="V58" s="32"/>
      <c r="W58" s="32"/>
      <c r="X58" s="32"/>
      <c r="Y58" s="32"/>
      <c r="Z58" s="32"/>
      <c r="AA58" s="325">
        <f>'AVT101(vn-A)'!BI13</f>
        <v>0</v>
      </c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5">
        <f>'AVT-celny-101+187'!BI13</f>
        <v>0</v>
      </c>
      <c r="AP58" s="32"/>
      <c r="AQ58" s="32"/>
      <c r="AR58" s="32"/>
      <c r="AS58" s="32"/>
      <c r="AT58" s="32"/>
      <c r="AU58" s="32"/>
      <c r="AV58" s="32"/>
      <c r="AW58" s="325">
        <f>'potr-v101+187'!BI13</f>
        <v>0</v>
      </c>
      <c r="AX58" s="32"/>
      <c r="AY58" s="325">
        <f>'potr-v101+187-IL'!BI13</f>
        <v>0</v>
      </c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165"/>
      <c r="BP58" s="165"/>
      <c r="BQ58" s="165"/>
      <c r="BR58" s="165"/>
      <c r="BS58" s="165"/>
      <c r="BT58" s="165"/>
      <c r="BU58" s="165"/>
      <c r="BV58" s="55"/>
      <c r="BW58" s="160"/>
      <c r="BX58" s="32"/>
      <c r="BY58" s="24"/>
      <c r="BZ58" s="24"/>
      <c r="CA58" s="24"/>
      <c r="CB58" s="24"/>
      <c r="CC58" s="24"/>
      <c r="CD58" s="24"/>
      <c r="CE58" s="24"/>
    </row>
    <row r="59" spans="1:83" ht="15" hidden="1" customHeight="1">
      <c r="A59" s="4"/>
      <c r="B59" s="317">
        <f>IF($Q$8=$Q$7,CENY!B88,IF($Q$7=$Q$9,CENY!B106,CENY!B124))</f>
        <v>9255017</v>
      </c>
      <c r="C59" s="43" t="str">
        <f>VLOOKUP(B59,CENY!$B$11:$G$1054,2,FALSE)</f>
        <v>AvanY-bok pravý /v101/h450/ strieborná</v>
      </c>
      <c r="D59" s="353">
        <f>VLOOKUP(B59,CENY!$B$11:$G$1054,3,FALSE)</f>
        <v>20</v>
      </c>
      <c r="E59" s="56" t="str">
        <f>IF(VLOOKUP(B59,CENY!$B$11:$G$1054,4,FALSE)=0,"",VLOOKUP(B59,CENY!$B$11:$G$1054,4,FALSE))</f>
        <v/>
      </c>
      <c r="F59" s="40" t="str">
        <f t="shared" si="6"/>
        <v/>
      </c>
      <c r="G59" s="52">
        <f>VLOOKUP(B59,CENY!$B$11:$M$1054,12,FALSE)</f>
        <v>10.680099999999999</v>
      </c>
      <c r="H59" s="54" t="str">
        <f t="shared" si="0"/>
        <v xml:space="preserve"> EUR</v>
      </c>
      <c r="I59" s="41" t="str">
        <f t="shared" si="1"/>
        <v/>
      </c>
      <c r="J59" s="122"/>
      <c r="K59" s="42" t="str">
        <f>VLOOKUP(B59,CENY!$B$11:$M$1054,8,FALSE)</f>
        <v xml:space="preserve"> </v>
      </c>
      <c r="L59" s="42" t="str">
        <f>VLOOKUP(B59,CENY!$B$11:$M$1054,9,FALSE)</f>
        <v>396670</v>
      </c>
      <c r="M59" s="32"/>
      <c r="N59" s="35">
        <f t="shared" si="7"/>
        <v>0</v>
      </c>
      <c r="O59" s="36">
        <v>0</v>
      </c>
      <c r="P59" s="32"/>
      <c r="Q59" s="325">
        <f>'AVT101'!BI14</f>
        <v>0</v>
      </c>
      <c r="R59" s="32"/>
      <c r="S59" s="32"/>
      <c r="T59" s="32"/>
      <c r="U59" s="32"/>
      <c r="V59" s="32"/>
      <c r="W59" s="32"/>
      <c r="X59" s="32"/>
      <c r="Y59" s="32"/>
      <c r="Z59" s="32"/>
      <c r="AA59" s="325">
        <f>'AVT101(vn-A)'!BI14</f>
        <v>0</v>
      </c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5">
        <f>'AVT-celny-101+187'!BI14</f>
        <v>0</v>
      </c>
      <c r="AP59" s="32"/>
      <c r="AQ59" s="32"/>
      <c r="AR59" s="32"/>
      <c r="AS59" s="32"/>
      <c r="AT59" s="32"/>
      <c r="AU59" s="32"/>
      <c r="AV59" s="32"/>
      <c r="AW59" s="325">
        <f>'potr-v101+187'!BI14</f>
        <v>0</v>
      </c>
      <c r="AX59" s="32"/>
      <c r="AY59" s="325">
        <f>'potr-v101+187-IL'!BI14</f>
        <v>0</v>
      </c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165"/>
      <c r="BP59" s="165"/>
      <c r="BQ59" s="165"/>
      <c r="BR59" s="165"/>
      <c r="BS59" s="165"/>
      <c r="BT59" s="165"/>
      <c r="BU59" s="165"/>
      <c r="BV59" s="55"/>
      <c r="BW59" s="160"/>
      <c r="BX59" s="32"/>
      <c r="BY59" s="24"/>
      <c r="BZ59" s="24"/>
      <c r="CA59" s="24"/>
      <c r="CB59" s="24"/>
      <c r="CC59" s="24"/>
      <c r="CD59" s="24"/>
      <c r="CE59" s="24"/>
    </row>
    <row r="60" spans="1:83" ht="15" hidden="1" customHeight="1">
      <c r="A60" s="4"/>
      <c r="B60" s="317">
        <f>IF($Q$8=$Q$7,CENY!B89,IF($Q$7=$Q$9,CENY!B107,CENY!B125))</f>
        <v>9255018</v>
      </c>
      <c r="C60" s="43" t="str">
        <f>VLOOKUP(B60,CENY!$B$11:$G$1054,2,FALSE)</f>
        <v>AvanY-bok ľavý /v101/h500/ strieborná</v>
      </c>
      <c r="D60" s="353">
        <f>VLOOKUP(B60,CENY!$B$11:$G$1054,3,FALSE)</f>
        <v>20</v>
      </c>
      <c r="E60" s="56" t="str">
        <f>IF(VLOOKUP(B60,CENY!$B$11:$G$1054,4,FALSE)=0,"",VLOOKUP(B60,CENY!$B$11:$G$1054,4,FALSE))</f>
        <v/>
      </c>
      <c r="F60" s="40" t="str">
        <f t="shared" si="6"/>
        <v/>
      </c>
      <c r="G60" s="52">
        <f>VLOOKUP(B60,CENY!$B$11:$M$1054,12,FALSE)</f>
        <v>10.348739999999999</v>
      </c>
      <c r="H60" s="54" t="str">
        <f t="shared" si="0"/>
        <v xml:space="preserve"> EUR</v>
      </c>
      <c r="I60" s="41" t="str">
        <f t="shared" si="1"/>
        <v/>
      </c>
      <c r="J60" s="122"/>
      <c r="K60" s="42" t="str">
        <f>VLOOKUP(B60,CENY!$B$11:$M$1054,8,FALSE)</f>
        <v xml:space="preserve"> </v>
      </c>
      <c r="L60" s="42" t="str">
        <f>VLOOKUP(B60,CENY!$B$11:$M$1054,9,FALSE)</f>
        <v>396671</v>
      </c>
      <c r="M60" s="32"/>
      <c r="N60" s="35">
        <f t="shared" si="7"/>
        <v>0</v>
      </c>
      <c r="O60" s="36">
        <v>0</v>
      </c>
      <c r="P60" s="32"/>
      <c r="Q60" s="325">
        <f>'AVT101'!BI15</f>
        <v>0</v>
      </c>
      <c r="R60" s="32"/>
      <c r="S60" s="32"/>
      <c r="T60" s="32"/>
      <c r="U60" s="32"/>
      <c r="V60" s="32"/>
      <c r="W60" s="32"/>
      <c r="X60" s="32"/>
      <c r="Y60" s="32"/>
      <c r="Z60" s="32"/>
      <c r="AA60" s="325">
        <f>'AVT101(vn-A)'!BI15</f>
        <v>0</v>
      </c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5">
        <f>'AVT-celny-101+187'!BI15</f>
        <v>0</v>
      </c>
      <c r="AP60" s="32"/>
      <c r="AQ60" s="32"/>
      <c r="AR60" s="32"/>
      <c r="AS60" s="32"/>
      <c r="AT60" s="32"/>
      <c r="AU60" s="32"/>
      <c r="AV60" s="32"/>
      <c r="AW60" s="325">
        <f>'potr-v101+187'!BI15</f>
        <v>0</v>
      </c>
      <c r="AX60" s="32"/>
      <c r="AY60" s="325">
        <f>'potr-v101+187-IL'!BI15</f>
        <v>0</v>
      </c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165"/>
      <c r="BP60" s="165"/>
      <c r="BQ60" s="165"/>
      <c r="BR60" s="165"/>
      <c r="BS60" s="165"/>
      <c r="BT60" s="165"/>
      <c r="BU60" s="165"/>
      <c r="BV60" s="55"/>
      <c r="BW60" s="160"/>
      <c r="BX60" s="32"/>
      <c r="BY60" s="24"/>
      <c r="BZ60" s="24"/>
      <c r="CA60" s="24"/>
      <c r="CB60" s="24"/>
      <c r="CC60" s="24"/>
      <c r="CD60" s="24"/>
      <c r="CE60" s="24"/>
    </row>
    <row r="61" spans="1:83" ht="15" hidden="1" customHeight="1">
      <c r="A61" s="4"/>
      <c r="B61" s="317">
        <f>IF($Q$8=$Q$7,CENY!B90,IF($Q$7=$Q$9,CENY!B108,CENY!B126))</f>
        <v>9255019</v>
      </c>
      <c r="C61" s="43" t="str">
        <f>VLOOKUP(B61,CENY!$B$11:$G$1054,2,FALSE)</f>
        <v>AvanY-bok pravý /v101/h500/ strieborná</v>
      </c>
      <c r="D61" s="353">
        <f>VLOOKUP(B61,CENY!$B$11:$G$1054,3,FALSE)</f>
        <v>20</v>
      </c>
      <c r="E61" s="56" t="str">
        <f>IF(VLOOKUP(B61,CENY!$B$11:$G$1054,4,FALSE)=0,"",VLOOKUP(B61,CENY!$B$11:$G$1054,4,FALSE))</f>
        <v/>
      </c>
      <c r="F61" s="40" t="str">
        <f t="shared" si="6"/>
        <v/>
      </c>
      <c r="G61" s="52">
        <f>VLOOKUP(B61,CENY!$B$11:$M$1054,12,FALSE)</f>
        <v>10.348739999999999</v>
      </c>
      <c r="H61" s="54" t="str">
        <f t="shared" si="0"/>
        <v xml:space="preserve"> EUR</v>
      </c>
      <c r="I61" s="41" t="str">
        <f t="shared" si="1"/>
        <v/>
      </c>
      <c r="J61" s="122"/>
      <c r="K61" s="42" t="str">
        <f>VLOOKUP(B61,CENY!$B$11:$M$1054,8,FALSE)</f>
        <v xml:space="preserve"> </v>
      </c>
      <c r="L61" s="42" t="str">
        <f>VLOOKUP(B61,CENY!$B$11:$M$1054,9,FALSE)</f>
        <v>396672</v>
      </c>
      <c r="M61" s="32"/>
      <c r="N61" s="35">
        <f t="shared" si="7"/>
        <v>0</v>
      </c>
      <c r="O61" s="36">
        <v>0</v>
      </c>
      <c r="P61" s="32"/>
      <c r="Q61" s="325">
        <f>'AVT101'!BI16</f>
        <v>0</v>
      </c>
      <c r="R61" s="32"/>
      <c r="S61" s="32"/>
      <c r="T61" s="32"/>
      <c r="U61" s="32"/>
      <c r="V61" s="32"/>
      <c r="W61" s="32"/>
      <c r="X61" s="32"/>
      <c r="Y61" s="32"/>
      <c r="Z61" s="32"/>
      <c r="AA61" s="325">
        <f>'AVT101(vn-A)'!BI16</f>
        <v>0</v>
      </c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5">
        <f>'AVT-celny-101+187'!BI16</f>
        <v>0</v>
      </c>
      <c r="AP61" s="32"/>
      <c r="AQ61" s="32"/>
      <c r="AR61" s="32"/>
      <c r="AS61" s="32"/>
      <c r="AT61" s="32"/>
      <c r="AU61" s="32"/>
      <c r="AV61" s="32"/>
      <c r="AW61" s="325">
        <f>'potr-v101+187'!BI16</f>
        <v>0</v>
      </c>
      <c r="AX61" s="32"/>
      <c r="AY61" s="325">
        <f>'potr-v101+187-IL'!BI16</f>
        <v>0</v>
      </c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165"/>
      <c r="BP61" s="165"/>
      <c r="BQ61" s="165"/>
      <c r="BR61" s="165"/>
      <c r="BS61" s="165"/>
      <c r="BT61" s="165"/>
      <c r="BU61" s="165"/>
      <c r="BV61" s="55"/>
      <c r="BW61" s="160"/>
      <c r="BX61" s="32"/>
      <c r="BY61" s="24"/>
      <c r="BZ61" s="24"/>
      <c r="CA61" s="24"/>
      <c r="CB61" s="24"/>
      <c r="CC61" s="24"/>
      <c r="CD61" s="24"/>
      <c r="CE61" s="24"/>
    </row>
    <row r="62" spans="1:83" ht="15" hidden="1" customHeight="1">
      <c r="A62" s="4"/>
      <c r="B62" s="317">
        <f>IF($Q$8=$Q$7,CENY!B91,IF($Q$7=$Q$9,CENY!B109,CENY!B127))</f>
        <v>9255020</v>
      </c>
      <c r="C62" s="43" t="str">
        <f>VLOOKUP(B62,CENY!$B$11:$G$1054,2,FALSE)</f>
        <v>AvanY-bok ľavý /v101/h550/ strieborná</v>
      </c>
      <c r="D62" s="353">
        <f>VLOOKUP(B62,CENY!$B$11:$G$1054,3,FALSE)</f>
        <v>20</v>
      </c>
      <c r="E62" s="56" t="str">
        <f>IF(VLOOKUP(B62,CENY!$B$11:$G$1054,4,FALSE)=0,"",VLOOKUP(B62,CENY!$B$11:$G$1054,4,FALSE))</f>
        <v/>
      </c>
      <c r="F62" s="40" t="str">
        <f t="shared" si="6"/>
        <v/>
      </c>
      <c r="G62" s="52">
        <f>VLOOKUP(B62,CENY!$B$11:$M$1054,12,FALSE)</f>
        <v>11.052530000000001</v>
      </c>
      <c r="H62" s="54" t="str">
        <f t="shared" si="0"/>
        <v xml:space="preserve"> EUR</v>
      </c>
      <c r="I62" s="41" t="str">
        <f t="shared" si="1"/>
        <v/>
      </c>
      <c r="J62" s="122"/>
      <c r="K62" s="42" t="str">
        <f>VLOOKUP(B62,CENY!$B$11:$M$1054,8,FALSE)</f>
        <v xml:space="preserve"> </v>
      </c>
      <c r="L62" s="42" t="str">
        <f>VLOOKUP(B62,CENY!$B$11:$M$1054,9,FALSE)</f>
        <v>396673</v>
      </c>
      <c r="M62" s="32"/>
      <c r="N62" s="35">
        <f t="shared" si="7"/>
        <v>0</v>
      </c>
      <c r="O62" s="36">
        <v>0</v>
      </c>
      <c r="P62" s="32"/>
      <c r="Q62" s="325">
        <f>'AVT101'!BI17</f>
        <v>0</v>
      </c>
      <c r="R62" s="32"/>
      <c r="S62" s="32"/>
      <c r="T62" s="32"/>
      <c r="U62" s="32"/>
      <c r="V62" s="32"/>
      <c r="W62" s="32"/>
      <c r="X62" s="32"/>
      <c r="Y62" s="32"/>
      <c r="Z62" s="32"/>
      <c r="AA62" s="325">
        <f>'AVT101(vn-A)'!BI17</f>
        <v>0</v>
      </c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5">
        <f>'AVT-celny-101+187'!BI17</f>
        <v>0</v>
      </c>
      <c r="AP62" s="32"/>
      <c r="AQ62" s="32"/>
      <c r="AR62" s="32"/>
      <c r="AS62" s="32"/>
      <c r="AT62" s="32"/>
      <c r="AU62" s="32"/>
      <c r="AV62" s="32"/>
      <c r="AW62" s="325">
        <f>'potr-v101+187'!BI17</f>
        <v>0</v>
      </c>
      <c r="AX62" s="32"/>
      <c r="AY62" s="325">
        <f>'potr-v101+187-IL'!BI17</f>
        <v>0</v>
      </c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165"/>
      <c r="BP62" s="165"/>
      <c r="BQ62" s="165"/>
      <c r="BR62" s="165"/>
      <c r="BS62" s="165"/>
      <c r="BT62" s="165"/>
      <c r="BU62" s="165"/>
      <c r="BV62" s="55"/>
      <c r="BW62" s="160"/>
      <c r="BX62" s="32"/>
      <c r="BY62" s="24"/>
      <c r="BZ62" s="24"/>
      <c r="CA62" s="24"/>
      <c r="CB62" s="24"/>
      <c r="CC62" s="24"/>
      <c r="CD62" s="24"/>
      <c r="CE62" s="24"/>
    </row>
    <row r="63" spans="1:83" ht="15" hidden="1" customHeight="1">
      <c r="A63" s="4"/>
      <c r="B63" s="317">
        <f>IF($Q$8=$Q$7,CENY!B92,IF($Q$7=$Q$9,CENY!B110,CENY!B128))</f>
        <v>9255021</v>
      </c>
      <c r="C63" s="43" t="str">
        <f>VLOOKUP(B63,CENY!$B$11:$G$1054,2,FALSE)</f>
        <v>AvanY-bok pravý /v101/h550/ strieborná</v>
      </c>
      <c r="D63" s="353">
        <f>VLOOKUP(B63,CENY!$B$11:$G$1054,3,FALSE)</f>
        <v>20</v>
      </c>
      <c r="E63" s="56" t="str">
        <f>IF(VLOOKUP(B63,CENY!$B$11:$G$1054,4,FALSE)=0,"",VLOOKUP(B63,CENY!$B$11:$G$1054,4,FALSE))</f>
        <v/>
      </c>
      <c r="F63" s="40" t="str">
        <f t="shared" si="6"/>
        <v/>
      </c>
      <c r="G63" s="52">
        <f>VLOOKUP(B63,CENY!$B$11:$M$1054,12,FALSE)</f>
        <v>11.052530000000001</v>
      </c>
      <c r="H63" s="54" t="str">
        <f t="shared" si="0"/>
        <v xml:space="preserve"> EUR</v>
      </c>
      <c r="I63" s="41" t="str">
        <f t="shared" si="1"/>
        <v/>
      </c>
      <c r="J63" s="122"/>
      <c r="K63" s="42" t="str">
        <f>VLOOKUP(B63,CENY!$B$11:$M$1054,8,FALSE)</f>
        <v xml:space="preserve"> </v>
      </c>
      <c r="L63" s="42" t="str">
        <f>VLOOKUP(B63,CENY!$B$11:$M$1054,9,FALSE)</f>
        <v>396674</v>
      </c>
      <c r="M63" s="32"/>
      <c r="N63" s="35">
        <f t="shared" si="7"/>
        <v>0</v>
      </c>
      <c r="O63" s="36">
        <v>0</v>
      </c>
      <c r="P63" s="32"/>
      <c r="Q63" s="325">
        <f>'AVT101'!BI18</f>
        <v>0</v>
      </c>
      <c r="R63" s="32"/>
      <c r="S63" s="32"/>
      <c r="T63" s="32"/>
      <c r="U63" s="32"/>
      <c r="V63" s="32"/>
      <c r="W63" s="32"/>
      <c r="X63" s="32"/>
      <c r="Y63" s="32"/>
      <c r="Z63" s="32"/>
      <c r="AA63" s="325">
        <f>'AVT101(vn-A)'!BI18</f>
        <v>0</v>
      </c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5">
        <f>'AVT-celny-101+187'!BI18</f>
        <v>0</v>
      </c>
      <c r="AP63" s="32"/>
      <c r="AQ63" s="32"/>
      <c r="AR63" s="32"/>
      <c r="AS63" s="32"/>
      <c r="AT63" s="32"/>
      <c r="AU63" s="32"/>
      <c r="AV63" s="32"/>
      <c r="AW63" s="325">
        <f>'potr-v101+187'!BI18</f>
        <v>0</v>
      </c>
      <c r="AX63" s="32"/>
      <c r="AY63" s="325">
        <f>'potr-v101+187-IL'!BI18</f>
        <v>0</v>
      </c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165"/>
      <c r="BP63" s="165"/>
      <c r="BQ63" s="165"/>
      <c r="BR63" s="165"/>
      <c r="BS63" s="165"/>
      <c r="BT63" s="165"/>
      <c r="BU63" s="165"/>
      <c r="BV63" s="55"/>
      <c r="BW63" s="160"/>
      <c r="BX63" s="32"/>
      <c r="BY63" s="24"/>
      <c r="BZ63" s="24"/>
      <c r="CA63" s="24"/>
      <c r="CB63" s="24"/>
      <c r="CC63" s="24"/>
      <c r="CD63" s="24"/>
      <c r="CE63" s="24"/>
    </row>
    <row r="64" spans="1:83" ht="15" hidden="1" customHeight="1">
      <c r="A64" s="4"/>
      <c r="B64" s="317">
        <f>IF($Q$8=$Q$7,CENY!B93,IF($Q$7=$Q$9,CENY!B111,CENY!B129))</f>
        <v>9255022</v>
      </c>
      <c r="C64" s="43" t="str">
        <f>VLOOKUP(B64,CENY!$B$11:$G$1054,2,FALSE)</f>
        <v>AvanY-bok ľavý /v101/h600/ strieborná</v>
      </c>
      <c r="D64" s="353">
        <f>VLOOKUP(B64,CENY!$B$11:$G$1054,3,FALSE)</f>
        <v>20</v>
      </c>
      <c r="E64" s="56" t="str">
        <f>IF(VLOOKUP(B64,CENY!$B$11:$G$1054,4,FALSE)=0,"",VLOOKUP(B64,CENY!$B$11:$G$1054,4,FALSE))</f>
        <v/>
      </c>
      <c r="F64" s="40" t="str">
        <f t="shared" si="6"/>
        <v/>
      </c>
      <c r="G64" s="52">
        <f>VLOOKUP(B64,CENY!$B$11:$M$1054,12,FALSE)</f>
        <v>11.33343</v>
      </c>
      <c r="H64" s="54" t="str">
        <f t="shared" si="0"/>
        <v xml:space="preserve"> EUR</v>
      </c>
      <c r="I64" s="41" t="str">
        <f t="shared" si="1"/>
        <v/>
      </c>
      <c r="J64" s="122"/>
      <c r="K64" s="42" t="str">
        <f>VLOOKUP(B64,CENY!$B$11:$M$1054,8,FALSE)</f>
        <v xml:space="preserve"> </v>
      </c>
      <c r="L64" s="42" t="str">
        <f>VLOOKUP(B64,CENY!$B$11:$M$1054,9,FALSE)</f>
        <v>396675</v>
      </c>
      <c r="M64" s="32"/>
      <c r="N64" s="35">
        <f t="shared" si="7"/>
        <v>0</v>
      </c>
      <c r="O64" s="36">
        <v>0</v>
      </c>
      <c r="P64" s="32"/>
      <c r="Q64" s="325">
        <f>'AVT101'!BI19</f>
        <v>0</v>
      </c>
      <c r="R64" s="32"/>
      <c r="S64" s="32"/>
      <c r="T64" s="32"/>
      <c r="U64" s="32"/>
      <c r="V64" s="32"/>
      <c r="W64" s="32"/>
      <c r="X64" s="32"/>
      <c r="Y64" s="32"/>
      <c r="Z64" s="32"/>
      <c r="AA64" s="325">
        <f>'AVT101(vn-A)'!BI19</f>
        <v>0</v>
      </c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5">
        <f>'AVT-celny-101+187'!BI19</f>
        <v>0</v>
      </c>
      <c r="AP64" s="32"/>
      <c r="AQ64" s="32"/>
      <c r="AR64" s="32"/>
      <c r="AS64" s="32"/>
      <c r="AT64" s="32"/>
      <c r="AU64" s="32"/>
      <c r="AV64" s="32"/>
      <c r="AW64" s="325">
        <f>'potr-v101+187'!BI19</f>
        <v>0</v>
      </c>
      <c r="AX64" s="32"/>
      <c r="AY64" s="325">
        <f>'potr-v101+187-IL'!BI19</f>
        <v>0</v>
      </c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165"/>
      <c r="BP64" s="165"/>
      <c r="BQ64" s="165"/>
      <c r="BR64" s="165"/>
      <c r="BS64" s="165"/>
      <c r="BT64" s="165"/>
      <c r="BU64" s="165"/>
      <c r="BV64" s="55"/>
      <c r="BW64" s="160"/>
      <c r="BX64" s="32"/>
      <c r="BY64" s="24"/>
      <c r="BZ64" s="24"/>
      <c r="CA64" s="24"/>
      <c r="CB64" s="24"/>
      <c r="CC64" s="24"/>
      <c r="CD64" s="24"/>
      <c r="CE64" s="24"/>
    </row>
    <row r="65" spans="1:83" ht="15" hidden="1" customHeight="1">
      <c r="A65" s="4"/>
      <c r="B65" s="317">
        <f>IF($Q$8=$Q$7,CENY!B94,IF($Q$7=$Q$9,CENY!B112,CENY!B130))</f>
        <v>9255023</v>
      </c>
      <c r="C65" s="43" t="str">
        <f>VLOOKUP(B65,CENY!$B$11:$G$1054,2,FALSE)</f>
        <v>AvanY-bok pravý /v101/h600/ strieborná</v>
      </c>
      <c r="D65" s="353">
        <f>VLOOKUP(B65,CENY!$B$11:$G$1054,3,FALSE)</f>
        <v>20</v>
      </c>
      <c r="E65" s="56" t="str">
        <f>IF(VLOOKUP(B65,CENY!$B$11:$G$1054,4,FALSE)=0,"",VLOOKUP(B65,CENY!$B$11:$G$1054,4,FALSE))</f>
        <v/>
      </c>
      <c r="F65" s="40" t="str">
        <f t="shared" si="6"/>
        <v/>
      </c>
      <c r="G65" s="52">
        <f>VLOOKUP(B65,CENY!$B$11:$M$1054,12,FALSE)</f>
        <v>11.33343</v>
      </c>
      <c r="H65" s="54" t="str">
        <f t="shared" si="0"/>
        <v xml:space="preserve"> EUR</v>
      </c>
      <c r="I65" s="41" t="str">
        <f t="shared" si="1"/>
        <v/>
      </c>
      <c r="J65" s="122"/>
      <c r="K65" s="42" t="str">
        <f>VLOOKUP(B65,CENY!$B$11:$M$1054,8,FALSE)</f>
        <v xml:space="preserve"> </v>
      </c>
      <c r="L65" s="42" t="str">
        <f>VLOOKUP(B65,CENY!$B$11:$M$1054,9,FALSE)</f>
        <v>396676</v>
      </c>
      <c r="M65" s="32"/>
      <c r="N65" s="35">
        <f t="shared" si="7"/>
        <v>0</v>
      </c>
      <c r="O65" s="36">
        <v>0</v>
      </c>
      <c r="P65" s="32"/>
      <c r="Q65" s="325">
        <f>'AVT101'!BI20</f>
        <v>0</v>
      </c>
      <c r="R65" s="32"/>
      <c r="S65" s="32"/>
      <c r="T65" s="32"/>
      <c r="U65" s="32"/>
      <c r="V65" s="32"/>
      <c r="W65" s="32"/>
      <c r="X65" s="32"/>
      <c r="Y65" s="32"/>
      <c r="Z65" s="32"/>
      <c r="AA65" s="325">
        <f>'AVT101(vn-A)'!BI20</f>
        <v>0</v>
      </c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5">
        <f>'AVT-celny-101+187'!BI20</f>
        <v>0</v>
      </c>
      <c r="AP65" s="32"/>
      <c r="AQ65" s="32"/>
      <c r="AR65" s="32"/>
      <c r="AS65" s="32"/>
      <c r="AT65" s="32"/>
      <c r="AU65" s="32"/>
      <c r="AV65" s="32"/>
      <c r="AW65" s="325">
        <f>'potr-v101+187'!BI20</f>
        <v>0</v>
      </c>
      <c r="AX65" s="32"/>
      <c r="AY65" s="325">
        <f>'potr-v101+187-IL'!BI20</f>
        <v>0</v>
      </c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165"/>
      <c r="BP65" s="165"/>
      <c r="BQ65" s="165"/>
      <c r="BR65" s="165"/>
      <c r="BS65" s="165"/>
      <c r="BT65" s="165"/>
      <c r="BU65" s="165"/>
      <c r="BV65" s="55"/>
      <c r="BW65" s="160"/>
      <c r="BX65" s="32"/>
      <c r="BY65" s="24"/>
      <c r="BZ65" s="24"/>
      <c r="CA65" s="24"/>
      <c r="CB65" s="24"/>
      <c r="CC65" s="24"/>
      <c r="CD65" s="24"/>
      <c r="CE65" s="24"/>
    </row>
    <row r="66" spans="1:83" ht="15" hidden="1" customHeight="1">
      <c r="A66" s="4"/>
      <c r="B66" s="317">
        <f>IF($Q$8=$Q$7,CENY!B95,IF($Q$7=$Q$9,CENY!B113,CENY!B131))</f>
        <v>9255024</v>
      </c>
      <c r="C66" s="43" t="str">
        <f>VLOOKUP(B66,CENY!$B$11:$G$1054,2,FALSE)</f>
        <v>AvanY-bok ľavý /v101/h650/ strieborná</v>
      </c>
      <c r="D66" s="353">
        <f>VLOOKUP(B66,CENY!$B$11:$G$1054,3,FALSE)</f>
        <v>20</v>
      </c>
      <c r="E66" s="56" t="str">
        <f>IF(VLOOKUP(B66,CENY!$B$11:$G$1054,4,FALSE)=0,"",VLOOKUP(B66,CENY!$B$11:$G$1054,4,FALSE))</f>
        <v/>
      </c>
      <c r="F66" s="40" t="str">
        <f t="shared" si="6"/>
        <v/>
      </c>
      <c r="G66" s="52">
        <f>VLOOKUP(B66,CENY!$B$11:$M$1054,12,FALSE)</f>
        <v>11.715400000000001</v>
      </c>
      <c r="H66" s="54" t="str">
        <f t="shared" si="0"/>
        <v xml:space="preserve"> EUR</v>
      </c>
      <c r="I66" s="41" t="str">
        <f t="shared" si="1"/>
        <v/>
      </c>
      <c r="J66" s="122"/>
      <c r="K66" s="42" t="str">
        <f>VLOOKUP(B66,CENY!$B$11:$M$1054,8,FALSE)</f>
        <v xml:space="preserve"> </v>
      </c>
      <c r="L66" s="42" t="str">
        <f>VLOOKUP(B66,CENY!$B$11:$M$1054,9,FALSE)</f>
        <v>396677</v>
      </c>
      <c r="M66" s="32"/>
      <c r="N66" s="35">
        <f t="shared" si="7"/>
        <v>0</v>
      </c>
      <c r="O66" s="36">
        <v>0</v>
      </c>
      <c r="P66" s="32"/>
      <c r="Q66" s="325">
        <f>'AVT101'!BI21</f>
        <v>0</v>
      </c>
      <c r="R66" s="32"/>
      <c r="S66" s="32"/>
      <c r="T66" s="32"/>
      <c r="U66" s="32"/>
      <c r="V66" s="32"/>
      <c r="W66" s="32"/>
      <c r="X66" s="32"/>
      <c r="Y66" s="32"/>
      <c r="Z66" s="32"/>
      <c r="AA66" s="325">
        <f>'AVT101(vn-A)'!BI21</f>
        <v>0</v>
      </c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5">
        <f>'AVT-celny-101+187'!BI21</f>
        <v>0</v>
      </c>
      <c r="AP66" s="32"/>
      <c r="AQ66" s="32"/>
      <c r="AR66" s="32"/>
      <c r="AS66" s="32"/>
      <c r="AT66" s="32"/>
      <c r="AU66" s="32"/>
      <c r="AV66" s="32"/>
      <c r="AW66" s="325">
        <f>'potr-v101+187'!BI21</f>
        <v>0</v>
      </c>
      <c r="AX66" s="32"/>
      <c r="AY66" s="325">
        <f>'potr-v101+187-IL'!BI21</f>
        <v>0</v>
      </c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165"/>
      <c r="BP66" s="165"/>
      <c r="BQ66" s="165"/>
      <c r="BR66" s="165"/>
      <c r="BS66" s="165"/>
      <c r="BT66" s="165"/>
      <c r="BU66" s="165"/>
      <c r="BV66" s="55"/>
      <c r="BW66" s="160"/>
      <c r="BX66" s="32"/>
      <c r="BY66" s="24"/>
      <c r="BZ66" s="24"/>
      <c r="CA66" s="24"/>
      <c r="CB66" s="24"/>
      <c r="CC66" s="24"/>
      <c r="CD66" s="24"/>
      <c r="CE66" s="24"/>
    </row>
    <row r="67" spans="1:83" ht="15" hidden="1" customHeight="1">
      <c r="A67" s="4"/>
      <c r="B67" s="317">
        <f>IF($Q$8=$Q$7,CENY!B96,IF($Q$7=$Q$9,CENY!B114,CENY!B132))</f>
        <v>9255025</v>
      </c>
      <c r="C67" s="43" t="str">
        <f>VLOOKUP(B67,CENY!$B$11:$G$1054,2,FALSE)</f>
        <v>AvanY-bok pravý /v101/h650/ strieborná</v>
      </c>
      <c r="D67" s="353">
        <f>VLOOKUP(B67,CENY!$B$11:$G$1054,3,FALSE)</f>
        <v>20</v>
      </c>
      <c r="E67" s="56" t="str">
        <f>IF(VLOOKUP(B67,CENY!$B$11:$G$1054,4,FALSE)=0,"",VLOOKUP(B67,CENY!$B$11:$G$1054,4,FALSE))</f>
        <v/>
      </c>
      <c r="F67" s="40" t="str">
        <f t="shared" si="6"/>
        <v/>
      </c>
      <c r="G67" s="52">
        <f>VLOOKUP(B67,CENY!$B$11:$M$1054,12,FALSE)</f>
        <v>11.715400000000001</v>
      </c>
      <c r="H67" s="54" t="str">
        <f t="shared" si="0"/>
        <v xml:space="preserve"> EUR</v>
      </c>
      <c r="I67" s="41" t="str">
        <f t="shared" si="1"/>
        <v/>
      </c>
      <c r="J67" s="122"/>
      <c r="K67" s="42" t="str">
        <f>VLOOKUP(B67,CENY!$B$11:$M$1054,8,FALSE)</f>
        <v xml:space="preserve"> </v>
      </c>
      <c r="L67" s="42" t="str">
        <f>VLOOKUP(B67,CENY!$B$11:$M$1054,9,FALSE)</f>
        <v>396678</v>
      </c>
      <c r="M67" s="32"/>
      <c r="N67" s="35">
        <f t="shared" si="7"/>
        <v>0</v>
      </c>
      <c r="O67" s="36">
        <v>0</v>
      </c>
      <c r="P67" s="32"/>
      <c r="Q67" s="325">
        <f>'AVT101'!BI22</f>
        <v>0</v>
      </c>
      <c r="R67" s="32"/>
      <c r="S67" s="32"/>
      <c r="T67" s="32"/>
      <c r="U67" s="32"/>
      <c r="V67" s="32"/>
      <c r="W67" s="32"/>
      <c r="X67" s="32"/>
      <c r="Y67" s="32"/>
      <c r="Z67" s="32"/>
      <c r="AA67" s="325">
        <f>'AVT101(vn-A)'!BI22</f>
        <v>0</v>
      </c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5">
        <f>'AVT-celny-101+187'!BI22</f>
        <v>0</v>
      </c>
      <c r="AP67" s="32"/>
      <c r="AQ67" s="32"/>
      <c r="AR67" s="32"/>
      <c r="AS67" s="32"/>
      <c r="AT67" s="32"/>
      <c r="AU67" s="32"/>
      <c r="AV67" s="32"/>
      <c r="AW67" s="325">
        <f>'potr-v101+187'!BI22</f>
        <v>0</v>
      </c>
      <c r="AX67" s="32"/>
      <c r="AY67" s="325">
        <f>'potr-v101+187-IL'!BI22</f>
        <v>0</v>
      </c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165"/>
      <c r="BP67" s="165"/>
      <c r="BQ67" s="165"/>
      <c r="BR67" s="165"/>
      <c r="BS67" s="165"/>
      <c r="BT67" s="165"/>
      <c r="BU67" s="165"/>
      <c r="BV67" s="55"/>
      <c r="BW67" s="160"/>
      <c r="BX67" s="32"/>
      <c r="BY67" s="24"/>
      <c r="BZ67" s="24"/>
      <c r="CA67" s="24"/>
      <c r="CB67" s="24"/>
      <c r="CC67" s="24"/>
      <c r="CD67" s="24"/>
      <c r="CE67" s="24"/>
    </row>
    <row r="68" spans="1:83" ht="15" hidden="1" customHeight="1">
      <c r="A68" s="4"/>
      <c r="B68" s="317">
        <f>CENY!B160</f>
        <v>9255835</v>
      </c>
      <c r="C68" s="43" t="str">
        <f>VLOOKUP(B68,CENY!$B$11:$G$1054,2,FALSE)</f>
        <v>AvanY-príchytka čela k naskrutk./ v101</v>
      </c>
      <c r="D68" s="353">
        <f>VLOOKUP(B68,CENY!$B$11:$G$1054,3,FALSE)</f>
        <v>200</v>
      </c>
      <c r="E68" s="56" t="str">
        <f>IF(VLOOKUP(B68,CENY!$B$11:$G$1054,4,FALSE)=0,"",VLOOKUP(B68,CENY!$B$11:$G$1054,4,FALSE))</f>
        <v/>
      </c>
      <c r="F68" s="40" t="str">
        <f>IF(J68&lt;&gt;"",J68,IF(N68=0,"",IF(B68=B69,"",N68)))</f>
        <v/>
      </c>
      <c r="G68" s="52">
        <f>VLOOKUP(B68,CENY!$B$11:$M$1054,12,FALSE)</f>
        <v>1.1621999999999999</v>
      </c>
      <c r="H68" s="54" t="str">
        <f>IF(G68="","",$H$22)</f>
        <v xml:space="preserve"> EUR</v>
      </c>
      <c r="I68" s="41" t="str">
        <f>IF(F68="","",G68*F68)</f>
        <v/>
      </c>
      <c r="J68" s="122"/>
      <c r="K68" s="42" t="str">
        <f>VLOOKUP(B68,CENY!$B$11:$M$1054,8,FALSE)</f>
        <v xml:space="preserve"> </v>
      </c>
      <c r="L68" s="42" t="str">
        <f>VLOOKUP(B68,CENY!$B$11:$M$1054,9,FALSE)</f>
        <v>396715</v>
      </c>
      <c r="M68" s="32"/>
      <c r="N68" s="35">
        <f t="shared" si="7"/>
        <v>0</v>
      </c>
      <c r="O68" s="36">
        <v>0</v>
      </c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5">
        <f>'AVT101(vn-A)'!BI24</f>
        <v>0</v>
      </c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5">
        <f>'potr-v101+187'!BI37</f>
        <v>0</v>
      </c>
      <c r="AX68" s="32"/>
      <c r="AY68" s="325">
        <f>'potr-v101+187-IL'!BI37</f>
        <v>0</v>
      </c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165"/>
      <c r="BP68" s="165"/>
      <c r="BQ68" s="165"/>
      <c r="BR68" s="165"/>
      <c r="BS68" s="165"/>
      <c r="BT68" s="165"/>
      <c r="BU68" s="165"/>
      <c r="BV68" s="55"/>
      <c r="BW68" s="160"/>
      <c r="BX68" s="32"/>
      <c r="BY68" s="24"/>
      <c r="BZ68" s="24"/>
      <c r="CA68" s="24"/>
      <c r="CB68" s="24"/>
      <c r="CC68" s="24"/>
      <c r="CD68" s="24"/>
      <c r="CE68" s="24"/>
    </row>
    <row r="69" spans="1:83" ht="15" hidden="1" customHeight="1">
      <c r="A69" s="4"/>
      <c r="B69" s="317">
        <f>IF($T$7=$T$8,CENY!B160,CENY!B161)</f>
        <v>9255835</v>
      </c>
      <c r="C69" s="43" t="str">
        <f>VLOOKUP(B69,CENY!$B$11:$G$1054,2,FALSE)</f>
        <v>AvanY-príchytka čela k naskrutk./ v101</v>
      </c>
      <c r="D69" s="353">
        <f>VLOOKUP(B69,CENY!$B$11:$G$1054,3,FALSE)</f>
        <v>200</v>
      </c>
      <c r="E69" s="56" t="str">
        <f>IF(VLOOKUP(B69,CENY!$B$11:$G$1054,4,FALSE)=0,"",VLOOKUP(B69,CENY!$B$11:$G$1054,4,FALSE))</f>
        <v/>
      </c>
      <c r="F69" s="40" t="str">
        <f>IF(J69&lt;&gt;"",J69,IF(B68=B69,IF(N69+N68=0,"",N69+N68),IF(N69=0,"",N69)))</f>
        <v/>
      </c>
      <c r="G69" s="52">
        <f>VLOOKUP(B69,CENY!$B$11:$M$1054,12,FALSE)</f>
        <v>1.1621999999999999</v>
      </c>
      <c r="H69" s="54" t="str">
        <f t="shared" si="0"/>
        <v xml:space="preserve"> EUR</v>
      </c>
      <c r="I69" s="41" t="str">
        <f t="shared" si="1"/>
        <v/>
      </c>
      <c r="J69" s="122"/>
      <c r="K69" s="42" t="str">
        <f>VLOOKUP(B69,CENY!$B$11:$M$1054,8,FALSE)</f>
        <v xml:space="preserve"> </v>
      </c>
      <c r="L69" s="42" t="str">
        <f>VLOOKUP(B69,CENY!$B$11:$M$1054,9,FALSE)</f>
        <v>396715</v>
      </c>
      <c r="M69" s="32"/>
      <c r="N69" s="35">
        <f t="shared" si="7"/>
        <v>0</v>
      </c>
      <c r="O69" s="36">
        <v>0</v>
      </c>
      <c r="P69" s="325">
        <f>'AVT101'!AZ78</f>
        <v>0</v>
      </c>
      <c r="Q69" s="325">
        <f>'AVT101'!BI24</f>
        <v>0</v>
      </c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5">
        <f>'AVT-celny-101+187'!AZ59</f>
        <v>0</v>
      </c>
      <c r="AO69" s="325">
        <f>'AVT-celny-101+187'!BI43</f>
        <v>0</v>
      </c>
      <c r="AP69" s="32"/>
      <c r="AQ69" s="32"/>
      <c r="AR69" s="32"/>
      <c r="AS69" s="32"/>
      <c r="AT69" s="32"/>
      <c r="AU69" s="32"/>
      <c r="AV69" s="325">
        <f>'potr-v101+187'!AZ84</f>
        <v>0</v>
      </c>
      <c r="AW69" s="325">
        <f>'potr-v101+187'!BI35</f>
        <v>0</v>
      </c>
      <c r="AX69" s="325">
        <f>'potr-v101+187-IL'!AZ84</f>
        <v>0</v>
      </c>
      <c r="AY69" s="325">
        <f>'potr-v101+187-IL'!BI35</f>
        <v>0</v>
      </c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165"/>
      <c r="BP69" s="165"/>
      <c r="BQ69" s="165"/>
      <c r="BR69" s="165"/>
      <c r="BS69" s="165"/>
      <c r="BT69" s="165"/>
      <c r="BU69" s="165"/>
      <c r="BV69" s="55"/>
      <c r="BW69" s="160"/>
      <c r="BX69" s="32"/>
      <c r="BY69" s="24"/>
      <c r="BZ69" s="24"/>
      <c r="CA69" s="24"/>
      <c r="CB69" s="24"/>
      <c r="CC69" s="24"/>
      <c r="CD69" s="24"/>
      <c r="CE69" s="24"/>
    </row>
    <row r="70" spans="1:83" ht="8.1" hidden="1" customHeight="1">
      <c r="A70" s="4"/>
      <c r="B70" s="317"/>
      <c r="C70" s="43"/>
      <c r="D70" s="39"/>
      <c r="E70" s="56"/>
      <c r="F70" s="40"/>
      <c r="G70" s="52"/>
      <c r="H70" s="54"/>
      <c r="I70" s="41"/>
      <c r="J70" s="122"/>
      <c r="K70" s="42"/>
      <c r="L70" s="42"/>
      <c r="M70" s="32"/>
      <c r="N70" s="35"/>
      <c r="O70" s="36">
        <v>0</v>
      </c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165"/>
      <c r="BP70" s="165"/>
      <c r="BQ70" s="165"/>
      <c r="BR70" s="165"/>
      <c r="BS70" s="165"/>
      <c r="BT70" s="165"/>
      <c r="BU70" s="165"/>
      <c r="BV70" s="55"/>
      <c r="BW70" s="160"/>
      <c r="BX70" s="32"/>
      <c r="BY70" s="24"/>
      <c r="BZ70" s="24"/>
      <c r="CA70" s="24"/>
      <c r="CB70" s="24"/>
      <c r="CC70" s="24"/>
      <c r="CD70" s="24"/>
      <c r="CE70" s="24"/>
    </row>
    <row r="71" spans="1:83" ht="15" hidden="1" customHeight="1">
      <c r="A71" s="4"/>
      <c r="B71" s="317">
        <f>IF($AA$7=$AA$8,CENY!B133,IF($AA$7=$AA$9,CENY!B142,IF($AA$7=$AA$10,CENY!B151,IF($AA$7=$AA$11,CENY!B510,IF($AA$7=$AA$12,CENY!B519,IF($AA$7=$AA$13,CENY!B528,IF($AA$7=$AA$14,CENY!B537,CENY!B546)))))))</f>
        <v>9347502</v>
      </c>
      <c r="C71" s="43" t="str">
        <f>VLOOKUP(B71,CENY!$B$11:$G$1054,2,FALSE)</f>
        <v>AvanY-design ALprofil Hybrid na bok 270/ strieb.</v>
      </c>
      <c r="D71" s="353">
        <f>VLOOKUP(B71,CENY!$B$11:$G$1054,3,FALSE)</f>
        <v>200</v>
      </c>
      <c r="E71" s="56" t="str">
        <f>IF(VLOOKUP(B71,CENY!$B$11:$G$1054,4,FALSE)=0,"",VLOOKUP(B71,CENY!$B$11:$G$1054,4,FALSE))</f>
        <v/>
      </c>
      <c r="F71" s="40" t="str">
        <f t="shared" ref="F71:F79" si="8">IF(J71&lt;&gt;"",J71,IF(N71=0,"",N71))</f>
        <v/>
      </c>
      <c r="G71" s="52">
        <f>VLOOKUP(B71,CENY!$B$11:$M$1054,12,FALSE)</f>
        <v>0.95189000000000001</v>
      </c>
      <c r="H71" s="54" t="str">
        <f t="shared" si="0"/>
        <v xml:space="preserve"> EUR</v>
      </c>
      <c r="I71" s="41" t="str">
        <f t="shared" si="1"/>
        <v/>
      </c>
      <c r="J71" s="122"/>
      <c r="K71" s="42" t="str">
        <f>VLOOKUP(B71,CENY!$B$11:$M$1054,8,FALSE)</f>
        <v xml:space="preserve"> </v>
      </c>
      <c r="L71" s="42" t="str">
        <f>VLOOKUP(B71,CENY!$B$11:$M$1054,9,FALSE)</f>
        <v>532174</v>
      </c>
      <c r="M71" s="32"/>
      <c r="N71" s="35">
        <f t="shared" ref="N71:N79" si="9">SUM(P71:BW71)</f>
        <v>0</v>
      </c>
      <c r="O71" s="36">
        <v>0</v>
      </c>
      <c r="P71" s="325">
        <f>'AVT101'!AZ15</f>
        <v>0</v>
      </c>
      <c r="Q71" s="325">
        <f>'AVT101'!BI27</f>
        <v>0</v>
      </c>
      <c r="R71" s="32"/>
      <c r="S71" s="32"/>
      <c r="T71" s="325">
        <f>'AVT187'!AZ15</f>
        <v>0</v>
      </c>
      <c r="U71" s="325">
        <f>'AVT187'!BI27</f>
        <v>0</v>
      </c>
      <c r="V71" s="32"/>
      <c r="W71" s="32"/>
      <c r="X71" s="32"/>
      <c r="Y71" s="32"/>
      <c r="Z71" s="325">
        <f>'AVT101(vn-A)'!AZ15</f>
        <v>0</v>
      </c>
      <c r="AA71" s="325">
        <f>'AVT101(vn-A)'!BI27</f>
        <v>0</v>
      </c>
      <c r="AB71" s="32"/>
      <c r="AC71" s="32"/>
      <c r="AD71" s="325">
        <f>'AVT187(vn-A)'!AZ15</f>
        <v>0</v>
      </c>
      <c r="AE71" s="325">
        <f>'AVT187(vn-A)'!BI27</f>
        <v>0</v>
      </c>
      <c r="AF71" s="32"/>
      <c r="AG71" s="32"/>
      <c r="AH71" s="325">
        <f>'AVT187(vn-S)'!AZ15</f>
        <v>0</v>
      </c>
      <c r="AI71" s="325">
        <f>'AVT187(vn-S)'!BI27</f>
        <v>0</v>
      </c>
      <c r="AJ71" s="32"/>
      <c r="AK71" s="32"/>
      <c r="AL71" s="32"/>
      <c r="AM71" s="32"/>
      <c r="AN71" s="325">
        <f>'AVT-celny-101+187'!AZ25</f>
        <v>0</v>
      </c>
      <c r="AO71" s="325">
        <f>'AVT-celny-101+187'!BI47</f>
        <v>0</v>
      </c>
      <c r="AP71" s="32"/>
      <c r="AQ71" s="32"/>
      <c r="AR71" s="325">
        <f>'AVT-celny-2x187'!AZ15</f>
        <v>0</v>
      </c>
      <c r="AS71" s="325">
        <f>'AVT-celny-2x187'!BI27</f>
        <v>0</v>
      </c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165"/>
      <c r="BP71" s="165"/>
      <c r="BQ71" s="165"/>
      <c r="BR71" s="165"/>
      <c r="BS71" s="165"/>
      <c r="BT71" s="165"/>
      <c r="BU71" s="165"/>
      <c r="BV71" s="55"/>
      <c r="BW71" s="160"/>
      <c r="BX71" s="32"/>
      <c r="BY71" s="24"/>
      <c r="BZ71" s="24"/>
      <c r="CA71" s="24"/>
      <c r="CB71" s="24"/>
      <c r="CC71" s="24"/>
      <c r="CD71" s="24"/>
      <c r="CE71" s="24"/>
    </row>
    <row r="72" spans="1:83" ht="15" hidden="1" customHeight="1">
      <c r="A72" s="4"/>
      <c r="B72" s="317">
        <f>IF($AA$7=$AA$8,CENY!B134,IF($AA$7=$AA$9,CENY!B143,IF($AA$7=$AA$10,CENY!B152,IF($AA$7=$AA$11,CENY!B511,IF($AA$7=$AA$12,CENY!B520,IF($AA$7=$AA$13,CENY!B529,IF($AA$7=$AA$14,CENY!B538,CENY!B547)))))))</f>
        <v>9347503</v>
      </c>
      <c r="C72" s="43" t="str">
        <f>VLOOKUP(B72,CENY!$B$11:$G$1054,2,FALSE)</f>
        <v>AvanY-design ALprofil Hybrid na bok 300/ strieb.</v>
      </c>
      <c r="D72" s="353">
        <f>VLOOKUP(B72,CENY!$B$11:$G$1054,3,FALSE)</f>
        <v>200</v>
      </c>
      <c r="E72" s="56" t="str">
        <f>IF(VLOOKUP(B72,CENY!$B$11:$G$1054,4,FALSE)=0,"",VLOOKUP(B72,CENY!$B$11:$G$1054,4,FALSE))</f>
        <v/>
      </c>
      <c r="F72" s="40" t="str">
        <f t="shared" si="8"/>
        <v/>
      </c>
      <c r="G72" s="52">
        <f>VLOOKUP(B72,CENY!$B$11:$M$1054,12,FALSE)</f>
        <v>0.96240999999999999</v>
      </c>
      <c r="H72" s="54" t="str">
        <f t="shared" si="0"/>
        <v xml:space="preserve"> EUR</v>
      </c>
      <c r="I72" s="41" t="str">
        <f t="shared" si="1"/>
        <v/>
      </c>
      <c r="J72" s="122"/>
      <c r="K72" s="42" t="str">
        <f>VLOOKUP(B72,CENY!$B$11:$M$1054,8,FALSE)</f>
        <v xml:space="preserve"> </v>
      </c>
      <c r="L72" s="42" t="str">
        <f>VLOOKUP(B72,CENY!$B$11:$M$1054,9,FALSE)</f>
        <v>532177</v>
      </c>
      <c r="M72" s="32"/>
      <c r="N72" s="35">
        <f t="shared" si="9"/>
        <v>0</v>
      </c>
      <c r="O72" s="36">
        <v>0</v>
      </c>
      <c r="P72" s="325">
        <f>'AVT101'!AZ16</f>
        <v>0</v>
      </c>
      <c r="Q72" s="325">
        <f>'AVT101'!BI28</f>
        <v>0</v>
      </c>
      <c r="R72" s="325">
        <f>'AVT139'!AZ16</f>
        <v>0</v>
      </c>
      <c r="S72" s="325">
        <f>'AVT139'!BI28</f>
        <v>0</v>
      </c>
      <c r="T72" s="325">
        <f>'AVT187'!AZ16</f>
        <v>0</v>
      </c>
      <c r="U72" s="325">
        <f>'AVT187'!BI28</f>
        <v>0</v>
      </c>
      <c r="V72" s="32"/>
      <c r="W72" s="32"/>
      <c r="X72" s="32"/>
      <c r="Y72" s="32"/>
      <c r="Z72" s="325">
        <f>'AVT101(vn-A)'!AZ16</f>
        <v>0</v>
      </c>
      <c r="AA72" s="325">
        <f>'AVT101(vn-A)'!BI28</f>
        <v>0</v>
      </c>
      <c r="AB72" s="325">
        <f>'AVT139(vn-A)'!AZ16</f>
        <v>0</v>
      </c>
      <c r="AC72" s="325">
        <f>'AVT139(vn-A)'!BI28</f>
        <v>0</v>
      </c>
      <c r="AD72" s="325">
        <f>'AVT187(vn-A)'!AZ16</f>
        <v>0</v>
      </c>
      <c r="AE72" s="325">
        <f>'AVT187(vn-A)'!BI28</f>
        <v>0</v>
      </c>
      <c r="AF72" s="32"/>
      <c r="AG72" s="32"/>
      <c r="AH72" s="325">
        <f>'AVT187(vn-S)'!AZ16</f>
        <v>0</v>
      </c>
      <c r="AI72" s="325">
        <f>'AVT187(vn-S)'!BI28</f>
        <v>0</v>
      </c>
      <c r="AJ72" s="32"/>
      <c r="AK72" s="32"/>
      <c r="AL72" s="32"/>
      <c r="AM72" s="32"/>
      <c r="AN72" s="325">
        <f>'AVT-celny-101+187'!AZ26</f>
        <v>0</v>
      </c>
      <c r="AO72" s="325">
        <f>'AVT-celny-101+187'!BI48</f>
        <v>0</v>
      </c>
      <c r="AP72" s="325">
        <f>'AVT-celny-139+187'!AZ21</f>
        <v>0</v>
      </c>
      <c r="AQ72" s="325">
        <f>'AVT-celny-139+187'!BI39</f>
        <v>0</v>
      </c>
      <c r="AR72" s="325">
        <f>'AVT-celny-2x187'!AZ16</f>
        <v>0</v>
      </c>
      <c r="AS72" s="325">
        <f>'AVT-celny-2x187'!BI28</f>
        <v>0</v>
      </c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165"/>
      <c r="BP72" s="165"/>
      <c r="BQ72" s="165"/>
      <c r="BR72" s="165"/>
      <c r="BS72" s="165"/>
      <c r="BT72" s="165"/>
      <c r="BU72" s="165"/>
      <c r="BV72" s="55"/>
      <c r="BW72" s="160"/>
      <c r="BX72" s="32"/>
      <c r="BY72" s="24"/>
      <c r="BZ72" s="24"/>
      <c r="CA72" s="24"/>
      <c r="CB72" s="24"/>
      <c r="CC72" s="24"/>
      <c r="CD72" s="24"/>
      <c r="CE72" s="24"/>
    </row>
    <row r="73" spans="1:83" ht="15" hidden="1" customHeight="1">
      <c r="A73" s="4"/>
      <c r="B73" s="317">
        <f>IF($AA$7=$AA$8,CENY!B135,IF($AA$7=$AA$9,CENY!B144,IF($AA$7=$AA$10,CENY!B153,IF($AA$7=$AA$11,CENY!B512,IF($AA$7=$AA$12,CENY!B521,IF($AA$7=$AA$13,CENY!B530,IF($AA$7=$AA$14,CENY!B539,CENY!B548)))))))</f>
        <v>9347504</v>
      </c>
      <c r="C73" s="43" t="str">
        <f>VLOOKUP(B73,CENY!$B$11:$G$1054,2,FALSE)</f>
        <v>AvanY-design ALprofil Hybrid na bok 350/ strieb.</v>
      </c>
      <c r="D73" s="353">
        <f>VLOOKUP(B73,CENY!$B$11:$G$1054,3,FALSE)</f>
        <v>200</v>
      </c>
      <c r="E73" s="56" t="str">
        <f>IF(VLOOKUP(B73,CENY!$B$11:$G$1054,4,FALSE)=0,"",VLOOKUP(B73,CENY!$B$11:$G$1054,4,FALSE))</f>
        <v/>
      </c>
      <c r="F73" s="40" t="str">
        <f t="shared" si="8"/>
        <v/>
      </c>
      <c r="G73" s="52">
        <f>VLOOKUP(B73,CENY!$B$11:$M$1054,12,FALSE)</f>
        <v>0.98018000000000005</v>
      </c>
      <c r="H73" s="54" t="str">
        <f t="shared" si="0"/>
        <v xml:space="preserve"> EUR</v>
      </c>
      <c r="I73" s="41" t="str">
        <f t="shared" si="1"/>
        <v/>
      </c>
      <c r="J73" s="122"/>
      <c r="K73" s="42" t="str">
        <f>VLOOKUP(B73,CENY!$B$11:$M$1054,8,FALSE)</f>
        <v xml:space="preserve"> </v>
      </c>
      <c r="L73" s="42" t="str">
        <f>VLOOKUP(B73,CENY!$B$11:$M$1054,9,FALSE)</f>
        <v>532180</v>
      </c>
      <c r="M73" s="32"/>
      <c r="N73" s="35">
        <f t="shared" si="9"/>
        <v>0</v>
      </c>
      <c r="O73" s="36">
        <v>0</v>
      </c>
      <c r="P73" s="325">
        <f>'AVT101'!AZ17</f>
        <v>0</v>
      </c>
      <c r="Q73" s="325">
        <f>'AVT101'!BI29</f>
        <v>0</v>
      </c>
      <c r="R73" s="325">
        <f>'AVT139'!AZ17</f>
        <v>0</v>
      </c>
      <c r="S73" s="325">
        <f>'AVT139'!BI29</f>
        <v>0</v>
      </c>
      <c r="T73" s="325">
        <f>'AVT187'!AZ17</f>
        <v>0</v>
      </c>
      <c r="U73" s="325">
        <f>'AVT187'!BI29</f>
        <v>0</v>
      </c>
      <c r="V73" s="325">
        <f>'AVT251'!AZ13</f>
        <v>0</v>
      </c>
      <c r="W73" s="325">
        <f>'AVT251'!BI24</f>
        <v>0</v>
      </c>
      <c r="X73" s="32"/>
      <c r="Y73" s="32"/>
      <c r="Z73" s="325">
        <f>'AVT101(vn-A)'!AZ17</f>
        <v>0</v>
      </c>
      <c r="AA73" s="325">
        <f>'AVT101(vn-A)'!BI29</f>
        <v>0</v>
      </c>
      <c r="AB73" s="325">
        <f>'AVT139(vn-A)'!AZ17</f>
        <v>0</v>
      </c>
      <c r="AC73" s="325">
        <f>'AVT139(vn-A)'!BI29</f>
        <v>0</v>
      </c>
      <c r="AD73" s="325">
        <f>'AVT187(vn-A)'!AZ17</f>
        <v>0</v>
      </c>
      <c r="AE73" s="325">
        <f>'AVT187(vn-A)'!BI29</f>
        <v>0</v>
      </c>
      <c r="AF73" s="32"/>
      <c r="AG73" s="32"/>
      <c r="AH73" s="325">
        <f>'AVT187(vn-S)'!AZ17</f>
        <v>0</v>
      </c>
      <c r="AI73" s="325">
        <f>'AVT187(vn-S)'!BI29</f>
        <v>0</v>
      </c>
      <c r="AJ73" s="32"/>
      <c r="AK73" s="32"/>
      <c r="AL73" s="32"/>
      <c r="AM73" s="32"/>
      <c r="AN73" s="325">
        <f>'AVT-celny-101+187'!AZ27</f>
        <v>0</v>
      </c>
      <c r="AO73" s="325">
        <f>'AVT-celny-101+187'!BI49</f>
        <v>0</v>
      </c>
      <c r="AP73" s="325">
        <f>'AVT-celny-139+187'!AZ22</f>
        <v>0</v>
      </c>
      <c r="AQ73" s="325">
        <f>'AVT-celny-139+187'!BI40</f>
        <v>0</v>
      </c>
      <c r="AR73" s="325">
        <f>'AVT-celny-2x187'!AZ17</f>
        <v>0</v>
      </c>
      <c r="AS73" s="325">
        <f>'AVT-celny-2x187'!BI29</f>
        <v>0</v>
      </c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165"/>
      <c r="BP73" s="165"/>
      <c r="BQ73" s="165"/>
      <c r="BR73" s="165"/>
      <c r="BS73" s="165"/>
      <c r="BT73" s="165"/>
      <c r="BU73" s="165"/>
      <c r="BV73" s="55"/>
      <c r="BW73" s="160"/>
      <c r="BX73" s="32"/>
      <c r="BY73" s="24"/>
      <c r="BZ73" s="24"/>
      <c r="CA73" s="24"/>
      <c r="CB73" s="24"/>
      <c r="CC73" s="24"/>
      <c r="CD73" s="24"/>
      <c r="CE73" s="24"/>
    </row>
    <row r="74" spans="1:83" ht="15" hidden="1" customHeight="1">
      <c r="A74" s="4"/>
      <c r="B74" s="317">
        <f>IF($AA$7=$AA$8,CENY!B136,IF($AA$7=$AA$9,CENY!B145,IF($AA$7=$AA$10,CENY!B154,IF($AA$7=$AA$11,CENY!B513,IF($AA$7=$AA$12,CENY!B522,IF($AA$7=$AA$13,CENY!B531,IF($AA$7=$AA$14,CENY!B540,CENY!B549)))))))</f>
        <v>9347505</v>
      </c>
      <c r="C74" s="43" t="str">
        <f>VLOOKUP(B74,CENY!$B$11:$G$1054,2,FALSE)</f>
        <v>AvanY-design ALprofil Hybrid na bok 400/ strieb.</v>
      </c>
      <c r="D74" s="353">
        <f>VLOOKUP(B74,CENY!$B$11:$G$1054,3,FALSE)</f>
        <v>200</v>
      </c>
      <c r="E74" s="56" t="str">
        <f>IF(VLOOKUP(B74,CENY!$B$11:$G$1054,4,FALSE)=0,"",VLOOKUP(B74,CENY!$B$11:$G$1054,4,FALSE))</f>
        <v/>
      </c>
      <c r="F74" s="40" t="str">
        <f t="shared" si="8"/>
        <v/>
      </c>
      <c r="G74" s="52">
        <f>VLOOKUP(B74,CENY!$B$11:$M$1054,12,FALSE)</f>
        <v>0.99777000000000005</v>
      </c>
      <c r="H74" s="54" t="str">
        <f t="shared" si="0"/>
        <v xml:space="preserve"> EUR</v>
      </c>
      <c r="I74" s="41" t="str">
        <f t="shared" si="1"/>
        <v/>
      </c>
      <c r="J74" s="122"/>
      <c r="K74" s="42" t="str">
        <f>VLOOKUP(B74,CENY!$B$11:$M$1054,8,FALSE)</f>
        <v xml:space="preserve"> </v>
      </c>
      <c r="L74" s="42" t="str">
        <f>VLOOKUP(B74,CENY!$B$11:$M$1054,9,FALSE)</f>
        <v>532183</v>
      </c>
      <c r="M74" s="32"/>
      <c r="N74" s="35">
        <f t="shared" si="9"/>
        <v>0</v>
      </c>
      <c r="O74" s="36">
        <v>0</v>
      </c>
      <c r="P74" s="325">
        <f>'AVT101'!AZ18</f>
        <v>0</v>
      </c>
      <c r="Q74" s="325">
        <f>'AVT101'!BI30</f>
        <v>0</v>
      </c>
      <c r="R74" s="325">
        <f>'AVT139'!AZ18</f>
        <v>0</v>
      </c>
      <c r="S74" s="325">
        <f>'AVT139'!BI30</f>
        <v>0</v>
      </c>
      <c r="T74" s="325">
        <f>'AVT187'!AZ18</f>
        <v>0</v>
      </c>
      <c r="U74" s="325">
        <f>'AVT187'!BI30</f>
        <v>0</v>
      </c>
      <c r="V74" s="325">
        <f>'AVT251'!AZ14</f>
        <v>0</v>
      </c>
      <c r="W74" s="325">
        <f>'AVT251'!BI25</f>
        <v>0</v>
      </c>
      <c r="X74" s="32"/>
      <c r="Y74" s="32"/>
      <c r="Z74" s="325">
        <f>'AVT101(vn-A)'!AZ18</f>
        <v>0</v>
      </c>
      <c r="AA74" s="325">
        <f>'AVT101(vn-A)'!BI30</f>
        <v>0</v>
      </c>
      <c r="AB74" s="325">
        <f>'AVT139(vn-A)'!AZ18</f>
        <v>0</v>
      </c>
      <c r="AC74" s="325">
        <f>'AVT139(vn-A)'!BI30</f>
        <v>0</v>
      </c>
      <c r="AD74" s="325">
        <f>'AVT187(vn-A)'!AZ18</f>
        <v>0</v>
      </c>
      <c r="AE74" s="325">
        <f>'AVT187(vn-A)'!BI30</f>
        <v>0</v>
      </c>
      <c r="AF74" s="32"/>
      <c r="AG74" s="32"/>
      <c r="AH74" s="325">
        <f>'AVT187(vn-S)'!AZ18</f>
        <v>0</v>
      </c>
      <c r="AI74" s="325">
        <f>'AVT187(vn-S)'!BI30</f>
        <v>0</v>
      </c>
      <c r="AJ74" s="32"/>
      <c r="AK74" s="32"/>
      <c r="AL74" s="325">
        <f>'AVT77'!AZ10</f>
        <v>0</v>
      </c>
      <c r="AM74" s="325">
        <f>'AVT77'!BI17</f>
        <v>0</v>
      </c>
      <c r="AN74" s="325">
        <f>'AVT-celny-101+187'!AZ28</f>
        <v>0</v>
      </c>
      <c r="AO74" s="325">
        <f>'AVT-celny-101+187'!BI50</f>
        <v>0</v>
      </c>
      <c r="AP74" s="325">
        <f>'AVT-celny-139+187'!AZ23</f>
        <v>0</v>
      </c>
      <c r="AQ74" s="325">
        <f>'AVT-celny-139+187'!BI41</f>
        <v>0</v>
      </c>
      <c r="AR74" s="325">
        <f>'AVT-celny-2x187'!AZ18</f>
        <v>0</v>
      </c>
      <c r="AS74" s="325">
        <f>'AVT-celny-2x187'!BI30</f>
        <v>0</v>
      </c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165"/>
      <c r="BP74" s="165"/>
      <c r="BQ74" s="165"/>
      <c r="BR74" s="165"/>
      <c r="BS74" s="165"/>
      <c r="BT74" s="165"/>
      <c r="BU74" s="165"/>
      <c r="BV74" s="55"/>
      <c r="BW74" s="160"/>
      <c r="BX74" s="32"/>
      <c r="BY74" s="24"/>
      <c r="BZ74" s="24"/>
      <c r="CA74" s="24"/>
      <c r="CB74" s="24"/>
      <c r="CC74" s="24"/>
      <c r="CD74" s="24"/>
      <c r="CE74" s="24"/>
    </row>
    <row r="75" spans="1:83" ht="15" hidden="1" customHeight="1">
      <c r="A75" s="4"/>
      <c r="B75" s="317">
        <f>IF($AA$7=$AA$8,CENY!B137,IF($AA$7=$AA$9,CENY!B146,IF($AA$7=$AA$10,CENY!B155,IF($AA$7=$AA$11,CENY!B514,IF($AA$7=$AA$12,CENY!B523,IF($AA$7=$AA$13,CENY!B532,IF($AA$7=$AA$14,CENY!B541,CENY!B550)))))))</f>
        <v>9347506</v>
      </c>
      <c r="C75" s="43" t="str">
        <f>VLOOKUP(B75,CENY!$B$11:$G$1054,2,FALSE)</f>
        <v>AvanY-design ALprofil Hybrid na bok 450/ strieb.</v>
      </c>
      <c r="D75" s="353">
        <f>VLOOKUP(B75,CENY!$B$11:$G$1054,3,FALSE)</f>
        <v>200</v>
      </c>
      <c r="E75" s="56" t="str">
        <f>IF(VLOOKUP(B75,CENY!$B$11:$G$1054,4,FALSE)=0,"",VLOOKUP(B75,CENY!$B$11:$G$1054,4,FALSE))</f>
        <v/>
      </c>
      <c r="F75" s="40" t="str">
        <f t="shared" si="8"/>
        <v/>
      </c>
      <c r="G75" s="52">
        <f>VLOOKUP(B75,CENY!$B$11:$M$1054,12,FALSE)</f>
        <v>1.01556</v>
      </c>
      <c r="H75" s="54" t="str">
        <f t="shared" si="0"/>
        <v xml:space="preserve"> EUR</v>
      </c>
      <c r="I75" s="41" t="str">
        <f t="shared" si="1"/>
        <v/>
      </c>
      <c r="J75" s="122"/>
      <c r="K75" s="42" t="str">
        <f>VLOOKUP(B75,CENY!$B$11:$M$1054,8,FALSE)</f>
        <v xml:space="preserve"> </v>
      </c>
      <c r="L75" s="42" t="str">
        <f>VLOOKUP(B75,CENY!$B$11:$M$1054,9,FALSE)</f>
        <v>532186</v>
      </c>
      <c r="M75" s="32"/>
      <c r="N75" s="35">
        <f t="shared" si="9"/>
        <v>0</v>
      </c>
      <c r="O75" s="36">
        <v>0</v>
      </c>
      <c r="P75" s="325">
        <f>'AVT101'!AZ19</f>
        <v>0</v>
      </c>
      <c r="Q75" s="325">
        <f>'AVT101'!BI31</f>
        <v>0</v>
      </c>
      <c r="R75" s="325">
        <f>'AVT139'!AZ19</f>
        <v>0</v>
      </c>
      <c r="S75" s="325">
        <f>'AVT139'!BI31</f>
        <v>0</v>
      </c>
      <c r="T75" s="325">
        <f>'AVT187'!AZ19</f>
        <v>0</v>
      </c>
      <c r="U75" s="325">
        <f>'AVT187'!BI31</f>
        <v>0</v>
      </c>
      <c r="V75" s="325">
        <f>'AVT251'!AZ15</f>
        <v>0</v>
      </c>
      <c r="W75" s="325">
        <f>'AVT251'!BI26</f>
        <v>0</v>
      </c>
      <c r="X75" s="32"/>
      <c r="Y75" s="32"/>
      <c r="Z75" s="325">
        <f>'AVT101(vn-A)'!AZ19</f>
        <v>0</v>
      </c>
      <c r="AA75" s="325">
        <f>'AVT101(vn-A)'!BI31</f>
        <v>0</v>
      </c>
      <c r="AB75" s="325">
        <f>'AVT139(vn-A)'!AZ19</f>
        <v>0</v>
      </c>
      <c r="AC75" s="325">
        <f>'AVT139(vn-A)'!BI31</f>
        <v>0</v>
      </c>
      <c r="AD75" s="325">
        <f>'AVT187(vn-A)'!AZ19</f>
        <v>0</v>
      </c>
      <c r="AE75" s="325">
        <f>'AVT187(vn-A)'!BI31</f>
        <v>0</v>
      </c>
      <c r="AF75" s="32"/>
      <c r="AG75" s="32"/>
      <c r="AH75" s="325">
        <f>'AVT187(vn-S)'!AZ19</f>
        <v>0</v>
      </c>
      <c r="AI75" s="325">
        <f>'AVT187(vn-S)'!BI31</f>
        <v>0</v>
      </c>
      <c r="AJ75" s="32"/>
      <c r="AK75" s="32"/>
      <c r="AL75" s="325">
        <f>'AVT77'!AZ11</f>
        <v>0</v>
      </c>
      <c r="AM75" s="325">
        <f>'AVT77'!BI18</f>
        <v>0</v>
      </c>
      <c r="AN75" s="325">
        <f>'AVT-celny-101+187'!AZ29</f>
        <v>0</v>
      </c>
      <c r="AO75" s="325">
        <f>'AVT-celny-101+187'!BI51</f>
        <v>0</v>
      </c>
      <c r="AP75" s="325">
        <f>'AVT-celny-139+187'!AZ24</f>
        <v>0</v>
      </c>
      <c r="AQ75" s="325">
        <f>'AVT-celny-139+187'!BI42</f>
        <v>0</v>
      </c>
      <c r="AR75" s="325">
        <f>'AVT-celny-2x187'!AZ19</f>
        <v>0</v>
      </c>
      <c r="AS75" s="325">
        <f>'AVT-celny-2x187'!BI31</f>
        <v>0</v>
      </c>
      <c r="AT75" s="32"/>
      <c r="AU75" s="32"/>
      <c r="AV75" s="325">
        <f>'potr-v101+187'!AZ25</f>
        <v>0</v>
      </c>
      <c r="AW75" s="325">
        <f>'potr-v101+187'!BI45</f>
        <v>0</v>
      </c>
      <c r="AX75" s="325">
        <f>'potr-v101+187-IL'!AZ25</f>
        <v>0</v>
      </c>
      <c r="AY75" s="325">
        <f>'potr-v101+187-IL'!BI45</f>
        <v>0</v>
      </c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165"/>
      <c r="BP75" s="165"/>
      <c r="BQ75" s="165"/>
      <c r="BR75" s="165"/>
      <c r="BS75" s="165"/>
      <c r="BT75" s="165"/>
      <c r="BU75" s="165"/>
      <c r="BV75" s="55"/>
      <c r="BW75" s="160"/>
      <c r="BX75" s="32"/>
      <c r="BY75" s="24"/>
      <c r="BZ75" s="24"/>
      <c r="CA75" s="24"/>
      <c r="CB75" s="24"/>
      <c r="CC75" s="24"/>
      <c r="CD75" s="24"/>
      <c r="CE75" s="24"/>
    </row>
    <row r="76" spans="1:83" ht="15" hidden="1" customHeight="1">
      <c r="A76" s="4"/>
      <c r="B76" s="317">
        <f>IF($AA$7=$AA$8,CENY!B138,IF($AA$7=$AA$9,CENY!B147,IF($AA$7=$AA$10,CENY!B156,IF($AA$7=$AA$11,CENY!B515,IF($AA$7=$AA$12,CENY!B524,IF($AA$7=$AA$13,CENY!B533,IF($AA$7=$AA$14,CENY!B542,CENY!B551)))))))</f>
        <v>9347507</v>
      </c>
      <c r="C76" s="43" t="str">
        <f>VLOOKUP(B76,CENY!$B$11:$G$1054,2,FALSE)</f>
        <v>AvanY-design ALprofil Hybrid na bok 500/ strieb.</v>
      </c>
      <c r="D76" s="353">
        <f>VLOOKUP(B76,CENY!$B$11:$G$1054,3,FALSE)</f>
        <v>200</v>
      </c>
      <c r="E76" s="56" t="str">
        <f>IF(VLOOKUP(B76,CENY!$B$11:$G$1054,4,FALSE)=0,"",VLOOKUP(B76,CENY!$B$11:$G$1054,4,FALSE))</f>
        <v/>
      </c>
      <c r="F76" s="40" t="str">
        <f t="shared" si="8"/>
        <v/>
      </c>
      <c r="G76" s="52">
        <f>VLOOKUP(B76,CENY!$B$11:$M$1054,12,FALSE)</f>
        <v>1.0332399999999999</v>
      </c>
      <c r="H76" s="54" t="str">
        <f t="shared" si="0"/>
        <v xml:space="preserve"> EUR</v>
      </c>
      <c r="I76" s="41" t="str">
        <f t="shared" si="1"/>
        <v/>
      </c>
      <c r="J76" s="122"/>
      <c r="K76" s="42" t="str">
        <f>VLOOKUP(B76,CENY!$B$11:$M$1054,8,FALSE)</f>
        <v xml:space="preserve"> </v>
      </c>
      <c r="L76" s="42" t="str">
        <f>VLOOKUP(B76,CENY!$B$11:$M$1054,9,FALSE)</f>
        <v>532189</v>
      </c>
      <c r="M76" s="32"/>
      <c r="N76" s="35">
        <f t="shared" si="9"/>
        <v>0</v>
      </c>
      <c r="O76" s="36">
        <v>0</v>
      </c>
      <c r="P76" s="325">
        <f>'AVT101'!AZ20</f>
        <v>0</v>
      </c>
      <c r="Q76" s="325">
        <f>'AVT101'!BI32</f>
        <v>0</v>
      </c>
      <c r="R76" s="325">
        <f>'AVT139'!AZ20</f>
        <v>0</v>
      </c>
      <c r="S76" s="325">
        <f>'AVT139'!BI32</f>
        <v>0</v>
      </c>
      <c r="T76" s="325">
        <f>'AVT187'!AZ20</f>
        <v>0</v>
      </c>
      <c r="U76" s="325">
        <f>'AVT187'!BI32</f>
        <v>0</v>
      </c>
      <c r="V76" s="325">
        <f>'AVT251'!AZ16</f>
        <v>0</v>
      </c>
      <c r="W76" s="325">
        <f>'AVT251'!BI27</f>
        <v>0</v>
      </c>
      <c r="X76" s="32"/>
      <c r="Y76" s="32"/>
      <c r="Z76" s="325">
        <f>'AVT101(vn-A)'!AZ20</f>
        <v>0</v>
      </c>
      <c r="AA76" s="325">
        <f>'AVT101(vn-A)'!BI32</f>
        <v>0</v>
      </c>
      <c r="AB76" s="325">
        <f>'AVT139(vn-A)'!AZ20</f>
        <v>0</v>
      </c>
      <c r="AC76" s="325">
        <f>'AVT139(vn-A)'!BI32</f>
        <v>0</v>
      </c>
      <c r="AD76" s="325">
        <f>'AVT187(vn-A)'!AZ20</f>
        <v>0</v>
      </c>
      <c r="AE76" s="325">
        <f>'AVT187(vn-A)'!BI32</f>
        <v>0</v>
      </c>
      <c r="AF76" s="32"/>
      <c r="AG76" s="32"/>
      <c r="AH76" s="325">
        <f>'AVT187(vn-S)'!AZ20</f>
        <v>0</v>
      </c>
      <c r="AI76" s="325">
        <f>'AVT187(vn-S)'!BI32</f>
        <v>0</v>
      </c>
      <c r="AJ76" s="32"/>
      <c r="AK76" s="32"/>
      <c r="AL76" s="325">
        <f>'AVT77'!AZ12</f>
        <v>0</v>
      </c>
      <c r="AM76" s="325">
        <f>'AVT77'!BI19</f>
        <v>0</v>
      </c>
      <c r="AN76" s="325">
        <f>'AVT-celny-101+187'!AZ30</f>
        <v>0</v>
      </c>
      <c r="AO76" s="325">
        <f>'AVT-celny-101+187'!BI52</f>
        <v>0</v>
      </c>
      <c r="AP76" s="325">
        <f>'AVT-celny-139+187'!AZ25</f>
        <v>0</v>
      </c>
      <c r="AQ76" s="325">
        <f>'AVT-celny-139+187'!BI43</f>
        <v>0</v>
      </c>
      <c r="AR76" s="325">
        <f>'AVT-celny-2x187'!AZ20</f>
        <v>0</v>
      </c>
      <c r="AS76" s="325">
        <f>'AVT-celny-2x187'!BI32</f>
        <v>0</v>
      </c>
      <c r="AT76" s="32"/>
      <c r="AU76" s="32"/>
      <c r="AV76" s="325">
        <f>'potr-v101+187'!AZ26</f>
        <v>0</v>
      </c>
      <c r="AW76" s="325">
        <f>'potr-v101+187'!BI46</f>
        <v>0</v>
      </c>
      <c r="AX76" s="325">
        <f>'potr-v101+187-IL'!AZ26</f>
        <v>0</v>
      </c>
      <c r="AY76" s="325">
        <f>'potr-v101+187-IL'!BI46</f>
        <v>0</v>
      </c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165"/>
      <c r="BP76" s="165"/>
      <c r="BQ76" s="165"/>
      <c r="BR76" s="165"/>
      <c r="BS76" s="165"/>
      <c r="BT76" s="165"/>
      <c r="BU76" s="165"/>
      <c r="BV76" s="55"/>
      <c r="BW76" s="160"/>
      <c r="BX76" s="32"/>
      <c r="BY76" s="24"/>
      <c r="BZ76" s="24"/>
      <c r="CA76" s="24"/>
      <c r="CB76" s="24"/>
      <c r="CC76" s="24"/>
      <c r="CD76" s="24"/>
      <c r="CE76" s="24"/>
    </row>
    <row r="77" spans="1:83" ht="15" hidden="1" customHeight="1">
      <c r="A77" s="4"/>
      <c r="B77" s="317">
        <f>IF($AA$7=$AA$8,CENY!B139,IF($AA$7=$AA$9,CENY!B148,IF($AA$7=$AA$10,CENY!B157,IF($AA$7=$AA$11,CENY!B516,IF($AA$7=$AA$12,CENY!B525,IF($AA$7=$AA$13,CENY!B534,IF($AA$7=$AA$14,CENY!B543,CENY!B552)))))))</f>
        <v>9347508</v>
      </c>
      <c r="C77" s="43" t="str">
        <f>VLOOKUP(B77,CENY!$B$11:$G$1054,2,FALSE)</f>
        <v>AvanY-design ALprofil Hybrid na bok 550/ strieb.</v>
      </c>
      <c r="D77" s="353">
        <f>VLOOKUP(B77,CENY!$B$11:$G$1054,3,FALSE)</f>
        <v>200</v>
      </c>
      <c r="E77" s="56" t="str">
        <f>IF(VLOOKUP(B77,CENY!$B$11:$G$1054,4,FALSE)=0,"",VLOOKUP(B77,CENY!$B$11:$G$1054,4,FALSE))</f>
        <v/>
      </c>
      <c r="F77" s="40" t="str">
        <f t="shared" si="8"/>
        <v/>
      </c>
      <c r="G77" s="52">
        <f>VLOOKUP(B77,CENY!$B$11:$M$1054,12,FALSE)</f>
        <v>1.0508599999999999</v>
      </c>
      <c r="H77" s="54" t="str">
        <f t="shared" si="0"/>
        <v xml:space="preserve"> EUR</v>
      </c>
      <c r="I77" s="41" t="str">
        <f t="shared" si="1"/>
        <v/>
      </c>
      <c r="J77" s="122"/>
      <c r="K77" s="42" t="str">
        <f>VLOOKUP(B77,CENY!$B$11:$M$1054,8,FALSE)</f>
        <v xml:space="preserve"> </v>
      </c>
      <c r="L77" s="42" t="str">
        <f>VLOOKUP(B77,CENY!$B$11:$M$1054,9,FALSE)</f>
        <v>532192</v>
      </c>
      <c r="M77" s="32"/>
      <c r="N77" s="35">
        <f t="shared" si="9"/>
        <v>0</v>
      </c>
      <c r="O77" s="36">
        <v>0</v>
      </c>
      <c r="P77" s="325">
        <f>'AVT101'!AZ21</f>
        <v>0</v>
      </c>
      <c r="Q77" s="325">
        <f>'AVT101'!BI33</f>
        <v>0</v>
      </c>
      <c r="R77" s="325">
        <f>'AVT139'!AZ21</f>
        <v>0</v>
      </c>
      <c r="S77" s="325">
        <f>'AVT139'!BI33</f>
        <v>0</v>
      </c>
      <c r="T77" s="325">
        <f>'AVT187'!AZ21</f>
        <v>0</v>
      </c>
      <c r="U77" s="325">
        <f>'AVT187'!BI33</f>
        <v>0</v>
      </c>
      <c r="V77" s="325">
        <f>'AVT251'!AZ17</f>
        <v>0</v>
      </c>
      <c r="W77" s="325">
        <f>'AVT251'!BI28</f>
        <v>0</v>
      </c>
      <c r="X77" s="32"/>
      <c r="Y77" s="32"/>
      <c r="Z77" s="325">
        <f>'AVT101(vn-A)'!AZ21</f>
        <v>0</v>
      </c>
      <c r="AA77" s="325">
        <f>'AVT101(vn-A)'!BI33</f>
        <v>0</v>
      </c>
      <c r="AB77" s="325">
        <f>'AVT139(vn-A)'!AZ21</f>
        <v>0</v>
      </c>
      <c r="AC77" s="325">
        <f>'AVT139(vn-A)'!BI33</f>
        <v>0</v>
      </c>
      <c r="AD77" s="325">
        <f>'AVT187(vn-A)'!AZ21</f>
        <v>0</v>
      </c>
      <c r="AE77" s="325">
        <f>'AVT187(vn-A)'!BI33</f>
        <v>0</v>
      </c>
      <c r="AF77" s="32"/>
      <c r="AG77" s="32"/>
      <c r="AH77" s="325">
        <f>'AVT187(vn-S)'!AZ21</f>
        <v>0</v>
      </c>
      <c r="AI77" s="325">
        <f>'AVT187(vn-S)'!BI33</f>
        <v>0</v>
      </c>
      <c r="AJ77" s="32"/>
      <c r="AK77" s="32"/>
      <c r="AL77" s="325">
        <f>'AVT77'!AZ13</f>
        <v>0</v>
      </c>
      <c r="AM77" s="325">
        <f>'AVT77'!BI20</f>
        <v>0</v>
      </c>
      <c r="AN77" s="325">
        <f>'AVT-celny-101+187'!AZ31</f>
        <v>0</v>
      </c>
      <c r="AO77" s="325">
        <f>'AVT-celny-101+187'!BI53</f>
        <v>0</v>
      </c>
      <c r="AP77" s="325">
        <f>'AVT-celny-139+187'!AZ26</f>
        <v>0</v>
      </c>
      <c r="AQ77" s="325">
        <f>'AVT-celny-139+187'!BI44</f>
        <v>0</v>
      </c>
      <c r="AR77" s="325">
        <f>'AVT-celny-2x187'!AZ21</f>
        <v>0</v>
      </c>
      <c r="AS77" s="325">
        <f>'AVT-celny-2x187'!BI33</f>
        <v>0</v>
      </c>
      <c r="AT77" s="32"/>
      <c r="AU77" s="32"/>
      <c r="AV77" s="325">
        <f>'potr-v101+187'!AZ27</f>
        <v>0</v>
      </c>
      <c r="AW77" s="325">
        <f>'potr-v101+187'!BI47</f>
        <v>0</v>
      </c>
      <c r="AX77" s="325">
        <f>'potr-v101+187-IL'!AZ27</f>
        <v>0</v>
      </c>
      <c r="AY77" s="325">
        <f>'potr-v101+187-IL'!BI47</f>
        <v>0</v>
      </c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165"/>
      <c r="BP77" s="165"/>
      <c r="BQ77" s="165"/>
      <c r="BR77" s="165"/>
      <c r="BS77" s="165"/>
      <c r="BT77" s="165"/>
      <c r="BU77" s="165"/>
      <c r="BV77" s="55"/>
      <c r="BW77" s="160"/>
      <c r="BX77" s="32"/>
      <c r="BY77" s="24"/>
      <c r="BZ77" s="24"/>
      <c r="CA77" s="24"/>
      <c r="CB77" s="24"/>
      <c r="CC77" s="24"/>
      <c r="CD77" s="24"/>
      <c r="CE77" s="24"/>
    </row>
    <row r="78" spans="1:83" ht="15" hidden="1" customHeight="1">
      <c r="A78" s="4"/>
      <c r="B78" s="317">
        <f>IF($AA$7=$AA$8,CENY!B140,IF($AA$7=$AA$9,CENY!B149,IF($AA$7=$AA$10,CENY!B158,IF($AA$7=$AA$11,CENY!B517,IF($AA$7=$AA$12,CENY!B526,IF($AA$7=$AA$13,CENY!B535,IF($AA$7=$AA$14,CENY!B544,CENY!B553)))))))</f>
        <v>9347509</v>
      </c>
      <c r="C78" s="43" t="str">
        <f>VLOOKUP(B78,CENY!$B$11:$G$1054,2,FALSE)</f>
        <v>AvanY-design ALprofil Hybrid na bok 600/ strieb.</v>
      </c>
      <c r="D78" s="353">
        <f>VLOOKUP(B78,CENY!$B$11:$G$1054,3,FALSE)</f>
        <v>200</v>
      </c>
      <c r="E78" s="56" t="str">
        <f>IF(VLOOKUP(B78,CENY!$B$11:$G$1054,4,FALSE)=0,"",VLOOKUP(B78,CENY!$B$11:$G$1054,4,FALSE))</f>
        <v/>
      </c>
      <c r="F78" s="40" t="str">
        <f t="shared" si="8"/>
        <v/>
      </c>
      <c r="G78" s="52">
        <f>VLOOKUP(B78,CENY!$B$11:$M$1054,12,FALSE)</f>
        <v>1.09639</v>
      </c>
      <c r="H78" s="54" t="str">
        <f t="shared" si="0"/>
        <v xml:space="preserve"> EUR</v>
      </c>
      <c r="I78" s="41" t="str">
        <f t="shared" si="1"/>
        <v/>
      </c>
      <c r="J78" s="122"/>
      <c r="K78" s="42" t="str">
        <f>VLOOKUP(B78,CENY!$B$11:$M$1054,8,FALSE)</f>
        <v xml:space="preserve"> </v>
      </c>
      <c r="L78" s="42" t="str">
        <f>VLOOKUP(B78,CENY!$B$11:$M$1054,9,FALSE)</f>
        <v>532195</v>
      </c>
      <c r="M78" s="32"/>
      <c r="N78" s="35">
        <f t="shared" si="9"/>
        <v>0</v>
      </c>
      <c r="O78" s="36">
        <v>0</v>
      </c>
      <c r="P78" s="325">
        <f>'AVT101'!AZ22</f>
        <v>0</v>
      </c>
      <c r="Q78" s="325">
        <f>'AVT101'!BI34</f>
        <v>0</v>
      </c>
      <c r="R78" s="325">
        <f>'AVT139'!AZ22</f>
        <v>0</v>
      </c>
      <c r="S78" s="325">
        <f>'AVT139'!BI34</f>
        <v>0</v>
      </c>
      <c r="T78" s="325">
        <f>'AVT187'!AZ22</f>
        <v>0</v>
      </c>
      <c r="U78" s="325">
        <f>'AVT187'!BI34</f>
        <v>0</v>
      </c>
      <c r="V78" s="325">
        <f>'AVT251'!AZ18</f>
        <v>0</v>
      </c>
      <c r="W78" s="325">
        <f>'AVT251'!BI29</f>
        <v>0</v>
      </c>
      <c r="X78" s="32"/>
      <c r="Y78" s="32"/>
      <c r="Z78" s="325">
        <f>'AVT101(vn-A)'!AZ22</f>
        <v>0</v>
      </c>
      <c r="AA78" s="325">
        <f>'AVT101(vn-A)'!BI34</f>
        <v>0</v>
      </c>
      <c r="AB78" s="325">
        <f>'AVT139(vn-A)'!AZ22</f>
        <v>0</v>
      </c>
      <c r="AC78" s="325">
        <f>'AVT139(vn-A)'!BI34</f>
        <v>0</v>
      </c>
      <c r="AD78" s="325">
        <f>'AVT187(vn-A)'!AZ22</f>
        <v>0</v>
      </c>
      <c r="AE78" s="325">
        <f>'AVT187(vn-A)'!BI34</f>
        <v>0</v>
      </c>
      <c r="AF78" s="32"/>
      <c r="AG78" s="32"/>
      <c r="AH78" s="325">
        <f>'AVT187(vn-S)'!AZ22</f>
        <v>0</v>
      </c>
      <c r="AI78" s="325">
        <f>'AVT187(vn-S)'!BI34</f>
        <v>0</v>
      </c>
      <c r="AJ78" s="32"/>
      <c r="AK78" s="32"/>
      <c r="AL78" s="32"/>
      <c r="AM78" s="32"/>
      <c r="AN78" s="325">
        <f>'AVT-celny-101+187'!AZ32</f>
        <v>0</v>
      </c>
      <c r="AO78" s="325">
        <f>'AVT-celny-101+187'!BI54</f>
        <v>0</v>
      </c>
      <c r="AP78" s="325">
        <f>'AVT-celny-139+187'!AZ27</f>
        <v>0</v>
      </c>
      <c r="AQ78" s="325">
        <f>'AVT-celny-139+187'!BI45</f>
        <v>0</v>
      </c>
      <c r="AR78" s="325">
        <f>'AVT-celny-2x187'!AZ22</f>
        <v>0</v>
      </c>
      <c r="AS78" s="325">
        <f>'AVT-celny-2x187'!BI34</f>
        <v>0</v>
      </c>
      <c r="AT78" s="32"/>
      <c r="AU78" s="32"/>
      <c r="AV78" s="325">
        <f>'potr-v101+187'!AZ28</f>
        <v>0</v>
      </c>
      <c r="AW78" s="325">
        <f>'potr-v101+187'!BI48</f>
        <v>0</v>
      </c>
      <c r="AX78" s="325">
        <f>'potr-v101+187-IL'!AZ28</f>
        <v>0</v>
      </c>
      <c r="AY78" s="325">
        <f>'potr-v101+187-IL'!BI48</f>
        <v>0</v>
      </c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165"/>
      <c r="BP78" s="165"/>
      <c r="BQ78" s="165"/>
      <c r="BR78" s="165"/>
      <c r="BS78" s="165"/>
      <c r="BT78" s="165"/>
      <c r="BU78" s="165"/>
      <c r="BV78" s="55"/>
      <c r="BW78" s="160"/>
      <c r="BX78" s="32"/>
      <c r="BY78" s="24"/>
      <c r="BZ78" s="24"/>
      <c r="CA78" s="24"/>
      <c r="CB78" s="24"/>
      <c r="CC78" s="24"/>
      <c r="CD78" s="24"/>
      <c r="CE78" s="24"/>
    </row>
    <row r="79" spans="1:83" ht="15" hidden="1" customHeight="1">
      <c r="A79" s="4"/>
      <c r="B79" s="317">
        <f>IF($AA$7=$AA$8,CENY!B141,IF($AA$7=$AA$9,CENY!B150,IF($AA$7=$AA$10,CENY!B159,IF($AA$7=$AA$11,CENY!B518,IF($AA$7=$AA$12,CENY!B527,IF($AA$7=$AA$13,CENY!B536,IF($AA$7=$AA$14,CENY!B545,CENY!B554)))))))</f>
        <v>9347510</v>
      </c>
      <c r="C79" s="43" t="str">
        <f>VLOOKUP(B79,CENY!$B$11:$G$1054,2,FALSE)</f>
        <v>AvanY-design ALprofil Hybrid na bok 650/ strieb.</v>
      </c>
      <c r="D79" s="353">
        <f>VLOOKUP(B79,CENY!$B$11:$G$1054,3,FALSE)</f>
        <v>200</v>
      </c>
      <c r="E79" s="56" t="str">
        <f>IF(VLOOKUP(B79,CENY!$B$11:$G$1054,4,FALSE)=0,"",VLOOKUP(B79,CENY!$B$11:$G$1054,4,FALSE))</f>
        <v/>
      </c>
      <c r="F79" s="40" t="str">
        <f t="shared" si="8"/>
        <v/>
      </c>
      <c r="G79" s="52">
        <f>VLOOKUP(B79,CENY!$B$11:$M$1054,12,FALSE)</f>
        <v>1.1824300000000001</v>
      </c>
      <c r="H79" s="54" t="str">
        <f t="shared" si="0"/>
        <v xml:space="preserve"> EUR</v>
      </c>
      <c r="I79" s="41" t="str">
        <f t="shared" si="1"/>
        <v/>
      </c>
      <c r="J79" s="122"/>
      <c r="K79" s="42" t="str">
        <f>VLOOKUP(B79,CENY!$B$11:$M$1054,8,FALSE)</f>
        <v xml:space="preserve"> </v>
      </c>
      <c r="L79" s="42" t="str">
        <f>VLOOKUP(B79,CENY!$B$11:$M$1054,9,FALSE)</f>
        <v>532198</v>
      </c>
      <c r="M79" s="32"/>
      <c r="N79" s="35">
        <f t="shared" si="9"/>
        <v>0</v>
      </c>
      <c r="O79" s="36">
        <v>0</v>
      </c>
      <c r="P79" s="325">
        <f>'AVT101'!AZ23</f>
        <v>0</v>
      </c>
      <c r="Q79" s="325">
        <f>'AVT101'!BI35</f>
        <v>0</v>
      </c>
      <c r="R79" s="32"/>
      <c r="S79" s="32"/>
      <c r="T79" s="325">
        <f>'AVT187'!AZ23</f>
        <v>0</v>
      </c>
      <c r="U79" s="325">
        <f>'AVT187'!BI35</f>
        <v>0</v>
      </c>
      <c r="V79" s="325">
        <f>'AVT251'!AZ19</f>
        <v>0</v>
      </c>
      <c r="W79" s="325">
        <f>'AVT251'!BI30</f>
        <v>0</v>
      </c>
      <c r="X79" s="32"/>
      <c r="Y79" s="32"/>
      <c r="Z79" s="325">
        <f>'AVT101(vn-A)'!AZ23</f>
        <v>0</v>
      </c>
      <c r="AA79" s="325">
        <f>'AVT101(vn-A)'!BI35</f>
        <v>0</v>
      </c>
      <c r="AB79" s="32"/>
      <c r="AC79" s="32"/>
      <c r="AD79" s="325">
        <f>'AVT187(vn-A)'!AZ23</f>
        <v>0</v>
      </c>
      <c r="AE79" s="325">
        <f>'AVT187(vn-A)'!BI35</f>
        <v>0</v>
      </c>
      <c r="AF79" s="32"/>
      <c r="AG79" s="32"/>
      <c r="AH79" s="325">
        <f>'AVT187(vn-S)'!AZ23</f>
        <v>0</v>
      </c>
      <c r="AI79" s="325">
        <f>'AVT187(vn-S)'!BI35</f>
        <v>0</v>
      </c>
      <c r="AJ79" s="32"/>
      <c r="AK79" s="32"/>
      <c r="AL79" s="32"/>
      <c r="AM79" s="32"/>
      <c r="AN79" s="325">
        <f>'AVT-celny-101+187'!AZ33</f>
        <v>0</v>
      </c>
      <c r="AO79" s="325">
        <f>'AVT-celny-101+187'!BI55</f>
        <v>0</v>
      </c>
      <c r="AP79" s="32"/>
      <c r="AQ79" s="32"/>
      <c r="AR79" s="325">
        <f>'AVT-celny-2x187'!AZ23</f>
        <v>0</v>
      </c>
      <c r="AS79" s="325">
        <f>'AVT-celny-2x187'!BI35</f>
        <v>0</v>
      </c>
      <c r="AT79" s="32"/>
      <c r="AU79" s="32"/>
      <c r="AV79" s="325">
        <f>'potr-v101+187'!AZ29</f>
        <v>0</v>
      </c>
      <c r="AW79" s="325">
        <f>'potr-v101+187'!BI49</f>
        <v>0</v>
      </c>
      <c r="AX79" s="325">
        <f>'potr-v101+187-IL'!AZ29</f>
        <v>0</v>
      </c>
      <c r="AY79" s="325">
        <f>'potr-v101+187-IL'!BI49</f>
        <v>0</v>
      </c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165"/>
      <c r="BP79" s="165"/>
      <c r="BQ79" s="165"/>
      <c r="BR79" s="165"/>
      <c r="BS79" s="165"/>
      <c r="BT79" s="165"/>
      <c r="BU79" s="165"/>
      <c r="BV79" s="55"/>
      <c r="BW79" s="160"/>
      <c r="BX79" s="32"/>
      <c r="BY79" s="24"/>
      <c r="BZ79" s="24"/>
      <c r="CA79" s="24"/>
      <c r="CB79" s="24"/>
      <c r="CC79" s="24"/>
      <c r="CD79" s="24"/>
      <c r="CE79" s="24"/>
    </row>
    <row r="80" spans="1:83" ht="8.1" hidden="1" customHeight="1">
      <c r="A80" s="4"/>
      <c r="B80" s="317"/>
      <c r="C80" s="43"/>
      <c r="D80" s="39"/>
      <c r="E80" s="56"/>
      <c r="F80" s="40"/>
      <c r="G80" s="52"/>
      <c r="H80" s="54"/>
      <c r="I80" s="41"/>
      <c r="J80" s="122"/>
      <c r="K80" s="42"/>
      <c r="L80" s="42"/>
      <c r="M80" s="32"/>
      <c r="N80" s="35"/>
      <c r="O80" s="36">
        <v>0</v>
      </c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165"/>
      <c r="BP80" s="165"/>
      <c r="BQ80" s="165"/>
      <c r="BR80" s="165"/>
      <c r="BS80" s="165"/>
      <c r="BT80" s="165"/>
      <c r="BU80" s="165"/>
      <c r="BV80" s="55"/>
      <c r="BW80" s="160"/>
      <c r="BX80" s="32"/>
      <c r="BY80" s="24"/>
      <c r="BZ80" s="24"/>
      <c r="CA80" s="24"/>
      <c r="CB80" s="24"/>
      <c r="CC80" s="24"/>
      <c r="CD80" s="24"/>
      <c r="CE80" s="24"/>
    </row>
    <row r="81" spans="1:83" ht="15" hidden="1" customHeight="1">
      <c r="A81" s="4"/>
      <c r="B81" s="317">
        <f>IF($Q$8=$Q$7,CENY!B163,IF($Q$7=$Q$9,CENY!B172,CENY!B181))</f>
        <v>9353344</v>
      </c>
      <c r="C81" s="43" t="str">
        <f>VLOOKUP(B81,CENY!$B$11:$G$1054,2,FALSE)</f>
        <v>AvanY-sólo oceľ.boky-NW 139/270mm/strieb.</v>
      </c>
      <c r="D81" s="364">
        <f>VLOOKUP(B81,CENY!$B$11:$G$1054,3,FALSE)</f>
        <v>1</v>
      </c>
      <c r="E81" s="56" t="str">
        <f>IF(VLOOKUP(B81,CENY!$B$11:$G$1054,4,FALSE)=0,"",VLOOKUP(B81,CENY!$B$11:$G$1054,4,FALSE))</f>
        <v/>
      </c>
      <c r="F81" s="40" t="str">
        <f t="shared" ref="F81" si="10">IF(J81&lt;&gt;"",J81,IF(N81=0,"",N81))</f>
        <v/>
      </c>
      <c r="G81" s="52">
        <f>VLOOKUP(B81,CENY!$B$11:$M$1054,12,FALSE)</f>
        <v>31.07366</v>
      </c>
      <c r="H81" s="54" t="str">
        <f t="shared" ref="H81" si="11">IF(G81="","",$H$22)</f>
        <v xml:space="preserve"> EUR</v>
      </c>
      <c r="I81" s="41" t="str">
        <f t="shared" ref="I81" si="12">IF(F81="","",G81*F81)</f>
        <v/>
      </c>
      <c r="J81" s="122"/>
      <c r="K81" s="42" t="str">
        <f>VLOOKUP(B81,CENY!$B$11:$M$1054,8,FALSE)</f>
        <v xml:space="preserve"> </v>
      </c>
      <c r="L81" s="42" t="str">
        <f>VLOOKUP(B81,CENY!$B$11:$M$1054,9,FALSE)</f>
        <v>530034</v>
      </c>
      <c r="M81" s="32"/>
      <c r="N81" s="35">
        <f t="shared" ref="N81" si="13">SUM(P81:BW81)</f>
        <v>0</v>
      </c>
      <c r="O81" s="36">
        <v>0</v>
      </c>
      <c r="P81" s="32"/>
      <c r="Q81" s="32"/>
      <c r="R81" s="325">
        <f>'AVT139'!AZ5</f>
        <v>0</v>
      </c>
      <c r="S81" s="32"/>
      <c r="T81" s="32"/>
      <c r="U81" s="32"/>
      <c r="V81" s="32"/>
      <c r="W81" s="32"/>
      <c r="X81" s="32"/>
      <c r="Y81" s="32"/>
      <c r="Z81" s="32"/>
      <c r="AA81" s="32"/>
      <c r="AB81" s="325">
        <f>'AVT139(vn-A)'!AZ5</f>
        <v>0</v>
      </c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460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165"/>
      <c r="BP81" s="165"/>
      <c r="BQ81" s="165"/>
      <c r="BR81" s="165"/>
      <c r="BS81" s="165"/>
      <c r="BT81" s="165"/>
      <c r="BU81" s="165"/>
      <c r="BV81" s="55"/>
      <c r="BW81" s="160"/>
      <c r="BX81" s="32"/>
      <c r="BY81" s="24"/>
      <c r="BZ81" s="24"/>
      <c r="CA81" s="24"/>
      <c r="CB81" s="24"/>
      <c r="CC81" s="24"/>
      <c r="CD81" s="24"/>
      <c r="CE81" s="24"/>
    </row>
    <row r="82" spans="1:83" ht="15" hidden="1" customHeight="1">
      <c r="A82" s="4"/>
      <c r="B82" s="317">
        <f>IF($Q$8=$Q$7,CENY!B164,IF($Q$7=$Q$9,CENY!B173,CENY!B182))</f>
        <v>9353345</v>
      </c>
      <c r="C82" s="43" t="str">
        <f>VLOOKUP(B82,CENY!$B$11:$G$1054,2,FALSE)</f>
        <v>AvanY-sólo oceľ.boky-NW 139/300mm/strieb.</v>
      </c>
      <c r="D82" s="364">
        <f>VLOOKUP(B82,CENY!$B$11:$G$1054,3,FALSE)</f>
        <v>1</v>
      </c>
      <c r="E82" s="56" t="str">
        <f>IF(VLOOKUP(B82,CENY!$B$11:$G$1054,4,FALSE)=0,"",VLOOKUP(B82,CENY!$B$11:$G$1054,4,FALSE))</f>
        <v/>
      </c>
      <c r="F82" s="40" t="str">
        <f t="shared" ref="F82:F88" si="14">IF(J82&lt;&gt;"",J82,IF(N82=0,"",N82))</f>
        <v/>
      </c>
      <c r="G82" s="52">
        <f>VLOOKUP(B82,CENY!$B$11:$M$1054,12,FALSE)</f>
        <v>31.29269</v>
      </c>
      <c r="H82" s="54" t="str">
        <f t="shared" si="0"/>
        <v xml:space="preserve"> EUR</v>
      </c>
      <c r="I82" s="41" t="str">
        <f t="shared" si="1"/>
        <v/>
      </c>
      <c r="J82" s="122"/>
      <c r="K82" s="42" t="str">
        <f>VLOOKUP(B82,CENY!$B$11:$M$1054,8,FALSE)</f>
        <v xml:space="preserve"> </v>
      </c>
      <c r="L82" s="42" t="str">
        <f>VLOOKUP(B82,CENY!$B$11:$M$1054,9,FALSE)</f>
        <v>530035</v>
      </c>
      <c r="M82" s="32"/>
      <c r="N82" s="35">
        <f t="shared" ref="N82:N88" si="15">SUM(P82:BW82)</f>
        <v>0</v>
      </c>
      <c r="O82" s="36">
        <v>0</v>
      </c>
      <c r="P82" s="32"/>
      <c r="Q82" s="32"/>
      <c r="R82" s="325">
        <f>'AVT139'!AZ6</f>
        <v>0</v>
      </c>
      <c r="S82" s="32"/>
      <c r="T82" s="32"/>
      <c r="U82" s="32"/>
      <c r="V82" s="32"/>
      <c r="W82" s="32"/>
      <c r="X82" s="32"/>
      <c r="Y82" s="32"/>
      <c r="Z82" s="32"/>
      <c r="AA82" s="32"/>
      <c r="AB82" s="325">
        <f>'AVT139(vn-A)'!AZ6</f>
        <v>0</v>
      </c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5">
        <f>'AVT-celny-139+187'!AZ5</f>
        <v>0</v>
      </c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165"/>
      <c r="BP82" s="165"/>
      <c r="BQ82" s="165"/>
      <c r="BR82" s="165"/>
      <c r="BS82" s="165"/>
      <c r="BT82" s="165"/>
      <c r="BU82" s="165"/>
      <c r="BV82" s="55"/>
      <c r="BW82" s="160"/>
      <c r="BX82" s="32"/>
      <c r="BY82" s="24"/>
      <c r="BZ82" s="24"/>
      <c r="CA82" s="24"/>
      <c r="CB82" s="24"/>
      <c r="CC82" s="24"/>
      <c r="CD82" s="24"/>
      <c r="CE82" s="24"/>
    </row>
    <row r="83" spans="1:83" ht="15" hidden="1" customHeight="1">
      <c r="A83" s="4"/>
      <c r="B83" s="317">
        <f>IF($Q$8=$Q$7,CENY!B165,IF($Q$7=$Q$9,CENY!B174,CENY!B183))</f>
        <v>9353346</v>
      </c>
      <c r="C83" s="43" t="str">
        <f>VLOOKUP(B83,CENY!$B$11:$G$1054,2,FALSE)</f>
        <v>AvanY-sólo oceľ.boky-NW 139/350mm/strieb.</v>
      </c>
      <c r="D83" s="364">
        <f>VLOOKUP(B83,CENY!$B$11:$G$1054,3,FALSE)</f>
        <v>1</v>
      </c>
      <c r="E83" s="56" t="str">
        <f>IF(VLOOKUP(B83,CENY!$B$11:$G$1054,4,FALSE)=0,"",VLOOKUP(B83,CENY!$B$11:$G$1054,4,FALSE))</f>
        <v/>
      </c>
      <c r="F83" s="40" t="str">
        <f t="shared" si="14"/>
        <v/>
      </c>
      <c r="G83" s="52">
        <f>VLOOKUP(B83,CENY!$B$11:$M$1054,12,FALSE)</f>
        <v>31.74728</v>
      </c>
      <c r="H83" s="54" t="str">
        <f t="shared" si="0"/>
        <v xml:space="preserve"> EUR</v>
      </c>
      <c r="I83" s="41" t="str">
        <f t="shared" si="1"/>
        <v/>
      </c>
      <c r="J83" s="122"/>
      <c r="K83" s="42" t="str">
        <f>VLOOKUP(B83,CENY!$B$11:$M$1054,8,FALSE)</f>
        <v xml:space="preserve"> </v>
      </c>
      <c r="L83" s="42" t="str">
        <f>VLOOKUP(B83,CENY!$B$11:$M$1054,9,FALSE)</f>
        <v>530036</v>
      </c>
      <c r="M83" s="32"/>
      <c r="N83" s="35">
        <f t="shared" si="15"/>
        <v>0</v>
      </c>
      <c r="O83" s="36">
        <v>0</v>
      </c>
      <c r="P83" s="32"/>
      <c r="Q83" s="32"/>
      <c r="R83" s="325">
        <f>'AVT139'!AZ7</f>
        <v>0</v>
      </c>
      <c r="S83" s="32"/>
      <c r="T83" s="32"/>
      <c r="U83" s="32"/>
      <c r="V83" s="32"/>
      <c r="W83" s="32"/>
      <c r="X83" s="32"/>
      <c r="Y83" s="32"/>
      <c r="Z83" s="32"/>
      <c r="AA83" s="32"/>
      <c r="AB83" s="325">
        <f>'AVT139(vn-A)'!AZ7</f>
        <v>0</v>
      </c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5">
        <f>'AVT-celny-139+187'!AZ6</f>
        <v>0</v>
      </c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165"/>
      <c r="BP83" s="165"/>
      <c r="BQ83" s="165"/>
      <c r="BR83" s="165"/>
      <c r="BS83" s="165"/>
      <c r="BT83" s="165"/>
      <c r="BU83" s="165"/>
      <c r="BV83" s="55"/>
      <c r="BW83" s="160"/>
      <c r="BX83" s="32"/>
      <c r="BY83" s="24"/>
      <c r="BZ83" s="24"/>
      <c r="CA83" s="24"/>
      <c r="CB83" s="24"/>
      <c r="CC83" s="24"/>
      <c r="CD83" s="24"/>
      <c r="CE83" s="24"/>
    </row>
    <row r="84" spans="1:83" ht="15" hidden="1" customHeight="1">
      <c r="A84" s="4"/>
      <c r="B84" s="317">
        <f>IF($Q$8=$Q$7,CENY!B166,IF($Q$7=$Q$9,CENY!B175,CENY!B184))</f>
        <v>9353347</v>
      </c>
      <c r="C84" s="43" t="str">
        <f>VLOOKUP(B84,CENY!$B$11:$G$1054,2,FALSE)</f>
        <v>AvanY-sólo oceľ.boky-NW 139/400mm/strieb.</v>
      </c>
      <c r="D84" s="364">
        <f>VLOOKUP(B84,CENY!$B$11:$G$1054,3,FALSE)</f>
        <v>1</v>
      </c>
      <c r="E84" s="56" t="str">
        <f>IF(VLOOKUP(B84,CENY!$B$11:$G$1054,4,FALSE)=0,"",VLOOKUP(B84,CENY!$B$11:$G$1054,4,FALSE))</f>
        <v/>
      </c>
      <c r="F84" s="40" t="str">
        <f t="shared" si="14"/>
        <v/>
      </c>
      <c r="G84" s="52">
        <f>VLOOKUP(B84,CENY!$B$11:$M$1054,12,FALSE)</f>
        <v>32.201650000000001</v>
      </c>
      <c r="H84" s="54" t="str">
        <f t="shared" si="0"/>
        <v xml:space="preserve"> EUR</v>
      </c>
      <c r="I84" s="41" t="str">
        <f t="shared" si="1"/>
        <v/>
      </c>
      <c r="J84" s="122"/>
      <c r="K84" s="42" t="str">
        <f>VLOOKUP(B84,CENY!$B$11:$M$1054,8,FALSE)</f>
        <v xml:space="preserve"> </v>
      </c>
      <c r="L84" s="42" t="str">
        <f>VLOOKUP(B84,CENY!$B$11:$M$1054,9,FALSE)</f>
        <v>530037</v>
      </c>
      <c r="M84" s="32"/>
      <c r="N84" s="35">
        <f t="shared" si="15"/>
        <v>0</v>
      </c>
      <c r="O84" s="36">
        <v>0</v>
      </c>
      <c r="P84" s="32"/>
      <c r="Q84" s="32"/>
      <c r="R84" s="325">
        <f>'AVT139'!AZ8</f>
        <v>0</v>
      </c>
      <c r="S84" s="32"/>
      <c r="T84" s="32"/>
      <c r="U84" s="32"/>
      <c r="V84" s="32"/>
      <c r="W84" s="32"/>
      <c r="X84" s="32"/>
      <c r="Y84" s="32"/>
      <c r="Z84" s="32"/>
      <c r="AA84" s="32"/>
      <c r="AB84" s="325">
        <f>'AVT139(vn-A)'!AZ8</f>
        <v>0</v>
      </c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5">
        <f>'AVT-celny-139+187'!AZ7</f>
        <v>0</v>
      </c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165"/>
      <c r="BP84" s="165"/>
      <c r="BQ84" s="165"/>
      <c r="BR84" s="165"/>
      <c r="BS84" s="165"/>
      <c r="BT84" s="165"/>
      <c r="BU84" s="165"/>
      <c r="BV84" s="55"/>
      <c r="BW84" s="160"/>
      <c r="BX84" s="32"/>
      <c r="BY84" s="24"/>
      <c r="BZ84" s="24"/>
      <c r="CA84" s="24"/>
      <c r="CB84" s="24"/>
      <c r="CC84" s="24"/>
      <c r="CD84" s="24"/>
      <c r="CE84" s="24"/>
    </row>
    <row r="85" spans="1:83" ht="15" customHeight="1">
      <c r="A85" s="4"/>
      <c r="B85" s="317">
        <f>IF($Q$8=$Q$7,CENY!B167,IF($Q$7=$Q$9,CENY!B176,CENY!B185))</f>
        <v>9353348</v>
      </c>
      <c r="C85" s="43" t="str">
        <f>VLOOKUP(B85,CENY!$B$11:$G$1054,2,FALSE)</f>
        <v>AvanY-sólo oceľ.boky-NW 139/450mm/strieb.</v>
      </c>
      <c r="D85" s="364">
        <f>VLOOKUP(B85,CENY!$B$11:$G$1054,3,FALSE)</f>
        <v>1</v>
      </c>
      <c r="E85" s="56" t="str">
        <f>IF(VLOOKUP(B85,CENY!$B$11:$G$1054,4,FALSE)=0,"",VLOOKUP(B85,CENY!$B$11:$G$1054,4,FALSE))</f>
        <v/>
      </c>
      <c r="F85" s="40" t="str">
        <f t="shared" si="14"/>
        <v/>
      </c>
      <c r="G85" s="52">
        <f>VLOOKUP(B85,CENY!$B$11:$M$1054,12,FALSE)</f>
        <v>31.101500000000001</v>
      </c>
      <c r="H85" s="54" t="str">
        <f t="shared" si="0"/>
        <v xml:space="preserve"> EUR</v>
      </c>
      <c r="I85" s="41" t="str">
        <f t="shared" si="1"/>
        <v/>
      </c>
      <c r="J85" s="122"/>
      <c r="K85" s="42" t="str">
        <f>VLOOKUP(B85,CENY!$B$11:$M$1054,8,FALSE)</f>
        <v xml:space="preserve"> </v>
      </c>
      <c r="L85" s="42" t="str">
        <f>VLOOKUP(B85,CENY!$B$11:$M$1054,9,FALSE)</f>
        <v>530038</v>
      </c>
      <c r="M85" s="32"/>
      <c r="N85" s="35">
        <f t="shared" si="15"/>
        <v>0</v>
      </c>
      <c r="O85" s="36">
        <v>0</v>
      </c>
      <c r="P85" s="32"/>
      <c r="Q85" s="32"/>
      <c r="R85" s="325">
        <f>'AVT139'!AZ9</f>
        <v>0</v>
      </c>
      <c r="S85" s="32"/>
      <c r="T85" s="32"/>
      <c r="U85" s="32"/>
      <c r="V85" s="32"/>
      <c r="W85" s="32"/>
      <c r="X85" s="32"/>
      <c r="Y85" s="32"/>
      <c r="Z85" s="32"/>
      <c r="AA85" s="32"/>
      <c r="AB85" s="325">
        <f>'AVT139(vn-A)'!AZ9</f>
        <v>0</v>
      </c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5">
        <f>'AVT-celny-139+187'!AZ8</f>
        <v>0</v>
      </c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165"/>
      <c r="BP85" s="165"/>
      <c r="BQ85" s="165"/>
      <c r="BR85" s="165"/>
      <c r="BS85" s="165"/>
      <c r="BT85" s="165"/>
      <c r="BU85" s="165"/>
      <c r="BV85" s="55"/>
      <c r="BW85" s="160"/>
      <c r="BX85" s="32"/>
      <c r="BY85" s="24"/>
      <c r="BZ85" s="24"/>
      <c r="CA85" s="24"/>
      <c r="CB85" s="24"/>
      <c r="CC85" s="24"/>
      <c r="CD85" s="24"/>
      <c r="CE85" s="24"/>
    </row>
    <row r="86" spans="1:83" ht="15" hidden="1" customHeight="1">
      <c r="A86" s="4"/>
      <c r="B86" s="317">
        <f>IF($Q$8=$Q$7,CENY!B168,IF($Q$7=$Q$9,CENY!B177,CENY!B186))</f>
        <v>9353349</v>
      </c>
      <c r="C86" s="43" t="str">
        <f>VLOOKUP(B86,CENY!$B$11:$G$1054,2,FALSE)</f>
        <v>AvanY-sólo oceľ.boky-NW 139/500mm/strieb.</v>
      </c>
      <c r="D86" s="364">
        <f>VLOOKUP(B86,CENY!$B$11:$G$1054,3,FALSE)</f>
        <v>1</v>
      </c>
      <c r="E86" s="56" t="str">
        <f>IF(VLOOKUP(B86,CENY!$B$11:$G$1054,4,FALSE)=0,"",VLOOKUP(B86,CENY!$B$11:$G$1054,4,FALSE))</f>
        <v/>
      </c>
      <c r="F86" s="40" t="str">
        <f t="shared" si="14"/>
        <v/>
      </c>
      <c r="G86" s="52">
        <f>VLOOKUP(B86,CENY!$B$11:$M$1054,12,FALSE)</f>
        <v>31.53424</v>
      </c>
      <c r="H86" s="54" t="str">
        <f t="shared" si="0"/>
        <v xml:space="preserve"> EUR</v>
      </c>
      <c r="I86" s="41" t="str">
        <f t="shared" si="1"/>
        <v/>
      </c>
      <c r="J86" s="122"/>
      <c r="K86" s="42" t="str">
        <f>VLOOKUP(B86,CENY!$B$11:$M$1054,8,FALSE)</f>
        <v xml:space="preserve"> </v>
      </c>
      <c r="L86" s="42" t="str">
        <f>VLOOKUP(B86,CENY!$B$11:$M$1054,9,FALSE)</f>
        <v>530039</v>
      </c>
      <c r="M86" s="32"/>
      <c r="N86" s="35">
        <f t="shared" si="15"/>
        <v>0</v>
      </c>
      <c r="O86" s="36">
        <v>0</v>
      </c>
      <c r="P86" s="32"/>
      <c r="Q86" s="32"/>
      <c r="R86" s="325">
        <f>'AVT139'!AZ10</f>
        <v>0</v>
      </c>
      <c r="S86" s="32"/>
      <c r="T86" s="32"/>
      <c r="U86" s="32"/>
      <c r="V86" s="32"/>
      <c r="W86" s="32"/>
      <c r="X86" s="32"/>
      <c r="Y86" s="32"/>
      <c r="Z86" s="32"/>
      <c r="AA86" s="32"/>
      <c r="AB86" s="325">
        <f>'AVT139(vn-A)'!AZ10</f>
        <v>0</v>
      </c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5">
        <f>'AVT-celny-139+187'!AZ9</f>
        <v>0</v>
      </c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165"/>
      <c r="BP86" s="165"/>
      <c r="BQ86" s="165"/>
      <c r="BR86" s="165"/>
      <c r="BS86" s="165"/>
      <c r="BT86" s="165"/>
      <c r="BU86" s="165"/>
      <c r="BV86" s="55"/>
      <c r="BW86" s="160"/>
      <c r="BX86" s="32"/>
      <c r="BY86" s="24"/>
      <c r="BZ86" s="24"/>
      <c r="CA86" s="24"/>
      <c r="CB86" s="24"/>
      <c r="CC86" s="24"/>
      <c r="CD86" s="24"/>
      <c r="CE86" s="24"/>
    </row>
    <row r="87" spans="1:83" ht="15" hidden="1" customHeight="1">
      <c r="A87" s="4"/>
      <c r="B87" s="317">
        <f>IF($Q$8=$Q$7,CENY!B169,IF($Q$7=$Q$9,CENY!B178,CENY!B187))</f>
        <v>9353350</v>
      </c>
      <c r="C87" s="43" t="str">
        <f>VLOOKUP(B87,CENY!$B$11:$G$1054,2,FALSE)</f>
        <v>AvanY-sólo oceľ.boky-NW 139/550mm/strieb.</v>
      </c>
      <c r="D87" s="364">
        <f>VLOOKUP(B87,CENY!$B$11:$G$1054,3,FALSE)</f>
        <v>1</v>
      </c>
      <c r="E87" s="56" t="str">
        <f>IF(VLOOKUP(B87,CENY!$B$11:$G$1054,4,FALSE)=0,"",VLOOKUP(B87,CENY!$B$11:$G$1054,4,FALSE))</f>
        <v/>
      </c>
      <c r="F87" s="40" t="str">
        <f t="shared" si="14"/>
        <v/>
      </c>
      <c r="G87" s="52">
        <f>VLOOKUP(B87,CENY!$B$11:$M$1054,12,FALSE)</f>
        <v>33.565219999999997</v>
      </c>
      <c r="H87" s="54" t="str">
        <f t="shared" si="0"/>
        <v xml:space="preserve"> EUR</v>
      </c>
      <c r="I87" s="41" t="str">
        <f t="shared" si="1"/>
        <v/>
      </c>
      <c r="J87" s="122"/>
      <c r="K87" s="42" t="str">
        <f>VLOOKUP(B87,CENY!$B$11:$M$1054,8,FALSE)</f>
        <v xml:space="preserve"> </v>
      </c>
      <c r="L87" s="42" t="str">
        <f>VLOOKUP(B87,CENY!$B$11:$M$1054,9,FALSE)</f>
        <v>530040</v>
      </c>
      <c r="M87" s="32"/>
      <c r="N87" s="35">
        <f t="shared" si="15"/>
        <v>0</v>
      </c>
      <c r="O87" s="36">
        <v>0</v>
      </c>
      <c r="P87" s="32"/>
      <c r="Q87" s="32"/>
      <c r="R87" s="325">
        <f>'AVT139'!AZ11</f>
        <v>0</v>
      </c>
      <c r="S87" s="32"/>
      <c r="T87" s="32"/>
      <c r="U87" s="32"/>
      <c r="V87" s="32"/>
      <c r="W87" s="32"/>
      <c r="X87" s="32"/>
      <c r="Y87" s="32"/>
      <c r="Z87" s="32"/>
      <c r="AA87" s="32"/>
      <c r="AB87" s="325">
        <f>'AVT139(vn-A)'!AZ11</f>
        <v>0</v>
      </c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5">
        <f>'AVT-celny-139+187'!AZ10</f>
        <v>0</v>
      </c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165"/>
      <c r="BP87" s="165"/>
      <c r="BQ87" s="165"/>
      <c r="BR87" s="165"/>
      <c r="BS87" s="165"/>
      <c r="BT87" s="165"/>
      <c r="BU87" s="165"/>
      <c r="BV87" s="55"/>
      <c r="BW87" s="160"/>
      <c r="BX87" s="32"/>
      <c r="BY87" s="24"/>
      <c r="BZ87" s="24"/>
      <c r="CA87" s="24"/>
      <c r="CB87" s="24"/>
      <c r="CC87" s="24"/>
      <c r="CD87" s="24"/>
      <c r="CE87" s="24"/>
    </row>
    <row r="88" spans="1:83" ht="15" hidden="1" customHeight="1">
      <c r="A88" s="4"/>
      <c r="B88" s="317">
        <f>IF($Q$8=$Q$7,CENY!B170,IF($Q$7=$Q$9,CENY!B179,CENY!B188))</f>
        <v>9353351</v>
      </c>
      <c r="C88" s="43" t="str">
        <f>VLOOKUP(B88,CENY!$B$11:$G$1054,2,FALSE)</f>
        <v>AvanY-sólo oceľ.boky-NW 139/600mm/strieb.</v>
      </c>
      <c r="D88" s="364">
        <f>VLOOKUP(B88,CENY!$B$11:$G$1054,3,FALSE)</f>
        <v>1</v>
      </c>
      <c r="E88" s="56" t="str">
        <f>IF(VLOOKUP(B88,CENY!$B$11:$G$1054,4,FALSE)=0,"",VLOOKUP(B88,CENY!$B$11:$G$1054,4,FALSE))</f>
        <v/>
      </c>
      <c r="F88" s="40" t="str">
        <f t="shared" si="14"/>
        <v/>
      </c>
      <c r="G88" s="52">
        <f>VLOOKUP(B88,CENY!$B$11:$M$1054,12,FALSE)</f>
        <v>34.295520000000003</v>
      </c>
      <c r="H88" s="54" t="str">
        <f t="shared" si="0"/>
        <v xml:space="preserve"> EUR</v>
      </c>
      <c r="I88" s="41" t="str">
        <f t="shared" si="1"/>
        <v/>
      </c>
      <c r="J88" s="122"/>
      <c r="K88" s="42" t="str">
        <f>VLOOKUP(B88,CENY!$B$11:$M$1054,8,FALSE)</f>
        <v xml:space="preserve"> </v>
      </c>
      <c r="L88" s="42" t="str">
        <f>VLOOKUP(B88,CENY!$B$11:$M$1054,9,FALSE)</f>
        <v>530041</v>
      </c>
      <c r="M88" s="32"/>
      <c r="N88" s="35">
        <f t="shared" si="15"/>
        <v>0</v>
      </c>
      <c r="O88" s="36">
        <v>0</v>
      </c>
      <c r="P88" s="32"/>
      <c r="Q88" s="32"/>
      <c r="R88" s="325">
        <f>'AVT139'!AZ12</f>
        <v>0</v>
      </c>
      <c r="S88" s="32"/>
      <c r="T88" s="32"/>
      <c r="U88" s="32"/>
      <c r="V88" s="32"/>
      <c r="W88" s="32"/>
      <c r="X88" s="32"/>
      <c r="Y88" s="32"/>
      <c r="Z88" s="32"/>
      <c r="AA88" s="32"/>
      <c r="AB88" s="325">
        <f>'AVT139(vn-A)'!AZ12</f>
        <v>0</v>
      </c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5">
        <f>'AVT-celny-139+187'!AZ11</f>
        <v>0</v>
      </c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165"/>
      <c r="BP88" s="165"/>
      <c r="BQ88" s="165"/>
      <c r="BR88" s="165"/>
      <c r="BS88" s="165"/>
      <c r="BT88" s="165"/>
      <c r="BU88" s="165"/>
      <c r="BV88" s="55"/>
      <c r="BW88" s="160"/>
      <c r="BX88" s="32"/>
      <c r="BY88" s="24"/>
      <c r="BZ88" s="24"/>
      <c r="CA88" s="24"/>
      <c r="CB88" s="24"/>
      <c r="CC88" s="24"/>
      <c r="CD88" s="24"/>
      <c r="CE88" s="24"/>
    </row>
    <row r="89" spans="1:83" ht="15" hidden="1" customHeight="1">
      <c r="A89" s="4"/>
      <c r="B89" s="317">
        <f>IF($Q$8=$Q$7,CENY!B171,IF($Q$7=$Q$9,CENY!B180,CENY!B189))</f>
        <v>9353352</v>
      </c>
      <c r="C89" s="43" t="str">
        <f>VLOOKUP(B89,CENY!$B$11:$G$1054,2,FALSE)</f>
        <v>AvanY-sólo oceľ.boky-NW 139/650mm/strieb.</v>
      </c>
      <c r="D89" s="364">
        <f>VLOOKUP(B89,CENY!$B$11:$G$1054,3,FALSE)</f>
        <v>1</v>
      </c>
      <c r="E89" s="56" t="str">
        <f>IF(VLOOKUP(B89,CENY!$B$11:$G$1054,4,FALSE)=0,"",VLOOKUP(B89,CENY!$B$11:$G$1054,4,FALSE))</f>
        <v/>
      </c>
      <c r="F89" s="40" t="str">
        <f t="shared" ref="F89" si="16">IF(J89&lt;&gt;"",J89,IF(N89=0,"",N89))</f>
        <v/>
      </c>
      <c r="G89" s="52">
        <f>VLOOKUP(B89,CENY!$B$11:$M$1054,12,FALSE)</f>
        <v>35.162860000000002</v>
      </c>
      <c r="H89" s="54" t="str">
        <f t="shared" ref="H89" si="17">IF(G89="","",$H$22)</f>
        <v xml:space="preserve"> EUR</v>
      </c>
      <c r="I89" s="41" t="str">
        <f t="shared" ref="I89" si="18">IF(F89="","",G89*F89)</f>
        <v/>
      </c>
      <c r="J89" s="122"/>
      <c r="K89" s="42" t="str">
        <f>VLOOKUP(B89,CENY!$B$11:$M$1054,8,FALSE)</f>
        <v xml:space="preserve"> </v>
      </c>
      <c r="L89" s="42" t="str">
        <f>VLOOKUP(B89,CENY!$B$11:$M$1054,9,FALSE)</f>
        <v>530042</v>
      </c>
      <c r="M89" s="32"/>
      <c r="N89" s="35">
        <f t="shared" ref="N89" si="19">SUM(P89:BW89)</f>
        <v>0</v>
      </c>
      <c r="O89" s="36">
        <v>0</v>
      </c>
      <c r="P89" s="32"/>
      <c r="Q89" s="32"/>
      <c r="R89" s="325">
        <f>'AVT139'!AZ13</f>
        <v>0</v>
      </c>
      <c r="S89" s="32"/>
      <c r="T89" s="32"/>
      <c r="U89" s="32"/>
      <c r="V89" s="32"/>
      <c r="W89" s="32"/>
      <c r="X89" s="32"/>
      <c r="Y89" s="32"/>
      <c r="Z89" s="32"/>
      <c r="AA89" s="32"/>
      <c r="AB89" s="325">
        <f>'AVT139(vn-A)'!AZ13</f>
        <v>0</v>
      </c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460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165"/>
      <c r="BP89" s="165"/>
      <c r="BQ89" s="165"/>
      <c r="BR89" s="165"/>
      <c r="BS89" s="165"/>
      <c r="BT89" s="165"/>
      <c r="BU89" s="165"/>
      <c r="BV89" s="55"/>
      <c r="BW89" s="160"/>
      <c r="BX89" s="32"/>
      <c r="BY89" s="24"/>
      <c r="BZ89" s="24"/>
      <c r="CA89" s="24"/>
      <c r="CB89" s="24"/>
      <c r="CC89" s="24"/>
      <c r="CD89" s="24"/>
      <c r="CE89" s="24"/>
    </row>
    <row r="90" spans="1:83" ht="8.1" hidden="1" customHeight="1">
      <c r="A90" s="4"/>
      <c r="B90" s="317"/>
      <c r="C90" s="43"/>
      <c r="D90" s="39"/>
      <c r="E90" s="56"/>
      <c r="F90" s="40"/>
      <c r="G90" s="52"/>
      <c r="H90" s="54"/>
      <c r="I90" s="41"/>
      <c r="J90" s="122"/>
      <c r="K90" s="42"/>
      <c r="L90" s="42"/>
      <c r="M90" s="32"/>
      <c r="N90" s="35"/>
      <c r="O90" s="36">
        <v>0</v>
      </c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165"/>
      <c r="BP90" s="165"/>
      <c r="BQ90" s="165"/>
      <c r="BR90" s="165"/>
      <c r="BS90" s="165"/>
      <c r="BT90" s="165"/>
      <c r="BU90" s="165"/>
      <c r="BV90" s="55"/>
      <c r="BW90" s="160"/>
      <c r="BX90" s="32"/>
      <c r="BY90" s="24"/>
      <c r="BZ90" s="24"/>
      <c r="CA90" s="24"/>
      <c r="CB90" s="24"/>
      <c r="CC90" s="24"/>
      <c r="CD90" s="24"/>
      <c r="CE90" s="24"/>
    </row>
    <row r="91" spans="1:83" ht="15" hidden="1" customHeight="1">
      <c r="A91" s="4"/>
      <c r="B91" s="317">
        <f>IF($Q$8=$Q$7,CENY!B190,IF($Q$7=$Q$9,CENY!B208,CENY!B226))</f>
        <v>9255026</v>
      </c>
      <c r="C91" s="43" t="str">
        <f>VLOOKUP(B91,CENY!$B$11:$G$1054,2,FALSE)</f>
        <v>AvanY-bok ľavý /v139/h270/ strieborná</v>
      </c>
      <c r="D91" s="353">
        <f>VLOOKUP(B91,CENY!$B$11:$G$1054,3,FALSE)</f>
        <v>20</v>
      </c>
      <c r="E91" s="56" t="str">
        <f>IF(VLOOKUP(B91,CENY!$B$11:$G$1054,4,FALSE)=0,"",VLOOKUP(B91,CENY!$B$11:$G$1054,4,FALSE))</f>
        <v/>
      </c>
      <c r="F91" s="40" t="str">
        <f t="shared" ref="F91:F92" si="20">IF(J91&lt;&gt;"",J91,IF(N91=0,"",N91))</f>
        <v/>
      </c>
      <c r="G91" s="52" t="e">
        <f>VLOOKUP(B91,CENY!$B$11:$M$1054,12,FALSE)</f>
        <v>#N/A</v>
      </c>
      <c r="H91" s="54" t="e">
        <f t="shared" ref="H91:H92" si="21">IF(G91="","",$H$22)</f>
        <v>#N/A</v>
      </c>
      <c r="I91" s="41" t="str">
        <f t="shared" ref="I91:I92" si="22">IF(F91="","",G91*F91)</f>
        <v/>
      </c>
      <c r="J91" s="122"/>
      <c r="K91" s="42" t="str">
        <f>VLOOKUP(B91,CENY!$B$11:$M$1054,8,FALSE)</f>
        <v xml:space="preserve"> </v>
      </c>
      <c r="L91" s="42">
        <f>VLOOKUP(B91,CENY!$B$11:$M$1054,9,FALSE)</f>
        <v>0</v>
      </c>
      <c r="M91" s="32"/>
      <c r="N91" s="35">
        <f t="shared" ref="N91:N92" si="23">SUM(P91:BW91)</f>
        <v>0</v>
      </c>
      <c r="O91" s="36">
        <v>0</v>
      </c>
      <c r="P91" s="32"/>
      <c r="Q91" s="32"/>
      <c r="R91" s="32"/>
      <c r="S91" s="325">
        <f>'AVT139'!BI5</f>
        <v>0</v>
      </c>
      <c r="T91" s="32"/>
      <c r="U91" s="32"/>
      <c r="V91" s="32"/>
      <c r="W91" s="32"/>
      <c r="X91" s="32"/>
      <c r="Y91" s="32"/>
      <c r="Z91" s="32"/>
      <c r="AA91" s="32"/>
      <c r="AB91" s="32"/>
      <c r="AC91" s="325">
        <f>'AVT139(vn-A)'!BI5</f>
        <v>0</v>
      </c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460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165"/>
      <c r="BP91" s="165"/>
      <c r="BQ91" s="165"/>
      <c r="BR91" s="165"/>
      <c r="BS91" s="165"/>
      <c r="BT91" s="165"/>
      <c r="BU91" s="165"/>
      <c r="BV91" s="55"/>
      <c r="BW91" s="160"/>
      <c r="BX91" s="32"/>
      <c r="BY91" s="24"/>
      <c r="BZ91" s="24"/>
      <c r="CA91" s="24"/>
      <c r="CB91" s="24"/>
      <c r="CC91" s="24"/>
      <c r="CD91" s="24"/>
      <c r="CE91" s="24"/>
    </row>
    <row r="92" spans="1:83" ht="15" hidden="1" customHeight="1">
      <c r="A92" s="4"/>
      <c r="B92" s="317">
        <f>IF($Q$8=$Q$7,CENY!B191,IF($Q$7=$Q$9,CENY!B209,CENY!B227))</f>
        <v>9255027</v>
      </c>
      <c r="C92" s="43" t="str">
        <f>VLOOKUP(B92,CENY!$B$11:$G$1054,2,FALSE)</f>
        <v>AvanY-bok pravý /v139/h270/ strieborná</v>
      </c>
      <c r="D92" s="353">
        <f>VLOOKUP(B92,CENY!$B$11:$G$1054,3,FALSE)</f>
        <v>20</v>
      </c>
      <c r="E92" s="56" t="str">
        <f>IF(VLOOKUP(B92,CENY!$B$11:$G$1054,4,FALSE)=0,"",VLOOKUP(B92,CENY!$B$11:$G$1054,4,FALSE))</f>
        <v/>
      </c>
      <c r="F92" s="40" t="str">
        <f t="shared" si="20"/>
        <v/>
      </c>
      <c r="G92" s="52" t="e">
        <f>VLOOKUP(B92,CENY!$B$11:$M$1054,12,FALSE)</f>
        <v>#N/A</v>
      </c>
      <c r="H92" s="54" t="e">
        <f t="shared" si="21"/>
        <v>#N/A</v>
      </c>
      <c r="I92" s="41" t="str">
        <f t="shared" si="22"/>
        <v/>
      </c>
      <c r="J92" s="122"/>
      <c r="K92" s="42" t="str">
        <f>VLOOKUP(B92,CENY!$B$11:$M$1054,8,FALSE)</f>
        <v xml:space="preserve"> </v>
      </c>
      <c r="L92" s="42">
        <f>VLOOKUP(B92,CENY!$B$11:$M$1054,9,FALSE)</f>
        <v>0</v>
      </c>
      <c r="M92" s="32"/>
      <c r="N92" s="35">
        <f t="shared" si="23"/>
        <v>0</v>
      </c>
      <c r="O92" s="36">
        <v>0</v>
      </c>
      <c r="P92" s="32"/>
      <c r="Q92" s="32"/>
      <c r="R92" s="32"/>
      <c r="S92" s="325">
        <f>'AVT139'!BI6</f>
        <v>0</v>
      </c>
      <c r="T92" s="32"/>
      <c r="U92" s="32"/>
      <c r="V92" s="32"/>
      <c r="W92" s="32"/>
      <c r="X92" s="32"/>
      <c r="Y92" s="32"/>
      <c r="Z92" s="32"/>
      <c r="AA92" s="32"/>
      <c r="AB92" s="32"/>
      <c r="AC92" s="325">
        <f>'AVT139(vn-A)'!BI6</f>
        <v>0</v>
      </c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460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165"/>
      <c r="BP92" s="165"/>
      <c r="BQ92" s="165"/>
      <c r="BR92" s="165"/>
      <c r="BS92" s="165"/>
      <c r="BT92" s="165"/>
      <c r="BU92" s="165"/>
      <c r="BV92" s="55"/>
      <c r="BW92" s="160"/>
      <c r="BX92" s="32"/>
      <c r="BY92" s="24"/>
      <c r="BZ92" s="24"/>
      <c r="CA92" s="24"/>
      <c r="CB92" s="24"/>
      <c r="CC92" s="24"/>
      <c r="CD92" s="24"/>
      <c r="CE92" s="24"/>
    </row>
    <row r="93" spans="1:83" ht="15" hidden="1" customHeight="1">
      <c r="A93" s="4"/>
      <c r="B93" s="317">
        <f>IF($Q$8=$Q$7,CENY!B192,IF($Q$7=$Q$9,CENY!B210,CENY!B228))</f>
        <v>9255028</v>
      </c>
      <c r="C93" s="43" t="str">
        <f>VLOOKUP(B93,CENY!$B$11:$G$1054,2,FALSE)</f>
        <v>AvanY-bok ľavý /v139/h300/ strieborná</v>
      </c>
      <c r="D93" s="353">
        <f>VLOOKUP(B93,CENY!$B$11:$G$1054,3,FALSE)</f>
        <v>20</v>
      </c>
      <c r="E93" s="56" t="str">
        <f>IF(VLOOKUP(B93,CENY!$B$11:$G$1054,4,FALSE)=0,"",VLOOKUP(B93,CENY!$B$11:$G$1054,4,FALSE))</f>
        <v/>
      </c>
      <c r="F93" s="40" t="str">
        <f t="shared" ref="F93:F109" si="24">IF(J93&lt;&gt;"",J93,IF(N93=0,"",N93))</f>
        <v/>
      </c>
      <c r="G93" s="52">
        <f>VLOOKUP(B93,CENY!$B$11:$M$1054,12,FALSE)</f>
        <v>12.895490000000001</v>
      </c>
      <c r="H93" s="54" t="str">
        <f t="shared" ref="H93:H158" si="25">IF(G93="","",$H$22)</f>
        <v xml:space="preserve"> EUR</v>
      </c>
      <c r="I93" s="41" t="str">
        <f t="shared" ref="I93:I158" si="26">IF(F93="","",G93*F93)</f>
        <v/>
      </c>
      <c r="J93" s="122"/>
      <c r="K93" s="42" t="str">
        <f>VLOOKUP(B93,CENY!$B$11:$M$1054,8,FALSE)</f>
        <v xml:space="preserve"> </v>
      </c>
      <c r="L93" s="42" t="str">
        <f>VLOOKUP(B93,CENY!$B$11:$M$1054,9,FALSE)</f>
        <v>396738</v>
      </c>
      <c r="M93" s="32"/>
      <c r="N93" s="35">
        <f t="shared" ref="N93:N110" si="27">SUM(P93:BW93)</f>
        <v>0</v>
      </c>
      <c r="O93" s="36">
        <v>0</v>
      </c>
      <c r="P93" s="32"/>
      <c r="Q93" s="32"/>
      <c r="R93" s="32"/>
      <c r="S93" s="325">
        <f>'AVT139'!BI7</f>
        <v>0</v>
      </c>
      <c r="T93" s="32"/>
      <c r="U93" s="32"/>
      <c r="V93" s="32"/>
      <c r="W93" s="32"/>
      <c r="X93" s="32"/>
      <c r="Y93" s="32"/>
      <c r="Z93" s="32"/>
      <c r="AA93" s="32"/>
      <c r="AB93" s="32"/>
      <c r="AC93" s="325">
        <f>'AVT139(vn-A)'!BI7</f>
        <v>0</v>
      </c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5">
        <f>'AVT-celny-139+187'!BI5</f>
        <v>0</v>
      </c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165"/>
      <c r="BP93" s="165"/>
      <c r="BQ93" s="165"/>
      <c r="BR93" s="165"/>
      <c r="BS93" s="165"/>
      <c r="BT93" s="165"/>
      <c r="BU93" s="165"/>
      <c r="BV93" s="55"/>
      <c r="BW93" s="160"/>
      <c r="BX93" s="32"/>
      <c r="BY93" s="24"/>
      <c r="BZ93" s="24"/>
      <c r="CA93" s="24"/>
      <c r="CB93" s="24"/>
      <c r="CC93" s="24"/>
      <c r="CD93" s="24"/>
      <c r="CE93" s="24"/>
    </row>
    <row r="94" spans="1:83" ht="15" hidden="1" customHeight="1">
      <c r="A94" s="4"/>
      <c r="B94" s="317">
        <f>IF($Q$8=$Q$7,CENY!B193,IF($Q$7=$Q$9,CENY!B211,CENY!B229))</f>
        <v>9255029</v>
      </c>
      <c r="C94" s="43" t="str">
        <f>VLOOKUP(B94,CENY!$B$11:$G$1054,2,FALSE)</f>
        <v>AvanY-bok pravý /v139/h300/ strieborná</v>
      </c>
      <c r="D94" s="353">
        <f>VLOOKUP(B94,CENY!$B$11:$G$1054,3,FALSE)</f>
        <v>20</v>
      </c>
      <c r="E94" s="56" t="str">
        <f>IF(VLOOKUP(B94,CENY!$B$11:$G$1054,4,FALSE)=0,"",VLOOKUP(B94,CENY!$B$11:$G$1054,4,FALSE))</f>
        <v/>
      </c>
      <c r="F94" s="40" t="str">
        <f t="shared" si="24"/>
        <v/>
      </c>
      <c r="G94" s="52">
        <f>VLOOKUP(B94,CENY!$B$11:$M$1054,12,FALSE)</f>
        <v>12.895490000000001</v>
      </c>
      <c r="H94" s="54" t="str">
        <f t="shared" si="25"/>
        <v xml:space="preserve"> EUR</v>
      </c>
      <c r="I94" s="41" t="str">
        <f t="shared" si="26"/>
        <v/>
      </c>
      <c r="J94" s="122"/>
      <c r="K94" s="42" t="str">
        <f>VLOOKUP(B94,CENY!$B$11:$M$1054,8,FALSE)</f>
        <v xml:space="preserve"> </v>
      </c>
      <c r="L94" s="42" t="str">
        <f>VLOOKUP(B94,CENY!$B$11:$M$1054,9,FALSE)</f>
        <v>396739</v>
      </c>
      <c r="M94" s="32"/>
      <c r="N94" s="35">
        <f t="shared" si="27"/>
        <v>0</v>
      </c>
      <c r="O94" s="36">
        <v>0</v>
      </c>
      <c r="P94" s="32"/>
      <c r="Q94" s="32"/>
      <c r="R94" s="32"/>
      <c r="S94" s="325">
        <f>'AVT139'!BI8</f>
        <v>0</v>
      </c>
      <c r="T94" s="32"/>
      <c r="U94" s="32"/>
      <c r="V94" s="32"/>
      <c r="W94" s="32"/>
      <c r="X94" s="32"/>
      <c r="Y94" s="32"/>
      <c r="Z94" s="32"/>
      <c r="AA94" s="32"/>
      <c r="AB94" s="32"/>
      <c r="AC94" s="325">
        <f>'AVT139(vn-A)'!BI8</f>
        <v>0</v>
      </c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5">
        <f>'AVT-celny-139+187'!BI6</f>
        <v>0</v>
      </c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165"/>
      <c r="BP94" s="165"/>
      <c r="BQ94" s="165"/>
      <c r="BR94" s="165"/>
      <c r="BS94" s="165"/>
      <c r="BT94" s="165"/>
      <c r="BU94" s="165"/>
      <c r="BV94" s="55"/>
      <c r="BW94" s="160"/>
      <c r="BX94" s="32"/>
      <c r="BY94" s="24"/>
      <c r="BZ94" s="24"/>
      <c r="CA94" s="24"/>
      <c r="CB94" s="24"/>
      <c r="CC94" s="24"/>
      <c r="CD94" s="24"/>
      <c r="CE94" s="24"/>
    </row>
    <row r="95" spans="1:83" ht="15" hidden="1" customHeight="1">
      <c r="A95" s="4"/>
      <c r="B95" s="317">
        <f>IF($Q$8=$Q$7,CENY!B194,IF($Q$7=$Q$9,CENY!B212,CENY!B230))</f>
        <v>9255030</v>
      </c>
      <c r="C95" s="43" t="str">
        <f>VLOOKUP(B95,CENY!$B$11:$G$1054,2,FALSE)</f>
        <v>AvanY-bok ľavý /v139/h350/ strieborná</v>
      </c>
      <c r="D95" s="353">
        <f>VLOOKUP(B95,CENY!$B$11:$G$1054,3,FALSE)</f>
        <v>20</v>
      </c>
      <c r="E95" s="56" t="str">
        <f>IF(VLOOKUP(B95,CENY!$B$11:$G$1054,4,FALSE)=0,"",VLOOKUP(B95,CENY!$B$11:$G$1054,4,FALSE))</f>
        <v/>
      </c>
      <c r="F95" s="40" t="str">
        <f t="shared" si="24"/>
        <v/>
      </c>
      <c r="G95" s="52">
        <f>VLOOKUP(B95,CENY!$B$11:$M$1054,12,FALSE)</f>
        <v>13.132899999999999</v>
      </c>
      <c r="H95" s="54" t="str">
        <f t="shared" si="25"/>
        <v xml:space="preserve"> EUR</v>
      </c>
      <c r="I95" s="41" t="str">
        <f t="shared" si="26"/>
        <v/>
      </c>
      <c r="J95" s="122"/>
      <c r="K95" s="42" t="str">
        <f>VLOOKUP(B95,CENY!$B$11:$M$1054,8,FALSE)</f>
        <v xml:space="preserve"> </v>
      </c>
      <c r="L95" s="42" t="str">
        <f>VLOOKUP(B95,CENY!$B$11:$M$1054,9,FALSE)</f>
        <v>396740</v>
      </c>
      <c r="M95" s="32"/>
      <c r="N95" s="35">
        <f t="shared" si="27"/>
        <v>0</v>
      </c>
      <c r="O95" s="36">
        <v>0</v>
      </c>
      <c r="P95" s="32"/>
      <c r="Q95" s="32"/>
      <c r="R95" s="32"/>
      <c r="S95" s="325">
        <f>'AVT139'!BI9</f>
        <v>0</v>
      </c>
      <c r="T95" s="32"/>
      <c r="U95" s="32"/>
      <c r="V95" s="32"/>
      <c r="W95" s="32"/>
      <c r="X95" s="32"/>
      <c r="Y95" s="32"/>
      <c r="Z95" s="32"/>
      <c r="AA95" s="32"/>
      <c r="AB95" s="32"/>
      <c r="AC95" s="325">
        <f>'AVT139(vn-A)'!BI9</f>
        <v>0</v>
      </c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5">
        <f>'AVT-celny-139+187'!BI7</f>
        <v>0</v>
      </c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165"/>
      <c r="BP95" s="165"/>
      <c r="BQ95" s="165"/>
      <c r="BR95" s="165"/>
      <c r="BS95" s="165"/>
      <c r="BT95" s="165"/>
      <c r="BU95" s="165"/>
      <c r="BV95" s="55"/>
      <c r="BW95" s="160"/>
      <c r="BX95" s="32"/>
      <c r="BY95" s="24"/>
      <c r="BZ95" s="24"/>
      <c r="CA95" s="24"/>
      <c r="CB95" s="24"/>
      <c r="CC95" s="24"/>
      <c r="CD95" s="24"/>
      <c r="CE95" s="24"/>
    </row>
    <row r="96" spans="1:83" ht="15" hidden="1" customHeight="1">
      <c r="A96" s="4"/>
      <c r="B96" s="317">
        <f>IF($Q$8=$Q$7,CENY!B195,IF($Q$7=$Q$9,CENY!B213,CENY!B231))</f>
        <v>9255031</v>
      </c>
      <c r="C96" s="43" t="str">
        <f>VLOOKUP(B96,CENY!$B$11:$G$1054,2,FALSE)</f>
        <v>AvanY-bok pravý /v139/h350/ strieborná</v>
      </c>
      <c r="D96" s="353">
        <f>VLOOKUP(B96,CENY!$B$11:$G$1054,3,FALSE)</f>
        <v>20</v>
      </c>
      <c r="E96" s="56" t="str">
        <f>IF(VLOOKUP(B96,CENY!$B$11:$G$1054,4,FALSE)=0,"",VLOOKUP(B96,CENY!$B$11:$G$1054,4,FALSE))</f>
        <v/>
      </c>
      <c r="F96" s="40" t="str">
        <f t="shared" si="24"/>
        <v/>
      </c>
      <c r="G96" s="52">
        <f>VLOOKUP(B96,CENY!$B$11:$M$1054,12,FALSE)</f>
        <v>13.132899999999999</v>
      </c>
      <c r="H96" s="54" t="str">
        <f t="shared" si="25"/>
        <v xml:space="preserve"> EUR</v>
      </c>
      <c r="I96" s="41" t="str">
        <f t="shared" si="26"/>
        <v/>
      </c>
      <c r="J96" s="122"/>
      <c r="K96" s="42" t="str">
        <f>VLOOKUP(B96,CENY!$B$11:$M$1054,8,FALSE)</f>
        <v xml:space="preserve"> </v>
      </c>
      <c r="L96" s="42" t="str">
        <f>VLOOKUP(B96,CENY!$B$11:$M$1054,9,FALSE)</f>
        <v>396741</v>
      </c>
      <c r="M96" s="32"/>
      <c r="N96" s="35">
        <f t="shared" si="27"/>
        <v>0</v>
      </c>
      <c r="O96" s="36">
        <v>0</v>
      </c>
      <c r="P96" s="32"/>
      <c r="Q96" s="32"/>
      <c r="R96" s="32"/>
      <c r="S96" s="325">
        <f>'AVT139'!BI10</f>
        <v>0</v>
      </c>
      <c r="T96" s="32"/>
      <c r="U96" s="32"/>
      <c r="V96" s="32"/>
      <c r="W96" s="32"/>
      <c r="X96" s="32"/>
      <c r="Y96" s="32"/>
      <c r="Z96" s="32"/>
      <c r="AA96" s="32"/>
      <c r="AB96" s="32"/>
      <c r="AC96" s="325">
        <f>'AVT139(vn-A)'!BI10</f>
        <v>0</v>
      </c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5">
        <f>'AVT-celny-139+187'!BI8</f>
        <v>0</v>
      </c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165"/>
      <c r="BP96" s="165"/>
      <c r="BQ96" s="165"/>
      <c r="BR96" s="165"/>
      <c r="BS96" s="165"/>
      <c r="BT96" s="165"/>
      <c r="BU96" s="165"/>
      <c r="BV96" s="55"/>
      <c r="BW96" s="160"/>
      <c r="BX96" s="32"/>
      <c r="BY96" s="24"/>
      <c r="BZ96" s="24"/>
      <c r="CA96" s="24"/>
      <c r="CB96" s="24"/>
      <c r="CC96" s="24"/>
      <c r="CD96" s="24"/>
      <c r="CE96" s="24"/>
    </row>
    <row r="97" spans="1:83" ht="15" hidden="1" customHeight="1">
      <c r="A97" s="4"/>
      <c r="B97" s="317">
        <f>IF($Q$8=$Q$7,CENY!B196,IF($Q$7=$Q$9,CENY!B214,CENY!B232))</f>
        <v>9255032</v>
      </c>
      <c r="C97" s="43" t="str">
        <f>VLOOKUP(B97,CENY!$B$11:$G$1054,2,FALSE)</f>
        <v>AvanY-bok ľavý /v139/h400/ strieborná</v>
      </c>
      <c r="D97" s="353">
        <f>VLOOKUP(B97,CENY!$B$11:$G$1054,3,FALSE)</f>
        <v>20</v>
      </c>
      <c r="E97" s="56" t="str">
        <f>IF(VLOOKUP(B97,CENY!$B$11:$G$1054,4,FALSE)=0,"",VLOOKUP(B97,CENY!$B$11:$G$1054,4,FALSE))</f>
        <v/>
      </c>
      <c r="F97" s="40" t="str">
        <f t="shared" si="24"/>
        <v/>
      </c>
      <c r="G97" s="52">
        <f>VLOOKUP(B97,CENY!$B$11:$M$1054,12,FALSE)</f>
        <v>13.370430000000001</v>
      </c>
      <c r="H97" s="54" t="str">
        <f t="shared" si="25"/>
        <v xml:space="preserve"> EUR</v>
      </c>
      <c r="I97" s="41" t="str">
        <f t="shared" si="26"/>
        <v/>
      </c>
      <c r="J97" s="122"/>
      <c r="K97" s="42" t="str">
        <f>VLOOKUP(B97,CENY!$B$11:$M$1054,8,FALSE)</f>
        <v xml:space="preserve"> </v>
      </c>
      <c r="L97" s="42" t="str">
        <f>VLOOKUP(B97,CENY!$B$11:$M$1054,9,FALSE)</f>
        <v>396742</v>
      </c>
      <c r="M97" s="32"/>
      <c r="N97" s="35">
        <f t="shared" si="27"/>
        <v>0</v>
      </c>
      <c r="O97" s="36">
        <v>0</v>
      </c>
      <c r="P97" s="32"/>
      <c r="Q97" s="32"/>
      <c r="R97" s="32"/>
      <c r="S97" s="325">
        <f>'AVT139'!BI11</f>
        <v>0</v>
      </c>
      <c r="T97" s="32"/>
      <c r="U97" s="32"/>
      <c r="V97" s="32"/>
      <c r="W97" s="32"/>
      <c r="X97" s="32"/>
      <c r="Y97" s="32"/>
      <c r="Z97" s="32"/>
      <c r="AA97" s="32"/>
      <c r="AB97" s="32"/>
      <c r="AC97" s="325">
        <f>'AVT139(vn-A)'!BI11</f>
        <v>0</v>
      </c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5">
        <f>'AVT-celny-139+187'!BI9</f>
        <v>0</v>
      </c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165"/>
      <c r="BP97" s="165"/>
      <c r="BQ97" s="165"/>
      <c r="BR97" s="165"/>
      <c r="BS97" s="165"/>
      <c r="BT97" s="165"/>
      <c r="BU97" s="165"/>
      <c r="BV97" s="55"/>
      <c r="BW97" s="160"/>
      <c r="BX97" s="32"/>
      <c r="BY97" s="24"/>
      <c r="BZ97" s="24"/>
      <c r="CA97" s="24"/>
      <c r="CB97" s="24"/>
      <c r="CC97" s="24"/>
      <c r="CD97" s="24"/>
      <c r="CE97" s="24"/>
    </row>
    <row r="98" spans="1:83" ht="15" hidden="1" customHeight="1">
      <c r="A98" s="4"/>
      <c r="B98" s="317">
        <f>IF($Q$8=$Q$7,CENY!B197,IF($Q$7=$Q$9,CENY!B215,CENY!B233))</f>
        <v>9255033</v>
      </c>
      <c r="C98" s="43" t="str">
        <f>VLOOKUP(B98,CENY!$B$11:$G$1054,2,FALSE)</f>
        <v>AvanY-bok pravý /v139/h400/ strieborná</v>
      </c>
      <c r="D98" s="353">
        <f>VLOOKUP(B98,CENY!$B$11:$G$1054,3,FALSE)</f>
        <v>20</v>
      </c>
      <c r="E98" s="56" t="str">
        <f>IF(VLOOKUP(B98,CENY!$B$11:$G$1054,4,FALSE)=0,"",VLOOKUP(B98,CENY!$B$11:$G$1054,4,FALSE))</f>
        <v/>
      </c>
      <c r="F98" s="40" t="str">
        <f t="shared" si="24"/>
        <v/>
      </c>
      <c r="G98" s="52">
        <f>VLOOKUP(B98,CENY!$B$11:$M$1054,12,FALSE)</f>
        <v>13.370430000000001</v>
      </c>
      <c r="H98" s="54" t="str">
        <f t="shared" si="25"/>
        <v xml:space="preserve"> EUR</v>
      </c>
      <c r="I98" s="41" t="str">
        <f t="shared" si="26"/>
        <v/>
      </c>
      <c r="J98" s="122"/>
      <c r="K98" s="42" t="str">
        <f>VLOOKUP(B98,CENY!$B$11:$M$1054,8,FALSE)</f>
        <v xml:space="preserve"> </v>
      </c>
      <c r="L98" s="42" t="str">
        <f>VLOOKUP(B98,CENY!$B$11:$M$1054,9,FALSE)</f>
        <v>396743</v>
      </c>
      <c r="M98" s="32"/>
      <c r="N98" s="35">
        <f t="shared" si="27"/>
        <v>0</v>
      </c>
      <c r="O98" s="36">
        <v>0</v>
      </c>
      <c r="P98" s="32"/>
      <c r="Q98" s="32"/>
      <c r="R98" s="32"/>
      <c r="S98" s="325">
        <f>'AVT139'!BI12</f>
        <v>0</v>
      </c>
      <c r="T98" s="32"/>
      <c r="U98" s="32"/>
      <c r="V98" s="32"/>
      <c r="W98" s="32"/>
      <c r="X98" s="32"/>
      <c r="Y98" s="32"/>
      <c r="Z98" s="32"/>
      <c r="AA98" s="32"/>
      <c r="AB98" s="32"/>
      <c r="AC98" s="325">
        <f>'AVT139(vn-A)'!BI12</f>
        <v>0</v>
      </c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5">
        <f>'AVT-celny-139+187'!BI10</f>
        <v>0</v>
      </c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165"/>
      <c r="BP98" s="165"/>
      <c r="BQ98" s="165"/>
      <c r="BR98" s="165"/>
      <c r="BS98" s="165"/>
      <c r="BT98" s="165"/>
      <c r="BU98" s="165"/>
      <c r="BV98" s="55"/>
      <c r="BW98" s="160"/>
      <c r="BX98" s="32"/>
      <c r="BY98" s="24"/>
      <c r="BZ98" s="24"/>
      <c r="CA98" s="24"/>
      <c r="CB98" s="24"/>
      <c r="CC98" s="24"/>
      <c r="CD98" s="24"/>
      <c r="CE98" s="24"/>
    </row>
    <row r="99" spans="1:83" ht="15" hidden="1" customHeight="1">
      <c r="A99" s="4"/>
      <c r="B99" s="317">
        <f>IF($Q$8=$Q$7,CENY!B198,IF($Q$7=$Q$9,CENY!B216,CENY!B234))</f>
        <v>9255034</v>
      </c>
      <c r="C99" s="43" t="str">
        <f>VLOOKUP(B99,CENY!$B$11:$G$1054,2,FALSE)</f>
        <v>AvanY-bok ľavý /v139/h450/ strieborná</v>
      </c>
      <c r="D99" s="353">
        <f>VLOOKUP(B99,CENY!$B$11:$G$1054,3,FALSE)</f>
        <v>20</v>
      </c>
      <c r="E99" s="56" t="str">
        <f>IF(VLOOKUP(B99,CENY!$B$11:$G$1054,4,FALSE)=0,"",VLOOKUP(B99,CENY!$B$11:$G$1054,4,FALSE))</f>
        <v/>
      </c>
      <c r="F99" s="40" t="str">
        <f t="shared" si="24"/>
        <v/>
      </c>
      <c r="G99" s="52">
        <f>VLOOKUP(B99,CENY!$B$11:$M$1054,12,FALSE)</f>
        <v>13.60773</v>
      </c>
      <c r="H99" s="54" t="str">
        <f t="shared" si="25"/>
        <v xml:space="preserve"> EUR</v>
      </c>
      <c r="I99" s="41" t="str">
        <f t="shared" si="26"/>
        <v/>
      </c>
      <c r="J99" s="122"/>
      <c r="K99" s="42" t="str">
        <f>VLOOKUP(B99,CENY!$B$11:$M$1054,8,FALSE)</f>
        <v xml:space="preserve"> </v>
      </c>
      <c r="L99" s="42" t="str">
        <f>VLOOKUP(B99,CENY!$B$11:$M$1054,9,FALSE)</f>
        <v>396744</v>
      </c>
      <c r="M99" s="32"/>
      <c r="N99" s="35">
        <f t="shared" si="27"/>
        <v>0</v>
      </c>
      <c r="O99" s="36">
        <v>0</v>
      </c>
      <c r="P99" s="32"/>
      <c r="Q99" s="32"/>
      <c r="R99" s="32"/>
      <c r="S99" s="325">
        <f>'AVT139'!BI13</f>
        <v>0</v>
      </c>
      <c r="T99" s="32"/>
      <c r="U99" s="32"/>
      <c r="V99" s="32"/>
      <c r="W99" s="32"/>
      <c r="X99" s="32"/>
      <c r="Y99" s="32"/>
      <c r="Z99" s="32"/>
      <c r="AA99" s="32"/>
      <c r="AB99" s="32"/>
      <c r="AC99" s="325">
        <f>'AVT139(vn-A)'!BI13</f>
        <v>0</v>
      </c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5">
        <f>'AVT-celny-139+187'!BI11</f>
        <v>0</v>
      </c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165"/>
      <c r="BP99" s="165"/>
      <c r="BQ99" s="165"/>
      <c r="BR99" s="165"/>
      <c r="BS99" s="165"/>
      <c r="BT99" s="165"/>
      <c r="BU99" s="165"/>
      <c r="BV99" s="55"/>
      <c r="BW99" s="160"/>
      <c r="BX99" s="32"/>
      <c r="BY99" s="24"/>
      <c r="BZ99" s="24"/>
      <c r="CA99" s="24"/>
      <c r="CB99" s="24"/>
      <c r="CC99" s="24"/>
      <c r="CD99" s="24"/>
      <c r="CE99" s="24"/>
    </row>
    <row r="100" spans="1:83" ht="15" hidden="1" customHeight="1">
      <c r="A100" s="4"/>
      <c r="B100" s="317">
        <f>IF($Q$8=$Q$7,CENY!B199,IF($Q$7=$Q$9,CENY!B217,CENY!B235))</f>
        <v>9255035</v>
      </c>
      <c r="C100" s="43" t="str">
        <f>VLOOKUP(B100,CENY!$B$11:$G$1054,2,FALSE)</f>
        <v>AvanY-bok pravý /v139/h450/ strieborná</v>
      </c>
      <c r="D100" s="353">
        <f>VLOOKUP(B100,CENY!$B$11:$G$1054,3,FALSE)</f>
        <v>20</v>
      </c>
      <c r="E100" s="56" t="str">
        <f>IF(VLOOKUP(B100,CENY!$B$11:$G$1054,4,FALSE)=0,"",VLOOKUP(B100,CENY!$B$11:$G$1054,4,FALSE))</f>
        <v/>
      </c>
      <c r="F100" s="40" t="str">
        <f t="shared" si="24"/>
        <v/>
      </c>
      <c r="G100" s="52">
        <f>VLOOKUP(B100,CENY!$B$11:$M$1054,12,FALSE)</f>
        <v>13.60773</v>
      </c>
      <c r="H100" s="54" t="str">
        <f t="shared" si="25"/>
        <v xml:space="preserve"> EUR</v>
      </c>
      <c r="I100" s="41" t="str">
        <f t="shared" si="26"/>
        <v/>
      </c>
      <c r="J100" s="122"/>
      <c r="K100" s="42" t="str">
        <f>VLOOKUP(B100,CENY!$B$11:$M$1054,8,FALSE)</f>
        <v xml:space="preserve"> </v>
      </c>
      <c r="L100" s="42" t="str">
        <f>VLOOKUP(B100,CENY!$B$11:$M$1054,9,FALSE)</f>
        <v>396745</v>
      </c>
      <c r="M100" s="32"/>
      <c r="N100" s="35">
        <f t="shared" si="27"/>
        <v>0</v>
      </c>
      <c r="O100" s="36">
        <v>0</v>
      </c>
      <c r="P100" s="32"/>
      <c r="Q100" s="32"/>
      <c r="R100" s="32"/>
      <c r="S100" s="325">
        <f>'AVT139'!BI14</f>
        <v>0</v>
      </c>
      <c r="T100" s="32"/>
      <c r="U100" s="32"/>
      <c r="V100" s="32"/>
      <c r="W100" s="32"/>
      <c r="X100" s="32"/>
      <c r="Y100" s="32"/>
      <c r="Z100" s="32"/>
      <c r="AA100" s="32"/>
      <c r="AB100" s="32"/>
      <c r="AC100" s="325">
        <f>'AVT139(vn-A)'!BI14</f>
        <v>0</v>
      </c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5">
        <f>'AVT-celny-139+187'!BI12</f>
        <v>0</v>
      </c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165"/>
      <c r="BP100" s="165"/>
      <c r="BQ100" s="165"/>
      <c r="BR100" s="165"/>
      <c r="BS100" s="165"/>
      <c r="BT100" s="165"/>
      <c r="BU100" s="165"/>
      <c r="BV100" s="55"/>
      <c r="BW100" s="160"/>
      <c r="BX100" s="32"/>
      <c r="BY100" s="24"/>
      <c r="BZ100" s="24"/>
      <c r="CA100" s="24"/>
      <c r="CB100" s="24"/>
      <c r="CC100" s="24"/>
      <c r="CD100" s="24"/>
      <c r="CE100" s="24"/>
    </row>
    <row r="101" spans="1:83" ht="15" hidden="1" customHeight="1">
      <c r="A101" s="4"/>
      <c r="B101" s="317">
        <f>IF($Q$8=$Q$7,CENY!B200,IF($Q$7=$Q$9,CENY!B218,CENY!B236))</f>
        <v>9255036</v>
      </c>
      <c r="C101" s="43" t="str">
        <f>VLOOKUP(B101,CENY!$B$11:$G$1054,2,FALSE)</f>
        <v>AvanY-bok ľavý /v139/h500/ strieborná</v>
      </c>
      <c r="D101" s="353">
        <f>VLOOKUP(B101,CENY!$B$11:$G$1054,3,FALSE)</f>
        <v>20</v>
      </c>
      <c r="E101" s="56" t="str">
        <f>IF(VLOOKUP(B101,CENY!$B$11:$G$1054,4,FALSE)=0,"",VLOOKUP(B101,CENY!$B$11:$G$1054,4,FALSE))</f>
        <v/>
      </c>
      <c r="F101" s="40" t="str">
        <f t="shared" si="24"/>
        <v/>
      </c>
      <c r="G101" s="52">
        <f>VLOOKUP(B101,CENY!$B$11:$M$1054,12,FALSE)</f>
        <v>13.185700000000001</v>
      </c>
      <c r="H101" s="54" t="str">
        <f t="shared" si="25"/>
        <v xml:space="preserve"> EUR</v>
      </c>
      <c r="I101" s="41" t="str">
        <f t="shared" si="26"/>
        <v/>
      </c>
      <c r="J101" s="122"/>
      <c r="K101" s="42" t="str">
        <f>VLOOKUP(B101,CENY!$B$11:$M$1054,8,FALSE)</f>
        <v xml:space="preserve"> </v>
      </c>
      <c r="L101" s="42" t="str">
        <f>VLOOKUP(B101,CENY!$B$11:$M$1054,9,FALSE)</f>
        <v>396746</v>
      </c>
      <c r="M101" s="32"/>
      <c r="N101" s="35">
        <f t="shared" si="27"/>
        <v>0</v>
      </c>
      <c r="O101" s="36">
        <v>0</v>
      </c>
      <c r="P101" s="32"/>
      <c r="Q101" s="32"/>
      <c r="R101" s="32"/>
      <c r="S101" s="325">
        <f>'AVT139'!BI15</f>
        <v>0</v>
      </c>
      <c r="T101" s="32"/>
      <c r="U101" s="32"/>
      <c r="V101" s="32"/>
      <c r="W101" s="32"/>
      <c r="X101" s="32"/>
      <c r="Y101" s="32"/>
      <c r="Z101" s="32"/>
      <c r="AA101" s="32"/>
      <c r="AB101" s="32"/>
      <c r="AC101" s="325">
        <f>'AVT139(vn-A)'!BI15</f>
        <v>0</v>
      </c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5">
        <f>'AVT-celny-139+187'!BI13</f>
        <v>0</v>
      </c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165"/>
      <c r="BP101" s="165"/>
      <c r="BQ101" s="165"/>
      <c r="BR101" s="165"/>
      <c r="BS101" s="165"/>
      <c r="BT101" s="165"/>
      <c r="BU101" s="165"/>
      <c r="BV101" s="55"/>
      <c r="BW101" s="160"/>
      <c r="BX101" s="32"/>
      <c r="BY101" s="24"/>
      <c r="BZ101" s="24"/>
      <c r="CA101" s="24"/>
      <c r="CB101" s="24"/>
      <c r="CC101" s="24"/>
      <c r="CD101" s="24"/>
      <c r="CE101" s="24"/>
    </row>
    <row r="102" spans="1:83" ht="15" hidden="1" customHeight="1">
      <c r="A102" s="4"/>
      <c r="B102" s="317">
        <f>IF($Q$8=$Q$7,CENY!B201,IF($Q$7=$Q$9,CENY!B219,CENY!B237))</f>
        <v>9255037</v>
      </c>
      <c r="C102" s="43" t="str">
        <f>VLOOKUP(B102,CENY!$B$11:$G$1054,2,FALSE)</f>
        <v>AvanY-bok pravý /v139/h500/ strieborná</v>
      </c>
      <c r="D102" s="353">
        <f>VLOOKUP(B102,CENY!$B$11:$G$1054,3,FALSE)</f>
        <v>20</v>
      </c>
      <c r="E102" s="56" t="str">
        <f>IF(VLOOKUP(B102,CENY!$B$11:$G$1054,4,FALSE)=0,"",VLOOKUP(B102,CENY!$B$11:$G$1054,4,FALSE))</f>
        <v/>
      </c>
      <c r="F102" s="40" t="str">
        <f t="shared" si="24"/>
        <v/>
      </c>
      <c r="G102" s="52">
        <f>VLOOKUP(B102,CENY!$B$11:$M$1054,12,FALSE)</f>
        <v>13.185700000000001</v>
      </c>
      <c r="H102" s="54" t="str">
        <f t="shared" si="25"/>
        <v xml:space="preserve"> EUR</v>
      </c>
      <c r="I102" s="41" t="str">
        <f t="shared" si="26"/>
        <v/>
      </c>
      <c r="J102" s="122"/>
      <c r="K102" s="42" t="str">
        <f>VLOOKUP(B102,CENY!$B$11:$M$1054,8,FALSE)</f>
        <v xml:space="preserve"> </v>
      </c>
      <c r="L102" s="42" t="str">
        <f>VLOOKUP(B102,CENY!$B$11:$M$1054,9,FALSE)</f>
        <v>396747</v>
      </c>
      <c r="M102" s="32"/>
      <c r="N102" s="35">
        <f t="shared" si="27"/>
        <v>0</v>
      </c>
      <c r="O102" s="36">
        <v>0</v>
      </c>
      <c r="P102" s="32"/>
      <c r="Q102" s="32"/>
      <c r="R102" s="32"/>
      <c r="S102" s="325">
        <f>'AVT139'!BI16</f>
        <v>0</v>
      </c>
      <c r="T102" s="32"/>
      <c r="U102" s="32"/>
      <c r="V102" s="32"/>
      <c r="W102" s="32"/>
      <c r="X102" s="32"/>
      <c r="Y102" s="32"/>
      <c r="Z102" s="32"/>
      <c r="AA102" s="32"/>
      <c r="AB102" s="32"/>
      <c r="AC102" s="325">
        <f>'AVT139(vn-A)'!BI16</f>
        <v>0</v>
      </c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5">
        <f>'AVT-celny-139+187'!BI14</f>
        <v>0</v>
      </c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165"/>
      <c r="BP102" s="165"/>
      <c r="BQ102" s="165"/>
      <c r="BR102" s="165"/>
      <c r="BS102" s="165"/>
      <c r="BT102" s="165"/>
      <c r="BU102" s="165"/>
      <c r="BV102" s="55"/>
      <c r="BW102" s="160"/>
      <c r="BX102" s="32"/>
      <c r="BY102" s="24"/>
      <c r="BZ102" s="24"/>
      <c r="CA102" s="24"/>
      <c r="CB102" s="24"/>
      <c r="CC102" s="24"/>
      <c r="CD102" s="24"/>
      <c r="CE102" s="24"/>
    </row>
    <row r="103" spans="1:83" ht="15" hidden="1" customHeight="1">
      <c r="A103" s="4"/>
      <c r="B103" s="317">
        <f>IF($Q$8=$Q$7,CENY!B202,IF($Q$7=$Q$9,CENY!B220,CENY!B238))</f>
        <v>9255038</v>
      </c>
      <c r="C103" s="43" t="str">
        <f>VLOOKUP(B103,CENY!$B$11:$G$1054,2,FALSE)</f>
        <v>AvanY-bok ľavý /v139/h550/ strieborná</v>
      </c>
      <c r="D103" s="353">
        <f>VLOOKUP(B103,CENY!$B$11:$G$1054,3,FALSE)</f>
        <v>20</v>
      </c>
      <c r="E103" s="56" t="str">
        <f>IF(VLOOKUP(B103,CENY!$B$11:$G$1054,4,FALSE)=0,"",VLOOKUP(B103,CENY!$B$11:$G$1054,4,FALSE))</f>
        <v/>
      </c>
      <c r="F103" s="40" t="str">
        <f t="shared" si="24"/>
        <v/>
      </c>
      <c r="G103" s="52">
        <f>VLOOKUP(B103,CENY!$B$11:$M$1054,12,FALSE)</f>
        <v>14.08229</v>
      </c>
      <c r="H103" s="54" t="str">
        <f t="shared" si="25"/>
        <v xml:space="preserve"> EUR</v>
      </c>
      <c r="I103" s="41" t="str">
        <f t="shared" si="26"/>
        <v/>
      </c>
      <c r="J103" s="122"/>
      <c r="K103" s="42" t="str">
        <f>VLOOKUP(B103,CENY!$B$11:$M$1054,8,FALSE)</f>
        <v xml:space="preserve"> </v>
      </c>
      <c r="L103" s="42" t="str">
        <f>VLOOKUP(B103,CENY!$B$11:$M$1054,9,FALSE)</f>
        <v>396748</v>
      </c>
      <c r="M103" s="32"/>
      <c r="N103" s="35">
        <f t="shared" si="27"/>
        <v>0</v>
      </c>
      <c r="O103" s="36">
        <v>0</v>
      </c>
      <c r="P103" s="32"/>
      <c r="Q103" s="32"/>
      <c r="R103" s="32"/>
      <c r="S103" s="325">
        <f>'AVT139'!BI17</f>
        <v>0</v>
      </c>
      <c r="T103" s="32"/>
      <c r="U103" s="32"/>
      <c r="V103" s="32"/>
      <c r="W103" s="32"/>
      <c r="X103" s="32"/>
      <c r="Y103" s="32"/>
      <c r="Z103" s="32"/>
      <c r="AA103" s="32"/>
      <c r="AB103" s="32"/>
      <c r="AC103" s="325">
        <f>'AVT139(vn-A)'!BI17</f>
        <v>0</v>
      </c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5">
        <f>'AVT-celny-139+187'!BI15</f>
        <v>0</v>
      </c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165"/>
      <c r="BP103" s="165"/>
      <c r="BQ103" s="165"/>
      <c r="BR103" s="165"/>
      <c r="BS103" s="165"/>
      <c r="BT103" s="165"/>
      <c r="BU103" s="165"/>
      <c r="BV103" s="55"/>
      <c r="BW103" s="160"/>
      <c r="BX103" s="32"/>
      <c r="BY103" s="24"/>
      <c r="BZ103" s="24"/>
      <c r="CA103" s="24"/>
      <c r="CB103" s="24"/>
      <c r="CC103" s="24"/>
      <c r="CD103" s="24"/>
      <c r="CE103" s="24"/>
    </row>
    <row r="104" spans="1:83" ht="15" hidden="1" customHeight="1">
      <c r="A104" s="4"/>
      <c r="B104" s="317">
        <f>IF($Q$8=$Q$7,CENY!B203,IF($Q$7=$Q$9,CENY!B221,CENY!B239))</f>
        <v>9255039</v>
      </c>
      <c r="C104" s="43" t="str">
        <f>VLOOKUP(B104,CENY!$B$11:$G$1054,2,FALSE)</f>
        <v>AvanY-bok pravý /v139/h550/ strieborná</v>
      </c>
      <c r="D104" s="353">
        <f>VLOOKUP(B104,CENY!$B$11:$G$1054,3,FALSE)</f>
        <v>20</v>
      </c>
      <c r="E104" s="56" t="str">
        <f>IF(VLOOKUP(B104,CENY!$B$11:$G$1054,4,FALSE)=0,"",VLOOKUP(B104,CENY!$B$11:$G$1054,4,FALSE))</f>
        <v/>
      </c>
      <c r="F104" s="40" t="str">
        <f t="shared" si="24"/>
        <v/>
      </c>
      <c r="G104" s="52">
        <f>VLOOKUP(B104,CENY!$B$11:$M$1054,12,FALSE)</f>
        <v>14.08229</v>
      </c>
      <c r="H104" s="54" t="str">
        <f t="shared" si="25"/>
        <v xml:space="preserve"> EUR</v>
      </c>
      <c r="I104" s="41" t="str">
        <f t="shared" si="26"/>
        <v/>
      </c>
      <c r="J104" s="122"/>
      <c r="K104" s="42" t="str">
        <f>VLOOKUP(B104,CENY!$B$11:$M$1054,8,FALSE)</f>
        <v xml:space="preserve"> </v>
      </c>
      <c r="L104" s="42" t="str">
        <f>VLOOKUP(B104,CENY!$B$11:$M$1054,9,FALSE)</f>
        <v>396749</v>
      </c>
      <c r="M104" s="32"/>
      <c r="N104" s="35">
        <f t="shared" si="27"/>
        <v>0</v>
      </c>
      <c r="O104" s="36">
        <v>0</v>
      </c>
      <c r="P104" s="32"/>
      <c r="Q104" s="32"/>
      <c r="R104" s="32"/>
      <c r="S104" s="325">
        <f>'AVT139'!BI18</f>
        <v>0</v>
      </c>
      <c r="T104" s="32"/>
      <c r="U104" s="32"/>
      <c r="V104" s="32"/>
      <c r="W104" s="32"/>
      <c r="X104" s="32"/>
      <c r="Y104" s="32"/>
      <c r="Z104" s="32"/>
      <c r="AA104" s="32"/>
      <c r="AB104" s="32"/>
      <c r="AC104" s="325">
        <f>'AVT139(vn-A)'!BI18</f>
        <v>0</v>
      </c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5">
        <f>'AVT-celny-139+187'!BI16</f>
        <v>0</v>
      </c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165"/>
      <c r="BP104" s="165"/>
      <c r="BQ104" s="165"/>
      <c r="BR104" s="165"/>
      <c r="BS104" s="165"/>
      <c r="BT104" s="165"/>
      <c r="BU104" s="165"/>
      <c r="BV104" s="55"/>
      <c r="BW104" s="160"/>
      <c r="BX104" s="32"/>
      <c r="BY104" s="24"/>
      <c r="BZ104" s="24"/>
      <c r="CA104" s="24"/>
      <c r="CB104" s="24"/>
      <c r="CC104" s="24"/>
      <c r="CD104" s="24"/>
      <c r="CE104" s="24"/>
    </row>
    <row r="105" spans="1:83" ht="15" hidden="1" customHeight="1">
      <c r="A105" s="4"/>
      <c r="B105" s="317">
        <f>IF($Q$8=$Q$7,CENY!B204,IF($Q$7=$Q$9,CENY!B222,CENY!B240))</f>
        <v>9255040</v>
      </c>
      <c r="C105" s="43" t="str">
        <f>VLOOKUP(B105,CENY!$B$11:$G$1054,2,FALSE)</f>
        <v>AvanY-bok ľavý /v139/h600/ strieborná</v>
      </c>
      <c r="D105" s="353">
        <f>VLOOKUP(B105,CENY!$B$11:$G$1054,3,FALSE)</f>
        <v>20</v>
      </c>
      <c r="E105" s="56" t="str">
        <f>IF(VLOOKUP(B105,CENY!$B$11:$G$1054,4,FALSE)=0,"",VLOOKUP(B105,CENY!$B$11:$G$1054,4,FALSE))</f>
        <v/>
      </c>
      <c r="F105" s="40" t="str">
        <f t="shared" si="24"/>
        <v/>
      </c>
      <c r="G105" s="52">
        <f>VLOOKUP(B105,CENY!$B$11:$M$1054,12,FALSE)</f>
        <v>14.44021</v>
      </c>
      <c r="H105" s="54" t="str">
        <f t="shared" si="25"/>
        <v xml:space="preserve"> EUR</v>
      </c>
      <c r="I105" s="41" t="str">
        <f t="shared" si="26"/>
        <v/>
      </c>
      <c r="J105" s="122"/>
      <c r="K105" s="42" t="str">
        <f>VLOOKUP(B105,CENY!$B$11:$M$1054,8,FALSE)</f>
        <v xml:space="preserve"> </v>
      </c>
      <c r="L105" s="42" t="str">
        <f>VLOOKUP(B105,CENY!$B$11:$M$1054,9,FALSE)</f>
        <v>396750</v>
      </c>
      <c r="M105" s="32"/>
      <c r="N105" s="35">
        <f t="shared" si="27"/>
        <v>0</v>
      </c>
      <c r="O105" s="36">
        <v>0</v>
      </c>
      <c r="P105" s="32"/>
      <c r="Q105" s="32"/>
      <c r="R105" s="32"/>
      <c r="S105" s="325">
        <f>'AVT139'!BI19</f>
        <v>0</v>
      </c>
      <c r="T105" s="32"/>
      <c r="U105" s="32"/>
      <c r="V105" s="32"/>
      <c r="W105" s="32"/>
      <c r="X105" s="32"/>
      <c r="Y105" s="32"/>
      <c r="Z105" s="32"/>
      <c r="AA105" s="32"/>
      <c r="AB105" s="32"/>
      <c r="AC105" s="325">
        <f>'AVT139(vn-A)'!BI19</f>
        <v>0</v>
      </c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5">
        <f>'AVT-celny-139+187'!BI17</f>
        <v>0</v>
      </c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165"/>
      <c r="BP105" s="165"/>
      <c r="BQ105" s="165"/>
      <c r="BR105" s="165"/>
      <c r="BS105" s="165"/>
      <c r="BT105" s="165"/>
      <c r="BU105" s="165"/>
      <c r="BV105" s="55"/>
      <c r="BW105" s="160"/>
      <c r="BX105" s="32"/>
      <c r="BY105" s="24"/>
      <c r="BZ105" s="24"/>
      <c r="CA105" s="24"/>
      <c r="CB105" s="24"/>
      <c r="CC105" s="24"/>
      <c r="CD105" s="24"/>
      <c r="CE105" s="24"/>
    </row>
    <row r="106" spans="1:83" ht="15" hidden="1" customHeight="1">
      <c r="A106" s="4"/>
      <c r="B106" s="317">
        <f>IF($Q$8=$Q$7,CENY!B205,IF($Q$7=$Q$9,CENY!B223,CENY!B241))</f>
        <v>9255041</v>
      </c>
      <c r="C106" s="43" t="str">
        <f>VLOOKUP(B106,CENY!$B$11:$G$1054,2,FALSE)</f>
        <v>AvanY-bok pravý /v139/h600/ strieborná</v>
      </c>
      <c r="D106" s="353">
        <f>VLOOKUP(B106,CENY!$B$11:$G$1054,3,FALSE)</f>
        <v>20</v>
      </c>
      <c r="E106" s="56" t="str">
        <f>IF(VLOOKUP(B106,CENY!$B$11:$G$1054,4,FALSE)=0,"",VLOOKUP(B106,CENY!$B$11:$G$1054,4,FALSE))</f>
        <v/>
      </c>
      <c r="F106" s="40" t="str">
        <f t="shared" si="24"/>
        <v/>
      </c>
      <c r="G106" s="52">
        <f>VLOOKUP(B106,CENY!$B$11:$M$1054,12,FALSE)</f>
        <v>14.44021</v>
      </c>
      <c r="H106" s="54" t="str">
        <f t="shared" si="25"/>
        <v xml:space="preserve"> EUR</v>
      </c>
      <c r="I106" s="41" t="str">
        <f t="shared" si="26"/>
        <v/>
      </c>
      <c r="J106" s="122"/>
      <c r="K106" s="42" t="str">
        <f>VLOOKUP(B106,CENY!$B$11:$M$1054,8,FALSE)</f>
        <v xml:space="preserve"> </v>
      </c>
      <c r="L106" s="42" t="str">
        <f>VLOOKUP(B106,CENY!$B$11:$M$1054,9,FALSE)</f>
        <v>396751</v>
      </c>
      <c r="M106" s="32"/>
      <c r="N106" s="35">
        <f t="shared" si="27"/>
        <v>0</v>
      </c>
      <c r="O106" s="36">
        <v>0</v>
      </c>
      <c r="P106" s="32"/>
      <c r="Q106" s="32"/>
      <c r="R106" s="32"/>
      <c r="S106" s="325">
        <f>'AVT139'!BI20</f>
        <v>0</v>
      </c>
      <c r="T106" s="32"/>
      <c r="U106" s="32"/>
      <c r="V106" s="32"/>
      <c r="W106" s="32"/>
      <c r="X106" s="32"/>
      <c r="Y106" s="32"/>
      <c r="Z106" s="32"/>
      <c r="AA106" s="32"/>
      <c r="AB106" s="32"/>
      <c r="AC106" s="325">
        <f>'AVT139(vn-A)'!BI20</f>
        <v>0</v>
      </c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5">
        <f>'AVT-celny-139+187'!BI18</f>
        <v>0</v>
      </c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165"/>
      <c r="BP106" s="165"/>
      <c r="BQ106" s="165"/>
      <c r="BR106" s="165"/>
      <c r="BS106" s="165"/>
      <c r="BT106" s="165"/>
      <c r="BU106" s="165"/>
      <c r="BV106" s="55"/>
      <c r="BW106" s="160"/>
      <c r="BX106" s="32"/>
      <c r="BY106" s="24"/>
      <c r="BZ106" s="24"/>
      <c r="CA106" s="24"/>
      <c r="CB106" s="24"/>
      <c r="CC106" s="24"/>
      <c r="CD106" s="24"/>
      <c r="CE106" s="24"/>
    </row>
    <row r="107" spans="1:83" ht="15" hidden="1" customHeight="1">
      <c r="A107" s="4"/>
      <c r="B107" s="317">
        <f>IF($Q$8=$Q$7,CENY!B206,IF($Q$7=$Q$9,CENY!B224,CENY!B242))</f>
        <v>9255042</v>
      </c>
      <c r="C107" s="43" t="str">
        <f>VLOOKUP(B107,CENY!$B$11:$G$1054,2,FALSE)</f>
        <v>AvanY-bok ľavý /v139/h650/ strieborná</v>
      </c>
      <c r="D107" s="353">
        <f>VLOOKUP(B107,CENY!$B$11:$G$1054,3,FALSE)</f>
        <v>20</v>
      </c>
      <c r="E107" s="56" t="str">
        <f>IF(VLOOKUP(B107,CENY!$B$11:$G$1054,4,FALSE)=0,"",VLOOKUP(B107,CENY!$B$11:$G$1054,4,FALSE))</f>
        <v/>
      </c>
      <c r="F107" s="40" t="str">
        <f t="shared" si="24"/>
        <v/>
      </c>
      <c r="G107" s="52">
        <f>VLOOKUP(B107,CENY!$B$11:$M$1054,12,FALSE)</f>
        <v>14.822279999999999</v>
      </c>
      <c r="H107" s="54" t="str">
        <f t="shared" ref="H107:H108" si="28">IF(G107="","",$H$22)</f>
        <v xml:space="preserve"> EUR</v>
      </c>
      <c r="I107" s="41" t="str">
        <f t="shared" ref="I107:I108" si="29">IF(F107="","",G107*F107)</f>
        <v/>
      </c>
      <c r="J107" s="122"/>
      <c r="K107" s="42" t="str">
        <f>VLOOKUP(B107,CENY!$B$11:$M$1054,8,FALSE)</f>
        <v xml:space="preserve"> </v>
      </c>
      <c r="L107" s="42" t="str">
        <f>VLOOKUP(B107,CENY!$B$11:$M$1054,9,FALSE)</f>
        <v>470810</v>
      </c>
      <c r="M107" s="32"/>
      <c r="N107" s="35">
        <f t="shared" ref="N107:N108" si="30">SUM(P107:BW107)</f>
        <v>0</v>
      </c>
      <c r="O107" s="36">
        <v>0</v>
      </c>
      <c r="P107" s="32"/>
      <c r="Q107" s="32"/>
      <c r="R107" s="32"/>
      <c r="S107" s="325">
        <f>'AVT139'!BI21</f>
        <v>0</v>
      </c>
      <c r="T107" s="32"/>
      <c r="U107" s="32"/>
      <c r="V107" s="32"/>
      <c r="W107" s="32"/>
      <c r="X107" s="32"/>
      <c r="Y107" s="32"/>
      <c r="Z107" s="32"/>
      <c r="AA107" s="32"/>
      <c r="AB107" s="32"/>
      <c r="AC107" s="325">
        <f>'AVT139(vn-A)'!BI21</f>
        <v>0</v>
      </c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460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165"/>
      <c r="BP107" s="165"/>
      <c r="BQ107" s="165"/>
      <c r="BR107" s="165"/>
      <c r="BS107" s="165"/>
      <c r="BT107" s="165"/>
      <c r="BU107" s="165"/>
      <c r="BV107" s="55"/>
      <c r="BW107" s="160"/>
      <c r="BX107" s="32"/>
      <c r="BY107" s="24"/>
      <c r="BZ107" s="24"/>
      <c r="CA107" s="24"/>
      <c r="CB107" s="24"/>
      <c r="CC107" s="24"/>
      <c r="CD107" s="24"/>
      <c r="CE107" s="24"/>
    </row>
    <row r="108" spans="1:83" ht="15" hidden="1" customHeight="1">
      <c r="A108" s="4"/>
      <c r="B108" s="317">
        <f>IF($Q$8=$Q$7,CENY!B207,IF($Q$7=$Q$9,CENY!B225,CENY!B243))</f>
        <v>9255043</v>
      </c>
      <c r="C108" s="43" t="str">
        <f>VLOOKUP(B108,CENY!$B$11:$G$1054,2,FALSE)</f>
        <v>AvanY-bok pravý /v139/h650/ strieborná</v>
      </c>
      <c r="D108" s="353">
        <f>VLOOKUP(B108,CENY!$B$11:$G$1054,3,FALSE)</f>
        <v>20</v>
      </c>
      <c r="E108" s="56" t="str">
        <f>IF(VLOOKUP(B108,CENY!$B$11:$G$1054,4,FALSE)=0,"",VLOOKUP(B108,CENY!$B$11:$G$1054,4,FALSE))</f>
        <v/>
      </c>
      <c r="F108" s="40" t="str">
        <f t="shared" si="24"/>
        <v/>
      </c>
      <c r="G108" s="52">
        <f>VLOOKUP(B108,CENY!$B$11:$M$1054,12,FALSE)</f>
        <v>14.822279999999999</v>
      </c>
      <c r="H108" s="54" t="str">
        <f t="shared" si="28"/>
        <v xml:space="preserve"> EUR</v>
      </c>
      <c r="I108" s="41" t="str">
        <f t="shared" si="29"/>
        <v/>
      </c>
      <c r="J108" s="122"/>
      <c r="K108" s="42" t="str">
        <f>VLOOKUP(B108,CENY!$B$11:$M$1054,8,FALSE)</f>
        <v xml:space="preserve"> </v>
      </c>
      <c r="L108" s="42" t="str">
        <f>VLOOKUP(B108,CENY!$B$11:$M$1054,9,FALSE)</f>
        <v>470811</v>
      </c>
      <c r="M108" s="32"/>
      <c r="N108" s="35">
        <f t="shared" si="30"/>
        <v>0</v>
      </c>
      <c r="O108" s="36">
        <v>0</v>
      </c>
      <c r="P108" s="32"/>
      <c r="Q108" s="32"/>
      <c r="R108" s="32"/>
      <c r="S108" s="325">
        <f>'AVT139'!BI22</f>
        <v>0</v>
      </c>
      <c r="T108" s="32"/>
      <c r="U108" s="32"/>
      <c r="V108" s="32"/>
      <c r="W108" s="32"/>
      <c r="X108" s="32"/>
      <c r="Y108" s="32"/>
      <c r="Z108" s="32"/>
      <c r="AA108" s="32"/>
      <c r="AB108" s="32"/>
      <c r="AC108" s="325">
        <f>'AVT139(vn-A)'!BI22</f>
        <v>0</v>
      </c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460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165"/>
      <c r="BP108" s="165"/>
      <c r="BQ108" s="165"/>
      <c r="BR108" s="165"/>
      <c r="BS108" s="165"/>
      <c r="BT108" s="165"/>
      <c r="BU108" s="165"/>
      <c r="BV108" s="55"/>
      <c r="BW108" s="160"/>
      <c r="BX108" s="32"/>
      <c r="BY108" s="24"/>
      <c r="BZ108" s="24"/>
      <c r="CA108" s="24"/>
      <c r="CB108" s="24"/>
      <c r="CC108" s="24"/>
      <c r="CD108" s="24"/>
      <c r="CE108" s="24"/>
    </row>
    <row r="109" spans="1:83" ht="15" hidden="1" customHeight="1">
      <c r="A109" s="4"/>
      <c r="B109" s="317">
        <f>CENY!B244</f>
        <v>9257884</v>
      </c>
      <c r="C109" s="43" t="str">
        <f>VLOOKUP(B109,CENY!$B$11:$G$1054,2,FALSE)</f>
        <v>AvanY-príchytka čela k naskrutk./ v139</v>
      </c>
      <c r="D109" s="353">
        <f>VLOOKUP(B109,CENY!$B$11:$G$1054,3,FALSE)</f>
        <v>200</v>
      </c>
      <c r="E109" s="56" t="str">
        <f>IF(VLOOKUP(B109,CENY!$B$11:$G$1054,4,FALSE)=0,"",VLOOKUP(B109,CENY!$B$11:$G$1054,4,FALSE))</f>
        <v/>
      </c>
      <c r="F109" s="40" t="str">
        <f t="shared" si="24"/>
        <v/>
      </c>
      <c r="G109" s="52">
        <f>VLOOKUP(B109,CENY!$B$11:$M$1054,12,FALSE)</f>
        <v>1.5494000000000001</v>
      </c>
      <c r="H109" s="54" t="str">
        <f>IF(G109="","",$H$22)</f>
        <v xml:space="preserve"> EUR</v>
      </c>
      <c r="I109" s="41" t="str">
        <f>IF(F109="","",G109*F109)</f>
        <v/>
      </c>
      <c r="J109" s="122"/>
      <c r="K109" s="42" t="str">
        <f>VLOOKUP(B109,CENY!$B$11:$M$1054,8,FALSE)</f>
        <v xml:space="preserve"> </v>
      </c>
      <c r="L109" s="42" t="str">
        <f>VLOOKUP(B109,CENY!$B$11:$M$1054,9,FALSE)</f>
        <v>396780</v>
      </c>
      <c r="M109" s="32"/>
      <c r="N109" s="35">
        <f t="shared" si="27"/>
        <v>0</v>
      </c>
      <c r="O109" s="36">
        <v>0</v>
      </c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5">
        <f>'AVT139(vn-A)'!BI24</f>
        <v>0</v>
      </c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165"/>
      <c r="BP109" s="165"/>
      <c r="BQ109" s="165"/>
      <c r="BR109" s="165"/>
      <c r="BS109" s="165"/>
      <c r="BT109" s="165"/>
      <c r="BU109" s="165"/>
      <c r="BV109" s="55"/>
      <c r="BW109" s="160"/>
      <c r="BX109" s="32"/>
      <c r="BY109" s="24"/>
      <c r="BZ109" s="24"/>
      <c r="CA109" s="24"/>
      <c r="CB109" s="24"/>
      <c r="CC109" s="24"/>
      <c r="CD109" s="24"/>
      <c r="CE109" s="24"/>
    </row>
    <row r="110" spans="1:83" ht="15" customHeight="1">
      <c r="A110" s="4"/>
      <c r="B110" s="317">
        <f>IF($T$7=$T$8,CENY!B244,CENY!B245)</f>
        <v>9257884</v>
      </c>
      <c r="C110" s="43" t="str">
        <f>VLOOKUP(B110,CENY!$B$11:$G$1054,2,FALSE)</f>
        <v>AvanY-príchytka čela k naskrutk./ v139</v>
      </c>
      <c r="D110" s="353">
        <f>VLOOKUP(B110,CENY!$B$11:$G$1054,3,FALSE)</f>
        <v>200</v>
      </c>
      <c r="E110" s="56" t="str">
        <f>IF(VLOOKUP(B110,CENY!$B$11:$G$1054,4,FALSE)=0,"",VLOOKUP(B110,CENY!$B$11:$G$1054,4,FALSE))</f>
        <v/>
      </c>
      <c r="F110" s="40" t="str">
        <f>IF(J110&lt;&gt;"",J110,IF(B109=B110,IF(N110+N109=0,"",N110+N109),IF(N110=0,"",N110)))</f>
        <v/>
      </c>
      <c r="G110" s="52">
        <f>VLOOKUP(B110,CENY!$B$11:$M$1054,12,FALSE)</f>
        <v>1.5494000000000001</v>
      </c>
      <c r="H110" s="54" t="str">
        <f t="shared" si="25"/>
        <v xml:space="preserve"> EUR</v>
      </c>
      <c r="I110" s="41" t="str">
        <f t="shared" si="26"/>
        <v/>
      </c>
      <c r="J110" s="122"/>
      <c r="K110" s="42" t="str">
        <f>VLOOKUP(B110,CENY!$B$11:$M$1054,8,FALSE)</f>
        <v xml:space="preserve"> </v>
      </c>
      <c r="L110" s="42" t="str">
        <f>VLOOKUP(B110,CENY!$B$11:$M$1054,9,FALSE)</f>
        <v>396780</v>
      </c>
      <c r="M110" s="32"/>
      <c r="N110" s="35">
        <f t="shared" si="27"/>
        <v>0</v>
      </c>
      <c r="O110" s="36">
        <v>0</v>
      </c>
      <c r="P110" s="32"/>
      <c r="Q110" s="32"/>
      <c r="R110" s="325">
        <f>'AVT139'!AZ78</f>
        <v>0</v>
      </c>
      <c r="S110" s="325">
        <f>'AVT139'!BI24</f>
        <v>0</v>
      </c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5">
        <f>'AVT-celny-139+187'!AZ50</f>
        <v>0</v>
      </c>
      <c r="AQ110" s="325">
        <f>'AVT-celny-139+187'!BI35</f>
        <v>0</v>
      </c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165"/>
      <c r="BP110" s="165"/>
      <c r="BQ110" s="165"/>
      <c r="BR110" s="165"/>
      <c r="BS110" s="165"/>
      <c r="BT110" s="165"/>
      <c r="BU110" s="165"/>
      <c r="BV110" s="55"/>
      <c r="BW110" s="160"/>
      <c r="BX110" s="32"/>
      <c r="BY110" s="24"/>
      <c r="BZ110" s="24"/>
      <c r="CA110" s="24"/>
      <c r="CB110" s="24"/>
      <c r="CC110" s="24"/>
      <c r="CD110" s="24"/>
      <c r="CE110" s="24"/>
    </row>
    <row r="111" spans="1:83" ht="8.1" hidden="1" customHeight="1">
      <c r="A111" s="4"/>
      <c r="B111" s="317"/>
      <c r="C111" s="43"/>
      <c r="D111" s="39"/>
      <c r="E111" s="56"/>
      <c r="F111" s="40"/>
      <c r="G111" s="52"/>
      <c r="H111" s="54"/>
      <c r="I111" s="41"/>
      <c r="J111" s="122"/>
      <c r="K111" s="42"/>
      <c r="L111" s="42"/>
      <c r="M111" s="32"/>
      <c r="N111" s="35"/>
      <c r="O111" s="36">
        <v>0</v>
      </c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165"/>
      <c r="BP111" s="165"/>
      <c r="BQ111" s="165"/>
      <c r="BR111" s="165"/>
      <c r="BS111" s="165"/>
      <c r="BT111" s="165"/>
      <c r="BU111" s="165"/>
      <c r="BV111" s="55"/>
      <c r="BW111" s="160"/>
      <c r="BX111" s="32"/>
      <c r="BY111" s="24"/>
      <c r="BZ111" s="24"/>
      <c r="CA111" s="24"/>
      <c r="CB111" s="24"/>
      <c r="CC111" s="24"/>
      <c r="CD111" s="24"/>
      <c r="CE111" s="24"/>
    </row>
    <row r="112" spans="1:83" ht="15" hidden="1" customHeight="1">
      <c r="A112" s="4"/>
      <c r="B112" s="317">
        <f>IF($Q$8=$Q$7,CENY!B247,IF($Q$7=$Q$9,CENY!B256,CENY!B265))</f>
        <v>9353353</v>
      </c>
      <c r="C112" s="43" t="str">
        <f>VLOOKUP(B112,CENY!$B$11:$G$1054,2,FALSE)</f>
        <v>AvanY-sólo oceľ.boky-NW 187/270mm/strieb.</v>
      </c>
      <c r="D112" s="364">
        <f>VLOOKUP(B112,CENY!$B$11:$G$1054,3,FALSE)</f>
        <v>1</v>
      </c>
      <c r="E112" s="56" t="str">
        <f>IF(VLOOKUP(B112,CENY!$B$11:$G$1054,4,FALSE)=0,"",VLOOKUP(B112,CENY!$B$11:$G$1054,4,FALSE))</f>
        <v/>
      </c>
      <c r="F112" s="40" t="str">
        <f t="shared" ref="F112:F120" si="31">IF(J112&lt;&gt;"",J112,IF(N112=0,"",N112))</f>
        <v/>
      </c>
      <c r="G112" s="52">
        <f>VLOOKUP(B112,CENY!$B$11:$M$1054,12,FALSE)</f>
        <v>37.606110000000001</v>
      </c>
      <c r="H112" s="54" t="str">
        <f t="shared" si="25"/>
        <v xml:space="preserve"> EUR</v>
      </c>
      <c r="I112" s="41" t="str">
        <f t="shared" si="26"/>
        <v/>
      </c>
      <c r="J112" s="122"/>
      <c r="K112" s="42" t="str">
        <f>VLOOKUP(B112,CENY!$B$11:$M$1054,8,FALSE)</f>
        <v xml:space="preserve"> </v>
      </c>
      <c r="L112" s="42" t="str">
        <f>VLOOKUP(B112,CENY!$B$11:$M$1054,9,FALSE)</f>
        <v>530061</v>
      </c>
      <c r="M112" s="32"/>
      <c r="N112" s="35">
        <f t="shared" ref="N112:N120" si="32">SUM(P112:BW112)</f>
        <v>0</v>
      </c>
      <c r="O112" s="36">
        <v>0</v>
      </c>
      <c r="P112" s="32"/>
      <c r="Q112" s="32"/>
      <c r="R112" s="32"/>
      <c r="S112" s="32"/>
      <c r="T112" s="325">
        <f>'AVT187'!AZ5</f>
        <v>0</v>
      </c>
      <c r="U112" s="32"/>
      <c r="V112" s="32"/>
      <c r="W112" s="32"/>
      <c r="X112" s="32"/>
      <c r="Y112" s="32"/>
      <c r="Z112" s="32"/>
      <c r="AA112" s="32"/>
      <c r="AB112" s="32"/>
      <c r="AC112" s="32"/>
      <c r="AD112" s="325">
        <f>'AVT187(vn-A)'!AZ5</f>
        <v>0</v>
      </c>
      <c r="AE112" s="32"/>
      <c r="AF112" s="32"/>
      <c r="AG112" s="32"/>
      <c r="AH112" s="325">
        <f>'AVT187(vn-S)'!AZ5</f>
        <v>0</v>
      </c>
      <c r="AI112" s="32"/>
      <c r="AJ112" s="32"/>
      <c r="AK112" s="32"/>
      <c r="AL112" s="32"/>
      <c r="AM112" s="32"/>
      <c r="AN112" s="325">
        <f>'AVT-celny-101+187'!AZ15</f>
        <v>0</v>
      </c>
      <c r="AO112" s="32"/>
      <c r="AP112" s="32"/>
      <c r="AQ112" s="32"/>
      <c r="AR112" s="325">
        <f>'AVT-celny-2x187'!AZ5</f>
        <v>0</v>
      </c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165"/>
      <c r="BP112" s="165"/>
      <c r="BQ112" s="165"/>
      <c r="BR112" s="165"/>
      <c r="BS112" s="165"/>
      <c r="BT112" s="165"/>
      <c r="BU112" s="165"/>
      <c r="BV112" s="55"/>
      <c r="BW112" s="160"/>
      <c r="BX112" s="32"/>
      <c r="BY112" s="24"/>
      <c r="BZ112" s="24"/>
      <c r="CA112" s="24"/>
      <c r="CB112" s="24"/>
      <c r="CC112" s="24"/>
      <c r="CD112" s="24"/>
      <c r="CE112" s="24"/>
    </row>
    <row r="113" spans="1:83" ht="15" hidden="1" customHeight="1">
      <c r="A113" s="4"/>
      <c r="B113" s="317">
        <f>IF($Q$8=$Q$7,CENY!B248,IF($Q$7=$Q$9,CENY!B257,CENY!B266))</f>
        <v>9353354</v>
      </c>
      <c r="C113" s="43" t="str">
        <f>VLOOKUP(B113,CENY!$B$11:$G$1054,2,FALSE)</f>
        <v>AvanY-sólo oceľ.boky-NW 187/300mm/strieb.</v>
      </c>
      <c r="D113" s="364">
        <f>VLOOKUP(B113,CENY!$B$11:$G$1054,3,FALSE)</f>
        <v>1</v>
      </c>
      <c r="E113" s="56" t="str">
        <f>IF(VLOOKUP(B113,CENY!$B$11:$G$1054,4,FALSE)=0,"",VLOOKUP(B113,CENY!$B$11:$G$1054,4,FALSE))</f>
        <v/>
      </c>
      <c r="F113" s="40" t="str">
        <f t="shared" si="31"/>
        <v/>
      </c>
      <c r="G113" s="52">
        <f>VLOOKUP(B113,CENY!$B$11:$M$1054,12,FALSE)</f>
        <v>37.95196</v>
      </c>
      <c r="H113" s="54" t="str">
        <f t="shared" si="25"/>
        <v xml:space="preserve"> EUR</v>
      </c>
      <c r="I113" s="41" t="str">
        <f t="shared" si="26"/>
        <v/>
      </c>
      <c r="J113" s="122"/>
      <c r="K113" s="42" t="str">
        <f>VLOOKUP(B113,CENY!$B$11:$M$1054,8,FALSE)</f>
        <v xml:space="preserve"> </v>
      </c>
      <c r="L113" s="42" t="str">
        <f>VLOOKUP(B113,CENY!$B$11:$M$1054,9,FALSE)</f>
        <v>530062</v>
      </c>
      <c r="M113" s="32"/>
      <c r="N113" s="35">
        <f t="shared" si="32"/>
        <v>0</v>
      </c>
      <c r="O113" s="36">
        <v>0</v>
      </c>
      <c r="P113" s="32"/>
      <c r="Q113" s="32"/>
      <c r="R113" s="32"/>
      <c r="S113" s="32"/>
      <c r="T113" s="325">
        <f>'AVT187'!AZ6</f>
        <v>0</v>
      </c>
      <c r="U113" s="32"/>
      <c r="V113" s="32"/>
      <c r="W113" s="32"/>
      <c r="X113" s="32"/>
      <c r="Y113" s="32"/>
      <c r="Z113" s="32"/>
      <c r="AA113" s="32"/>
      <c r="AB113" s="32"/>
      <c r="AC113" s="32"/>
      <c r="AD113" s="325">
        <f>'AVT187(vn-A)'!AZ6</f>
        <v>0</v>
      </c>
      <c r="AE113" s="32"/>
      <c r="AF113" s="32"/>
      <c r="AG113" s="32"/>
      <c r="AH113" s="325">
        <f>'AVT187(vn-S)'!AZ6</f>
        <v>0</v>
      </c>
      <c r="AI113" s="32"/>
      <c r="AJ113" s="32"/>
      <c r="AK113" s="32"/>
      <c r="AL113" s="32"/>
      <c r="AM113" s="32"/>
      <c r="AN113" s="325">
        <f>'AVT-celny-101+187'!AZ16</f>
        <v>0</v>
      </c>
      <c r="AO113" s="32"/>
      <c r="AP113" s="325">
        <f>'AVT-celny-139+187'!AZ13</f>
        <v>0</v>
      </c>
      <c r="AQ113" s="32"/>
      <c r="AR113" s="325">
        <f>'AVT-celny-2x187'!AZ6</f>
        <v>0</v>
      </c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165"/>
      <c r="BP113" s="165"/>
      <c r="BQ113" s="165"/>
      <c r="BR113" s="165"/>
      <c r="BS113" s="165"/>
      <c r="BT113" s="165"/>
      <c r="BU113" s="165"/>
      <c r="BV113" s="55"/>
      <c r="BW113" s="160"/>
      <c r="BX113" s="32"/>
      <c r="BY113" s="24"/>
      <c r="BZ113" s="24"/>
      <c r="CA113" s="24"/>
      <c r="CB113" s="24"/>
      <c r="CC113" s="24"/>
      <c r="CD113" s="24"/>
      <c r="CE113" s="24"/>
    </row>
    <row r="114" spans="1:83" ht="15" hidden="1" customHeight="1">
      <c r="A114" s="4"/>
      <c r="B114" s="317">
        <f>IF($Q$8=$Q$7,CENY!B249,IF($Q$7=$Q$9,CENY!B258,CENY!B267))</f>
        <v>9353355</v>
      </c>
      <c r="C114" s="43" t="str">
        <f>VLOOKUP(B114,CENY!$B$11:$G$1054,2,FALSE)</f>
        <v>AvanY-sólo oceľ.boky-NW 187/350mm/strieb.</v>
      </c>
      <c r="D114" s="364">
        <f>VLOOKUP(B114,CENY!$B$11:$G$1054,3,FALSE)</f>
        <v>1</v>
      </c>
      <c r="E114" s="56" t="str">
        <f>IF(VLOOKUP(B114,CENY!$B$11:$G$1054,4,FALSE)=0,"",VLOOKUP(B114,CENY!$B$11:$G$1054,4,FALSE))</f>
        <v/>
      </c>
      <c r="F114" s="40" t="str">
        <f t="shared" si="31"/>
        <v/>
      </c>
      <c r="G114" s="52">
        <f>VLOOKUP(B114,CENY!$B$11:$M$1054,12,FALSE)</f>
        <v>38.529060000000001</v>
      </c>
      <c r="H114" s="54" t="str">
        <f t="shared" si="25"/>
        <v xml:space="preserve"> EUR</v>
      </c>
      <c r="I114" s="41" t="str">
        <f t="shared" si="26"/>
        <v/>
      </c>
      <c r="J114" s="122"/>
      <c r="K114" s="42" t="str">
        <f>VLOOKUP(B114,CENY!$B$11:$M$1054,8,FALSE)</f>
        <v xml:space="preserve"> </v>
      </c>
      <c r="L114" s="42" t="str">
        <f>VLOOKUP(B114,CENY!$B$11:$M$1054,9,FALSE)</f>
        <v>530063</v>
      </c>
      <c r="M114" s="32"/>
      <c r="N114" s="35">
        <f t="shared" si="32"/>
        <v>0</v>
      </c>
      <c r="O114" s="36">
        <v>0</v>
      </c>
      <c r="P114" s="32"/>
      <c r="Q114" s="32"/>
      <c r="R114" s="32"/>
      <c r="S114" s="32"/>
      <c r="T114" s="325">
        <f>'AVT187'!AZ7</f>
        <v>0</v>
      </c>
      <c r="U114" s="32"/>
      <c r="V114" s="32"/>
      <c r="W114" s="32"/>
      <c r="X114" s="32"/>
      <c r="Y114" s="32"/>
      <c r="Z114" s="32"/>
      <c r="AA114" s="32"/>
      <c r="AB114" s="32"/>
      <c r="AC114" s="32"/>
      <c r="AD114" s="325">
        <f>'AVT187(vn-A)'!AZ7</f>
        <v>0</v>
      </c>
      <c r="AE114" s="32"/>
      <c r="AF114" s="32"/>
      <c r="AG114" s="32"/>
      <c r="AH114" s="325">
        <f>'AVT187(vn-S)'!AZ7</f>
        <v>0</v>
      </c>
      <c r="AI114" s="32"/>
      <c r="AJ114" s="32"/>
      <c r="AK114" s="32"/>
      <c r="AL114" s="32"/>
      <c r="AM114" s="32"/>
      <c r="AN114" s="325">
        <f>'AVT-celny-101+187'!AZ17</f>
        <v>0</v>
      </c>
      <c r="AO114" s="32"/>
      <c r="AP114" s="325">
        <f>'AVT-celny-139+187'!AZ14</f>
        <v>0</v>
      </c>
      <c r="AQ114" s="32"/>
      <c r="AR114" s="325">
        <f>'AVT-celny-2x187'!AZ7</f>
        <v>0</v>
      </c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165"/>
      <c r="BP114" s="165"/>
      <c r="BQ114" s="165"/>
      <c r="BR114" s="165"/>
      <c r="BS114" s="165"/>
      <c r="BT114" s="165"/>
      <c r="BU114" s="165"/>
      <c r="BV114" s="55"/>
      <c r="BW114" s="160"/>
      <c r="BX114" s="32"/>
      <c r="BY114" s="24"/>
      <c r="BZ114" s="24"/>
      <c r="CA114" s="24"/>
      <c r="CB114" s="24"/>
      <c r="CC114" s="24"/>
      <c r="CD114" s="24"/>
      <c r="CE114" s="24"/>
    </row>
    <row r="115" spans="1:83" ht="15" hidden="1" customHeight="1">
      <c r="A115" s="4"/>
      <c r="B115" s="317">
        <f>IF($Q$8=$Q$7,CENY!B250,IF($Q$7=$Q$9,CENY!B259,CENY!B268))</f>
        <v>9353356</v>
      </c>
      <c r="C115" s="43" t="str">
        <f>VLOOKUP(B115,CENY!$B$11:$G$1054,2,FALSE)</f>
        <v>AvanY-sólo oceľ.boky-NW 187/400mm/strieb.</v>
      </c>
      <c r="D115" s="364">
        <f>VLOOKUP(B115,CENY!$B$11:$G$1054,3,FALSE)</f>
        <v>1</v>
      </c>
      <c r="E115" s="56" t="str">
        <f>IF(VLOOKUP(B115,CENY!$B$11:$G$1054,4,FALSE)=0,"",VLOOKUP(B115,CENY!$B$11:$G$1054,4,FALSE))</f>
        <v/>
      </c>
      <c r="F115" s="40" t="str">
        <f t="shared" si="31"/>
        <v/>
      </c>
      <c r="G115" s="52">
        <f>VLOOKUP(B115,CENY!$B$11:$M$1054,12,FALSE)</f>
        <v>39.106140000000003</v>
      </c>
      <c r="H115" s="54" t="str">
        <f t="shared" si="25"/>
        <v xml:space="preserve"> EUR</v>
      </c>
      <c r="I115" s="41" t="str">
        <f t="shared" si="26"/>
        <v/>
      </c>
      <c r="J115" s="122"/>
      <c r="K115" s="42" t="str">
        <f>VLOOKUP(B115,CENY!$B$11:$M$1054,8,FALSE)</f>
        <v xml:space="preserve"> </v>
      </c>
      <c r="L115" s="42" t="str">
        <f>VLOOKUP(B115,CENY!$B$11:$M$1054,9,FALSE)</f>
        <v>530064</v>
      </c>
      <c r="M115" s="32"/>
      <c r="N115" s="35">
        <f t="shared" si="32"/>
        <v>0</v>
      </c>
      <c r="O115" s="36">
        <v>0</v>
      </c>
      <c r="P115" s="32"/>
      <c r="Q115" s="32"/>
      <c r="R115" s="32"/>
      <c r="S115" s="32"/>
      <c r="T115" s="325">
        <f>'AVT187'!AZ8</f>
        <v>0</v>
      </c>
      <c r="U115" s="32"/>
      <c r="V115" s="32"/>
      <c r="W115" s="32"/>
      <c r="X115" s="32"/>
      <c r="Y115" s="32"/>
      <c r="Z115" s="32"/>
      <c r="AA115" s="32"/>
      <c r="AB115" s="32"/>
      <c r="AC115" s="32"/>
      <c r="AD115" s="325">
        <f>'AVT187(vn-A)'!AZ8</f>
        <v>0</v>
      </c>
      <c r="AE115" s="32"/>
      <c r="AF115" s="32"/>
      <c r="AG115" s="32"/>
      <c r="AH115" s="325">
        <f>'AVT187(vn-S)'!AZ8</f>
        <v>0</v>
      </c>
      <c r="AI115" s="32"/>
      <c r="AJ115" s="32"/>
      <c r="AK115" s="32"/>
      <c r="AL115" s="32"/>
      <c r="AM115" s="32"/>
      <c r="AN115" s="325">
        <f>'AVT-celny-101+187'!AZ18</f>
        <v>0</v>
      </c>
      <c r="AO115" s="32"/>
      <c r="AP115" s="325">
        <f>'AVT-celny-139+187'!AZ15</f>
        <v>0</v>
      </c>
      <c r="AQ115" s="32"/>
      <c r="AR115" s="325">
        <f>'AVT-celny-2x187'!AZ8</f>
        <v>0</v>
      </c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165"/>
      <c r="BP115" s="165"/>
      <c r="BQ115" s="165"/>
      <c r="BR115" s="165"/>
      <c r="BS115" s="165"/>
      <c r="BT115" s="165"/>
      <c r="BU115" s="165"/>
      <c r="BV115" s="55"/>
      <c r="BW115" s="160"/>
      <c r="BX115" s="32"/>
      <c r="BY115" s="24"/>
      <c r="BZ115" s="24"/>
      <c r="CA115" s="24"/>
      <c r="CB115" s="24"/>
      <c r="CC115" s="24"/>
      <c r="CD115" s="24"/>
      <c r="CE115" s="24"/>
    </row>
    <row r="116" spans="1:83" ht="15" hidden="1" customHeight="1">
      <c r="A116" s="4"/>
      <c r="B116" s="317">
        <f>IF($Q$8=$Q$7,CENY!B251,IF($Q$7=$Q$9,CENY!B260,CENY!B269))</f>
        <v>9353357</v>
      </c>
      <c r="C116" s="43" t="str">
        <f>VLOOKUP(B116,CENY!$B$11:$G$1054,2,FALSE)</f>
        <v>AvanY-sólo oceľ.boky-NW 187/450mm/strieb.</v>
      </c>
      <c r="D116" s="364">
        <f>VLOOKUP(B116,CENY!$B$11:$G$1054,3,FALSE)</f>
        <v>1</v>
      </c>
      <c r="E116" s="56" t="str">
        <f>IF(VLOOKUP(B116,CENY!$B$11:$G$1054,4,FALSE)=0,"",VLOOKUP(B116,CENY!$B$11:$G$1054,4,FALSE))</f>
        <v/>
      </c>
      <c r="F116" s="40" t="str">
        <f t="shared" si="31"/>
        <v/>
      </c>
      <c r="G116" s="52">
        <f>VLOOKUP(B116,CENY!$B$11:$M$1054,12,FALSE)</f>
        <v>37.79374</v>
      </c>
      <c r="H116" s="54" t="str">
        <f t="shared" si="25"/>
        <v xml:space="preserve"> EUR</v>
      </c>
      <c r="I116" s="41" t="str">
        <f t="shared" si="26"/>
        <v/>
      </c>
      <c r="J116" s="122"/>
      <c r="K116" s="42" t="str">
        <f>VLOOKUP(B116,CENY!$B$11:$M$1054,8,FALSE)</f>
        <v xml:space="preserve"> </v>
      </c>
      <c r="L116" s="42" t="str">
        <f>VLOOKUP(B116,CENY!$B$11:$M$1054,9,FALSE)</f>
        <v>530065</v>
      </c>
      <c r="M116" s="32"/>
      <c r="N116" s="35">
        <f t="shared" si="32"/>
        <v>0</v>
      </c>
      <c r="O116" s="36">
        <v>0</v>
      </c>
      <c r="P116" s="32"/>
      <c r="Q116" s="32"/>
      <c r="R116" s="32"/>
      <c r="S116" s="32"/>
      <c r="T116" s="325">
        <f>'AVT187'!AZ9</f>
        <v>0</v>
      </c>
      <c r="U116" s="32"/>
      <c r="V116" s="32"/>
      <c r="W116" s="32"/>
      <c r="X116" s="32"/>
      <c r="Y116" s="32"/>
      <c r="Z116" s="32"/>
      <c r="AA116" s="32"/>
      <c r="AB116" s="32"/>
      <c r="AC116" s="32"/>
      <c r="AD116" s="325">
        <f>'AVT187(vn-A)'!AZ9</f>
        <v>0</v>
      </c>
      <c r="AE116" s="32"/>
      <c r="AF116" s="32"/>
      <c r="AG116" s="32"/>
      <c r="AH116" s="325">
        <f>'AVT187(vn-S)'!AZ9</f>
        <v>0</v>
      </c>
      <c r="AI116" s="32"/>
      <c r="AJ116" s="32"/>
      <c r="AK116" s="32"/>
      <c r="AL116" s="32"/>
      <c r="AM116" s="32"/>
      <c r="AN116" s="325">
        <f>'AVT-celny-101+187'!AZ19</f>
        <v>0</v>
      </c>
      <c r="AO116" s="32"/>
      <c r="AP116" s="325">
        <f>'AVT-celny-139+187'!AZ16</f>
        <v>0</v>
      </c>
      <c r="AQ116" s="32"/>
      <c r="AR116" s="325">
        <f>'AVT-celny-2x187'!AZ9</f>
        <v>0</v>
      </c>
      <c r="AS116" s="32"/>
      <c r="AT116" s="32"/>
      <c r="AU116" s="32"/>
      <c r="AV116" s="325">
        <f>'potr-v101+187'!AZ15</f>
        <v>0</v>
      </c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165"/>
      <c r="BP116" s="165"/>
      <c r="BQ116" s="165"/>
      <c r="BR116" s="165"/>
      <c r="BS116" s="165"/>
      <c r="BT116" s="165"/>
      <c r="BU116" s="165"/>
      <c r="BV116" s="55"/>
      <c r="BW116" s="160"/>
      <c r="BX116" s="32"/>
      <c r="BY116" s="24"/>
      <c r="BZ116" s="24"/>
      <c r="CA116" s="24"/>
      <c r="CB116" s="24"/>
      <c r="CC116" s="24"/>
      <c r="CD116" s="24"/>
      <c r="CE116" s="24"/>
    </row>
    <row r="117" spans="1:83" ht="15" hidden="1" customHeight="1">
      <c r="A117" s="4"/>
      <c r="B117" s="317">
        <f>IF($Q$8=$Q$7,CENY!B252,IF($Q$7=$Q$9,CENY!B261,CENY!B270))</f>
        <v>9353358</v>
      </c>
      <c r="C117" s="43" t="str">
        <f>VLOOKUP(B117,CENY!$B$11:$G$1054,2,FALSE)</f>
        <v>AvanY-sólo oceľ.boky-NW 187/500mm/strieb.</v>
      </c>
      <c r="D117" s="364">
        <f>VLOOKUP(B117,CENY!$B$11:$G$1054,3,FALSE)</f>
        <v>1</v>
      </c>
      <c r="E117" s="56" t="str">
        <f>IF(VLOOKUP(B117,CENY!$B$11:$G$1054,4,FALSE)=0,"",VLOOKUP(B117,CENY!$B$11:$G$1054,4,FALSE))</f>
        <v/>
      </c>
      <c r="F117" s="40" t="str">
        <f t="shared" si="31"/>
        <v/>
      </c>
      <c r="G117" s="52">
        <f>VLOOKUP(B117,CENY!$B$11:$M$1054,12,FALSE)</f>
        <v>38.343159999999997</v>
      </c>
      <c r="H117" s="54" t="str">
        <f t="shared" si="25"/>
        <v xml:space="preserve"> EUR</v>
      </c>
      <c r="I117" s="41" t="str">
        <f t="shared" si="26"/>
        <v/>
      </c>
      <c r="J117" s="122"/>
      <c r="K117" s="42" t="str">
        <f>VLOOKUP(B117,CENY!$B$11:$M$1054,8,FALSE)</f>
        <v xml:space="preserve"> </v>
      </c>
      <c r="L117" s="42" t="str">
        <f>VLOOKUP(B117,CENY!$B$11:$M$1054,9,FALSE)</f>
        <v>530066</v>
      </c>
      <c r="M117" s="32"/>
      <c r="N117" s="35">
        <f t="shared" si="32"/>
        <v>0</v>
      </c>
      <c r="O117" s="36">
        <v>0</v>
      </c>
      <c r="P117" s="32"/>
      <c r="Q117" s="32"/>
      <c r="R117" s="32"/>
      <c r="S117" s="32"/>
      <c r="T117" s="325">
        <f>'AVT187'!AZ10</f>
        <v>0</v>
      </c>
      <c r="U117" s="32"/>
      <c r="V117" s="32"/>
      <c r="W117" s="32"/>
      <c r="X117" s="32"/>
      <c r="Y117" s="32"/>
      <c r="Z117" s="32"/>
      <c r="AA117" s="32"/>
      <c r="AB117" s="32"/>
      <c r="AC117" s="32"/>
      <c r="AD117" s="325">
        <f>'AVT187(vn-A)'!AZ10</f>
        <v>0</v>
      </c>
      <c r="AE117" s="32"/>
      <c r="AF117" s="32"/>
      <c r="AG117" s="32"/>
      <c r="AH117" s="325">
        <f>'AVT187(vn-S)'!AZ10</f>
        <v>0</v>
      </c>
      <c r="AI117" s="32"/>
      <c r="AJ117" s="32"/>
      <c r="AK117" s="32"/>
      <c r="AL117" s="32"/>
      <c r="AM117" s="32"/>
      <c r="AN117" s="325">
        <f>'AVT-celny-101+187'!AZ20</f>
        <v>0</v>
      </c>
      <c r="AO117" s="32"/>
      <c r="AP117" s="325">
        <f>'AVT-celny-139+187'!AZ17</f>
        <v>0</v>
      </c>
      <c r="AQ117" s="32"/>
      <c r="AR117" s="325">
        <f>'AVT-celny-2x187'!AZ10</f>
        <v>0</v>
      </c>
      <c r="AS117" s="32"/>
      <c r="AT117" s="32"/>
      <c r="AU117" s="32"/>
      <c r="AV117" s="325">
        <f>'potr-v101+187'!AZ16</f>
        <v>0</v>
      </c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165"/>
      <c r="BP117" s="165"/>
      <c r="BQ117" s="165"/>
      <c r="BR117" s="165"/>
      <c r="BS117" s="165"/>
      <c r="BT117" s="165"/>
      <c r="BU117" s="165"/>
      <c r="BV117" s="55"/>
      <c r="BW117" s="160"/>
      <c r="BX117" s="32"/>
      <c r="BY117" s="24"/>
      <c r="BZ117" s="24"/>
      <c r="CA117" s="24"/>
      <c r="CB117" s="24"/>
      <c r="CC117" s="24"/>
      <c r="CD117" s="24"/>
      <c r="CE117" s="24"/>
    </row>
    <row r="118" spans="1:83" ht="15" hidden="1" customHeight="1">
      <c r="A118" s="4"/>
      <c r="B118" s="317">
        <f>IF($Q$8=$Q$7,CENY!B253,IF($Q$7=$Q$9,CENY!B262,CENY!B271))</f>
        <v>9353359</v>
      </c>
      <c r="C118" s="43" t="str">
        <f>VLOOKUP(B118,CENY!$B$11:$G$1054,2,FALSE)</f>
        <v>AvanY-sólo oceľ.boky-NW 187/550mm/strieb.</v>
      </c>
      <c r="D118" s="364">
        <f>VLOOKUP(B118,CENY!$B$11:$G$1054,3,FALSE)</f>
        <v>1</v>
      </c>
      <c r="E118" s="56" t="str">
        <f>IF(VLOOKUP(B118,CENY!$B$11:$G$1054,4,FALSE)=0,"",VLOOKUP(B118,CENY!$B$11:$G$1054,4,FALSE))</f>
        <v/>
      </c>
      <c r="F118" s="40" t="str">
        <f t="shared" si="31"/>
        <v/>
      </c>
      <c r="G118" s="52">
        <f>VLOOKUP(B118,CENY!$B$11:$M$1054,12,FALSE)</f>
        <v>40.83719</v>
      </c>
      <c r="H118" s="54" t="str">
        <f t="shared" si="25"/>
        <v xml:space="preserve"> EUR</v>
      </c>
      <c r="I118" s="41" t="str">
        <f t="shared" si="26"/>
        <v/>
      </c>
      <c r="J118" s="122"/>
      <c r="K118" s="42" t="str">
        <f>VLOOKUP(B118,CENY!$B$11:$M$1054,8,FALSE)</f>
        <v xml:space="preserve"> </v>
      </c>
      <c r="L118" s="42" t="str">
        <f>VLOOKUP(B118,CENY!$B$11:$M$1054,9,FALSE)</f>
        <v>530067</v>
      </c>
      <c r="M118" s="32"/>
      <c r="N118" s="35">
        <f t="shared" si="32"/>
        <v>0</v>
      </c>
      <c r="O118" s="36">
        <v>0</v>
      </c>
      <c r="P118" s="32"/>
      <c r="Q118" s="32"/>
      <c r="R118" s="32"/>
      <c r="S118" s="32"/>
      <c r="T118" s="325">
        <f>'AVT187'!AZ11</f>
        <v>0</v>
      </c>
      <c r="U118" s="32"/>
      <c r="V118" s="32"/>
      <c r="W118" s="32"/>
      <c r="X118" s="32"/>
      <c r="Y118" s="32"/>
      <c r="Z118" s="32"/>
      <c r="AA118" s="32"/>
      <c r="AB118" s="32"/>
      <c r="AC118" s="32"/>
      <c r="AD118" s="325">
        <f>'AVT187(vn-A)'!AZ11</f>
        <v>0</v>
      </c>
      <c r="AE118" s="32"/>
      <c r="AF118" s="32"/>
      <c r="AG118" s="32"/>
      <c r="AH118" s="325">
        <f>'AVT187(vn-S)'!AZ11</f>
        <v>0</v>
      </c>
      <c r="AI118" s="32"/>
      <c r="AJ118" s="32"/>
      <c r="AK118" s="32"/>
      <c r="AL118" s="32"/>
      <c r="AM118" s="32"/>
      <c r="AN118" s="325">
        <f>'AVT-celny-101+187'!AZ21</f>
        <v>0</v>
      </c>
      <c r="AO118" s="32"/>
      <c r="AP118" s="325">
        <f>'AVT-celny-139+187'!AZ18</f>
        <v>0</v>
      </c>
      <c r="AQ118" s="32"/>
      <c r="AR118" s="325">
        <f>'AVT-celny-2x187'!AZ11</f>
        <v>0</v>
      </c>
      <c r="AS118" s="32"/>
      <c r="AT118" s="32"/>
      <c r="AU118" s="32"/>
      <c r="AV118" s="325">
        <f>'potr-v101+187'!AZ17</f>
        <v>0</v>
      </c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165"/>
      <c r="BP118" s="165"/>
      <c r="BQ118" s="165"/>
      <c r="BR118" s="165"/>
      <c r="BS118" s="165"/>
      <c r="BT118" s="165"/>
      <c r="BU118" s="165"/>
      <c r="BV118" s="55"/>
      <c r="BW118" s="160"/>
      <c r="BX118" s="32"/>
      <c r="BY118" s="24"/>
      <c r="BZ118" s="24"/>
      <c r="CA118" s="24"/>
      <c r="CB118" s="24"/>
      <c r="CC118" s="24"/>
      <c r="CD118" s="24"/>
      <c r="CE118" s="24"/>
    </row>
    <row r="119" spans="1:83" ht="15" hidden="1" customHeight="1">
      <c r="A119" s="4"/>
      <c r="B119" s="317">
        <f>IF($Q$8=$Q$7,CENY!B254,IF($Q$7=$Q$9,CENY!B263,CENY!B272))</f>
        <v>9353360</v>
      </c>
      <c r="C119" s="43" t="str">
        <f>VLOOKUP(B119,CENY!$B$11:$G$1054,2,FALSE)</f>
        <v>AvanY-sólo oceľ.boky-NW 187/600mm/strieb.</v>
      </c>
      <c r="D119" s="364">
        <f>VLOOKUP(B119,CENY!$B$11:$G$1054,3,FALSE)</f>
        <v>1</v>
      </c>
      <c r="E119" s="56" t="str">
        <f>IF(VLOOKUP(B119,CENY!$B$11:$G$1054,4,FALSE)=0,"",VLOOKUP(B119,CENY!$B$11:$G$1054,4,FALSE))</f>
        <v/>
      </c>
      <c r="F119" s="40" t="str">
        <f t="shared" si="31"/>
        <v/>
      </c>
      <c r="G119" s="52">
        <f>VLOOKUP(B119,CENY!$B$11:$M$1054,12,FALSE)</f>
        <v>41.752409999999998</v>
      </c>
      <c r="H119" s="54" t="str">
        <f t="shared" si="25"/>
        <v xml:space="preserve"> EUR</v>
      </c>
      <c r="I119" s="41" t="str">
        <f t="shared" si="26"/>
        <v/>
      </c>
      <c r="J119" s="122"/>
      <c r="K119" s="42" t="str">
        <f>VLOOKUP(B119,CENY!$B$11:$M$1054,8,FALSE)</f>
        <v xml:space="preserve"> </v>
      </c>
      <c r="L119" s="42" t="str">
        <f>VLOOKUP(B119,CENY!$B$11:$M$1054,9,FALSE)</f>
        <v>530068</v>
      </c>
      <c r="M119" s="32"/>
      <c r="N119" s="35">
        <f t="shared" si="32"/>
        <v>0</v>
      </c>
      <c r="O119" s="36">
        <v>0</v>
      </c>
      <c r="P119" s="32"/>
      <c r="Q119" s="32"/>
      <c r="R119" s="32"/>
      <c r="S119" s="32"/>
      <c r="T119" s="325">
        <f>'AVT187'!AZ12</f>
        <v>0</v>
      </c>
      <c r="U119" s="32"/>
      <c r="V119" s="32"/>
      <c r="W119" s="32"/>
      <c r="X119" s="32"/>
      <c r="Y119" s="32"/>
      <c r="Z119" s="32"/>
      <c r="AA119" s="32"/>
      <c r="AB119" s="32"/>
      <c r="AC119" s="32"/>
      <c r="AD119" s="325">
        <f>'AVT187(vn-A)'!AZ12</f>
        <v>0</v>
      </c>
      <c r="AE119" s="32"/>
      <c r="AF119" s="32"/>
      <c r="AG119" s="32"/>
      <c r="AH119" s="325">
        <f>'AVT187(vn-S)'!AZ12</f>
        <v>0</v>
      </c>
      <c r="AI119" s="32"/>
      <c r="AJ119" s="32"/>
      <c r="AK119" s="32"/>
      <c r="AL119" s="32"/>
      <c r="AM119" s="32"/>
      <c r="AN119" s="325">
        <f>'AVT-celny-101+187'!AZ22</f>
        <v>0</v>
      </c>
      <c r="AO119" s="32"/>
      <c r="AP119" s="325">
        <f>'AVT-celny-139+187'!AZ19</f>
        <v>0</v>
      </c>
      <c r="AQ119" s="32"/>
      <c r="AR119" s="325">
        <f>'AVT-celny-2x187'!AZ12</f>
        <v>0</v>
      </c>
      <c r="AS119" s="32"/>
      <c r="AT119" s="32"/>
      <c r="AU119" s="32"/>
      <c r="AV119" s="325">
        <f>'potr-v101+187'!AZ18</f>
        <v>0</v>
      </c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165"/>
      <c r="BP119" s="165"/>
      <c r="BQ119" s="165"/>
      <c r="BR119" s="165"/>
      <c r="BS119" s="165"/>
      <c r="BT119" s="165"/>
      <c r="BU119" s="165"/>
      <c r="BV119" s="55"/>
      <c r="BW119" s="160"/>
      <c r="BX119" s="32"/>
      <c r="BY119" s="24"/>
      <c r="BZ119" s="24"/>
      <c r="CA119" s="24"/>
      <c r="CB119" s="24"/>
      <c r="CC119" s="24"/>
      <c r="CD119" s="24"/>
      <c r="CE119" s="24"/>
    </row>
    <row r="120" spans="1:83" ht="15" hidden="1" customHeight="1">
      <c r="A120" s="4"/>
      <c r="B120" s="317">
        <f>IF($Q$8=$Q$7,CENY!B255,IF($Q$7=$Q$9,CENY!B264,CENY!B273))</f>
        <v>9353371</v>
      </c>
      <c r="C120" s="43" t="str">
        <f>VLOOKUP(B120,CENY!$B$11:$G$1054,2,FALSE)</f>
        <v>AvanY-sólo oceľ.boky-NW 187/650mm/strieb.</v>
      </c>
      <c r="D120" s="364">
        <f>VLOOKUP(B120,CENY!$B$11:$G$1054,3,FALSE)</f>
        <v>1</v>
      </c>
      <c r="E120" s="56" t="str">
        <f>IF(VLOOKUP(B120,CENY!$B$11:$G$1054,4,FALSE)=0,"",VLOOKUP(B120,CENY!$B$11:$G$1054,4,FALSE))</f>
        <v/>
      </c>
      <c r="F120" s="40" t="str">
        <f t="shared" si="31"/>
        <v/>
      </c>
      <c r="G120" s="52">
        <f>VLOOKUP(B120,CENY!$B$11:$M$1054,12,FALSE)</f>
        <v>43.053130000000003</v>
      </c>
      <c r="H120" s="54" t="str">
        <f t="shared" si="25"/>
        <v xml:space="preserve"> EUR</v>
      </c>
      <c r="I120" s="41" t="str">
        <f t="shared" si="26"/>
        <v/>
      </c>
      <c r="J120" s="122"/>
      <c r="K120" s="42" t="str">
        <f>VLOOKUP(B120,CENY!$B$11:$M$1054,8,FALSE)</f>
        <v xml:space="preserve"> </v>
      </c>
      <c r="L120" s="42" t="str">
        <f>VLOOKUP(B120,CENY!$B$11:$M$1054,9,FALSE)</f>
        <v>530069</v>
      </c>
      <c r="M120" s="32"/>
      <c r="N120" s="35">
        <f t="shared" si="32"/>
        <v>0</v>
      </c>
      <c r="O120" s="36">
        <v>0</v>
      </c>
      <c r="P120" s="32"/>
      <c r="Q120" s="32"/>
      <c r="R120" s="32"/>
      <c r="S120" s="32"/>
      <c r="T120" s="325">
        <f>'AVT187'!AZ13</f>
        <v>0</v>
      </c>
      <c r="U120" s="32"/>
      <c r="V120" s="32"/>
      <c r="W120" s="32"/>
      <c r="X120" s="32"/>
      <c r="Y120" s="32"/>
      <c r="Z120" s="32"/>
      <c r="AA120" s="32"/>
      <c r="AB120" s="32"/>
      <c r="AC120" s="32"/>
      <c r="AD120" s="325">
        <f>'AVT187(vn-A)'!AZ13</f>
        <v>0</v>
      </c>
      <c r="AE120" s="32"/>
      <c r="AF120" s="32"/>
      <c r="AG120" s="32"/>
      <c r="AH120" s="325">
        <f>'AVT187(vn-S)'!AZ13</f>
        <v>0</v>
      </c>
      <c r="AI120" s="32"/>
      <c r="AJ120" s="32"/>
      <c r="AK120" s="32"/>
      <c r="AL120" s="32"/>
      <c r="AM120" s="32"/>
      <c r="AN120" s="325">
        <f>'AVT-celny-101+187'!AZ23</f>
        <v>0</v>
      </c>
      <c r="AO120" s="32"/>
      <c r="AP120" s="32"/>
      <c r="AQ120" s="32"/>
      <c r="AR120" s="325">
        <f>'AVT-celny-2x187'!AZ13</f>
        <v>0</v>
      </c>
      <c r="AS120" s="32"/>
      <c r="AT120" s="32"/>
      <c r="AU120" s="32"/>
      <c r="AV120" s="325">
        <f>'potr-v101+187'!AZ19</f>
        <v>0</v>
      </c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165"/>
      <c r="BP120" s="165"/>
      <c r="BQ120" s="165"/>
      <c r="BR120" s="165"/>
      <c r="BS120" s="165"/>
      <c r="BT120" s="165"/>
      <c r="BU120" s="165"/>
      <c r="BV120" s="55"/>
      <c r="BW120" s="160"/>
      <c r="BX120" s="32"/>
      <c r="BY120" s="24"/>
      <c r="BZ120" s="24"/>
      <c r="CA120" s="24"/>
      <c r="CB120" s="24"/>
      <c r="CC120" s="24"/>
      <c r="CD120" s="24"/>
      <c r="CE120" s="24"/>
    </row>
    <row r="121" spans="1:83" ht="8.1" hidden="1" customHeight="1">
      <c r="A121" s="4"/>
      <c r="B121" s="317"/>
      <c r="C121" s="43"/>
      <c r="D121" s="39"/>
      <c r="E121" s="56"/>
      <c r="F121" s="40"/>
      <c r="G121" s="52"/>
      <c r="H121" s="54"/>
      <c r="I121" s="41"/>
      <c r="J121" s="122"/>
      <c r="K121" s="42"/>
      <c r="L121" s="42"/>
      <c r="M121" s="32"/>
      <c r="N121" s="35"/>
      <c r="O121" s="36">
        <v>0</v>
      </c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165"/>
      <c r="BP121" s="165"/>
      <c r="BQ121" s="165"/>
      <c r="BR121" s="165"/>
      <c r="BS121" s="165"/>
      <c r="BT121" s="165"/>
      <c r="BU121" s="165"/>
      <c r="BV121" s="55"/>
      <c r="BW121" s="160"/>
      <c r="BX121" s="32"/>
      <c r="BY121" s="24"/>
      <c r="BZ121" s="24"/>
      <c r="CA121" s="24"/>
      <c r="CB121" s="24"/>
      <c r="CC121" s="24"/>
      <c r="CD121" s="24"/>
      <c r="CE121" s="24"/>
    </row>
    <row r="122" spans="1:83" ht="15" hidden="1" customHeight="1">
      <c r="A122" s="4"/>
      <c r="B122" s="317">
        <f>IF($Q$8=$Q$7,CENY!B274,IF($Q$7=$Q$9,CENY!B292,CENY!B310))</f>
        <v>9255044</v>
      </c>
      <c r="C122" s="43" t="str">
        <f>VLOOKUP(B122,CENY!$B$11:$G$1054,2,FALSE)</f>
        <v>AvanY-bok ľavý /v187/h270/ strieborná</v>
      </c>
      <c r="D122" s="353">
        <f>VLOOKUP(B122,CENY!$B$11:$G$1054,3,FALSE)</f>
        <v>10</v>
      </c>
      <c r="E122" s="56" t="str">
        <f>IF(VLOOKUP(B122,CENY!$B$11:$G$1054,4,FALSE)=0,"",VLOOKUP(B122,CENY!$B$11:$G$1054,4,FALSE))</f>
        <v/>
      </c>
      <c r="F122" s="40" t="str">
        <f t="shared" ref="F122:F139" si="33">IF(J122&lt;&gt;"",J122,IF(N122=0,"",N122))</f>
        <v/>
      </c>
      <c r="G122" s="52">
        <f>VLOOKUP(B122,CENY!$B$11:$M$1054,12,FALSE)</f>
        <v>16.540590000000002</v>
      </c>
      <c r="H122" s="54" t="str">
        <f t="shared" si="25"/>
        <v xml:space="preserve"> EUR</v>
      </c>
      <c r="I122" s="41" t="str">
        <f t="shared" si="26"/>
        <v/>
      </c>
      <c r="J122" s="122"/>
      <c r="K122" s="42" t="str">
        <f>VLOOKUP(B122,CENY!$B$11:$M$1054,8,FALSE)</f>
        <v xml:space="preserve"> </v>
      </c>
      <c r="L122" s="42" t="str">
        <f>VLOOKUP(B122,CENY!$B$11:$M$1054,9,FALSE)</f>
        <v>396809</v>
      </c>
      <c r="M122" s="32"/>
      <c r="N122" s="35">
        <f t="shared" ref="N122:N141" si="34">SUM(P122:BW122)</f>
        <v>0</v>
      </c>
      <c r="O122" s="36">
        <v>0</v>
      </c>
      <c r="P122" s="32"/>
      <c r="Q122" s="32"/>
      <c r="R122" s="32"/>
      <c r="S122" s="32"/>
      <c r="T122" s="32"/>
      <c r="U122" s="325">
        <f>'AVT187'!BI5</f>
        <v>0</v>
      </c>
      <c r="V122" s="32"/>
      <c r="W122" s="32"/>
      <c r="X122" s="32"/>
      <c r="Y122" s="32"/>
      <c r="Z122" s="32"/>
      <c r="AA122" s="32"/>
      <c r="AB122" s="32"/>
      <c r="AC122" s="32"/>
      <c r="AD122" s="32"/>
      <c r="AE122" s="325">
        <f>'AVT187(vn-A)'!BI5</f>
        <v>0</v>
      </c>
      <c r="AF122" s="32"/>
      <c r="AG122" s="32"/>
      <c r="AH122" s="32"/>
      <c r="AI122" s="325">
        <f>'AVT187(vn-S)'!BI5</f>
        <v>0</v>
      </c>
      <c r="AJ122" s="32"/>
      <c r="AK122" s="32"/>
      <c r="AL122" s="32"/>
      <c r="AM122" s="32"/>
      <c r="AN122" s="32"/>
      <c r="AO122" s="325">
        <f>'AVT-celny-101+187'!BI24</f>
        <v>0</v>
      </c>
      <c r="AP122" s="32"/>
      <c r="AQ122" s="32"/>
      <c r="AR122" s="32"/>
      <c r="AS122" s="325">
        <f>'AVT-celny-2x187'!BI5</f>
        <v>0</v>
      </c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165"/>
      <c r="BP122" s="165"/>
      <c r="BQ122" s="165"/>
      <c r="BR122" s="165"/>
      <c r="BS122" s="165"/>
      <c r="BT122" s="165"/>
      <c r="BU122" s="165"/>
      <c r="BV122" s="55"/>
      <c r="BW122" s="160"/>
      <c r="BX122" s="32"/>
      <c r="BY122" s="24"/>
      <c r="BZ122" s="24"/>
      <c r="CA122" s="24"/>
      <c r="CB122" s="24"/>
      <c r="CC122" s="24"/>
      <c r="CD122" s="24"/>
      <c r="CE122" s="24"/>
    </row>
    <row r="123" spans="1:83" ht="15" hidden="1" customHeight="1">
      <c r="A123" s="4"/>
      <c r="B123" s="317">
        <f>IF($Q$8=$Q$7,CENY!B275,IF($Q$7=$Q$9,CENY!B293,CENY!B311))</f>
        <v>9255045</v>
      </c>
      <c r="C123" s="43" t="str">
        <f>VLOOKUP(B123,CENY!$B$11:$G$1054,2,FALSE)</f>
        <v>AvanY-bok pravý /v187/h270/ strieborná</v>
      </c>
      <c r="D123" s="353">
        <f>VLOOKUP(B123,CENY!$B$11:$G$1054,3,FALSE)</f>
        <v>10</v>
      </c>
      <c r="E123" s="56" t="str">
        <f>IF(VLOOKUP(B123,CENY!$B$11:$G$1054,4,FALSE)=0,"",VLOOKUP(B123,CENY!$B$11:$G$1054,4,FALSE))</f>
        <v/>
      </c>
      <c r="F123" s="40" t="str">
        <f t="shared" si="33"/>
        <v/>
      </c>
      <c r="G123" s="52">
        <f>VLOOKUP(B123,CENY!$B$11:$M$1054,12,FALSE)</f>
        <v>16.540590000000002</v>
      </c>
      <c r="H123" s="54" t="str">
        <f t="shared" si="25"/>
        <v xml:space="preserve"> EUR</v>
      </c>
      <c r="I123" s="41" t="str">
        <f t="shared" si="26"/>
        <v/>
      </c>
      <c r="J123" s="122"/>
      <c r="K123" s="42" t="str">
        <f>VLOOKUP(B123,CENY!$B$11:$M$1054,8,FALSE)</f>
        <v xml:space="preserve"> </v>
      </c>
      <c r="L123" s="42" t="str">
        <f>VLOOKUP(B123,CENY!$B$11:$M$1054,9,FALSE)</f>
        <v>396810</v>
      </c>
      <c r="M123" s="32"/>
      <c r="N123" s="35">
        <f t="shared" si="34"/>
        <v>0</v>
      </c>
      <c r="O123" s="36">
        <v>0</v>
      </c>
      <c r="P123" s="32"/>
      <c r="Q123" s="32"/>
      <c r="R123" s="32"/>
      <c r="S123" s="32"/>
      <c r="T123" s="32"/>
      <c r="U123" s="325">
        <f>'AVT187'!BI6</f>
        <v>0</v>
      </c>
      <c r="V123" s="32"/>
      <c r="W123" s="32"/>
      <c r="X123" s="32"/>
      <c r="Y123" s="32"/>
      <c r="Z123" s="32"/>
      <c r="AA123" s="32"/>
      <c r="AB123" s="32"/>
      <c r="AC123" s="32"/>
      <c r="AD123" s="32"/>
      <c r="AE123" s="325">
        <f>'AVT187(vn-A)'!BI6</f>
        <v>0</v>
      </c>
      <c r="AF123" s="32"/>
      <c r="AG123" s="32"/>
      <c r="AH123" s="32"/>
      <c r="AI123" s="325">
        <f>'AVT187(vn-S)'!BI6</f>
        <v>0</v>
      </c>
      <c r="AJ123" s="32"/>
      <c r="AK123" s="32"/>
      <c r="AL123" s="32"/>
      <c r="AM123" s="32"/>
      <c r="AN123" s="32"/>
      <c r="AO123" s="325">
        <f>'AVT-celny-101+187'!BI25</f>
        <v>0</v>
      </c>
      <c r="AP123" s="32"/>
      <c r="AQ123" s="32"/>
      <c r="AR123" s="32"/>
      <c r="AS123" s="325">
        <f>'AVT-celny-2x187'!BI6</f>
        <v>0</v>
      </c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165"/>
      <c r="BP123" s="165"/>
      <c r="BQ123" s="165"/>
      <c r="BR123" s="165"/>
      <c r="BS123" s="165"/>
      <c r="BT123" s="165"/>
      <c r="BU123" s="165"/>
      <c r="BV123" s="55"/>
      <c r="BW123" s="160"/>
      <c r="BX123" s="32"/>
      <c r="BY123" s="24"/>
      <c r="BZ123" s="24"/>
      <c r="CA123" s="24"/>
      <c r="CB123" s="24"/>
      <c r="CC123" s="24"/>
      <c r="CD123" s="24"/>
      <c r="CE123" s="24"/>
    </row>
    <row r="124" spans="1:83" ht="15" hidden="1" customHeight="1">
      <c r="A124" s="4"/>
      <c r="B124" s="317">
        <f>IF($Q$8=$Q$7,CENY!B276,IF($Q$7=$Q$9,CENY!B294,CENY!B312))</f>
        <v>9255046</v>
      </c>
      <c r="C124" s="43" t="str">
        <f>VLOOKUP(B124,CENY!$B$11:$G$1054,2,FALSE)</f>
        <v>AvanY-bok ľavý /v187/h300/ strieborná</v>
      </c>
      <c r="D124" s="353">
        <f>VLOOKUP(B124,CENY!$B$11:$G$1054,3,FALSE)</f>
        <v>10</v>
      </c>
      <c r="E124" s="56" t="str">
        <f>IF(VLOOKUP(B124,CENY!$B$11:$G$1054,4,FALSE)=0,"",VLOOKUP(B124,CENY!$B$11:$G$1054,4,FALSE))</f>
        <v/>
      </c>
      <c r="F124" s="40" t="str">
        <f t="shared" si="33"/>
        <v/>
      </c>
      <c r="G124" s="52">
        <f>VLOOKUP(B124,CENY!$B$11:$M$1054,12,FALSE)</f>
        <v>16.72522</v>
      </c>
      <c r="H124" s="54" t="str">
        <f t="shared" si="25"/>
        <v xml:space="preserve"> EUR</v>
      </c>
      <c r="I124" s="41" t="str">
        <f t="shared" si="26"/>
        <v/>
      </c>
      <c r="J124" s="122"/>
      <c r="K124" s="42" t="str">
        <f>VLOOKUP(B124,CENY!$B$11:$M$1054,8,FALSE)</f>
        <v xml:space="preserve"> </v>
      </c>
      <c r="L124" s="42" t="str">
        <f>VLOOKUP(B124,CENY!$B$11:$M$1054,9,FALSE)</f>
        <v>396811</v>
      </c>
      <c r="M124" s="32"/>
      <c r="N124" s="35">
        <f t="shared" si="34"/>
        <v>0</v>
      </c>
      <c r="O124" s="36">
        <v>0</v>
      </c>
      <c r="P124" s="32"/>
      <c r="Q124" s="32"/>
      <c r="R124" s="32"/>
      <c r="S124" s="32"/>
      <c r="T124" s="32"/>
      <c r="U124" s="325">
        <f>'AVT187'!BI7</f>
        <v>0</v>
      </c>
      <c r="V124" s="32"/>
      <c r="W124" s="32"/>
      <c r="X124" s="32"/>
      <c r="Y124" s="32"/>
      <c r="Z124" s="32"/>
      <c r="AA124" s="32"/>
      <c r="AB124" s="32"/>
      <c r="AC124" s="32"/>
      <c r="AD124" s="32"/>
      <c r="AE124" s="325">
        <f>'AVT187(vn-A)'!BI7</f>
        <v>0</v>
      </c>
      <c r="AF124" s="32"/>
      <c r="AG124" s="32"/>
      <c r="AH124" s="32"/>
      <c r="AI124" s="325">
        <f>'AVT187(vn-S)'!BI7</f>
        <v>0</v>
      </c>
      <c r="AJ124" s="32"/>
      <c r="AK124" s="32"/>
      <c r="AL124" s="32"/>
      <c r="AM124" s="32"/>
      <c r="AN124" s="32"/>
      <c r="AO124" s="325">
        <f>'AVT-celny-101+187'!BI26</f>
        <v>0</v>
      </c>
      <c r="AP124" s="32"/>
      <c r="AQ124" s="325">
        <f>'AVT-celny-139+187'!BI20</f>
        <v>0</v>
      </c>
      <c r="AR124" s="32"/>
      <c r="AS124" s="325">
        <f>'AVT-celny-2x187'!BI7</f>
        <v>0</v>
      </c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165"/>
      <c r="BP124" s="165"/>
      <c r="BQ124" s="165"/>
      <c r="BR124" s="165"/>
      <c r="BS124" s="165"/>
      <c r="BT124" s="165"/>
      <c r="BU124" s="165"/>
      <c r="BV124" s="55"/>
      <c r="BW124" s="160"/>
      <c r="BX124" s="32"/>
      <c r="BY124" s="24"/>
      <c r="BZ124" s="24"/>
      <c r="CA124" s="24"/>
      <c r="CB124" s="24"/>
      <c r="CC124" s="24"/>
      <c r="CD124" s="24"/>
      <c r="CE124" s="24"/>
    </row>
    <row r="125" spans="1:83" ht="15" hidden="1" customHeight="1">
      <c r="A125" s="4"/>
      <c r="B125" s="317">
        <f>IF($Q$8=$Q$7,CENY!B277,IF($Q$7=$Q$9,CENY!B295,CENY!B313))</f>
        <v>9255047</v>
      </c>
      <c r="C125" s="43" t="str">
        <f>VLOOKUP(B125,CENY!$B$11:$G$1054,2,FALSE)</f>
        <v>AvanY-bok pravý /v187/h300/ strieborná</v>
      </c>
      <c r="D125" s="353">
        <f>VLOOKUP(B125,CENY!$B$11:$G$1054,3,FALSE)</f>
        <v>10</v>
      </c>
      <c r="E125" s="56" t="str">
        <f>IF(VLOOKUP(B125,CENY!$B$11:$G$1054,4,FALSE)=0,"",VLOOKUP(B125,CENY!$B$11:$G$1054,4,FALSE))</f>
        <v/>
      </c>
      <c r="F125" s="40" t="str">
        <f t="shared" si="33"/>
        <v/>
      </c>
      <c r="G125" s="52">
        <f>VLOOKUP(B125,CENY!$B$11:$M$1054,12,FALSE)</f>
        <v>16.72522</v>
      </c>
      <c r="H125" s="54" t="str">
        <f t="shared" si="25"/>
        <v xml:space="preserve"> EUR</v>
      </c>
      <c r="I125" s="41" t="str">
        <f t="shared" si="26"/>
        <v/>
      </c>
      <c r="J125" s="122"/>
      <c r="K125" s="42" t="str">
        <f>VLOOKUP(B125,CENY!$B$11:$M$1054,8,FALSE)</f>
        <v xml:space="preserve"> </v>
      </c>
      <c r="L125" s="42" t="str">
        <f>VLOOKUP(B125,CENY!$B$11:$M$1054,9,FALSE)</f>
        <v>396812</v>
      </c>
      <c r="M125" s="32"/>
      <c r="N125" s="35">
        <f t="shared" si="34"/>
        <v>0</v>
      </c>
      <c r="O125" s="36">
        <v>0</v>
      </c>
      <c r="P125" s="32"/>
      <c r="Q125" s="32"/>
      <c r="R125" s="32"/>
      <c r="S125" s="32"/>
      <c r="T125" s="32"/>
      <c r="U125" s="325">
        <f>'AVT187'!BI8</f>
        <v>0</v>
      </c>
      <c r="V125" s="32"/>
      <c r="W125" s="32"/>
      <c r="X125" s="32"/>
      <c r="Y125" s="32"/>
      <c r="Z125" s="32"/>
      <c r="AA125" s="32"/>
      <c r="AB125" s="32"/>
      <c r="AC125" s="32"/>
      <c r="AD125" s="32"/>
      <c r="AE125" s="325">
        <f>'AVT187(vn-A)'!BI8</f>
        <v>0</v>
      </c>
      <c r="AF125" s="32"/>
      <c r="AG125" s="32"/>
      <c r="AH125" s="32"/>
      <c r="AI125" s="325">
        <f>'AVT187(vn-S)'!BI8</f>
        <v>0</v>
      </c>
      <c r="AJ125" s="32"/>
      <c r="AK125" s="32"/>
      <c r="AL125" s="32"/>
      <c r="AM125" s="32"/>
      <c r="AN125" s="32"/>
      <c r="AO125" s="325">
        <f>'AVT-celny-101+187'!BI27</f>
        <v>0</v>
      </c>
      <c r="AP125" s="32"/>
      <c r="AQ125" s="325">
        <f>'AVT-celny-139+187'!BI21</f>
        <v>0</v>
      </c>
      <c r="AR125" s="32"/>
      <c r="AS125" s="325">
        <f>'AVT-celny-2x187'!BI8</f>
        <v>0</v>
      </c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165"/>
      <c r="BP125" s="165"/>
      <c r="BQ125" s="165"/>
      <c r="BR125" s="165"/>
      <c r="BS125" s="165"/>
      <c r="BT125" s="165"/>
      <c r="BU125" s="165"/>
      <c r="BV125" s="55"/>
      <c r="BW125" s="160"/>
      <c r="BX125" s="32"/>
      <c r="BY125" s="24"/>
      <c r="BZ125" s="24"/>
      <c r="CA125" s="24"/>
      <c r="CB125" s="24"/>
      <c r="CC125" s="24"/>
      <c r="CD125" s="24"/>
      <c r="CE125" s="24"/>
    </row>
    <row r="126" spans="1:83" ht="15" hidden="1" customHeight="1">
      <c r="A126" s="4"/>
      <c r="B126" s="317">
        <f>IF($Q$8=$Q$7,CENY!B278,IF($Q$7=$Q$9,CENY!B296,CENY!B314))</f>
        <v>9255048</v>
      </c>
      <c r="C126" s="43" t="str">
        <f>VLOOKUP(B126,CENY!$B$11:$G$1054,2,FALSE)</f>
        <v>AvanY-bok ľavý /v187/h350/ strieborná</v>
      </c>
      <c r="D126" s="353">
        <f>VLOOKUP(B126,CENY!$B$11:$G$1054,3,FALSE)</f>
        <v>10</v>
      </c>
      <c r="E126" s="56" t="str">
        <f>IF(VLOOKUP(B126,CENY!$B$11:$G$1054,4,FALSE)=0,"",VLOOKUP(B126,CENY!$B$11:$G$1054,4,FALSE))</f>
        <v/>
      </c>
      <c r="F126" s="40" t="str">
        <f t="shared" si="33"/>
        <v/>
      </c>
      <c r="G126" s="52">
        <f>VLOOKUP(B126,CENY!$B$11:$M$1054,12,FALSE)</f>
        <v>17.033180000000002</v>
      </c>
      <c r="H126" s="54" t="str">
        <f t="shared" si="25"/>
        <v xml:space="preserve"> EUR</v>
      </c>
      <c r="I126" s="41" t="str">
        <f t="shared" si="26"/>
        <v/>
      </c>
      <c r="J126" s="122"/>
      <c r="K126" s="42" t="str">
        <f>VLOOKUP(B126,CENY!$B$11:$M$1054,8,FALSE)</f>
        <v xml:space="preserve"> </v>
      </c>
      <c r="L126" s="42" t="str">
        <f>VLOOKUP(B126,CENY!$B$11:$M$1054,9,FALSE)</f>
        <v>396813</v>
      </c>
      <c r="M126" s="32"/>
      <c r="N126" s="35">
        <f t="shared" si="34"/>
        <v>0</v>
      </c>
      <c r="O126" s="36">
        <v>0</v>
      </c>
      <c r="P126" s="32"/>
      <c r="Q126" s="32"/>
      <c r="R126" s="32"/>
      <c r="S126" s="32"/>
      <c r="T126" s="32"/>
      <c r="U126" s="325">
        <f>'AVT187'!BI9</f>
        <v>0</v>
      </c>
      <c r="V126" s="32"/>
      <c r="W126" s="32"/>
      <c r="X126" s="32"/>
      <c r="Y126" s="32"/>
      <c r="Z126" s="32"/>
      <c r="AA126" s="32"/>
      <c r="AB126" s="32"/>
      <c r="AC126" s="32"/>
      <c r="AD126" s="32"/>
      <c r="AE126" s="325">
        <f>'AVT187(vn-A)'!BI9</f>
        <v>0</v>
      </c>
      <c r="AF126" s="32"/>
      <c r="AG126" s="32"/>
      <c r="AH126" s="32"/>
      <c r="AI126" s="325">
        <f>'AVT187(vn-S)'!BI9</f>
        <v>0</v>
      </c>
      <c r="AJ126" s="32"/>
      <c r="AK126" s="32"/>
      <c r="AL126" s="32"/>
      <c r="AM126" s="32"/>
      <c r="AN126" s="32"/>
      <c r="AO126" s="325">
        <f>'AVT-celny-101+187'!BI28</f>
        <v>0</v>
      </c>
      <c r="AP126" s="32"/>
      <c r="AQ126" s="325">
        <f>'AVT-celny-139+187'!BI22</f>
        <v>0</v>
      </c>
      <c r="AR126" s="32"/>
      <c r="AS126" s="325">
        <f>'AVT-celny-2x187'!BI9</f>
        <v>0</v>
      </c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165"/>
      <c r="BP126" s="165"/>
      <c r="BQ126" s="165"/>
      <c r="BR126" s="165"/>
      <c r="BS126" s="165"/>
      <c r="BT126" s="165"/>
      <c r="BU126" s="165"/>
      <c r="BV126" s="55"/>
      <c r="BW126" s="160"/>
      <c r="BX126" s="32"/>
      <c r="BY126" s="24"/>
      <c r="BZ126" s="24"/>
      <c r="CA126" s="24"/>
      <c r="CB126" s="24"/>
      <c r="CC126" s="24"/>
      <c r="CD126" s="24"/>
      <c r="CE126" s="24"/>
    </row>
    <row r="127" spans="1:83" ht="15" hidden="1" customHeight="1">
      <c r="A127" s="4"/>
      <c r="B127" s="317">
        <f>IF($Q$8=$Q$7,CENY!B279,IF($Q$7=$Q$9,CENY!B297,CENY!B315))</f>
        <v>9255049</v>
      </c>
      <c r="C127" s="43" t="str">
        <f>VLOOKUP(B127,CENY!$B$11:$G$1054,2,FALSE)</f>
        <v>AvanY-bok pravý /v187/h350/ strieborná</v>
      </c>
      <c r="D127" s="353">
        <f>VLOOKUP(B127,CENY!$B$11:$G$1054,3,FALSE)</f>
        <v>10</v>
      </c>
      <c r="E127" s="56" t="str">
        <f>IF(VLOOKUP(B127,CENY!$B$11:$G$1054,4,FALSE)=0,"",VLOOKUP(B127,CENY!$B$11:$G$1054,4,FALSE))</f>
        <v/>
      </c>
      <c r="F127" s="40" t="str">
        <f t="shared" si="33"/>
        <v/>
      </c>
      <c r="G127" s="52">
        <f>VLOOKUP(B127,CENY!$B$11:$M$1054,12,FALSE)</f>
        <v>17.033180000000002</v>
      </c>
      <c r="H127" s="54" t="str">
        <f t="shared" si="25"/>
        <v xml:space="preserve"> EUR</v>
      </c>
      <c r="I127" s="41" t="str">
        <f t="shared" si="26"/>
        <v/>
      </c>
      <c r="J127" s="122"/>
      <c r="K127" s="42" t="str">
        <f>VLOOKUP(B127,CENY!$B$11:$M$1054,8,FALSE)</f>
        <v xml:space="preserve"> </v>
      </c>
      <c r="L127" s="42" t="str">
        <f>VLOOKUP(B127,CENY!$B$11:$M$1054,9,FALSE)</f>
        <v>396814</v>
      </c>
      <c r="M127" s="32"/>
      <c r="N127" s="35">
        <f t="shared" si="34"/>
        <v>0</v>
      </c>
      <c r="O127" s="36">
        <v>0</v>
      </c>
      <c r="P127" s="32"/>
      <c r="Q127" s="32"/>
      <c r="R127" s="32"/>
      <c r="S127" s="32"/>
      <c r="T127" s="32"/>
      <c r="U127" s="325">
        <f>'AVT187'!BI10</f>
        <v>0</v>
      </c>
      <c r="V127" s="32"/>
      <c r="W127" s="32"/>
      <c r="X127" s="32"/>
      <c r="Y127" s="32"/>
      <c r="Z127" s="32"/>
      <c r="AA127" s="32"/>
      <c r="AB127" s="32"/>
      <c r="AC127" s="32"/>
      <c r="AD127" s="32"/>
      <c r="AE127" s="325">
        <f>'AVT187(vn-A)'!BI10</f>
        <v>0</v>
      </c>
      <c r="AF127" s="32"/>
      <c r="AG127" s="32"/>
      <c r="AH127" s="32"/>
      <c r="AI127" s="325">
        <f>'AVT187(vn-S)'!BI10</f>
        <v>0</v>
      </c>
      <c r="AJ127" s="32"/>
      <c r="AK127" s="32"/>
      <c r="AL127" s="32"/>
      <c r="AM127" s="32"/>
      <c r="AN127" s="32"/>
      <c r="AO127" s="325">
        <f>'AVT-celny-101+187'!BI29</f>
        <v>0</v>
      </c>
      <c r="AP127" s="32"/>
      <c r="AQ127" s="325">
        <f>'AVT-celny-139+187'!BI23</f>
        <v>0</v>
      </c>
      <c r="AR127" s="32"/>
      <c r="AS127" s="325">
        <f>'AVT-celny-2x187'!BI10</f>
        <v>0</v>
      </c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165"/>
      <c r="BP127" s="165"/>
      <c r="BQ127" s="165"/>
      <c r="BR127" s="165"/>
      <c r="BS127" s="165"/>
      <c r="BT127" s="165"/>
      <c r="BU127" s="165"/>
      <c r="BV127" s="55"/>
      <c r="BW127" s="160"/>
      <c r="BX127" s="32"/>
      <c r="BY127" s="24"/>
      <c r="BZ127" s="24"/>
      <c r="CA127" s="24"/>
      <c r="CB127" s="24"/>
      <c r="CC127" s="24"/>
      <c r="CD127" s="24"/>
      <c r="CE127" s="24"/>
    </row>
    <row r="128" spans="1:83" ht="15" hidden="1" customHeight="1">
      <c r="A128" s="4"/>
      <c r="B128" s="317">
        <f>IF($Q$8=$Q$7,CENY!B280,IF($Q$7=$Q$9,CENY!B298,CENY!B316))</f>
        <v>9255050</v>
      </c>
      <c r="C128" s="43" t="str">
        <f>VLOOKUP(B128,CENY!$B$11:$G$1054,2,FALSE)</f>
        <v>AvanY-bok ľavý /v187/h400/ strieborná</v>
      </c>
      <c r="D128" s="353">
        <f>VLOOKUP(B128,CENY!$B$11:$G$1054,3,FALSE)</f>
        <v>10</v>
      </c>
      <c r="E128" s="56" t="str">
        <f>IF(VLOOKUP(B128,CENY!$B$11:$G$1054,4,FALSE)=0,"",VLOOKUP(B128,CENY!$B$11:$G$1054,4,FALSE))</f>
        <v/>
      </c>
      <c r="F128" s="40" t="str">
        <f t="shared" si="33"/>
        <v/>
      </c>
      <c r="G128" s="52">
        <f>VLOOKUP(B128,CENY!$B$11:$M$1054,12,FALSE)</f>
        <v>17.340789999999998</v>
      </c>
      <c r="H128" s="54" t="str">
        <f t="shared" si="25"/>
        <v xml:space="preserve"> EUR</v>
      </c>
      <c r="I128" s="41" t="str">
        <f t="shared" si="26"/>
        <v/>
      </c>
      <c r="J128" s="122"/>
      <c r="K128" s="42" t="str">
        <f>VLOOKUP(B128,CENY!$B$11:$M$1054,8,FALSE)</f>
        <v xml:space="preserve"> </v>
      </c>
      <c r="L128" s="42" t="str">
        <f>VLOOKUP(B128,CENY!$B$11:$M$1054,9,FALSE)</f>
        <v>396815</v>
      </c>
      <c r="M128" s="32"/>
      <c r="N128" s="35">
        <f t="shared" si="34"/>
        <v>0</v>
      </c>
      <c r="O128" s="36">
        <v>0</v>
      </c>
      <c r="P128" s="32"/>
      <c r="Q128" s="32"/>
      <c r="R128" s="32"/>
      <c r="S128" s="32"/>
      <c r="T128" s="32"/>
      <c r="U128" s="325">
        <f>'AVT187'!BI11</f>
        <v>0</v>
      </c>
      <c r="V128" s="32"/>
      <c r="W128" s="32"/>
      <c r="X128" s="32"/>
      <c r="Y128" s="32"/>
      <c r="Z128" s="32"/>
      <c r="AA128" s="32"/>
      <c r="AB128" s="32"/>
      <c r="AC128" s="32"/>
      <c r="AD128" s="32"/>
      <c r="AE128" s="325">
        <f>'AVT187(vn-A)'!BI11</f>
        <v>0</v>
      </c>
      <c r="AF128" s="32"/>
      <c r="AG128" s="32"/>
      <c r="AH128" s="32"/>
      <c r="AI128" s="325">
        <f>'AVT187(vn-S)'!BI11</f>
        <v>0</v>
      </c>
      <c r="AJ128" s="32"/>
      <c r="AK128" s="32"/>
      <c r="AL128" s="32"/>
      <c r="AM128" s="32"/>
      <c r="AN128" s="32"/>
      <c r="AO128" s="325">
        <f>'AVT-celny-101+187'!BI30</f>
        <v>0</v>
      </c>
      <c r="AP128" s="32"/>
      <c r="AQ128" s="325">
        <f>'AVT-celny-139+187'!BI24</f>
        <v>0</v>
      </c>
      <c r="AR128" s="32"/>
      <c r="AS128" s="325">
        <f>'AVT-celny-2x187'!BI11</f>
        <v>0</v>
      </c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165"/>
      <c r="BP128" s="165"/>
      <c r="BQ128" s="165"/>
      <c r="BR128" s="165"/>
      <c r="BS128" s="165"/>
      <c r="BT128" s="165"/>
      <c r="BU128" s="165"/>
      <c r="BV128" s="55"/>
      <c r="BW128" s="160"/>
      <c r="BX128" s="32"/>
      <c r="BY128" s="24"/>
      <c r="BZ128" s="24"/>
      <c r="CA128" s="24"/>
      <c r="CB128" s="24"/>
      <c r="CC128" s="24"/>
      <c r="CD128" s="24"/>
      <c r="CE128" s="24"/>
    </row>
    <row r="129" spans="1:83" ht="15" hidden="1" customHeight="1">
      <c r="A129" s="4"/>
      <c r="B129" s="317">
        <f>IF($Q$8=$Q$7,CENY!B281,IF($Q$7=$Q$9,CENY!B299,CENY!B317))</f>
        <v>9255051</v>
      </c>
      <c r="C129" s="43" t="str">
        <f>VLOOKUP(B129,CENY!$B$11:$G$1054,2,FALSE)</f>
        <v>AvanY-bok pravý /v187/h400/ strieborná</v>
      </c>
      <c r="D129" s="353">
        <f>VLOOKUP(B129,CENY!$B$11:$G$1054,3,FALSE)</f>
        <v>10</v>
      </c>
      <c r="E129" s="56" t="str">
        <f>IF(VLOOKUP(B129,CENY!$B$11:$G$1054,4,FALSE)=0,"",VLOOKUP(B129,CENY!$B$11:$G$1054,4,FALSE))</f>
        <v/>
      </c>
      <c r="F129" s="40" t="str">
        <f t="shared" si="33"/>
        <v/>
      </c>
      <c r="G129" s="52">
        <f>VLOOKUP(B129,CENY!$B$11:$M$1054,12,FALSE)</f>
        <v>17.340789999999998</v>
      </c>
      <c r="H129" s="54" t="str">
        <f t="shared" si="25"/>
        <v xml:space="preserve"> EUR</v>
      </c>
      <c r="I129" s="41" t="str">
        <f t="shared" si="26"/>
        <v/>
      </c>
      <c r="J129" s="122"/>
      <c r="K129" s="42" t="str">
        <f>VLOOKUP(B129,CENY!$B$11:$M$1054,8,FALSE)</f>
        <v xml:space="preserve"> </v>
      </c>
      <c r="L129" s="42" t="str">
        <f>VLOOKUP(B129,CENY!$B$11:$M$1054,9,FALSE)</f>
        <v>396816</v>
      </c>
      <c r="M129" s="32"/>
      <c r="N129" s="35">
        <f t="shared" si="34"/>
        <v>0</v>
      </c>
      <c r="O129" s="36">
        <v>0</v>
      </c>
      <c r="P129" s="32"/>
      <c r="Q129" s="32"/>
      <c r="R129" s="32"/>
      <c r="S129" s="32"/>
      <c r="T129" s="32"/>
      <c r="U129" s="325">
        <f>'AVT187'!BI12</f>
        <v>0</v>
      </c>
      <c r="V129" s="32"/>
      <c r="W129" s="32"/>
      <c r="X129" s="32"/>
      <c r="Y129" s="32"/>
      <c r="Z129" s="32"/>
      <c r="AA129" s="32"/>
      <c r="AB129" s="32"/>
      <c r="AC129" s="32"/>
      <c r="AD129" s="32"/>
      <c r="AE129" s="325">
        <f>'AVT187(vn-A)'!BI12</f>
        <v>0</v>
      </c>
      <c r="AF129" s="32"/>
      <c r="AG129" s="32"/>
      <c r="AH129" s="32"/>
      <c r="AI129" s="325">
        <f>'AVT187(vn-S)'!BI12</f>
        <v>0</v>
      </c>
      <c r="AJ129" s="32"/>
      <c r="AK129" s="32"/>
      <c r="AL129" s="32"/>
      <c r="AM129" s="32"/>
      <c r="AN129" s="32"/>
      <c r="AO129" s="325">
        <f>'AVT-celny-101+187'!BI31</f>
        <v>0</v>
      </c>
      <c r="AP129" s="32"/>
      <c r="AQ129" s="325">
        <f>'AVT-celny-139+187'!BI25</f>
        <v>0</v>
      </c>
      <c r="AR129" s="32"/>
      <c r="AS129" s="325">
        <f>'AVT-celny-2x187'!BI12</f>
        <v>0</v>
      </c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165"/>
      <c r="BP129" s="165"/>
      <c r="BQ129" s="165"/>
      <c r="BR129" s="165"/>
      <c r="BS129" s="165"/>
      <c r="BT129" s="165"/>
      <c r="BU129" s="165"/>
      <c r="BV129" s="55"/>
      <c r="BW129" s="160"/>
      <c r="BX129" s="32"/>
      <c r="BY129" s="24"/>
      <c r="BZ129" s="24"/>
      <c r="CA129" s="24"/>
      <c r="CB129" s="24"/>
      <c r="CC129" s="24"/>
      <c r="CD129" s="24"/>
      <c r="CE129" s="24"/>
    </row>
    <row r="130" spans="1:83" ht="15" hidden="1" customHeight="1">
      <c r="A130" s="4"/>
      <c r="B130" s="317">
        <f>IF($Q$8=$Q$7,CENY!B282,IF($Q$7=$Q$9,CENY!B300,CENY!B318))</f>
        <v>9255052</v>
      </c>
      <c r="C130" s="43" t="str">
        <f>VLOOKUP(B130,CENY!$B$11:$G$1054,2,FALSE)</f>
        <v>AvanY-bok ľavý /v187/h450/ strieborná</v>
      </c>
      <c r="D130" s="353">
        <f>VLOOKUP(B130,CENY!$B$11:$G$1054,3,FALSE)</f>
        <v>10</v>
      </c>
      <c r="E130" s="56" t="str">
        <f>IF(VLOOKUP(B130,CENY!$B$11:$G$1054,4,FALSE)=0,"",VLOOKUP(B130,CENY!$B$11:$G$1054,4,FALSE))</f>
        <v/>
      </c>
      <c r="F130" s="40" t="str">
        <f t="shared" si="33"/>
        <v/>
      </c>
      <c r="G130" s="52">
        <f>VLOOKUP(B130,CENY!$B$11:$M$1054,12,FALSE)</f>
        <v>16.80836</v>
      </c>
      <c r="H130" s="54" t="str">
        <f t="shared" si="25"/>
        <v xml:space="preserve"> EUR</v>
      </c>
      <c r="I130" s="41" t="str">
        <f t="shared" si="26"/>
        <v/>
      </c>
      <c r="J130" s="122"/>
      <c r="K130" s="42" t="str">
        <f>VLOOKUP(B130,CENY!$B$11:$M$1054,8,FALSE)</f>
        <v xml:space="preserve"> </v>
      </c>
      <c r="L130" s="42" t="str">
        <f>VLOOKUP(B130,CENY!$B$11:$M$1054,9,FALSE)</f>
        <v>396817</v>
      </c>
      <c r="M130" s="32"/>
      <c r="N130" s="35">
        <f t="shared" si="34"/>
        <v>0</v>
      </c>
      <c r="O130" s="36">
        <v>0</v>
      </c>
      <c r="P130" s="32"/>
      <c r="Q130" s="32"/>
      <c r="R130" s="32"/>
      <c r="S130" s="32"/>
      <c r="T130" s="32"/>
      <c r="U130" s="325">
        <f>'AVT187'!BI13</f>
        <v>0</v>
      </c>
      <c r="V130" s="32"/>
      <c r="W130" s="32"/>
      <c r="X130" s="32"/>
      <c r="Y130" s="32"/>
      <c r="Z130" s="32"/>
      <c r="AA130" s="32"/>
      <c r="AB130" s="32"/>
      <c r="AC130" s="32"/>
      <c r="AD130" s="32"/>
      <c r="AE130" s="325">
        <f>'AVT187(vn-A)'!BI13</f>
        <v>0</v>
      </c>
      <c r="AF130" s="32"/>
      <c r="AG130" s="32"/>
      <c r="AH130" s="32"/>
      <c r="AI130" s="325">
        <f>'AVT187(vn-S)'!BI13</f>
        <v>0</v>
      </c>
      <c r="AJ130" s="32"/>
      <c r="AK130" s="32"/>
      <c r="AL130" s="32"/>
      <c r="AM130" s="32"/>
      <c r="AN130" s="32"/>
      <c r="AO130" s="325">
        <f>'AVT-celny-101+187'!BI32</f>
        <v>0</v>
      </c>
      <c r="AP130" s="32"/>
      <c r="AQ130" s="325">
        <f>'AVT-celny-139+187'!BI26</f>
        <v>0</v>
      </c>
      <c r="AR130" s="32"/>
      <c r="AS130" s="325">
        <f>'AVT-celny-2x187'!BI13</f>
        <v>0</v>
      </c>
      <c r="AT130" s="32"/>
      <c r="AU130" s="32"/>
      <c r="AV130" s="32"/>
      <c r="AW130" s="325">
        <f>'potr-v101+187'!BI24</f>
        <v>0</v>
      </c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165"/>
      <c r="BP130" s="165"/>
      <c r="BQ130" s="165"/>
      <c r="BR130" s="165"/>
      <c r="BS130" s="165"/>
      <c r="BT130" s="165"/>
      <c r="BU130" s="165"/>
      <c r="BV130" s="55"/>
      <c r="BW130" s="160"/>
      <c r="BX130" s="32"/>
      <c r="BY130" s="24"/>
      <c r="BZ130" s="24"/>
      <c r="CA130" s="24"/>
      <c r="CB130" s="24"/>
      <c r="CC130" s="24"/>
      <c r="CD130" s="24"/>
      <c r="CE130" s="24"/>
    </row>
    <row r="131" spans="1:83" ht="15" hidden="1" customHeight="1">
      <c r="A131" s="4"/>
      <c r="B131" s="317">
        <f>IF($Q$8=$Q$7,CENY!B283,IF($Q$7=$Q$9,CENY!B301,CENY!B319))</f>
        <v>9255053</v>
      </c>
      <c r="C131" s="43" t="str">
        <f>VLOOKUP(B131,CENY!$B$11:$G$1054,2,FALSE)</f>
        <v>AvanY-bok pravý /v187/h450/ strieborná</v>
      </c>
      <c r="D131" s="353">
        <f>VLOOKUP(B131,CENY!$B$11:$G$1054,3,FALSE)</f>
        <v>10</v>
      </c>
      <c r="E131" s="56" t="str">
        <f>IF(VLOOKUP(B131,CENY!$B$11:$G$1054,4,FALSE)=0,"",VLOOKUP(B131,CENY!$B$11:$G$1054,4,FALSE))</f>
        <v/>
      </c>
      <c r="F131" s="40" t="str">
        <f t="shared" si="33"/>
        <v/>
      </c>
      <c r="G131" s="52">
        <f>VLOOKUP(B131,CENY!$B$11:$M$1054,12,FALSE)</f>
        <v>16.80836</v>
      </c>
      <c r="H131" s="54" t="str">
        <f t="shared" si="25"/>
        <v xml:space="preserve"> EUR</v>
      </c>
      <c r="I131" s="41" t="str">
        <f t="shared" si="26"/>
        <v/>
      </c>
      <c r="J131" s="122"/>
      <c r="K131" s="42" t="str">
        <f>VLOOKUP(B131,CENY!$B$11:$M$1054,8,FALSE)</f>
        <v xml:space="preserve"> </v>
      </c>
      <c r="L131" s="42" t="str">
        <f>VLOOKUP(B131,CENY!$B$11:$M$1054,9,FALSE)</f>
        <v>396818</v>
      </c>
      <c r="M131" s="32"/>
      <c r="N131" s="35">
        <f t="shared" si="34"/>
        <v>0</v>
      </c>
      <c r="O131" s="36">
        <v>0</v>
      </c>
      <c r="P131" s="32"/>
      <c r="Q131" s="32"/>
      <c r="R131" s="32"/>
      <c r="S131" s="32"/>
      <c r="T131" s="32"/>
      <c r="U131" s="325">
        <f>'AVT187'!BI14</f>
        <v>0</v>
      </c>
      <c r="V131" s="32"/>
      <c r="W131" s="32"/>
      <c r="X131" s="32"/>
      <c r="Y131" s="32"/>
      <c r="Z131" s="32"/>
      <c r="AA131" s="32"/>
      <c r="AB131" s="32"/>
      <c r="AC131" s="32"/>
      <c r="AD131" s="32"/>
      <c r="AE131" s="325">
        <f>'AVT187(vn-A)'!BI14</f>
        <v>0</v>
      </c>
      <c r="AF131" s="32"/>
      <c r="AG131" s="32"/>
      <c r="AH131" s="32"/>
      <c r="AI131" s="325">
        <f>'AVT187(vn-S)'!BI14</f>
        <v>0</v>
      </c>
      <c r="AJ131" s="32"/>
      <c r="AK131" s="32"/>
      <c r="AL131" s="32"/>
      <c r="AM131" s="32"/>
      <c r="AN131" s="32"/>
      <c r="AO131" s="325">
        <f>'AVT-celny-101+187'!BI33</f>
        <v>0</v>
      </c>
      <c r="AP131" s="32"/>
      <c r="AQ131" s="325">
        <f>'AVT-celny-139+187'!BI27</f>
        <v>0</v>
      </c>
      <c r="AR131" s="32"/>
      <c r="AS131" s="325">
        <f>'AVT-celny-2x187'!BI14</f>
        <v>0</v>
      </c>
      <c r="AT131" s="32"/>
      <c r="AU131" s="32"/>
      <c r="AV131" s="32"/>
      <c r="AW131" s="325">
        <f>'potr-v101+187'!BI25</f>
        <v>0</v>
      </c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165"/>
      <c r="BP131" s="165"/>
      <c r="BQ131" s="165"/>
      <c r="BR131" s="165"/>
      <c r="BS131" s="165"/>
      <c r="BT131" s="165"/>
      <c r="BU131" s="165"/>
      <c r="BV131" s="55"/>
      <c r="BW131" s="160"/>
      <c r="BX131" s="32"/>
      <c r="BY131" s="24"/>
      <c r="BZ131" s="24"/>
      <c r="CA131" s="24"/>
      <c r="CB131" s="24"/>
      <c r="CC131" s="24"/>
      <c r="CD131" s="24"/>
      <c r="CE131" s="24"/>
    </row>
    <row r="132" spans="1:83" ht="15" hidden="1" customHeight="1">
      <c r="A132" s="4"/>
      <c r="B132" s="317">
        <f>IF($Q$8=$Q$7,CENY!B284,IF($Q$7=$Q$9,CENY!B302,CENY!B320))</f>
        <v>9255054</v>
      </c>
      <c r="C132" s="43" t="str">
        <f>VLOOKUP(B132,CENY!$B$11:$G$1054,2,FALSE)</f>
        <v>AvanY-bok ľavý /v187/h500/ strieborná</v>
      </c>
      <c r="D132" s="353">
        <f>VLOOKUP(B132,CENY!$B$11:$G$1054,3,FALSE)</f>
        <v>10</v>
      </c>
      <c r="E132" s="56" t="str">
        <f>IF(VLOOKUP(B132,CENY!$B$11:$G$1054,4,FALSE)=0,"",VLOOKUP(B132,CENY!$B$11:$G$1054,4,FALSE))</f>
        <v/>
      </c>
      <c r="F132" s="40" t="str">
        <f t="shared" si="33"/>
        <v/>
      </c>
      <c r="G132" s="52">
        <f>VLOOKUP(B132,CENY!$B$11:$M$1054,12,FALSE)</f>
        <v>17.10154</v>
      </c>
      <c r="H132" s="54" t="str">
        <f t="shared" si="25"/>
        <v xml:space="preserve"> EUR</v>
      </c>
      <c r="I132" s="41" t="str">
        <f t="shared" si="26"/>
        <v/>
      </c>
      <c r="J132" s="122"/>
      <c r="K132" s="42" t="str">
        <f>VLOOKUP(B132,CENY!$B$11:$M$1054,8,FALSE)</f>
        <v xml:space="preserve"> </v>
      </c>
      <c r="L132" s="42" t="str">
        <f>VLOOKUP(B132,CENY!$B$11:$M$1054,9,FALSE)</f>
        <v>396819</v>
      </c>
      <c r="M132" s="32"/>
      <c r="N132" s="35">
        <f t="shared" si="34"/>
        <v>0</v>
      </c>
      <c r="O132" s="36">
        <v>0</v>
      </c>
      <c r="P132" s="32"/>
      <c r="Q132" s="32"/>
      <c r="R132" s="32"/>
      <c r="S132" s="32"/>
      <c r="T132" s="32"/>
      <c r="U132" s="325">
        <f>'AVT187'!BI15</f>
        <v>0</v>
      </c>
      <c r="V132" s="32"/>
      <c r="W132" s="32"/>
      <c r="X132" s="32"/>
      <c r="Y132" s="32"/>
      <c r="Z132" s="32"/>
      <c r="AA132" s="32"/>
      <c r="AB132" s="32"/>
      <c r="AC132" s="32"/>
      <c r="AD132" s="32"/>
      <c r="AE132" s="325">
        <f>'AVT187(vn-A)'!BI15</f>
        <v>0</v>
      </c>
      <c r="AF132" s="32"/>
      <c r="AG132" s="32"/>
      <c r="AH132" s="32"/>
      <c r="AI132" s="325">
        <f>'AVT187(vn-S)'!BI15</f>
        <v>0</v>
      </c>
      <c r="AJ132" s="32"/>
      <c r="AK132" s="32"/>
      <c r="AL132" s="32"/>
      <c r="AM132" s="32"/>
      <c r="AN132" s="32"/>
      <c r="AO132" s="325">
        <f>'AVT-celny-101+187'!BI34</f>
        <v>0</v>
      </c>
      <c r="AP132" s="32"/>
      <c r="AQ132" s="325">
        <f>'AVT-celny-139+187'!BI28</f>
        <v>0</v>
      </c>
      <c r="AR132" s="32"/>
      <c r="AS132" s="325">
        <f>'AVT-celny-2x187'!BI15</f>
        <v>0</v>
      </c>
      <c r="AT132" s="32"/>
      <c r="AU132" s="32"/>
      <c r="AV132" s="32"/>
      <c r="AW132" s="325">
        <f>'potr-v101+187'!BI26</f>
        <v>0</v>
      </c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165"/>
      <c r="BP132" s="165"/>
      <c r="BQ132" s="165"/>
      <c r="BR132" s="165"/>
      <c r="BS132" s="165"/>
      <c r="BT132" s="165"/>
      <c r="BU132" s="165"/>
      <c r="BV132" s="55"/>
      <c r="BW132" s="160"/>
      <c r="BX132" s="32"/>
      <c r="BY132" s="24"/>
      <c r="BZ132" s="24"/>
      <c r="CA132" s="24"/>
      <c r="CB132" s="24"/>
      <c r="CC132" s="24"/>
      <c r="CD132" s="24"/>
      <c r="CE132" s="24"/>
    </row>
    <row r="133" spans="1:83" ht="15" hidden="1" customHeight="1">
      <c r="A133" s="4"/>
      <c r="B133" s="317">
        <f>IF($Q$8=$Q$7,CENY!B285,IF($Q$7=$Q$9,CENY!B303,CENY!B321))</f>
        <v>9255055</v>
      </c>
      <c r="C133" s="43" t="str">
        <f>VLOOKUP(B133,CENY!$B$11:$G$1054,2,FALSE)</f>
        <v>AvanY-bok pravý /v187/h500/ strieborná</v>
      </c>
      <c r="D133" s="353">
        <f>VLOOKUP(B133,CENY!$B$11:$G$1054,3,FALSE)</f>
        <v>10</v>
      </c>
      <c r="E133" s="56" t="str">
        <f>IF(VLOOKUP(B133,CENY!$B$11:$G$1054,4,FALSE)=0,"",VLOOKUP(B133,CENY!$B$11:$G$1054,4,FALSE))</f>
        <v/>
      </c>
      <c r="F133" s="40" t="str">
        <f t="shared" si="33"/>
        <v/>
      </c>
      <c r="G133" s="52">
        <f>VLOOKUP(B133,CENY!$B$11:$M$1054,12,FALSE)</f>
        <v>17.10154</v>
      </c>
      <c r="H133" s="54" t="str">
        <f t="shared" si="25"/>
        <v xml:space="preserve"> EUR</v>
      </c>
      <c r="I133" s="41" t="str">
        <f t="shared" si="26"/>
        <v/>
      </c>
      <c r="J133" s="122"/>
      <c r="K133" s="42" t="str">
        <f>VLOOKUP(B133,CENY!$B$11:$M$1054,8,FALSE)</f>
        <v xml:space="preserve"> </v>
      </c>
      <c r="L133" s="42" t="str">
        <f>VLOOKUP(B133,CENY!$B$11:$M$1054,9,FALSE)</f>
        <v>396820</v>
      </c>
      <c r="M133" s="32"/>
      <c r="N133" s="35">
        <f t="shared" si="34"/>
        <v>0</v>
      </c>
      <c r="O133" s="36">
        <v>0</v>
      </c>
      <c r="P133" s="32"/>
      <c r="Q133" s="32"/>
      <c r="R133" s="32"/>
      <c r="S133" s="32"/>
      <c r="T133" s="32"/>
      <c r="U133" s="325">
        <f>'AVT187'!BI16</f>
        <v>0</v>
      </c>
      <c r="V133" s="32"/>
      <c r="W133" s="32"/>
      <c r="X133" s="32"/>
      <c r="Y133" s="32"/>
      <c r="Z133" s="32"/>
      <c r="AA133" s="32"/>
      <c r="AB133" s="32"/>
      <c r="AC133" s="32"/>
      <c r="AD133" s="32"/>
      <c r="AE133" s="325">
        <f>'AVT187(vn-A)'!BI16</f>
        <v>0</v>
      </c>
      <c r="AF133" s="32"/>
      <c r="AG133" s="32"/>
      <c r="AH133" s="32"/>
      <c r="AI133" s="325">
        <f>'AVT187(vn-S)'!BI16</f>
        <v>0</v>
      </c>
      <c r="AJ133" s="32"/>
      <c r="AK133" s="32"/>
      <c r="AL133" s="32"/>
      <c r="AM133" s="32"/>
      <c r="AN133" s="32"/>
      <c r="AO133" s="325">
        <f>'AVT-celny-101+187'!BI35</f>
        <v>0</v>
      </c>
      <c r="AP133" s="32"/>
      <c r="AQ133" s="325">
        <f>'AVT-celny-139+187'!BI29</f>
        <v>0</v>
      </c>
      <c r="AR133" s="32"/>
      <c r="AS133" s="325">
        <f>'AVT-celny-2x187'!BI16</f>
        <v>0</v>
      </c>
      <c r="AT133" s="32"/>
      <c r="AU133" s="32"/>
      <c r="AV133" s="32"/>
      <c r="AW133" s="325">
        <f>'potr-v101+187'!BI27</f>
        <v>0</v>
      </c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165"/>
      <c r="BP133" s="165"/>
      <c r="BQ133" s="165"/>
      <c r="BR133" s="165"/>
      <c r="BS133" s="165"/>
      <c r="BT133" s="165"/>
      <c r="BU133" s="165"/>
      <c r="BV133" s="55"/>
      <c r="BW133" s="160"/>
      <c r="BX133" s="32"/>
      <c r="BY133" s="24"/>
      <c r="BZ133" s="24"/>
      <c r="CA133" s="24"/>
      <c r="CB133" s="24"/>
      <c r="CC133" s="24"/>
      <c r="CD133" s="24"/>
      <c r="CE133" s="24"/>
    </row>
    <row r="134" spans="1:83" ht="15" hidden="1" customHeight="1">
      <c r="A134" s="4"/>
      <c r="B134" s="317">
        <f>IF($Q$8=$Q$7,CENY!B286,IF($Q$7=$Q$9,CENY!B304,CENY!B322))</f>
        <v>9255056</v>
      </c>
      <c r="C134" s="43" t="str">
        <f>VLOOKUP(B134,CENY!$B$11:$G$1054,2,FALSE)</f>
        <v>AvanY-bok ľavý /v187/h550/ strieborná</v>
      </c>
      <c r="D134" s="353">
        <f>VLOOKUP(B134,CENY!$B$11:$G$1054,3,FALSE)</f>
        <v>10</v>
      </c>
      <c r="E134" s="56" t="str">
        <f>IF(VLOOKUP(B134,CENY!$B$11:$G$1054,4,FALSE)=0,"",VLOOKUP(B134,CENY!$B$11:$G$1054,4,FALSE))</f>
        <v/>
      </c>
      <c r="F134" s="40" t="str">
        <f t="shared" si="33"/>
        <v/>
      </c>
      <c r="G134" s="52">
        <f>VLOOKUP(B134,CENY!$B$11:$M$1054,12,FALSE)</f>
        <v>18.264230000000001</v>
      </c>
      <c r="H134" s="54" t="str">
        <f t="shared" si="25"/>
        <v xml:space="preserve"> EUR</v>
      </c>
      <c r="I134" s="41" t="str">
        <f t="shared" si="26"/>
        <v/>
      </c>
      <c r="J134" s="122"/>
      <c r="K134" s="42" t="str">
        <f>VLOOKUP(B134,CENY!$B$11:$M$1054,8,FALSE)</f>
        <v xml:space="preserve"> </v>
      </c>
      <c r="L134" s="42" t="str">
        <f>VLOOKUP(B134,CENY!$B$11:$M$1054,9,FALSE)</f>
        <v>396821</v>
      </c>
      <c r="M134" s="32"/>
      <c r="N134" s="35">
        <f t="shared" si="34"/>
        <v>0</v>
      </c>
      <c r="O134" s="36">
        <v>0</v>
      </c>
      <c r="P134" s="32"/>
      <c r="Q134" s="32"/>
      <c r="R134" s="32"/>
      <c r="S134" s="32"/>
      <c r="T134" s="32"/>
      <c r="U134" s="325">
        <f>'AVT187'!BI17</f>
        <v>0</v>
      </c>
      <c r="V134" s="32"/>
      <c r="W134" s="32"/>
      <c r="X134" s="32"/>
      <c r="Y134" s="32"/>
      <c r="Z134" s="32"/>
      <c r="AA134" s="32"/>
      <c r="AB134" s="32"/>
      <c r="AC134" s="32"/>
      <c r="AD134" s="32"/>
      <c r="AE134" s="325">
        <f>'AVT187(vn-A)'!BI17</f>
        <v>0</v>
      </c>
      <c r="AF134" s="32"/>
      <c r="AG134" s="32"/>
      <c r="AH134" s="32"/>
      <c r="AI134" s="325">
        <f>'AVT187(vn-S)'!BI17</f>
        <v>0</v>
      </c>
      <c r="AJ134" s="32"/>
      <c r="AK134" s="32"/>
      <c r="AL134" s="32"/>
      <c r="AM134" s="32"/>
      <c r="AN134" s="32"/>
      <c r="AO134" s="325">
        <f>'AVT-celny-101+187'!BI36</f>
        <v>0</v>
      </c>
      <c r="AP134" s="32"/>
      <c r="AQ134" s="325">
        <f>'AVT-celny-139+187'!BI30</f>
        <v>0</v>
      </c>
      <c r="AR134" s="32"/>
      <c r="AS134" s="325">
        <f>'AVT-celny-2x187'!BI17</f>
        <v>0</v>
      </c>
      <c r="AT134" s="32"/>
      <c r="AU134" s="32"/>
      <c r="AV134" s="32"/>
      <c r="AW134" s="325">
        <f>'potr-v101+187'!BI28</f>
        <v>0</v>
      </c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165"/>
      <c r="BP134" s="165"/>
      <c r="BQ134" s="165"/>
      <c r="BR134" s="165"/>
      <c r="BS134" s="165"/>
      <c r="BT134" s="165"/>
      <c r="BU134" s="165"/>
      <c r="BV134" s="55"/>
      <c r="BW134" s="160"/>
      <c r="BX134" s="32"/>
      <c r="BY134" s="24"/>
      <c r="BZ134" s="24"/>
      <c r="CA134" s="24"/>
      <c r="CB134" s="24"/>
      <c r="CC134" s="24"/>
      <c r="CD134" s="24"/>
      <c r="CE134" s="24"/>
    </row>
    <row r="135" spans="1:83" ht="15" hidden="1" customHeight="1">
      <c r="A135" s="4"/>
      <c r="B135" s="317">
        <f>IF($Q$8=$Q$7,CENY!B287,IF($Q$7=$Q$9,CENY!B305,CENY!B323))</f>
        <v>9255057</v>
      </c>
      <c r="C135" s="43" t="str">
        <f>VLOOKUP(B135,CENY!$B$11:$G$1054,2,FALSE)</f>
        <v>AvanY-bok pravý /v187/h550/ strieborná</v>
      </c>
      <c r="D135" s="353">
        <f>VLOOKUP(B135,CENY!$B$11:$G$1054,3,FALSE)</f>
        <v>10</v>
      </c>
      <c r="E135" s="56" t="str">
        <f>IF(VLOOKUP(B135,CENY!$B$11:$G$1054,4,FALSE)=0,"",VLOOKUP(B135,CENY!$B$11:$G$1054,4,FALSE))</f>
        <v/>
      </c>
      <c r="F135" s="40" t="str">
        <f t="shared" si="33"/>
        <v/>
      </c>
      <c r="G135" s="52">
        <f>VLOOKUP(B135,CENY!$B$11:$M$1054,12,FALSE)</f>
        <v>18.264230000000001</v>
      </c>
      <c r="H135" s="54" t="str">
        <f t="shared" si="25"/>
        <v xml:space="preserve"> EUR</v>
      </c>
      <c r="I135" s="41" t="str">
        <f t="shared" si="26"/>
        <v/>
      </c>
      <c r="J135" s="122"/>
      <c r="K135" s="42" t="str">
        <f>VLOOKUP(B135,CENY!$B$11:$M$1054,8,FALSE)</f>
        <v xml:space="preserve"> </v>
      </c>
      <c r="L135" s="42" t="str">
        <f>VLOOKUP(B135,CENY!$B$11:$M$1054,9,FALSE)</f>
        <v>396822</v>
      </c>
      <c r="M135" s="32"/>
      <c r="N135" s="35">
        <f t="shared" si="34"/>
        <v>0</v>
      </c>
      <c r="O135" s="36">
        <v>0</v>
      </c>
      <c r="P135" s="32"/>
      <c r="Q135" s="32"/>
      <c r="R135" s="32"/>
      <c r="S135" s="32"/>
      <c r="T135" s="32"/>
      <c r="U135" s="325">
        <f>'AVT187'!BI18</f>
        <v>0</v>
      </c>
      <c r="V135" s="32"/>
      <c r="W135" s="32"/>
      <c r="X135" s="32"/>
      <c r="Y135" s="32"/>
      <c r="Z135" s="32"/>
      <c r="AA135" s="32"/>
      <c r="AB135" s="32"/>
      <c r="AC135" s="32"/>
      <c r="AD135" s="32"/>
      <c r="AE135" s="325">
        <f>'AVT187(vn-A)'!BI18</f>
        <v>0</v>
      </c>
      <c r="AF135" s="32"/>
      <c r="AG135" s="32"/>
      <c r="AH135" s="32"/>
      <c r="AI135" s="325">
        <f>'AVT187(vn-S)'!BI18</f>
        <v>0</v>
      </c>
      <c r="AJ135" s="32"/>
      <c r="AK135" s="32"/>
      <c r="AL135" s="32"/>
      <c r="AM135" s="32"/>
      <c r="AN135" s="32"/>
      <c r="AO135" s="325">
        <f>'AVT-celny-101+187'!BI37</f>
        <v>0</v>
      </c>
      <c r="AP135" s="32"/>
      <c r="AQ135" s="325">
        <f>'AVT-celny-139+187'!BI31</f>
        <v>0</v>
      </c>
      <c r="AR135" s="32"/>
      <c r="AS135" s="325">
        <f>'AVT-celny-2x187'!BI18</f>
        <v>0</v>
      </c>
      <c r="AT135" s="32"/>
      <c r="AU135" s="32"/>
      <c r="AV135" s="32"/>
      <c r="AW135" s="325">
        <f>'potr-v101+187'!BI29</f>
        <v>0</v>
      </c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165"/>
      <c r="BP135" s="165"/>
      <c r="BQ135" s="165"/>
      <c r="BR135" s="165"/>
      <c r="BS135" s="165"/>
      <c r="BT135" s="165"/>
      <c r="BU135" s="165"/>
      <c r="BV135" s="55"/>
      <c r="BW135" s="160"/>
      <c r="BX135" s="32"/>
      <c r="BY135" s="24"/>
      <c r="BZ135" s="24"/>
      <c r="CA135" s="24"/>
      <c r="CB135" s="24"/>
      <c r="CC135" s="24"/>
      <c r="CD135" s="24"/>
      <c r="CE135" s="24"/>
    </row>
    <row r="136" spans="1:83" ht="15" hidden="1" customHeight="1">
      <c r="A136" s="4"/>
      <c r="B136" s="317">
        <f>IF($Q$8=$Q$7,CENY!B288,IF($Q$7=$Q$9,CENY!B306,CENY!B324))</f>
        <v>9255058</v>
      </c>
      <c r="C136" s="43" t="str">
        <f>VLOOKUP(B136,CENY!$B$11:$G$1054,2,FALSE)</f>
        <v>AvanY-bok ľavý /v187/h600/ strieborná</v>
      </c>
      <c r="D136" s="353">
        <f>VLOOKUP(B136,CENY!$B$11:$G$1054,3,FALSE)</f>
        <v>10</v>
      </c>
      <c r="E136" s="56" t="str">
        <f>IF(VLOOKUP(B136,CENY!$B$11:$G$1054,4,FALSE)=0,"",VLOOKUP(B136,CENY!$B$11:$G$1054,4,FALSE))</f>
        <v/>
      </c>
      <c r="F136" s="40" t="str">
        <f t="shared" si="33"/>
        <v/>
      </c>
      <c r="G136" s="52">
        <f>VLOOKUP(B136,CENY!$B$11:$M$1054,12,FALSE)</f>
        <v>18.728680000000001</v>
      </c>
      <c r="H136" s="54" t="str">
        <f t="shared" si="25"/>
        <v xml:space="preserve"> EUR</v>
      </c>
      <c r="I136" s="41" t="str">
        <f t="shared" si="26"/>
        <v/>
      </c>
      <c r="J136" s="122"/>
      <c r="K136" s="42" t="str">
        <f>VLOOKUP(B136,CENY!$B$11:$M$1054,8,FALSE)</f>
        <v xml:space="preserve"> </v>
      </c>
      <c r="L136" s="42" t="str">
        <f>VLOOKUP(B136,CENY!$B$11:$M$1054,9,FALSE)</f>
        <v>396823</v>
      </c>
      <c r="M136" s="32"/>
      <c r="N136" s="35">
        <f t="shared" si="34"/>
        <v>0</v>
      </c>
      <c r="O136" s="36">
        <v>0</v>
      </c>
      <c r="P136" s="32"/>
      <c r="Q136" s="32"/>
      <c r="R136" s="32"/>
      <c r="S136" s="32"/>
      <c r="T136" s="32"/>
      <c r="U136" s="325">
        <f>'AVT187'!BI19</f>
        <v>0</v>
      </c>
      <c r="V136" s="32"/>
      <c r="W136" s="32"/>
      <c r="X136" s="32"/>
      <c r="Y136" s="32"/>
      <c r="Z136" s="32"/>
      <c r="AA136" s="32"/>
      <c r="AB136" s="32"/>
      <c r="AC136" s="32"/>
      <c r="AD136" s="32"/>
      <c r="AE136" s="325">
        <f>'AVT187(vn-A)'!BI19</f>
        <v>0</v>
      </c>
      <c r="AF136" s="32"/>
      <c r="AG136" s="32"/>
      <c r="AH136" s="32"/>
      <c r="AI136" s="325">
        <f>'AVT187(vn-S)'!BI19</f>
        <v>0</v>
      </c>
      <c r="AJ136" s="32"/>
      <c r="AK136" s="32"/>
      <c r="AL136" s="32"/>
      <c r="AM136" s="32"/>
      <c r="AN136" s="32"/>
      <c r="AO136" s="325">
        <f>'AVT-celny-101+187'!BI38</f>
        <v>0</v>
      </c>
      <c r="AP136" s="32"/>
      <c r="AQ136" s="325">
        <f>'AVT-celny-139+187'!BI32</f>
        <v>0</v>
      </c>
      <c r="AR136" s="32"/>
      <c r="AS136" s="325">
        <f>'AVT-celny-2x187'!BI19</f>
        <v>0</v>
      </c>
      <c r="AT136" s="32"/>
      <c r="AU136" s="32"/>
      <c r="AV136" s="32"/>
      <c r="AW136" s="325">
        <f>'potr-v101+187'!BI30</f>
        <v>0</v>
      </c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165"/>
      <c r="BP136" s="165"/>
      <c r="BQ136" s="165"/>
      <c r="BR136" s="165"/>
      <c r="BS136" s="165"/>
      <c r="BT136" s="165"/>
      <c r="BU136" s="165"/>
      <c r="BV136" s="55"/>
      <c r="BW136" s="160"/>
      <c r="BX136" s="32"/>
      <c r="BY136" s="24"/>
      <c r="BZ136" s="24"/>
      <c r="CA136" s="24"/>
      <c r="CB136" s="24"/>
      <c r="CC136" s="24"/>
      <c r="CD136" s="24"/>
      <c r="CE136" s="24"/>
    </row>
    <row r="137" spans="1:83" ht="15" hidden="1" customHeight="1">
      <c r="A137" s="4"/>
      <c r="B137" s="317">
        <f>IF($Q$8=$Q$7,CENY!B289,IF($Q$7=$Q$9,CENY!B307,CENY!B325))</f>
        <v>9255059</v>
      </c>
      <c r="C137" s="43" t="str">
        <f>VLOOKUP(B137,CENY!$B$11:$G$1054,2,FALSE)</f>
        <v>AvanY-bok pravý /v187/h600/ strieborná</v>
      </c>
      <c r="D137" s="353">
        <f>VLOOKUP(B137,CENY!$B$11:$G$1054,3,FALSE)</f>
        <v>10</v>
      </c>
      <c r="E137" s="56" t="str">
        <f>IF(VLOOKUP(B137,CENY!$B$11:$G$1054,4,FALSE)=0,"",VLOOKUP(B137,CENY!$B$11:$G$1054,4,FALSE))</f>
        <v/>
      </c>
      <c r="F137" s="40" t="str">
        <f t="shared" si="33"/>
        <v/>
      </c>
      <c r="G137" s="52">
        <f>VLOOKUP(B137,CENY!$B$11:$M$1054,12,FALSE)</f>
        <v>18.728680000000001</v>
      </c>
      <c r="H137" s="54" t="str">
        <f t="shared" si="25"/>
        <v xml:space="preserve"> EUR</v>
      </c>
      <c r="I137" s="41" t="str">
        <f t="shared" si="26"/>
        <v/>
      </c>
      <c r="J137" s="122"/>
      <c r="K137" s="42" t="str">
        <f>VLOOKUP(B137,CENY!$B$11:$M$1054,8,FALSE)</f>
        <v xml:space="preserve"> </v>
      </c>
      <c r="L137" s="42" t="str">
        <f>VLOOKUP(B137,CENY!$B$11:$M$1054,9,FALSE)</f>
        <v>396824</v>
      </c>
      <c r="M137" s="32"/>
      <c r="N137" s="35">
        <f t="shared" si="34"/>
        <v>0</v>
      </c>
      <c r="O137" s="36">
        <v>0</v>
      </c>
      <c r="P137" s="32"/>
      <c r="Q137" s="32"/>
      <c r="R137" s="32"/>
      <c r="S137" s="32"/>
      <c r="T137" s="32"/>
      <c r="U137" s="325">
        <f>'AVT187'!BI20</f>
        <v>0</v>
      </c>
      <c r="V137" s="32"/>
      <c r="W137" s="32"/>
      <c r="X137" s="32"/>
      <c r="Y137" s="32"/>
      <c r="Z137" s="32"/>
      <c r="AA137" s="32"/>
      <c r="AB137" s="32"/>
      <c r="AC137" s="32"/>
      <c r="AD137" s="32"/>
      <c r="AE137" s="325">
        <f>'AVT187(vn-A)'!BI20</f>
        <v>0</v>
      </c>
      <c r="AF137" s="32"/>
      <c r="AG137" s="32"/>
      <c r="AH137" s="32"/>
      <c r="AI137" s="325">
        <f>'AVT187(vn-S)'!BI20</f>
        <v>0</v>
      </c>
      <c r="AJ137" s="32"/>
      <c r="AK137" s="32"/>
      <c r="AL137" s="32"/>
      <c r="AM137" s="32"/>
      <c r="AN137" s="32"/>
      <c r="AO137" s="325">
        <f>'AVT-celny-101+187'!BI39</f>
        <v>0</v>
      </c>
      <c r="AP137" s="32"/>
      <c r="AQ137" s="325">
        <f>'AVT-celny-139+187'!BI33</f>
        <v>0</v>
      </c>
      <c r="AR137" s="32"/>
      <c r="AS137" s="325">
        <f>'AVT-celny-2x187'!BI20</f>
        <v>0</v>
      </c>
      <c r="AT137" s="32"/>
      <c r="AU137" s="32"/>
      <c r="AV137" s="32"/>
      <c r="AW137" s="325">
        <f>'potr-v101+187'!BI31</f>
        <v>0</v>
      </c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165"/>
      <c r="BP137" s="165"/>
      <c r="BQ137" s="165"/>
      <c r="BR137" s="165"/>
      <c r="BS137" s="165"/>
      <c r="BT137" s="165"/>
      <c r="BU137" s="165"/>
      <c r="BV137" s="55"/>
      <c r="BW137" s="160"/>
      <c r="BX137" s="32"/>
      <c r="BY137" s="24"/>
      <c r="BZ137" s="24"/>
      <c r="CA137" s="24"/>
      <c r="CB137" s="24"/>
      <c r="CC137" s="24"/>
      <c r="CD137" s="24"/>
      <c r="CE137" s="24"/>
    </row>
    <row r="138" spans="1:83" ht="15" hidden="1" customHeight="1">
      <c r="A138" s="4"/>
      <c r="B138" s="317">
        <f>IF($Q$8=$Q$7,CENY!B290,IF($Q$7=$Q$9,CENY!B308,CENY!B326))</f>
        <v>9255060</v>
      </c>
      <c r="C138" s="43" t="str">
        <f>VLOOKUP(B138,CENY!$B$11:$G$1054,2,FALSE)</f>
        <v>AvanY-bok ľavý /v187/h650/ strieborná</v>
      </c>
      <c r="D138" s="353">
        <f>VLOOKUP(B138,CENY!$B$11:$G$1054,3,FALSE)</f>
        <v>10</v>
      </c>
      <c r="E138" s="56" t="str">
        <f>IF(VLOOKUP(B138,CENY!$B$11:$G$1054,4,FALSE)=0,"",VLOOKUP(B138,CENY!$B$11:$G$1054,4,FALSE))</f>
        <v/>
      </c>
      <c r="F138" s="40" t="str">
        <f t="shared" si="33"/>
        <v/>
      </c>
      <c r="G138" s="52">
        <f>VLOOKUP(B138,CENY!$B$11:$M$1054,12,FALSE)</f>
        <v>19.35998</v>
      </c>
      <c r="H138" s="54" t="str">
        <f t="shared" si="25"/>
        <v xml:space="preserve"> EUR</v>
      </c>
      <c r="I138" s="41" t="str">
        <f t="shared" si="26"/>
        <v/>
      </c>
      <c r="J138" s="122"/>
      <c r="K138" s="42" t="str">
        <f>VLOOKUP(B138,CENY!$B$11:$M$1054,8,FALSE)</f>
        <v xml:space="preserve"> </v>
      </c>
      <c r="L138" s="42" t="str">
        <f>VLOOKUP(B138,CENY!$B$11:$M$1054,9,FALSE)</f>
        <v>396825</v>
      </c>
      <c r="M138" s="32"/>
      <c r="N138" s="35">
        <f t="shared" si="34"/>
        <v>0</v>
      </c>
      <c r="O138" s="36">
        <v>0</v>
      </c>
      <c r="P138" s="32"/>
      <c r="Q138" s="32"/>
      <c r="R138" s="32"/>
      <c r="S138" s="32"/>
      <c r="T138" s="32"/>
      <c r="U138" s="325">
        <f>'AVT187'!BI21</f>
        <v>0</v>
      </c>
      <c r="V138" s="32"/>
      <c r="W138" s="32"/>
      <c r="X138" s="32"/>
      <c r="Y138" s="32"/>
      <c r="Z138" s="32"/>
      <c r="AA138" s="32"/>
      <c r="AB138" s="32"/>
      <c r="AC138" s="32"/>
      <c r="AD138" s="32"/>
      <c r="AE138" s="325">
        <f>'AVT187(vn-A)'!BI21</f>
        <v>0</v>
      </c>
      <c r="AF138" s="32"/>
      <c r="AG138" s="32"/>
      <c r="AH138" s="32"/>
      <c r="AI138" s="325">
        <f>'AVT187(vn-S)'!BI21</f>
        <v>0</v>
      </c>
      <c r="AJ138" s="32"/>
      <c r="AK138" s="32"/>
      <c r="AL138" s="32"/>
      <c r="AM138" s="32"/>
      <c r="AN138" s="32"/>
      <c r="AO138" s="325">
        <f>'AVT-celny-101+187'!BI40</f>
        <v>0</v>
      </c>
      <c r="AP138" s="32"/>
      <c r="AQ138" s="32"/>
      <c r="AR138" s="32"/>
      <c r="AS138" s="325">
        <f>'AVT-celny-2x187'!BI21</f>
        <v>0</v>
      </c>
      <c r="AT138" s="32"/>
      <c r="AU138" s="32"/>
      <c r="AV138" s="32"/>
      <c r="AW138" s="325">
        <f>'potr-v101+187'!BI32</f>
        <v>0</v>
      </c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165"/>
      <c r="BP138" s="165"/>
      <c r="BQ138" s="165"/>
      <c r="BR138" s="165"/>
      <c r="BS138" s="165"/>
      <c r="BT138" s="165"/>
      <c r="BU138" s="165"/>
      <c r="BV138" s="55"/>
      <c r="BW138" s="160"/>
      <c r="BX138" s="32"/>
      <c r="BY138" s="24"/>
      <c r="BZ138" s="24"/>
      <c r="CA138" s="24"/>
      <c r="CB138" s="24"/>
      <c r="CC138" s="24"/>
      <c r="CD138" s="24"/>
      <c r="CE138" s="24"/>
    </row>
    <row r="139" spans="1:83" ht="15" hidden="1" customHeight="1">
      <c r="A139" s="4"/>
      <c r="B139" s="317">
        <f>IF($Q$8=$Q$7,CENY!B291,IF($Q$7=$Q$9,CENY!B309,CENY!B327))</f>
        <v>9255061</v>
      </c>
      <c r="C139" s="43" t="str">
        <f>VLOOKUP(B139,CENY!$B$11:$G$1054,2,FALSE)</f>
        <v>AvanY-bok pravý /v187/h650/ strieborná</v>
      </c>
      <c r="D139" s="353">
        <f>VLOOKUP(B139,CENY!$B$11:$G$1054,3,FALSE)</f>
        <v>10</v>
      </c>
      <c r="E139" s="56" t="str">
        <f>IF(VLOOKUP(B139,CENY!$B$11:$G$1054,4,FALSE)=0,"",VLOOKUP(B139,CENY!$B$11:$G$1054,4,FALSE))</f>
        <v/>
      </c>
      <c r="F139" s="40" t="str">
        <f t="shared" si="33"/>
        <v/>
      </c>
      <c r="G139" s="52">
        <f>VLOOKUP(B139,CENY!$B$11:$M$1054,12,FALSE)</f>
        <v>19.35998</v>
      </c>
      <c r="H139" s="54" t="str">
        <f t="shared" si="25"/>
        <v xml:space="preserve"> EUR</v>
      </c>
      <c r="I139" s="41" t="str">
        <f t="shared" si="26"/>
        <v/>
      </c>
      <c r="J139" s="122"/>
      <c r="K139" s="42" t="str">
        <f>VLOOKUP(B139,CENY!$B$11:$M$1054,8,FALSE)</f>
        <v xml:space="preserve"> </v>
      </c>
      <c r="L139" s="42" t="str">
        <f>VLOOKUP(B139,CENY!$B$11:$M$1054,9,FALSE)</f>
        <v>396826</v>
      </c>
      <c r="M139" s="32"/>
      <c r="N139" s="35">
        <f t="shared" si="34"/>
        <v>0</v>
      </c>
      <c r="O139" s="36">
        <v>0</v>
      </c>
      <c r="P139" s="32"/>
      <c r="Q139" s="32"/>
      <c r="R139" s="32"/>
      <c r="S139" s="32"/>
      <c r="T139" s="32"/>
      <c r="U139" s="325">
        <f>'AVT187'!BI22</f>
        <v>0</v>
      </c>
      <c r="V139" s="32"/>
      <c r="W139" s="32"/>
      <c r="X139" s="32"/>
      <c r="Y139" s="32"/>
      <c r="Z139" s="32"/>
      <c r="AA139" s="32"/>
      <c r="AB139" s="32"/>
      <c r="AC139" s="32"/>
      <c r="AD139" s="32"/>
      <c r="AE139" s="325">
        <f>'AVT187(vn-A)'!BI22</f>
        <v>0</v>
      </c>
      <c r="AF139" s="32"/>
      <c r="AG139" s="32"/>
      <c r="AH139" s="32"/>
      <c r="AI139" s="325">
        <f>'AVT187(vn-S)'!BI22</f>
        <v>0</v>
      </c>
      <c r="AJ139" s="32"/>
      <c r="AK139" s="32"/>
      <c r="AL139" s="32"/>
      <c r="AM139" s="32"/>
      <c r="AN139" s="32"/>
      <c r="AO139" s="325">
        <f>'AVT-celny-101+187'!BI41</f>
        <v>0</v>
      </c>
      <c r="AP139" s="32"/>
      <c r="AQ139" s="32"/>
      <c r="AR139" s="32"/>
      <c r="AS139" s="325">
        <f>'AVT-celny-2x187'!BI22</f>
        <v>0</v>
      </c>
      <c r="AT139" s="32"/>
      <c r="AU139" s="32"/>
      <c r="AV139" s="32"/>
      <c r="AW139" s="325">
        <f>'potr-v101+187'!BI33</f>
        <v>0</v>
      </c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165"/>
      <c r="BP139" s="165"/>
      <c r="BQ139" s="165"/>
      <c r="BR139" s="165"/>
      <c r="BS139" s="165"/>
      <c r="BT139" s="165"/>
      <c r="BU139" s="165"/>
      <c r="BV139" s="55"/>
      <c r="BW139" s="160"/>
      <c r="BX139" s="32"/>
      <c r="BY139" s="24"/>
      <c r="BZ139" s="24"/>
      <c r="CA139" s="24"/>
      <c r="CB139" s="24"/>
      <c r="CC139" s="24"/>
      <c r="CD139" s="24"/>
      <c r="CE139" s="24"/>
    </row>
    <row r="140" spans="1:83" ht="15" hidden="1" customHeight="1">
      <c r="A140" s="4"/>
      <c r="B140" s="317">
        <f>CENY!B328</f>
        <v>9255838</v>
      </c>
      <c r="C140" s="43" t="str">
        <f>VLOOKUP(B140,CENY!$B$11:$G$1054,2,FALSE)</f>
        <v>AvanY-prích.čela k naskrutk./ v187-251</v>
      </c>
      <c r="D140" s="353">
        <f>VLOOKUP(B140,CENY!$B$11:$G$1054,3,FALSE)</f>
        <v>200</v>
      </c>
      <c r="E140" s="56" t="str">
        <f>IF(VLOOKUP(B140,CENY!$B$11:$G$1054,4,FALSE)=0,"",VLOOKUP(B140,CENY!$B$11:$G$1054,4,FALSE))</f>
        <v/>
      </c>
      <c r="F140" s="40" t="str">
        <f>IF(J140&lt;&gt;"",J140,IF(N140=0,"",IF(B140=B141,"",N140)))</f>
        <v/>
      </c>
      <c r="G140" s="52">
        <f>VLOOKUP(B140,CENY!$B$11:$M$1054,12,FALSE)</f>
        <v>2.32422</v>
      </c>
      <c r="H140" s="54" t="str">
        <f>IF(G140="","",$H$22)</f>
        <v xml:space="preserve"> EUR</v>
      </c>
      <c r="I140" s="41" t="str">
        <f>IF(F140="","",G140*F140)</f>
        <v/>
      </c>
      <c r="J140" s="122"/>
      <c r="K140" s="42" t="str">
        <f>VLOOKUP(B140,CENY!$B$11:$M$1054,8,FALSE)</f>
        <v xml:space="preserve"> </v>
      </c>
      <c r="L140" s="42" t="str">
        <f>VLOOKUP(B140,CENY!$B$11:$M$1054,9,FALSE)</f>
        <v>396863</v>
      </c>
      <c r="M140" s="32"/>
      <c r="N140" s="35">
        <f t="shared" si="34"/>
        <v>0</v>
      </c>
      <c r="O140" s="36">
        <v>0</v>
      </c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5">
        <f>'AVT187(vn-A)'!BI24</f>
        <v>0</v>
      </c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5">
        <f>'potr-v101+187'!BI38</f>
        <v>0</v>
      </c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165"/>
      <c r="BP140" s="165"/>
      <c r="BQ140" s="165"/>
      <c r="BR140" s="165"/>
      <c r="BS140" s="165"/>
      <c r="BT140" s="165"/>
      <c r="BU140" s="165"/>
      <c r="BV140" s="55"/>
      <c r="BW140" s="160"/>
      <c r="BX140" s="32"/>
      <c r="BY140" s="24"/>
      <c r="BZ140" s="24"/>
      <c r="CA140" s="24"/>
      <c r="CB140" s="24"/>
      <c r="CC140" s="24"/>
      <c r="CD140" s="24"/>
      <c r="CE140" s="24"/>
    </row>
    <row r="141" spans="1:83" ht="15" hidden="1" customHeight="1">
      <c r="A141" s="4"/>
      <c r="B141" s="317">
        <f>IF($T$7=$T$8,CENY!B328,CENY!B329)</f>
        <v>9255838</v>
      </c>
      <c r="C141" s="43" t="str">
        <f>VLOOKUP(B141,CENY!$B$11:$G$1054,2,FALSE)</f>
        <v>AvanY-prích.čela k naskrutk./ v187-251</v>
      </c>
      <c r="D141" s="353">
        <f>VLOOKUP(B141,CENY!$B$11:$G$1054,3,FALSE)</f>
        <v>200</v>
      </c>
      <c r="E141" s="56" t="str">
        <f>IF(VLOOKUP(B141,CENY!$B$11:$G$1054,4,FALSE)=0,"",VLOOKUP(B141,CENY!$B$11:$G$1054,4,FALSE))</f>
        <v/>
      </c>
      <c r="F141" s="40" t="str">
        <f>IF(J141&lt;&gt;"",J141,IF(B140=B141,IF(N141+N140=0,"",N141+N140),IF(N141=0,"",N141)))</f>
        <v/>
      </c>
      <c r="G141" s="52">
        <f>VLOOKUP(B141,CENY!$B$11:$M$1054,12,FALSE)</f>
        <v>2.32422</v>
      </c>
      <c r="H141" s="54" t="str">
        <f t="shared" si="25"/>
        <v xml:space="preserve"> EUR</v>
      </c>
      <c r="I141" s="41" t="str">
        <f t="shared" si="26"/>
        <v/>
      </c>
      <c r="J141" s="122"/>
      <c r="K141" s="42" t="str">
        <f>VLOOKUP(B141,CENY!$B$11:$M$1054,8,FALSE)</f>
        <v xml:space="preserve"> </v>
      </c>
      <c r="L141" s="42" t="str">
        <f>VLOOKUP(B141,CENY!$B$11:$M$1054,9,FALSE)</f>
        <v>396863</v>
      </c>
      <c r="M141" s="32"/>
      <c r="N141" s="35">
        <f t="shared" si="34"/>
        <v>0</v>
      </c>
      <c r="O141" s="36">
        <v>0</v>
      </c>
      <c r="P141" s="32"/>
      <c r="Q141" s="32"/>
      <c r="R141" s="32"/>
      <c r="S141" s="32"/>
      <c r="T141" s="325">
        <f>'AVT187'!AZ78</f>
        <v>0</v>
      </c>
      <c r="U141" s="325">
        <f>'AVT187'!BI24</f>
        <v>0</v>
      </c>
      <c r="V141" s="32"/>
      <c r="W141" s="325">
        <f>'AVT251'!BI20</f>
        <v>0</v>
      </c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5">
        <f>'AVT-celny-101+187'!AZ60</f>
        <v>0</v>
      </c>
      <c r="AO141" s="325">
        <f>'AVT-celny-101+187'!BI44</f>
        <v>0</v>
      </c>
      <c r="AP141" s="325">
        <f>'AVT-celny-139+187'!AZ51</f>
        <v>0</v>
      </c>
      <c r="AQ141" s="325">
        <f>'AVT-celny-139+187'!BI36</f>
        <v>0</v>
      </c>
      <c r="AR141" s="325">
        <f>'AVT-celny-2x187'!AZ49</f>
        <v>0</v>
      </c>
      <c r="AS141" s="325">
        <f>'AVT-celny-2x187'!BI24</f>
        <v>0</v>
      </c>
      <c r="AT141" s="32"/>
      <c r="AU141" s="32"/>
      <c r="AV141" s="325">
        <f>'potr-v101+187'!AZ85</f>
        <v>0</v>
      </c>
      <c r="AW141" s="325">
        <f>'potr-v101+187'!BI36</f>
        <v>0</v>
      </c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165"/>
      <c r="BP141" s="165"/>
      <c r="BQ141" s="165"/>
      <c r="BR141" s="165"/>
      <c r="BS141" s="165"/>
      <c r="BT141" s="165"/>
      <c r="BU141" s="165"/>
      <c r="BV141" s="55"/>
      <c r="BW141" s="160"/>
      <c r="BX141" s="32"/>
      <c r="BY141" s="24"/>
      <c r="BZ141" s="24"/>
      <c r="CA141" s="24"/>
      <c r="CB141" s="24"/>
      <c r="CC141" s="24"/>
      <c r="CD141" s="24"/>
      <c r="CE141" s="24"/>
    </row>
    <row r="142" spans="1:83" ht="7.5" hidden="1" customHeight="1">
      <c r="A142" s="4"/>
      <c r="B142" s="317"/>
      <c r="C142" s="43"/>
      <c r="D142" s="39"/>
      <c r="E142" s="56"/>
      <c r="F142" s="60"/>
      <c r="G142" s="52"/>
      <c r="H142" s="54"/>
      <c r="I142" s="41"/>
      <c r="J142" s="122"/>
      <c r="K142" s="42"/>
      <c r="L142" s="42"/>
      <c r="M142" s="32"/>
      <c r="N142" s="35"/>
      <c r="O142" s="36">
        <v>0</v>
      </c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165"/>
      <c r="BP142" s="165"/>
      <c r="BQ142" s="165"/>
      <c r="BR142" s="165"/>
      <c r="BS142" s="165"/>
      <c r="BT142" s="165"/>
      <c r="BU142" s="165"/>
      <c r="BV142" s="55"/>
      <c r="BW142" s="160"/>
      <c r="BX142" s="32"/>
      <c r="BY142" s="24"/>
      <c r="BZ142" s="24"/>
      <c r="CA142" s="24"/>
      <c r="CB142" s="24"/>
      <c r="CC142" s="24"/>
      <c r="CD142" s="24"/>
      <c r="CE142" s="24"/>
    </row>
    <row r="143" spans="1:83" ht="15" hidden="1" customHeight="1">
      <c r="A143" s="4"/>
      <c r="B143" s="317">
        <f>IF($Q$8=$Q$7,CENY!B331,IF($Q$7=$Q$9,CENY!B338,CENY!B345))</f>
        <v>9353372</v>
      </c>
      <c r="C143" s="43" t="str">
        <f>VLOOKUP(B143,CENY!$B$11:$G$1054,2,FALSE)</f>
        <v>AvanY-sólo oceľ.boky-NW 251/350mm/strieb.</v>
      </c>
      <c r="D143" s="364">
        <f>VLOOKUP(B143,CENY!$B$11:$G$1054,3,FALSE)</f>
        <v>1</v>
      </c>
      <c r="E143" s="56" t="str">
        <f>IF(VLOOKUP(B143,CENY!$B$11:$G$1054,4,FALSE)=0,"",VLOOKUP(B143,CENY!$B$11:$G$1054,4,FALSE))</f>
        <v/>
      </c>
      <c r="F143" s="40" t="str">
        <f t="shared" ref="F143:F150" si="35">IF(J143&lt;&gt;"",J143,IF(N143=0,"",N143))</f>
        <v/>
      </c>
      <c r="G143" s="52">
        <f>VLOOKUP(B143,CENY!$B$11:$M$1054,12,FALSE)</f>
        <v>55.514530000000001</v>
      </c>
      <c r="H143" s="54" t="str">
        <f t="shared" si="25"/>
        <v xml:space="preserve"> EUR</v>
      </c>
      <c r="I143" s="41" t="str">
        <f t="shared" si="26"/>
        <v/>
      </c>
      <c r="J143" s="122"/>
      <c r="K143" s="42" t="str">
        <f>VLOOKUP(B143,CENY!$B$11:$M$1054,8,FALSE)</f>
        <v xml:space="preserve"> </v>
      </c>
      <c r="L143" s="42" t="str">
        <f>VLOOKUP(B143,CENY!$B$11:$M$1054,9,FALSE)</f>
        <v>530088</v>
      </c>
      <c r="M143" s="32"/>
      <c r="N143" s="35">
        <f t="shared" ref="N143:N149" si="36">SUM(P143:BW143)</f>
        <v>0</v>
      </c>
      <c r="O143" s="36">
        <v>0</v>
      </c>
      <c r="P143" s="32"/>
      <c r="Q143" s="32"/>
      <c r="R143" s="32"/>
      <c r="S143" s="32"/>
      <c r="T143" s="32"/>
      <c r="U143" s="32"/>
      <c r="V143" s="325">
        <f>'AVT251'!AZ5</f>
        <v>0</v>
      </c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165"/>
      <c r="BP143" s="165"/>
      <c r="BQ143" s="165"/>
      <c r="BR143" s="165"/>
      <c r="BS143" s="165"/>
      <c r="BT143" s="165"/>
      <c r="BU143" s="165"/>
      <c r="BV143" s="55"/>
      <c r="BW143" s="160"/>
      <c r="BX143" s="32"/>
      <c r="BY143" s="24"/>
      <c r="BZ143" s="24"/>
      <c r="CA143" s="24"/>
      <c r="CB143" s="24"/>
      <c r="CC143" s="24"/>
      <c r="CD143" s="24"/>
      <c r="CE143" s="24"/>
    </row>
    <row r="144" spans="1:83" ht="15" hidden="1" customHeight="1">
      <c r="A144" s="4"/>
      <c r="B144" s="317">
        <f>IF($Q$8=$Q$7,CENY!B332,IF($Q$7=$Q$9,CENY!B339,CENY!B346))</f>
        <v>9353373</v>
      </c>
      <c r="C144" s="43" t="str">
        <f>VLOOKUP(B144,CENY!$B$11:$G$1054,2,FALSE)</f>
        <v>AvanY-sólo oceľ.boky-NW 251/400mm/strieb.</v>
      </c>
      <c r="D144" s="364">
        <f>VLOOKUP(B144,CENY!$B$11:$G$1054,3,FALSE)</f>
        <v>1</v>
      </c>
      <c r="E144" s="56" t="str">
        <f>IF(VLOOKUP(B144,CENY!$B$11:$G$1054,4,FALSE)=0,"",VLOOKUP(B144,CENY!$B$11:$G$1054,4,FALSE))</f>
        <v/>
      </c>
      <c r="F144" s="40" t="str">
        <f t="shared" si="35"/>
        <v/>
      </c>
      <c r="G144" s="52">
        <f>VLOOKUP(B144,CENY!$B$11:$M$1054,12,FALSE)</f>
        <v>56.399320000000003</v>
      </c>
      <c r="H144" s="54" t="str">
        <f t="shared" si="25"/>
        <v xml:space="preserve"> EUR</v>
      </c>
      <c r="I144" s="41" t="str">
        <f t="shared" si="26"/>
        <v/>
      </c>
      <c r="J144" s="122"/>
      <c r="K144" s="42" t="str">
        <f>VLOOKUP(B144,CENY!$B$11:$M$1054,8,FALSE)</f>
        <v xml:space="preserve"> </v>
      </c>
      <c r="L144" s="42" t="str">
        <f>VLOOKUP(B144,CENY!$B$11:$M$1054,9,FALSE)</f>
        <v>530089</v>
      </c>
      <c r="M144" s="32"/>
      <c r="N144" s="35">
        <f t="shared" si="36"/>
        <v>0</v>
      </c>
      <c r="O144" s="36">
        <v>0</v>
      </c>
      <c r="P144" s="32"/>
      <c r="Q144" s="32"/>
      <c r="R144" s="32"/>
      <c r="S144" s="32"/>
      <c r="T144" s="32"/>
      <c r="U144" s="32"/>
      <c r="V144" s="325">
        <f>'AVT251'!AZ6</f>
        <v>0</v>
      </c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165"/>
      <c r="BP144" s="165"/>
      <c r="BQ144" s="165"/>
      <c r="BR144" s="165"/>
      <c r="BS144" s="165"/>
      <c r="BT144" s="165"/>
      <c r="BU144" s="165"/>
      <c r="BV144" s="55"/>
      <c r="BW144" s="160"/>
      <c r="BX144" s="32"/>
      <c r="BY144" s="24"/>
      <c r="BZ144" s="24"/>
      <c r="CA144" s="24"/>
      <c r="CB144" s="24"/>
      <c r="CC144" s="24"/>
      <c r="CD144" s="24"/>
      <c r="CE144" s="24"/>
    </row>
    <row r="145" spans="1:83" ht="15" hidden="1" customHeight="1">
      <c r="A145" s="4"/>
      <c r="B145" s="317">
        <f>IF($Q$8=$Q$7,CENY!B333,IF($Q$7=$Q$9,CENY!B340,CENY!B347))</f>
        <v>9353374</v>
      </c>
      <c r="C145" s="43" t="str">
        <f>VLOOKUP(B145,CENY!$B$11:$G$1054,2,FALSE)</f>
        <v>AvanY-sólo oceľ.boky-NW 251/450mm/strieb.</v>
      </c>
      <c r="D145" s="364">
        <f>VLOOKUP(B145,CENY!$B$11:$G$1054,3,FALSE)</f>
        <v>1</v>
      </c>
      <c r="E145" s="56" t="str">
        <f>IF(VLOOKUP(B145,CENY!$B$11:$G$1054,4,FALSE)=0,"",VLOOKUP(B145,CENY!$B$11:$G$1054,4,FALSE))</f>
        <v/>
      </c>
      <c r="F145" s="40" t="str">
        <f t="shared" si="35"/>
        <v/>
      </c>
      <c r="G145" s="52">
        <f>VLOOKUP(B145,CENY!$B$11:$M$1054,12,FALSE)</f>
        <v>54.555819999999997</v>
      </c>
      <c r="H145" s="54" t="str">
        <f t="shared" si="25"/>
        <v xml:space="preserve"> EUR</v>
      </c>
      <c r="I145" s="41" t="str">
        <f t="shared" si="26"/>
        <v/>
      </c>
      <c r="J145" s="122"/>
      <c r="K145" s="42" t="str">
        <f>VLOOKUP(B145,CENY!$B$11:$M$1054,8,FALSE)</f>
        <v xml:space="preserve"> </v>
      </c>
      <c r="L145" s="42" t="str">
        <f>VLOOKUP(B145,CENY!$B$11:$M$1054,9,FALSE)</f>
        <v>530090</v>
      </c>
      <c r="M145" s="32"/>
      <c r="N145" s="35">
        <f t="shared" si="36"/>
        <v>0</v>
      </c>
      <c r="O145" s="36">
        <v>0</v>
      </c>
      <c r="P145" s="32"/>
      <c r="Q145" s="32"/>
      <c r="R145" s="32"/>
      <c r="S145" s="32"/>
      <c r="T145" s="32"/>
      <c r="U145" s="32"/>
      <c r="V145" s="325">
        <f>'AVT251'!AZ7</f>
        <v>0</v>
      </c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165"/>
      <c r="BP145" s="165"/>
      <c r="BQ145" s="165"/>
      <c r="BR145" s="165"/>
      <c r="BS145" s="165"/>
      <c r="BT145" s="165"/>
      <c r="BU145" s="165"/>
      <c r="BV145" s="55"/>
      <c r="BW145" s="160"/>
      <c r="BX145" s="32"/>
      <c r="BY145" s="24"/>
      <c r="BZ145" s="24"/>
      <c r="CA145" s="24"/>
      <c r="CB145" s="24"/>
      <c r="CC145" s="24"/>
      <c r="CD145" s="24"/>
      <c r="CE145" s="24"/>
    </row>
    <row r="146" spans="1:83" ht="15" hidden="1" customHeight="1">
      <c r="A146" s="4"/>
      <c r="B146" s="317">
        <f>IF($Q$8=$Q$7,CENY!B334,IF($Q$7=$Q$9,CENY!B341,CENY!B348))</f>
        <v>9353375</v>
      </c>
      <c r="C146" s="43" t="str">
        <f>VLOOKUP(B146,CENY!$B$11:$G$1054,2,FALSE)</f>
        <v>AvanY-sólo oceľ.boky-NW 251/500mm/strieb.</v>
      </c>
      <c r="D146" s="364"/>
      <c r="E146" s="56" t="str">
        <f>IF(VLOOKUP(B146,CENY!$B$11:$G$1054,4,FALSE)=0,"",VLOOKUP(B146,CENY!$B$11:$G$1054,4,FALSE))</f>
        <v/>
      </c>
      <c r="F146" s="40" t="str">
        <f t="shared" si="35"/>
        <v/>
      </c>
      <c r="G146" s="52">
        <f>VLOOKUP(B146,CENY!$B$11:$M$1054,12,FALSE)</f>
        <v>55.398299999999999</v>
      </c>
      <c r="H146" s="54" t="str">
        <f t="shared" si="25"/>
        <v xml:space="preserve"> EUR</v>
      </c>
      <c r="I146" s="41" t="str">
        <f t="shared" si="26"/>
        <v/>
      </c>
      <c r="J146" s="122"/>
      <c r="K146" s="42" t="str">
        <f>VLOOKUP(B146,CENY!$B$11:$M$1054,8,FALSE)</f>
        <v xml:space="preserve"> </v>
      </c>
      <c r="L146" s="42" t="str">
        <f>VLOOKUP(B146,CENY!$B$11:$M$1054,9,FALSE)</f>
        <v>530091</v>
      </c>
      <c r="M146" s="32"/>
      <c r="N146" s="35">
        <f t="shared" si="36"/>
        <v>0</v>
      </c>
      <c r="O146" s="36">
        <v>0</v>
      </c>
      <c r="P146" s="32"/>
      <c r="Q146" s="32"/>
      <c r="R146" s="32"/>
      <c r="S146" s="32"/>
      <c r="T146" s="32"/>
      <c r="U146" s="32"/>
      <c r="V146" s="325">
        <f>'AVT251'!AZ8</f>
        <v>0</v>
      </c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165"/>
      <c r="BP146" s="165"/>
      <c r="BQ146" s="165"/>
      <c r="BR146" s="165"/>
      <c r="BS146" s="165"/>
      <c r="BT146" s="165"/>
      <c r="BU146" s="165"/>
      <c r="BV146" s="55"/>
      <c r="BW146" s="160"/>
      <c r="BX146" s="32"/>
      <c r="BY146" s="24"/>
      <c r="BZ146" s="24"/>
      <c r="CA146" s="24"/>
      <c r="CB146" s="24"/>
      <c r="CC146" s="24"/>
      <c r="CD146" s="24"/>
      <c r="CE146" s="24"/>
    </row>
    <row r="147" spans="1:83" ht="15" hidden="1" customHeight="1">
      <c r="A147" s="4"/>
      <c r="B147" s="317">
        <f>IF($Q$8=$Q$7,CENY!B335,IF($Q$7=$Q$9,CENY!B342,CENY!B349))</f>
        <v>9353376</v>
      </c>
      <c r="C147" s="43" t="str">
        <f>VLOOKUP(B147,CENY!$B$11:$G$1054,2,FALSE)</f>
        <v>AvanY-sólo oceľ.boky-NW 251/550mm/strieb.</v>
      </c>
      <c r="D147" s="364">
        <f>VLOOKUP(B147,CENY!$B$11:$G$1054,3,FALSE)</f>
        <v>1</v>
      </c>
      <c r="E147" s="56" t="str">
        <f>IF(VLOOKUP(B147,CENY!$B$11:$G$1054,4,FALSE)=0,"",VLOOKUP(B147,CENY!$B$11:$G$1054,4,FALSE))</f>
        <v/>
      </c>
      <c r="F147" s="40" t="str">
        <f t="shared" si="35"/>
        <v/>
      </c>
      <c r="G147" s="52">
        <f>VLOOKUP(B147,CENY!$B$11:$M$1054,12,FALSE)</f>
        <v>59.052610000000001</v>
      </c>
      <c r="H147" s="54" t="str">
        <f t="shared" si="25"/>
        <v xml:space="preserve"> EUR</v>
      </c>
      <c r="I147" s="41" t="str">
        <f t="shared" si="26"/>
        <v/>
      </c>
      <c r="J147" s="122"/>
      <c r="K147" s="42" t="str">
        <f>VLOOKUP(B147,CENY!$B$11:$M$1054,8,FALSE)</f>
        <v xml:space="preserve"> </v>
      </c>
      <c r="L147" s="42" t="str">
        <f>VLOOKUP(B147,CENY!$B$11:$M$1054,9,FALSE)</f>
        <v>530092</v>
      </c>
      <c r="M147" s="32"/>
      <c r="N147" s="35">
        <f t="shared" si="36"/>
        <v>0</v>
      </c>
      <c r="O147" s="36">
        <v>0</v>
      </c>
      <c r="P147" s="32"/>
      <c r="Q147" s="32"/>
      <c r="R147" s="32"/>
      <c r="S147" s="32"/>
      <c r="T147" s="32"/>
      <c r="U147" s="32"/>
      <c r="V147" s="325">
        <f>'AVT251'!AZ9</f>
        <v>0</v>
      </c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165"/>
      <c r="BP147" s="165"/>
      <c r="BQ147" s="165"/>
      <c r="BR147" s="165"/>
      <c r="BS147" s="165"/>
      <c r="BT147" s="165"/>
      <c r="BU147" s="165"/>
      <c r="BV147" s="55"/>
      <c r="BW147" s="160"/>
      <c r="BX147" s="32"/>
      <c r="BY147" s="24"/>
      <c r="BZ147" s="24"/>
      <c r="CA147" s="24"/>
      <c r="CB147" s="24"/>
      <c r="CC147" s="24"/>
      <c r="CD147" s="24"/>
      <c r="CE147" s="24"/>
    </row>
    <row r="148" spans="1:83" ht="15" hidden="1" customHeight="1">
      <c r="A148" s="4"/>
      <c r="B148" s="317">
        <f>IF($Q$8=$Q$7,CENY!B336,IF($Q$7=$Q$9,CENY!B343,CENY!B350))</f>
        <v>9353377</v>
      </c>
      <c r="C148" s="43" t="str">
        <f>VLOOKUP(B148,CENY!$B$11:$G$1054,2,FALSE)</f>
        <v>AvanY-sólo oceľ.boky-NW 251/600mm/strieb.</v>
      </c>
      <c r="D148" s="364">
        <f>VLOOKUP(B148,CENY!$B$11:$G$1054,3,FALSE)</f>
        <v>1</v>
      </c>
      <c r="E148" s="56" t="str">
        <f>IF(VLOOKUP(B148,CENY!$B$11:$G$1054,4,FALSE)=0,"",VLOOKUP(B148,CENY!$B$11:$G$1054,4,FALSE))</f>
        <v/>
      </c>
      <c r="F148" s="40" t="str">
        <f t="shared" si="35"/>
        <v/>
      </c>
      <c r="G148" s="52">
        <f>VLOOKUP(B148,CENY!$B$11:$M$1054,12,FALSE)</f>
        <v>60.374200000000002</v>
      </c>
      <c r="H148" s="54" t="str">
        <f t="shared" si="25"/>
        <v xml:space="preserve"> EUR</v>
      </c>
      <c r="I148" s="41" t="str">
        <f t="shared" si="26"/>
        <v/>
      </c>
      <c r="J148" s="122"/>
      <c r="K148" s="42" t="str">
        <f>VLOOKUP(B148,CENY!$B$11:$M$1054,8,FALSE)</f>
        <v xml:space="preserve"> </v>
      </c>
      <c r="L148" s="42" t="str">
        <f>VLOOKUP(B148,CENY!$B$11:$M$1054,9,FALSE)</f>
        <v>530093</v>
      </c>
      <c r="M148" s="32"/>
      <c r="N148" s="35">
        <f t="shared" si="36"/>
        <v>0</v>
      </c>
      <c r="O148" s="36">
        <v>0</v>
      </c>
      <c r="P148" s="32"/>
      <c r="Q148" s="32"/>
      <c r="R148" s="32"/>
      <c r="S148" s="32"/>
      <c r="T148" s="32"/>
      <c r="U148" s="32"/>
      <c r="V148" s="325">
        <f>'AVT251'!AZ10</f>
        <v>0</v>
      </c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165"/>
      <c r="BP148" s="165"/>
      <c r="BQ148" s="165"/>
      <c r="BR148" s="165"/>
      <c r="BS148" s="165"/>
      <c r="BT148" s="165"/>
      <c r="BU148" s="165"/>
      <c r="BV148" s="55"/>
      <c r="BW148" s="160"/>
      <c r="BX148" s="32"/>
      <c r="BY148" s="24"/>
      <c r="BZ148" s="24"/>
      <c r="CA148" s="24"/>
      <c r="CB148" s="24"/>
      <c r="CC148" s="24"/>
      <c r="CD148" s="24"/>
      <c r="CE148" s="24"/>
    </row>
    <row r="149" spans="1:83" ht="15" hidden="1" customHeight="1">
      <c r="A149" s="4"/>
      <c r="B149" s="317">
        <f>IF($Q$8=$Q$7,CENY!B337,IF($Q$7=$Q$9,CENY!B344,CENY!B351))</f>
        <v>9353378</v>
      </c>
      <c r="C149" s="43" t="str">
        <f>VLOOKUP(B149,CENY!$B$11:$G$1054,2,FALSE)</f>
        <v>AvanY-sólo oceľ.boky-NW 251/650mm/strieb.</v>
      </c>
      <c r="D149" s="364">
        <f>VLOOKUP(B149,CENY!$B$11:$G$1054,3,FALSE)</f>
        <v>1</v>
      </c>
      <c r="E149" s="56" t="str">
        <f>IF(VLOOKUP(B149,CENY!$B$11:$G$1054,4,FALSE)=0,"",VLOOKUP(B149,CENY!$B$11:$G$1054,4,FALSE))</f>
        <v/>
      </c>
      <c r="F149" s="40" t="str">
        <f t="shared" si="35"/>
        <v/>
      </c>
      <c r="G149" s="52">
        <f>VLOOKUP(B149,CENY!$B$11:$M$1054,12,FALSE)</f>
        <v>62.219180000000001</v>
      </c>
      <c r="H149" s="54" t="str">
        <f t="shared" si="25"/>
        <v xml:space="preserve"> EUR</v>
      </c>
      <c r="I149" s="41" t="str">
        <f t="shared" si="26"/>
        <v/>
      </c>
      <c r="J149" s="122"/>
      <c r="K149" s="42" t="str">
        <f>VLOOKUP(B149,CENY!$B$11:$M$1054,8,FALSE)</f>
        <v xml:space="preserve"> </v>
      </c>
      <c r="L149" s="42" t="str">
        <f>VLOOKUP(B149,CENY!$B$11:$M$1054,9,FALSE)</f>
        <v>530094</v>
      </c>
      <c r="M149" s="32"/>
      <c r="N149" s="35">
        <f t="shared" si="36"/>
        <v>0</v>
      </c>
      <c r="O149" s="36">
        <v>0</v>
      </c>
      <c r="P149" s="32"/>
      <c r="Q149" s="32"/>
      <c r="R149" s="32"/>
      <c r="S149" s="32"/>
      <c r="T149" s="32"/>
      <c r="U149" s="32"/>
      <c r="V149" s="325">
        <f>'AVT251'!AZ11</f>
        <v>0</v>
      </c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165"/>
      <c r="BP149" s="165"/>
      <c r="BQ149" s="165"/>
      <c r="BR149" s="165"/>
      <c r="BS149" s="165"/>
      <c r="BT149" s="165"/>
      <c r="BU149" s="165"/>
      <c r="BV149" s="55"/>
      <c r="BW149" s="160"/>
      <c r="BX149" s="32"/>
      <c r="BY149" s="24"/>
      <c r="BZ149" s="24"/>
      <c r="CA149" s="24"/>
      <c r="CB149" s="24"/>
      <c r="CC149" s="24"/>
      <c r="CD149" s="24"/>
      <c r="CE149" s="24"/>
    </row>
    <row r="150" spans="1:83" ht="15" hidden="1" customHeight="1">
      <c r="A150" s="4"/>
      <c r="B150" s="317">
        <f>IF($T$7=$T$8,CENY!B394,CENY!B395)</f>
        <v>9359507</v>
      </c>
      <c r="C150" s="43" t="str">
        <f>VLOOKUP(B150,CENY!$B$11:$G$1054,2,FALSE)</f>
        <v>AvanY-prích.čela k naskrutk./ v251 (kompl)</v>
      </c>
      <c r="D150" s="364">
        <f>VLOOKUP(B150,CENY!$B$11:$G$1054,3,FALSE)</f>
        <v>1</v>
      </c>
      <c r="E150" s="56"/>
      <c r="F150" s="40" t="str">
        <f t="shared" si="35"/>
        <v/>
      </c>
      <c r="G150" s="52">
        <f>VLOOKUP(B150,CENY!$B$11:$M$1054,12,FALSE)</f>
        <v>1.1493500000000001</v>
      </c>
      <c r="H150" s="54" t="str">
        <f t="shared" ref="H150" si="37">IF(G150="","",$H$22)</f>
        <v xml:space="preserve"> EUR</v>
      </c>
      <c r="I150" s="41" t="str">
        <f t="shared" ref="I150" si="38">IF(F150="","",G150*F150)</f>
        <v/>
      </c>
      <c r="J150" s="122"/>
      <c r="K150" s="42" t="str">
        <f>VLOOKUP(B150,CENY!$B$11:$M$1054,8,FALSE)</f>
        <v xml:space="preserve"> </v>
      </c>
      <c r="L150" s="42" t="str">
        <f>VLOOKUP(B150,CENY!$B$11:$M$1054,9,FALSE)</f>
        <v>537689</v>
      </c>
      <c r="M150" s="32"/>
      <c r="N150" s="35">
        <f t="shared" ref="N150" si="39">SUM(P150:BW150)</f>
        <v>0</v>
      </c>
      <c r="O150" s="36">
        <v>0</v>
      </c>
      <c r="P150" s="32"/>
      <c r="Q150" s="32"/>
      <c r="R150" s="32"/>
      <c r="S150" s="32"/>
      <c r="T150" s="32"/>
      <c r="U150" s="32"/>
      <c r="V150" s="325">
        <f>'AVT251'!AZ64</f>
        <v>0</v>
      </c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165"/>
      <c r="BP150" s="165"/>
      <c r="BQ150" s="165"/>
      <c r="BR150" s="165"/>
      <c r="BS150" s="165"/>
      <c r="BT150" s="165"/>
      <c r="BU150" s="165"/>
      <c r="BV150" s="55"/>
      <c r="BW150" s="160"/>
      <c r="BX150" s="32"/>
      <c r="BY150" s="24"/>
      <c r="BZ150" s="24"/>
      <c r="CA150" s="24"/>
      <c r="CB150" s="24"/>
      <c r="CC150" s="24"/>
      <c r="CD150" s="24"/>
      <c r="CE150" s="24"/>
    </row>
    <row r="151" spans="1:83" ht="8.1" hidden="1" customHeight="1">
      <c r="A151" s="4"/>
      <c r="B151" s="317"/>
      <c r="C151" s="43"/>
      <c r="D151" s="39"/>
      <c r="E151" s="56"/>
      <c r="F151" s="40"/>
      <c r="G151" s="52"/>
      <c r="H151" s="54"/>
      <c r="I151" s="41"/>
      <c r="J151" s="122"/>
      <c r="K151" s="42"/>
      <c r="L151" s="42"/>
      <c r="M151" s="32"/>
      <c r="N151" s="35"/>
      <c r="O151" s="36">
        <v>0</v>
      </c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165"/>
      <c r="BP151" s="165"/>
      <c r="BQ151" s="165"/>
      <c r="BR151" s="165"/>
      <c r="BS151" s="165"/>
      <c r="BT151" s="165"/>
      <c r="BU151" s="165"/>
      <c r="BV151" s="55"/>
      <c r="BW151" s="160"/>
      <c r="BX151" s="32"/>
      <c r="BY151" s="24"/>
      <c r="BZ151" s="24"/>
      <c r="CA151" s="24"/>
      <c r="CB151" s="24"/>
      <c r="CC151" s="24"/>
      <c r="CD151" s="24"/>
      <c r="CE151" s="24"/>
    </row>
    <row r="152" spans="1:83" ht="15" hidden="1" customHeight="1">
      <c r="A152" s="4"/>
      <c r="B152" s="317">
        <f>IF($Q$8=$Q$7,CENY!B352,IF($Q$7=$Q$9,CENY!B366,CENY!B380))</f>
        <v>9255066</v>
      </c>
      <c r="C152" s="43" t="str">
        <f>VLOOKUP(B152,CENY!$B$11:$G$1054,2,FALSE)</f>
        <v>AvanY-bok ľavý /v251/h350/ strieborná</v>
      </c>
      <c r="D152" s="353">
        <f>VLOOKUP(B152,CENY!$B$11:$G$1054,3,FALSE)</f>
        <v>10</v>
      </c>
      <c r="E152" s="56" t="str">
        <f>IF(VLOOKUP(B152,CENY!$B$11:$G$1054,4,FALSE)=0,"",VLOOKUP(B152,CENY!$B$11:$G$1054,4,FALSE))</f>
        <v/>
      </c>
      <c r="F152" s="40" t="str">
        <f t="shared" ref="F152:F166" si="40">IF(J152&lt;&gt;"",J152,IF(N152=0,"",N152))</f>
        <v/>
      </c>
      <c r="G152" s="52">
        <f>VLOOKUP(B152,CENY!$B$11:$M$1054,12,FALSE)</f>
        <v>26.814820000000001</v>
      </c>
      <c r="H152" s="54" t="str">
        <f t="shared" si="25"/>
        <v xml:space="preserve"> EUR</v>
      </c>
      <c r="I152" s="41" t="str">
        <f t="shared" si="26"/>
        <v/>
      </c>
      <c r="J152" s="122"/>
      <c r="K152" s="42" t="str">
        <f>VLOOKUP(B152,CENY!$B$11:$M$1054,8,FALSE)</f>
        <v xml:space="preserve"> </v>
      </c>
      <c r="L152" s="42" t="str">
        <f>VLOOKUP(B152,CENY!$B$11:$M$1054,9,FALSE)</f>
        <v>396886</v>
      </c>
      <c r="M152" s="32"/>
      <c r="N152" s="35">
        <f t="shared" ref="N152:N166" si="41">SUM(P152:BW152)</f>
        <v>0</v>
      </c>
      <c r="O152" s="36">
        <v>0</v>
      </c>
      <c r="P152" s="32"/>
      <c r="Q152" s="32"/>
      <c r="R152" s="32"/>
      <c r="S152" s="32"/>
      <c r="T152" s="32"/>
      <c r="U152" s="32"/>
      <c r="V152" s="32"/>
      <c r="W152" s="325">
        <f>'AVT251'!BI5</f>
        <v>0</v>
      </c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165"/>
      <c r="BP152" s="165"/>
      <c r="BQ152" s="165"/>
      <c r="BR152" s="165"/>
      <c r="BS152" s="165"/>
      <c r="BT152" s="165"/>
      <c r="BU152" s="165"/>
      <c r="BV152" s="55"/>
      <c r="BW152" s="160"/>
      <c r="BX152" s="32"/>
      <c r="BY152" s="24"/>
      <c r="BZ152" s="24"/>
      <c r="CA152" s="24"/>
      <c r="CB152" s="24"/>
      <c r="CC152" s="24"/>
      <c r="CD152" s="24"/>
      <c r="CE152" s="24"/>
    </row>
    <row r="153" spans="1:83" ht="15" hidden="1" customHeight="1">
      <c r="A153" s="4"/>
      <c r="B153" s="317">
        <f>IF($Q$8=$Q$7,CENY!B353,IF($Q$7=$Q$9,CENY!B367,CENY!B381))</f>
        <v>9255067</v>
      </c>
      <c r="C153" s="43" t="str">
        <f>VLOOKUP(B153,CENY!$B$11:$G$1054,2,FALSE)</f>
        <v>AvanY-bok pravý /v251/h350/ strieborná</v>
      </c>
      <c r="D153" s="353">
        <f>VLOOKUP(B153,CENY!$B$11:$G$1054,3,FALSE)</f>
        <v>10</v>
      </c>
      <c r="E153" s="56" t="str">
        <f>IF(VLOOKUP(B153,CENY!$B$11:$G$1054,4,FALSE)=0,"",VLOOKUP(B153,CENY!$B$11:$G$1054,4,FALSE))</f>
        <v/>
      </c>
      <c r="F153" s="40" t="str">
        <f t="shared" si="40"/>
        <v/>
      </c>
      <c r="G153" s="52">
        <f>VLOOKUP(B153,CENY!$B$11:$M$1054,12,FALSE)</f>
        <v>26.814820000000001</v>
      </c>
      <c r="H153" s="54" t="str">
        <f t="shared" si="25"/>
        <v xml:space="preserve"> EUR</v>
      </c>
      <c r="I153" s="41" t="str">
        <f t="shared" si="26"/>
        <v/>
      </c>
      <c r="J153" s="122"/>
      <c r="K153" s="42" t="str">
        <f>VLOOKUP(B153,CENY!$B$11:$M$1054,8,FALSE)</f>
        <v xml:space="preserve"> </v>
      </c>
      <c r="L153" s="42" t="str">
        <f>VLOOKUP(B153,CENY!$B$11:$M$1054,9,FALSE)</f>
        <v>396887</v>
      </c>
      <c r="M153" s="32"/>
      <c r="N153" s="35">
        <f t="shared" si="41"/>
        <v>0</v>
      </c>
      <c r="O153" s="36">
        <v>0</v>
      </c>
      <c r="P153" s="32"/>
      <c r="Q153" s="32"/>
      <c r="R153" s="32"/>
      <c r="S153" s="32"/>
      <c r="T153" s="32"/>
      <c r="U153" s="32"/>
      <c r="V153" s="32"/>
      <c r="W153" s="325">
        <f>'AVT251'!BI6</f>
        <v>0</v>
      </c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165"/>
      <c r="BP153" s="165"/>
      <c r="BQ153" s="165"/>
      <c r="BR153" s="165"/>
      <c r="BS153" s="165"/>
      <c r="BT153" s="165"/>
      <c r="BU153" s="165"/>
      <c r="BV153" s="55"/>
      <c r="BW153" s="160"/>
      <c r="BX153" s="32"/>
      <c r="BY153" s="24"/>
      <c r="BZ153" s="24"/>
      <c r="CA153" s="24"/>
      <c r="CB153" s="24"/>
      <c r="CC153" s="24"/>
      <c r="CD153" s="24"/>
      <c r="CE153" s="24"/>
    </row>
    <row r="154" spans="1:83" ht="15" hidden="1" customHeight="1">
      <c r="A154" s="4"/>
      <c r="B154" s="317">
        <f>IF($Q$8=$Q$7,CENY!B354,IF($Q$7=$Q$9,CENY!B368,CENY!B382))</f>
        <v>9255068</v>
      </c>
      <c r="C154" s="43" t="str">
        <f>VLOOKUP(B154,CENY!$B$11:$G$1054,2,FALSE)</f>
        <v>AvanY-bok ľavý /v251/h400/ strieborná</v>
      </c>
      <c r="D154" s="353">
        <f>VLOOKUP(B154,CENY!$B$11:$G$1054,3,FALSE)</f>
        <v>10</v>
      </c>
      <c r="E154" s="56" t="str">
        <f>IF(VLOOKUP(B154,CENY!$B$11:$G$1054,4,FALSE)=0,"",VLOOKUP(B154,CENY!$B$11:$G$1054,4,FALSE))</f>
        <v/>
      </c>
      <c r="F154" s="40" t="str">
        <f t="shared" si="40"/>
        <v/>
      </c>
      <c r="G154" s="52">
        <f>VLOOKUP(B154,CENY!$B$11:$M$1054,12,FALSE)</f>
        <v>27.299520000000001</v>
      </c>
      <c r="H154" s="54" t="str">
        <f t="shared" si="25"/>
        <v xml:space="preserve"> EUR</v>
      </c>
      <c r="I154" s="41" t="str">
        <f t="shared" si="26"/>
        <v/>
      </c>
      <c r="J154" s="122"/>
      <c r="K154" s="42" t="str">
        <f>VLOOKUP(B154,CENY!$B$11:$M$1054,8,FALSE)</f>
        <v xml:space="preserve"> </v>
      </c>
      <c r="L154" s="42" t="str">
        <f>VLOOKUP(B154,CENY!$B$11:$M$1054,9,FALSE)</f>
        <v>396888</v>
      </c>
      <c r="M154" s="32"/>
      <c r="N154" s="35">
        <f t="shared" si="41"/>
        <v>0</v>
      </c>
      <c r="O154" s="36">
        <v>0</v>
      </c>
      <c r="P154" s="32"/>
      <c r="Q154" s="32"/>
      <c r="R154" s="32"/>
      <c r="S154" s="32"/>
      <c r="T154" s="32"/>
      <c r="U154" s="32"/>
      <c r="V154" s="32"/>
      <c r="W154" s="325">
        <f>'AVT251'!BI7</f>
        <v>0</v>
      </c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165"/>
      <c r="BP154" s="165"/>
      <c r="BQ154" s="165"/>
      <c r="BR154" s="165"/>
      <c r="BS154" s="165"/>
      <c r="BT154" s="165"/>
      <c r="BU154" s="165"/>
      <c r="BV154" s="55"/>
      <c r="BW154" s="160"/>
      <c r="BX154" s="32"/>
      <c r="BY154" s="24"/>
      <c r="BZ154" s="24"/>
      <c r="CA154" s="24"/>
      <c r="CB154" s="24"/>
      <c r="CC154" s="24"/>
      <c r="CD154" s="24"/>
      <c r="CE154" s="24"/>
    </row>
    <row r="155" spans="1:83" ht="15" hidden="1" customHeight="1">
      <c r="A155" s="4"/>
      <c r="B155" s="317">
        <f>IF($Q$8=$Q$7,CENY!B355,IF($Q$7=$Q$9,CENY!B369,CENY!B383))</f>
        <v>9255069</v>
      </c>
      <c r="C155" s="43" t="str">
        <f>VLOOKUP(B155,CENY!$B$11:$G$1054,2,FALSE)</f>
        <v>AvanY-bok pravý /v251/h400/ strieborná</v>
      </c>
      <c r="D155" s="353">
        <f>VLOOKUP(B155,CENY!$B$11:$G$1054,3,FALSE)</f>
        <v>10</v>
      </c>
      <c r="E155" s="56" t="str">
        <f>IF(VLOOKUP(B155,CENY!$B$11:$G$1054,4,FALSE)=0,"",VLOOKUP(B155,CENY!$B$11:$G$1054,4,FALSE))</f>
        <v/>
      </c>
      <c r="F155" s="40" t="str">
        <f t="shared" si="40"/>
        <v/>
      </c>
      <c r="G155" s="52">
        <f>VLOOKUP(B155,CENY!$B$11:$M$1054,12,FALSE)</f>
        <v>27.299520000000001</v>
      </c>
      <c r="H155" s="54" t="str">
        <f t="shared" si="25"/>
        <v xml:space="preserve"> EUR</v>
      </c>
      <c r="I155" s="41" t="str">
        <f t="shared" si="26"/>
        <v/>
      </c>
      <c r="J155" s="122"/>
      <c r="K155" s="42" t="str">
        <f>VLOOKUP(B155,CENY!$B$11:$M$1054,8,FALSE)</f>
        <v xml:space="preserve"> </v>
      </c>
      <c r="L155" s="42" t="str">
        <f>VLOOKUP(B155,CENY!$B$11:$M$1054,9,FALSE)</f>
        <v>396889</v>
      </c>
      <c r="M155" s="32"/>
      <c r="N155" s="35">
        <f t="shared" si="41"/>
        <v>0</v>
      </c>
      <c r="O155" s="36">
        <v>0</v>
      </c>
      <c r="P155" s="32"/>
      <c r="Q155" s="32"/>
      <c r="R155" s="32"/>
      <c r="S155" s="32"/>
      <c r="T155" s="32"/>
      <c r="U155" s="32"/>
      <c r="V155" s="32"/>
      <c r="W155" s="325">
        <f>'AVT251'!BI8</f>
        <v>0</v>
      </c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165"/>
      <c r="BP155" s="165"/>
      <c r="BQ155" s="165"/>
      <c r="BR155" s="165"/>
      <c r="BS155" s="165"/>
      <c r="BT155" s="165"/>
      <c r="BU155" s="165"/>
      <c r="BV155" s="55"/>
      <c r="BW155" s="160"/>
      <c r="BX155" s="32"/>
      <c r="BY155" s="24"/>
      <c r="BZ155" s="24"/>
      <c r="CA155" s="24"/>
      <c r="CB155" s="24"/>
      <c r="CC155" s="24"/>
      <c r="CD155" s="24"/>
      <c r="CE155" s="24"/>
    </row>
    <row r="156" spans="1:83" ht="15" hidden="1" customHeight="1">
      <c r="A156" s="4"/>
      <c r="B156" s="317">
        <f>IF($Q$8=$Q$7,CENY!B356,IF($Q$7=$Q$9,CENY!B370,CENY!B384))</f>
        <v>9255070</v>
      </c>
      <c r="C156" s="43" t="str">
        <f>VLOOKUP(B156,CENY!$B$11:$G$1054,2,FALSE)</f>
        <v>AvanY-bok ľavý /v251/h450/ strieborná</v>
      </c>
      <c r="D156" s="353">
        <f>VLOOKUP(B156,CENY!$B$11:$G$1054,3,FALSE)</f>
        <v>10</v>
      </c>
      <c r="E156" s="56" t="str">
        <f>IF(VLOOKUP(B156,CENY!$B$11:$G$1054,4,FALSE)=0,"",VLOOKUP(B156,CENY!$B$11:$G$1054,4,FALSE))</f>
        <v/>
      </c>
      <c r="F156" s="40" t="str">
        <f t="shared" si="40"/>
        <v/>
      </c>
      <c r="G156" s="52">
        <f>VLOOKUP(B156,CENY!$B$11:$M$1054,12,FALSE)</f>
        <v>27.784199999999998</v>
      </c>
      <c r="H156" s="54" t="str">
        <f t="shared" si="25"/>
        <v xml:space="preserve"> EUR</v>
      </c>
      <c r="I156" s="41" t="str">
        <f t="shared" si="26"/>
        <v/>
      </c>
      <c r="J156" s="122"/>
      <c r="K156" s="42" t="str">
        <f>VLOOKUP(B156,CENY!$B$11:$M$1054,8,FALSE)</f>
        <v xml:space="preserve"> </v>
      </c>
      <c r="L156" s="42" t="str">
        <f>VLOOKUP(B156,CENY!$B$11:$M$1054,9,FALSE)</f>
        <v>396890</v>
      </c>
      <c r="M156" s="32"/>
      <c r="N156" s="35">
        <f t="shared" si="41"/>
        <v>0</v>
      </c>
      <c r="O156" s="36">
        <v>0</v>
      </c>
      <c r="P156" s="32"/>
      <c r="Q156" s="32"/>
      <c r="R156" s="32"/>
      <c r="S156" s="32"/>
      <c r="T156" s="32"/>
      <c r="U156" s="32"/>
      <c r="V156" s="32"/>
      <c r="W156" s="325">
        <f>'AVT251'!BI9</f>
        <v>0</v>
      </c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165"/>
      <c r="BP156" s="165"/>
      <c r="BQ156" s="165"/>
      <c r="BR156" s="165"/>
      <c r="BS156" s="165"/>
      <c r="BT156" s="165"/>
      <c r="BU156" s="165"/>
      <c r="BV156" s="55"/>
      <c r="BW156" s="160"/>
      <c r="BX156" s="32"/>
      <c r="BY156" s="24"/>
      <c r="BZ156" s="24"/>
      <c r="CA156" s="24"/>
      <c r="CB156" s="24"/>
      <c r="CC156" s="24"/>
      <c r="CD156" s="24"/>
      <c r="CE156" s="24"/>
    </row>
    <row r="157" spans="1:83" ht="15" hidden="1" customHeight="1">
      <c r="A157" s="4"/>
      <c r="B157" s="317">
        <f>IF($Q$8=$Q$7,CENY!B357,IF($Q$7=$Q$9,CENY!B371,CENY!B385))</f>
        <v>9255071</v>
      </c>
      <c r="C157" s="43" t="str">
        <f>VLOOKUP(B157,CENY!$B$11:$G$1054,2,FALSE)</f>
        <v>AvanY-bok pravý /v251/h450/ strieborná</v>
      </c>
      <c r="D157" s="353">
        <f>VLOOKUP(B157,CENY!$B$11:$G$1054,3,FALSE)</f>
        <v>10</v>
      </c>
      <c r="E157" s="56" t="str">
        <f>IF(VLOOKUP(B157,CENY!$B$11:$G$1054,4,FALSE)=0,"",VLOOKUP(B157,CENY!$B$11:$G$1054,4,FALSE))</f>
        <v/>
      </c>
      <c r="F157" s="40" t="str">
        <f t="shared" si="40"/>
        <v/>
      </c>
      <c r="G157" s="52">
        <f>VLOOKUP(B157,CENY!$B$11:$M$1054,12,FALSE)</f>
        <v>27.784199999999998</v>
      </c>
      <c r="H157" s="54" t="str">
        <f t="shared" si="25"/>
        <v xml:space="preserve"> EUR</v>
      </c>
      <c r="I157" s="41" t="str">
        <f t="shared" si="26"/>
        <v/>
      </c>
      <c r="J157" s="122"/>
      <c r="K157" s="42" t="str">
        <f>VLOOKUP(B157,CENY!$B$11:$M$1054,8,FALSE)</f>
        <v xml:space="preserve"> </v>
      </c>
      <c r="L157" s="42" t="str">
        <f>VLOOKUP(B157,CENY!$B$11:$M$1054,9,FALSE)</f>
        <v>396891</v>
      </c>
      <c r="M157" s="32"/>
      <c r="N157" s="35">
        <f t="shared" si="41"/>
        <v>0</v>
      </c>
      <c r="O157" s="36">
        <v>0</v>
      </c>
      <c r="P157" s="32"/>
      <c r="Q157" s="32"/>
      <c r="R157" s="32"/>
      <c r="S157" s="32"/>
      <c r="T157" s="32"/>
      <c r="U157" s="32"/>
      <c r="V157" s="32"/>
      <c r="W157" s="325">
        <f>'AVT251'!BI10</f>
        <v>0</v>
      </c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165"/>
      <c r="BP157" s="165"/>
      <c r="BQ157" s="165"/>
      <c r="BR157" s="165"/>
      <c r="BS157" s="165"/>
      <c r="BT157" s="165"/>
      <c r="BU157" s="165"/>
      <c r="BV157" s="55"/>
      <c r="BW157" s="160"/>
      <c r="BX157" s="32"/>
      <c r="BY157" s="24"/>
      <c r="BZ157" s="24"/>
      <c r="CA157" s="24"/>
      <c r="CB157" s="24"/>
      <c r="CC157" s="24"/>
      <c r="CD157" s="24"/>
      <c r="CE157" s="24"/>
    </row>
    <row r="158" spans="1:83" ht="15" hidden="1" customHeight="1">
      <c r="A158" s="4"/>
      <c r="B158" s="317">
        <f>IF($Q$8=$Q$7,CENY!B358,IF($Q$7=$Q$9,CENY!B372,CENY!B386))</f>
        <v>9255072</v>
      </c>
      <c r="C158" s="43" t="str">
        <f>VLOOKUP(B158,CENY!$B$11:$G$1054,2,FALSE)</f>
        <v>AvanY-bok ľavý /v251/h500/ strieborná</v>
      </c>
      <c r="D158" s="353">
        <f>VLOOKUP(B158,CENY!$B$11:$G$1054,3,FALSE)</f>
        <v>10</v>
      </c>
      <c r="E158" s="56" t="str">
        <f>IF(VLOOKUP(B158,CENY!$B$11:$G$1054,4,FALSE)=0,"",VLOOKUP(B158,CENY!$B$11:$G$1054,4,FALSE))</f>
        <v/>
      </c>
      <c r="F158" s="40" t="str">
        <f t="shared" si="40"/>
        <v/>
      </c>
      <c r="G158" s="52">
        <f>VLOOKUP(B158,CENY!$B$11:$M$1054,12,FALSE)</f>
        <v>26.922619999999998</v>
      </c>
      <c r="H158" s="54" t="str">
        <f t="shared" si="25"/>
        <v xml:space="preserve"> EUR</v>
      </c>
      <c r="I158" s="41" t="str">
        <f t="shared" si="26"/>
        <v/>
      </c>
      <c r="J158" s="122"/>
      <c r="K158" s="42" t="str">
        <f>VLOOKUP(B158,CENY!$B$11:$M$1054,8,FALSE)</f>
        <v xml:space="preserve"> </v>
      </c>
      <c r="L158" s="42" t="str">
        <f>VLOOKUP(B158,CENY!$B$11:$M$1054,9,FALSE)</f>
        <v>396892</v>
      </c>
      <c r="M158" s="32"/>
      <c r="N158" s="35">
        <f t="shared" si="41"/>
        <v>0</v>
      </c>
      <c r="O158" s="36">
        <v>0</v>
      </c>
      <c r="P158" s="32"/>
      <c r="Q158" s="32"/>
      <c r="R158" s="32"/>
      <c r="S158" s="32"/>
      <c r="T158" s="32"/>
      <c r="U158" s="32"/>
      <c r="V158" s="32"/>
      <c r="W158" s="325">
        <f>'AVT251'!BI11</f>
        <v>0</v>
      </c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165"/>
      <c r="BP158" s="165"/>
      <c r="BQ158" s="165"/>
      <c r="BR158" s="165"/>
      <c r="BS158" s="165"/>
      <c r="BT158" s="165"/>
      <c r="BU158" s="165"/>
      <c r="BV158" s="55"/>
      <c r="BW158" s="160"/>
      <c r="BX158" s="32"/>
      <c r="BY158" s="24"/>
      <c r="BZ158" s="24"/>
      <c r="CA158" s="24"/>
      <c r="CB158" s="24"/>
      <c r="CC158" s="24"/>
      <c r="CD158" s="24"/>
      <c r="CE158" s="24"/>
    </row>
    <row r="159" spans="1:83" ht="15" hidden="1" customHeight="1">
      <c r="A159" s="4"/>
      <c r="B159" s="317">
        <f>IF($Q$8=$Q$7,CENY!B359,IF($Q$7=$Q$9,CENY!B373,CENY!B387))</f>
        <v>9255073</v>
      </c>
      <c r="C159" s="43" t="str">
        <f>VLOOKUP(B159,CENY!$B$11:$G$1054,2,FALSE)</f>
        <v>AvanY-bok pravý /v251/h500/ strieborná</v>
      </c>
      <c r="D159" s="353">
        <f>VLOOKUP(B159,CENY!$B$11:$G$1054,3,FALSE)</f>
        <v>10</v>
      </c>
      <c r="E159" s="56" t="str">
        <f>IF(VLOOKUP(B159,CENY!$B$11:$G$1054,4,FALSE)=0,"",VLOOKUP(B159,CENY!$B$11:$G$1054,4,FALSE))</f>
        <v/>
      </c>
      <c r="F159" s="40" t="str">
        <f t="shared" si="40"/>
        <v/>
      </c>
      <c r="G159" s="52">
        <f>VLOOKUP(B159,CENY!$B$11:$M$1054,12,FALSE)</f>
        <v>26.922619999999998</v>
      </c>
      <c r="H159" s="54" t="str">
        <f t="shared" ref="H159:H231" si="42">IF(G159="","",$H$22)</f>
        <v xml:space="preserve"> EUR</v>
      </c>
      <c r="I159" s="41" t="str">
        <f t="shared" ref="I159:I231" si="43">IF(F159="","",G159*F159)</f>
        <v/>
      </c>
      <c r="J159" s="122"/>
      <c r="K159" s="42" t="str">
        <f>VLOOKUP(B159,CENY!$B$11:$M$1054,8,FALSE)</f>
        <v xml:space="preserve"> </v>
      </c>
      <c r="L159" s="42" t="str">
        <f>VLOOKUP(B159,CENY!$B$11:$M$1054,9,FALSE)</f>
        <v>396893</v>
      </c>
      <c r="M159" s="32"/>
      <c r="N159" s="35">
        <f t="shared" si="41"/>
        <v>0</v>
      </c>
      <c r="O159" s="36">
        <v>0</v>
      </c>
      <c r="P159" s="32"/>
      <c r="Q159" s="32"/>
      <c r="R159" s="32"/>
      <c r="S159" s="32"/>
      <c r="T159" s="32"/>
      <c r="U159" s="32"/>
      <c r="V159" s="32"/>
      <c r="W159" s="325">
        <f>'AVT251'!BI12</f>
        <v>0</v>
      </c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165"/>
      <c r="BP159" s="165"/>
      <c r="BQ159" s="165"/>
      <c r="BR159" s="165"/>
      <c r="BS159" s="165"/>
      <c r="BT159" s="165"/>
      <c r="BU159" s="165"/>
      <c r="BV159" s="55"/>
      <c r="BW159" s="160"/>
      <c r="BX159" s="32"/>
      <c r="BY159" s="24"/>
      <c r="BZ159" s="24"/>
      <c r="CA159" s="24"/>
      <c r="CB159" s="24"/>
      <c r="CC159" s="24"/>
      <c r="CD159" s="24"/>
      <c r="CE159" s="24"/>
    </row>
    <row r="160" spans="1:83" ht="15" hidden="1" customHeight="1">
      <c r="A160" s="4"/>
      <c r="B160" s="317">
        <f>IF($Q$8=$Q$7,CENY!B360,IF($Q$7=$Q$9,CENY!B374,CENY!B388))</f>
        <v>9255074</v>
      </c>
      <c r="C160" s="43" t="str">
        <f>VLOOKUP(B160,CENY!$B$11:$G$1054,2,FALSE)</f>
        <v>AvanY-bok ľavý /v251/h550/ strieborná</v>
      </c>
      <c r="D160" s="353">
        <f>VLOOKUP(B160,CENY!$B$11:$G$1054,3,FALSE)</f>
        <v>10</v>
      </c>
      <c r="E160" s="56" t="str">
        <f>IF(VLOOKUP(B160,CENY!$B$11:$G$1054,4,FALSE)=0,"",VLOOKUP(B160,CENY!$B$11:$G$1054,4,FALSE))</f>
        <v/>
      </c>
      <c r="F160" s="40" t="str">
        <f t="shared" si="40"/>
        <v/>
      </c>
      <c r="G160" s="52">
        <f>VLOOKUP(B160,CENY!$B$11:$M$1054,12,FALSE)</f>
        <v>28.753450000000001</v>
      </c>
      <c r="H160" s="54" t="str">
        <f t="shared" si="42"/>
        <v xml:space="preserve"> EUR</v>
      </c>
      <c r="I160" s="41" t="str">
        <f t="shared" si="43"/>
        <v/>
      </c>
      <c r="J160" s="122"/>
      <c r="K160" s="42" t="str">
        <f>VLOOKUP(B160,CENY!$B$11:$M$1054,8,FALSE)</f>
        <v xml:space="preserve"> </v>
      </c>
      <c r="L160" s="42" t="str">
        <f>VLOOKUP(B160,CENY!$B$11:$M$1054,9,FALSE)</f>
        <v>396894</v>
      </c>
      <c r="M160" s="32"/>
      <c r="N160" s="35">
        <f t="shared" si="41"/>
        <v>0</v>
      </c>
      <c r="O160" s="36">
        <v>0</v>
      </c>
      <c r="P160" s="32"/>
      <c r="Q160" s="32"/>
      <c r="R160" s="32"/>
      <c r="S160" s="32"/>
      <c r="T160" s="32"/>
      <c r="U160" s="32"/>
      <c r="V160" s="32"/>
      <c r="W160" s="325">
        <f>'AVT251'!BI13</f>
        <v>0</v>
      </c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165"/>
      <c r="BP160" s="165"/>
      <c r="BQ160" s="165"/>
      <c r="BR160" s="165"/>
      <c r="BS160" s="165"/>
      <c r="BT160" s="165"/>
      <c r="BU160" s="165"/>
      <c r="BV160" s="55"/>
      <c r="BW160" s="160"/>
      <c r="BX160" s="32"/>
      <c r="BY160" s="24"/>
      <c r="BZ160" s="24"/>
      <c r="CA160" s="24"/>
      <c r="CB160" s="24"/>
      <c r="CC160" s="24"/>
      <c r="CD160" s="24"/>
      <c r="CE160" s="24"/>
    </row>
    <row r="161" spans="1:83" ht="15" hidden="1" customHeight="1">
      <c r="A161" s="4"/>
      <c r="B161" s="317">
        <f>IF($Q$8=$Q$7,CENY!B361,IF($Q$7=$Q$9,CENY!B375,CENY!B389))</f>
        <v>9255075</v>
      </c>
      <c r="C161" s="43" t="str">
        <f>VLOOKUP(B161,CENY!$B$11:$G$1054,2,FALSE)</f>
        <v>AvanY-bok pravý /v251/h550/ strieborná</v>
      </c>
      <c r="D161" s="353">
        <f>VLOOKUP(B161,CENY!$B$11:$G$1054,3,FALSE)</f>
        <v>10</v>
      </c>
      <c r="E161" s="56" t="str">
        <f>IF(VLOOKUP(B161,CENY!$B$11:$G$1054,4,FALSE)=0,"",VLOOKUP(B161,CENY!$B$11:$G$1054,4,FALSE))</f>
        <v/>
      </c>
      <c r="F161" s="40" t="str">
        <f t="shared" si="40"/>
        <v/>
      </c>
      <c r="G161" s="52">
        <f>VLOOKUP(B161,CENY!$B$11:$M$1054,12,FALSE)</f>
        <v>28.753450000000001</v>
      </c>
      <c r="H161" s="54" t="str">
        <f t="shared" si="42"/>
        <v xml:space="preserve"> EUR</v>
      </c>
      <c r="I161" s="41" t="str">
        <f t="shared" si="43"/>
        <v/>
      </c>
      <c r="J161" s="122"/>
      <c r="K161" s="42" t="str">
        <f>VLOOKUP(B161,CENY!$B$11:$M$1054,8,FALSE)</f>
        <v xml:space="preserve"> </v>
      </c>
      <c r="L161" s="42" t="str">
        <f>VLOOKUP(B161,CENY!$B$11:$M$1054,9,FALSE)</f>
        <v>396895</v>
      </c>
      <c r="M161" s="32"/>
      <c r="N161" s="35">
        <f t="shared" si="41"/>
        <v>0</v>
      </c>
      <c r="O161" s="36">
        <v>0</v>
      </c>
      <c r="P161" s="32"/>
      <c r="Q161" s="32"/>
      <c r="R161" s="32"/>
      <c r="S161" s="32"/>
      <c r="T161" s="32"/>
      <c r="U161" s="32"/>
      <c r="V161" s="32"/>
      <c r="W161" s="325">
        <f>'AVT251'!BI14</f>
        <v>0</v>
      </c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165"/>
      <c r="BP161" s="165"/>
      <c r="BQ161" s="165"/>
      <c r="BR161" s="165"/>
      <c r="BS161" s="165"/>
      <c r="BT161" s="165"/>
      <c r="BU161" s="165"/>
      <c r="BV161" s="55"/>
      <c r="BW161" s="160"/>
      <c r="BX161" s="32"/>
      <c r="BY161" s="24"/>
      <c r="BZ161" s="24"/>
      <c r="CA161" s="24"/>
      <c r="CB161" s="24"/>
      <c r="CC161" s="24"/>
      <c r="CD161" s="24"/>
      <c r="CE161" s="24"/>
    </row>
    <row r="162" spans="1:83" ht="15" hidden="1" customHeight="1">
      <c r="A162" s="4"/>
      <c r="B162" s="317">
        <f>IF($Q$8=$Q$7,CENY!B362,IF($Q$7=$Q$9,CENY!B376,CENY!B390))</f>
        <v>9255076</v>
      </c>
      <c r="C162" s="43" t="str">
        <f>VLOOKUP(B162,CENY!$B$11:$G$1054,2,FALSE)</f>
        <v>AvanY-bok ľavý /v251/h600/ strieborná</v>
      </c>
      <c r="D162" s="353">
        <f>VLOOKUP(B162,CENY!$B$11:$G$1054,3,FALSE)</f>
        <v>10</v>
      </c>
      <c r="E162" s="56" t="str">
        <f>IF(VLOOKUP(B162,CENY!$B$11:$G$1054,4,FALSE)=0,"",VLOOKUP(B162,CENY!$B$11:$G$1054,4,FALSE))</f>
        <v/>
      </c>
      <c r="F162" s="40" t="str">
        <f t="shared" si="40"/>
        <v/>
      </c>
      <c r="G162" s="52">
        <f>VLOOKUP(B162,CENY!$B$11:$M$1054,12,FALSE)</f>
        <v>29.484570000000001</v>
      </c>
      <c r="H162" s="54" t="str">
        <f t="shared" si="42"/>
        <v xml:space="preserve"> EUR</v>
      </c>
      <c r="I162" s="41" t="str">
        <f t="shared" si="43"/>
        <v/>
      </c>
      <c r="J162" s="122"/>
      <c r="K162" s="42" t="str">
        <f>VLOOKUP(B162,CENY!$B$11:$M$1054,8,FALSE)</f>
        <v xml:space="preserve"> </v>
      </c>
      <c r="L162" s="42" t="str">
        <f>VLOOKUP(B162,CENY!$B$11:$M$1054,9,FALSE)</f>
        <v>396896</v>
      </c>
      <c r="M162" s="32"/>
      <c r="N162" s="35">
        <f t="shared" si="41"/>
        <v>0</v>
      </c>
      <c r="O162" s="36">
        <v>0</v>
      </c>
      <c r="P162" s="32"/>
      <c r="Q162" s="32"/>
      <c r="R162" s="32"/>
      <c r="S162" s="32"/>
      <c r="T162" s="32"/>
      <c r="U162" s="32"/>
      <c r="V162" s="32"/>
      <c r="W162" s="325">
        <f>'AVT251'!BI15</f>
        <v>0</v>
      </c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165"/>
      <c r="BP162" s="165"/>
      <c r="BQ162" s="165"/>
      <c r="BR162" s="165"/>
      <c r="BS162" s="165"/>
      <c r="BT162" s="165"/>
      <c r="BU162" s="165"/>
      <c r="BV162" s="55"/>
      <c r="BW162" s="160"/>
      <c r="BX162" s="32"/>
      <c r="BY162" s="24"/>
      <c r="BZ162" s="24"/>
      <c r="CA162" s="24"/>
      <c r="CB162" s="24"/>
      <c r="CC162" s="24"/>
      <c r="CD162" s="24"/>
      <c r="CE162" s="24"/>
    </row>
    <row r="163" spans="1:83" ht="15" hidden="1" customHeight="1">
      <c r="A163" s="4"/>
      <c r="B163" s="317">
        <f>IF($Q$8=$Q$7,CENY!B363,IF($Q$7=$Q$9,CENY!B377,CENY!B391))</f>
        <v>9255077</v>
      </c>
      <c r="C163" s="43" t="str">
        <f>VLOOKUP(B163,CENY!$B$11:$G$1054,2,FALSE)</f>
        <v>AvanY-bok pravý /v251/h600/ strieborná</v>
      </c>
      <c r="D163" s="353">
        <f>VLOOKUP(B163,CENY!$B$11:$G$1054,3,FALSE)</f>
        <v>10</v>
      </c>
      <c r="E163" s="56" t="str">
        <f>IF(VLOOKUP(B163,CENY!$B$11:$G$1054,4,FALSE)=0,"",VLOOKUP(B163,CENY!$B$11:$G$1054,4,FALSE))</f>
        <v/>
      </c>
      <c r="F163" s="40" t="str">
        <f t="shared" si="40"/>
        <v/>
      </c>
      <c r="G163" s="52">
        <f>VLOOKUP(B163,CENY!$B$11:$M$1054,12,FALSE)</f>
        <v>29.484570000000001</v>
      </c>
      <c r="H163" s="54" t="str">
        <f t="shared" si="42"/>
        <v xml:space="preserve"> EUR</v>
      </c>
      <c r="I163" s="41" t="str">
        <f t="shared" si="43"/>
        <v/>
      </c>
      <c r="J163" s="122"/>
      <c r="K163" s="42" t="str">
        <f>VLOOKUP(B163,CENY!$B$11:$M$1054,8,FALSE)</f>
        <v xml:space="preserve"> </v>
      </c>
      <c r="L163" s="42" t="str">
        <f>VLOOKUP(B163,CENY!$B$11:$M$1054,9,FALSE)</f>
        <v>396897</v>
      </c>
      <c r="M163" s="32"/>
      <c r="N163" s="35">
        <f t="shared" si="41"/>
        <v>0</v>
      </c>
      <c r="O163" s="36">
        <v>0</v>
      </c>
      <c r="P163" s="32"/>
      <c r="Q163" s="32"/>
      <c r="R163" s="32"/>
      <c r="S163" s="32"/>
      <c r="T163" s="32"/>
      <c r="U163" s="32"/>
      <c r="V163" s="32"/>
      <c r="W163" s="325">
        <f>'AVT251'!BI16</f>
        <v>0</v>
      </c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165"/>
      <c r="BP163" s="165"/>
      <c r="BQ163" s="165"/>
      <c r="BR163" s="165"/>
      <c r="BS163" s="165"/>
      <c r="BT163" s="165"/>
      <c r="BU163" s="165"/>
      <c r="BV163" s="55"/>
      <c r="BW163" s="160"/>
      <c r="BX163" s="32"/>
      <c r="BY163" s="24"/>
      <c r="BZ163" s="24"/>
      <c r="CA163" s="24"/>
      <c r="CB163" s="24"/>
      <c r="CC163" s="24"/>
      <c r="CD163" s="24"/>
      <c r="CE163" s="24"/>
    </row>
    <row r="164" spans="1:83" ht="15" hidden="1" customHeight="1">
      <c r="A164" s="4"/>
      <c r="B164" s="317">
        <f>IF($Q$8=$Q$7,CENY!B364,IF($Q$7=$Q$9,CENY!B378,CENY!B392))</f>
        <v>9255078</v>
      </c>
      <c r="C164" s="43" t="str">
        <f>VLOOKUP(B164,CENY!$B$11:$G$1054,2,FALSE)</f>
        <v>AvanY-bok ľavý /v251/h650/ strieborná</v>
      </c>
      <c r="D164" s="353">
        <f>VLOOKUP(B164,CENY!$B$11:$G$1054,3,FALSE)</f>
        <v>10</v>
      </c>
      <c r="E164" s="56" t="str">
        <f>IF(VLOOKUP(B164,CENY!$B$11:$G$1054,4,FALSE)=0,"",VLOOKUP(B164,CENY!$B$11:$G$1054,4,FALSE))</f>
        <v/>
      </c>
      <c r="F164" s="40" t="str">
        <f t="shared" si="40"/>
        <v/>
      </c>
      <c r="G164" s="52">
        <f>VLOOKUP(B164,CENY!$B$11:$M$1054,12,FALSE)</f>
        <v>30.47831</v>
      </c>
      <c r="H164" s="54" t="str">
        <f t="shared" si="42"/>
        <v xml:space="preserve"> EUR</v>
      </c>
      <c r="I164" s="41" t="str">
        <f t="shared" si="43"/>
        <v/>
      </c>
      <c r="J164" s="122"/>
      <c r="K164" s="42" t="str">
        <f>VLOOKUP(B164,CENY!$B$11:$M$1054,8,FALSE)</f>
        <v xml:space="preserve"> </v>
      </c>
      <c r="L164" s="42" t="str">
        <f>VLOOKUP(B164,CENY!$B$11:$M$1054,9,FALSE)</f>
        <v>396898</v>
      </c>
      <c r="M164" s="32"/>
      <c r="N164" s="35">
        <f t="shared" si="41"/>
        <v>0</v>
      </c>
      <c r="O164" s="36">
        <v>0</v>
      </c>
      <c r="P164" s="32"/>
      <c r="Q164" s="32"/>
      <c r="R164" s="32"/>
      <c r="S164" s="32"/>
      <c r="T164" s="32"/>
      <c r="U164" s="32"/>
      <c r="V164" s="32"/>
      <c r="W164" s="325">
        <f>'AVT251'!BI17</f>
        <v>0</v>
      </c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165"/>
      <c r="BP164" s="165"/>
      <c r="BQ164" s="165"/>
      <c r="BR164" s="165"/>
      <c r="BS164" s="165"/>
      <c r="BT164" s="165"/>
      <c r="BU164" s="165"/>
      <c r="BV164" s="55"/>
      <c r="BW164" s="160"/>
      <c r="BX164" s="32"/>
      <c r="BY164" s="24"/>
      <c r="BZ164" s="24"/>
      <c r="CA164" s="24"/>
      <c r="CB164" s="24"/>
      <c r="CC164" s="24"/>
      <c r="CD164" s="24"/>
      <c r="CE164" s="24"/>
    </row>
    <row r="165" spans="1:83" ht="15" hidden="1" customHeight="1">
      <c r="A165" s="4"/>
      <c r="B165" s="317">
        <f>IF($Q$8=$Q$7,CENY!B365,IF($Q$7=$Q$9,CENY!B379,CENY!B393))</f>
        <v>9255079</v>
      </c>
      <c r="C165" s="43" t="str">
        <f>VLOOKUP(B165,CENY!$B$11:$G$1054,2,FALSE)</f>
        <v>AvanY-bok pravý /v251/h650/ strieborná</v>
      </c>
      <c r="D165" s="353">
        <f>VLOOKUP(B165,CENY!$B$11:$G$1054,3,FALSE)</f>
        <v>10</v>
      </c>
      <c r="E165" s="56" t="str">
        <f>IF(VLOOKUP(B165,CENY!$B$11:$G$1054,4,FALSE)=0,"",VLOOKUP(B165,CENY!$B$11:$G$1054,4,FALSE))</f>
        <v/>
      </c>
      <c r="F165" s="40" t="str">
        <f t="shared" si="40"/>
        <v/>
      </c>
      <c r="G165" s="52">
        <f>VLOOKUP(B165,CENY!$B$11:$M$1054,12,FALSE)</f>
        <v>30.47831</v>
      </c>
      <c r="H165" s="54" t="str">
        <f t="shared" si="42"/>
        <v xml:space="preserve"> EUR</v>
      </c>
      <c r="I165" s="41" t="str">
        <f t="shared" si="43"/>
        <v/>
      </c>
      <c r="J165" s="122"/>
      <c r="K165" s="42" t="str">
        <f>VLOOKUP(B165,CENY!$B$11:$M$1054,8,FALSE)</f>
        <v xml:space="preserve"> </v>
      </c>
      <c r="L165" s="42" t="str">
        <f>VLOOKUP(B165,CENY!$B$11:$M$1054,9,FALSE)</f>
        <v>396899</v>
      </c>
      <c r="M165" s="32"/>
      <c r="N165" s="35">
        <f t="shared" si="41"/>
        <v>0</v>
      </c>
      <c r="O165" s="36">
        <v>0</v>
      </c>
      <c r="P165" s="32"/>
      <c r="Q165" s="32"/>
      <c r="R165" s="32"/>
      <c r="S165" s="32"/>
      <c r="T165" s="32"/>
      <c r="U165" s="32"/>
      <c r="V165" s="32"/>
      <c r="W165" s="325">
        <f>'AVT251'!BI18</f>
        <v>0</v>
      </c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165"/>
      <c r="BP165" s="165"/>
      <c r="BQ165" s="165"/>
      <c r="BR165" s="165"/>
      <c r="BS165" s="165"/>
      <c r="BT165" s="165"/>
      <c r="BU165" s="165"/>
      <c r="BV165" s="55"/>
      <c r="BW165" s="160"/>
      <c r="BX165" s="32"/>
      <c r="BY165" s="24"/>
      <c r="BZ165" s="24"/>
      <c r="CA165" s="24"/>
      <c r="CB165" s="24"/>
      <c r="CC165" s="24"/>
      <c r="CD165" s="24"/>
      <c r="CE165" s="24"/>
    </row>
    <row r="166" spans="1:83" ht="15" hidden="1" customHeight="1">
      <c r="A166" s="4"/>
      <c r="B166" s="317">
        <f>IF($T$7=$T$8,CENY!B396,CENY!B397)</f>
        <v>9257887</v>
      </c>
      <c r="C166" s="43" t="str">
        <f>VLOOKUP(B166,CENY!$B$11:$G$1054,2,FALSE)</f>
        <v>AvanY-stabiliz.čela k naskrutk./ v251</v>
      </c>
      <c r="D166" s="354">
        <f>VLOOKUP(B166,CENY!$B$11:$G$1054,3,FALSE)</f>
        <v>200</v>
      </c>
      <c r="E166" s="56" t="str">
        <f>IF(VLOOKUP(B166,CENY!$B$11:$G$1054,4,FALSE)=0,"",VLOOKUP(B166,CENY!$B$11:$G$1054,4,FALSE))</f>
        <v/>
      </c>
      <c r="F166" s="40" t="str">
        <f t="shared" si="40"/>
        <v/>
      </c>
      <c r="G166" s="52">
        <f>VLOOKUP(B166,CENY!$B$11:$M$1054,12,FALSE)</f>
        <v>0.49959999999999999</v>
      </c>
      <c r="H166" s="54" t="str">
        <f t="shared" si="42"/>
        <v xml:space="preserve"> EUR</v>
      </c>
      <c r="I166" s="41" t="str">
        <f t="shared" si="43"/>
        <v/>
      </c>
      <c r="J166" s="122"/>
      <c r="K166" s="42" t="str">
        <f>VLOOKUP(B166,CENY!$B$11:$M$1054,8,FALSE)</f>
        <v xml:space="preserve"> </v>
      </c>
      <c r="L166" s="42" t="str">
        <f>VLOOKUP(B166,CENY!$B$11:$M$1054,9,FALSE)</f>
        <v>396928</v>
      </c>
      <c r="M166" s="32"/>
      <c r="N166" s="35">
        <f t="shared" si="41"/>
        <v>0</v>
      </c>
      <c r="O166" s="36">
        <v>0</v>
      </c>
      <c r="P166" s="32"/>
      <c r="Q166" s="32"/>
      <c r="R166" s="32"/>
      <c r="S166" s="32"/>
      <c r="T166" s="32"/>
      <c r="U166" s="32"/>
      <c r="V166" s="325" t="str">
        <f>'AVT251'!AZ65</f>
        <v/>
      </c>
      <c r="W166" s="325">
        <f>'AVT251'!BI21</f>
        <v>0</v>
      </c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165"/>
      <c r="BP166" s="165"/>
      <c r="BQ166" s="165"/>
      <c r="BR166" s="165"/>
      <c r="BS166" s="165"/>
      <c r="BT166" s="165"/>
      <c r="BU166" s="165"/>
      <c r="BV166" s="55"/>
      <c r="BW166" s="160"/>
      <c r="BX166" s="32"/>
      <c r="BY166" s="24"/>
      <c r="BZ166" s="24"/>
      <c r="CA166" s="24"/>
      <c r="CB166" s="24"/>
      <c r="CC166" s="24"/>
      <c r="CD166" s="24"/>
      <c r="CE166" s="24"/>
    </row>
    <row r="167" spans="1:83" ht="8.1" hidden="1" customHeight="1">
      <c r="A167" s="4"/>
      <c r="B167" s="317"/>
      <c r="C167" s="43"/>
      <c r="D167" s="39"/>
      <c r="E167" s="56"/>
      <c r="F167" s="40"/>
      <c r="G167" s="52"/>
      <c r="H167" s="54"/>
      <c r="I167" s="41"/>
      <c r="J167" s="122"/>
      <c r="K167" s="42"/>
      <c r="L167" s="42"/>
      <c r="M167" s="32"/>
      <c r="N167" s="35"/>
      <c r="O167" s="36">
        <v>0</v>
      </c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165"/>
      <c r="BP167" s="165"/>
      <c r="BQ167" s="165"/>
      <c r="BR167" s="165"/>
      <c r="BS167" s="165"/>
      <c r="BT167" s="165"/>
      <c r="BU167" s="165"/>
      <c r="BV167" s="55"/>
      <c r="BW167" s="160"/>
      <c r="BX167" s="32"/>
      <c r="BY167" s="24"/>
      <c r="BZ167" s="24"/>
      <c r="CA167" s="24"/>
      <c r="CB167" s="24"/>
      <c r="CC167" s="24"/>
      <c r="CD167" s="24"/>
      <c r="CE167" s="24"/>
    </row>
    <row r="168" spans="1:83" ht="15" hidden="1" customHeight="1">
      <c r="A168" s="4"/>
      <c r="B168" s="317">
        <f>IF($Q$8=$Q$7,CENY!B399,IF($Q$7=$Q$9,CENY!B406,CENY!B413))</f>
        <v>9353283</v>
      </c>
      <c r="C168" s="43" t="str">
        <f>VLOOKUP(B168,CENY!$B$11:$G$1054,2,FALSE)</f>
        <v>AvanY-sólo boky Inlay-NW 187/350mm/strieb.</v>
      </c>
      <c r="D168" s="364">
        <f>VLOOKUP(B168,CENY!$B$11:$G$1054,3,FALSE)</f>
        <v>1</v>
      </c>
      <c r="E168" s="56" t="str">
        <f>IF(VLOOKUP(B168,CENY!$B$11:$G$1054,4,FALSE)=0,"",VLOOKUP(B168,CENY!$B$11:$G$1054,4,FALSE))</f>
        <v/>
      </c>
      <c r="F168" s="40" t="str">
        <f t="shared" ref="F168:F174" si="44">IF(J168&lt;&gt;"",J168,IF(N168=0,"",N168))</f>
        <v/>
      </c>
      <c r="G168" s="52">
        <f>VLOOKUP(B168,CENY!$B$11:$M$1054,12,FALSE)</f>
        <v>40.415970000000002</v>
      </c>
      <c r="H168" s="54" t="str">
        <f t="shared" si="42"/>
        <v xml:space="preserve"> EUR</v>
      </c>
      <c r="I168" s="41" t="str">
        <f t="shared" si="43"/>
        <v/>
      </c>
      <c r="J168" s="122"/>
      <c r="K168" s="42" t="str">
        <f>VLOOKUP(B168,CENY!$B$11:$M$1054,8,FALSE)</f>
        <v xml:space="preserve"> </v>
      </c>
      <c r="L168" s="42" t="str">
        <f>VLOOKUP(B168,CENY!$B$11:$M$1054,9,FALSE)</f>
        <v>530109</v>
      </c>
      <c r="M168" s="32"/>
      <c r="N168" s="35">
        <f t="shared" ref="N168:N174" si="45">SUM(P168:BW168)</f>
        <v>0</v>
      </c>
      <c r="O168" s="36">
        <v>0</v>
      </c>
      <c r="P168" s="32"/>
      <c r="Q168" s="32"/>
      <c r="R168" s="32"/>
      <c r="S168" s="32"/>
      <c r="T168" s="32"/>
      <c r="U168" s="32"/>
      <c r="V168" s="32"/>
      <c r="W168" s="32"/>
      <c r="X168" s="325">
        <f>AVT187In!AZ5</f>
        <v>0</v>
      </c>
      <c r="Y168" s="32"/>
      <c r="Z168" s="32"/>
      <c r="AA168" s="32"/>
      <c r="AB168" s="32"/>
      <c r="AC168" s="32"/>
      <c r="AD168" s="32"/>
      <c r="AE168" s="32"/>
      <c r="AF168" s="325">
        <f>'AVT187In(vn-A)'!AZ5</f>
        <v>0</v>
      </c>
      <c r="AG168" s="32"/>
      <c r="AH168" s="32"/>
      <c r="AI168" s="32"/>
      <c r="AJ168" s="325">
        <f>'AVT187In(vn-S)'!AZ5</f>
        <v>0</v>
      </c>
      <c r="AK168" s="32"/>
      <c r="AL168" s="32"/>
      <c r="AM168" s="32"/>
      <c r="AN168" s="32"/>
      <c r="AO168" s="32"/>
      <c r="AP168" s="32"/>
      <c r="AQ168" s="32"/>
      <c r="AR168" s="32"/>
      <c r="AS168" s="32"/>
      <c r="AT168" s="325">
        <f>'AVT-celny-2x187In'!AZ5</f>
        <v>0</v>
      </c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165"/>
      <c r="BP168" s="165"/>
      <c r="BQ168" s="165"/>
      <c r="BR168" s="165"/>
      <c r="BS168" s="165"/>
      <c r="BT168" s="165"/>
      <c r="BU168" s="165"/>
      <c r="BV168" s="55"/>
      <c r="BW168" s="160"/>
      <c r="BX168" s="32"/>
      <c r="BY168" s="24"/>
      <c r="BZ168" s="24"/>
      <c r="CA168" s="24"/>
      <c r="CB168" s="24"/>
      <c r="CC168" s="24"/>
      <c r="CD168" s="24"/>
      <c r="CE168" s="24"/>
    </row>
    <row r="169" spans="1:83" ht="15" hidden="1" customHeight="1">
      <c r="A169" s="4"/>
      <c r="B169" s="317">
        <f>IF($Q$8=$Q$7,CENY!B400,IF($Q$7=$Q$9,CENY!B407,CENY!B414))</f>
        <v>9353284</v>
      </c>
      <c r="C169" s="43" t="str">
        <f>VLOOKUP(B169,CENY!$B$11:$G$1054,2,FALSE)</f>
        <v>AvanY-sólo boky Inlay-NW 187/400mm/strieb.</v>
      </c>
      <c r="D169" s="364">
        <f>VLOOKUP(B169,CENY!$B$11:$G$1054,3,FALSE)</f>
        <v>1</v>
      </c>
      <c r="E169" s="56" t="str">
        <f>IF(VLOOKUP(B169,CENY!$B$11:$G$1054,4,FALSE)=0,"",VLOOKUP(B169,CENY!$B$11:$G$1054,4,FALSE))</f>
        <v/>
      </c>
      <c r="F169" s="40" t="str">
        <f t="shared" si="44"/>
        <v/>
      </c>
      <c r="G169" s="52">
        <f>VLOOKUP(B169,CENY!$B$11:$M$1054,12,FALSE)</f>
        <v>40.990609999999997</v>
      </c>
      <c r="H169" s="54" t="str">
        <f t="shared" si="42"/>
        <v xml:space="preserve"> EUR</v>
      </c>
      <c r="I169" s="41" t="str">
        <f t="shared" si="43"/>
        <v/>
      </c>
      <c r="J169" s="122"/>
      <c r="K169" s="42" t="str">
        <f>VLOOKUP(B169,CENY!$B$11:$M$1054,8,FALSE)</f>
        <v xml:space="preserve"> </v>
      </c>
      <c r="L169" s="42" t="str">
        <f>VLOOKUP(B169,CENY!$B$11:$M$1054,9,FALSE)</f>
        <v>530110</v>
      </c>
      <c r="M169" s="32"/>
      <c r="N169" s="35">
        <f t="shared" si="45"/>
        <v>0</v>
      </c>
      <c r="O169" s="36">
        <v>0</v>
      </c>
      <c r="P169" s="32"/>
      <c r="Q169" s="32"/>
      <c r="R169" s="32"/>
      <c r="S169" s="32"/>
      <c r="T169" s="32"/>
      <c r="U169" s="32"/>
      <c r="V169" s="32"/>
      <c r="W169" s="32"/>
      <c r="X169" s="325">
        <f>AVT187In!AZ6</f>
        <v>0</v>
      </c>
      <c r="Y169" s="32"/>
      <c r="Z169" s="32"/>
      <c r="AA169" s="32"/>
      <c r="AB169" s="32"/>
      <c r="AC169" s="32"/>
      <c r="AD169" s="32"/>
      <c r="AE169" s="32"/>
      <c r="AF169" s="325">
        <f>'AVT187In(vn-A)'!AZ6</f>
        <v>0</v>
      </c>
      <c r="AG169" s="32"/>
      <c r="AH169" s="32"/>
      <c r="AI169" s="32"/>
      <c r="AJ169" s="325">
        <f>'AVT187In(vn-S)'!AZ6</f>
        <v>0</v>
      </c>
      <c r="AK169" s="32"/>
      <c r="AL169" s="32"/>
      <c r="AM169" s="32"/>
      <c r="AN169" s="32"/>
      <c r="AO169" s="32"/>
      <c r="AP169" s="32"/>
      <c r="AQ169" s="32"/>
      <c r="AR169" s="32"/>
      <c r="AS169" s="32"/>
      <c r="AT169" s="325">
        <f>'AVT-celny-2x187In'!AZ6</f>
        <v>0</v>
      </c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165"/>
      <c r="BP169" s="165"/>
      <c r="BQ169" s="165"/>
      <c r="BR169" s="165"/>
      <c r="BS169" s="165"/>
      <c r="BT169" s="165"/>
      <c r="BU169" s="165"/>
      <c r="BV169" s="55"/>
      <c r="BW169" s="160"/>
      <c r="BX169" s="32"/>
      <c r="BY169" s="24"/>
      <c r="BZ169" s="24"/>
      <c r="CA169" s="24"/>
      <c r="CB169" s="24"/>
      <c r="CC169" s="24"/>
      <c r="CD169" s="24"/>
      <c r="CE169" s="24"/>
    </row>
    <row r="170" spans="1:83" ht="15" hidden="1" customHeight="1">
      <c r="A170" s="4"/>
      <c r="B170" s="317">
        <f>IF($Q$8=$Q$7,CENY!B401,IF($Q$7=$Q$9,CENY!B408,CENY!B415))</f>
        <v>9353285</v>
      </c>
      <c r="C170" s="43" t="str">
        <f>VLOOKUP(B170,CENY!$B$11:$G$1054,2,FALSE)</f>
        <v>AvanY-sólo boky Inlay-NW 187/450mm/strieb.</v>
      </c>
      <c r="D170" s="364">
        <f>VLOOKUP(B170,CENY!$B$11:$G$1054,3,FALSE)</f>
        <v>1</v>
      </c>
      <c r="E170" s="56" t="str">
        <f>IF(VLOOKUP(B170,CENY!$B$11:$G$1054,4,FALSE)=0,"",VLOOKUP(B170,CENY!$B$11:$G$1054,4,FALSE))</f>
        <v/>
      </c>
      <c r="F170" s="40" t="str">
        <f t="shared" si="44"/>
        <v/>
      </c>
      <c r="G170" s="52">
        <f>VLOOKUP(B170,CENY!$B$11:$M$1054,12,FALSE)</f>
        <v>39.585979999999999</v>
      </c>
      <c r="H170" s="54" t="str">
        <f t="shared" si="42"/>
        <v xml:space="preserve"> EUR</v>
      </c>
      <c r="I170" s="41" t="str">
        <f t="shared" si="43"/>
        <v/>
      </c>
      <c r="J170" s="122"/>
      <c r="K170" s="42" t="str">
        <f>VLOOKUP(B170,CENY!$B$11:$M$1054,8,FALSE)</f>
        <v xml:space="preserve"> </v>
      </c>
      <c r="L170" s="42" t="str">
        <f>VLOOKUP(B170,CENY!$B$11:$M$1054,9,FALSE)</f>
        <v>530111</v>
      </c>
      <c r="M170" s="32"/>
      <c r="N170" s="35">
        <f t="shared" si="45"/>
        <v>0</v>
      </c>
      <c r="O170" s="36">
        <v>0</v>
      </c>
      <c r="P170" s="32"/>
      <c r="Q170" s="32"/>
      <c r="R170" s="32"/>
      <c r="S170" s="32"/>
      <c r="T170" s="32"/>
      <c r="U170" s="32"/>
      <c r="V170" s="32"/>
      <c r="W170" s="32"/>
      <c r="X170" s="325">
        <f>AVT187In!AZ7</f>
        <v>0</v>
      </c>
      <c r="Y170" s="32"/>
      <c r="Z170" s="32"/>
      <c r="AA170" s="32"/>
      <c r="AB170" s="32"/>
      <c r="AC170" s="32"/>
      <c r="AD170" s="32"/>
      <c r="AE170" s="32"/>
      <c r="AF170" s="325">
        <f>'AVT187In(vn-A)'!AZ7</f>
        <v>0</v>
      </c>
      <c r="AG170" s="32"/>
      <c r="AH170" s="32"/>
      <c r="AI170" s="32"/>
      <c r="AJ170" s="325">
        <f>'AVT187In(vn-S)'!AZ7</f>
        <v>0</v>
      </c>
      <c r="AK170" s="32"/>
      <c r="AL170" s="32"/>
      <c r="AM170" s="32"/>
      <c r="AN170" s="32"/>
      <c r="AO170" s="32"/>
      <c r="AP170" s="32"/>
      <c r="AQ170" s="32"/>
      <c r="AR170" s="32"/>
      <c r="AS170" s="32"/>
      <c r="AT170" s="325">
        <f>'AVT-celny-2x187In'!AZ7</f>
        <v>0</v>
      </c>
      <c r="AU170" s="32"/>
      <c r="AV170" s="32"/>
      <c r="AW170" s="32"/>
      <c r="AX170" s="325">
        <f>'potr-v101+187-IL'!AZ15</f>
        <v>0</v>
      </c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165"/>
      <c r="BP170" s="165"/>
      <c r="BQ170" s="165"/>
      <c r="BR170" s="165"/>
      <c r="BS170" s="165"/>
      <c r="BT170" s="165"/>
      <c r="BU170" s="165"/>
      <c r="BV170" s="55"/>
      <c r="BW170" s="160"/>
      <c r="BX170" s="32"/>
      <c r="BY170" s="24"/>
      <c r="BZ170" s="24"/>
      <c r="CA170" s="24"/>
      <c r="CB170" s="24"/>
      <c r="CC170" s="24"/>
      <c r="CD170" s="24"/>
      <c r="CE170" s="24"/>
    </row>
    <row r="171" spans="1:83" ht="15" hidden="1" customHeight="1">
      <c r="A171" s="4"/>
      <c r="B171" s="317">
        <f>IF($Q$8=$Q$7,CENY!B402,IF($Q$7=$Q$9,CENY!B409,CENY!B416))</f>
        <v>9353286</v>
      </c>
      <c r="C171" s="43" t="str">
        <f>VLOOKUP(B171,CENY!$B$11:$G$1054,2,FALSE)</f>
        <v>AvanY-sólo boky Inlay-NW 187/500mm/strieb.</v>
      </c>
      <c r="D171" s="364">
        <f>VLOOKUP(B171,CENY!$B$11:$G$1054,3,FALSE)</f>
        <v>1</v>
      </c>
      <c r="E171" s="56" t="str">
        <f>IF(VLOOKUP(B171,CENY!$B$11:$G$1054,4,FALSE)=0,"",VLOOKUP(B171,CENY!$B$11:$G$1054,4,FALSE))</f>
        <v/>
      </c>
      <c r="F171" s="40" t="str">
        <f t="shared" si="44"/>
        <v/>
      </c>
      <c r="G171" s="52">
        <f>VLOOKUP(B171,CENY!$B$11:$M$1054,12,FALSE)</f>
        <v>40.13326</v>
      </c>
      <c r="H171" s="54" t="str">
        <f t="shared" si="42"/>
        <v xml:space="preserve"> EUR</v>
      </c>
      <c r="I171" s="41" t="str">
        <f t="shared" si="43"/>
        <v/>
      </c>
      <c r="J171" s="122"/>
      <c r="K171" s="42" t="str">
        <f>VLOOKUP(B171,CENY!$B$11:$M$1054,8,FALSE)</f>
        <v xml:space="preserve"> </v>
      </c>
      <c r="L171" s="42" t="str">
        <f>VLOOKUP(B171,CENY!$B$11:$M$1054,9,FALSE)</f>
        <v>530112</v>
      </c>
      <c r="M171" s="32"/>
      <c r="N171" s="35">
        <f t="shared" si="45"/>
        <v>0</v>
      </c>
      <c r="O171" s="36">
        <v>0</v>
      </c>
      <c r="P171" s="32"/>
      <c r="Q171" s="32"/>
      <c r="R171" s="32"/>
      <c r="S171" s="32"/>
      <c r="T171" s="32"/>
      <c r="U171" s="32"/>
      <c r="V171" s="32"/>
      <c r="W171" s="32"/>
      <c r="X171" s="325">
        <f>AVT187In!AZ8</f>
        <v>0</v>
      </c>
      <c r="Y171" s="32"/>
      <c r="Z171" s="32"/>
      <c r="AA171" s="32"/>
      <c r="AB171" s="32"/>
      <c r="AC171" s="32"/>
      <c r="AD171" s="32"/>
      <c r="AE171" s="32"/>
      <c r="AF171" s="325">
        <f>'AVT187In(vn-A)'!AZ8</f>
        <v>0</v>
      </c>
      <c r="AG171" s="32"/>
      <c r="AH171" s="32"/>
      <c r="AI171" s="32"/>
      <c r="AJ171" s="325">
        <f>'AVT187In(vn-S)'!AZ8</f>
        <v>0</v>
      </c>
      <c r="AK171" s="32"/>
      <c r="AL171" s="32"/>
      <c r="AM171" s="32"/>
      <c r="AN171" s="32"/>
      <c r="AO171" s="32"/>
      <c r="AP171" s="32"/>
      <c r="AQ171" s="32"/>
      <c r="AR171" s="32"/>
      <c r="AS171" s="32"/>
      <c r="AT171" s="325">
        <f>'AVT-celny-2x187In'!AZ8</f>
        <v>0</v>
      </c>
      <c r="AU171" s="32"/>
      <c r="AV171" s="32"/>
      <c r="AW171" s="32"/>
      <c r="AX171" s="325">
        <f>'potr-v101+187-IL'!AZ16</f>
        <v>0</v>
      </c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165"/>
      <c r="BP171" s="165"/>
      <c r="BQ171" s="165"/>
      <c r="BR171" s="165"/>
      <c r="BS171" s="165"/>
      <c r="BT171" s="165"/>
      <c r="BU171" s="165"/>
      <c r="BV171" s="55"/>
      <c r="BW171" s="160"/>
      <c r="BX171" s="32"/>
      <c r="BY171" s="24"/>
      <c r="BZ171" s="24"/>
      <c r="CA171" s="24"/>
      <c r="CB171" s="24"/>
      <c r="CC171" s="24"/>
      <c r="CD171" s="24"/>
      <c r="CE171" s="24"/>
    </row>
    <row r="172" spans="1:83" ht="15" hidden="1" customHeight="1">
      <c r="A172" s="4"/>
      <c r="B172" s="317">
        <f>IF($Q$8=$Q$7,CENY!B403,IF($Q$7=$Q$9,CENY!B410,CENY!B417))</f>
        <v>9353287</v>
      </c>
      <c r="C172" s="43" t="str">
        <f>VLOOKUP(B172,CENY!$B$11:$G$1054,2,FALSE)</f>
        <v>AvanY-sólo boky Inlay-NW 187/550mm/strieb.</v>
      </c>
      <c r="D172" s="364">
        <f>VLOOKUP(B172,CENY!$B$11:$G$1054,3,FALSE)</f>
        <v>1</v>
      </c>
      <c r="E172" s="56" t="str">
        <f>IF(VLOOKUP(B172,CENY!$B$11:$G$1054,4,FALSE)=0,"",VLOOKUP(B172,CENY!$B$11:$G$1054,4,FALSE))</f>
        <v/>
      </c>
      <c r="F172" s="40" t="str">
        <f t="shared" si="44"/>
        <v/>
      </c>
      <c r="G172" s="52">
        <f>VLOOKUP(B172,CENY!$B$11:$M$1054,12,FALSE)</f>
        <v>42.714669999999998</v>
      </c>
      <c r="H172" s="54" t="str">
        <f t="shared" si="42"/>
        <v xml:space="preserve"> EUR</v>
      </c>
      <c r="I172" s="41" t="str">
        <f t="shared" si="43"/>
        <v/>
      </c>
      <c r="J172" s="122"/>
      <c r="K172" s="42" t="str">
        <f>VLOOKUP(B172,CENY!$B$11:$M$1054,8,FALSE)</f>
        <v xml:space="preserve"> </v>
      </c>
      <c r="L172" s="42" t="str">
        <f>VLOOKUP(B172,CENY!$B$11:$M$1054,9,FALSE)</f>
        <v>530113</v>
      </c>
      <c r="M172" s="32"/>
      <c r="N172" s="35">
        <f t="shared" si="45"/>
        <v>0</v>
      </c>
      <c r="O172" s="36">
        <v>0</v>
      </c>
      <c r="P172" s="32"/>
      <c r="Q172" s="32"/>
      <c r="R172" s="32"/>
      <c r="S172" s="32"/>
      <c r="T172" s="32"/>
      <c r="U172" s="32"/>
      <c r="V172" s="32"/>
      <c r="W172" s="32"/>
      <c r="X172" s="325">
        <f>AVT187In!AZ9</f>
        <v>0</v>
      </c>
      <c r="Y172" s="32"/>
      <c r="Z172" s="32"/>
      <c r="AA172" s="32"/>
      <c r="AB172" s="32"/>
      <c r="AC172" s="32"/>
      <c r="AD172" s="32"/>
      <c r="AE172" s="32"/>
      <c r="AF172" s="325">
        <f>'AVT187In(vn-A)'!AZ9</f>
        <v>0</v>
      </c>
      <c r="AG172" s="32"/>
      <c r="AH172" s="32"/>
      <c r="AI172" s="32"/>
      <c r="AJ172" s="325">
        <f>'AVT187In(vn-S)'!AZ9</f>
        <v>0</v>
      </c>
      <c r="AK172" s="32"/>
      <c r="AL172" s="32"/>
      <c r="AM172" s="32"/>
      <c r="AN172" s="32"/>
      <c r="AO172" s="32"/>
      <c r="AP172" s="32"/>
      <c r="AQ172" s="32"/>
      <c r="AR172" s="32"/>
      <c r="AS172" s="32"/>
      <c r="AT172" s="325">
        <f>'AVT-celny-2x187In'!AZ9</f>
        <v>0</v>
      </c>
      <c r="AU172" s="32"/>
      <c r="AV172" s="32"/>
      <c r="AW172" s="32"/>
      <c r="AX172" s="325">
        <f>'potr-v101+187-IL'!AZ17</f>
        <v>0</v>
      </c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165"/>
      <c r="BP172" s="165"/>
      <c r="BQ172" s="165"/>
      <c r="BR172" s="165"/>
      <c r="BS172" s="165"/>
      <c r="BT172" s="165"/>
      <c r="BU172" s="165"/>
      <c r="BV172" s="55"/>
      <c r="BW172" s="160"/>
      <c r="BX172" s="32"/>
      <c r="BY172" s="24"/>
      <c r="BZ172" s="24"/>
      <c r="CA172" s="24"/>
      <c r="CB172" s="24"/>
      <c r="CC172" s="24"/>
      <c r="CD172" s="24"/>
      <c r="CE172" s="24"/>
    </row>
    <row r="173" spans="1:83" ht="15" hidden="1" customHeight="1">
      <c r="A173" s="4"/>
      <c r="B173" s="317">
        <f>IF($Q$8=$Q$7,CENY!B404,IF($Q$7=$Q$9,CENY!B411,CENY!B418))</f>
        <v>9353288</v>
      </c>
      <c r="C173" s="43" t="str">
        <f>VLOOKUP(B173,CENY!$B$11:$G$1054,2,FALSE)</f>
        <v>AvanY-sólo boky Inlay-NW 187/600mm/strieb.</v>
      </c>
      <c r="D173" s="364">
        <f>VLOOKUP(B173,CENY!$B$11:$G$1054,3,FALSE)</f>
        <v>1</v>
      </c>
      <c r="E173" s="56" t="str">
        <f>IF(VLOOKUP(B173,CENY!$B$11:$G$1054,4,FALSE)=0,"",VLOOKUP(B173,CENY!$B$11:$G$1054,4,FALSE))</f>
        <v/>
      </c>
      <c r="F173" s="40" t="str">
        <f t="shared" si="44"/>
        <v/>
      </c>
      <c r="G173" s="52">
        <f>VLOOKUP(B173,CENY!$B$11:$M$1054,12,FALSE)</f>
        <v>43.581359999999997</v>
      </c>
      <c r="H173" s="54" t="str">
        <f t="shared" si="42"/>
        <v xml:space="preserve"> EUR</v>
      </c>
      <c r="I173" s="41" t="str">
        <f t="shared" si="43"/>
        <v/>
      </c>
      <c r="J173" s="122"/>
      <c r="K173" s="42" t="str">
        <f>VLOOKUP(B173,CENY!$B$11:$M$1054,8,FALSE)</f>
        <v xml:space="preserve"> </v>
      </c>
      <c r="L173" s="42" t="str">
        <f>VLOOKUP(B173,CENY!$B$11:$M$1054,9,FALSE)</f>
        <v>530114</v>
      </c>
      <c r="M173" s="32"/>
      <c r="N173" s="35">
        <f t="shared" si="45"/>
        <v>0</v>
      </c>
      <c r="O173" s="36">
        <v>0</v>
      </c>
      <c r="P173" s="32"/>
      <c r="Q173" s="32"/>
      <c r="R173" s="32"/>
      <c r="S173" s="32"/>
      <c r="T173" s="32"/>
      <c r="U173" s="32"/>
      <c r="V173" s="32"/>
      <c r="W173" s="32"/>
      <c r="X173" s="325">
        <f>AVT187In!AZ10</f>
        <v>0</v>
      </c>
      <c r="Y173" s="32"/>
      <c r="Z173" s="32"/>
      <c r="AA173" s="32"/>
      <c r="AB173" s="32"/>
      <c r="AC173" s="32"/>
      <c r="AD173" s="32"/>
      <c r="AE173" s="32"/>
      <c r="AF173" s="325">
        <f>'AVT187In(vn-A)'!AZ10</f>
        <v>0</v>
      </c>
      <c r="AG173" s="32"/>
      <c r="AH173" s="32"/>
      <c r="AI173" s="32"/>
      <c r="AJ173" s="325">
        <f>'AVT187In(vn-S)'!AZ10</f>
        <v>0</v>
      </c>
      <c r="AK173" s="32"/>
      <c r="AL173" s="32"/>
      <c r="AM173" s="32"/>
      <c r="AN173" s="32"/>
      <c r="AO173" s="32"/>
      <c r="AP173" s="32"/>
      <c r="AQ173" s="32"/>
      <c r="AR173" s="32"/>
      <c r="AS173" s="32"/>
      <c r="AT173" s="325">
        <f>'AVT-celny-2x187In'!AZ10</f>
        <v>0</v>
      </c>
      <c r="AU173" s="32"/>
      <c r="AV173" s="32"/>
      <c r="AW173" s="32"/>
      <c r="AX173" s="325">
        <f>'potr-v101+187-IL'!AZ18</f>
        <v>0</v>
      </c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165"/>
      <c r="BP173" s="165"/>
      <c r="BQ173" s="165"/>
      <c r="BR173" s="165"/>
      <c r="BS173" s="165"/>
      <c r="BT173" s="165"/>
      <c r="BU173" s="165"/>
      <c r="BV173" s="55"/>
      <c r="BW173" s="160"/>
      <c r="BX173" s="32"/>
      <c r="BY173" s="24"/>
      <c r="BZ173" s="24"/>
      <c r="CA173" s="24"/>
      <c r="CB173" s="24"/>
      <c r="CC173" s="24"/>
      <c r="CD173" s="24"/>
      <c r="CE173" s="24"/>
    </row>
    <row r="174" spans="1:83" ht="15" hidden="1" customHeight="1">
      <c r="A174" s="4"/>
      <c r="B174" s="317">
        <f>IF($Q$8=$Q$7,CENY!B405,IF($Q$7=$Q$9,CENY!B412,CENY!B419))</f>
        <v>9353289</v>
      </c>
      <c r="C174" s="43" t="str">
        <f>VLOOKUP(B174,CENY!$B$11:$G$1054,2,FALSE)</f>
        <v>AvanY-sólo boky Inlay-NW 187/650mm/strieb.</v>
      </c>
      <c r="D174" s="364">
        <f>VLOOKUP(B174,CENY!$B$11:$G$1054,3,FALSE)</f>
        <v>1</v>
      </c>
      <c r="E174" s="56" t="str">
        <f>IF(VLOOKUP(B174,CENY!$B$11:$G$1054,4,FALSE)=0,"",VLOOKUP(B174,CENY!$B$11:$G$1054,4,FALSE))</f>
        <v/>
      </c>
      <c r="F174" s="40" t="str">
        <f t="shared" si="44"/>
        <v/>
      </c>
      <c r="G174" s="52">
        <f>VLOOKUP(B174,CENY!$B$11:$M$1054,12,FALSE)</f>
        <v>44.76003</v>
      </c>
      <c r="H174" s="54" t="str">
        <f t="shared" si="42"/>
        <v xml:space="preserve"> EUR</v>
      </c>
      <c r="I174" s="41" t="str">
        <f t="shared" si="43"/>
        <v/>
      </c>
      <c r="J174" s="122"/>
      <c r="K174" s="42" t="str">
        <f>VLOOKUP(B174,CENY!$B$11:$M$1054,8,FALSE)</f>
        <v xml:space="preserve"> </v>
      </c>
      <c r="L174" s="42" t="str">
        <f>VLOOKUP(B174,CENY!$B$11:$M$1054,9,FALSE)</f>
        <v>530115</v>
      </c>
      <c r="M174" s="32"/>
      <c r="N174" s="35">
        <f t="shared" si="45"/>
        <v>0</v>
      </c>
      <c r="O174" s="36">
        <v>0</v>
      </c>
      <c r="P174" s="32"/>
      <c r="Q174" s="32"/>
      <c r="R174" s="32"/>
      <c r="S174" s="32"/>
      <c r="T174" s="32"/>
      <c r="U174" s="32"/>
      <c r="V174" s="32"/>
      <c r="W174" s="32"/>
      <c r="X174" s="325">
        <f>AVT187In!AZ11</f>
        <v>0</v>
      </c>
      <c r="Y174" s="32"/>
      <c r="Z174" s="32"/>
      <c r="AA174" s="32"/>
      <c r="AB174" s="32"/>
      <c r="AC174" s="32"/>
      <c r="AD174" s="32"/>
      <c r="AE174" s="32"/>
      <c r="AF174" s="325">
        <f>'AVT187In(vn-A)'!AZ11</f>
        <v>0</v>
      </c>
      <c r="AG174" s="32"/>
      <c r="AH174" s="32"/>
      <c r="AI174" s="32"/>
      <c r="AJ174" s="325">
        <f>'AVT187In(vn-S)'!AZ11</f>
        <v>0</v>
      </c>
      <c r="AK174" s="32"/>
      <c r="AL174" s="32"/>
      <c r="AM174" s="32"/>
      <c r="AN174" s="32"/>
      <c r="AO174" s="32"/>
      <c r="AP174" s="32"/>
      <c r="AQ174" s="32"/>
      <c r="AR174" s="32"/>
      <c r="AS174" s="32"/>
      <c r="AT174" s="325">
        <f>'AVT-celny-2x187In'!AZ11</f>
        <v>0</v>
      </c>
      <c r="AU174" s="32"/>
      <c r="AV174" s="32"/>
      <c r="AW174" s="32"/>
      <c r="AX174" s="325">
        <f>'potr-v101+187-IL'!AZ19</f>
        <v>0</v>
      </c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165"/>
      <c r="BP174" s="165"/>
      <c r="BQ174" s="165"/>
      <c r="BR174" s="165"/>
      <c r="BS174" s="165"/>
      <c r="BT174" s="165"/>
      <c r="BU174" s="165"/>
      <c r="BV174" s="55"/>
      <c r="BW174" s="160"/>
      <c r="BX174" s="32"/>
      <c r="BY174" s="24"/>
      <c r="BZ174" s="24"/>
      <c r="CA174" s="24"/>
      <c r="CB174" s="24"/>
      <c r="CC174" s="24"/>
      <c r="CD174" s="24"/>
      <c r="CE174" s="24"/>
    </row>
    <row r="175" spans="1:83" ht="8.1" hidden="1" customHeight="1">
      <c r="A175" s="4"/>
      <c r="B175" s="317"/>
      <c r="C175" s="43"/>
      <c r="D175" s="39"/>
      <c r="E175" s="56"/>
      <c r="F175" s="40"/>
      <c r="G175" s="52"/>
      <c r="H175" s="54"/>
      <c r="I175" s="41"/>
      <c r="J175" s="122"/>
      <c r="K175" s="42"/>
      <c r="L175" s="42"/>
      <c r="M175" s="32"/>
      <c r="N175" s="35"/>
      <c r="O175" s="36">
        <v>0</v>
      </c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165"/>
      <c r="BP175" s="165"/>
      <c r="BQ175" s="165"/>
      <c r="BR175" s="165"/>
      <c r="BS175" s="165"/>
      <c r="BT175" s="165"/>
      <c r="BU175" s="165"/>
      <c r="BV175" s="55"/>
      <c r="BW175" s="160"/>
      <c r="BX175" s="32"/>
      <c r="BY175" s="24"/>
      <c r="BZ175" s="24"/>
      <c r="CA175" s="24"/>
      <c r="CB175" s="24"/>
      <c r="CC175" s="24"/>
      <c r="CD175" s="24"/>
      <c r="CE175" s="24"/>
    </row>
    <row r="176" spans="1:83" ht="15" hidden="1" customHeight="1">
      <c r="A176" s="4"/>
      <c r="B176" s="317">
        <f>IF($Q$8=$Q$7,CENY!B420,IF($Q$7=$Q$9,CENY!B434,CENY!B448))</f>
        <v>9257131</v>
      </c>
      <c r="C176" s="43" t="str">
        <f>VLOOKUP(B176,CENY!$B$11:$G$1054,2,FALSE)</f>
        <v>AvanY-bok Inlay ľavý /v187/h350/ strieb.</v>
      </c>
      <c r="D176" s="353">
        <f>VLOOKUP(B176,CENY!$B$11:$G$1054,3,FALSE)</f>
        <v>10</v>
      </c>
      <c r="E176" s="56" t="str">
        <f>IF(VLOOKUP(B176,CENY!$B$11:$G$1054,4,FALSE)=0,"",VLOOKUP(B176,CENY!$B$11:$G$1054,4,FALSE))</f>
        <v/>
      </c>
      <c r="F176" s="40" t="str">
        <f t="shared" ref="F176:F189" si="46">IF(J176&lt;&gt;"",J176,IF(N176=0,"",N176))</f>
        <v/>
      </c>
      <c r="G176" s="52">
        <f>VLOOKUP(B176,CENY!$B$11:$M$1054,12,FALSE)</f>
        <v>18.284949999999998</v>
      </c>
      <c r="H176" s="54" t="str">
        <f t="shared" si="42"/>
        <v xml:space="preserve"> EUR</v>
      </c>
      <c r="I176" s="41" t="str">
        <f t="shared" si="43"/>
        <v/>
      </c>
      <c r="J176" s="122"/>
      <c r="K176" s="42" t="str">
        <f>VLOOKUP(B176,CENY!$B$11:$M$1054,8,FALSE)</f>
        <v xml:space="preserve"> </v>
      </c>
      <c r="L176" s="42" t="str">
        <f>VLOOKUP(B176,CENY!$B$11:$M$1054,9,FALSE)</f>
        <v>396951</v>
      </c>
      <c r="M176" s="32"/>
      <c r="N176" s="35">
        <f t="shared" ref="N176:N192" si="47">SUM(P176:BW176)</f>
        <v>0</v>
      </c>
      <c r="O176" s="36">
        <v>0</v>
      </c>
      <c r="P176" s="32"/>
      <c r="Q176" s="32"/>
      <c r="R176" s="32"/>
      <c r="S176" s="32"/>
      <c r="T176" s="32"/>
      <c r="U176" s="32"/>
      <c r="V176" s="32"/>
      <c r="W176" s="32"/>
      <c r="X176" s="32"/>
      <c r="Y176" s="325">
        <f>AVT187In!BI5</f>
        <v>0</v>
      </c>
      <c r="Z176" s="32"/>
      <c r="AA176" s="32"/>
      <c r="AB176" s="32"/>
      <c r="AC176" s="32"/>
      <c r="AD176" s="32"/>
      <c r="AE176" s="32"/>
      <c r="AF176" s="32"/>
      <c r="AG176" s="325">
        <f>'AVT187In(vn-A)'!BI5</f>
        <v>0</v>
      </c>
      <c r="AH176" s="32"/>
      <c r="AI176" s="32"/>
      <c r="AJ176" s="32"/>
      <c r="AK176" s="325">
        <f>'AVT187In(vn-S)'!BI5</f>
        <v>0</v>
      </c>
      <c r="AL176" s="32"/>
      <c r="AM176" s="32"/>
      <c r="AN176" s="32"/>
      <c r="AO176" s="32"/>
      <c r="AP176" s="32"/>
      <c r="AQ176" s="32"/>
      <c r="AR176" s="32"/>
      <c r="AS176" s="32"/>
      <c r="AT176" s="32"/>
      <c r="AU176" s="325">
        <f>'AVT-celny-2x187In'!BI5</f>
        <v>0</v>
      </c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165"/>
      <c r="BP176" s="165"/>
      <c r="BQ176" s="165"/>
      <c r="BR176" s="165"/>
      <c r="BS176" s="165"/>
      <c r="BT176" s="165"/>
      <c r="BU176" s="165"/>
      <c r="BV176" s="55"/>
      <c r="BW176" s="160"/>
      <c r="BX176" s="32"/>
      <c r="BY176" s="24"/>
      <c r="BZ176" s="24"/>
      <c r="CA176" s="24"/>
      <c r="CB176" s="24"/>
      <c r="CC176" s="24"/>
      <c r="CD176" s="24"/>
      <c r="CE176" s="24"/>
    </row>
    <row r="177" spans="1:83" ht="15" hidden="1" customHeight="1">
      <c r="A177" s="4"/>
      <c r="B177" s="317">
        <f>IF($Q$8=$Q$7,CENY!B421,IF($Q$7=$Q$9,CENY!B435,CENY!B449))</f>
        <v>9257132</v>
      </c>
      <c r="C177" s="43" t="str">
        <f>VLOOKUP(B177,CENY!$B$11:$G$1054,2,FALSE)</f>
        <v>AvanY-bok Inlay pravý /v187/h350/ strieb.</v>
      </c>
      <c r="D177" s="353">
        <f>VLOOKUP(B177,CENY!$B$11:$G$1054,3,FALSE)</f>
        <v>10</v>
      </c>
      <c r="E177" s="56" t="str">
        <f>IF(VLOOKUP(B177,CENY!$B$11:$G$1054,4,FALSE)=0,"",VLOOKUP(B177,CENY!$B$11:$G$1054,4,FALSE))</f>
        <v/>
      </c>
      <c r="F177" s="40" t="str">
        <f t="shared" si="46"/>
        <v/>
      </c>
      <c r="G177" s="52">
        <f>VLOOKUP(B177,CENY!$B$11:$M$1054,12,FALSE)</f>
        <v>18.284949999999998</v>
      </c>
      <c r="H177" s="54" t="str">
        <f t="shared" si="42"/>
        <v xml:space="preserve"> EUR</v>
      </c>
      <c r="I177" s="41" t="str">
        <f t="shared" si="43"/>
        <v/>
      </c>
      <c r="J177" s="122"/>
      <c r="K177" s="42" t="str">
        <f>VLOOKUP(B177,CENY!$B$11:$M$1054,8,FALSE)</f>
        <v xml:space="preserve"> </v>
      </c>
      <c r="L177" s="42" t="str">
        <f>VLOOKUP(B177,CENY!$B$11:$M$1054,9,FALSE)</f>
        <v>396952</v>
      </c>
      <c r="M177" s="32"/>
      <c r="N177" s="35">
        <f t="shared" si="47"/>
        <v>0</v>
      </c>
      <c r="O177" s="36">
        <v>0</v>
      </c>
      <c r="P177" s="32"/>
      <c r="Q177" s="32"/>
      <c r="R177" s="32"/>
      <c r="S177" s="32"/>
      <c r="T177" s="32"/>
      <c r="U177" s="32"/>
      <c r="V177" s="32"/>
      <c r="W177" s="32"/>
      <c r="X177" s="32"/>
      <c r="Y177" s="325">
        <f>AVT187In!BI6</f>
        <v>0</v>
      </c>
      <c r="Z177" s="32"/>
      <c r="AA177" s="32"/>
      <c r="AB177" s="32"/>
      <c r="AC177" s="32"/>
      <c r="AD177" s="32"/>
      <c r="AE177" s="32"/>
      <c r="AF177" s="32"/>
      <c r="AG177" s="325">
        <f>'AVT187In(vn-A)'!BI6</f>
        <v>0</v>
      </c>
      <c r="AH177" s="32"/>
      <c r="AI177" s="32"/>
      <c r="AJ177" s="32"/>
      <c r="AK177" s="325">
        <f>'AVT187In(vn-S)'!BI6</f>
        <v>0</v>
      </c>
      <c r="AL177" s="32"/>
      <c r="AM177" s="32"/>
      <c r="AN177" s="32"/>
      <c r="AO177" s="32"/>
      <c r="AP177" s="32"/>
      <c r="AQ177" s="32"/>
      <c r="AR177" s="32"/>
      <c r="AS177" s="32"/>
      <c r="AT177" s="32"/>
      <c r="AU177" s="325">
        <f>'AVT-celny-2x187In'!BI6</f>
        <v>0</v>
      </c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165"/>
      <c r="BP177" s="165"/>
      <c r="BQ177" s="165"/>
      <c r="BR177" s="165"/>
      <c r="BS177" s="165"/>
      <c r="BT177" s="165"/>
      <c r="BU177" s="165"/>
      <c r="BV177" s="55"/>
      <c r="BW177" s="160"/>
      <c r="BX177" s="32"/>
      <c r="BY177" s="24"/>
      <c r="BZ177" s="24"/>
      <c r="CA177" s="24"/>
      <c r="CB177" s="24"/>
      <c r="CC177" s="24"/>
      <c r="CD177" s="24"/>
      <c r="CE177" s="24"/>
    </row>
    <row r="178" spans="1:83" ht="15" hidden="1" customHeight="1">
      <c r="A178" s="4"/>
      <c r="B178" s="317">
        <f>IF($Q$8=$Q$7,CENY!B422,IF($Q$7=$Q$9,CENY!B436,CENY!B450))</f>
        <v>9257133</v>
      </c>
      <c r="C178" s="43" t="str">
        <f>VLOOKUP(B178,CENY!$B$11:$G$1054,2,FALSE)</f>
        <v>AvanY-bok Inlay ľavý /v187/h400/ strieb.</v>
      </c>
      <c r="D178" s="353">
        <f>VLOOKUP(B178,CENY!$B$11:$G$1054,3,FALSE)</f>
        <v>10</v>
      </c>
      <c r="E178" s="56" t="str">
        <f>IF(VLOOKUP(B178,CENY!$B$11:$G$1054,4,FALSE)=0,"",VLOOKUP(B178,CENY!$B$11:$G$1054,4,FALSE))</f>
        <v/>
      </c>
      <c r="F178" s="40" t="str">
        <f t="shared" si="46"/>
        <v/>
      </c>
      <c r="G178" s="52">
        <f>VLOOKUP(B178,CENY!$B$11:$M$1054,12,FALSE)</f>
        <v>18.615220000000001</v>
      </c>
      <c r="H178" s="54" t="str">
        <f t="shared" si="42"/>
        <v xml:space="preserve"> EUR</v>
      </c>
      <c r="I178" s="41" t="str">
        <f t="shared" si="43"/>
        <v/>
      </c>
      <c r="J178" s="122"/>
      <c r="K178" s="42" t="str">
        <f>VLOOKUP(B178,CENY!$B$11:$M$1054,8,FALSE)</f>
        <v xml:space="preserve"> </v>
      </c>
      <c r="L178" s="42" t="str">
        <f>VLOOKUP(B178,CENY!$B$11:$M$1054,9,FALSE)</f>
        <v>396953</v>
      </c>
      <c r="M178" s="32"/>
      <c r="N178" s="35">
        <f t="shared" si="47"/>
        <v>0</v>
      </c>
      <c r="O178" s="36">
        <v>0</v>
      </c>
      <c r="P178" s="32"/>
      <c r="Q178" s="32"/>
      <c r="R178" s="32"/>
      <c r="S178" s="32"/>
      <c r="T178" s="32"/>
      <c r="U178" s="32"/>
      <c r="V178" s="32"/>
      <c r="W178" s="32"/>
      <c r="X178" s="32"/>
      <c r="Y178" s="325">
        <f>AVT187In!BI7</f>
        <v>0</v>
      </c>
      <c r="Z178" s="32"/>
      <c r="AA178" s="32"/>
      <c r="AB178" s="32"/>
      <c r="AC178" s="32"/>
      <c r="AD178" s="32"/>
      <c r="AE178" s="32"/>
      <c r="AF178" s="32"/>
      <c r="AG178" s="325">
        <f>'AVT187In(vn-A)'!BI7</f>
        <v>0</v>
      </c>
      <c r="AH178" s="32"/>
      <c r="AI178" s="32"/>
      <c r="AJ178" s="32"/>
      <c r="AK178" s="325">
        <f>'AVT187In(vn-S)'!BI7</f>
        <v>0</v>
      </c>
      <c r="AL178" s="32"/>
      <c r="AM178" s="32"/>
      <c r="AN178" s="32"/>
      <c r="AO178" s="32"/>
      <c r="AP178" s="32"/>
      <c r="AQ178" s="32"/>
      <c r="AR178" s="32"/>
      <c r="AS178" s="32"/>
      <c r="AT178" s="32"/>
      <c r="AU178" s="325">
        <f>'AVT-celny-2x187In'!BI7</f>
        <v>0</v>
      </c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165"/>
      <c r="BP178" s="165"/>
      <c r="BQ178" s="165"/>
      <c r="BR178" s="165"/>
      <c r="BS178" s="165"/>
      <c r="BT178" s="165"/>
      <c r="BU178" s="165"/>
      <c r="BV178" s="55"/>
      <c r="BW178" s="160"/>
      <c r="BX178" s="32"/>
      <c r="BY178" s="24"/>
      <c r="BZ178" s="24"/>
      <c r="CA178" s="24"/>
      <c r="CB178" s="24"/>
      <c r="CC178" s="24"/>
      <c r="CD178" s="24"/>
      <c r="CE178" s="24"/>
    </row>
    <row r="179" spans="1:83" ht="15" hidden="1" customHeight="1">
      <c r="A179" s="4"/>
      <c r="B179" s="317">
        <f>IF($Q$8=$Q$7,CENY!B423,IF($Q$7=$Q$9,CENY!B437,CENY!B451))</f>
        <v>9257134</v>
      </c>
      <c r="C179" s="43" t="str">
        <f>VLOOKUP(B179,CENY!$B$11:$G$1054,2,FALSE)</f>
        <v>AvanY-bok Inlay pravý /v187/h400/ strieb.</v>
      </c>
      <c r="D179" s="353">
        <f>VLOOKUP(B179,CENY!$B$11:$G$1054,3,FALSE)</f>
        <v>10</v>
      </c>
      <c r="E179" s="56" t="str">
        <f>IF(VLOOKUP(B179,CENY!$B$11:$G$1054,4,FALSE)=0,"",VLOOKUP(B179,CENY!$B$11:$G$1054,4,FALSE))</f>
        <v/>
      </c>
      <c r="F179" s="40" t="str">
        <f t="shared" si="46"/>
        <v/>
      </c>
      <c r="G179" s="52">
        <f>VLOOKUP(B179,CENY!$B$11:$M$1054,12,FALSE)</f>
        <v>18.615220000000001</v>
      </c>
      <c r="H179" s="54" t="str">
        <f t="shared" si="42"/>
        <v xml:space="preserve"> EUR</v>
      </c>
      <c r="I179" s="41" t="str">
        <f t="shared" si="43"/>
        <v/>
      </c>
      <c r="J179" s="122"/>
      <c r="K179" s="42" t="str">
        <f>VLOOKUP(B179,CENY!$B$11:$M$1054,8,FALSE)</f>
        <v xml:space="preserve"> </v>
      </c>
      <c r="L179" s="42" t="str">
        <f>VLOOKUP(B179,CENY!$B$11:$M$1054,9,FALSE)</f>
        <v>396954</v>
      </c>
      <c r="M179" s="32"/>
      <c r="N179" s="35">
        <f t="shared" si="47"/>
        <v>0</v>
      </c>
      <c r="O179" s="36">
        <v>0</v>
      </c>
      <c r="P179" s="32"/>
      <c r="Q179" s="32"/>
      <c r="R179" s="32"/>
      <c r="S179" s="32"/>
      <c r="T179" s="32"/>
      <c r="U179" s="32"/>
      <c r="V179" s="32"/>
      <c r="W179" s="32"/>
      <c r="X179" s="32"/>
      <c r="Y179" s="325">
        <f>AVT187In!BI8</f>
        <v>0</v>
      </c>
      <c r="Z179" s="32"/>
      <c r="AA179" s="32"/>
      <c r="AB179" s="32"/>
      <c r="AC179" s="32"/>
      <c r="AD179" s="32"/>
      <c r="AE179" s="32"/>
      <c r="AF179" s="32"/>
      <c r="AG179" s="325">
        <f>'AVT187In(vn-A)'!BI8</f>
        <v>0</v>
      </c>
      <c r="AH179" s="32"/>
      <c r="AI179" s="32"/>
      <c r="AJ179" s="32"/>
      <c r="AK179" s="325">
        <f>'AVT187In(vn-S)'!BI8</f>
        <v>0</v>
      </c>
      <c r="AL179" s="32"/>
      <c r="AM179" s="32"/>
      <c r="AN179" s="32"/>
      <c r="AO179" s="32"/>
      <c r="AP179" s="32"/>
      <c r="AQ179" s="32"/>
      <c r="AR179" s="32"/>
      <c r="AS179" s="32"/>
      <c r="AT179" s="32"/>
      <c r="AU179" s="325">
        <f>'AVT-celny-2x187In'!BI8</f>
        <v>0</v>
      </c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165"/>
      <c r="BP179" s="165"/>
      <c r="BQ179" s="165"/>
      <c r="BR179" s="165"/>
      <c r="BS179" s="165"/>
      <c r="BT179" s="165"/>
      <c r="BU179" s="165"/>
      <c r="BV179" s="55"/>
      <c r="BW179" s="160"/>
      <c r="BX179" s="32"/>
      <c r="BY179" s="24"/>
      <c r="BZ179" s="24"/>
      <c r="CA179" s="24"/>
      <c r="CB179" s="24"/>
      <c r="CC179" s="24"/>
      <c r="CD179" s="24"/>
      <c r="CE179" s="24"/>
    </row>
    <row r="180" spans="1:83" ht="15" hidden="1" customHeight="1">
      <c r="A180" s="4"/>
      <c r="B180" s="317">
        <f>IF($Q$8=$Q$7,CENY!B424,IF($Q$7=$Q$9,CENY!B438,CENY!B452))</f>
        <v>9257135</v>
      </c>
      <c r="C180" s="43" t="str">
        <f>VLOOKUP(B180,CENY!$B$11:$G$1054,2,FALSE)</f>
        <v>AvanY-bok Inlay ľavý /v187/h450/ strieb.</v>
      </c>
      <c r="D180" s="353">
        <f>VLOOKUP(B180,CENY!$B$11:$G$1054,3,FALSE)</f>
        <v>10</v>
      </c>
      <c r="E180" s="56" t="str">
        <f>IF(VLOOKUP(B180,CENY!$B$11:$G$1054,4,FALSE)=0,"",VLOOKUP(B180,CENY!$B$11:$G$1054,4,FALSE))</f>
        <v/>
      </c>
      <c r="F180" s="40" t="str">
        <f t="shared" si="46"/>
        <v/>
      </c>
      <c r="G180" s="52">
        <f>VLOOKUP(B180,CENY!$B$11:$M$1054,12,FALSE)</f>
        <v>18.945989999999998</v>
      </c>
      <c r="H180" s="54" t="str">
        <f t="shared" si="42"/>
        <v xml:space="preserve"> EUR</v>
      </c>
      <c r="I180" s="41" t="str">
        <f t="shared" si="43"/>
        <v/>
      </c>
      <c r="J180" s="122"/>
      <c r="K180" s="42" t="str">
        <f>VLOOKUP(B180,CENY!$B$11:$M$1054,8,FALSE)</f>
        <v xml:space="preserve"> </v>
      </c>
      <c r="L180" s="42" t="str">
        <f>VLOOKUP(B180,CENY!$B$11:$M$1054,9,FALSE)</f>
        <v>396955</v>
      </c>
      <c r="M180" s="32"/>
      <c r="N180" s="35">
        <f t="shared" si="47"/>
        <v>0</v>
      </c>
      <c r="O180" s="36">
        <v>0</v>
      </c>
      <c r="P180" s="32"/>
      <c r="Q180" s="32"/>
      <c r="R180" s="32"/>
      <c r="S180" s="32"/>
      <c r="T180" s="32"/>
      <c r="U180" s="32"/>
      <c r="V180" s="32"/>
      <c r="W180" s="32"/>
      <c r="X180" s="32"/>
      <c r="Y180" s="325">
        <f>AVT187In!BI9</f>
        <v>0</v>
      </c>
      <c r="Z180" s="32"/>
      <c r="AA180" s="32"/>
      <c r="AB180" s="32"/>
      <c r="AC180" s="32"/>
      <c r="AD180" s="32"/>
      <c r="AE180" s="32"/>
      <c r="AF180" s="32"/>
      <c r="AG180" s="325">
        <f>'AVT187In(vn-A)'!BI9</f>
        <v>0</v>
      </c>
      <c r="AH180" s="32"/>
      <c r="AI180" s="32"/>
      <c r="AJ180" s="32"/>
      <c r="AK180" s="325">
        <f>'AVT187In(vn-S)'!BI9</f>
        <v>0</v>
      </c>
      <c r="AL180" s="32"/>
      <c r="AM180" s="32"/>
      <c r="AN180" s="32"/>
      <c r="AO180" s="32"/>
      <c r="AP180" s="32"/>
      <c r="AQ180" s="32"/>
      <c r="AR180" s="32"/>
      <c r="AS180" s="32"/>
      <c r="AT180" s="32"/>
      <c r="AU180" s="325">
        <f>'AVT-celny-2x187In'!BI9</f>
        <v>0</v>
      </c>
      <c r="AV180" s="32"/>
      <c r="AW180" s="32"/>
      <c r="AX180" s="32"/>
      <c r="AY180" s="325">
        <f>'potr-v101+187-IL'!BI24</f>
        <v>0</v>
      </c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165"/>
      <c r="BP180" s="165"/>
      <c r="BQ180" s="165"/>
      <c r="BR180" s="165"/>
      <c r="BS180" s="165"/>
      <c r="BT180" s="165"/>
      <c r="BU180" s="165"/>
      <c r="BV180" s="55"/>
      <c r="BW180" s="160"/>
      <c r="BX180" s="32"/>
      <c r="BY180" s="24"/>
      <c r="BZ180" s="24"/>
      <c r="CA180" s="24"/>
      <c r="CB180" s="24"/>
      <c r="CC180" s="24"/>
      <c r="CD180" s="24"/>
      <c r="CE180" s="24"/>
    </row>
    <row r="181" spans="1:83" ht="15" hidden="1" customHeight="1">
      <c r="A181" s="4"/>
      <c r="B181" s="317">
        <f>IF($Q$8=$Q$7,CENY!B425,IF($Q$7=$Q$9,CENY!B439,CENY!B453))</f>
        <v>9257136</v>
      </c>
      <c r="C181" s="43" t="str">
        <f>VLOOKUP(B181,CENY!$B$11:$G$1054,2,FALSE)</f>
        <v>AvanY-bok Inlay pravý /v187/h450/ strieb.</v>
      </c>
      <c r="D181" s="353">
        <f>VLOOKUP(B181,CENY!$B$11:$G$1054,3,FALSE)</f>
        <v>10</v>
      </c>
      <c r="E181" s="56" t="str">
        <f>IF(VLOOKUP(B181,CENY!$B$11:$G$1054,4,FALSE)=0,"",VLOOKUP(B181,CENY!$B$11:$G$1054,4,FALSE))</f>
        <v/>
      </c>
      <c r="F181" s="40" t="str">
        <f t="shared" si="46"/>
        <v/>
      </c>
      <c r="G181" s="52">
        <f>VLOOKUP(B181,CENY!$B$11:$M$1054,12,FALSE)</f>
        <v>18.945989999999998</v>
      </c>
      <c r="H181" s="54" t="str">
        <f t="shared" si="42"/>
        <v xml:space="preserve"> EUR</v>
      </c>
      <c r="I181" s="41" t="str">
        <f t="shared" si="43"/>
        <v/>
      </c>
      <c r="J181" s="122"/>
      <c r="K181" s="42" t="str">
        <f>VLOOKUP(B181,CENY!$B$11:$M$1054,8,FALSE)</f>
        <v xml:space="preserve"> </v>
      </c>
      <c r="L181" s="42" t="str">
        <f>VLOOKUP(B181,CENY!$B$11:$M$1054,9,FALSE)</f>
        <v>396956</v>
      </c>
      <c r="M181" s="32"/>
      <c r="N181" s="35">
        <f t="shared" si="47"/>
        <v>0</v>
      </c>
      <c r="O181" s="36">
        <v>0</v>
      </c>
      <c r="P181" s="32"/>
      <c r="Q181" s="32"/>
      <c r="R181" s="32"/>
      <c r="S181" s="32"/>
      <c r="T181" s="32"/>
      <c r="U181" s="32"/>
      <c r="V181" s="32"/>
      <c r="W181" s="32"/>
      <c r="X181" s="32"/>
      <c r="Y181" s="325">
        <f>AVT187In!BI10</f>
        <v>0</v>
      </c>
      <c r="Z181" s="32"/>
      <c r="AA181" s="32"/>
      <c r="AB181" s="32"/>
      <c r="AC181" s="32"/>
      <c r="AD181" s="32"/>
      <c r="AE181" s="32"/>
      <c r="AF181" s="32"/>
      <c r="AG181" s="325">
        <f>'AVT187In(vn-A)'!BI10</f>
        <v>0</v>
      </c>
      <c r="AH181" s="32"/>
      <c r="AI181" s="32"/>
      <c r="AJ181" s="32"/>
      <c r="AK181" s="325">
        <f>'AVT187In(vn-S)'!BI10</f>
        <v>0</v>
      </c>
      <c r="AL181" s="32"/>
      <c r="AM181" s="32"/>
      <c r="AN181" s="32"/>
      <c r="AO181" s="32"/>
      <c r="AP181" s="32"/>
      <c r="AQ181" s="32"/>
      <c r="AR181" s="32"/>
      <c r="AS181" s="32"/>
      <c r="AT181" s="32"/>
      <c r="AU181" s="325">
        <f>'AVT-celny-2x187In'!BI10</f>
        <v>0</v>
      </c>
      <c r="AV181" s="32"/>
      <c r="AW181" s="32"/>
      <c r="AX181" s="32"/>
      <c r="AY181" s="325">
        <f>'potr-v101+187-IL'!BI25</f>
        <v>0</v>
      </c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165"/>
      <c r="BP181" s="165"/>
      <c r="BQ181" s="165"/>
      <c r="BR181" s="165"/>
      <c r="BS181" s="165"/>
      <c r="BT181" s="165"/>
      <c r="BU181" s="165"/>
      <c r="BV181" s="55"/>
      <c r="BW181" s="160"/>
      <c r="BX181" s="32"/>
      <c r="BY181" s="24"/>
      <c r="BZ181" s="24"/>
      <c r="CA181" s="24"/>
      <c r="CB181" s="24"/>
      <c r="CC181" s="24"/>
      <c r="CD181" s="24"/>
      <c r="CE181" s="24"/>
    </row>
    <row r="182" spans="1:83" ht="15" hidden="1" customHeight="1">
      <c r="A182" s="4"/>
      <c r="B182" s="317">
        <f>IF($Q$8=$Q$7,CENY!B426,IF($Q$7=$Q$9,CENY!B440,CENY!B454))</f>
        <v>9257137</v>
      </c>
      <c r="C182" s="43" t="str">
        <f>VLOOKUP(B182,CENY!$B$11:$G$1054,2,FALSE)</f>
        <v>AvanY-bok Inlay ľavý /v187/h500/ strieb.</v>
      </c>
      <c r="D182" s="353">
        <f>VLOOKUP(B182,CENY!$B$11:$G$1054,3,FALSE)</f>
        <v>10</v>
      </c>
      <c r="E182" s="56" t="str">
        <f>IF(VLOOKUP(B182,CENY!$B$11:$G$1054,4,FALSE)=0,"",VLOOKUP(B182,CENY!$B$11:$G$1054,4,FALSE))</f>
        <v/>
      </c>
      <c r="F182" s="40" t="str">
        <f t="shared" si="46"/>
        <v/>
      </c>
      <c r="G182" s="52">
        <f>VLOOKUP(B182,CENY!$B$11:$M$1054,12,FALSE)</f>
        <v>18.358360000000001</v>
      </c>
      <c r="H182" s="54" t="str">
        <f t="shared" si="42"/>
        <v xml:space="preserve"> EUR</v>
      </c>
      <c r="I182" s="41" t="str">
        <f t="shared" si="43"/>
        <v/>
      </c>
      <c r="J182" s="122"/>
      <c r="K182" s="42" t="str">
        <f>VLOOKUP(B182,CENY!$B$11:$M$1054,8,FALSE)</f>
        <v xml:space="preserve"> </v>
      </c>
      <c r="L182" s="42" t="str">
        <f>VLOOKUP(B182,CENY!$B$11:$M$1054,9,FALSE)</f>
        <v>396957</v>
      </c>
      <c r="M182" s="32"/>
      <c r="N182" s="35">
        <f t="shared" si="47"/>
        <v>0</v>
      </c>
      <c r="O182" s="36">
        <v>0</v>
      </c>
      <c r="P182" s="32"/>
      <c r="Q182" s="32"/>
      <c r="R182" s="32"/>
      <c r="S182" s="32"/>
      <c r="T182" s="32"/>
      <c r="U182" s="32"/>
      <c r="V182" s="32"/>
      <c r="W182" s="32"/>
      <c r="X182" s="32"/>
      <c r="Y182" s="325">
        <f>AVT187In!BI11</f>
        <v>0</v>
      </c>
      <c r="Z182" s="32"/>
      <c r="AA182" s="32"/>
      <c r="AB182" s="32"/>
      <c r="AC182" s="32"/>
      <c r="AD182" s="32"/>
      <c r="AE182" s="32"/>
      <c r="AF182" s="32"/>
      <c r="AG182" s="325">
        <f>'AVT187In(vn-A)'!BI11</f>
        <v>0</v>
      </c>
      <c r="AH182" s="32"/>
      <c r="AI182" s="32"/>
      <c r="AJ182" s="32"/>
      <c r="AK182" s="325">
        <f>'AVT187In(vn-S)'!BI11</f>
        <v>0</v>
      </c>
      <c r="AL182" s="32"/>
      <c r="AM182" s="32"/>
      <c r="AN182" s="32"/>
      <c r="AO182" s="32"/>
      <c r="AP182" s="32"/>
      <c r="AQ182" s="32"/>
      <c r="AR182" s="32"/>
      <c r="AS182" s="32"/>
      <c r="AT182" s="32"/>
      <c r="AU182" s="325">
        <f>'AVT-celny-2x187In'!BI11</f>
        <v>0</v>
      </c>
      <c r="AV182" s="32"/>
      <c r="AW182" s="32"/>
      <c r="AX182" s="32"/>
      <c r="AY182" s="325">
        <f>'potr-v101+187-IL'!BI26</f>
        <v>0</v>
      </c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165"/>
      <c r="BP182" s="165"/>
      <c r="BQ182" s="165"/>
      <c r="BR182" s="165"/>
      <c r="BS182" s="165"/>
      <c r="BT182" s="165"/>
      <c r="BU182" s="165"/>
      <c r="BV182" s="55"/>
      <c r="BW182" s="160"/>
      <c r="BX182" s="32"/>
      <c r="BY182" s="24"/>
      <c r="BZ182" s="24"/>
      <c r="CA182" s="24"/>
      <c r="CB182" s="24"/>
      <c r="CC182" s="24"/>
      <c r="CD182" s="24"/>
      <c r="CE182" s="24"/>
    </row>
    <row r="183" spans="1:83" ht="15" hidden="1" customHeight="1">
      <c r="A183" s="4"/>
      <c r="B183" s="317">
        <f>IF($Q$8=$Q$7,CENY!B427,IF($Q$7=$Q$9,CENY!B441,CENY!B455))</f>
        <v>9257138</v>
      </c>
      <c r="C183" s="43" t="str">
        <f>VLOOKUP(B183,CENY!$B$11:$G$1054,2,FALSE)</f>
        <v>AvanY-bok Inlay pravý /v187/h500/ strieb.</v>
      </c>
      <c r="D183" s="353">
        <f>VLOOKUP(B183,CENY!$B$11:$G$1054,3,FALSE)</f>
        <v>10</v>
      </c>
      <c r="E183" s="56" t="str">
        <f>IF(VLOOKUP(B183,CENY!$B$11:$G$1054,4,FALSE)=0,"",VLOOKUP(B183,CENY!$B$11:$G$1054,4,FALSE))</f>
        <v/>
      </c>
      <c r="F183" s="40" t="str">
        <f t="shared" si="46"/>
        <v/>
      </c>
      <c r="G183" s="52">
        <f>VLOOKUP(B183,CENY!$B$11:$M$1054,12,FALSE)</f>
        <v>18.358360000000001</v>
      </c>
      <c r="H183" s="54" t="str">
        <f t="shared" si="42"/>
        <v xml:space="preserve"> EUR</v>
      </c>
      <c r="I183" s="41" t="str">
        <f t="shared" si="43"/>
        <v/>
      </c>
      <c r="J183" s="122"/>
      <c r="K183" s="42" t="str">
        <f>VLOOKUP(B183,CENY!$B$11:$M$1054,8,FALSE)</f>
        <v xml:space="preserve"> </v>
      </c>
      <c r="L183" s="42" t="str">
        <f>VLOOKUP(B183,CENY!$B$11:$M$1054,9,FALSE)</f>
        <v>396958</v>
      </c>
      <c r="M183" s="32"/>
      <c r="N183" s="35">
        <f t="shared" si="47"/>
        <v>0</v>
      </c>
      <c r="O183" s="36">
        <v>0</v>
      </c>
      <c r="P183" s="32"/>
      <c r="Q183" s="32"/>
      <c r="R183" s="32"/>
      <c r="S183" s="32"/>
      <c r="T183" s="32"/>
      <c r="U183" s="32"/>
      <c r="V183" s="32"/>
      <c r="W183" s="32"/>
      <c r="X183" s="32"/>
      <c r="Y183" s="325">
        <f>AVT187In!BI12</f>
        <v>0</v>
      </c>
      <c r="Z183" s="32"/>
      <c r="AA183" s="32"/>
      <c r="AB183" s="32"/>
      <c r="AC183" s="32"/>
      <c r="AD183" s="32"/>
      <c r="AE183" s="32"/>
      <c r="AF183" s="32"/>
      <c r="AG183" s="325">
        <f>'AVT187In(vn-A)'!BI12</f>
        <v>0</v>
      </c>
      <c r="AH183" s="32"/>
      <c r="AI183" s="32"/>
      <c r="AJ183" s="32"/>
      <c r="AK183" s="325">
        <f>'AVT187In(vn-S)'!BI12</f>
        <v>0</v>
      </c>
      <c r="AL183" s="32"/>
      <c r="AM183" s="32"/>
      <c r="AN183" s="32"/>
      <c r="AO183" s="32"/>
      <c r="AP183" s="32"/>
      <c r="AQ183" s="32"/>
      <c r="AR183" s="32"/>
      <c r="AS183" s="32"/>
      <c r="AT183" s="32"/>
      <c r="AU183" s="325">
        <f>'AVT-celny-2x187In'!BI12</f>
        <v>0</v>
      </c>
      <c r="AV183" s="32"/>
      <c r="AW183" s="32"/>
      <c r="AX183" s="32"/>
      <c r="AY183" s="325">
        <f>'potr-v101+187-IL'!BI27</f>
        <v>0</v>
      </c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165"/>
      <c r="BP183" s="165"/>
      <c r="BQ183" s="165"/>
      <c r="BR183" s="165"/>
      <c r="BS183" s="165"/>
      <c r="BT183" s="165"/>
      <c r="BU183" s="165"/>
      <c r="BV183" s="55"/>
      <c r="BW183" s="160"/>
      <c r="BX183" s="32"/>
      <c r="BY183" s="24"/>
      <c r="BZ183" s="24"/>
      <c r="CA183" s="24"/>
      <c r="CB183" s="24"/>
      <c r="CC183" s="24"/>
      <c r="CD183" s="24"/>
      <c r="CE183" s="24"/>
    </row>
    <row r="184" spans="1:83" ht="15" hidden="1" customHeight="1">
      <c r="A184" s="4"/>
      <c r="B184" s="317">
        <f>IF($Q$8=$Q$7,CENY!B428,IF($Q$7=$Q$9,CENY!B442,CENY!B456))</f>
        <v>9257139</v>
      </c>
      <c r="C184" s="43" t="str">
        <f>VLOOKUP(B184,CENY!$B$11:$G$1054,2,FALSE)</f>
        <v>AvanY-bok Inlay ľavý /v187/h550/ strieb.</v>
      </c>
      <c r="D184" s="353">
        <f>VLOOKUP(B184,CENY!$B$11:$G$1054,3,FALSE)</f>
        <v>10</v>
      </c>
      <c r="E184" s="56" t="str">
        <f>IF(VLOOKUP(B184,CENY!$B$11:$G$1054,4,FALSE)=0,"",VLOOKUP(B184,CENY!$B$11:$G$1054,4,FALSE))</f>
        <v/>
      </c>
      <c r="F184" s="40" t="str">
        <f t="shared" si="46"/>
        <v/>
      </c>
      <c r="G184" s="52">
        <f>VLOOKUP(B184,CENY!$B$11:$M$1054,12,FALSE)</f>
        <v>19.60652</v>
      </c>
      <c r="H184" s="54" t="str">
        <f t="shared" si="42"/>
        <v xml:space="preserve"> EUR</v>
      </c>
      <c r="I184" s="41" t="str">
        <f t="shared" si="43"/>
        <v/>
      </c>
      <c r="J184" s="122"/>
      <c r="K184" s="42" t="str">
        <f>VLOOKUP(B184,CENY!$B$11:$M$1054,8,FALSE)</f>
        <v xml:space="preserve"> </v>
      </c>
      <c r="L184" s="42" t="str">
        <f>VLOOKUP(B184,CENY!$B$11:$M$1054,9,FALSE)</f>
        <v>396959</v>
      </c>
      <c r="M184" s="32"/>
      <c r="N184" s="35">
        <f t="shared" si="47"/>
        <v>0</v>
      </c>
      <c r="O184" s="36">
        <v>0</v>
      </c>
      <c r="P184" s="32"/>
      <c r="Q184" s="32"/>
      <c r="R184" s="32"/>
      <c r="S184" s="32"/>
      <c r="T184" s="32"/>
      <c r="U184" s="32"/>
      <c r="V184" s="32"/>
      <c r="W184" s="32"/>
      <c r="X184" s="32"/>
      <c r="Y184" s="325">
        <f>AVT187In!BI13</f>
        <v>0</v>
      </c>
      <c r="Z184" s="32"/>
      <c r="AA184" s="32"/>
      <c r="AB184" s="32"/>
      <c r="AC184" s="32"/>
      <c r="AD184" s="32"/>
      <c r="AE184" s="32"/>
      <c r="AF184" s="32"/>
      <c r="AG184" s="325">
        <f>'AVT187In(vn-A)'!BI13</f>
        <v>0</v>
      </c>
      <c r="AH184" s="32"/>
      <c r="AI184" s="32"/>
      <c r="AJ184" s="32"/>
      <c r="AK184" s="325">
        <f>'AVT187In(vn-S)'!BI13</f>
        <v>0</v>
      </c>
      <c r="AL184" s="32"/>
      <c r="AM184" s="32"/>
      <c r="AN184" s="32"/>
      <c r="AO184" s="32"/>
      <c r="AP184" s="32"/>
      <c r="AQ184" s="32"/>
      <c r="AR184" s="32"/>
      <c r="AS184" s="32"/>
      <c r="AT184" s="32"/>
      <c r="AU184" s="325">
        <f>'AVT-celny-2x187In'!BI13</f>
        <v>0</v>
      </c>
      <c r="AV184" s="32"/>
      <c r="AW184" s="32"/>
      <c r="AX184" s="32"/>
      <c r="AY184" s="325">
        <f>'potr-v101+187-IL'!BI28</f>
        <v>0</v>
      </c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165"/>
      <c r="BP184" s="165"/>
      <c r="BQ184" s="165"/>
      <c r="BR184" s="165"/>
      <c r="BS184" s="165"/>
      <c r="BT184" s="165"/>
      <c r="BU184" s="165"/>
      <c r="BV184" s="55"/>
      <c r="BW184" s="160"/>
      <c r="BX184" s="32"/>
      <c r="BY184" s="24"/>
      <c r="BZ184" s="24"/>
      <c r="CA184" s="24"/>
      <c r="CB184" s="24"/>
      <c r="CC184" s="24"/>
      <c r="CD184" s="24"/>
      <c r="CE184" s="24"/>
    </row>
    <row r="185" spans="1:83" ht="15" hidden="1" customHeight="1">
      <c r="A185" s="4"/>
      <c r="B185" s="317">
        <f>IF($Q$8=$Q$7,CENY!B429,IF($Q$7=$Q$9,CENY!B443,CENY!B457))</f>
        <v>9257140</v>
      </c>
      <c r="C185" s="43" t="str">
        <f>VLOOKUP(B185,CENY!$B$11:$G$1054,2,FALSE)</f>
        <v>AvanY-bok Inlay pravý /v187/h550/ strieb.</v>
      </c>
      <c r="D185" s="353">
        <f>VLOOKUP(B185,CENY!$B$11:$G$1054,3,FALSE)</f>
        <v>10</v>
      </c>
      <c r="E185" s="56" t="str">
        <f>IF(VLOOKUP(B185,CENY!$B$11:$G$1054,4,FALSE)=0,"",VLOOKUP(B185,CENY!$B$11:$G$1054,4,FALSE))</f>
        <v/>
      </c>
      <c r="F185" s="40" t="str">
        <f t="shared" si="46"/>
        <v/>
      </c>
      <c r="G185" s="52">
        <f>VLOOKUP(B185,CENY!$B$11:$M$1054,12,FALSE)</f>
        <v>19.60652</v>
      </c>
      <c r="H185" s="54" t="str">
        <f t="shared" si="42"/>
        <v xml:space="preserve"> EUR</v>
      </c>
      <c r="I185" s="41" t="str">
        <f t="shared" si="43"/>
        <v/>
      </c>
      <c r="J185" s="122"/>
      <c r="K185" s="42" t="str">
        <f>VLOOKUP(B185,CENY!$B$11:$M$1054,8,FALSE)</f>
        <v xml:space="preserve"> </v>
      </c>
      <c r="L185" s="42" t="str">
        <f>VLOOKUP(B185,CENY!$B$11:$M$1054,9,FALSE)</f>
        <v>396960</v>
      </c>
      <c r="M185" s="32"/>
      <c r="N185" s="35">
        <f t="shared" si="47"/>
        <v>0</v>
      </c>
      <c r="O185" s="36">
        <v>0</v>
      </c>
      <c r="P185" s="32"/>
      <c r="Q185" s="32"/>
      <c r="R185" s="32"/>
      <c r="S185" s="32"/>
      <c r="T185" s="32"/>
      <c r="U185" s="32"/>
      <c r="V185" s="32"/>
      <c r="W185" s="32"/>
      <c r="X185" s="32"/>
      <c r="Y185" s="325">
        <f>AVT187In!BI14</f>
        <v>0</v>
      </c>
      <c r="Z185" s="32"/>
      <c r="AA185" s="32"/>
      <c r="AB185" s="32"/>
      <c r="AC185" s="32"/>
      <c r="AD185" s="32"/>
      <c r="AE185" s="32"/>
      <c r="AF185" s="32"/>
      <c r="AG185" s="325">
        <f>'AVT187In(vn-A)'!BI14</f>
        <v>0</v>
      </c>
      <c r="AH185" s="32"/>
      <c r="AI185" s="32"/>
      <c r="AJ185" s="32"/>
      <c r="AK185" s="325">
        <f>'AVT187In(vn-S)'!BI14</f>
        <v>0</v>
      </c>
      <c r="AL185" s="32"/>
      <c r="AM185" s="32"/>
      <c r="AN185" s="32"/>
      <c r="AO185" s="32"/>
      <c r="AP185" s="32"/>
      <c r="AQ185" s="32"/>
      <c r="AR185" s="32"/>
      <c r="AS185" s="32"/>
      <c r="AT185" s="32"/>
      <c r="AU185" s="325">
        <f>'AVT-celny-2x187In'!BI14</f>
        <v>0</v>
      </c>
      <c r="AV185" s="32"/>
      <c r="AW185" s="32"/>
      <c r="AX185" s="32"/>
      <c r="AY185" s="325">
        <f>'potr-v101+187-IL'!BI29</f>
        <v>0</v>
      </c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165"/>
      <c r="BP185" s="165"/>
      <c r="BQ185" s="165"/>
      <c r="BR185" s="165"/>
      <c r="BS185" s="165"/>
      <c r="BT185" s="165"/>
      <c r="BU185" s="165"/>
      <c r="BV185" s="55"/>
      <c r="BW185" s="160"/>
      <c r="BX185" s="32"/>
      <c r="BY185" s="24"/>
      <c r="BZ185" s="24"/>
      <c r="CA185" s="24"/>
      <c r="CB185" s="24"/>
      <c r="CC185" s="24"/>
      <c r="CD185" s="24"/>
      <c r="CE185" s="24"/>
    </row>
    <row r="186" spans="1:83" ht="15" hidden="1" customHeight="1">
      <c r="A186" s="4"/>
      <c r="B186" s="317">
        <f>IF($Q$8=$Q$7,CENY!B430,IF($Q$7=$Q$9,CENY!B444,CENY!B458))</f>
        <v>9257141</v>
      </c>
      <c r="C186" s="43" t="str">
        <f>VLOOKUP(B186,CENY!$B$11:$G$1054,2,FALSE)</f>
        <v>AvanY-bok Inlay ľavý /v187/h600/ strieb.</v>
      </c>
      <c r="D186" s="353">
        <f>VLOOKUP(B186,CENY!$B$11:$G$1054,3,FALSE)</f>
        <v>10</v>
      </c>
      <c r="E186" s="56" t="str">
        <f>IF(VLOOKUP(B186,CENY!$B$11:$G$1054,4,FALSE)=0,"",VLOOKUP(B186,CENY!$B$11:$G$1054,4,FALSE))</f>
        <v/>
      </c>
      <c r="F186" s="40" t="str">
        <f t="shared" si="46"/>
        <v/>
      </c>
      <c r="G186" s="52">
        <f>VLOOKUP(B186,CENY!$B$11:$M$1054,12,FALSE)</f>
        <v>20.105229999999999</v>
      </c>
      <c r="H186" s="54" t="str">
        <f t="shared" si="42"/>
        <v xml:space="preserve"> EUR</v>
      </c>
      <c r="I186" s="41" t="str">
        <f t="shared" si="43"/>
        <v/>
      </c>
      <c r="J186" s="122"/>
      <c r="K186" s="42" t="str">
        <f>VLOOKUP(B186,CENY!$B$11:$M$1054,8,FALSE)</f>
        <v xml:space="preserve"> </v>
      </c>
      <c r="L186" s="42" t="str">
        <f>VLOOKUP(B186,CENY!$B$11:$M$1054,9,FALSE)</f>
        <v>396961</v>
      </c>
      <c r="M186" s="32"/>
      <c r="N186" s="35">
        <f t="shared" si="47"/>
        <v>0</v>
      </c>
      <c r="O186" s="36">
        <v>0</v>
      </c>
      <c r="P186" s="32"/>
      <c r="Q186" s="32"/>
      <c r="R186" s="32"/>
      <c r="S186" s="32"/>
      <c r="T186" s="32"/>
      <c r="U186" s="32"/>
      <c r="V186" s="32"/>
      <c r="W186" s="32"/>
      <c r="X186" s="32"/>
      <c r="Y186" s="325">
        <f>AVT187In!BI15</f>
        <v>0</v>
      </c>
      <c r="Z186" s="32"/>
      <c r="AA186" s="32"/>
      <c r="AB186" s="32"/>
      <c r="AC186" s="32"/>
      <c r="AD186" s="32"/>
      <c r="AE186" s="32"/>
      <c r="AF186" s="32"/>
      <c r="AG186" s="325">
        <f>'AVT187In(vn-A)'!BI15</f>
        <v>0</v>
      </c>
      <c r="AH186" s="32"/>
      <c r="AI186" s="32"/>
      <c r="AJ186" s="32"/>
      <c r="AK186" s="325">
        <f>'AVT187In(vn-S)'!BI15</f>
        <v>0</v>
      </c>
      <c r="AL186" s="32"/>
      <c r="AM186" s="32"/>
      <c r="AN186" s="32"/>
      <c r="AO186" s="32"/>
      <c r="AP186" s="32"/>
      <c r="AQ186" s="32"/>
      <c r="AR186" s="32"/>
      <c r="AS186" s="32"/>
      <c r="AT186" s="32"/>
      <c r="AU186" s="325">
        <f>'AVT-celny-2x187In'!BI15</f>
        <v>0</v>
      </c>
      <c r="AV186" s="32"/>
      <c r="AW186" s="32"/>
      <c r="AX186" s="32"/>
      <c r="AY186" s="325">
        <f>'potr-v101+187-IL'!BI30</f>
        <v>0</v>
      </c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165"/>
      <c r="BP186" s="165"/>
      <c r="BQ186" s="165"/>
      <c r="BR186" s="165"/>
      <c r="BS186" s="165"/>
      <c r="BT186" s="165"/>
      <c r="BU186" s="165"/>
      <c r="BV186" s="55"/>
      <c r="BW186" s="160"/>
      <c r="BX186" s="32"/>
      <c r="BY186" s="24"/>
      <c r="BZ186" s="24"/>
      <c r="CA186" s="24"/>
      <c r="CB186" s="24"/>
      <c r="CC186" s="24"/>
      <c r="CD186" s="24"/>
      <c r="CE186" s="24"/>
    </row>
    <row r="187" spans="1:83" ht="15" hidden="1" customHeight="1">
      <c r="A187" s="4"/>
      <c r="B187" s="317">
        <f>IF($Q$8=$Q$7,CENY!B431,IF($Q$7=$Q$9,CENY!B445,CENY!B459))</f>
        <v>9257142</v>
      </c>
      <c r="C187" s="43" t="str">
        <f>VLOOKUP(B187,CENY!$B$11:$G$1054,2,FALSE)</f>
        <v>AvanY-bok Inlay pravý /v187/h600/ strieb.</v>
      </c>
      <c r="D187" s="353">
        <f>VLOOKUP(B187,CENY!$B$11:$G$1054,3,FALSE)</f>
        <v>10</v>
      </c>
      <c r="E187" s="56" t="str">
        <f>IF(VLOOKUP(B187,CENY!$B$11:$G$1054,4,FALSE)=0,"",VLOOKUP(B187,CENY!$B$11:$G$1054,4,FALSE))</f>
        <v/>
      </c>
      <c r="F187" s="40" t="str">
        <f t="shared" si="46"/>
        <v/>
      </c>
      <c r="G187" s="52">
        <f>VLOOKUP(B187,CENY!$B$11:$M$1054,12,FALSE)</f>
        <v>20.105229999999999</v>
      </c>
      <c r="H187" s="54" t="str">
        <f t="shared" si="42"/>
        <v xml:space="preserve"> EUR</v>
      </c>
      <c r="I187" s="41" t="str">
        <f t="shared" si="43"/>
        <v/>
      </c>
      <c r="J187" s="122"/>
      <c r="K187" s="42" t="str">
        <f>VLOOKUP(B187,CENY!$B$11:$M$1054,8,FALSE)</f>
        <v xml:space="preserve"> </v>
      </c>
      <c r="L187" s="42" t="str">
        <f>VLOOKUP(B187,CENY!$B$11:$M$1054,9,FALSE)</f>
        <v>396962</v>
      </c>
      <c r="M187" s="32"/>
      <c r="N187" s="35">
        <f t="shared" si="47"/>
        <v>0</v>
      </c>
      <c r="O187" s="36">
        <v>0</v>
      </c>
      <c r="P187" s="32"/>
      <c r="Q187" s="32"/>
      <c r="R187" s="32"/>
      <c r="S187" s="32"/>
      <c r="T187" s="32"/>
      <c r="U187" s="32"/>
      <c r="V187" s="32"/>
      <c r="W187" s="32"/>
      <c r="X187" s="32"/>
      <c r="Y187" s="325">
        <f>AVT187In!BI16</f>
        <v>0</v>
      </c>
      <c r="Z187" s="32"/>
      <c r="AA187" s="32"/>
      <c r="AB187" s="32"/>
      <c r="AC187" s="32"/>
      <c r="AD187" s="32"/>
      <c r="AE187" s="32"/>
      <c r="AF187" s="32"/>
      <c r="AG187" s="325">
        <f>'AVT187In(vn-A)'!BI16</f>
        <v>0</v>
      </c>
      <c r="AH187" s="32"/>
      <c r="AI187" s="32"/>
      <c r="AJ187" s="32"/>
      <c r="AK187" s="325">
        <f>'AVT187In(vn-S)'!BI16</f>
        <v>0</v>
      </c>
      <c r="AL187" s="32"/>
      <c r="AM187" s="32"/>
      <c r="AN187" s="32"/>
      <c r="AO187" s="32"/>
      <c r="AP187" s="32"/>
      <c r="AQ187" s="32"/>
      <c r="AR187" s="32"/>
      <c r="AS187" s="32"/>
      <c r="AT187" s="32"/>
      <c r="AU187" s="325">
        <f>'AVT-celny-2x187In'!BI16</f>
        <v>0</v>
      </c>
      <c r="AV187" s="32"/>
      <c r="AW187" s="32"/>
      <c r="AX187" s="32"/>
      <c r="AY187" s="325">
        <f>'potr-v101+187-IL'!BI31</f>
        <v>0</v>
      </c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165"/>
      <c r="BP187" s="165"/>
      <c r="BQ187" s="165"/>
      <c r="BR187" s="165"/>
      <c r="BS187" s="165"/>
      <c r="BT187" s="165"/>
      <c r="BU187" s="165"/>
      <c r="BV187" s="55"/>
      <c r="BW187" s="160"/>
      <c r="BX187" s="32"/>
      <c r="BY187" s="24"/>
      <c r="BZ187" s="24"/>
      <c r="CA187" s="24"/>
      <c r="CB187" s="24"/>
      <c r="CC187" s="24"/>
      <c r="CD187" s="24"/>
      <c r="CE187" s="24"/>
    </row>
    <row r="188" spans="1:83" ht="15" hidden="1" customHeight="1">
      <c r="A188" s="4"/>
      <c r="B188" s="317">
        <f>IF($Q$8=$Q$7,CENY!B432,IF($Q$7=$Q$9,CENY!B446,CENY!B460))</f>
        <v>9257143</v>
      </c>
      <c r="C188" s="43" t="str">
        <f>VLOOKUP(B188,CENY!$B$11:$G$1054,2,FALSE)</f>
        <v>AvanY-bok Inlay ľavý /v187/h650/ strieb.</v>
      </c>
      <c r="D188" s="353">
        <f>VLOOKUP(B188,CENY!$B$11:$G$1054,3,FALSE)</f>
        <v>10</v>
      </c>
      <c r="E188" s="56" t="str">
        <f>IF(VLOOKUP(B188,CENY!$B$11:$G$1054,4,FALSE)=0,"",VLOOKUP(B188,CENY!$B$11:$G$1054,4,FALSE))</f>
        <v/>
      </c>
      <c r="F188" s="40" t="str">
        <f t="shared" si="46"/>
        <v/>
      </c>
      <c r="G188" s="52">
        <f>VLOOKUP(B188,CENY!$B$11:$M$1054,12,FALSE)</f>
        <v>20.782730000000001</v>
      </c>
      <c r="H188" s="54" t="str">
        <f t="shared" si="42"/>
        <v xml:space="preserve"> EUR</v>
      </c>
      <c r="I188" s="41" t="str">
        <f t="shared" si="43"/>
        <v/>
      </c>
      <c r="J188" s="122"/>
      <c r="K188" s="42" t="str">
        <f>VLOOKUP(B188,CENY!$B$11:$M$1054,8,FALSE)</f>
        <v xml:space="preserve"> </v>
      </c>
      <c r="L188" s="42" t="str">
        <f>VLOOKUP(B188,CENY!$B$11:$M$1054,9,FALSE)</f>
        <v>396963</v>
      </c>
      <c r="M188" s="32"/>
      <c r="N188" s="35">
        <f t="shared" si="47"/>
        <v>0</v>
      </c>
      <c r="O188" s="36">
        <v>0</v>
      </c>
      <c r="P188" s="32"/>
      <c r="Q188" s="32"/>
      <c r="R188" s="32"/>
      <c r="S188" s="32"/>
      <c r="T188" s="32"/>
      <c r="U188" s="32"/>
      <c r="V188" s="32"/>
      <c r="W188" s="32"/>
      <c r="X188" s="32"/>
      <c r="Y188" s="325">
        <f>AVT187In!BI17</f>
        <v>0</v>
      </c>
      <c r="Z188" s="32"/>
      <c r="AA188" s="32"/>
      <c r="AB188" s="32"/>
      <c r="AC188" s="32"/>
      <c r="AD188" s="32"/>
      <c r="AE188" s="32"/>
      <c r="AF188" s="32"/>
      <c r="AG188" s="325">
        <f>'AVT187In(vn-A)'!BI17</f>
        <v>0</v>
      </c>
      <c r="AH188" s="32"/>
      <c r="AI188" s="32"/>
      <c r="AJ188" s="32"/>
      <c r="AK188" s="325">
        <f>'AVT187In(vn-S)'!BI17</f>
        <v>0</v>
      </c>
      <c r="AL188" s="32"/>
      <c r="AM188" s="32"/>
      <c r="AN188" s="32"/>
      <c r="AO188" s="32"/>
      <c r="AP188" s="32"/>
      <c r="AQ188" s="32"/>
      <c r="AR188" s="32"/>
      <c r="AS188" s="32"/>
      <c r="AT188" s="32"/>
      <c r="AU188" s="325">
        <f>'AVT-celny-2x187In'!BI17</f>
        <v>0</v>
      </c>
      <c r="AV188" s="32"/>
      <c r="AW188" s="32"/>
      <c r="AX188" s="32"/>
      <c r="AY188" s="325">
        <f>'potr-v101+187-IL'!BI32</f>
        <v>0</v>
      </c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165"/>
      <c r="BP188" s="165"/>
      <c r="BQ188" s="165"/>
      <c r="BR188" s="165"/>
      <c r="BS188" s="165"/>
      <c r="BT188" s="165"/>
      <c r="BU188" s="165"/>
      <c r="BV188" s="55"/>
      <c r="BW188" s="160"/>
      <c r="BX188" s="32"/>
      <c r="BY188" s="24"/>
      <c r="BZ188" s="24"/>
      <c r="CA188" s="24"/>
      <c r="CB188" s="24"/>
      <c r="CC188" s="24"/>
      <c r="CD188" s="24"/>
      <c r="CE188" s="24"/>
    </row>
    <row r="189" spans="1:83" ht="15" hidden="1" customHeight="1">
      <c r="A189" s="4"/>
      <c r="B189" s="317">
        <f>IF($Q$8=$Q$7,CENY!B433,IF($Q$7=$Q$9,CENY!B447,CENY!B461))</f>
        <v>9257144</v>
      </c>
      <c r="C189" s="43" t="str">
        <f>VLOOKUP(B189,CENY!$B$11:$G$1054,2,FALSE)</f>
        <v>AvanY-bok Inlay pravý /v187/h650/ strieb.</v>
      </c>
      <c r="D189" s="353">
        <f>VLOOKUP(B189,CENY!$B$11:$G$1054,3,FALSE)</f>
        <v>10</v>
      </c>
      <c r="E189" s="56" t="str">
        <f>IF(VLOOKUP(B189,CENY!$B$11:$G$1054,4,FALSE)=0,"",VLOOKUP(B189,CENY!$B$11:$G$1054,4,FALSE))</f>
        <v/>
      </c>
      <c r="F189" s="40" t="str">
        <f t="shared" si="46"/>
        <v/>
      </c>
      <c r="G189" s="52">
        <f>VLOOKUP(B189,CENY!$B$11:$M$1054,12,FALSE)</f>
        <v>20.782730000000001</v>
      </c>
      <c r="H189" s="54" t="str">
        <f t="shared" si="42"/>
        <v xml:space="preserve"> EUR</v>
      </c>
      <c r="I189" s="41" t="str">
        <f t="shared" si="43"/>
        <v/>
      </c>
      <c r="J189" s="122"/>
      <c r="K189" s="42" t="str">
        <f>VLOOKUP(B189,CENY!$B$11:$M$1054,8,FALSE)</f>
        <v xml:space="preserve"> </v>
      </c>
      <c r="L189" s="42" t="str">
        <f>VLOOKUP(B189,CENY!$B$11:$M$1054,9,FALSE)</f>
        <v>396964</v>
      </c>
      <c r="M189" s="32"/>
      <c r="N189" s="35">
        <f t="shared" si="47"/>
        <v>0</v>
      </c>
      <c r="O189" s="36">
        <v>0</v>
      </c>
      <c r="P189" s="32"/>
      <c r="Q189" s="32"/>
      <c r="R189" s="32"/>
      <c r="S189" s="32"/>
      <c r="T189" s="32"/>
      <c r="U189" s="32"/>
      <c r="V189" s="32"/>
      <c r="W189" s="32"/>
      <c r="X189" s="32"/>
      <c r="Y189" s="325">
        <f>AVT187In!BI18</f>
        <v>0</v>
      </c>
      <c r="Z189" s="32"/>
      <c r="AA189" s="32"/>
      <c r="AB189" s="32"/>
      <c r="AC189" s="32"/>
      <c r="AD189" s="32"/>
      <c r="AE189" s="32"/>
      <c r="AF189" s="32"/>
      <c r="AG189" s="325">
        <f>'AVT187In(vn-A)'!BI18</f>
        <v>0</v>
      </c>
      <c r="AH189" s="32"/>
      <c r="AI189" s="32"/>
      <c r="AJ189" s="32"/>
      <c r="AK189" s="325">
        <f>'AVT187In(vn-S)'!BI18</f>
        <v>0</v>
      </c>
      <c r="AL189" s="32"/>
      <c r="AM189" s="32"/>
      <c r="AN189" s="32"/>
      <c r="AO189" s="32"/>
      <c r="AP189" s="32"/>
      <c r="AQ189" s="32"/>
      <c r="AR189" s="32"/>
      <c r="AS189" s="32"/>
      <c r="AT189" s="32"/>
      <c r="AU189" s="325">
        <f>'AVT-celny-2x187In'!BI18</f>
        <v>0</v>
      </c>
      <c r="AV189" s="32"/>
      <c r="AW189" s="32"/>
      <c r="AX189" s="32"/>
      <c r="AY189" s="325">
        <f>'potr-v101+187-IL'!BI33</f>
        <v>0</v>
      </c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165"/>
      <c r="BP189" s="165"/>
      <c r="BQ189" s="165"/>
      <c r="BR189" s="165"/>
      <c r="BS189" s="165"/>
      <c r="BT189" s="165"/>
      <c r="BU189" s="165"/>
      <c r="BV189" s="55"/>
      <c r="BW189" s="160"/>
      <c r="BX189" s="32"/>
      <c r="BY189" s="24"/>
      <c r="BZ189" s="24"/>
      <c r="CA189" s="24"/>
      <c r="CB189" s="24"/>
      <c r="CC189" s="24"/>
      <c r="CD189" s="24"/>
      <c r="CE189" s="24"/>
    </row>
    <row r="190" spans="1:83" ht="15" hidden="1" customHeight="1">
      <c r="A190" s="4"/>
      <c r="B190" s="317">
        <f>CENY!B462</f>
        <v>9257257</v>
      </c>
      <c r="C190" s="43" t="str">
        <f>VLOOKUP(B190,CENY!$B$11:$G$1054,2,FALSE)</f>
        <v>AvanY-prích.čela Inlay k naskrutk./ v187</v>
      </c>
      <c r="D190" s="353">
        <f>VLOOKUP(B190,CENY!$B$11:$G$1054,3,FALSE)</f>
        <v>100</v>
      </c>
      <c r="E190" s="56" t="str">
        <f>IF(VLOOKUP(B190,CENY!$B$11:$G$1054,4,FALSE)=0,"",VLOOKUP(B190,CENY!$B$11:$G$1054,4,FALSE))</f>
        <v/>
      </c>
      <c r="F190" s="40" t="str">
        <f>IF(J190&lt;&gt;"",J190,IF(N190=0,"",IF(B190=B191,"",N190)))</f>
        <v/>
      </c>
      <c r="G190" s="52">
        <f>VLOOKUP(B190,CENY!$B$11:$M$1054,12,FALSE)</f>
        <v>2.4404300000000001</v>
      </c>
      <c r="H190" s="54" t="str">
        <f>IF(G190="","",$H$22)</f>
        <v xml:space="preserve"> EUR</v>
      </c>
      <c r="I190" s="41" t="str">
        <f>IF(F190="","",G190*F190)</f>
        <v/>
      </c>
      <c r="J190" s="122"/>
      <c r="K190" s="42" t="str">
        <f>VLOOKUP(B190,CENY!$B$11:$M$1054,8,FALSE)</f>
        <v xml:space="preserve"> </v>
      </c>
      <c r="L190" s="42" t="str">
        <f>VLOOKUP(B190,CENY!$B$11:$M$1054,9,FALSE)</f>
        <v>396993</v>
      </c>
      <c r="M190" s="32"/>
      <c r="N190" s="35">
        <f t="shared" si="47"/>
        <v>0</v>
      </c>
      <c r="O190" s="36">
        <v>0</v>
      </c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5">
        <f>'AVT187In(vn-A)'!BI20</f>
        <v>0</v>
      </c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5">
        <f>'potr-v101+187-IL'!BI38</f>
        <v>0</v>
      </c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165"/>
      <c r="BP190" s="165"/>
      <c r="BQ190" s="165"/>
      <c r="BR190" s="165"/>
      <c r="BS190" s="165"/>
      <c r="BT190" s="165"/>
      <c r="BU190" s="165"/>
      <c r="BV190" s="55"/>
      <c r="BW190" s="160"/>
      <c r="BX190" s="32"/>
      <c r="BY190" s="24"/>
      <c r="BZ190" s="24"/>
      <c r="CA190" s="24"/>
      <c r="CB190" s="24"/>
      <c r="CC190" s="24"/>
      <c r="CD190" s="24"/>
      <c r="CE190" s="24"/>
    </row>
    <row r="191" spans="1:83" ht="15" hidden="1" customHeight="1">
      <c r="A191" s="4"/>
      <c r="B191" s="317">
        <f>IF($T$7=$T$8,CENY!B462,CENY!B463)</f>
        <v>9257257</v>
      </c>
      <c r="C191" s="43" t="str">
        <f>VLOOKUP(B191,CENY!$B$11:$G$1054,2,FALSE)</f>
        <v>AvanY-prích.čela Inlay k naskrutk./ v187</v>
      </c>
      <c r="D191" s="353">
        <f>VLOOKUP(B191,CENY!$B$11:$G$1054,3,FALSE)</f>
        <v>100</v>
      </c>
      <c r="E191" s="56" t="str">
        <f>IF(VLOOKUP(B191,CENY!$B$11:$G$1054,4,FALSE)=0,"",VLOOKUP(B191,CENY!$B$11:$G$1054,4,FALSE))</f>
        <v/>
      </c>
      <c r="F191" s="40" t="str">
        <f>IF(J191&lt;&gt;"",J191,IF(B190=B191,IF(N191+N190=0,"",N191+N190),IF(N191=0,"",N191)))</f>
        <v/>
      </c>
      <c r="G191" s="52">
        <f>VLOOKUP(B191,CENY!$B$11:$M$1054,12,FALSE)</f>
        <v>2.4404300000000001</v>
      </c>
      <c r="H191" s="54" t="str">
        <f t="shared" si="42"/>
        <v xml:space="preserve"> EUR</v>
      </c>
      <c r="I191" s="41" t="str">
        <f t="shared" si="43"/>
        <v/>
      </c>
      <c r="J191" s="122"/>
      <c r="K191" s="42" t="str">
        <f>VLOOKUP(B191,CENY!$B$11:$M$1054,8,FALSE)</f>
        <v xml:space="preserve"> </v>
      </c>
      <c r="L191" s="42" t="str">
        <f>VLOOKUP(B191,CENY!$B$11:$M$1054,9,FALSE)</f>
        <v>396993</v>
      </c>
      <c r="M191" s="32"/>
      <c r="N191" s="35">
        <f t="shared" si="47"/>
        <v>0</v>
      </c>
      <c r="O191" s="36">
        <v>0</v>
      </c>
      <c r="P191" s="32"/>
      <c r="Q191" s="32"/>
      <c r="R191" s="32"/>
      <c r="S191" s="32"/>
      <c r="T191" s="32"/>
      <c r="U191" s="32"/>
      <c r="V191" s="32"/>
      <c r="W191" s="32"/>
      <c r="X191" s="325">
        <f>AVT187In!AZ64</f>
        <v>0</v>
      </c>
      <c r="Y191" s="325">
        <f>AVT187In!BI20</f>
        <v>0</v>
      </c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5">
        <f>'AVT-celny-2x187In'!AZ41</f>
        <v>0</v>
      </c>
      <c r="AU191" s="325">
        <f>'AVT-celny-2x187In'!BI20</f>
        <v>0</v>
      </c>
      <c r="AV191" s="32"/>
      <c r="AW191" s="32"/>
      <c r="AX191" s="325">
        <f>'potr-v101+187-IL'!AZ85</f>
        <v>0</v>
      </c>
      <c r="AY191" s="325">
        <f>'potr-v101+187-IL'!BI36</f>
        <v>0</v>
      </c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165"/>
      <c r="BP191" s="165"/>
      <c r="BQ191" s="165"/>
      <c r="BR191" s="165"/>
      <c r="BS191" s="165"/>
      <c r="BT191" s="165"/>
      <c r="BU191" s="165"/>
      <c r="BV191" s="55"/>
      <c r="BW191" s="160"/>
      <c r="BX191" s="32"/>
      <c r="BY191" s="24"/>
      <c r="BZ191" s="24"/>
      <c r="CA191" s="24"/>
      <c r="CB191" s="24"/>
      <c r="CC191" s="24"/>
      <c r="CD191" s="24"/>
      <c r="CE191" s="24"/>
    </row>
    <row r="192" spans="1:83" ht="15" hidden="1" customHeight="1">
      <c r="A192" s="4"/>
      <c r="B192" s="317">
        <f>CENY!B464</f>
        <v>9268677</v>
      </c>
      <c r="C192" s="43" t="str">
        <f>VLOOKUP(B192,CENY!$B$11:$G$1054,2,FALSE)</f>
        <v>AvanY-adaptér pre bok Inlay /pre 8mm hr.</v>
      </c>
      <c r="D192" s="355">
        <f>VLOOKUP(B192,CENY!$B$11:$G$1054,3,FALSE)</f>
        <v>1</v>
      </c>
      <c r="E192" s="56" t="str">
        <f>IF(VLOOKUP(B192,CENY!$B$11:$G$1054,4,FALSE)=0,"",VLOOKUP(B192,CENY!$B$11:$G$1054,4,FALSE))</f>
        <v/>
      </c>
      <c r="F192" s="40" t="str">
        <f>IF(J192&lt;&gt;"",J192,IF(N192=0,"",N192))</f>
        <v/>
      </c>
      <c r="G192" s="52">
        <f>VLOOKUP(B192,CENY!$B$11:$M$1054,12,FALSE)</f>
        <v>1.5746</v>
      </c>
      <c r="H192" s="54" t="str">
        <f t="shared" si="42"/>
        <v xml:space="preserve"> EUR</v>
      </c>
      <c r="I192" s="41" t="str">
        <f t="shared" si="43"/>
        <v/>
      </c>
      <c r="J192" s="122"/>
      <c r="K192" s="42" t="str">
        <f>VLOOKUP(B192,CENY!$B$11:$M$1054,8,FALSE)</f>
        <v xml:space="preserve"> </v>
      </c>
      <c r="L192" s="42" t="str">
        <f>VLOOKUP(B192,CENY!$B$11:$M$1054,9,FALSE)</f>
        <v>454363</v>
      </c>
      <c r="M192" s="32"/>
      <c r="N192" s="35">
        <f t="shared" si="47"/>
        <v>0</v>
      </c>
      <c r="O192" s="36">
        <v>0</v>
      </c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165"/>
      <c r="BP192" s="165"/>
      <c r="BQ192" s="165"/>
      <c r="BR192" s="165"/>
      <c r="BS192" s="165"/>
      <c r="BT192" s="165"/>
      <c r="BU192" s="165"/>
      <c r="BV192" s="55"/>
      <c r="BW192" s="160"/>
      <c r="BX192" s="32"/>
      <c r="BY192" s="24"/>
      <c r="BZ192" s="24"/>
      <c r="CA192" s="24"/>
      <c r="CB192" s="24"/>
      <c r="CC192" s="24"/>
      <c r="CD192" s="24"/>
      <c r="CE192" s="24"/>
    </row>
    <row r="193" spans="1:83" ht="8.1" hidden="1" customHeight="1">
      <c r="A193" s="4"/>
      <c r="B193" s="317"/>
      <c r="C193" s="43"/>
      <c r="D193" s="39"/>
      <c r="E193" s="56"/>
      <c r="F193" s="40"/>
      <c r="G193" s="52"/>
      <c r="H193" s="54"/>
      <c r="I193" s="41"/>
      <c r="J193" s="122"/>
      <c r="K193" s="42"/>
      <c r="L193" s="42"/>
      <c r="M193" s="32"/>
      <c r="N193" s="35"/>
      <c r="O193" s="36">
        <v>0</v>
      </c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165"/>
      <c r="BP193" s="165"/>
      <c r="BQ193" s="165"/>
      <c r="BR193" s="165"/>
      <c r="BS193" s="165"/>
      <c r="BT193" s="165"/>
      <c r="BU193" s="165"/>
      <c r="BV193" s="55"/>
      <c r="BW193" s="160"/>
      <c r="BX193" s="32"/>
      <c r="BY193" s="24"/>
      <c r="BZ193" s="24"/>
      <c r="CA193" s="24"/>
      <c r="CB193" s="24"/>
      <c r="CC193" s="24"/>
      <c r="CD193" s="24"/>
      <c r="CE193" s="24"/>
    </row>
    <row r="194" spans="1:83" ht="15" hidden="1" customHeight="1">
      <c r="A194" s="4"/>
      <c r="B194" s="317">
        <f>IF($Q$8=$Q$7,CENY!B466,IF($Q$7=$Q$9,CENY!B469,CENY!B472))</f>
        <v>9257269</v>
      </c>
      <c r="C194" s="43" t="str">
        <f>VLOOKUP(B194,CENY!$B$11:$G$1054,2,FALSE)</f>
        <v>AvanY-čelo vnút.zásuvky /v101/d2000/strieb.</v>
      </c>
      <c r="D194" s="355">
        <f>VLOOKUP(B194,CENY!$B$11:$G$1054,3,FALSE)</f>
        <v>1</v>
      </c>
      <c r="E194" s="56" t="str">
        <f>IF(VLOOKUP(B194,CENY!$B$11:$G$1054,4,FALSE)=0,"",VLOOKUP(B194,CENY!$B$11:$G$1054,4,FALSE))</f>
        <v/>
      </c>
      <c r="F194" s="40" t="str">
        <f>IF(J194&lt;&gt;"",J194,IF(N194=0,"",N194))</f>
        <v/>
      </c>
      <c r="G194" s="52">
        <f>VLOOKUP(B194,CENY!$B$11:$M$1054,12,FALSE)</f>
        <v>71.34393</v>
      </c>
      <c r="H194" s="54" t="str">
        <f t="shared" si="42"/>
        <v xml:space="preserve"> EUR</v>
      </c>
      <c r="I194" s="41" t="str">
        <f t="shared" si="43"/>
        <v/>
      </c>
      <c r="J194" s="122"/>
      <c r="K194" s="42" t="str">
        <f>VLOOKUP(B194,CENY!$B$11:$M$1054,8,FALSE)</f>
        <v xml:space="preserve"> </v>
      </c>
      <c r="L194" s="42" t="str">
        <f>VLOOKUP(B194,CENY!$B$11:$M$1054,9,FALSE)</f>
        <v>397369</v>
      </c>
      <c r="M194" s="32"/>
      <c r="N194" s="35">
        <f>SUM(P194:BW194)</f>
        <v>0</v>
      </c>
      <c r="O194" s="36">
        <v>0</v>
      </c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33">
        <f>'AVT101(vn-A)'!AZ83</f>
        <v>0</v>
      </c>
      <c r="AA194" s="333">
        <f>'AVT101(vn-A)'!BI128</f>
        <v>0</v>
      </c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5">
        <f>'potr-v101+187'!AZ90</f>
        <v>0</v>
      </c>
      <c r="AW194" s="325">
        <f>'potr-v101+187'!BI142</f>
        <v>0</v>
      </c>
      <c r="AX194" s="325">
        <f>'potr-v101+187-IL'!AZ90</f>
        <v>0</v>
      </c>
      <c r="AY194" s="325">
        <f>'potr-v101+187-IL'!BI142</f>
        <v>0</v>
      </c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165"/>
      <c r="BP194" s="165"/>
      <c r="BQ194" s="165"/>
      <c r="BR194" s="165"/>
      <c r="BS194" s="165"/>
      <c r="BT194" s="165"/>
      <c r="BU194" s="165"/>
      <c r="BV194" s="55"/>
      <c r="BW194" s="160"/>
      <c r="BX194" s="32"/>
      <c r="BY194" s="24"/>
      <c r="BZ194" s="24"/>
      <c r="CA194" s="24"/>
      <c r="CB194" s="24"/>
      <c r="CC194" s="24"/>
      <c r="CD194" s="24"/>
      <c r="CE194" s="24"/>
    </row>
    <row r="195" spans="1:83" ht="15" hidden="1" customHeight="1">
      <c r="A195" s="4"/>
      <c r="B195" s="317">
        <f>IF($Q$8=$Q$7,CENY!B467,IF($Q$7=$Q$9,CENY!B470,CENY!B473))</f>
        <v>9257270</v>
      </c>
      <c r="C195" s="43" t="str">
        <f>VLOOKUP(B195,CENY!$B$11:$G$1054,2,FALSE)</f>
        <v>AvanY-čelo vnút.zásuvky /v139/d2000/strieb.</v>
      </c>
      <c r="D195" s="355">
        <f>VLOOKUP(B195,CENY!$B$11:$G$1054,3,FALSE)</f>
        <v>1</v>
      </c>
      <c r="E195" s="56" t="str">
        <f>IF(VLOOKUP(B195,CENY!$B$11:$G$1054,4,FALSE)=0,"",VLOOKUP(B195,CENY!$B$11:$G$1054,4,FALSE))</f>
        <v/>
      </c>
      <c r="F195" s="40" t="str">
        <f>IF(J195&lt;&gt;"",J195,IF(N195=0,"",N195))</f>
        <v/>
      </c>
      <c r="G195" s="52">
        <f>VLOOKUP(B195,CENY!$B$11:$M$1054,12,FALSE)</f>
        <v>85.345950000000002</v>
      </c>
      <c r="H195" s="54" t="str">
        <f t="shared" si="42"/>
        <v xml:space="preserve"> EUR</v>
      </c>
      <c r="I195" s="41" t="str">
        <f t="shared" si="43"/>
        <v/>
      </c>
      <c r="J195" s="122"/>
      <c r="K195" s="42" t="str">
        <f>VLOOKUP(B195,CENY!$B$11:$M$1054,8,FALSE)</f>
        <v xml:space="preserve"> </v>
      </c>
      <c r="L195" s="42" t="str">
        <f>VLOOKUP(B195,CENY!$B$11:$M$1054,9,FALSE)</f>
        <v>397370</v>
      </c>
      <c r="M195" s="32"/>
      <c r="N195" s="35">
        <f>SUM(P195:BW195)</f>
        <v>0</v>
      </c>
      <c r="O195" s="36">
        <v>0</v>
      </c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33">
        <f>'AVT139(vn-A)'!AZ93</f>
        <v>0</v>
      </c>
      <c r="AC195" s="333">
        <f>'AVT139(vn-A)'!BI128</f>
        <v>0</v>
      </c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165"/>
      <c r="BP195" s="165"/>
      <c r="BQ195" s="165"/>
      <c r="BR195" s="165"/>
      <c r="BS195" s="165"/>
      <c r="BT195" s="165"/>
      <c r="BU195" s="165"/>
      <c r="BV195" s="55"/>
      <c r="BW195" s="160"/>
      <c r="BX195" s="32"/>
      <c r="BY195" s="24"/>
      <c r="BZ195" s="24"/>
      <c r="CA195" s="24"/>
      <c r="CB195" s="24"/>
      <c r="CC195" s="24"/>
      <c r="CD195" s="24"/>
      <c r="CE195" s="24"/>
    </row>
    <row r="196" spans="1:83" ht="15" hidden="1" customHeight="1">
      <c r="A196" s="4"/>
      <c r="B196" s="317">
        <f>IF($Q$8=$Q$7,CENY!B468,IF($Q$7=$Q$9,CENY!B471,CENY!B474))</f>
        <v>9257271</v>
      </c>
      <c r="C196" s="43" t="str">
        <f>VLOOKUP(B196,CENY!$B$11:$G$1054,2,FALSE)</f>
        <v>AvanY-čelo vnút.zásuvky /v187/d2000/strieb.</v>
      </c>
      <c r="D196" s="355">
        <f>VLOOKUP(B196,CENY!$B$11:$G$1054,3,FALSE)</f>
        <v>1</v>
      </c>
      <c r="E196" s="56" t="str">
        <f>IF(VLOOKUP(B196,CENY!$B$11:$G$1054,4,FALSE)=0,"",VLOOKUP(B196,CENY!$B$11:$G$1054,4,FALSE))</f>
        <v/>
      </c>
      <c r="F196" s="40" t="str">
        <f>IF(J196&lt;&gt;"",J196,IF(N196=0,"",N196))</f>
        <v/>
      </c>
      <c r="G196" s="52">
        <f>VLOOKUP(B196,CENY!$B$11:$M$1054,12,FALSE)</f>
        <v>106.6825</v>
      </c>
      <c r="H196" s="54" t="str">
        <f t="shared" si="42"/>
        <v xml:space="preserve"> EUR</v>
      </c>
      <c r="I196" s="41" t="str">
        <f t="shared" si="43"/>
        <v/>
      </c>
      <c r="J196" s="122"/>
      <c r="K196" s="42" t="str">
        <f>VLOOKUP(B196,CENY!$B$11:$M$1054,8,FALSE)</f>
        <v xml:space="preserve"> </v>
      </c>
      <c r="L196" s="42" t="str">
        <f>VLOOKUP(B196,CENY!$B$11:$M$1054,9,FALSE)</f>
        <v>397371</v>
      </c>
      <c r="M196" s="32"/>
      <c r="N196" s="35">
        <f>SUM(P196:BW196)</f>
        <v>0</v>
      </c>
      <c r="O196" s="36">
        <v>0</v>
      </c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33">
        <f>'AVT187(vn-A)'!AZ83</f>
        <v>0</v>
      </c>
      <c r="AE196" s="333">
        <f>'AVT187(vn-A)'!BI128</f>
        <v>0</v>
      </c>
      <c r="AF196" s="333">
        <f>'AVT187In(vn-A)'!AZ83</f>
        <v>0</v>
      </c>
      <c r="AG196" s="333">
        <f>'AVT187In(vn-A)'!BI102</f>
        <v>0</v>
      </c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5">
        <f>'potr-v101+187'!AZ92</f>
        <v>0</v>
      </c>
      <c r="AW196" s="325">
        <f>'potr-v101+187'!BI143</f>
        <v>0</v>
      </c>
      <c r="AX196" s="325">
        <f>'potr-v101+187-IL'!AZ92</f>
        <v>0</v>
      </c>
      <c r="AY196" s="325">
        <f>'potr-v101+187-IL'!BI143</f>
        <v>0</v>
      </c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165"/>
      <c r="BP196" s="165"/>
      <c r="BQ196" s="165"/>
      <c r="BR196" s="165"/>
      <c r="BS196" s="165"/>
      <c r="BT196" s="165"/>
      <c r="BU196" s="165"/>
      <c r="BV196" s="55"/>
      <c r="BW196" s="160"/>
      <c r="BX196" s="32"/>
      <c r="BY196" s="24"/>
      <c r="BZ196" s="24"/>
      <c r="CA196" s="24"/>
      <c r="CB196" s="24"/>
      <c r="CC196" s="24"/>
      <c r="CD196" s="24"/>
      <c r="CE196" s="24"/>
    </row>
    <row r="197" spans="1:83" ht="8.1" hidden="1" customHeight="1">
      <c r="A197" s="4"/>
      <c r="B197" s="317"/>
      <c r="C197" s="43"/>
      <c r="D197" s="39"/>
      <c r="E197" s="56"/>
      <c r="F197" s="60"/>
      <c r="G197" s="52"/>
      <c r="H197" s="54"/>
      <c r="I197" s="41"/>
      <c r="J197" s="122"/>
      <c r="K197" s="42"/>
      <c r="L197" s="42"/>
      <c r="M197" s="32"/>
      <c r="N197" s="35"/>
      <c r="O197" s="36">
        <v>0</v>
      </c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165"/>
      <c r="BP197" s="165"/>
      <c r="BQ197" s="165"/>
      <c r="BR197" s="165"/>
      <c r="BS197" s="165"/>
      <c r="BT197" s="165"/>
      <c r="BU197" s="165"/>
      <c r="BV197" s="55"/>
      <c r="BW197" s="160"/>
      <c r="BX197" s="32"/>
      <c r="BY197" s="24"/>
      <c r="BZ197" s="24"/>
      <c r="CA197" s="24"/>
      <c r="CB197" s="24"/>
      <c r="CC197" s="24"/>
      <c r="CD197" s="24"/>
      <c r="CE197" s="24"/>
    </row>
    <row r="198" spans="1:83" ht="15" hidden="1" customHeight="1">
      <c r="A198" s="4"/>
      <c r="B198" s="317">
        <f>IF($Q$8=$Q$7,CENY!B475,IF($Q$7=$Q$9,CENY!B478,CENY!B481))</f>
        <v>9257611</v>
      </c>
      <c r="C198" s="43" t="str">
        <f>VLOOKUP(B198,CENY!$B$11:$G$1054,2,FALSE)</f>
        <v>AvanY-spojky čela vnút.zás./v101/strieb.</v>
      </c>
      <c r="D198" s="364">
        <f>VLOOKUP(B198,CENY!$B$11:$G$1054,3,FALSE)</f>
        <v>1</v>
      </c>
      <c r="E198" s="56" t="str">
        <f>IF(VLOOKUP(B198,CENY!$B$11:$G$1054,4,FALSE)=0,"",VLOOKUP(B198,CENY!$B$11:$G$1054,4,FALSE))</f>
        <v/>
      </c>
      <c r="F198" s="40" t="str">
        <f>IF(J198&lt;&gt;"",J198,IF(N198=0,"",N198))</f>
        <v/>
      </c>
      <c r="G198" s="52">
        <f>VLOOKUP(B198,CENY!$B$11:$M$1054,12,FALSE)</f>
        <v>4.6785699999999997</v>
      </c>
      <c r="H198" s="54" t="str">
        <f t="shared" si="42"/>
        <v xml:space="preserve"> EUR</v>
      </c>
      <c r="I198" s="41" t="str">
        <f t="shared" si="43"/>
        <v/>
      </c>
      <c r="J198" s="122"/>
      <c r="K198" s="42" t="str">
        <f>VLOOKUP(B198,CENY!$B$11:$M$1054,8,FALSE)</f>
        <v xml:space="preserve"> </v>
      </c>
      <c r="L198" s="42" t="str">
        <f>VLOOKUP(B198,CENY!$B$11:$M$1054,9,FALSE)</f>
        <v>397378</v>
      </c>
      <c r="M198" s="32"/>
      <c r="N198" s="35">
        <f>SUM(P198:BW198)</f>
        <v>0</v>
      </c>
      <c r="O198" s="36">
        <v>0</v>
      </c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33">
        <f>'AVT101(vn-A)'!AZ84</f>
        <v>0</v>
      </c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5">
        <f>'potr-v101+187'!AZ91</f>
        <v>0</v>
      </c>
      <c r="AW198" s="32"/>
      <c r="AX198" s="325">
        <f>'potr-v101+187-IL'!AZ91</f>
        <v>0</v>
      </c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165"/>
      <c r="BP198" s="165"/>
      <c r="BQ198" s="165"/>
      <c r="BR198" s="165"/>
      <c r="BS198" s="165"/>
      <c r="BT198" s="165"/>
      <c r="BU198" s="165"/>
      <c r="BV198" s="55"/>
      <c r="BW198" s="160"/>
      <c r="BX198" s="32"/>
      <c r="BY198" s="24"/>
      <c r="BZ198" s="24"/>
      <c r="CA198" s="24"/>
      <c r="CB198" s="24"/>
      <c r="CC198" s="24"/>
      <c r="CD198" s="24"/>
      <c r="CE198" s="24"/>
    </row>
    <row r="199" spans="1:83" ht="15" hidden="1" customHeight="1">
      <c r="A199" s="4"/>
      <c r="B199" s="317">
        <f>IF($Q$8=$Q$7,CENY!B476,IF($Q$7=$Q$9,CENY!B479,CENY!B482))</f>
        <v>9257612</v>
      </c>
      <c r="C199" s="43" t="str">
        <f>VLOOKUP(B199,CENY!$B$11:$G$1054,2,FALSE)</f>
        <v>AvanY-spojky čela vnút.zás./v139/strieb.</v>
      </c>
      <c r="D199" s="364">
        <f>VLOOKUP(B199,CENY!$B$11:$G$1054,3,FALSE)</f>
        <v>1</v>
      </c>
      <c r="E199" s="56" t="str">
        <f>IF(VLOOKUP(B199,CENY!$B$11:$G$1054,4,FALSE)=0,"",VLOOKUP(B199,CENY!$B$11:$G$1054,4,FALSE))</f>
        <v/>
      </c>
      <c r="F199" s="40" t="str">
        <f>IF(J199&lt;&gt;"",J199,IF(N199=0,"",N199))</f>
        <v/>
      </c>
      <c r="G199" s="52">
        <f>VLOOKUP(B199,CENY!$B$11:$M$1054,12,FALSE)</f>
        <v>5.9231600000000002</v>
      </c>
      <c r="H199" s="54" t="str">
        <f t="shared" si="42"/>
        <v xml:space="preserve"> EUR</v>
      </c>
      <c r="I199" s="41" t="str">
        <f t="shared" si="43"/>
        <v/>
      </c>
      <c r="J199" s="122"/>
      <c r="K199" s="42" t="str">
        <f>VLOOKUP(B199,CENY!$B$11:$M$1054,8,FALSE)</f>
        <v xml:space="preserve"> </v>
      </c>
      <c r="L199" s="42" t="str">
        <f>VLOOKUP(B199,CENY!$B$11:$M$1054,9,FALSE)</f>
        <v>397379</v>
      </c>
      <c r="M199" s="32"/>
      <c r="N199" s="35">
        <f>SUM(P199:BW199)</f>
        <v>0</v>
      </c>
      <c r="O199" s="36">
        <v>0</v>
      </c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33">
        <f>'AVT139(vn-A)'!AZ94</f>
        <v>0</v>
      </c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165"/>
      <c r="BP199" s="165"/>
      <c r="BQ199" s="165"/>
      <c r="BR199" s="165"/>
      <c r="BS199" s="165"/>
      <c r="BT199" s="165"/>
      <c r="BU199" s="165"/>
      <c r="BV199" s="55"/>
      <c r="BW199" s="160"/>
      <c r="BX199" s="32"/>
      <c r="BY199" s="24"/>
      <c r="BZ199" s="24"/>
      <c r="CA199" s="24"/>
      <c r="CB199" s="24"/>
      <c r="CC199" s="24"/>
      <c r="CD199" s="24"/>
      <c r="CE199" s="24"/>
    </row>
    <row r="200" spans="1:83" ht="15" hidden="1" customHeight="1">
      <c r="A200" s="4"/>
      <c r="B200" s="317">
        <f>IF($Q$8=$Q$7,CENY!B477,IF($Q$7=$Q$9,CENY!B480,CENY!B483))</f>
        <v>9257613</v>
      </c>
      <c r="C200" s="43" t="str">
        <f>VLOOKUP(B200,CENY!$B$11:$G$1054,2,FALSE)</f>
        <v>AvanY-spojky čela vnút.zás./v187/strieb.</v>
      </c>
      <c r="D200" s="364">
        <f>VLOOKUP(B200,CENY!$B$11:$G$1054,3,FALSE)</f>
        <v>1</v>
      </c>
      <c r="E200" s="56" t="str">
        <f>IF(VLOOKUP(B200,CENY!$B$11:$G$1054,4,FALSE)=0,"",VLOOKUP(B200,CENY!$B$11:$G$1054,4,FALSE))</f>
        <v/>
      </c>
      <c r="F200" s="40" t="str">
        <f>IF(J200&lt;&gt;"",J200,IF(N200=0,"",N200))</f>
        <v/>
      </c>
      <c r="G200" s="52">
        <f>VLOOKUP(B200,CENY!$B$11:$M$1054,12,FALSE)</f>
        <v>8.1442599999999992</v>
      </c>
      <c r="H200" s="54" t="str">
        <f t="shared" si="42"/>
        <v xml:space="preserve"> EUR</v>
      </c>
      <c r="I200" s="41" t="str">
        <f t="shared" si="43"/>
        <v/>
      </c>
      <c r="J200" s="122"/>
      <c r="K200" s="42" t="str">
        <f>VLOOKUP(B200,CENY!$B$11:$M$1054,8,FALSE)</f>
        <v xml:space="preserve"> </v>
      </c>
      <c r="L200" s="42" t="str">
        <f>VLOOKUP(B200,CENY!$B$11:$M$1054,9,FALSE)</f>
        <v>397380</v>
      </c>
      <c r="M200" s="32"/>
      <c r="N200" s="35">
        <f>SUM(P200:BW200)</f>
        <v>0</v>
      </c>
      <c r="O200" s="36">
        <v>0</v>
      </c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33">
        <f>'AVT187(vn-A)'!AZ84</f>
        <v>0</v>
      </c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5">
        <f>'potr-v101+187'!AZ93</f>
        <v>0</v>
      </c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165"/>
      <c r="BP200" s="165"/>
      <c r="BQ200" s="165"/>
      <c r="BR200" s="165"/>
      <c r="BS200" s="165"/>
      <c r="BT200" s="165"/>
      <c r="BU200" s="165"/>
      <c r="BV200" s="55"/>
      <c r="BW200" s="160"/>
      <c r="BX200" s="32"/>
      <c r="BY200" s="24"/>
      <c r="BZ200" s="24"/>
      <c r="CA200" s="24"/>
      <c r="CB200" s="24"/>
      <c r="CC200" s="24"/>
      <c r="CD200" s="24"/>
      <c r="CE200" s="24"/>
    </row>
    <row r="201" spans="1:83" ht="15" hidden="1" customHeight="1">
      <c r="A201" s="4"/>
      <c r="B201" s="317">
        <f>IF($Q$8=$Q$7,CENY!B484,IF($Q$7=$Q$9,CENY!B485,CENY!B486))</f>
        <v>9257623</v>
      </c>
      <c r="C201" s="43" t="str">
        <f>VLOOKUP(B201,CENY!$B$11:$G$1054,2,FALSE)</f>
        <v>AvanY-spojky čela vnút.Inlay/v187/strieb.</v>
      </c>
      <c r="D201" s="364">
        <f>VLOOKUP(B201,CENY!$B$11:$G$1054,3,FALSE)</f>
        <v>1</v>
      </c>
      <c r="E201" s="56" t="str">
        <f>IF(VLOOKUP(B201,CENY!$B$11:$G$1054,4,FALSE)=0,"",VLOOKUP(B201,CENY!$B$11:$G$1054,4,FALSE))</f>
        <v/>
      </c>
      <c r="F201" s="40" t="str">
        <f>IF(J201&lt;&gt;"",J201,IF(N201=0,"",N201))</f>
        <v/>
      </c>
      <c r="G201" s="52">
        <f>VLOOKUP(B201,CENY!$B$11:$M$1054,12,FALSE)</f>
        <v>7.2178100000000001</v>
      </c>
      <c r="H201" s="54" t="str">
        <f t="shared" si="42"/>
        <v xml:space="preserve"> EUR</v>
      </c>
      <c r="I201" s="41" t="str">
        <f t="shared" si="43"/>
        <v/>
      </c>
      <c r="J201" s="122"/>
      <c r="K201" s="42" t="str">
        <f>VLOOKUP(B201,CENY!$B$11:$M$1054,8,FALSE)</f>
        <v xml:space="preserve"> </v>
      </c>
      <c r="L201" s="42" t="str">
        <f>VLOOKUP(B201,CENY!$B$11:$M$1054,9,FALSE)</f>
        <v>397387</v>
      </c>
      <c r="M201" s="32"/>
      <c r="N201" s="35">
        <f>SUM(P201:BW201)</f>
        <v>0</v>
      </c>
      <c r="O201" s="36">
        <v>0</v>
      </c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33">
        <f>'AVT187In(vn-A)'!AZ84</f>
        <v>0</v>
      </c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5">
        <f>'potr-v101+187-IL'!AZ93</f>
        <v>0</v>
      </c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165"/>
      <c r="BP201" s="165"/>
      <c r="BQ201" s="165"/>
      <c r="BR201" s="165"/>
      <c r="BS201" s="165"/>
      <c r="BT201" s="165"/>
      <c r="BU201" s="165"/>
      <c r="BV201" s="55"/>
      <c r="BW201" s="160"/>
      <c r="BX201" s="32"/>
      <c r="BY201" s="24"/>
      <c r="BZ201" s="24"/>
      <c r="CA201" s="24"/>
      <c r="CB201" s="24"/>
      <c r="CC201" s="24"/>
      <c r="CD201" s="24"/>
      <c r="CE201" s="24"/>
    </row>
    <row r="202" spans="1:83" ht="8.1" hidden="1" customHeight="1">
      <c r="A202" s="4"/>
      <c r="B202" s="317"/>
      <c r="C202" s="43"/>
      <c r="D202" s="39"/>
      <c r="E202" s="56"/>
      <c r="F202" s="40"/>
      <c r="G202" s="52"/>
      <c r="H202" s="54"/>
      <c r="I202" s="41"/>
      <c r="J202" s="122"/>
      <c r="K202" s="42"/>
      <c r="L202" s="42"/>
      <c r="M202" s="32"/>
      <c r="N202" s="35"/>
      <c r="O202" s="36">
        <v>0</v>
      </c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165"/>
      <c r="BP202" s="165"/>
      <c r="BQ202" s="165"/>
      <c r="BR202" s="165"/>
      <c r="BS202" s="165"/>
      <c r="BT202" s="165"/>
      <c r="BU202" s="165"/>
      <c r="BV202" s="55"/>
      <c r="BW202" s="160"/>
      <c r="BX202" s="32"/>
      <c r="BY202" s="24"/>
      <c r="BZ202" s="24"/>
      <c r="CA202" s="24"/>
      <c r="CB202" s="24"/>
      <c r="CC202" s="24"/>
      <c r="CD202" s="24"/>
      <c r="CE202" s="24"/>
    </row>
    <row r="203" spans="1:83" ht="15" hidden="1" customHeight="1">
      <c r="A203" s="4"/>
      <c r="B203" s="317">
        <f>CENY!B487</f>
        <v>9257641</v>
      </c>
      <c r="C203" s="43" t="str">
        <f>VLOOKUP(B203,CENY!$B$11:$G$1054,2,FALSE)</f>
        <v>AvanY-stabilizátor čela vnút.zásuvky</v>
      </c>
      <c r="D203" s="353">
        <f>VLOOKUP(B203,CENY!$B$11:$G$1054,3,FALSE)</f>
        <v>100</v>
      </c>
      <c r="E203" s="56" t="str">
        <f>IF(VLOOKUP(B203,CENY!$B$11:$G$1054,4,FALSE)=0,"",VLOOKUP(B203,CENY!$B$11:$G$1054,4,FALSE))</f>
        <v/>
      </c>
      <c r="F203" s="40" t="str">
        <f>IF(J203&lt;&gt;"",J203,IF(N203=0,"",N203))</f>
        <v/>
      </c>
      <c r="G203" s="52">
        <f>VLOOKUP(B203,CENY!$B$11:$M$1054,12,FALSE)</f>
        <v>0.52149000000000001</v>
      </c>
      <c r="H203" s="54" t="str">
        <f t="shared" si="42"/>
        <v xml:space="preserve"> EUR</v>
      </c>
      <c r="I203" s="41" t="str">
        <f t="shared" si="43"/>
        <v/>
      </c>
      <c r="J203" s="122"/>
      <c r="K203" s="42" t="str">
        <f>VLOOKUP(B203,CENY!$B$11:$M$1054,8,FALSE)</f>
        <v xml:space="preserve"> </v>
      </c>
      <c r="L203" s="42" t="str">
        <f>VLOOKUP(B203,CENY!$B$11:$M$1054,9,FALSE)</f>
        <v>397390</v>
      </c>
      <c r="M203" s="32"/>
      <c r="N203" s="35">
        <f>SUM(P203:BW203)</f>
        <v>0</v>
      </c>
      <c r="O203" s="36">
        <v>0</v>
      </c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33">
        <f>'AVT101(vn-A)'!BI130</f>
        <v>0</v>
      </c>
      <c r="AB203" s="32"/>
      <c r="AC203" s="333">
        <f>'AVT139(vn-A)'!BI130</f>
        <v>0</v>
      </c>
      <c r="AD203" s="32"/>
      <c r="AE203" s="333">
        <f>'AVT187(vn-A)'!BI130</f>
        <v>0</v>
      </c>
      <c r="AF203" s="32"/>
      <c r="AG203" s="333">
        <f>'AVT187In(vn-A)'!BI104</f>
        <v>0</v>
      </c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5">
        <f>'potr-v101+187'!BI145</f>
        <v>0</v>
      </c>
      <c r="AX203" s="32"/>
      <c r="AY203" s="325">
        <f>'potr-v101+187-IL'!BI145</f>
        <v>0</v>
      </c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165"/>
      <c r="BP203" s="165"/>
      <c r="BQ203" s="165"/>
      <c r="BR203" s="165"/>
      <c r="BS203" s="165"/>
      <c r="BT203" s="165"/>
      <c r="BU203" s="165"/>
      <c r="BV203" s="55"/>
      <c r="BW203" s="160"/>
      <c r="BX203" s="32"/>
      <c r="BY203" s="24"/>
      <c r="BZ203" s="24"/>
      <c r="CA203" s="24"/>
      <c r="CB203" s="24"/>
      <c r="CC203" s="24"/>
      <c r="CD203" s="24"/>
      <c r="CE203" s="24"/>
    </row>
    <row r="204" spans="1:83" ht="15" hidden="1" customHeight="1">
      <c r="A204" s="4"/>
      <c r="B204" s="317">
        <f>IF($Q$8=$Q$7,CENY!B491,IF($Q$7=$Q$9,CENY!B494,CENY!B497))</f>
        <v>9257629</v>
      </c>
      <c r="C204" s="43" t="str">
        <f>VLOOKUP(B204,CENY!$B$11:$G$1054,2,FALSE)</f>
        <v>AvanY-krytka čela vnút.zás./v101/strieb.</v>
      </c>
      <c r="D204" s="353">
        <f>VLOOKUP(B204,CENY!$B$11:$G$1054,3,FALSE)</f>
        <v>200</v>
      </c>
      <c r="E204" s="56" t="str">
        <f>IF(VLOOKUP(B204,CENY!$B$11:$G$1054,4,FALSE)=0,"",VLOOKUP(B204,CENY!$B$11:$G$1054,4,FALSE))</f>
        <v/>
      </c>
      <c r="F204" s="40" t="str">
        <f>IF(J204&lt;&gt;"",J204,IF(N204=0,"",N204))</f>
        <v/>
      </c>
      <c r="G204" s="52">
        <f>VLOOKUP(B204,CENY!$B$11:$M$1054,12,FALSE)</f>
        <v>0.21284</v>
      </c>
      <c r="H204" s="54" t="str">
        <f t="shared" si="42"/>
        <v xml:space="preserve"> EUR</v>
      </c>
      <c r="I204" s="41" t="str">
        <f t="shared" si="43"/>
        <v/>
      </c>
      <c r="J204" s="122"/>
      <c r="K204" s="42" t="str">
        <f>VLOOKUP(B204,CENY!$B$11:$M$1054,8,FALSE)</f>
        <v xml:space="preserve"> </v>
      </c>
      <c r="L204" s="42" t="str">
        <f>VLOOKUP(B204,CENY!$B$11:$M$1054,9,FALSE)</f>
        <v>397391</v>
      </c>
      <c r="M204" s="32"/>
      <c r="N204" s="35">
        <f>SUM(P204:BW204)</f>
        <v>0</v>
      </c>
      <c r="O204" s="36">
        <v>0</v>
      </c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33">
        <f>'AVT101(vn-A)'!BI131</f>
        <v>0</v>
      </c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5">
        <f>'potr-v101+187'!BI146</f>
        <v>0</v>
      </c>
      <c r="AX204" s="32"/>
      <c r="AY204" s="325">
        <f>'potr-v101+187-IL'!BI146</f>
        <v>0</v>
      </c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165"/>
      <c r="BP204" s="165"/>
      <c r="BQ204" s="165"/>
      <c r="BR204" s="165"/>
      <c r="BS204" s="165"/>
      <c r="BT204" s="165"/>
      <c r="BU204" s="165"/>
      <c r="BV204" s="55"/>
      <c r="BW204" s="160"/>
      <c r="BX204" s="32"/>
      <c r="BY204" s="24"/>
      <c r="BZ204" s="24"/>
      <c r="CA204" s="24"/>
      <c r="CB204" s="24"/>
      <c r="CC204" s="24"/>
      <c r="CD204" s="24"/>
      <c r="CE204" s="24"/>
    </row>
    <row r="205" spans="1:83" ht="15" hidden="1" customHeight="1">
      <c r="A205" s="4"/>
      <c r="B205" s="317">
        <f>IF($Q$8=$Q$7,CENY!B492,IF($Q$7=$Q$9,CENY!B495,CENY!B498))</f>
        <v>9257630</v>
      </c>
      <c r="C205" s="43" t="str">
        <f>VLOOKUP(B205,CENY!$B$11:$G$1054,2,FALSE)</f>
        <v>AvanY-krytka čela vnút.zás./v139/strieb.</v>
      </c>
      <c r="D205" s="353">
        <f>VLOOKUP(B205,CENY!$B$11:$G$1054,3,FALSE)</f>
        <v>200</v>
      </c>
      <c r="E205" s="56" t="str">
        <f>IF(VLOOKUP(B205,CENY!$B$11:$G$1054,4,FALSE)=0,"",VLOOKUP(B205,CENY!$B$11:$G$1054,4,FALSE))</f>
        <v/>
      </c>
      <c r="F205" s="40" t="str">
        <f>IF(J205&lt;&gt;"",J205,IF(N205=0,"",N205))</f>
        <v/>
      </c>
      <c r="G205" s="52">
        <f>VLOOKUP(B205,CENY!$B$11:$M$1054,12,FALSE)</f>
        <v>0.29314000000000001</v>
      </c>
      <c r="H205" s="54" t="str">
        <f t="shared" si="42"/>
        <v xml:space="preserve"> EUR</v>
      </c>
      <c r="I205" s="41" t="str">
        <f t="shared" si="43"/>
        <v/>
      </c>
      <c r="J205" s="122"/>
      <c r="K205" s="42" t="str">
        <f>VLOOKUP(B205,CENY!$B$11:$M$1054,8,FALSE)</f>
        <v xml:space="preserve"> </v>
      </c>
      <c r="L205" s="42" t="str">
        <f>VLOOKUP(B205,CENY!$B$11:$M$1054,9,FALSE)</f>
        <v>397392</v>
      </c>
      <c r="M205" s="32"/>
      <c r="N205" s="35">
        <f>SUM(P205:BW205)</f>
        <v>0</v>
      </c>
      <c r="O205" s="36">
        <v>0</v>
      </c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33">
        <f>'AVT139(vn-A)'!BI131</f>
        <v>0</v>
      </c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165"/>
      <c r="BP205" s="165"/>
      <c r="BQ205" s="165"/>
      <c r="BR205" s="165"/>
      <c r="BS205" s="165"/>
      <c r="BT205" s="165"/>
      <c r="BU205" s="165"/>
      <c r="BV205" s="55"/>
      <c r="BW205" s="160"/>
      <c r="BX205" s="32"/>
      <c r="BY205" s="24"/>
      <c r="BZ205" s="24"/>
      <c r="CA205" s="24"/>
      <c r="CB205" s="24"/>
      <c r="CC205" s="24"/>
      <c r="CD205" s="24"/>
      <c r="CE205" s="24"/>
    </row>
    <row r="206" spans="1:83" ht="15" hidden="1" customHeight="1">
      <c r="A206" s="4"/>
      <c r="B206" s="317">
        <f>IF($Q$8=$Q$7,CENY!B493,IF($Q$7=$Q$9,CENY!B496,CENY!B499))</f>
        <v>9257631</v>
      </c>
      <c r="C206" s="43" t="str">
        <f>VLOOKUP(B206,CENY!$B$11:$G$1054,2,FALSE)</f>
        <v>AvanY-krytka čela vnút.zás./v187/strieb.</v>
      </c>
      <c r="D206" s="353">
        <f>VLOOKUP(B206,CENY!$B$11:$G$1054,3,FALSE)</f>
        <v>200</v>
      </c>
      <c r="E206" s="56" t="str">
        <f>IF(VLOOKUP(B206,CENY!$B$11:$G$1054,4,FALSE)=0,"",VLOOKUP(B206,CENY!$B$11:$G$1054,4,FALSE))</f>
        <v/>
      </c>
      <c r="F206" s="40" t="str">
        <f>IF(J206&lt;&gt;"",J206,IF(N206=0,"",N206))</f>
        <v/>
      </c>
      <c r="G206" s="52">
        <f>VLOOKUP(B206,CENY!$B$11:$M$1054,12,FALSE)</f>
        <v>0.38140000000000002</v>
      </c>
      <c r="H206" s="54" t="str">
        <f t="shared" si="42"/>
        <v xml:space="preserve"> EUR</v>
      </c>
      <c r="I206" s="41" t="str">
        <f t="shared" si="43"/>
        <v/>
      </c>
      <c r="J206" s="122"/>
      <c r="K206" s="42" t="str">
        <f>VLOOKUP(B206,CENY!$B$11:$M$1054,8,FALSE)</f>
        <v xml:space="preserve"> </v>
      </c>
      <c r="L206" s="42" t="str">
        <f>VLOOKUP(B206,CENY!$B$11:$M$1054,9,FALSE)</f>
        <v>397393</v>
      </c>
      <c r="M206" s="32"/>
      <c r="N206" s="35">
        <f>SUM(P206:BW206)</f>
        <v>0</v>
      </c>
      <c r="O206" s="36">
        <v>0</v>
      </c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33">
        <f>'AVT187(vn-A)'!BI131</f>
        <v>0</v>
      </c>
      <c r="AF206" s="32"/>
      <c r="AG206" s="333">
        <f>'AVT187In(vn-A)'!BI105</f>
        <v>0</v>
      </c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5">
        <f>'potr-v101+187'!BI147</f>
        <v>0</v>
      </c>
      <c r="AX206" s="32"/>
      <c r="AY206" s="325">
        <f>'potr-v101+187-IL'!BI147</f>
        <v>0</v>
      </c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165"/>
      <c r="BP206" s="165"/>
      <c r="BQ206" s="165"/>
      <c r="BR206" s="165"/>
      <c r="BS206" s="165"/>
      <c r="BT206" s="165"/>
      <c r="BU206" s="165"/>
      <c r="BV206" s="55"/>
      <c r="BW206" s="160"/>
      <c r="BX206" s="32"/>
      <c r="BY206" s="24"/>
      <c r="BZ206" s="24"/>
      <c r="CA206" s="24"/>
      <c r="CB206" s="24"/>
      <c r="CC206" s="24"/>
      <c r="CD206" s="24"/>
      <c r="CE206" s="24"/>
    </row>
    <row r="207" spans="1:83" ht="8.1" hidden="1" customHeight="1">
      <c r="A207" s="4"/>
      <c r="B207" s="126"/>
      <c r="C207" s="43"/>
      <c r="D207" s="39"/>
      <c r="E207" s="56"/>
      <c r="F207" s="60"/>
      <c r="G207" s="52"/>
      <c r="H207" s="54"/>
      <c r="I207" s="41"/>
      <c r="J207" s="122"/>
      <c r="K207" s="42"/>
      <c r="L207" s="42"/>
      <c r="M207" s="32"/>
      <c r="N207" s="35"/>
      <c r="O207" s="36">
        <v>0</v>
      </c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165"/>
      <c r="BP207" s="165"/>
      <c r="BQ207" s="165"/>
      <c r="BR207" s="165"/>
      <c r="BS207" s="165"/>
      <c r="BT207" s="165"/>
      <c r="BU207" s="165"/>
      <c r="BV207" s="55"/>
      <c r="BW207" s="160"/>
      <c r="BX207" s="32"/>
      <c r="BY207" s="24"/>
      <c r="BZ207" s="24"/>
      <c r="CA207" s="24"/>
      <c r="CB207" s="24"/>
      <c r="CC207" s="24"/>
      <c r="CD207" s="24"/>
      <c r="CE207" s="24"/>
    </row>
    <row r="208" spans="1:83" ht="15" hidden="1" customHeight="1">
      <c r="A208" s="4"/>
      <c r="B208" s="317">
        <f>IF($Q$8=$Q$7,CENY!B488,IF($Q$7=$Q$9,CENY!B489,CENY!B490))</f>
        <v>9257734</v>
      </c>
      <c r="C208" s="43" t="str">
        <f>VLOOKUP(B208,CENY!$B$11:$G$1054,2,FALSE)</f>
        <v>AvanY-unášač vnútornej zásuvky ; sivá</v>
      </c>
      <c r="D208" s="355">
        <f>VLOOKUP(B208,CENY!$B$11:$G$1054,3,FALSE)</f>
        <v>1</v>
      </c>
      <c r="E208" s="56" t="str">
        <f>IF(VLOOKUP(B208,CENY!$B$11:$G$1054,4,FALSE)=0,"",VLOOKUP(B208,CENY!$B$11:$G$1054,4,FALSE))</f>
        <v/>
      </c>
      <c r="F208" s="40" t="str">
        <f>IF(J208&lt;&gt;"",J208,IF(N208=0,"",N208))</f>
        <v/>
      </c>
      <c r="G208" s="52">
        <f>VLOOKUP(B208,CENY!$B$11:$M$1054,12,FALSE)</f>
        <v>8.2656799999999997</v>
      </c>
      <c r="H208" s="54" t="str">
        <f t="shared" si="42"/>
        <v xml:space="preserve"> EUR</v>
      </c>
      <c r="I208" s="41" t="str">
        <f t="shared" si="43"/>
        <v/>
      </c>
      <c r="J208" s="122"/>
      <c r="K208" s="42" t="str">
        <f>VLOOKUP(B208,CENY!$B$11:$M$1054,8,FALSE)</f>
        <v xml:space="preserve"> </v>
      </c>
      <c r="L208" s="42" t="str">
        <f>VLOOKUP(B208,CENY!$B$11:$M$1054,9,FALSE)</f>
        <v>481350</v>
      </c>
      <c r="M208" s="32"/>
      <c r="N208" s="35">
        <f>SUM(P208:BW208)</f>
        <v>0</v>
      </c>
      <c r="O208" s="36">
        <v>0</v>
      </c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165"/>
      <c r="BP208" s="165"/>
      <c r="BQ208" s="165"/>
      <c r="BR208" s="165"/>
      <c r="BS208" s="165"/>
      <c r="BT208" s="165"/>
      <c r="BU208" s="165"/>
      <c r="BV208" s="55"/>
      <c r="BW208" s="160"/>
      <c r="BX208" s="32"/>
      <c r="BY208" s="24"/>
      <c r="BZ208" s="24"/>
      <c r="CA208" s="24"/>
      <c r="CB208" s="24"/>
      <c r="CC208" s="24"/>
      <c r="CD208" s="24"/>
      <c r="CE208" s="24"/>
    </row>
    <row r="209" spans="1:83" ht="8.1" hidden="1" customHeight="1">
      <c r="A209" s="4"/>
      <c r="B209" s="126"/>
      <c r="C209" s="43"/>
      <c r="D209" s="39"/>
      <c r="E209" s="56"/>
      <c r="F209" s="60"/>
      <c r="G209" s="52"/>
      <c r="H209" s="54"/>
      <c r="I209" s="41"/>
      <c r="J209" s="122"/>
      <c r="K209" s="42"/>
      <c r="L209" s="42"/>
      <c r="M209" s="32"/>
      <c r="N209" s="35"/>
      <c r="O209" s="36">
        <v>0</v>
      </c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165"/>
      <c r="BP209" s="165"/>
      <c r="BQ209" s="165"/>
      <c r="BR209" s="165"/>
      <c r="BS209" s="165"/>
      <c r="BT209" s="165"/>
      <c r="BU209" s="165"/>
      <c r="BV209" s="55"/>
      <c r="BW209" s="160"/>
      <c r="BX209" s="32"/>
      <c r="BY209" s="24"/>
      <c r="BZ209" s="24"/>
      <c r="CA209" s="24"/>
      <c r="CB209" s="24"/>
      <c r="CC209" s="24"/>
      <c r="CD209" s="24"/>
      <c r="CE209" s="24"/>
    </row>
    <row r="210" spans="1:83" ht="15" hidden="1" customHeight="1">
      <c r="A210" s="4"/>
      <c r="B210" s="317">
        <f>IF($Q$8=$Q$7,CENY!B500,IF($Q$7=$Q$9,CENY!B501,CENY!B502))</f>
        <v>9257663</v>
      </c>
      <c r="C210" s="43" t="str">
        <f>VLOOKUP(B210,CENY!$B$11:$G$1054,2,FALSE)</f>
        <v>AvanY-indiv.čelo vnút.zásuv./d2000/strieb.</v>
      </c>
      <c r="D210" s="355">
        <f>VLOOKUP(B210,CENY!$B$11:$G$1054,3,FALSE)</f>
        <v>1</v>
      </c>
      <c r="E210" s="56" t="str">
        <f>IF(VLOOKUP(B210,CENY!$B$11:$G$1054,4,FALSE)=0,"",VLOOKUP(B210,CENY!$B$11:$G$1054,4,FALSE))</f>
        <v/>
      </c>
      <c r="F210" s="40" t="str">
        <f>IF(J210&lt;&gt;"",J210,IF(N210=0,"",N210))</f>
        <v/>
      </c>
      <c r="G210" s="52">
        <f>VLOOKUP(B210,CENY!$B$11:$M$1054,12,FALSE)</f>
        <v>35.672049999999999</v>
      </c>
      <c r="H210" s="54" t="str">
        <f t="shared" si="42"/>
        <v xml:space="preserve"> EUR</v>
      </c>
      <c r="I210" s="41" t="str">
        <f t="shared" si="43"/>
        <v/>
      </c>
      <c r="J210" s="122"/>
      <c r="K210" s="42" t="str">
        <f>VLOOKUP(B210,CENY!$B$11:$M$1054,8,FALSE)</f>
        <v xml:space="preserve"> </v>
      </c>
      <c r="L210" s="42" t="str">
        <f>VLOOKUP(B210,CENY!$B$11:$M$1054,9,FALSE)</f>
        <v>397748</v>
      </c>
      <c r="M210" s="32"/>
      <c r="N210" s="35">
        <f>SUM(P210:BW210)</f>
        <v>0</v>
      </c>
      <c r="O210" s="36">
        <v>0</v>
      </c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37">
        <f>'AVT187(vn-S)'!AZ83</f>
        <v>0</v>
      </c>
      <c r="AI210" s="337">
        <f>'AVT187(vn-S)'!BI128</f>
        <v>0</v>
      </c>
      <c r="AJ210" s="337">
        <f>'AVT187In(vn-S)'!AZ83</f>
        <v>0</v>
      </c>
      <c r="AK210" s="337">
        <f>'AVT187In(vn-S)'!BI102</f>
        <v>0</v>
      </c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165"/>
      <c r="BP210" s="165"/>
      <c r="BQ210" s="165"/>
      <c r="BR210" s="165"/>
      <c r="BS210" s="165"/>
      <c r="BT210" s="165"/>
      <c r="BU210" s="165"/>
      <c r="BV210" s="55"/>
      <c r="BW210" s="160"/>
      <c r="BX210" s="32"/>
      <c r="BY210" s="24"/>
      <c r="BZ210" s="24"/>
      <c r="CA210" s="24"/>
      <c r="CB210" s="24"/>
      <c r="CC210" s="24"/>
      <c r="CD210" s="24"/>
      <c r="CE210" s="24"/>
    </row>
    <row r="211" spans="1:83" ht="15" hidden="1" customHeight="1">
      <c r="A211" s="4"/>
      <c r="B211" s="317">
        <f>IF($Q$8=$Q$7,CENY!B503,IF($Q$7=$Q$9,CENY!B504,CENY!B505))</f>
        <v>9257651</v>
      </c>
      <c r="C211" s="43" t="str">
        <f>VLOOKUP(B211,CENY!$B$11:$G$1054,2,FALSE)</f>
        <v>AvanY-spojky indiv.čela vnút./v187/strieb.</v>
      </c>
      <c r="D211" s="355">
        <f>VLOOKUP(B211,CENY!$B$11:$G$1054,3,FALSE)</f>
        <v>1</v>
      </c>
      <c r="E211" s="56" t="str">
        <f>IF(VLOOKUP(B211,CENY!$B$11:$G$1054,4,FALSE)=0,"",VLOOKUP(B211,CENY!$B$11:$G$1054,4,FALSE))</f>
        <v/>
      </c>
      <c r="F211" s="40" t="str">
        <f>IF(J211&lt;&gt;"",J211,IF(N211=0,"",N211))</f>
        <v/>
      </c>
      <c r="G211" s="52">
        <f>VLOOKUP(B211,CENY!$B$11:$M$1054,12,FALSE)</f>
        <v>26.795850000000002</v>
      </c>
      <c r="H211" s="54" t="str">
        <f t="shared" si="42"/>
        <v xml:space="preserve"> EUR</v>
      </c>
      <c r="I211" s="41" t="str">
        <f t="shared" si="43"/>
        <v/>
      </c>
      <c r="J211" s="122"/>
      <c r="K211" s="42" t="str">
        <f>VLOOKUP(B211,CENY!$B$11:$M$1054,8,FALSE)</f>
        <v xml:space="preserve"> </v>
      </c>
      <c r="L211" s="42" t="str">
        <f>VLOOKUP(B211,CENY!$B$11:$M$1054,9,FALSE)</f>
        <v>397751</v>
      </c>
      <c r="M211" s="32"/>
      <c r="N211" s="35">
        <f>SUM(P211:BW211)</f>
        <v>0</v>
      </c>
      <c r="O211" s="36">
        <v>0</v>
      </c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37">
        <f>'AVT187(vn-S)'!AZ84</f>
        <v>0</v>
      </c>
      <c r="AI211" s="337">
        <f>'AVT187(vn-S)'!BI129</f>
        <v>0</v>
      </c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165"/>
      <c r="BP211" s="165"/>
      <c r="BQ211" s="165"/>
      <c r="BR211" s="165"/>
      <c r="BS211" s="165"/>
      <c r="BT211" s="165"/>
      <c r="BU211" s="165"/>
      <c r="BV211" s="55"/>
      <c r="BW211" s="160"/>
      <c r="BX211" s="32"/>
      <c r="BY211" s="24"/>
      <c r="BZ211" s="24"/>
      <c r="CA211" s="24"/>
      <c r="CB211" s="24"/>
      <c r="CC211" s="24"/>
      <c r="CD211" s="24"/>
      <c r="CE211" s="24"/>
    </row>
    <row r="212" spans="1:83" ht="15" hidden="1" customHeight="1">
      <c r="A212" s="4"/>
      <c r="B212" s="317">
        <f>IF($Q$8=$Q$7,CENY!B506,IF($Q$7=$Q$9,CENY!B507,CENY!B508))</f>
        <v>9257657</v>
      </c>
      <c r="C212" s="43" t="str">
        <f>VLOOKUP(B212,CENY!$B$11:$G$1054,2,FALSE)</f>
        <v>AvanY-spojky indiv.čela vn.Inlay/v187/strieb.</v>
      </c>
      <c r="D212" s="355">
        <f>VLOOKUP(B212,CENY!$B$11:$G$1054,3,FALSE)</f>
        <v>1</v>
      </c>
      <c r="E212" s="56" t="str">
        <f>IF(VLOOKUP(B212,CENY!$B$11:$G$1054,4,FALSE)=0,"",VLOOKUP(B212,CENY!$B$11:$G$1054,4,FALSE))</f>
        <v/>
      </c>
      <c r="F212" s="40" t="str">
        <f>IF(J212&lt;&gt;"",J212,IF(N212=0,"",N212))</f>
        <v/>
      </c>
      <c r="G212" s="52">
        <f>VLOOKUP(B212,CENY!$B$11:$M$1054,12,FALSE)</f>
        <v>26.795850000000002</v>
      </c>
      <c r="H212" s="54" t="str">
        <f t="shared" si="42"/>
        <v xml:space="preserve"> EUR</v>
      </c>
      <c r="I212" s="41" t="str">
        <f t="shared" si="43"/>
        <v/>
      </c>
      <c r="J212" s="122"/>
      <c r="K212" s="42" t="str">
        <f>VLOOKUP(B212,CENY!$B$11:$M$1054,8,FALSE)</f>
        <v xml:space="preserve"> </v>
      </c>
      <c r="L212" s="42" t="str">
        <f>VLOOKUP(B212,CENY!$B$11:$M$1054,9,FALSE)</f>
        <v>397754</v>
      </c>
      <c r="M212" s="32"/>
      <c r="N212" s="35">
        <f>SUM(P212:BW212)</f>
        <v>0</v>
      </c>
      <c r="O212" s="36">
        <v>0</v>
      </c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37">
        <f>'AVT187In(vn-S)'!AZ84</f>
        <v>0</v>
      </c>
      <c r="AK212" s="337">
        <f>'AVT187In(vn-S)'!BI103</f>
        <v>0</v>
      </c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165"/>
      <c r="BP212" s="165"/>
      <c r="BQ212" s="165"/>
      <c r="BR212" s="165"/>
      <c r="BS212" s="165"/>
      <c r="BT212" s="165"/>
      <c r="BU212" s="165"/>
      <c r="BV212" s="55"/>
      <c r="BW212" s="160"/>
      <c r="BX212" s="32"/>
      <c r="BY212" s="24"/>
      <c r="BZ212" s="24"/>
      <c r="CA212" s="24"/>
      <c r="CB212" s="24"/>
      <c r="CC212" s="24"/>
      <c r="CD212" s="24"/>
      <c r="CE212" s="24"/>
    </row>
    <row r="213" spans="1:83" ht="8.1" hidden="1" customHeight="1">
      <c r="A213" s="4"/>
      <c r="B213" s="126"/>
      <c r="C213" s="43"/>
      <c r="D213" s="39"/>
      <c r="E213" s="56"/>
      <c r="F213" s="60"/>
      <c r="G213" s="52"/>
      <c r="H213" s="54"/>
      <c r="I213" s="41"/>
      <c r="J213" s="122"/>
      <c r="K213" s="42"/>
      <c r="L213" s="42"/>
      <c r="M213" s="32"/>
      <c r="N213" s="35"/>
      <c r="O213" s="36">
        <v>0</v>
      </c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165"/>
      <c r="BP213" s="165"/>
      <c r="BQ213" s="165"/>
      <c r="BR213" s="165"/>
      <c r="BS213" s="165"/>
      <c r="BT213" s="165"/>
      <c r="BU213" s="165"/>
      <c r="BV213" s="55"/>
      <c r="BW213" s="160"/>
      <c r="BX213" s="32"/>
      <c r="BY213" s="24"/>
      <c r="BZ213" s="24"/>
      <c r="CA213" s="24"/>
      <c r="CB213" s="24"/>
      <c r="CC213" s="24"/>
      <c r="CD213" s="24"/>
      <c r="CE213" s="24"/>
    </row>
    <row r="214" spans="1:83" ht="15" hidden="1" customHeight="1">
      <c r="A214" s="4"/>
      <c r="B214" s="317">
        <f>VLOOKUP(FORM!AM21,FORM!AW16:AX22,2,FALSE)</f>
        <v>0</v>
      </c>
      <c r="C214" s="43" t="str">
        <f>IF(B214=0,"",VLOOKUP(B214,CENY!$B$11:$G$1054,2,FALSE))</f>
        <v/>
      </c>
      <c r="D214" s="353" t="str">
        <f>IF(B214=0,"",VLOOKUP(B214,CENY!$B$11:$G$1054,3,FALSE))</f>
        <v/>
      </c>
      <c r="E214" s="323" t="str">
        <f>IF(B214=0,"",IF(VLOOKUP(B214,CENY!$B$11:$G$1054,4,FALSE)=0,"",VLOOKUP(B214,CENY!$B$11:$G$1054,4,FALSE)))</f>
        <v/>
      </c>
      <c r="F214" s="40" t="str">
        <f>IF(J214&lt;&gt;"",J214,IF(N214=0,"",N214))</f>
        <v/>
      </c>
      <c r="G214" s="52" t="str">
        <f>IF(B214=0,"",VLOOKUP(B214,CENY!$B$11:$M$1054,12,FALSE))</f>
        <v/>
      </c>
      <c r="H214" s="54" t="str">
        <f>IF(G214="","",$H$22)</f>
        <v/>
      </c>
      <c r="I214" s="41" t="str">
        <f>IF(F214="","",G214*F214)</f>
        <v/>
      </c>
      <c r="J214" s="122"/>
      <c r="K214" s="42" t="str">
        <f>IF(B214=0,"",VLOOKUP(B214,CENY!$B$11:$M$1054,8,FALSE))</f>
        <v/>
      </c>
      <c r="L214" s="42" t="str">
        <f>IF(B214=0,"",VLOOKUP(B214,CENY!$B$11:$M$1054,9,FALSE))</f>
        <v/>
      </c>
      <c r="M214" s="32"/>
      <c r="N214" s="35">
        <f>SUM(P214:BW214)</f>
        <v>0</v>
      </c>
      <c r="O214" s="36">
        <v>0</v>
      </c>
      <c r="P214" s="325">
        <f>'AVT101'!AZ80</f>
        <v>0</v>
      </c>
      <c r="Q214" s="325">
        <f>'AVT101'!BI125</f>
        <v>0</v>
      </c>
      <c r="R214" s="325">
        <f>'AVT139'!AZ80</f>
        <v>0</v>
      </c>
      <c r="S214" s="325">
        <f>'AVT139'!BI125</f>
        <v>0</v>
      </c>
      <c r="T214" s="325">
        <f>'AVT187'!AZ80</f>
        <v>0</v>
      </c>
      <c r="U214" s="325">
        <f>'AVT187'!BI125</f>
        <v>0</v>
      </c>
      <c r="V214" s="325">
        <f>'AVT251'!AZ67</f>
        <v>0</v>
      </c>
      <c r="W214" s="325">
        <f>'AVT251'!BI100</f>
        <v>0</v>
      </c>
      <c r="X214" s="325">
        <f>AVT187In!AZ66</f>
        <v>0</v>
      </c>
      <c r="Y214" s="325">
        <f>AVT187In!BI99</f>
        <v>0</v>
      </c>
      <c r="Z214" s="325">
        <f>'AVT101(vn-A)'!AZ80</f>
        <v>0</v>
      </c>
      <c r="AA214" s="325">
        <f>'AVT101(vn-A)'!BI125</f>
        <v>0</v>
      </c>
      <c r="AB214" s="325">
        <f>'AVT139(vn-A)'!AZ80</f>
        <v>0</v>
      </c>
      <c r="AC214" s="325">
        <f>'AVT139(vn-A)'!BI125</f>
        <v>0</v>
      </c>
      <c r="AD214" s="325">
        <f>'AVT187(vn-A)'!AZ80</f>
        <v>0</v>
      </c>
      <c r="AE214" s="325">
        <f>'AVT187(vn-A)'!BI125</f>
        <v>0</v>
      </c>
      <c r="AF214" s="325">
        <f>'AVT187In(vn-A)'!AZ66</f>
        <v>0</v>
      </c>
      <c r="AG214" s="325">
        <f>'AVT187In(vn-A)'!BI99</f>
        <v>0</v>
      </c>
      <c r="AH214" s="325">
        <f>'AVT187(vn-S)'!AZ80</f>
        <v>0</v>
      </c>
      <c r="AI214" s="325">
        <f>'AVT187(vn-S)'!BI125</f>
        <v>0</v>
      </c>
      <c r="AJ214" s="325">
        <f>'AVT187In(vn-S)'!AZ66</f>
        <v>0</v>
      </c>
      <c r="AK214" s="325">
        <f>'AVT187In(vn-S)'!BI99</f>
        <v>0</v>
      </c>
      <c r="AL214" s="325">
        <f>'AVT77'!AZ48</f>
        <v>0</v>
      </c>
      <c r="AM214" s="325">
        <f>'AVT77'!BI68</f>
        <v>0</v>
      </c>
      <c r="AN214" s="325">
        <f>'AVT-celny-101+187'!AZ62</f>
        <v>0</v>
      </c>
      <c r="AO214" s="325">
        <f>'AVT-celny-101+187'!BI102</f>
        <v>0</v>
      </c>
      <c r="AP214" s="325">
        <f>'AVT-celny-139+187'!AZ53</f>
        <v>0</v>
      </c>
      <c r="AQ214" s="325">
        <f>'AVT-celny-139+187'!BI86</f>
        <v>0</v>
      </c>
      <c r="AR214" s="325">
        <f>'AVT-celny-2x187'!AZ51</f>
        <v>0</v>
      </c>
      <c r="AS214" s="325">
        <f>'AVT-celny-2x187'!BI82</f>
        <v>0</v>
      </c>
      <c r="AT214" s="325">
        <f>'AVT-celny-2x187In'!AZ43</f>
        <v>0</v>
      </c>
      <c r="AU214" s="325">
        <f>'AVT-celny-2x187In'!BI68</f>
        <v>0</v>
      </c>
      <c r="AV214" s="325">
        <f>'potr-v101+187'!AZ87</f>
        <v>0</v>
      </c>
      <c r="AW214" s="325">
        <f>'potr-v101+187'!BI139</f>
        <v>0</v>
      </c>
      <c r="AX214" s="325">
        <f>'potr-v101+187-IL'!AZ87</f>
        <v>0</v>
      </c>
      <c r="AY214" s="325">
        <f>'potr-v101+187-IL'!BI139</f>
        <v>0</v>
      </c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165"/>
      <c r="BP214" s="165"/>
      <c r="BQ214" s="165"/>
      <c r="BR214" s="165"/>
      <c r="BS214" s="165"/>
      <c r="BT214" s="165"/>
      <c r="BU214" s="165"/>
      <c r="BV214" s="55"/>
      <c r="BW214" s="160"/>
      <c r="BX214" s="32"/>
      <c r="BY214" s="24"/>
      <c r="BZ214" s="24"/>
      <c r="CA214" s="24"/>
      <c r="CB214" s="24"/>
      <c r="CC214" s="24"/>
      <c r="CD214" s="24"/>
      <c r="CE214" s="24"/>
    </row>
    <row r="215" spans="1:83" ht="8.1" hidden="1" customHeight="1">
      <c r="A215" s="4"/>
      <c r="B215" s="126"/>
      <c r="C215" s="43"/>
      <c r="D215" s="39"/>
      <c r="E215" s="56"/>
      <c r="F215" s="60"/>
      <c r="G215" s="52"/>
      <c r="H215" s="54"/>
      <c r="I215" s="41"/>
      <c r="J215" s="122"/>
      <c r="K215" s="42"/>
      <c r="L215" s="42"/>
      <c r="M215" s="32"/>
      <c r="N215" s="35"/>
      <c r="O215" s="36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165"/>
      <c r="BP215" s="165"/>
      <c r="BQ215" s="165"/>
      <c r="BR215" s="165"/>
      <c r="BS215" s="165"/>
      <c r="BT215" s="165"/>
      <c r="BU215" s="165"/>
      <c r="BV215" s="55"/>
      <c r="BW215" s="160"/>
      <c r="BX215" s="32"/>
      <c r="BY215" s="24"/>
      <c r="BZ215" s="24"/>
      <c r="CA215" s="24"/>
      <c r="CB215" s="24"/>
      <c r="CC215" s="24"/>
      <c r="CD215" s="24"/>
      <c r="CE215" s="24"/>
    </row>
    <row r="216" spans="1:83" ht="15" hidden="1" customHeight="1">
      <c r="A216" s="4"/>
      <c r="B216" s="317">
        <f>CENY!B569</f>
        <v>9283178</v>
      </c>
      <c r="C216" s="43" t="str">
        <f>VLOOKUP(B216,CENY!$B$11:$G$1054,2,FALSE)</f>
        <v>AvanY-Inlay sklenené boky 350mm; 2 x sklo</v>
      </c>
      <c r="D216" s="355">
        <f>VLOOKUP(B216,CENY!$B$11:$G$1054,3,FALSE)</f>
        <v>1</v>
      </c>
      <c r="E216" s="56" t="str">
        <f>IF(VLOOKUP(B216,CENY!$B$11:$G$1054,4,FALSE)=0,"",VLOOKUP(B216,CENY!$B$11:$G$1054,4,FALSE))</f>
        <v/>
      </c>
      <c r="F216" s="40" t="str">
        <f t="shared" ref="F216:F222" si="48">IF(J216&lt;&gt;"",J216,IF(N216=0,"",N216))</f>
        <v/>
      </c>
      <c r="G216" s="52">
        <f>VLOOKUP(B216,CENY!$B$11:$M$1054,12,FALSE)</f>
        <v>39.701169999999998</v>
      </c>
      <c r="H216" s="54" t="str">
        <f t="shared" ref="H216:H222" si="49">IF(G216="","",$H$22)</f>
        <v xml:space="preserve"> EUR</v>
      </c>
      <c r="I216" s="41" t="str">
        <f t="shared" ref="I216:I222" si="50">IF(F216="","",G216*F216)</f>
        <v/>
      </c>
      <c r="J216" s="122"/>
      <c r="K216" s="42" t="str">
        <f>VLOOKUP(B216,CENY!$B$11:$M$1054,8,FALSE)</f>
        <v xml:space="preserve"> </v>
      </c>
      <c r="L216" s="42" t="str">
        <f>VLOOKUP(B216,CENY!$B$11:$M$1054,9,FALSE)</f>
        <v>421346</v>
      </c>
      <c r="M216" s="32"/>
      <c r="N216" s="35">
        <f t="shared" ref="N216:N222" si="51">SUM(P216:BW216)</f>
        <v>0</v>
      </c>
      <c r="O216" s="36">
        <v>0</v>
      </c>
      <c r="P216" s="32"/>
      <c r="Q216" s="32"/>
      <c r="R216" s="32"/>
      <c r="S216" s="32"/>
      <c r="T216" s="32"/>
      <c r="U216" s="32"/>
      <c r="V216" s="32"/>
      <c r="W216" s="32"/>
      <c r="X216" s="325">
        <f>AVT187In!AZ13</f>
        <v>0</v>
      </c>
      <c r="Y216" s="325">
        <f>AVT187In!BI23</f>
        <v>0</v>
      </c>
      <c r="Z216" s="32"/>
      <c r="AA216" s="32"/>
      <c r="AB216" s="32"/>
      <c r="AC216" s="32"/>
      <c r="AD216" s="32"/>
      <c r="AE216" s="32"/>
      <c r="AF216" s="325">
        <f>'AVT187In(vn-A)'!AZ13</f>
        <v>0</v>
      </c>
      <c r="AG216" s="325">
        <f>'AVT187In(vn-A)'!BI23</f>
        <v>0</v>
      </c>
      <c r="AH216" s="32"/>
      <c r="AI216" s="32"/>
      <c r="AJ216" s="325">
        <f>'AVT187In(vn-S)'!AZ13</f>
        <v>0</v>
      </c>
      <c r="AK216" s="325">
        <f>'AVT187In(vn-S)'!BI23</f>
        <v>0</v>
      </c>
      <c r="AL216" s="32"/>
      <c r="AM216" s="32"/>
      <c r="AN216" s="32"/>
      <c r="AO216" s="32"/>
      <c r="AP216" s="32"/>
      <c r="AQ216" s="32"/>
      <c r="AR216" s="32"/>
      <c r="AS216" s="32"/>
      <c r="AT216" s="325">
        <f>'AVT-celny-2x187In'!AZ13</f>
        <v>0</v>
      </c>
      <c r="AU216" s="325">
        <f>'AVT-celny-2x187In'!BI23</f>
        <v>0</v>
      </c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165"/>
      <c r="BP216" s="165"/>
      <c r="BQ216" s="165"/>
      <c r="BR216" s="165"/>
      <c r="BS216" s="165"/>
      <c r="BT216" s="165"/>
      <c r="BU216" s="165"/>
      <c r="BV216" s="55"/>
      <c r="BW216" s="160"/>
      <c r="BX216" s="32"/>
      <c r="BY216" s="24"/>
      <c r="BZ216" s="24"/>
      <c r="CA216" s="24"/>
      <c r="CB216" s="24"/>
      <c r="CC216" s="24"/>
      <c r="CD216" s="24"/>
      <c r="CE216" s="24"/>
    </row>
    <row r="217" spans="1:83" ht="15" hidden="1" customHeight="1">
      <c r="A217" s="4"/>
      <c r="B217" s="317">
        <f>CENY!B570</f>
        <v>9283179</v>
      </c>
      <c r="C217" s="43" t="str">
        <f>VLOOKUP(B217,CENY!$B$11:$G$1054,2,FALSE)</f>
        <v>AvanY-Inlay sklenené boky 400mm; 2 x sklo</v>
      </c>
      <c r="D217" s="355">
        <f>VLOOKUP(B217,CENY!$B$11:$G$1054,3,FALSE)</f>
        <v>1</v>
      </c>
      <c r="E217" s="56" t="str">
        <f>IF(VLOOKUP(B217,CENY!$B$11:$G$1054,4,FALSE)=0,"",VLOOKUP(B217,CENY!$B$11:$G$1054,4,FALSE))</f>
        <v/>
      </c>
      <c r="F217" s="40" t="str">
        <f t="shared" si="48"/>
        <v/>
      </c>
      <c r="G217" s="52">
        <f>VLOOKUP(B217,CENY!$B$11:$M$1054,12,FALSE)</f>
        <v>41.949010000000001</v>
      </c>
      <c r="H217" s="54" t="str">
        <f t="shared" si="49"/>
        <v xml:space="preserve"> EUR</v>
      </c>
      <c r="I217" s="41" t="str">
        <f t="shared" si="50"/>
        <v/>
      </c>
      <c r="J217" s="122"/>
      <c r="K217" s="42" t="str">
        <f>VLOOKUP(B217,CENY!$B$11:$M$1054,8,FALSE)</f>
        <v xml:space="preserve"> </v>
      </c>
      <c r="L217" s="42" t="str">
        <f>VLOOKUP(B217,CENY!$B$11:$M$1054,9,FALSE)</f>
        <v>421347</v>
      </c>
      <c r="M217" s="32"/>
      <c r="N217" s="35">
        <f t="shared" si="51"/>
        <v>0</v>
      </c>
      <c r="O217" s="36">
        <v>0</v>
      </c>
      <c r="P217" s="32"/>
      <c r="Q217" s="32"/>
      <c r="R217" s="32"/>
      <c r="S217" s="32"/>
      <c r="T217" s="32"/>
      <c r="U217" s="32"/>
      <c r="V217" s="32"/>
      <c r="W217" s="32"/>
      <c r="X217" s="325">
        <f>AVT187In!AZ14</f>
        <v>0</v>
      </c>
      <c r="Y217" s="325">
        <f>AVT187In!BI24</f>
        <v>0</v>
      </c>
      <c r="Z217" s="32"/>
      <c r="AA217" s="32"/>
      <c r="AB217" s="32"/>
      <c r="AC217" s="32"/>
      <c r="AD217" s="32"/>
      <c r="AE217" s="32"/>
      <c r="AF217" s="325">
        <f>'AVT187In(vn-A)'!AZ14</f>
        <v>0</v>
      </c>
      <c r="AG217" s="325">
        <f>'AVT187In(vn-A)'!BI24</f>
        <v>0</v>
      </c>
      <c r="AH217" s="32"/>
      <c r="AI217" s="32"/>
      <c r="AJ217" s="325">
        <f>'AVT187In(vn-S)'!AZ14</f>
        <v>0</v>
      </c>
      <c r="AK217" s="325">
        <f>'AVT187In(vn-S)'!BI24</f>
        <v>0</v>
      </c>
      <c r="AL217" s="32"/>
      <c r="AM217" s="32"/>
      <c r="AN217" s="32"/>
      <c r="AO217" s="32"/>
      <c r="AP217" s="32"/>
      <c r="AQ217" s="32"/>
      <c r="AR217" s="32"/>
      <c r="AS217" s="32"/>
      <c r="AT217" s="325">
        <f>'AVT-celny-2x187In'!AZ14</f>
        <v>0</v>
      </c>
      <c r="AU217" s="325">
        <f>'AVT-celny-2x187In'!BI24</f>
        <v>0</v>
      </c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165"/>
      <c r="BP217" s="165"/>
      <c r="BQ217" s="165"/>
      <c r="BR217" s="165"/>
      <c r="BS217" s="165"/>
      <c r="BT217" s="165"/>
      <c r="BU217" s="165"/>
      <c r="BV217" s="55"/>
      <c r="BW217" s="160"/>
      <c r="BX217" s="32"/>
      <c r="BY217" s="24"/>
      <c r="BZ217" s="24"/>
      <c r="CA217" s="24"/>
      <c r="CB217" s="24"/>
      <c r="CC217" s="24"/>
      <c r="CD217" s="24"/>
      <c r="CE217" s="24"/>
    </row>
    <row r="218" spans="1:83" ht="15" hidden="1" customHeight="1">
      <c r="A218" s="4"/>
      <c r="B218" s="317">
        <f>CENY!B571</f>
        <v>9283180</v>
      </c>
      <c r="C218" s="43" t="str">
        <f>VLOOKUP(B218,CENY!$B$11:$G$1054,2,FALSE)</f>
        <v>AvanY-Inlay sklenené boky 450mm; 2 x sklo</v>
      </c>
      <c r="D218" s="355">
        <f>VLOOKUP(B218,CENY!$B$11:$G$1054,3,FALSE)</f>
        <v>1</v>
      </c>
      <c r="E218" s="56" t="str">
        <f>IF(VLOOKUP(B218,CENY!$B$11:$G$1054,4,FALSE)=0,"",VLOOKUP(B218,CENY!$B$11:$G$1054,4,FALSE))</f>
        <v/>
      </c>
      <c r="F218" s="40" t="str">
        <f t="shared" si="48"/>
        <v/>
      </c>
      <c r="G218" s="52">
        <f>VLOOKUP(B218,CENY!$B$11:$M$1054,12,FALSE)</f>
        <v>44.197099999999999</v>
      </c>
      <c r="H218" s="54" t="str">
        <f t="shared" si="49"/>
        <v xml:space="preserve"> EUR</v>
      </c>
      <c r="I218" s="41" t="str">
        <f t="shared" si="50"/>
        <v/>
      </c>
      <c r="J218" s="122"/>
      <c r="K218" s="42" t="str">
        <f>VLOOKUP(B218,CENY!$B$11:$M$1054,8,FALSE)</f>
        <v xml:space="preserve"> </v>
      </c>
      <c r="L218" s="42" t="str">
        <f>VLOOKUP(B218,CENY!$B$11:$M$1054,9,FALSE)</f>
        <v>421348</v>
      </c>
      <c r="M218" s="32"/>
      <c r="N218" s="35">
        <f t="shared" si="51"/>
        <v>0</v>
      </c>
      <c r="O218" s="36">
        <v>0</v>
      </c>
      <c r="P218" s="32"/>
      <c r="Q218" s="32"/>
      <c r="R218" s="32"/>
      <c r="S218" s="32"/>
      <c r="T218" s="32"/>
      <c r="U218" s="32"/>
      <c r="V218" s="32"/>
      <c r="W218" s="32"/>
      <c r="X218" s="325">
        <f>AVT187In!AZ15</f>
        <v>0</v>
      </c>
      <c r="Y218" s="325">
        <f>AVT187In!BI25</f>
        <v>0</v>
      </c>
      <c r="Z218" s="32"/>
      <c r="AA218" s="32"/>
      <c r="AB218" s="32"/>
      <c r="AC218" s="32"/>
      <c r="AD218" s="32"/>
      <c r="AE218" s="32"/>
      <c r="AF218" s="325">
        <f>'AVT187In(vn-A)'!AZ15</f>
        <v>0</v>
      </c>
      <c r="AG218" s="325">
        <f>'AVT187In(vn-A)'!BI25</f>
        <v>0</v>
      </c>
      <c r="AH218" s="32"/>
      <c r="AI218" s="32"/>
      <c r="AJ218" s="325">
        <f>'AVT187In(vn-S)'!AZ15</f>
        <v>0</v>
      </c>
      <c r="AK218" s="325">
        <f>'AVT187In(vn-S)'!BI25</f>
        <v>0</v>
      </c>
      <c r="AL218" s="32"/>
      <c r="AM218" s="32"/>
      <c r="AN218" s="32"/>
      <c r="AO218" s="32"/>
      <c r="AP218" s="32"/>
      <c r="AQ218" s="32"/>
      <c r="AR218" s="32"/>
      <c r="AS218" s="32"/>
      <c r="AT218" s="325">
        <f>'AVT-celny-2x187In'!AZ15</f>
        <v>0</v>
      </c>
      <c r="AU218" s="325">
        <f>'AVT-celny-2x187In'!BI25</f>
        <v>0</v>
      </c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165"/>
      <c r="BP218" s="165"/>
      <c r="BQ218" s="165"/>
      <c r="BR218" s="165"/>
      <c r="BS218" s="165"/>
      <c r="BT218" s="165"/>
      <c r="BU218" s="165"/>
      <c r="BV218" s="55"/>
      <c r="BW218" s="160"/>
      <c r="BX218" s="32"/>
      <c r="BY218" s="24"/>
      <c r="BZ218" s="24"/>
      <c r="CA218" s="24"/>
      <c r="CB218" s="24"/>
      <c r="CC218" s="24"/>
      <c r="CD218" s="24"/>
      <c r="CE218" s="24"/>
    </row>
    <row r="219" spans="1:83" ht="15" hidden="1" customHeight="1">
      <c r="A219" s="4"/>
      <c r="B219" s="317">
        <f>CENY!B572</f>
        <v>9283181</v>
      </c>
      <c r="C219" s="43" t="str">
        <f>VLOOKUP(B219,CENY!$B$11:$G$1054,2,FALSE)</f>
        <v>AvanY-Inlay sklenené boky 500mm; 2 x sklo</v>
      </c>
      <c r="D219" s="355">
        <f>VLOOKUP(B219,CENY!$B$11:$G$1054,3,FALSE)</f>
        <v>1</v>
      </c>
      <c r="E219" s="56" t="str">
        <f>IF(VLOOKUP(B219,CENY!$B$11:$G$1054,4,FALSE)=0,"",VLOOKUP(B219,CENY!$B$11:$G$1054,4,FALSE))</f>
        <v/>
      </c>
      <c r="F219" s="40" t="str">
        <f t="shared" si="48"/>
        <v/>
      </c>
      <c r="G219" s="52">
        <f>VLOOKUP(B219,CENY!$B$11:$M$1054,12,FALSE)</f>
        <v>46.445340000000002</v>
      </c>
      <c r="H219" s="54" t="str">
        <f t="shared" si="49"/>
        <v xml:space="preserve"> EUR</v>
      </c>
      <c r="I219" s="41" t="str">
        <f t="shared" si="50"/>
        <v/>
      </c>
      <c r="J219" s="122"/>
      <c r="K219" s="42" t="str">
        <f>VLOOKUP(B219,CENY!$B$11:$M$1054,8,FALSE)</f>
        <v xml:space="preserve"> </v>
      </c>
      <c r="L219" s="42" t="str">
        <f>VLOOKUP(B219,CENY!$B$11:$M$1054,9,FALSE)</f>
        <v>421349</v>
      </c>
      <c r="M219" s="32"/>
      <c r="N219" s="35">
        <f t="shared" si="51"/>
        <v>0</v>
      </c>
      <c r="O219" s="36">
        <v>0</v>
      </c>
      <c r="P219" s="32"/>
      <c r="Q219" s="32"/>
      <c r="R219" s="32"/>
      <c r="S219" s="32"/>
      <c r="T219" s="32"/>
      <c r="U219" s="32"/>
      <c r="V219" s="32"/>
      <c r="W219" s="32"/>
      <c r="X219" s="325">
        <f>AVT187In!AZ16</f>
        <v>0</v>
      </c>
      <c r="Y219" s="325">
        <f>AVT187In!BI26</f>
        <v>0</v>
      </c>
      <c r="Z219" s="32"/>
      <c r="AA219" s="32"/>
      <c r="AB219" s="32"/>
      <c r="AC219" s="32"/>
      <c r="AD219" s="32"/>
      <c r="AE219" s="32"/>
      <c r="AF219" s="325">
        <f>'AVT187In(vn-A)'!AZ16</f>
        <v>0</v>
      </c>
      <c r="AG219" s="325">
        <f>'AVT187In(vn-A)'!BI26</f>
        <v>0</v>
      </c>
      <c r="AH219" s="32"/>
      <c r="AI219" s="32"/>
      <c r="AJ219" s="325">
        <f>'AVT187In(vn-S)'!AZ16</f>
        <v>0</v>
      </c>
      <c r="AK219" s="325">
        <f>'AVT187In(vn-S)'!BI26</f>
        <v>0</v>
      </c>
      <c r="AL219" s="32"/>
      <c r="AM219" s="32"/>
      <c r="AN219" s="32"/>
      <c r="AO219" s="32"/>
      <c r="AP219" s="32"/>
      <c r="AQ219" s="32"/>
      <c r="AR219" s="32"/>
      <c r="AS219" s="32"/>
      <c r="AT219" s="325">
        <f>'AVT-celny-2x187In'!AZ16</f>
        <v>0</v>
      </c>
      <c r="AU219" s="325">
        <f>'AVT-celny-2x187In'!BI26</f>
        <v>0</v>
      </c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165"/>
      <c r="BP219" s="165"/>
      <c r="BQ219" s="165"/>
      <c r="BR219" s="165"/>
      <c r="BS219" s="165"/>
      <c r="BT219" s="165"/>
      <c r="BU219" s="165"/>
      <c r="BV219" s="55"/>
      <c r="BW219" s="160"/>
      <c r="BX219" s="32"/>
      <c r="BY219" s="24"/>
      <c r="BZ219" s="24"/>
      <c r="CA219" s="24"/>
      <c r="CB219" s="24"/>
      <c r="CC219" s="24"/>
      <c r="CD219" s="24"/>
      <c r="CE219" s="24"/>
    </row>
    <row r="220" spans="1:83" ht="15" hidden="1" customHeight="1">
      <c r="A220" s="4"/>
      <c r="B220" s="317">
        <f>CENY!B573</f>
        <v>9283182</v>
      </c>
      <c r="C220" s="43" t="str">
        <f>VLOOKUP(B220,CENY!$B$11:$G$1054,2,FALSE)</f>
        <v>AvanY-Inlay sklenené boky 550mm; 2 x sklo</v>
      </c>
      <c r="D220" s="355">
        <f>VLOOKUP(B220,CENY!$B$11:$G$1054,3,FALSE)</f>
        <v>1</v>
      </c>
      <c r="E220" s="56" t="str">
        <f>IF(VLOOKUP(B220,CENY!$B$11:$G$1054,4,FALSE)=0,"",VLOOKUP(B220,CENY!$B$11:$G$1054,4,FALSE))</f>
        <v/>
      </c>
      <c r="F220" s="40" t="str">
        <f t="shared" si="48"/>
        <v/>
      </c>
      <c r="G220" s="52">
        <f>VLOOKUP(B220,CENY!$B$11:$M$1054,12,FALSE)</f>
        <v>50.939869999999999</v>
      </c>
      <c r="H220" s="54" t="str">
        <f t="shared" si="49"/>
        <v xml:space="preserve"> EUR</v>
      </c>
      <c r="I220" s="41" t="str">
        <f t="shared" si="50"/>
        <v/>
      </c>
      <c r="J220" s="122"/>
      <c r="K220" s="42" t="str">
        <f>VLOOKUP(B220,CENY!$B$11:$M$1054,8,FALSE)</f>
        <v xml:space="preserve"> </v>
      </c>
      <c r="L220" s="42" t="str">
        <f>VLOOKUP(B220,CENY!$B$11:$M$1054,9,FALSE)</f>
        <v>421350</v>
      </c>
      <c r="M220" s="32"/>
      <c r="N220" s="35">
        <f t="shared" si="51"/>
        <v>0</v>
      </c>
      <c r="O220" s="36">
        <v>0</v>
      </c>
      <c r="P220" s="32"/>
      <c r="Q220" s="32"/>
      <c r="R220" s="32"/>
      <c r="S220" s="32"/>
      <c r="T220" s="32"/>
      <c r="U220" s="32"/>
      <c r="V220" s="32"/>
      <c r="W220" s="32"/>
      <c r="X220" s="325">
        <f>AVT187In!AZ17</f>
        <v>0</v>
      </c>
      <c r="Y220" s="325">
        <f>AVT187In!BI27</f>
        <v>0</v>
      </c>
      <c r="Z220" s="32"/>
      <c r="AA220" s="32"/>
      <c r="AB220" s="32"/>
      <c r="AC220" s="32"/>
      <c r="AD220" s="32"/>
      <c r="AE220" s="32"/>
      <c r="AF220" s="325">
        <f>'AVT187In(vn-A)'!AZ17</f>
        <v>0</v>
      </c>
      <c r="AG220" s="325">
        <f>'AVT187In(vn-A)'!BI27</f>
        <v>0</v>
      </c>
      <c r="AH220" s="32"/>
      <c r="AI220" s="32"/>
      <c r="AJ220" s="325">
        <f>'AVT187In(vn-S)'!AZ17</f>
        <v>0</v>
      </c>
      <c r="AK220" s="325">
        <f>'AVT187In(vn-S)'!BI27</f>
        <v>0</v>
      </c>
      <c r="AL220" s="32"/>
      <c r="AM220" s="32"/>
      <c r="AN220" s="32"/>
      <c r="AO220" s="32"/>
      <c r="AP220" s="32"/>
      <c r="AQ220" s="32"/>
      <c r="AR220" s="32"/>
      <c r="AS220" s="32"/>
      <c r="AT220" s="325">
        <f>'AVT-celny-2x187In'!AZ17</f>
        <v>0</v>
      </c>
      <c r="AU220" s="325">
        <f>'AVT-celny-2x187In'!BI27</f>
        <v>0</v>
      </c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165"/>
      <c r="BP220" s="165"/>
      <c r="BQ220" s="165"/>
      <c r="BR220" s="165"/>
      <c r="BS220" s="165"/>
      <c r="BT220" s="165"/>
      <c r="BU220" s="165"/>
      <c r="BV220" s="55"/>
      <c r="BW220" s="160"/>
      <c r="BX220" s="32"/>
      <c r="BY220" s="24"/>
      <c r="BZ220" s="24"/>
      <c r="CA220" s="24"/>
      <c r="CB220" s="24"/>
      <c r="CC220" s="24"/>
      <c r="CD220" s="24"/>
      <c r="CE220" s="24"/>
    </row>
    <row r="221" spans="1:83" ht="15" hidden="1" customHeight="1">
      <c r="A221" s="4"/>
      <c r="B221" s="317">
        <f>CENY!B574</f>
        <v>9283183</v>
      </c>
      <c r="C221" s="43" t="str">
        <f>VLOOKUP(B221,CENY!$B$11:$G$1054,2,FALSE)</f>
        <v>AvanY-Inlay sklenené boky 600mm; 2 x sklo</v>
      </c>
      <c r="D221" s="355">
        <f>VLOOKUP(B221,CENY!$B$11:$G$1054,3,FALSE)</f>
        <v>1</v>
      </c>
      <c r="E221" s="56" t="str">
        <f>IF(VLOOKUP(B221,CENY!$B$11:$G$1054,4,FALSE)=0,"",VLOOKUP(B221,CENY!$B$11:$G$1054,4,FALSE))</f>
        <v/>
      </c>
      <c r="F221" s="40" t="str">
        <f t="shared" si="48"/>
        <v/>
      </c>
      <c r="G221" s="52">
        <f>VLOOKUP(B221,CENY!$B$11:$M$1054,12,FALSE)</f>
        <v>55.43441</v>
      </c>
      <c r="H221" s="54" t="str">
        <f t="shared" si="49"/>
        <v xml:space="preserve"> EUR</v>
      </c>
      <c r="I221" s="41" t="str">
        <f t="shared" si="50"/>
        <v/>
      </c>
      <c r="J221" s="122"/>
      <c r="K221" s="42" t="str">
        <f>VLOOKUP(B221,CENY!$B$11:$M$1054,8,FALSE)</f>
        <v xml:space="preserve"> </v>
      </c>
      <c r="L221" s="42" t="str">
        <f>VLOOKUP(B221,CENY!$B$11:$M$1054,9,FALSE)</f>
        <v>421351</v>
      </c>
      <c r="M221" s="32"/>
      <c r="N221" s="35">
        <f t="shared" si="51"/>
        <v>0</v>
      </c>
      <c r="O221" s="36">
        <v>0</v>
      </c>
      <c r="P221" s="32"/>
      <c r="Q221" s="32"/>
      <c r="R221" s="32"/>
      <c r="S221" s="32"/>
      <c r="T221" s="32"/>
      <c r="U221" s="32"/>
      <c r="V221" s="32"/>
      <c r="W221" s="32"/>
      <c r="X221" s="325">
        <f>AVT187In!AZ18</f>
        <v>0</v>
      </c>
      <c r="Y221" s="325">
        <f>AVT187In!BI28</f>
        <v>0</v>
      </c>
      <c r="Z221" s="32"/>
      <c r="AA221" s="32"/>
      <c r="AB221" s="32"/>
      <c r="AC221" s="32"/>
      <c r="AD221" s="32"/>
      <c r="AE221" s="32"/>
      <c r="AF221" s="325">
        <f>'AVT187In(vn-A)'!AZ18</f>
        <v>0</v>
      </c>
      <c r="AG221" s="325">
        <f>'AVT187In(vn-A)'!BI28</f>
        <v>0</v>
      </c>
      <c r="AH221" s="32"/>
      <c r="AI221" s="32"/>
      <c r="AJ221" s="325">
        <f>'AVT187In(vn-S)'!AZ18</f>
        <v>0</v>
      </c>
      <c r="AK221" s="325">
        <f>'AVT187In(vn-S)'!BI28</f>
        <v>0</v>
      </c>
      <c r="AL221" s="32"/>
      <c r="AM221" s="32"/>
      <c r="AN221" s="32"/>
      <c r="AO221" s="32"/>
      <c r="AP221" s="32"/>
      <c r="AQ221" s="32"/>
      <c r="AR221" s="32"/>
      <c r="AS221" s="32"/>
      <c r="AT221" s="325">
        <f>'AVT-celny-2x187In'!AZ18</f>
        <v>0</v>
      </c>
      <c r="AU221" s="325">
        <f>'AVT-celny-2x187In'!BI28</f>
        <v>0</v>
      </c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165"/>
      <c r="BP221" s="165"/>
      <c r="BQ221" s="165"/>
      <c r="BR221" s="165"/>
      <c r="BS221" s="165"/>
      <c r="BT221" s="165"/>
      <c r="BU221" s="165"/>
      <c r="BV221" s="55"/>
      <c r="BW221" s="160"/>
      <c r="BX221" s="32"/>
      <c r="BY221" s="24"/>
      <c r="BZ221" s="24"/>
      <c r="CA221" s="24"/>
      <c r="CB221" s="24"/>
      <c r="CC221" s="24"/>
      <c r="CD221" s="24"/>
      <c r="CE221" s="24"/>
    </row>
    <row r="222" spans="1:83" ht="15" hidden="1" customHeight="1">
      <c r="A222" s="4"/>
      <c r="B222" s="317">
        <f>CENY!B575</f>
        <v>9283184</v>
      </c>
      <c r="C222" s="43" t="str">
        <f>VLOOKUP(B222,CENY!$B$11:$G$1054,2,FALSE)</f>
        <v>AvanY-Inlay sklenené boky 650mm; 2 x sklo</v>
      </c>
      <c r="D222" s="355">
        <f>VLOOKUP(B222,CENY!$B$11:$G$1054,3,FALSE)</f>
        <v>1</v>
      </c>
      <c r="E222" s="56" t="str">
        <f>IF(VLOOKUP(B222,CENY!$B$11:$G$1054,4,FALSE)=0,"",VLOOKUP(B222,CENY!$B$11:$G$1054,4,FALSE))</f>
        <v/>
      </c>
      <c r="F222" s="40" t="str">
        <f t="shared" si="48"/>
        <v/>
      </c>
      <c r="G222" s="52">
        <f>VLOOKUP(B222,CENY!$B$11:$M$1054,12,FALSE)</f>
        <v>59.929090000000002</v>
      </c>
      <c r="H222" s="54" t="str">
        <f t="shared" si="49"/>
        <v xml:space="preserve"> EUR</v>
      </c>
      <c r="I222" s="41" t="str">
        <f t="shared" si="50"/>
        <v/>
      </c>
      <c r="J222" s="122"/>
      <c r="K222" s="42" t="str">
        <f>VLOOKUP(B222,CENY!$B$11:$M$1054,8,FALSE)</f>
        <v xml:space="preserve"> </v>
      </c>
      <c r="L222" s="42" t="str">
        <f>VLOOKUP(B222,CENY!$B$11:$M$1054,9,FALSE)</f>
        <v>421352</v>
      </c>
      <c r="M222" s="32"/>
      <c r="N222" s="35">
        <f t="shared" si="51"/>
        <v>0</v>
      </c>
      <c r="O222" s="36">
        <v>0</v>
      </c>
      <c r="P222" s="32"/>
      <c r="Q222" s="32"/>
      <c r="R222" s="32"/>
      <c r="S222" s="32"/>
      <c r="T222" s="32"/>
      <c r="U222" s="32"/>
      <c r="V222" s="32"/>
      <c r="W222" s="32"/>
      <c r="X222" s="325">
        <f>AVT187In!AZ19</f>
        <v>0</v>
      </c>
      <c r="Y222" s="325">
        <f>AVT187In!BI29</f>
        <v>0</v>
      </c>
      <c r="Z222" s="32"/>
      <c r="AA222" s="32"/>
      <c r="AB222" s="32"/>
      <c r="AC222" s="32"/>
      <c r="AD222" s="32"/>
      <c r="AE222" s="32"/>
      <c r="AF222" s="325">
        <f>'AVT187In(vn-A)'!AZ19</f>
        <v>0</v>
      </c>
      <c r="AG222" s="325">
        <f>'AVT187In(vn-A)'!BI29</f>
        <v>0</v>
      </c>
      <c r="AH222" s="32"/>
      <c r="AI222" s="32"/>
      <c r="AJ222" s="325">
        <f>'AVT187In(vn-S)'!AZ19</f>
        <v>0</v>
      </c>
      <c r="AK222" s="325">
        <f>'AVT187In(vn-S)'!BI29</f>
        <v>0</v>
      </c>
      <c r="AL222" s="32"/>
      <c r="AM222" s="32"/>
      <c r="AN222" s="32"/>
      <c r="AO222" s="32"/>
      <c r="AP222" s="32"/>
      <c r="AQ222" s="32"/>
      <c r="AR222" s="32"/>
      <c r="AS222" s="32"/>
      <c r="AT222" s="325">
        <f>'AVT-celny-2x187In'!AZ19</f>
        <v>0</v>
      </c>
      <c r="AU222" s="325">
        <f>'AVT-celny-2x187In'!BI29</f>
        <v>0</v>
      </c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165"/>
      <c r="BP222" s="165"/>
      <c r="BQ222" s="165"/>
      <c r="BR222" s="165"/>
      <c r="BS222" s="165"/>
      <c r="BT222" s="165"/>
      <c r="BU222" s="165"/>
      <c r="BV222" s="55"/>
      <c r="BW222" s="160"/>
      <c r="BX222" s="32"/>
      <c r="BY222" s="24"/>
      <c r="BZ222" s="24"/>
      <c r="CA222" s="24"/>
      <c r="CB222" s="24"/>
      <c r="CC222" s="24"/>
      <c r="CD222" s="24"/>
      <c r="CE222" s="24"/>
    </row>
    <row r="223" spans="1:83" ht="8.1" hidden="1" customHeight="1">
      <c r="A223" s="4"/>
      <c r="B223" s="126"/>
      <c r="C223" s="43"/>
      <c r="D223" s="39"/>
      <c r="E223" s="56"/>
      <c r="F223" s="60"/>
      <c r="G223" s="52"/>
      <c r="H223" s="54"/>
      <c r="I223" s="41"/>
      <c r="J223" s="122"/>
      <c r="K223" s="42"/>
      <c r="L223" s="42"/>
      <c r="M223" s="32"/>
      <c r="N223" s="35"/>
      <c r="O223" s="36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165"/>
      <c r="BP223" s="165"/>
      <c r="BQ223" s="165"/>
      <c r="BR223" s="165"/>
      <c r="BS223" s="165"/>
      <c r="BT223" s="165"/>
      <c r="BU223" s="165"/>
      <c r="BV223" s="55"/>
      <c r="BW223" s="160"/>
      <c r="BX223" s="32"/>
      <c r="BY223" s="24"/>
      <c r="BZ223" s="24"/>
      <c r="CA223" s="24"/>
      <c r="CB223" s="24"/>
      <c r="CC223" s="24"/>
      <c r="CD223" s="24"/>
      <c r="CE223" s="24"/>
    </row>
    <row r="224" spans="1:83" ht="15" hidden="1" customHeight="1">
      <c r="A224" s="4"/>
      <c r="B224" s="317">
        <f>IF($Y$8=$Y$7,CENY!B577,IF($Y$7=$Y$9,CENY!B581,CENY!B585))</f>
        <v>9283228</v>
      </c>
      <c r="C224" s="43" t="str">
        <f>VLOOKUP(B224,CENY!$B$11:$G$1054,2,FALSE)</f>
        <v>AvanY-sklo pre vnút.čelo /v66/s450/hr18</v>
      </c>
      <c r="D224" s="355">
        <f>VLOOKUP(B224,CENY!$B$11:$G$1054,3,FALSE)</f>
        <v>1</v>
      </c>
      <c r="E224" s="56" t="str">
        <f>IF(VLOOKUP(B224,CENY!$B$11:$G$1054,4,FALSE)=0,"",VLOOKUP(B224,CENY!$B$11:$G$1054,4,FALSE))</f>
        <v/>
      </c>
      <c r="F224" s="40" t="str">
        <f t="shared" ref="F224:F231" si="52">IF(J224&lt;&gt;"",J224,IF(N224=0,"",N224))</f>
        <v/>
      </c>
      <c r="G224" s="52" t="e">
        <f>VLOOKUP(B224,CENY!$B$11:$M$1054,12,FALSE)</f>
        <v>#N/A</v>
      </c>
      <c r="H224" s="54" t="e">
        <f t="shared" si="42"/>
        <v>#N/A</v>
      </c>
      <c r="I224" s="41" t="str">
        <f t="shared" si="43"/>
        <v/>
      </c>
      <c r="J224" s="122"/>
      <c r="K224" s="42" t="str">
        <f>VLOOKUP(B224,CENY!$B$11:$M$1054,8,FALSE)</f>
        <v xml:space="preserve"> </v>
      </c>
      <c r="L224" s="42" t="str">
        <f>VLOOKUP(B224,CENY!$B$11:$M$1054,9,FALSE)</f>
        <v>421716</v>
      </c>
      <c r="M224" s="32"/>
      <c r="N224" s="35">
        <f t="shared" ref="N224:N231" si="53">SUM(P224:BW224)</f>
        <v>0</v>
      </c>
      <c r="O224" s="36">
        <v>0</v>
      </c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37">
        <f>'AVT187(vn-S)'!AZ85</f>
        <v>0</v>
      </c>
      <c r="AI224" s="337">
        <f>'AVT187(vn-S)'!BI130</f>
        <v>0</v>
      </c>
      <c r="AJ224" s="337">
        <f>'AVT187In(vn-S)'!AZ85</f>
        <v>0</v>
      </c>
      <c r="AK224" s="337">
        <f>'AVT187In(vn-S)'!BI104</f>
        <v>0</v>
      </c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165"/>
      <c r="BP224" s="165"/>
      <c r="BQ224" s="165"/>
      <c r="BR224" s="165"/>
      <c r="BS224" s="165"/>
      <c r="BT224" s="165"/>
      <c r="BU224" s="165"/>
      <c r="BV224" s="55"/>
      <c r="BW224" s="160"/>
      <c r="BX224" s="32"/>
      <c r="BY224" s="24"/>
      <c r="BZ224" s="24"/>
      <c r="CA224" s="24"/>
      <c r="CB224" s="24"/>
      <c r="CC224" s="24"/>
      <c r="CD224" s="24"/>
      <c r="CE224" s="24"/>
    </row>
    <row r="225" spans="1:83" ht="15" hidden="1" customHeight="1">
      <c r="A225" s="4"/>
      <c r="B225" s="317">
        <f>IF($Y$8=$Y$7,CENY!B578,IF($Y$7=$Y$9,CENY!B582,CENY!B586))</f>
        <v>9283229</v>
      </c>
      <c r="C225" s="43" t="str">
        <f>VLOOKUP(B225,CENY!$B$11:$G$1054,2,FALSE)</f>
        <v>AvanY-sklo pre vnút.čelo /v66/s600/hr18</v>
      </c>
      <c r="D225" s="355">
        <f>VLOOKUP(B225,CENY!$B$11:$G$1054,3,FALSE)</f>
        <v>1</v>
      </c>
      <c r="E225" s="56" t="str">
        <f>IF(VLOOKUP(B225,CENY!$B$11:$G$1054,4,FALSE)=0,"",VLOOKUP(B225,CENY!$B$11:$G$1054,4,FALSE))</f>
        <v/>
      </c>
      <c r="F225" s="40" t="str">
        <f t="shared" si="52"/>
        <v/>
      </c>
      <c r="G225" s="52">
        <f>VLOOKUP(B225,CENY!$B$11:$M$1054,12,FALSE)</f>
        <v>19.680150000000001</v>
      </c>
      <c r="H225" s="54" t="str">
        <f t="shared" si="42"/>
        <v xml:space="preserve"> EUR</v>
      </c>
      <c r="I225" s="41" t="str">
        <f t="shared" si="43"/>
        <v/>
      </c>
      <c r="J225" s="122"/>
      <c r="K225" s="42" t="str">
        <f>VLOOKUP(B225,CENY!$B$11:$M$1054,8,FALSE)</f>
        <v xml:space="preserve"> </v>
      </c>
      <c r="L225" s="42" t="str">
        <f>VLOOKUP(B225,CENY!$B$11:$M$1054,9,FALSE)</f>
        <v>489687</v>
      </c>
      <c r="M225" s="32"/>
      <c r="N225" s="35">
        <f t="shared" si="53"/>
        <v>0</v>
      </c>
      <c r="O225" s="36">
        <v>0</v>
      </c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37">
        <f>'AVT187(vn-S)'!AZ86</f>
        <v>0</v>
      </c>
      <c r="AI225" s="337">
        <f>'AVT187(vn-S)'!BI131</f>
        <v>0</v>
      </c>
      <c r="AJ225" s="337">
        <f>'AVT187In(vn-S)'!AZ86</f>
        <v>0</v>
      </c>
      <c r="AK225" s="337">
        <f>'AVT187In(vn-S)'!BI105</f>
        <v>0</v>
      </c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165"/>
      <c r="BP225" s="165"/>
      <c r="BQ225" s="165"/>
      <c r="BR225" s="165"/>
      <c r="BS225" s="165"/>
      <c r="BT225" s="165"/>
      <c r="BU225" s="165"/>
      <c r="BV225" s="55"/>
      <c r="BW225" s="160"/>
      <c r="BX225" s="32"/>
      <c r="BY225" s="24"/>
      <c r="BZ225" s="24"/>
      <c r="CA225" s="24"/>
      <c r="CB225" s="24"/>
      <c r="CC225" s="24"/>
      <c r="CD225" s="24"/>
      <c r="CE225" s="24"/>
    </row>
    <row r="226" spans="1:83" ht="15" hidden="1" customHeight="1">
      <c r="A226" s="4"/>
      <c r="B226" s="317">
        <f>IF($Y$8=$Y$7,CENY!B579,IF($Y$7=$Y$9,CENY!B583,CENY!B587))</f>
        <v>9283231</v>
      </c>
      <c r="C226" s="43" t="str">
        <f>VLOOKUP(B226,CENY!$B$11:$G$1054,2,FALSE)</f>
        <v>AvanY-sklo pre vnút.čelo /v66/s900/hr18</v>
      </c>
      <c r="D226" s="355">
        <f>VLOOKUP(B226,CENY!$B$11:$G$1054,3,FALSE)</f>
        <v>1</v>
      </c>
      <c r="E226" s="56" t="str">
        <f>IF(VLOOKUP(B226,CENY!$B$11:$G$1054,4,FALSE)=0,"",VLOOKUP(B226,CENY!$B$11:$G$1054,4,FALSE))</f>
        <v/>
      </c>
      <c r="F226" s="40" t="str">
        <f t="shared" si="52"/>
        <v/>
      </c>
      <c r="G226" s="52">
        <f>VLOOKUP(B226,CENY!$B$11:$M$1054,12,FALSE)</f>
        <v>34.754010000000001</v>
      </c>
      <c r="H226" s="54" t="str">
        <f t="shared" si="42"/>
        <v xml:space="preserve"> EUR</v>
      </c>
      <c r="I226" s="41" t="str">
        <f t="shared" si="43"/>
        <v/>
      </c>
      <c r="J226" s="122"/>
      <c r="K226" s="42" t="str">
        <f>VLOOKUP(B226,CENY!$B$11:$M$1054,8,FALSE)</f>
        <v xml:space="preserve"> </v>
      </c>
      <c r="L226" s="42" t="str">
        <f>VLOOKUP(B226,CENY!$B$11:$M$1054,9,FALSE)</f>
        <v>518509</v>
      </c>
      <c r="M226" s="32"/>
      <c r="N226" s="35">
        <f t="shared" si="53"/>
        <v>0</v>
      </c>
      <c r="O226" s="36">
        <v>0</v>
      </c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37">
        <f>'AVT187(vn-S)'!AZ87</f>
        <v>0</v>
      </c>
      <c r="AI226" s="337">
        <f>'AVT187(vn-S)'!BI132</f>
        <v>0</v>
      </c>
      <c r="AJ226" s="337">
        <f>'AVT187In(vn-S)'!AZ87</f>
        <v>0</v>
      </c>
      <c r="AK226" s="337">
        <f>'AVT187In(vn-S)'!BI106</f>
        <v>0</v>
      </c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165"/>
      <c r="BP226" s="165"/>
      <c r="BQ226" s="165"/>
      <c r="BR226" s="165"/>
      <c r="BS226" s="165"/>
      <c r="BT226" s="165"/>
      <c r="BU226" s="165"/>
      <c r="BV226" s="55"/>
      <c r="BW226" s="160"/>
      <c r="BX226" s="32"/>
      <c r="BY226" s="24"/>
      <c r="BZ226" s="24"/>
      <c r="CA226" s="24"/>
      <c r="CB226" s="24"/>
      <c r="CC226" s="24"/>
      <c r="CD226" s="24"/>
      <c r="CE226" s="24"/>
    </row>
    <row r="227" spans="1:83" ht="15" hidden="1" customHeight="1">
      <c r="A227" s="4"/>
      <c r="B227" s="317">
        <f>IF($Y$8=$Y$7,CENY!B580,IF($Y$7=$Y$9,CENY!B584,CENY!B588))</f>
        <v>9283232</v>
      </c>
      <c r="C227" s="43" t="str">
        <f>VLOOKUP(B227,CENY!$B$11:$G$1054,2,FALSE)</f>
        <v>AvanY-sklo pre vnút.čelo /v66/s1200/hr18</v>
      </c>
      <c r="D227" s="355">
        <f>VLOOKUP(B227,CENY!$B$11:$G$1054,3,FALSE)</f>
        <v>1</v>
      </c>
      <c r="E227" s="56" t="str">
        <f>IF(VLOOKUP(B227,CENY!$B$11:$G$1054,4,FALSE)=0,"",VLOOKUP(B227,CENY!$B$11:$G$1054,4,FALSE))</f>
        <v/>
      </c>
      <c r="F227" s="40" t="str">
        <f t="shared" si="52"/>
        <v/>
      </c>
      <c r="G227" s="52">
        <f>VLOOKUP(B227,CENY!$B$11:$M$1054,12,FALSE)</f>
        <v>44.803019999999997</v>
      </c>
      <c r="H227" s="54" t="str">
        <f t="shared" si="42"/>
        <v xml:space="preserve"> EUR</v>
      </c>
      <c r="I227" s="41" t="str">
        <f t="shared" si="43"/>
        <v/>
      </c>
      <c r="J227" s="122"/>
      <c r="K227" s="42" t="str">
        <f>VLOOKUP(B227,CENY!$B$11:$M$1054,8,FALSE)</f>
        <v xml:space="preserve"> </v>
      </c>
      <c r="L227" s="42" t="str">
        <f>VLOOKUP(B227,CENY!$B$11:$M$1054,9,FALSE)</f>
        <v>518502</v>
      </c>
      <c r="M227" s="32"/>
      <c r="N227" s="35">
        <f t="shared" si="53"/>
        <v>0</v>
      </c>
      <c r="O227" s="36">
        <v>0</v>
      </c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37">
        <f>'AVT187(vn-S)'!AZ88</f>
        <v>0</v>
      </c>
      <c r="AI227" s="337">
        <f>'AVT187(vn-S)'!BI133</f>
        <v>0</v>
      </c>
      <c r="AJ227" s="337">
        <f>'AVT187In(vn-S)'!AZ88</f>
        <v>0</v>
      </c>
      <c r="AK227" s="337">
        <f>'AVT187In(vn-S)'!BI107</f>
        <v>0</v>
      </c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165"/>
      <c r="BP227" s="165"/>
      <c r="BQ227" s="165"/>
      <c r="BR227" s="165"/>
      <c r="BS227" s="165"/>
      <c r="BT227" s="165"/>
      <c r="BU227" s="165"/>
      <c r="BV227" s="55"/>
      <c r="BW227" s="160"/>
      <c r="BX227" s="32"/>
      <c r="BY227" s="24"/>
      <c r="BZ227" s="24"/>
      <c r="CA227" s="24"/>
      <c r="CB227" s="24"/>
      <c r="CC227" s="24"/>
      <c r="CD227" s="24"/>
      <c r="CE227" s="24"/>
    </row>
    <row r="228" spans="1:83" ht="15" hidden="1" customHeight="1">
      <c r="A228" s="4"/>
      <c r="B228" s="317">
        <f>IF($Y$8=$Y$7,CENY!B589,IF($Y$7=$Y$9,CENY!B593,CENY!B597))</f>
        <v>9283233</v>
      </c>
      <c r="C228" s="43" t="str">
        <f>VLOOKUP(B228,CENY!$B$11:$G$1054,2,FALSE)</f>
        <v>AvanY-sklo pre vnút.čelo /v130/s450/hr18</v>
      </c>
      <c r="D228" s="355">
        <f>VLOOKUP(B228,CENY!$B$11:$G$1054,3,FALSE)</f>
        <v>1</v>
      </c>
      <c r="E228" s="56" t="str">
        <f>IF(VLOOKUP(B228,CENY!$B$11:$G$1054,4,FALSE)=0,"",VLOOKUP(B228,CENY!$B$11:$G$1054,4,FALSE))</f>
        <v/>
      </c>
      <c r="F228" s="40" t="str">
        <f t="shared" si="52"/>
        <v/>
      </c>
      <c r="G228" s="52">
        <f>VLOOKUP(B228,CENY!$B$11:$M$1054,12,FALSE)</f>
        <v>27.140440000000002</v>
      </c>
      <c r="H228" s="54" t="str">
        <f t="shared" si="42"/>
        <v xml:space="preserve"> EUR</v>
      </c>
      <c r="I228" s="41" t="str">
        <f t="shared" si="43"/>
        <v/>
      </c>
      <c r="J228" s="122"/>
      <c r="K228" s="42" t="str">
        <f>VLOOKUP(B228,CENY!$B$11:$M$1054,8,FALSE)</f>
        <v xml:space="preserve"> </v>
      </c>
      <c r="L228" s="42" t="str">
        <f>VLOOKUP(B228,CENY!$B$11:$M$1054,9,FALSE)</f>
        <v>518494</v>
      </c>
      <c r="M228" s="32"/>
      <c r="N228" s="35">
        <f t="shared" si="53"/>
        <v>0</v>
      </c>
      <c r="O228" s="36">
        <v>0</v>
      </c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37">
        <f>'AVT187(vn-S)'!AZ89</f>
        <v>0</v>
      </c>
      <c r="AI228" s="337">
        <f>'AVT187(vn-S)'!BI134</f>
        <v>0</v>
      </c>
      <c r="AJ228" s="337">
        <f>'AVT187In(vn-S)'!AZ89</f>
        <v>0</v>
      </c>
      <c r="AK228" s="337">
        <f>'AVT187In(vn-S)'!BI108</f>
        <v>0</v>
      </c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165"/>
      <c r="BP228" s="165"/>
      <c r="BQ228" s="165"/>
      <c r="BR228" s="165"/>
      <c r="BS228" s="165"/>
      <c r="BT228" s="165"/>
      <c r="BU228" s="165"/>
      <c r="BV228" s="55"/>
      <c r="BW228" s="160"/>
      <c r="BX228" s="32"/>
      <c r="BY228" s="24"/>
      <c r="BZ228" s="24"/>
      <c r="CA228" s="24"/>
      <c r="CB228" s="24"/>
      <c r="CC228" s="24"/>
      <c r="CD228" s="24"/>
      <c r="CE228" s="24"/>
    </row>
    <row r="229" spans="1:83" ht="15" hidden="1" customHeight="1">
      <c r="A229" s="4"/>
      <c r="B229" s="317">
        <f>IF($Y$8=$Y$7,CENY!B590,IF($Y$7=$Y$9,CENY!B594,CENY!B598))</f>
        <v>9283235</v>
      </c>
      <c r="C229" s="43" t="str">
        <f>VLOOKUP(B229,CENY!$B$11:$G$1054,2,FALSE)</f>
        <v>AvanY-sklo pre vnút.čelo /v130/s600/hr18</v>
      </c>
      <c r="D229" s="355">
        <f>VLOOKUP(B229,CENY!$B$11:$G$1054,3,FALSE)</f>
        <v>1</v>
      </c>
      <c r="E229" s="56" t="str">
        <f>IF(VLOOKUP(B229,CENY!$B$11:$G$1054,4,FALSE)=0,"",VLOOKUP(B229,CENY!$B$11:$G$1054,4,FALSE))</f>
        <v/>
      </c>
      <c r="F229" s="40" t="str">
        <f t="shared" si="52"/>
        <v/>
      </c>
      <c r="G229" s="52">
        <f>VLOOKUP(B229,CENY!$B$11:$M$1054,12,FALSE)</f>
        <v>30.842929999999999</v>
      </c>
      <c r="H229" s="54" t="str">
        <f t="shared" si="42"/>
        <v xml:space="preserve"> EUR</v>
      </c>
      <c r="I229" s="41" t="str">
        <f t="shared" si="43"/>
        <v/>
      </c>
      <c r="J229" s="122"/>
      <c r="K229" s="42" t="str">
        <f>VLOOKUP(B229,CENY!$B$11:$M$1054,8,FALSE)</f>
        <v xml:space="preserve"> </v>
      </c>
      <c r="L229" s="42" t="str">
        <f>VLOOKUP(B229,CENY!$B$11:$M$1054,9,FALSE)</f>
        <v>475081</v>
      </c>
      <c r="M229" s="32"/>
      <c r="N229" s="35">
        <f t="shared" si="53"/>
        <v>0</v>
      </c>
      <c r="O229" s="36">
        <v>0</v>
      </c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37">
        <f>'AVT187(vn-S)'!AZ90</f>
        <v>0</v>
      </c>
      <c r="AI229" s="337">
        <f>'AVT187(vn-S)'!BI135</f>
        <v>0</v>
      </c>
      <c r="AJ229" s="337">
        <f>'AVT187In(vn-S)'!AZ90</f>
        <v>0</v>
      </c>
      <c r="AK229" s="337">
        <f>'AVT187In(vn-S)'!BI109</f>
        <v>0</v>
      </c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165"/>
      <c r="BP229" s="165"/>
      <c r="BQ229" s="165"/>
      <c r="BR229" s="165"/>
      <c r="BS229" s="165"/>
      <c r="BT229" s="165"/>
      <c r="BU229" s="165"/>
      <c r="BV229" s="55"/>
      <c r="BW229" s="160"/>
      <c r="BX229" s="32"/>
      <c r="BY229" s="24"/>
      <c r="BZ229" s="24"/>
      <c r="CA229" s="24"/>
      <c r="CB229" s="24"/>
      <c r="CC229" s="24"/>
      <c r="CD229" s="24"/>
      <c r="CE229" s="24"/>
    </row>
    <row r="230" spans="1:83" ht="15" hidden="1" customHeight="1">
      <c r="A230" s="4"/>
      <c r="B230" s="317">
        <f>IF($Y$8=$Y$7,CENY!B591,IF($Y$7=$Y$9,CENY!B595,CENY!B599))</f>
        <v>9283237</v>
      </c>
      <c r="C230" s="43" t="str">
        <f>VLOOKUP(B230,CENY!$B$11:$G$1054,2,FALSE)</f>
        <v>AvanY-sklo pre vnút.čelo /v130/s900/hr18</v>
      </c>
      <c r="D230" s="355">
        <f>VLOOKUP(B230,CENY!$B$11:$G$1054,3,FALSE)</f>
        <v>1</v>
      </c>
      <c r="E230" s="56" t="str">
        <f>IF(VLOOKUP(B230,CENY!$B$11:$G$1054,4,FALSE)=0,"",VLOOKUP(B230,CENY!$B$11:$G$1054,4,FALSE))</f>
        <v/>
      </c>
      <c r="F230" s="40" t="str">
        <f t="shared" si="52"/>
        <v/>
      </c>
      <c r="G230" s="52">
        <f>VLOOKUP(B230,CENY!$B$11:$M$1054,12,FALSE)</f>
        <v>51.404679999999999</v>
      </c>
      <c r="H230" s="54" t="str">
        <f t="shared" si="42"/>
        <v xml:space="preserve"> EUR</v>
      </c>
      <c r="I230" s="41" t="str">
        <f t="shared" si="43"/>
        <v/>
      </c>
      <c r="J230" s="122"/>
      <c r="K230" s="42" t="str">
        <f>VLOOKUP(B230,CENY!$B$11:$M$1054,8,FALSE)</f>
        <v xml:space="preserve"> </v>
      </c>
      <c r="L230" s="42" t="str">
        <f>VLOOKUP(B230,CENY!$B$11:$M$1054,9,FALSE)</f>
        <v>518499</v>
      </c>
      <c r="M230" s="32"/>
      <c r="N230" s="35">
        <f t="shared" si="53"/>
        <v>0</v>
      </c>
      <c r="O230" s="36">
        <v>0</v>
      </c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37">
        <f>'AVT187(vn-S)'!AZ91</f>
        <v>0</v>
      </c>
      <c r="AI230" s="337">
        <f>'AVT187(vn-S)'!BI136</f>
        <v>0</v>
      </c>
      <c r="AJ230" s="337">
        <f>'AVT187In(vn-S)'!AZ91</f>
        <v>0</v>
      </c>
      <c r="AK230" s="337">
        <f>'AVT187In(vn-S)'!BI110</f>
        <v>0</v>
      </c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165"/>
      <c r="BP230" s="165"/>
      <c r="BQ230" s="165"/>
      <c r="BR230" s="165"/>
      <c r="BS230" s="165"/>
      <c r="BT230" s="165"/>
      <c r="BU230" s="165"/>
      <c r="BV230" s="55"/>
      <c r="BW230" s="160"/>
      <c r="BX230" s="32"/>
      <c r="BY230" s="24"/>
      <c r="BZ230" s="24"/>
      <c r="CA230" s="24"/>
      <c r="CB230" s="24"/>
      <c r="CC230" s="24"/>
      <c r="CD230" s="24"/>
      <c r="CE230" s="24"/>
    </row>
    <row r="231" spans="1:83" ht="15" hidden="1" customHeight="1">
      <c r="A231" s="4"/>
      <c r="B231" s="317">
        <f>IF($Y$8=$Y$7,CENY!B592,IF($Y$7=$Y$9,CENY!B596,CENY!B600))</f>
        <v>9283238</v>
      </c>
      <c r="C231" s="43" t="str">
        <f>VLOOKUP(B231,CENY!$B$11:$G$1054,2,FALSE)</f>
        <v>AvanY-sklo pre vnút.čelo /v130/s1200/hr18</v>
      </c>
      <c r="D231" s="355">
        <f>VLOOKUP(B231,CENY!$B$11:$G$1054,3,FALSE)</f>
        <v>1</v>
      </c>
      <c r="E231" s="56" t="str">
        <f>IF(VLOOKUP(B231,CENY!$B$11:$G$1054,4,FALSE)=0,"",VLOOKUP(B231,CENY!$B$11:$G$1054,4,FALSE))</f>
        <v/>
      </c>
      <c r="F231" s="40" t="str">
        <f t="shared" si="52"/>
        <v/>
      </c>
      <c r="G231" s="52">
        <f>VLOOKUP(B231,CENY!$B$11:$M$1054,12,FALSE)</f>
        <v>66.209140000000005</v>
      </c>
      <c r="H231" s="54" t="str">
        <f t="shared" si="42"/>
        <v xml:space="preserve"> EUR</v>
      </c>
      <c r="I231" s="41" t="str">
        <f t="shared" si="43"/>
        <v/>
      </c>
      <c r="J231" s="122"/>
      <c r="K231" s="42" t="str">
        <f>VLOOKUP(B231,CENY!$B$11:$M$1054,8,FALSE)</f>
        <v xml:space="preserve"> </v>
      </c>
      <c r="L231" s="42" t="str">
        <f>VLOOKUP(B231,CENY!$B$11:$M$1054,9,FALSE)</f>
        <v>518491</v>
      </c>
      <c r="M231" s="32"/>
      <c r="N231" s="35">
        <f t="shared" si="53"/>
        <v>0</v>
      </c>
      <c r="O231" s="36">
        <v>0</v>
      </c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37">
        <f>'AVT187(vn-S)'!AZ92</f>
        <v>0</v>
      </c>
      <c r="AI231" s="337">
        <f>'AVT187(vn-S)'!BI137</f>
        <v>0</v>
      </c>
      <c r="AJ231" s="337">
        <f>'AVT187In(vn-S)'!AZ92</f>
        <v>0</v>
      </c>
      <c r="AK231" s="337">
        <f>'AVT187In(vn-S)'!BI111</f>
        <v>0</v>
      </c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165"/>
      <c r="BP231" s="165"/>
      <c r="BQ231" s="165"/>
      <c r="BR231" s="165"/>
      <c r="BS231" s="165"/>
      <c r="BT231" s="165"/>
      <c r="BU231" s="165"/>
      <c r="BV231" s="55"/>
      <c r="BW231" s="160"/>
      <c r="BX231" s="32"/>
      <c r="BY231" s="24"/>
      <c r="BZ231" s="24"/>
      <c r="CA231" s="24"/>
      <c r="CB231" s="24"/>
      <c r="CC231" s="24"/>
      <c r="CD231" s="24"/>
      <c r="CE231" s="24"/>
    </row>
    <row r="232" spans="1:83" ht="8.1" hidden="1" customHeight="1">
      <c r="A232" s="4"/>
      <c r="B232" s="126"/>
      <c r="C232" s="43"/>
      <c r="D232" s="39"/>
      <c r="E232" s="56"/>
      <c r="F232" s="60"/>
      <c r="G232" s="52"/>
      <c r="H232" s="54"/>
      <c r="I232" s="41"/>
      <c r="J232" s="122"/>
      <c r="K232" s="42"/>
      <c r="L232" s="42"/>
      <c r="M232" s="32"/>
      <c r="N232" s="35"/>
      <c r="O232" s="36">
        <v>0</v>
      </c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165"/>
      <c r="BP232" s="165"/>
      <c r="BQ232" s="165"/>
      <c r="BR232" s="165"/>
      <c r="BS232" s="165"/>
      <c r="BT232" s="165"/>
      <c r="BU232" s="165"/>
      <c r="BV232" s="55"/>
      <c r="BW232" s="160"/>
      <c r="BX232" s="32"/>
      <c r="BY232" s="24"/>
      <c r="BZ232" s="24"/>
      <c r="CA232" s="24"/>
      <c r="CB232" s="24"/>
      <c r="CC232" s="24"/>
      <c r="CD232" s="24"/>
      <c r="CE232" s="24"/>
    </row>
    <row r="233" spans="1:83" ht="15" hidden="1" customHeight="1">
      <c r="A233" s="4"/>
      <c r="B233" s="318">
        <f>CENY!B609</f>
        <v>9318154</v>
      </c>
      <c r="C233" s="43" t="str">
        <f>VLOOKUP(B233,CENY!$B$11:$G$1054,2,FALSE)</f>
        <v>Actro You(S) 270/SiSy 10kg; EB21</v>
      </c>
      <c r="D233" s="364">
        <f>VLOOKUP(B233,CENY!$B$11:$G$1054,3,FALSE)</f>
        <v>1</v>
      </c>
      <c r="E233" s="56" t="str">
        <f>IF(VLOOKUP(B233,CENY!$B$11:$G$1054,4,FALSE)=0,"",VLOOKUP(B233,CENY!$B$11:$G$1054,4,FALSE))</f>
        <v/>
      </c>
      <c r="F233" s="40" t="str">
        <f t="shared" ref="F233:F241" si="54">IF(J233&lt;&gt;"",J233,IF(N233=0,"",N233))</f>
        <v/>
      </c>
      <c r="G233" s="52">
        <f>VLOOKUP(B233,CENY!$B$11:$M$1054,12,FALSE)</f>
        <v>31.62575</v>
      </c>
      <c r="H233" s="54" t="str">
        <f t="shared" ref="H233:H295" si="55">IF(G233="","",$H$22)</f>
        <v xml:space="preserve"> EUR</v>
      </c>
      <c r="I233" s="41" t="str">
        <f t="shared" ref="I233:I295" si="56">IF(F233="","",G233*F233)</f>
        <v/>
      </c>
      <c r="J233" s="122"/>
      <c r="K233" s="42" t="str">
        <f>VLOOKUP(B233,CENY!$B$11:$M$1054,8,FALSE)</f>
        <v xml:space="preserve"> </v>
      </c>
      <c r="L233" s="42" t="str">
        <f>VLOOKUP(B233,CENY!$B$11:$M$1054,9,FALSE)</f>
        <v>518516</v>
      </c>
      <c r="M233" s="32"/>
      <c r="N233" s="35">
        <f t="shared" ref="N233:N241" si="57">SUM(P233:BW233)</f>
        <v>0</v>
      </c>
      <c r="O233" s="36">
        <v>0</v>
      </c>
      <c r="P233" s="325">
        <f>'AVT101'!AZ25</f>
        <v>0</v>
      </c>
      <c r="Q233" s="32"/>
      <c r="R233" s="325">
        <f>'AVT139'!AZ25</f>
        <v>0</v>
      </c>
      <c r="S233" s="32"/>
      <c r="T233" s="325">
        <f>'AVT187'!AZ25</f>
        <v>0</v>
      </c>
      <c r="U233" s="32"/>
      <c r="V233" s="32"/>
      <c r="W233" s="32"/>
      <c r="X233" s="32"/>
      <c r="Y233" s="32"/>
      <c r="Z233" s="325">
        <f>'AVT101(vn-A)'!AZ25</f>
        <v>0</v>
      </c>
      <c r="AA233" s="32"/>
      <c r="AB233" s="32"/>
      <c r="AC233" s="32"/>
      <c r="AD233" s="325">
        <f>'AVT187(vn-A)'!AZ25</f>
        <v>0</v>
      </c>
      <c r="AE233" s="32"/>
      <c r="AF233" s="32"/>
      <c r="AG233" s="32"/>
      <c r="AH233" s="325">
        <f>'AVT187(vn-S)'!AZ25</f>
        <v>0</v>
      </c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165"/>
      <c r="BP233" s="165"/>
      <c r="BQ233" s="165"/>
      <c r="BR233" s="165"/>
      <c r="BS233" s="165"/>
      <c r="BT233" s="165"/>
      <c r="BU233" s="165"/>
      <c r="BV233" s="55"/>
      <c r="BW233" s="160"/>
      <c r="BX233" s="32"/>
      <c r="BY233" s="24"/>
      <c r="BZ233" s="24"/>
      <c r="CA233" s="24"/>
      <c r="CB233" s="24"/>
      <c r="CC233" s="24"/>
      <c r="CD233" s="24"/>
      <c r="CE233" s="24"/>
    </row>
    <row r="234" spans="1:83" ht="15" hidden="1" customHeight="1">
      <c r="A234" s="4"/>
      <c r="B234" s="318">
        <f>CENY!B610</f>
        <v>9318156</v>
      </c>
      <c r="C234" s="43" t="str">
        <f>VLOOKUP(B234,CENY!$B$11:$G$1054,2,FALSE)</f>
        <v>Actro You(S) 300/SiSy 10kg; EB21</v>
      </c>
      <c r="D234" s="364">
        <f>VLOOKUP(B234,CENY!$B$11:$G$1054,3,FALSE)</f>
        <v>1</v>
      </c>
      <c r="E234" s="56" t="str">
        <f>IF(VLOOKUP(B234,CENY!$B$11:$G$1054,4,FALSE)=0,"",VLOOKUP(B234,CENY!$B$11:$G$1054,4,FALSE))</f>
        <v/>
      </c>
      <c r="F234" s="40" t="str">
        <f t="shared" si="54"/>
        <v/>
      </c>
      <c r="G234" s="52">
        <f>VLOOKUP(B234,CENY!$B$11:$M$1054,12,FALSE)</f>
        <v>31.62575</v>
      </c>
      <c r="H234" s="54" t="str">
        <f t="shared" si="55"/>
        <v xml:space="preserve"> EUR</v>
      </c>
      <c r="I234" s="41" t="str">
        <f t="shared" si="56"/>
        <v/>
      </c>
      <c r="J234" s="122"/>
      <c r="K234" s="42" t="str">
        <f>VLOOKUP(B234,CENY!$B$11:$M$1054,8,FALSE)</f>
        <v xml:space="preserve"> </v>
      </c>
      <c r="L234" s="42" t="str">
        <f>VLOOKUP(B234,CENY!$B$11:$M$1054,9,FALSE)</f>
        <v>518519</v>
      </c>
      <c r="M234" s="32"/>
      <c r="N234" s="35">
        <f t="shared" si="57"/>
        <v>0</v>
      </c>
      <c r="O234" s="36">
        <v>0</v>
      </c>
      <c r="P234" s="325">
        <f>'AVT101'!AZ26</f>
        <v>0</v>
      </c>
      <c r="Q234" s="32"/>
      <c r="R234" s="325">
        <f>'AVT139'!AZ26</f>
        <v>0</v>
      </c>
      <c r="S234" s="32"/>
      <c r="T234" s="325">
        <f>'AVT187'!AZ26</f>
        <v>0</v>
      </c>
      <c r="U234" s="32"/>
      <c r="V234" s="32"/>
      <c r="W234" s="32"/>
      <c r="X234" s="32"/>
      <c r="Y234" s="32"/>
      <c r="Z234" s="325">
        <f>'AVT101(vn-A)'!AZ26</f>
        <v>0</v>
      </c>
      <c r="AA234" s="32"/>
      <c r="AB234" s="325">
        <f>'AVT139(vn-A)'!AZ26</f>
        <v>0</v>
      </c>
      <c r="AC234" s="32"/>
      <c r="AD234" s="325">
        <f>'AVT187(vn-A)'!AZ26</f>
        <v>0</v>
      </c>
      <c r="AE234" s="32"/>
      <c r="AF234" s="32"/>
      <c r="AG234" s="32"/>
      <c r="AH234" s="325">
        <f>'AVT187(vn-S)'!AZ26</f>
        <v>0</v>
      </c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165"/>
      <c r="BP234" s="165"/>
      <c r="BQ234" s="165"/>
      <c r="BR234" s="165"/>
      <c r="BS234" s="165"/>
      <c r="BT234" s="165"/>
      <c r="BU234" s="165"/>
      <c r="BV234" s="55"/>
      <c r="BW234" s="160"/>
      <c r="BX234" s="32"/>
      <c r="BY234" s="24"/>
      <c r="BZ234" s="24"/>
      <c r="CA234" s="24"/>
      <c r="CB234" s="24"/>
      <c r="CC234" s="24"/>
      <c r="CD234" s="24"/>
      <c r="CE234" s="24"/>
    </row>
    <row r="235" spans="1:83" ht="15" hidden="1" customHeight="1">
      <c r="A235" s="4"/>
      <c r="B235" s="318">
        <f>CENY!B611</f>
        <v>9318160</v>
      </c>
      <c r="C235" s="43" t="str">
        <f>VLOOKUP(B235,CENY!$B$11:$G$1054,2,FALSE)</f>
        <v>Actro You(S) 350/SiSy 10kg; EB21</v>
      </c>
      <c r="D235" s="364">
        <f>VLOOKUP(B235,CENY!$B$11:$G$1054,3,FALSE)</f>
        <v>1</v>
      </c>
      <c r="E235" s="56" t="str">
        <f>IF(VLOOKUP(B235,CENY!$B$11:$G$1054,4,FALSE)=0,"",VLOOKUP(B235,CENY!$B$11:$G$1054,4,FALSE))</f>
        <v/>
      </c>
      <c r="F235" s="40" t="str">
        <f t="shared" si="54"/>
        <v/>
      </c>
      <c r="G235" s="52">
        <f>VLOOKUP(B235,CENY!$B$11:$M$1054,12,FALSE)</f>
        <v>31.62575</v>
      </c>
      <c r="H235" s="54" t="str">
        <f t="shared" si="55"/>
        <v xml:space="preserve"> EUR</v>
      </c>
      <c r="I235" s="41" t="str">
        <f t="shared" si="56"/>
        <v/>
      </c>
      <c r="J235" s="122"/>
      <c r="K235" s="42" t="str">
        <f>VLOOKUP(B235,CENY!$B$11:$M$1054,8,FALSE)</f>
        <v xml:space="preserve"> </v>
      </c>
      <c r="L235" s="42" t="str">
        <f>VLOOKUP(B235,CENY!$B$11:$M$1054,9,FALSE)</f>
        <v>518520</v>
      </c>
      <c r="M235" s="32"/>
      <c r="N235" s="35">
        <f t="shared" si="57"/>
        <v>0</v>
      </c>
      <c r="O235" s="36">
        <v>0</v>
      </c>
      <c r="P235" s="325">
        <f>'AVT101'!AZ27</f>
        <v>0</v>
      </c>
      <c r="Q235" s="32"/>
      <c r="R235" s="325">
        <f>'AVT139'!AZ27</f>
        <v>0</v>
      </c>
      <c r="S235" s="32"/>
      <c r="T235" s="325">
        <f>'AVT187'!AZ27</f>
        <v>0</v>
      </c>
      <c r="U235" s="32"/>
      <c r="V235" s="325">
        <f>'AVT251'!AZ21</f>
        <v>0</v>
      </c>
      <c r="W235" s="32"/>
      <c r="X235" s="325">
        <f>'AVT251'!AZ21</f>
        <v>0</v>
      </c>
      <c r="Y235" s="32"/>
      <c r="Z235" s="325">
        <f>'AVT101(vn-A)'!AZ27</f>
        <v>0</v>
      </c>
      <c r="AA235" s="32"/>
      <c r="AB235" s="325">
        <f>'AVT139(vn-A)'!AZ27</f>
        <v>0</v>
      </c>
      <c r="AC235" s="32"/>
      <c r="AD235" s="325">
        <f>'AVT187(vn-A)'!AZ27</f>
        <v>0</v>
      </c>
      <c r="AE235" s="32"/>
      <c r="AF235" s="325">
        <f>'AVT187In(vn-A)'!AZ21</f>
        <v>0</v>
      </c>
      <c r="AG235" s="32"/>
      <c r="AH235" s="325">
        <f>'AVT187(vn-S)'!AZ27</f>
        <v>0</v>
      </c>
      <c r="AI235" s="32"/>
      <c r="AJ235" s="325">
        <f>'AVT187In(vn-S)'!AZ21</f>
        <v>0</v>
      </c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165"/>
      <c r="BP235" s="165"/>
      <c r="BQ235" s="165"/>
      <c r="BR235" s="165"/>
      <c r="BS235" s="165"/>
      <c r="BT235" s="165"/>
      <c r="BU235" s="165"/>
      <c r="BV235" s="55"/>
      <c r="BW235" s="160"/>
      <c r="BX235" s="32"/>
      <c r="BY235" s="24"/>
      <c r="BZ235" s="24"/>
      <c r="CA235" s="24"/>
      <c r="CB235" s="24"/>
      <c r="CC235" s="24"/>
      <c r="CD235" s="24"/>
      <c r="CE235" s="24"/>
    </row>
    <row r="236" spans="1:83" ht="15" hidden="1" customHeight="1">
      <c r="A236" s="4"/>
      <c r="B236" s="318">
        <f>CENY!B612</f>
        <v>9318145</v>
      </c>
      <c r="C236" s="43" t="str">
        <f>VLOOKUP(B236,CENY!$B$11:$G$1054,2,FALSE)</f>
        <v>Actro You(S) 270/SiSy 10kg; EB21; ľavý</v>
      </c>
      <c r="D236" s="353">
        <f>VLOOKUP(B236,CENY!$B$11:$G$1054,3,FALSE)</f>
        <v>10</v>
      </c>
      <c r="E236" s="56" t="str">
        <f>IF(VLOOKUP(B236,CENY!$B$11:$G$1054,4,FALSE)=0,"",VLOOKUP(B236,CENY!$B$11:$G$1054,4,FALSE))</f>
        <v/>
      </c>
      <c r="F236" s="40" t="str">
        <f t="shared" si="54"/>
        <v/>
      </c>
      <c r="G236" s="52" t="e">
        <f>VLOOKUP(B236,CENY!$B$11:$M$1054,12,FALSE)</f>
        <v>#N/A</v>
      </c>
      <c r="H236" s="54" t="e">
        <f t="shared" si="55"/>
        <v>#N/A</v>
      </c>
      <c r="I236" s="41" t="str">
        <f t="shared" si="56"/>
        <v/>
      </c>
      <c r="J236" s="122"/>
      <c r="K236" s="42" t="str">
        <f>VLOOKUP(B236,CENY!$B$11:$M$1054,8,FALSE)</f>
        <v xml:space="preserve"> </v>
      </c>
      <c r="L236" s="42">
        <f>VLOOKUP(B236,CENY!$B$11:$M$1054,9,FALSE)</f>
        <v>397769</v>
      </c>
      <c r="M236" s="32"/>
      <c r="N236" s="35">
        <f t="shared" si="57"/>
        <v>0</v>
      </c>
      <c r="O236" s="36">
        <v>0</v>
      </c>
      <c r="P236" s="32"/>
      <c r="Q236" s="325">
        <f>'AVT101'!BI37</f>
        <v>0</v>
      </c>
      <c r="R236" s="32"/>
      <c r="S236" s="325">
        <f>'AVT139'!BI37</f>
        <v>0</v>
      </c>
      <c r="T236" s="32"/>
      <c r="U236" s="325">
        <f>'AVT187'!BI37</f>
        <v>0</v>
      </c>
      <c r="V236" s="32"/>
      <c r="W236" s="32"/>
      <c r="X236" s="32"/>
      <c r="Y236" s="32"/>
      <c r="Z236" s="32"/>
      <c r="AA236" s="325">
        <f>'AVT101(vn-A)'!BI37</f>
        <v>0</v>
      </c>
      <c r="AB236" s="32"/>
      <c r="AC236" s="32"/>
      <c r="AD236" s="32"/>
      <c r="AE236" s="325">
        <f>'AVT187(vn-A)'!BI37</f>
        <v>0</v>
      </c>
      <c r="AF236" s="32"/>
      <c r="AG236" s="32"/>
      <c r="AH236" s="32"/>
      <c r="AI236" s="325">
        <f>'AVT187(vn-S)'!BI37</f>
        <v>0</v>
      </c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165"/>
      <c r="BP236" s="165"/>
      <c r="BQ236" s="165"/>
      <c r="BR236" s="165"/>
      <c r="BS236" s="165"/>
      <c r="BT236" s="165"/>
      <c r="BU236" s="165"/>
      <c r="BV236" s="55"/>
      <c r="BW236" s="160"/>
      <c r="BX236" s="32"/>
      <c r="BY236" s="24"/>
      <c r="BZ236" s="24"/>
      <c r="CA236" s="24"/>
      <c r="CB236" s="24"/>
      <c r="CC236" s="24"/>
      <c r="CD236" s="24"/>
      <c r="CE236" s="24"/>
    </row>
    <row r="237" spans="1:83" ht="15" hidden="1" customHeight="1">
      <c r="A237" s="4"/>
      <c r="B237" s="318">
        <f>CENY!B613</f>
        <v>9318146</v>
      </c>
      <c r="C237" s="43" t="str">
        <f>VLOOKUP(B237,CENY!$B$11:$G$1054,2,FALSE)</f>
        <v>Actro You(S) 270/SiSy 10kg; EB21; pravý</v>
      </c>
      <c r="D237" s="353">
        <f>VLOOKUP(B237,CENY!$B$11:$G$1054,3,FALSE)</f>
        <v>10</v>
      </c>
      <c r="E237" s="56" t="str">
        <f>IF(VLOOKUP(B237,CENY!$B$11:$G$1054,4,FALSE)=0,"",VLOOKUP(B237,CENY!$B$11:$G$1054,4,FALSE))</f>
        <v/>
      </c>
      <c r="F237" s="40" t="str">
        <f t="shared" si="54"/>
        <v/>
      </c>
      <c r="G237" s="52" t="e">
        <f>VLOOKUP(B237,CENY!$B$11:$M$1054,12,FALSE)</f>
        <v>#N/A</v>
      </c>
      <c r="H237" s="54" t="e">
        <f t="shared" si="55"/>
        <v>#N/A</v>
      </c>
      <c r="I237" s="41" t="str">
        <f t="shared" si="56"/>
        <v/>
      </c>
      <c r="J237" s="122"/>
      <c r="K237" s="42" t="str">
        <f>VLOOKUP(B237,CENY!$B$11:$M$1054,8,FALSE)</f>
        <v xml:space="preserve"> </v>
      </c>
      <c r="L237" s="42">
        <f>VLOOKUP(B237,CENY!$B$11:$M$1054,9,FALSE)</f>
        <v>397770</v>
      </c>
      <c r="M237" s="32"/>
      <c r="N237" s="35">
        <f t="shared" si="57"/>
        <v>0</v>
      </c>
      <c r="O237" s="36">
        <v>0</v>
      </c>
      <c r="P237" s="32"/>
      <c r="Q237" s="325">
        <f>'AVT101'!BI38</f>
        <v>0</v>
      </c>
      <c r="R237" s="32"/>
      <c r="S237" s="325">
        <f>'AVT139'!BI38</f>
        <v>0</v>
      </c>
      <c r="T237" s="32"/>
      <c r="U237" s="325">
        <f>'AVT187'!BI38</f>
        <v>0</v>
      </c>
      <c r="V237" s="32"/>
      <c r="W237" s="32"/>
      <c r="X237" s="32"/>
      <c r="Y237" s="32"/>
      <c r="Z237" s="32"/>
      <c r="AA237" s="325">
        <f>'AVT101(vn-A)'!BI38</f>
        <v>0</v>
      </c>
      <c r="AB237" s="32"/>
      <c r="AC237" s="32"/>
      <c r="AD237" s="32"/>
      <c r="AE237" s="325">
        <f>'AVT187(vn-A)'!BI38</f>
        <v>0</v>
      </c>
      <c r="AF237" s="32"/>
      <c r="AG237" s="32"/>
      <c r="AH237" s="32"/>
      <c r="AI237" s="325">
        <f>'AVT187(vn-S)'!BI38</f>
        <v>0</v>
      </c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165"/>
      <c r="BP237" s="165"/>
      <c r="BQ237" s="165"/>
      <c r="BR237" s="165"/>
      <c r="BS237" s="165"/>
      <c r="BT237" s="165"/>
      <c r="BU237" s="165"/>
      <c r="BV237" s="55"/>
      <c r="BW237" s="160"/>
      <c r="BX237" s="32"/>
      <c r="BY237" s="24"/>
      <c r="BZ237" s="24"/>
      <c r="CA237" s="24"/>
      <c r="CB237" s="24"/>
      <c r="CC237" s="24"/>
      <c r="CD237" s="24"/>
      <c r="CE237" s="24"/>
    </row>
    <row r="238" spans="1:83" ht="15" hidden="1" customHeight="1">
      <c r="A238" s="4"/>
      <c r="B238" s="318">
        <f>CENY!B614</f>
        <v>9318147</v>
      </c>
      <c r="C238" s="43" t="str">
        <f>VLOOKUP(B238,CENY!$B$11:$G$1054,2,FALSE)</f>
        <v>Actro You(S) 300/SiSy 10kg; EB21; ľavý</v>
      </c>
      <c r="D238" s="353">
        <f>VLOOKUP(B238,CENY!$B$11:$G$1054,3,FALSE)</f>
        <v>10</v>
      </c>
      <c r="E238" s="56" t="str">
        <f>IF(VLOOKUP(B238,CENY!$B$11:$G$1054,4,FALSE)=0,"",VLOOKUP(B238,CENY!$B$11:$G$1054,4,FALSE))</f>
        <v/>
      </c>
      <c r="F238" s="40" t="str">
        <f t="shared" si="54"/>
        <v/>
      </c>
      <c r="G238" s="52" t="e">
        <f>VLOOKUP(B238,CENY!$B$11:$M$1054,12,FALSE)</f>
        <v>#N/A</v>
      </c>
      <c r="H238" s="54" t="e">
        <f t="shared" si="55"/>
        <v>#N/A</v>
      </c>
      <c r="I238" s="41" t="str">
        <f t="shared" si="56"/>
        <v/>
      </c>
      <c r="J238" s="122"/>
      <c r="K238" s="42" t="str">
        <f>VLOOKUP(B238,CENY!$B$11:$M$1054,8,FALSE)</f>
        <v xml:space="preserve"> </v>
      </c>
      <c r="L238" s="42">
        <f>VLOOKUP(B238,CENY!$B$11:$M$1054,9,FALSE)</f>
        <v>397771</v>
      </c>
      <c r="M238" s="32"/>
      <c r="N238" s="35">
        <f t="shared" si="57"/>
        <v>0</v>
      </c>
      <c r="O238" s="36">
        <v>0</v>
      </c>
      <c r="P238" s="32"/>
      <c r="Q238" s="325">
        <f>'AVT101'!BI39</f>
        <v>0</v>
      </c>
      <c r="R238" s="32"/>
      <c r="S238" s="325">
        <f>'AVT139'!BI39</f>
        <v>0</v>
      </c>
      <c r="T238" s="32"/>
      <c r="U238" s="325">
        <f>'AVT187'!BI39</f>
        <v>0</v>
      </c>
      <c r="V238" s="32"/>
      <c r="W238" s="32"/>
      <c r="X238" s="32"/>
      <c r="Y238" s="32"/>
      <c r="Z238" s="32"/>
      <c r="AA238" s="325">
        <f>'AVT101(vn-A)'!BI39</f>
        <v>0</v>
      </c>
      <c r="AB238" s="32"/>
      <c r="AC238" s="325">
        <f>'AVT139(vn-A)'!BI39</f>
        <v>0</v>
      </c>
      <c r="AD238" s="32"/>
      <c r="AE238" s="325">
        <f>'AVT187(vn-A)'!BI39</f>
        <v>0</v>
      </c>
      <c r="AF238" s="32"/>
      <c r="AG238" s="32"/>
      <c r="AH238" s="32"/>
      <c r="AI238" s="325">
        <f>'AVT187(vn-S)'!BI39</f>
        <v>0</v>
      </c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165"/>
      <c r="BP238" s="165"/>
      <c r="BQ238" s="165"/>
      <c r="BR238" s="165"/>
      <c r="BS238" s="165"/>
      <c r="BT238" s="165"/>
      <c r="BU238" s="165"/>
      <c r="BV238" s="55"/>
      <c r="BW238" s="160"/>
      <c r="BX238" s="32"/>
      <c r="BY238" s="24"/>
      <c r="BZ238" s="24"/>
      <c r="CA238" s="24"/>
      <c r="CB238" s="24"/>
      <c r="CC238" s="24"/>
      <c r="CD238" s="24"/>
      <c r="CE238" s="24"/>
    </row>
    <row r="239" spans="1:83" ht="15" hidden="1" customHeight="1">
      <c r="A239" s="4"/>
      <c r="B239" s="318">
        <f>CENY!B615</f>
        <v>9318148</v>
      </c>
      <c r="C239" s="43" t="str">
        <f>VLOOKUP(B239,CENY!$B$11:$G$1054,2,FALSE)</f>
        <v>Actro You(S) 300/SiSy 10kg; EB21; pravý</v>
      </c>
      <c r="D239" s="353">
        <f>VLOOKUP(B239,CENY!$B$11:$G$1054,3,FALSE)</f>
        <v>10</v>
      </c>
      <c r="E239" s="56" t="str">
        <f>IF(VLOOKUP(B239,CENY!$B$11:$G$1054,4,FALSE)=0,"",VLOOKUP(B239,CENY!$B$11:$G$1054,4,FALSE))</f>
        <v/>
      </c>
      <c r="F239" s="40" t="str">
        <f t="shared" si="54"/>
        <v/>
      </c>
      <c r="G239" s="52" t="e">
        <f>VLOOKUP(B239,CENY!$B$11:$M$1054,12,FALSE)</f>
        <v>#N/A</v>
      </c>
      <c r="H239" s="54" t="e">
        <f t="shared" si="55"/>
        <v>#N/A</v>
      </c>
      <c r="I239" s="41" t="str">
        <f t="shared" si="56"/>
        <v/>
      </c>
      <c r="J239" s="122"/>
      <c r="K239" s="42" t="str">
        <f>VLOOKUP(B239,CENY!$B$11:$M$1054,8,FALSE)</f>
        <v xml:space="preserve"> </v>
      </c>
      <c r="L239" s="42">
        <f>VLOOKUP(B239,CENY!$B$11:$M$1054,9,FALSE)</f>
        <v>397772</v>
      </c>
      <c r="M239" s="32"/>
      <c r="N239" s="35">
        <f t="shared" si="57"/>
        <v>0</v>
      </c>
      <c r="O239" s="36">
        <v>0</v>
      </c>
      <c r="P239" s="32"/>
      <c r="Q239" s="325">
        <f>'AVT101'!BI40</f>
        <v>0</v>
      </c>
      <c r="R239" s="32"/>
      <c r="S239" s="325">
        <f>'AVT139'!BI40</f>
        <v>0</v>
      </c>
      <c r="T239" s="32"/>
      <c r="U239" s="325">
        <f>'AVT187'!BI40</f>
        <v>0</v>
      </c>
      <c r="V239" s="32"/>
      <c r="W239" s="32"/>
      <c r="X239" s="32"/>
      <c r="Y239" s="32"/>
      <c r="Z239" s="32"/>
      <c r="AA239" s="325">
        <f>'AVT101(vn-A)'!BI40</f>
        <v>0</v>
      </c>
      <c r="AB239" s="32"/>
      <c r="AC239" s="325">
        <f>'AVT139(vn-A)'!BI40</f>
        <v>0</v>
      </c>
      <c r="AD239" s="32"/>
      <c r="AE239" s="325">
        <f>'AVT187(vn-A)'!BI40</f>
        <v>0</v>
      </c>
      <c r="AF239" s="32"/>
      <c r="AG239" s="32"/>
      <c r="AH239" s="32"/>
      <c r="AI239" s="325">
        <f>'AVT187(vn-S)'!BI40</f>
        <v>0</v>
      </c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165"/>
      <c r="BP239" s="165"/>
      <c r="BQ239" s="165"/>
      <c r="BR239" s="165"/>
      <c r="BS239" s="165"/>
      <c r="BT239" s="165"/>
      <c r="BU239" s="165"/>
      <c r="BV239" s="55"/>
      <c r="BW239" s="160"/>
      <c r="BX239" s="32"/>
      <c r="BY239" s="24"/>
      <c r="BZ239" s="24"/>
      <c r="CA239" s="24"/>
      <c r="CB239" s="24"/>
      <c r="CC239" s="24"/>
      <c r="CD239" s="24"/>
      <c r="CE239" s="24"/>
    </row>
    <row r="240" spans="1:83" ht="15" hidden="1" customHeight="1">
      <c r="A240" s="4"/>
      <c r="B240" s="318">
        <f>CENY!B616</f>
        <v>9318149</v>
      </c>
      <c r="C240" s="43" t="str">
        <f>VLOOKUP(B240,CENY!$B$11:$G$1054,2,FALSE)</f>
        <v>Actro You(S) 350/SiSy 10kg; EB21; ľavý</v>
      </c>
      <c r="D240" s="353">
        <f>VLOOKUP(B240,CENY!$B$11:$G$1054,3,FALSE)</f>
        <v>10</v>
      </c>
      <c r="E240" s="56" t="str">
        <f>IF(VLOOKUP(B240,CENY!$B$11:$G$1054,4,FALSE)=0,"",VLOOKUP(B240,CENY!$B$11:$G$1054,4,FALSE))</f>
        <v/>
      </c>
      <c r="F240" s="40" t="str">
        <f t="shared" si="54"/>
        <v/>
      </c>
      <c r="G240" s="52">
        <f>VLOOKUP(B240,CENY!$B$11:$M$1054,12,FALSE)</f>
        <v>14.37729</v>
      </c>
      <c r="H240" s="54" t="str">
        <f t="shared" si="55"/>
        <v xml:space="preserve"> EUR</v>
      </c>
      <c r="I240" s="41" t="str">
        <f t="shared" si="56"/>
        <v/>
      </c>
      <c r="J240" s="122"/>
      <c r="K240" s="42" t="str">
        <f>VLOOKUP(B240,CENY!$B$11:$M$1054,8,FALSE)</f>
        <v xml:space="preserve"> </v>
      </c>
      <c r="L240" s="42" t="str">
        <f>VLOOKUP(B240,CENY!$B$11:$M$1054,9,FALSE)</f>
        <v>397773</v>
      </c>
      <c r="M240" s="32"/>
      <c r="N240" s="35">
        <f t="shared" si="57"/>
        <v>0</v>
      </c>
      <c r="O240" s="36">
        <v>0</v>
      </c>
      <c r="P240" s="32"/>
      <c r="Q240" s="325">
        <f>'AVT101'!BI41</f>
        <v>0</v>
      </c>
      <c r="R240" s="32"/>
      <c r="S240" s="325">
        <f>'AVT139'!BI41</f>
        <v>0</v>
      </c>
      <c r="T240" s="32"/>
      <c r="U240" s="325">
        <f>'AVT187'!BI41</f>
        <v>0</v>
      </c>
      <c r="V240" s="32"/>
      <c r="W240" s="325">
        <f>'AVT251'!BI32</f>
        <v>0</v>
      </c>
      <c r="X240" s="32"/>
      <c r="Y240" s="325">
        <f>AVT187In!BI31</f>
        <v>0</v>
      </c>
      <c r="Z240" s="32"/>
      <c r="AA240" s="325">
        <f>'AVT101(vn-A)'!BI41</f>
        <v>0</v>
      </c>
      <c r="AB240" s="32"/>
      <c r="AC240" s="325">
        <f>'AVT139(vn-A)'!BI41</f>
        <v>0</v>
      </c>
      <c r="AD240" s="32"/>
      <c r="AE240" s="325">
        <f>'AVT187(vn-A)'!BI41</f>
        <v>0</v>
      </c>
      <c r="AF240" s="32"/>
      <c r="AG240" s="325">
        <f>'AVT187In(vn-A)'!BI31</f>
        <v>0</v>
      </c>
      <c r="AH240" s="32"/>
      <c r="AI240" s="325">
        <f>'AVT187(vn-S)'!BI41</f>
        <v>0</v>
      </c>
      <c r="AJ240" s="32"/>
      <c r="AK240" s="325">
        <f>'AVT187In(vn-S)'!BI31</f>
        <v>0</v>
      </c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165"/>
      <c r="BP240" s="165"/>
      <c r="BQ240" s="165"/>
      <c r="BR240" s="165"/>
      <c r="BS240" s="165"/>
      <c r="BT240" s="165"/>
      <c r="BU240" s="165"/>
      <c r="BV240" s="55"/>
      <c r="BW240" s="160"/>
      <c r="BX240" s="32"/>
      <c r="BY240" s="24"/>
      <c r="BZ240" s="24"/>
      <c r="CA240" s="24"/>
      <c r="CB240" s="24"/>
      <c r="CC240" s="24"/>
      <c r="CD240" s="24"/>
      <c r="CE240" s="24"/>
    </row>
    <row r="241" spans="1:83" ht="15" hidden="1" customHeight="1">
      <c r="A241" s="4"/>
      <c r="B241" s="318">
        <f>CENY!B617</f>
        <v>9318150</v>
      </c>
      <c r="C241" s="43" t="str">
        <f>VLOOKUP(B241,CENY!$B$11:$G$1054,2,FALSE)</f>
        <v>Actro You(S) 350/SiSy 10kg; EB21; pravý</v>
      </c>
      <c r="D241" s="353">
        <f>VLOOKUP(B241,CENY!$B$11:$G$1054,3,FALSE)</f>
        <v>10</v>
      </c>
      <c r="E241" s="56" t="str">
        <f>IF(VLOOKUP(B241,CENY!$B$11:$G$1054,4,FALSE)=0,"",VLOOKUP(B241,CENY!$B$11:$G$1054,4,FALSE))</f>
        <v/>
      </c>
      <c r="F241" s="40" t="str">
        <f t="shared" si="54"/>
        <v/>
      </c>
      <c r="G241" s="52">
        <f>VLOOKUP(B241,CENY!$B$11:$M$1054,12,FALSE)</f>
        <v>14.37729</v>
      </c>
      <c r="H241" s="54" t="str">
        <f t="shared" si="55"/>
        <v xml:space="preserve"> EUR</v>
      </c>
      <c r="I241" s="41" t="str">
        <f t="shared" si="56"/>
        <v/>
      </c>
      <c r="J241" s="122"/>
      <c r="K241" s="42" t="str">
        <f>VLOOKUP(B241,CENY!$B$11:$M$1054,8,FALSE)</f>
        <v xml:space="preserve"> </v>
      </c>
      <c r="L241" s="42" t="str">
        <f>VLOOKUP(B241,CENY!$B$11:$M$1054,9,FALSE)</f>
        <v>397774</v>
      </c>
      <c r="M241" s="32"/>
      <c r="N241" s="35">
        <f t="shared" si="57"/>
        <v>0</v>
      </c>
      <c r="O241" s="36">
        <v>0</v>
      </c>
      <c r="P241" s="32"/>
      <c r="Q241" s="325">
        <f>'AVT101'!BI42</f>
        <v>0</v>
      </c>
      <c r="R241" s="32"/>
      <c r="S241" s="325">
        <f>'AVT139'!BI42</f>
        <v>0</v>
      </c>
      <c r="T241" s="32"/>
      <c r="U241" s="325">
        <f>'AVT187'!BI42</f>
        <v>0</v>
      </c>
      <c r="V241" s="32"/>
      <c r="W241" s="325">
        <f>'AVT251'!BI33</f>
        <v>0</v>
      </c>
      <c r="X241" s="32"/>
      <c r="Y241" s="325">
        <f>AVT187In!BI32</f>
        <v>0</v>
      </c>
      <c r="Z241" s="32"/>
      <c r="AA241" s="325">
        <f>'AVT101(vn-A)'!BI42</f>
        <v>0</v>
      </c>
      <c r="AB241" s="32"/>
      <c r="AC241" s="325">
        <f>'AVT139(vn-A)'!BI42</f>
        <v>0</v>
      </c>
      <c r="AD241" s="32"/>
      <c r="AE241" s="325">
        <f>'AVT187(vn-A)'!BI42</f>
        <v>0</v>
      </c>
      <c r="AF241" s="32"/>
      <c r="AG241" s="325">
        <f>'AVT187In(vn-A)'!BI32</f>
        <v>0</v>
      </c>
      <c r="AH241" s="32"/>
      <c r="AI241" s="325">
        <f>'AVT187(vn-S)'!BI42</f>
        <v>0</v>
      </c>
      <c r="AJ241" s="32"/>
      <c r="AK241" s="325">
        <f>'AVT187In(vn-S)'!BI32</f>
        <v>0</v>
      </c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165"/>
      <c r="BP241" s="165"/>
      <c r="BQ241" s="165"/>
      <c r="BR241" s="165"/>
      <c r="BS241" s="165"/>
      <c r="BT241" s="165"/>
      <c r="BU241" s="165"/>
      <c r="BV241" s="55"/>
      <c r="BW241" s="160"/>
      <c r="BX241" s="32"/>
      <c r="BY241" s="24"/>
      <c r="BZ241" s="24"/>
      <c r="CA241" s="24"/>
      <c r="CB241" s="24"/>
      <c r="CC241" s="24"/>
      <c r="CD241" s="24"/>
      <c r="CE241" s="24"/>
    </row>
    <row r="242" spans="1:83" ht="8.1" hidden="1" customHeight="1">
      <c r="A242" s="4"/>
      <c r="B242" s="126"/>
      <c r="C242" s="43"/>
      <c r="D242" s="39"/>
      <c r="E242" s="56"/>
      <c r="F242" s="60"/>
      <c r="G242" s="52"/>
      <c r="H242" s="54"/>
      <c r="I242" s="41"/>
      <c r="J242" s="122"/>
      <c r="K242" s="42"/>
      <c r="L242" s="42"/>
      <c r="M242" s="32"/>
      <c r="N242" s="35"/>
      <c r="O242" s="36">
        <v>0</v>
      </c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165"/>
      <c r="BP242" s="165"/>
      <c r="BQ242" s="165"/>
      <c r="BR242" s="165"/>
      <c r="BS242" s="165"/>
      <c r="BT242" s="165"/>
      <c r="BU242" s="165"/>
      <c r="BV242" s="55"/>
      <c r="BW242" s="160"/>
      <c r="BX242" s="32"/>
      <c r="BY242" s="24"/>
      <c r="BZ242" s="24"/>
      <c r="CA242" s="24"/>
      <c r="CB242" s="24"/>
      <c r="CC242" s="24"/>
      <c r="CD242" s="24"/>
      <c r="CE242" s="24"/>
    </row>
    <row r="243" spans="1:83" ht="15" hidden="1" customHeight="1">
      <c r="A243" s="4"/>
      <c r="B243" s="318">
        <f>CENY!B619</f>
        <v>9318186</v>
      </c>
      <c r="C243" s="43" t="str">
        <f>VLOOKUP(B243,CENY!$B$11:$G$1054,2,FALSE)</f>
        <v>Actro You(L) 270/SiSy 40kg; EB21</v>
      </c>
      <c r="D243" s="364">
        <f>VLOOKUP(B243,CENY!$B$11:$G$1054,3,FALSE)</f>
        <v>1</v>
      </c>
      <c r="E243" s="56" t="str">
        <f>IF(VLOOKUP(B243,CENY!$B$11:$G$1054,4,FALSE)=0,"",VLOOKUP(B243,CENY!$B$11:$G$1054,4,FALSE))</f>
        <v/>
      </c>
      <c r="F243" s="40" t="str">
        <f t="shared" ref="F243:F266" si="58">IF(J243&lt;&gt;"",J243,IF(N243=0,"",N243))</f>
        <v/>
      </c>
      <c r="G243" s="52">
        <f>VLOOKUP(B243,CENY!$B$11:$M$1054,12,FALSE)</f>
        <v>31.62575</v>
      </c>
      <c r="H243" s="54" t="str">
        <f t="shared" si="55"/>
        <v xml:space="preserve"> EUR</v>
      </c>
      <c r="I243" s="41" t="str">
        <f t="shared" si="56"/>
        <v/>
      </c>
      <c r="J243" s="122"/>
      <c r="K243" s="42" t="str">
        <f>VLOOKUP(B243,CENY!$B$11:$M$1054,8,FALSE)</f>
        <v xml:space="preserve"> </v>
      </c>
      <c r="L243" s="42" t="str">
        <f>VLOOKUP(B243,CENY!$B$11:$M$1054,9,FALSE)</f>
        <v>518523</v>
      </c>
      <c r="M243" s="32"/>
      <c r="N243" s="35">
        <f t="shared" ref="N243:N266" si="59">SUM(P243:BW243)</f>
        <v>0</v>
      </c>
      <c r="O243" s="36">
        <v>0</v>
      </c>
      <c r="P243" s="325">
        <f>'AVT101'!AZ29</f>
        <v>0</v>
      </c>
      <c r="Q243" s="32"/>
      <c r="R243" s="325">
        <f>'AVT139'!AZ29</f>
        <v>0</v>
      </c>
      <c r="S243" s="32"/>
      <c r="T243" s="325">
        <f>'AVT187'!AZ29</f>
        <v>0</v>
      </c>
      <c r="U243" s="32"/>
      <c r="V243" s="32"/>
      <c r="W243" s="32"/>
      <c r="X243" s="32"/>
      <c r="Y243" s="32"/>
      <c r="Z243" s="325">
        <f>'AVT101(vn-A)'!AZ29</f>
        <v>0</v>
      </c>
      <c r="AA243" s="32"/>
      <c r="AB243" s="32"/>
      <c r="AC243" s="32"/>
      <c r="AD243" s="325">
        <f>'AVT187(vn-A)'!AZ29</f>
        <v>0</v>
      </c>
      <c r="AE243" s="32"/>
      <c r="AF243" s="32"/>
      <c r="AG243" s="32"/>
      <c r="AH243" s="325">
        <f>'AVT187(vn-S)'!AZ29</f>
        <v>0</v>
      </c>
      <c r="AI243" s="32"/>
      <c r="AJ243" s="32"/>
      <c r="AK243" s="32"/>
      <c r="AL243" s="32"/>
      <c r="AM243" s="32"/>
      <c r="AN243" s="325">
        <f>'AVT-celny-101+187'!AZ35</f>
        <v>0</v>
      </c>
      <c r="AO243" s="32"/>
      <c r="AP243" s="32"/>
      <c r="AQ243" s="32"/>
      <c r="AR243" s="325">
        <f>'AVT-celny-2x187'!AZ25</f>
        <v>0</v>
      </c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165"/>
      <c r="BP243" s="165"/>
      <c r="BQ243" s="165"/>
      <c r="BR243" s="165"/>
      <c r="BS243" s="165"/>
      <c r="BT243" s="165"/>
      <c r="BU243" s="165"/>
      <c r="BV243" s="55"/>
      <c r="BW243" s="160"/>
      <c r="BX243" s="32"/>
      <c r="BY243" s="24"/>
      <c r="BZ243" s="24"/>
      <c r="CA243" s="24"/>
      <c r="CB243" s="24"/>
      <c r="CC243" s="24"/>
      <c r="CD243" s="24"/>
      <c r="CE243" s="24"/>
    </row>
    <row r="244" spans="1:83" ht="15" hidden="1" customHeight="1">
      <c r="A244" s="4"/>
      <c r="B244" s="318">
        <f>CENY!B620</f>
        <v>9318187</v>
      </c>
      <c r="C244" s="43" t="str">
        <f>VLOOKUP(B244,CENY!$B$11:$G$1054,2,FALSE)</f>
        <v>Actro You(L) 300/SiSy 40kg; EB21</v>
      </c>
      <c r="D244" s="364">
        <f>VLOOKUP(B244,CENY!$B$11:$G$1054,3,FALSE)</f>
        <v>1</v>
      </c>
      <c r="E244" s="56" t="str">
        <f>IF(VLOOKUP(B244,CENY!$B$11:$G$1054,4,FALSE)=0,"",VLOOKUP(B244,CENY!$B$11:$G$1054,4,FALSE))</f>
        <v/>
      </c>
      <c r="F244" s="40" t="str">
        <f t="shared" si="58"/>
        <v/>
      </c>
      <c r="G244" s="52">
        <f>VLOOKUP(B244,CENY!$B$11:$M$1054,12,FALSE)</f>
        <v>31.62575</v>
      </c>
      <c r="H244" s="54" t="str">
        <f t="shared" si="55"/>
        <v xml:space="preserve"> EUR</v>
      </c>
      <c r="I244" s="41" t="str">
        <f t="shared" si="56"/>
        <v/>
      </c>
      <c r="J244" s="122"/>
      <c r="K244" s="42" t="str">
        <f>VLOOKUP(B244,CENY!$B$11:$M$1054,8,FALSE)</f>
        <v xml:space="preserve"> </v>
      </c>
      <c r="L244" s="42" t="str">
        <f>VLOOKUP(B244,CENY!$B$11:$M$1054,9,FALSE)</f>
        <v>518524</v>
      </c>
      <c r="M244" s="32"/>
      <c r="N244" s="35">
        <f t="shared" si="59"/>
        <v>0</v>
      </c>
      <c r="O244" s="36">
        <v>0</v>
      </c>
      <c r="P244" s="325">
        <f>'AVT101'!AZ30</f>
        <v>0</v>
      </c>
      <c r="Q244" s="32"/>
      <c r="R244" s="325">
        <f>'AVT139'!AZ30</f>
        <v>0</v>
      </c>
      <c r="S244" s="32"/>
      <c r="T244" s="325">
        <f>'AVT187'!AZ30</f>
        <v>0</v>
      </c>
      <c r="U244" s="32"/>
      <c r="V244" s="32"/>
      <c r="W244" s="32"/>
      <c r="X244" s="32"/>
      <c r="Y244" s="32"/>
      <c r="Z244" s="325">
        <f>'AVT101(vn-A)'!AZ30</f>
        <v>0</v>
      </c>
      <c r="AA244" s="32"/>
      <c r="AB244" s="325">
        <f>'AVT139(vn-A)'!AZ30</f>
        <v>0</v>
      </c>
      <c r="AC244" s="32"/>
      <c r="AD244" s="325">
        <f>'AVT187(vn-A)'!AZ30</f>
        <v>0</v>
      </c>
      <c r="AE244" s="32"/>
      <c r="AF244" s="32"/>
      <c r="AG244" s="32"/>
      <c r="AH244" s="325">
        <f>'AVT187(vn-S)'!AZ30</f>
        <v>0</v>
      </c>
      <c r="AI244" s="32"/>
      <c r="AJ244" s="32"/>
      <c r="AK244" s="32"/>
      <c r="AL244" s="32"/>
      <c r="AM244" s="32"/>
      <c r="AN244" s="325">
        <f>'AVT-celny-101+187'!AZ36</f>
        <v>0</v>
      </c>
      <c r="AO244" s="32"/>
      <c r="AP244" s="325">
        <f>'AVT-celny-139+187'!AZ29</f>
        <v>0</v>
      </c>
      <c r="AQ244" s="32"/>
      <c r="AR244" s="325">
        <f>'AVT-celny-2x187'!AZ26</f>
        <v>0</v>
      </c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165"/>
      <c r="BP244" s="165"/>
      <c r="BQ244" s="165"/>
      <c r="BR244" s="165"/>
      <c r="BS244" s="165"/>
      <c r="BT244" s="165"/>
      <c r="BU244" s="165"/>
      <c r="BV244" s="55"/>
      <c r="BW244" s="160"/>
      <c r="BX244" s="32"/>
      <c r="BY244" s="24"/>
      <c r="BZ244" s="24"/>
      <c r="CA244" s="24"/>
      <c r="CB244" s="24"/>
      <c r="CC244" s="24"/>
      <c r="CD244" s="24"/>
      <c r="CE244" s="24"/>
    </row>
    <row r="245" spans="1:83" ht="15" hidden="1" customHeight="1">
      <c r="A245" s="4"/>
      <c r="B245" s="318">
        <f>CENY!B621</f>
        <v>9318188</v>
      </c>
      <c r="C245" s="43" t="str">
        <f>VLOOKUP(B245,CENY!$B$11:$G$1054,2,FALSE)</f>
        <v>Actro You(L) 350/SiSy 40kg; EB21</v>
      </c>
      <c r="D245" s="364">
        <f>VLOOKUP(B245,CENY!$B$11:$G$1054,3,FALSE)</f>
        <v>1</v>
      </c>
      <c r="E245" s="56" t="str">
        <f>IF(VLOOKUP(B245,CENY!$B$11:$G$1054,4,FALSE)=0,"",VLOOKUP(B245,CENY!$B$11:$G$1054,4,FALSE))</f>
        <v/>
      </c>
      <c r="F245" s="40" t="str">
        <f t="shared" si="58"/>
        <v/>
      </c>
      <c r="G245" s="52">
        <f>VLOOKUP(B245,CENY!$B$11:$M$1054,12,FALSE)</f>
        <v>31.62575</v>
      </c>
      <c r="H245" s="54" t="str">
        <f t="shared" si="55"/>
        <v xml:space="preserve"> EUR</v>
      </c>
      <c r="I245" s="41" t="str">
        <f t="shared" si="56"/>
        <v/>
      </c>
      <c r="J245" s="122"/>
      <c r="K245" s="42" t="str">
        <f>VLOOKUP(B245,CENY!$B$11:$M$1054,8,FALSE)</f>
        <v xml:space="preserve"> </v>
      </c>
      <c r="L245" s="42" t="str">
        <f>VLOOKUP(B245,CENY!$B$11:$M$1054,9,FALSE)</f>
        <v>518526</v>
      </c>
      <c r="M245" s="32"/>
      <c r="N245" s="35">
        <f t="shared" si="59"/>
        <v>0</v>
      </c>
      <c r="O245" s="36">
        <v>0</v>
      </c>
      <c r="P245" s="325">
        <f>'AVT101'!AZ31</f>
        <v>0</v>
      </c>
      <c r="Q245" s="32"/>
      <c r="R245" s="325">
        <f>'AVT139'!AZ31</f>
        <v>0</v>
      </c>
      <c r="S245" s="32"/>
      <c r="T245" s="325">
        <f>'AVT187'!AZ31</f>
        <v>0</v>
      </c>
      <c r="U245" s="32"/>
      <c r="V245" s="325">
        <f>'AVT251'!AZ23</f>
        <v>0</v>
      </c>
      <c r="W245" s="32"/>
      <c r="X245" s="325">
        <f>AVT187In!AZ23</f>
        <v>0</v>
      </c>
      <c r="Y245" s="32"/>
      <c r="Z245" s="325">
        <f>'AVT101(vn-A)'!AZ31</f>
        <v>0</v>
      </c>
      <c r="AA245" s="32"/>
      <c r="AB245" s="325">
        <f>'AVT139(vn-A)'!AZ31</f>
        <v>0</v>
      </c>
      <c r="AC245" s="32"/>
      <c r="AD245" s="325">
        <f>'AVT187(vn-A)'!AZ31</f>
        <v>0</v>
      </c>
      <c r="AE245" s="32"/>
      <c r="AF245" s="325">
        <f>'AVT187In(vn-A)'!AZ23</f>
        <v>0</v>
      </c>
      <c r="AG245" s="32"/>
      <c r="AH245" s="325">
        <f>'AVT187(vn-S)'!AZ31</f>
        <v>0</v>
      </c>
      <c r="AI245" s="32"/>
      <c r="AJ245" s="325">
        <f>'AVT187In(vn-S)'!AZ23</f>
        <v>0</v>
      </c>
      <c r="AK245" s="32"/>
      <c r="AL245" s="32"/>
      <c r="AM245" s="32"/>
      <c r="AN245" s="325">
        <f>'AVT-celny-101+187'!AZ37</f>
        <v>0</v>
      </c>
      <c r="AO245" s="32"/>
      <c r="AP245" s="325">
        <f>'AVT-celny-139+187'!AZ30</f>
        <v>0</v>
      </c>
      <c r="AQ245" s="32"/>
      <c r="AR245" s="325">
        <f>'AVT-celny-2x187'!AZ27</f>
        <v>0</v>
      </c>
      <c r="AS245" s="32"/>
      <c r="AT245" s="325">
        <f>'AVT-celny-2x187In'!AZ21</f>
        <v>0</v>
      </c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165"/>
      <c r="BP245" s="165"/>
      <c r="BQ245" s="165"/>
      <c r="BR245" s="165"/>
      <c r="BS245" s="165"/>
      <c r="BT245" s="165"/>
      <c r="BU245" s="165"/>
      <c r="BV245" s="55"/>
      <c r="BW245" s="160"/>
      <c r="BX245" s="32"/>
      <c r="BY245" s="24"/>
      <c r="BZ245" s="24"/>
      <c r="CA245" s="24"/>
      <c r="CB245" s="24"/>
      <c r="CC245" s="24"/>
      <c r="CD245" s="24"/>
      <c r="CE245" s="24"/>
    </row>
    <row r="246" spans="1:83" ht="15" hidden="1" customHeight="1">
      <c r="A246" s="4"/>
      <c r="B246" s="318">
        <f>CENY!B622</f>
        <v>9318190</v>
      </c>
      <c r="C246" s="43" t="str">
        <f>VLOOKUP(B246,CENY!$B$11:$G$1054,2,FALSE)</f>
        <v>Actro You(L) 400/SiSy 40kg; EB21</v>
      </c>
      <c r="D246" s="364">
        <f>VLOOKUP(B246,CENY!$B$11:$G$1054,3,FALSE)</f>
        <v>1</v>
      </c>
      <c r="E246" s="56" t="str">
        <f>IF(VLOOKUP(B246,CENY!$B$11:$G$1054,4,FALSE)=0,"",VLOOKUP(B246,CENY!$B$11:$G$1054,4,FALSE))</f>
        <v/>
      </c>
      <c r="F246" s="40" t="str">
        <f t="shared" si="58"/>
        <v/>
      </c>
      <c r="G246" s="52">
        <f>VLOOKUP(B246,CENY!$B$11:$M$1054,12,FALSE)</f>
        <v>31.976389999999999</v>
      </c>
      <c r="H246" s="54" t="str">
        <f t="shared" si="55"/>
        <v xml:space="preserve"> EUR</v>
      </c>
      <c r="I246" s="41" t="str">
        <f t="shared" si="56"/>
        <v/>
      </c>
      <c r="J246" s="122"/>
      <c r="K246" s="42" t="str">
        <f>VLOOKUP(B246,CENY!$B$11:$M$1054,8,FALSE)</f>
        <v xml:space="preserve"> </v>
      </c>
      <c r="L246" s="42" t="str">
        <f>VLOOKUP(B246,CENY!$B$11:$M$1054,9,FALSE)</f>
        <v>422188</v>
      </c>
      <c r="M246" s="32"/>
      <c r="N246" s="35">
        <f t="shared" si="59"/>
        <v>0</v>
      </c>
      <c r="O246" s="36">
        <v>0</v>
      </c>
      <c r="P246" s="325">
        <f>'AVT101'!AZ32</f>
        <v>0</v>
      </c>
      <c r="Q246" s="32"/>
      <c r="R246" s="325">
        <f>'AVT139'!AZ32</f>
        <v>0</v>
      </c>
      <c r="S246" s="32"/>
      <c r="T246" s="325">
        <f>'AVT187'!AZ32</f>
        <v>0</v>
      </c>
      <c r="U246" s="32"/>
      <c r="V246" s="325">
        <f>'AVT251'!AZ24</f>
        <v>0</v>
      </c>
      <c r="W246" s="32"/>
      <c r="X246" s="325">
        <f>AVT187In!AZ24</f>
        <v>0</v>
      </c>
      <c r="Y246" s="32"/>
      <c r="Z246" s="325">
        <f>'AVT101(vn-A)'!AZ32</f>
        <v>0</v>
      </c>
      <c r="AA246" s="32"/>
      <c r="AB246" s="325">
        <f>'AVT139(vn-A)'!AZ32</f>
        <v>0</v>
      </c>
      <c r="AC246" s="32"/>
      <c r="AD246" s="325">
        <f>'AVT187(vn-A)'!AZ32</f>
        <v>0</v>
      </c>
      <c r="AE246" s="32"/>
      <c r="AF246" s="325">
        <f>'AVT187In(vn-A)'!AZ24</f>
        <v>0</v>
      </c>
      <c r="AG246" s="32"/>
      <c r="AH246" s="325">
        <f>'AVT187(vn-S)'!AZ32</f>
        <v>0</v>
      </c>
      <c r="AI246" s="32"/>
      <c r="AJ246" s="325">
        <f>'AVT187In(vn-S)'!AZ24</f>
        <v>0</v>
      </c>
      <c r="AK246" s="32"/>
      <c r="AL246" s="325">
        <f>'AVT77'!AZ15</f>
        <v>0</v>
      </c>
      <c r="AM246" s="32"/>
      <c r="AN246" s="325">
        <f>'AVT-celny-101+187'!AZ38</f>
        <v>0</v>
      </c>
      <c r="AO246" s="32"/>
      <c r="AP246" s="325">
        <f>'AVT-celny-139+187'!AZ31</f>
        <v>0</v>
      </c>
      <c r="AQ246" s="32"/>
      <c r="AR246" s="325">
        <f>'AVT-celny-2x187'!AZ28</f>
        <v>0</v>
      </c>
      <c r="AS246" s="32"/>
      <c r="AT246" s="325">
        <f>'AVT-celny-2x187In'!AZ22</f>
        <v>0</v>
      </c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165"/>
      <c r="BP246" s="165"/>
      <c r="BQ246" s="165"/>
      <c r="BR246" s="165"/>
      <c r="BS246" s="165"/>
      <c r="BT246" s="165"/>
      <c r="BU246" s="165"/>
      <c r="BV246" s="55"/>
      <c r="BW246" s="160"/>
      <c r="BX246" s="32"/>
      <c r="BY246" s="24"/>
      <c r="BZ246" s="24"/>
      <c r="CA246" s="24"/>
      <c r="CB246" s="24"/>
      <c r="CC246" s="24"/>
      <c r="CD246" s="24"/>
      <c r="CE246" s="24"/>
    </row>
    <row r="247" spans="1:83" ht="15" customHeight="1">
      <c r="A247" s="4"/>
      <c r="B247" s="318">
        <f>CENY!B623</f>
        <v>9318191</v>
      </c>
      <c r="C247" s="43" t="str">
        <f>VLOOKUP(B247,CENY!$B$11:$G$1054,2,FALSE)</f>
        <v>Actro You(L) 450/SiSy 40kg; EB21</v>
      </c>
      <c r="D247" s="364">
        <f>VLOOKUP(B247,CENY!$B$11:$G$1054,3,FALSE)</f>
        <v>1</v>
      </c>
      <c r="E247" s="56" t="str">
        <f>IF(VLOOKUP(B247,CENY!$B$11:$G$1054,4,FALSE)=0,"",VLOOKUP(B247,CENY!$B$11:$G$1054,4,FALSE))</f>
        <v/>
      </c>
      <c r="F247" s="40" t="str">
        <f t="shared" si="58"/>
        <v/>
      </c>
      <c r="G247" s="52">
        <f>VLOOKUP(B247,CENY!$B$11:$M$1054,12,FALSE)</f>
        <v>32.324420000000003</v>
      </c>
      <c r="H247" s="54" t="str">
        <f t="shared" si="55"/>
        <v xml:space="preserve"> EUR</v>
      </c>
      <c r="I247" s="41" t="str">
        <f t="shared" si="56"/>
        <v/>
      </c>
      <c r="J247" s="122"/>
      <c r="K247" s="42" t="str">
        <f>VLOOKUP(B247,CENY!$B$11:$M$1054,8,FALSE)</f>
        <v xml:space="preserve"> </v>
      </c>
      <c r="L247" s="42" t="str">
        <f>VLOOKUP(B247,CENY!$B$11:$M$1054,9,FALSE)</f>
        <v>421497</v>
      </c>
      <c r="M247" s="32"/>
      <c r="N247" s="35">
        <f t="shared" si="59"/>
        <v>0</v>
      </c>
      <c r="O247" s="36">
        <v>0</v>
      </c>
      <c r="P247" s="325">
        <f>'AVT101'!AZ33</f>
        <v>0</v>
      </c>
      <c r="Q247" s="32"/>
      <c r="R247" s="325">
        <f>'AVT139'!AZ33</f>
        <v>0</v>
      </c>
      <c r="S247" s="32"/>
      <c r="T247" s="325">
        <f>'AVT187'!AZ33</f>
        <v>0</v>
      </c>
      <c r="U247" s="32"/>
      <c r="V247" s="325">
        <f>'AVT251'!AZ25</f>
        <v>0</v>
      </c>
      <c r="W247" s="32"/>
      <c r="X247" s="325">
        <f>AVT187In!AZ25</f>
        <v>0</v>
      </c>
      <c r="Y247" s="32"/>
      <c r="Z247" s="325">
        <f>'AVT101(vn-A)'!AZ33</f>
        <v>0</v>
      </c>
      <c r="AA247" s="32"/>
      <c r="AB247" s="325">
        <f>'AVT139(vn-A)'!AZ33</f>
        <v>0</v>
      </c>
      <c r="AC247" s="32"/>
      <c r="AD247" s="325">
        <f>'AVT187(vn-A)'!AZ33</f>
        <v>0</v>
      </c>
      <c r="AE247" s="32"/>
      <c r="AF247" s="325">
        <f>'AVT187In(vn-A)'!AZ25</f>
        <v>0</v>
      </c>
      <c r="AG247" s="32"/>
      <c r="AH247" s="325">
        <f>'AVT187(vn-S)'!AZ33</f>
        <v>0</v>
      </c>
      <c r="AI247" s="32"/>
      <c r="AJ247" s="325">
        <f>'AVT187In(vn-S)'!AZ25</f>
        <v>0</v>
      </c>
      <c r="AK247" s="32"/>
      <c r="AL247" s="325">
        <f>'AVT77'!AZ16</f>
        <v>0</v>
      </c>
      <c r="AM247" s="32"/>
      <c r="AN247" s="325">
        <f>'AVT-celny-101+187'!AZ39</f>
        <v>0</v>
      </c>
      <c r="AO247" s="32"/>
      <c r="AP247" s="325">
        <f>'AVT-celny-139+187'!AZ32</f>
        <v>0</v>
      </c>
      <c r="AQ247" s="32"/>
      <c r="AR247" s="325">
        <f>'AVT-celny-2x187'!AZ29</f>
        <v>0</v>
      </c>
      <c r="AS247" s="32"/>
      <c r="AT247" s="325">
        <f>'AVT-celny-2x187In'!AZ23</f>
        <v>0</v>
      </c>
      <c r="AU247" s="32"/>
      <c r="AV247" s="325">
        <f>'potr-v101+187'!AZ39</f>
        <v>0</v>
      </c>
      <c r="AW247" s="32"/>
      <c r="AX247" s="325">
        <f>'potr-v101+187-IL'!AZ39</f>
        <v>0</v>
      </c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165"/>
      <c r="BP247" s="165"/>
      <c r="BQ247" s="165"/>
      <c r="BR247" s="165"/>
      <c r="BS247" s="165"/>
      <c r="BT247" s="165"/>
      <c r="BU247" s="165"/>
      <c r="BV247" s="55"/>
      <c r="BW247" s="160"/>
      <c r="BX247" s="32"/>
      <c r="BY247" s="24"/>
      <c r="BZ247" s="24"/>
      <c r="CA247" s="24"/>
      <c r="CB247" s="24"/>
      <c r="CC247" s="24"/>
      <c r="CD247" s="24"/>
      <c r="CE247" s="24"/>
    </row>
    <row r="248" spans="1:83" ht="15" hidden="1" customHeight="1">
      <c r="A248" s="4"/>
      <c r="B248" s="318">
        <f>CENY!B624</f>
        <v>9318192</v>
      </c>
      <c r="C248" s="43" t="str">
        <f>VLOOKUP(B248,CENY!$B$11:$G$1054,2,FALSE)</f>
        <v>Actro You(L) 500/SiSy 40kg; EB21</v>
      </c>
      <c r="D248" s="364">
        <f>VLOOKUP(B248,CENY!$B$11:$G$1054,3,FALSE)</f>
        <v>1</v>
      </c>
      <c r="E248" s="56" t="str">
        <f>IF(VLOOKUP(B248,CENY!$B$11:$G$1054,4,FALSE)=0,"",VLOOKUP(B248,CENY!$B$11:$G$1054,4,FALSE))</f>
        <v/>
      </c>
      <c r="F248" s="40" t="str">
        <f t="shared" si="58"/>
        <v/>
      </c>
      <c r="G248" s="52">
        <f>VLOOKUP(B248,CENY!$B$11:$M$1054,12,FALSE)</f>
        <v>6.5957299999999996</v>
      </c>
      <c r="H248" s="54" t="str">
        <f t="shared" si="55"/>
        <v xml:space="preserve"> EUR</v>
      </c>
      <c r="I248" s="41" t="str">
        <f t="shared" si="56"/>
        <v/>
      </c>
      <c r="J248" s="122"/>
      <c r="K248" s="42" t="str">
        <f>VLOOKUP(B248,CENY!$B$11:$M$1054,8,FALSE)</f>
        <v xml:space="preserve"> </v>
      </c>
      <c r="L248" s="42" t="str">
        <f>VLOOKUP(B248,CENY!$B$11:$M$1054,9,FALSE)</f>
        <v>504786</v>
      </c>
      <c r="M248" s="32"/>
      <c r="N248" s="35">
        <f t="shared" si="59"/>
        <v>0</v>
      </c>
      <c r="O248" s="36">
        <v>0</v>
      </c>
      <c r="P248" s="325">
        <f>'AVT101'!AZ34</f>
        <v>0</v>
      </c>
      <c r="Q248" s="32"/>
      <c r="R248" s="325">
        <f>'AVT139'!AZ34</f>
        <v>0</v>
      </c>
      <c r="S248" s="32"/>
      <c r="T248" s="325">
        <f>'AVT187'!AZ34</f>
        <v>0</v>
      </c>
      <c r="U248" s="32"/>
      <c r="V248" s="325">
        <f>'AVT251'!AZ26</f>
        <v>0</v>
      </c>
      <c r="W248" s="32"/>
      <c r="X248" s="325">
        <f>AVT187In!AZ26</f>
        <v>0</v>
      </c>
      <c r="Y248" s="32"/>
      <c r="Z248" s="325">
        <f>'AVT101(vn-A)'!AZ34</f>
        <v>0</v>
      </c>
      <c r="AA248" s="32"/>
      <c r="AB248" s="325">
        <f>'AVT139(vn-A)'!AZ34</f>
        <v>0</v>
      </c>
      <c r="AC248" s="32"/>
      <c r="AD248" s="325">
        <f>'AVT187(vn-A)'!AZ34</f>
        <v>0</v>
      </c>
      <c r="AE248" s="32"/>
      <c r="AF248" s="325">
        <f>'AVT187In(vn-A)'!AZ26</f>
        <v>0</v>
      </c>
      <c r="AG248" s="32"/>
      <c r="AH248" s="325">
        <f>'AVT187(vn-S)'!AZ34</f>
        <v>0</v>
      </c>
      <c r="AI248" s="32"/>
      <c r="AJ248" s="325">
        <f>'AVT187In(vn-S)'!AZ26</f>
        <v>0</v>
      </c>
      <c r="AK248" s="32"/>
      <c r="AL248" s="325">
        <f>'AVT77'!AZ17</f>
        <v>0</v>
      </c>
      <c r="AM248" s="32"/>
      <c r="AN248" s="325">
        <f>'AVT-celny-101+187'!AZ40</f>
        <v>0</v>
      </c>
      <c r="AO248" s="32"/>
      <c r="AP248" s="325">
        <f>'AVT-celny-139+187'!AZ33</f>
        <v>0</v>
      </c>
      <c r="AQ248" s="32"/>
      <c r="AR248" s="325">
        <f>'AVT-celny-2x187'!AZ30</f>
        <v>0</v>
      </c>
      <c r="AS248" s="32"/>
      <c r="AT248" s="325">
        <f>'AVT-celny-2x187In'!AZ24</f>
        <v>0</v>
      </c>
      <c r="AU248" s="32"/>
      <c r="AV248" s="325">
        <f>'potr-v101+187'!AZ40</f>
        <v>0</v>
      </c>
      <c r="AW248" s="32"/>
      <c r="AX248" s="325">
        <f>'potr-v101+187-IL'!AZ40</f>
        <v>0</v>
      </c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165"/>
      <c r="BP248" s="165"/>
      <c r="BQ248" s="165"/>
      <c r="BR248" s="165"/>
      <c r="BS248" s="165"/>
      <c r="BT248" s="165"/>
      <c r="BU248" s="165"/>
      <c r="BV248" s="55"/>
      <c r="BW248" s="160"/>
      <c r="BX248" s="32"/>
      <c r="BY248" s="24"/>
      <c r="BZ248" s="24"/>
      <c r="CA248" s="24"/>
      <c r="CB248" s="24"/>
      <c r="CC248" s="24"/>
      <c r="CD248" s="24"/>
      <c r="CE248" s="24"/>
    </row>
    <row r="249" spans="1:83" ht="15" hidden="1" customHeight="1">
      <c r="A249" s="4"/>
      <c r="B249" s="318">
        <f>CENY!B625</f>
        <v>9318194</v>
      </c>
      <c r="C249" s="43" t="str">
        <f>VLOOKUP(B249,CENY!$B$11:$G$1054,2,FALSE)</f>
        <v>Actro You(L) 550/SiSy 40kg; EB21</v>
      </c>
      <c r="D249" s="364">
        <f>VLOOKUP(B249,CENY!$B$11:$G$1054,3,FALSE)</f>
        <v>1</v>
      </c>
      <c r="E249" s="56" t="str">
        <f>IF(VLOOKUP(B249,CENY!$B$11:$G$1054,4,FALSE)=0,"",VLOOKUP(B249,CENY!$B$11:$G$1054,4,FALSE))</f>
        <v/>
      </c>
      <c r="F249" s="40" t="str">
        <f t="shared" si="58"/>
        <v/>
      </c>
      <c r="G249" s="52">
        <f>VLOOKUP(B249,CENY!$B$11:$M$1054,12,FALSE)</f>
        <v>6.9728000000000003</v>
      </c>
      <c r="H249" s="54" t="str">
        <f t="shared" si="55"/>
        <v xml:space="preserve"> EUR</v>
      </c>
      <c r="I249" s="41" t="str">
        <f t="shared" si="56"/>
        <v/>
      </c>
      <c r="J249" s="122"/>
      <c r="K249" s="42" t="str">
        <f>VLOOKUP(B249,CENY!$B$11:$M$1054,8,FALSE)</f>
        <v xml:space="preserve"> </v>
      </c>
      <c r="L249" s="42" t="str">
        <f>VLOOKUP(B249,CENY!$B$11:$M$1054,9,FALSE)</f>
        <v>491192</v>
      </c>
      <c r="M249" s="32"/>
      <c r="N249" s="35">
        <f t="shared" si="59"/>
        <v>0</v>
      </c>
      <c r="O249" s="36">
        <v>0</v>
      </c>
      <c r="P249" s="325">
        <f>'AVT101'!AZ35</f>
        <v>0</v>
      </c>
      <c r="Q249" s="32"/>
      <c r="R249" s="325">
        <f>'AVT139'!AZ35</f>
        <v>0</v>
      </c>
      <c r="S249" s="32"/>
      <c r="T249" s="325">
        <f>'AVT187'!AZ35</f>
        <v>0</v>
      </c>
      <c r="U249" s="32"/>
      <c r="V249" s="325">
        <f>'AVT251'!AZ27</f>
        <v>0</v>
      </c>
      <c r="W249" s="32"/>
      <c r="X249" s="325">
        <f>AVT187In!AZ27</f>
        <v>0</v>
      </c>
      <c r="Y249" s="32"/>
      <c r="Z249" s="325">
        <f>'AVT101(vn-A)'!AZ35</f>
        <v>0</v>
      </c>
      <c r="AA249" s="32"/>
      <c r="AB249" s="325">
        <f>'AVT139(vn-A)'!AZ35</f>
        <v>0</v>
      </c>
      <c r="AC249" s="32"/>
      <c r="AD249" s="325">
        <f>'AVT187(vn-A)'!AZ35</f>
        <v>0</v>
      </c>
      <c r="AE249" s="32"/>
      <c r="AF249" s="325">
        <f>'AVT187In(vn-A)'!AZ27</f>
        <v>0</v>
      </c>
      <c r="AG249" s="32"/>
      <c r="AH249" s="325">
        <f>'AVT187(vn-S)'!AZ35</f>
        <v>0</v>
      </c>
      <c r="AI249" s="32"/>
      <c r="AJ249" s="325">
        <f>'AVT187In(vn-S)'!AZ27</f>
        <v>0</v>
      </c>
      <c r="AK249" s="32"/>
      <c r="AL249" s="325">
        <f>'AVT77'!AZ18</f>
        <v>0</v>
      </c>
      <c r="AM249" s="32"/>
      <c r="AN249" s="325">
        <f>'AVT-celny-101+187'!AZ41</f>
        <v>0</v>
      </c>
      <c r="AO249" s="32"/>
      <c r="AP249" s="325">
        <f>'AVT-celny-139+187'!AZ34</f>
        <v>0</v>
      </c>
      <c r="AQ249" s="32"/>
      <c r="AR249" s="325">
        <f>'AVT-celny-2x187'!AZ31</f>
        <v>0</v>
      </c>
      <c r="AS249" s="32"/>
      <c r="AT249" s="325">
        <f>'AVT-celny-2x187In'!AZ25</f>
        <v>0</v>
      </c>
      <c r="AU249" s="32"/>
      <c r="AV249" s="325">
        <f>'potr-v101+187'!AZ41</f>
        <v>0</v>
      </c>
      <c r="AW249" s="32"/>
      <c r="AX249" s="325">
        <f>'potr-v101+187-IL'!AZ41</f>
        <v>0</v>
      </c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165"/>
      <c r="BP249" s="165"/>
      <c r="BQ249" s="165"/>
      <c r="BR249" s="165"/>
      <c r="BS249" s="165"/>
      <c r="BT249" s="165"/>
      <c r="BU249" s="165"/>
      <c r="BV249" s="55"/>
      <c r="BW249" s="160"/>
      <c r="BX249" s="32"/>
      <c r="BY249" s="24"/>
      <c r="BZ249" s="24"/>
      <c r="CA249" s="24"/>
      <c r="CB249" s="24"/>
      <c r="CC249" s="24"/>
      <c r="CD249" s="24"/>
      <c r="CE249" s="24"/>
    </row>
    <row r="250" spans="1:83" ht="15" hidden="1" customHeight="1">
      <c r="A250" s="4"/>
      <c r="B250" s="318">
        <f>CENY!B626</f>
        <v>9318196</v>
      </c>
      <c r="C250" s="43" t="str">
        <f>VLOOKUP(B250,CENY!$B$11:$G$1054,2,FALSE)</f>
        <v>Actro You(L) 600/SiSy 40kg; EB21</v>
      </c>
      <c r="D250" s="364">
        <f>VLOOKUP(B250,CENY!$B$11:$G$1054,3,FALSE)</f>
        <v>1</v>
      </c>
      <c r="E250" s="56" t="str">
        <f>IF(VLOOKUP(B250,CENY!$B$11:$G$1054,4,FALSE)=0,"",VLOOKUP(B250,CENY!$B$11:$G$1054,4,FALSE))</f>
        <v/>
      </c>
      <c r="F250" s="40" t="str">
        <f t="shared" si="58"/>
        <v/>
      </c>
      <c r="G250" s="52">
        <f>VLOOKUP(B250,CENY!$B$11:$M$1054,12,FALSE)</f>
        <v>34.956960000000002</v>
      </c>
      <c r="H250" s="54" t="str">
        <f t="shared" si="55"/>
        <v xml:space="preserve"> EUR</v>
      </c>
      <c r="I250" s="41" t="str">
        <f t="shared" si="56"/>
        <v/>
      </c>
      <c r="J250" s="122"/>
      <c r="K250" s="42" t="str">
        <f>VLOOKUP(B250,CENY!$B$11:$M$1054,8,FALSE)</f>
        <v xml:space="preserve"> </v>
      </c>
      <c r="L250" s="42" t="str">
        <f>VLOOKUP(B250,CENY!$B$11:$M$1054,9,FALSE)</f>
        <v>518532</v>
      </c>
      <c r="M250" s="32"/>
      <c r="N250" s="35">
        <f t="shared" si="59"/>
        <v>0</v>
      </c>
      <c r="O250" s="36">
        <v>0</v>
      </c>
      <c r="P250" s="325">
        <f>'AVT101'!AZ36</f>
        <v>0</v>
      </c>
      <c r="Q250" s="32"/>
      <c r="R250" s="325">
        <f>'AVT139'!AZ36</f>
        <v>0</v>
      </c>
      <c r="S250" s="32"/>
      <c r="T250" s="325">
        <f>'AVT187'!AZ36</f>
        <v>0</v>
      </c>
      <c r="U250" s="32"/>
      <c r="V250" s="325">
        <f>'AVT251'!AZ28</f>
        <v>0</v>
      </c>
      <c r="W250" s="32"/>
      <c r="X250" s="325">
        <f>AVT187In!AZ28</f>
        <v>0</v>
      </c>
      <c r="Y250" s="32"/>
      <c r="Z250" s="325">
        <f>'AVT101(vn-A)'!AZ36</f>
        <v>0</v>
      </c>
      <c r="AA250" s="32"/>
      <c r="AB250" s="325">
        <f>'AVT139(vn-A)'!AZ36</f>
        <v>0</v>
      </c>
      <c r="AC250" s="32"/>
      <c r="AD250" s="325">
        <f>'AVT187(vn-A)'!AZ36</f>
        <v>0</v>
      </c>
      <c r="AE250" s="32"/>
      <c r="AF250" s="325">
        <f>'AVT187In(vn-A)'!AZ28</f>
        <v>0</v>
      </c>
      <c r="AG250" s="32"/>
      <c r="AH250" s="325">
        <f>'AVT187(vn-S)'!AZ36</f>
        <v>0</v>
      </c>
      <c r="AI250" s="32"/>
      <c r="AJ250" s="325">
        <f>'AVT187In(vn-S)'!AZ28</f>
        <v>0</v>
      </c>
      <c r="AK250" s="32"/>
      <c r="AL250" s="32"/>
      <c r="AM250" s="32"/>
      <c r="AN250" s="325">
        <f>'AVT-celny-101+187'!AZ42</f>
        <v>0</v>
      </c>
      <c r="AO250" s="32"/>
      <c r="AP250" s="325">
        <f>'AVT-celny-139+187'!AZ35</f>
        <v>0</v>
      </c>
      <c r="AQ250" s="32"/>
      <c r="AR250" s="325">
        <f>'AVT-celny-2x187'!AZ32</f>
        <v>0</v>
      </c>
      <c r="AS250" s="32"/>
      <c r="AT250" s="325">
        <f>'AVT-celny-2x187In'!AZ26</f>
        <v>0</v>
      </c>
      <c r="AU250" s="32"/>
      <c r="AV250" s="325">
        <f>'potr-v101+187'!AZ42</f>
        <v>0</v>
      </c>
      <c r="AW250" s="32"/>
      <c r="AX250" s="325">
        <f>'potr-v101+187-IL'!AZ42</f>
        <v>0</v>
      </c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165"/>
      <c r="BP250" s="165"/>
      <c r="BQ250" s="165"/>
      <c r="BR250" s="165"/>
      <c r="BS250" s="165"/>
      <c r="BT250" s="165"/>
      <c r="BU250" s="165"/>
      <c r="BV250" s="55"/>
      <c r="BW250" s="160"/>
      <c r="BX250" s="32"/>
      <c r="BY250" s="24"/>
      <c r="BZ250" s="24"/>
      <c r="CA250" s="24"/>
      <c r="CB250" s="24"/>
      <c r="CC250" s="24"/>
      <c r="CD250" s="24"/>
      <c r="CE250" s="24"/>
    </row>
    <row r="251" spans="1:83" ht="15" hidden="1" customHeight="1">
      <c r="A251" s="4"/>
      <c r="B251" s="318">
        <f>CENY!B627</f>
        <v>9318167</v>
      </c>
      <c r="C251" s="43" t="str">
        <f>VLOOKUP(B251,CENY!$B$11:$G$1054,2,FALSE)</f>
        <v>Actro You(L) 270/SiSy 40kg; EB21; ľavý</v>
      </c>
      <c r="D251" s="353">
        <f>VLOOKUP(B251,CENY!$B$11:$G$1054,3,FALSE)</f>
        <v>10</v>
      </c>
      <c r="E251" s="56" t="str">
        <f>IF(VLOOKUP(B251,CENY!$B$11:$G$1054,4,FALSE)=0,"",VLOOKUP(B251,CENY!$B$11:$G$1054,4,FALSE))</f>
        <v/>
      </c>
      <c r="F251" s="40" t="str">
        <f t="shared" si="58"/>
        <v/>
      </c>
      <c r="G251" s="52" t="e">
        <f>VLOOKUP(B251,CENY!$B$11:$M$1054,12,FALSE)</f>
        <v>#N/A</v>
      </c>
      <c r="H251" s="54" t="e">
        <f t="shared" si="55"/>
        <v>#N/A</v>
      </c>
      <c r="I251" s="41" t="str">
        <f t="shared" si="56"/>
        <v/>
      </c>
      <c r="J251" s="122"/>
      <c r="K251" s="42" t="str">
        <f>VLOOKUP(B251,CENY!$B$11:$M$1054,8,FALSE)</f>
        <v xml:space="preserve"> </v>
      </c>
      <c r="L251" s="42">
        <f>VLOOKUP(B251,CENY!$B$11:$M$1054,9,FALSE)</f>
        <v>397775</v>
      </c>
      <c r="M251" s="32"/>
      <c r="N251" s="35">
        <f t="shared" si="59"/>
        <v>0</v>
      </c>
      <c r="O251" s="36">
        <v>0</v>
      </c>
      <c r="P251" s="32"/>
      <c r="Q251" s="325">
        <f>'AVT101'!BI44</f>
        <v>0</v>
      </c>
      <c r="R251" s="32"/>
      <c r="S251" s="325">
        <f>'AVT139'!BI44</f>
        <v>0</v>
      </c>
      <c r="T251" s="32"/>
      <c r="U251" s="325">
        <f>'AVT187'!BI44</f>
        <v>0</v>
      </c>
      <c r="V251" s="32"/>
      <c r="W251" s="32"/>
      <c r="X251" s="32"/>
      <c r="Y251" s="32"/>
      <c r="Z251" s="32"/>
      <c r="AA251" s="325">
        <f>'AVT101(vn-A)'!BI44</f>
        <v>0</v>
      </c>
      <c r="AB251" s="32"/>
      <c r="AC251" s="32"/>
      <c r="AD251" s="32"/>
      <c r="AE251" s="325">
        <f>'AVT187(vn-A)'!BI44</f>
        <v>0</v>
      </c>
      <c r="AF251" s="32"/>
      <c r="AG251" s="32"/>
      <c r="AH251" s="32"/>
      <c r="AI251" s="325">
        <f>'AVT187(vn-S)'!BI44</f>
        <v>0</v>
      </c>
      <c r="AJ251" s="32"/>
      <c r="AK251" s="32"/>
      <c r="AL251" s="32"/>
      <c r="AM251" s="32"/>
      <c r="AN251" s="32"/>
      <c r="AO251" s="325">
        <f>'AVT-celny-101+187'!BI57</f>
        <v>0</v>
      </c>
      <c r="AP251" s="32"/>
      <c r="AQ251" s="32"/>
      <c r="AR251" s="32"/>
      <c r="AS251" s="325">
        <f>'AVT-celny-2x187'!BI37</f>
        <v>0</v>
      </c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165"/>
      <c r="BP251" s="165"/>
      <c r="BQ251" s="165"/>
      <c r="BR251" s="165"/>
      <c r="BS251" s="165"/>
      <c r="BT251" s="165"/>
      <c r="BU251" s="165"/>
      <c r="BV251" s="55"/>
      <c r="BW251" s="160"/>
      <c r="BX251" s="32"/>
      <c r="BY251" s="24"/>
      <c r="BZ251" s="24"/>
      <c r="CA251" s="24"/>
      <c r="CB251" s="24"/>
      <c r="CC251" s="24"/>
      <c r="CD251" s="24"/>
      <c r="CE251" s="24"/>
    </row>
    <row r="252" spans="1:83" ht="15" hidden="1" customHeight="1">
      <c r="A252" s="4"/>
      <c r="B252" s="318">
        <f>CENY!B628</f>
        <v>9318170</v>
      </c>
      <c r="C252" s="43" t="str">
        <f>VLOOKUP(B252,CENY!$B$11:$G$1054,2,FALSE)</f>
        <v>Actro You(L) 270/SiSy 40kg; EB21; pravý</v>
      </c>
      <c r="D252" s="353">
        <f>VLOOKUP(B252,CENY!$B$11:$G$1054,3,FALSE)</f>
        <v>10</v>
      </c>
      <c r="E252" s="56" t="str">
        <f>IF(VLOOKUP(B252,CENY!$B$11:$G$1054,4,FALSE)=0,"",VLOOKUP(B252,CENY!$B$11:$G$1054,4,FALSE))</f>
        <v/>
      </c>
      <c r="F252" s="40" t="str">
        <f t="shared" si="58"/>
        <v/>
      </c>
      <c r="G252" s="52" t="e">
        <f>VLOOKUP(B252,CENY!$B$11:$M$1054,12,FALSE)</f>
        <v>#N/A</v>
      </c>
      <c r="H252" s="54" t="e">
        <f t="shared" si="55"/>
        <v>#N/A</v>
      </c>
      <c r="I252" s="41" t="str">
        <f t="shared" si="56"/>
        <v/>
      </c>
      <c r="J252" s="122"/>
      <c r="K252" s="42" t="str">
        <f>VLOOKUP(B252,CENY!$B$11:$M$1054,8,FALSE)</f>
        <v xml:space="preserve"> </v>
      </c>
      <c r="L252" s="42">
        <f>VLOOKUP(B252,CENY!$B$11:$M$1054,9,FALSE)</f>
        <v>397776</v>
      </c>
      <c r="M252" s="32"/>
      <c r="N252" s="35">
        <f t="shared" si="59"/>
        <v>0</v>
      </c>
      <c r="O252" s="36">
        <v>0</v>
      </c>
      <c r="P252" s="32"/>
      <c r="Q252" s="325">
        <f>'AVT101'!BI45</f>
        <v>0</v>
      </c>
      <c r="R252" s="32"/>
      <c r="S252" s="325">
        <f>'AVT139'!BI45</f>
        <v>0</v>
      </c>
      <c r="T252" s="32"/>
      <c r="U252" s="325">
        <f>'AVT187'!BI45</f>
        <v>0</v>
      </c>
      <c r="V252" s="32"/>
      <c r="W252" s="32"/>
      <c r="X252" s="32"/>
      <c r="Y252" s="32"/>
      <c r="Z252" s="32"/>
      <c r="AA252" s="325">
        <f>'AVT101(vn-A)'!BI45</f>
        <v>0</v>
      </c>
      <c r="AB252" s="32"/>
      <c r="AC252" s="32"/>
      <c r="AD252" s="32"/>
      <c r="AE252" s="325">
        <f>'AVT187(vn-A)'!BI45</f>
        <v>0</v>
      </c>
      <c r="AF252" s="32"/>
      <c r="AG252" s="32"/>
      <c r="AH252" s="32"/>
      <c r="AI252" s="325">
        <f>'AVT187(vn-S)'!BI45</f>
        <v>0</v>
      </c>
      <c r="AJ252" s="32"/>
      <c r="AK252" s="32"/>
      <c r="AL252" s="32"/>
      <c r="AM252" s="32"/>
      <c r="AN252" s="32"/>
      <c r="AO252" s="325">
        <f>'AVT-celny-101+187'!BI58</f>
        <v>0</v>
      </c>
      <c r="AP252" s="32"/>
      <c r="AQ252" s="32"/>
      <c r="AR252" s="32"/>
      <c r="AS252" s="325">
        <f>'AVT-celny-2x187'!BI38</f>
        <v>0</v>
      </c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165"/>
      <c r="BP252" s="165"/>
      <c r="BQ252" s="165"/>
      <c r="BR252" s="165"/>
      <c r="BS252" s="165"/>
      <c r="BT252" s="165"/>
      <c r="BU252" s="165"/>
      <c r="BV252" s="55"/>
      <c r="BW252" s="160"/>
      <c r="BX252" s="32"/>
      <c r="BY252" s="24"/>
      <c r="BZ252" s="24"/>
      <c r="CA252" s="24"/>
      <c r="CB252" s="24"/>
      <c r="CC252" s="24"/>
      <c r="CD252" s="24"/>
      <c r="CE252" s="24"/>
    </row>
    <row r="253" spans="1:83" ht="15" hidden="1" customHeight="1">
      <c r="A253" s="4"/>
      <c r="B253" s="318">
        <f>CENY!B629</f>
        <v>9318171</v>
      </c>
      <c r="C253" s="43" t="str">
        <f>VLOOKUP(B253,CENY!$B$11:$G$1054,2,FALSE)</f>
        <v>Actro You(L) 300/SiSy 40kg; EB21; ľavý</v>
      </c>
      <c r="D253" s="353">
        <f>VLOOKUP(B253,CENY!$B$11:$G$1054,3,FALSE)</f>
        <v>10</v>
      </c>
      <c r="E253" s="56" t="str">
        <f>IF(VLOOKUP(B253,CENY!$B$11:$G$1054,4,FALSE)=0,"",VLOOKUP(B253,CENY!$B$11:$G$1054,4,FALSE))</f>
        <v/>
      </c>
      <c r="F253" s="40" t="str">
        <f t="shared" si="58"/>
        <v/>
      </c>
      <c r="G253" s="52">
        <f>VLOOKUP(B253,CENY!$B$11:$M$1054,12,FALSE)</f>
        <v>14.37729</v>
      </c>
      <c r="H253" s="54" t="str">
        <f t="shared" si="55"/>
        <v xml:space="preserve"> EUR</v>
      </c>
      <c r="I253" s="41" t="str">
        <f t="shared" si="56"/>
        <v/>
      </c>
      <c r="J253" s="122"/>
      <c r="K253" s="42" t="str">
        <f>VLOOKUP(B253,CENY!$B$11:$M$1054,8,FALSE)</f>
        <v xml:space="preserve"> </v>
      </c>
      <c r="L253" s="42" t="str">
        <f>VLOOKUP(B253,CENY!$B$11:$M$1054,9,FALSE)</f>
        <v>397777</v>
      </c>
      <c r="M253" s="32"/>
      <c r="N253" s="35">
        <f t="shared" si="59"/>
        <v>0</v>
      </c>
      <c r="O253" s="36">
        <v>0</v>
      </c>
      <c r="P253" s="32"/>
      <c r="Q253" s="325">
        <f>'AVT101'!BI46</f>
        <v>0</v>
      </c>
      <c r="R253" s="32"/>
      <c r="S253" s="325">
        <f>'AVT139'!BI46</f>
        <v>0</v>
      </c>
      <c r="T253" s="32"/>
      <c r="U253" s="325">
        <f>'AVT187'!BI46</f>
        <v>0</v>
      </c>
      <c r="V253" s="32"/>
      <c r="W253" s="32"/>
      <c r="X253" s="32"/>
      <c r="Y253" s="32"/>
      <c r="Z253" s="32"/>
      <c r="AA253" s="325">
        <f>'AVT101(vn-A)'!BI46</f>
        <v>0</v>
      </c>
      <c r="AB253" s="32"/>
      <c r="AC253" s="325">
        <f>'AVT139(vn-A)'!BI46</f>
        <v>0</v>
      </c>
      <c r="AD253" s="32"/>
      <c r="AE253" s="325">
        <f>'AVT187(vn-A)'!BI46</f>
        <v>0</v>
      </c>
      <c r="AF253" s="32"/>
      <c r="AG253" s="32"/>
      <c r="AH253" s="32"/>
      <c r="AI253" s="325">
        <f>'AVT187(vn-S)'!BI46</f>
        <v>0</v>
      </c>
      <c r="AJ253" s="32"/>
      <c r="AK253" s="32"/>
      <c r="AL253" s="32"/>
      <c r="AM253" s="32"/>
      <c r="AN253" s="32"/>
      <c r="AO253" s="325">
        <f>'AVT-celny-101+187'!BI59</f>
        <v>0</v>
      </c>
      <c r="AP253" s="32"/>
      <c r="AQ253" s="325">
        <f>'AVT-celny-139+187'!BI47</f>
        <v>0</v>
      </c>
      <c r="AR253" s="32"/>
      <c r="AS253" s="325">
        <f>'AVT-celny-2x187'!BI39</f>
        <v>0</v>
      </c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165"/>
      <c r="BP253" s="165"/>
      <c r="BQ253" s="165"/>
      <c r="BR253" s="165"/>
      <c r="BS253" s="165"/>
      <c r="BT253" s="165"/>
      <c r="BU253" s="165"/>
      <c r="BV253" s="55"/>
      <c r="BW253" s="160"/>
      <c r="BX253" s="32"/>
      <c r="BY253" s="24"/>
      <c r="BZ253" s="24"/>
      <c r="CA253" s="24"/>
      <c r="CB253" s="24"/>
      <c r="CC253" s="24"/>
      <c r="CD253" s="24"/>
      <c r="CE253" s="24"/>
    </row>
    <row r="254" spans="1:83" ht="15" hidden="1" customHeight="1">
      <c r="A254" s="4"/>
      <c r="B254" s="318">
        <f>CENY!B630</f>
        <v>9318172</v>
      </c>
      <c r="C254" s="43" t="str">
        <f>VLOOKUP(B254,CENY!$B$11:$G$1054,2,FALSE)</f>
        <v>Actro You(L) 300/SiSy 40kg; EB21; pravý</v>
      </c>
      <c r="D254" s="353">
        <f>VLOOKUP(B254,CENY!$B$11:$G$1054,3,FALSE)</f>
        <v>10</v>
      </c>
      <c r="E254" s="56" t="str">
        <f>IF(VLOOKUP(B254,CENY!$B$11:$G$1054,4,FALSE)=0,"",VLOOKUP(B254,CENY!$B$11:$G$1054,4,FALSE))</f>
        <v/>
      </c>
      <c r="F254" s="40" t="str">
        <f t="shared" si="58"/>
        <v/>
      </c>
      <c r="G254" s="52">
        <f>VLOOKUP(B254,CENY!$B$11:$M$1054,12,FALSE)</f>
        <v>14.37729</v>
      </c>
      <c r="H254" s="54" t="str">
        <f t="shared" si="55"/>
        <v xml:space="preserve"> EUR</v>
      </c>
      <c r="I254" s="41" t="str">
        <f t="shared" si="56"/>
        <v/>
      </c>
      <c r="J254" s="122"/>
      <c r="K254" s="42" t="str">
        <f>VLOOKUP(B254,CENY!$B$11:$M$1054,8,FALSE)</f>
        <v xml:space="preserve"> </v>
      </c>
      <c r="L254" s="42" t="str">
        <f>VLOOKUP(B254,CENY!$B$11:$M$1054,9,FALSE)</f>
        <v>397778</v>
      </c>
      <c r="M254" s="32"/>
      <c r="N254" s="35">
        <f t="shared" si="59"/>
        <v>0</v>
      </c>
      <c r="O254" s="36">
        <v>0</v>
      </c>
      <c r="P254" s="32"/>
      <c r="Q254" s="325">
        <f>'AVT101'!BI47</f>
        <v>0</v>
      </c>
      <c r="R254" s="32"/>
      <c r="S254" s="325">
        <f>'AVT139'!BI47</f>
        <v>0</v>
      </c>
      <c r="T254" s="32"/>
      <c r="U254" s="325">
        <f>'AVT187'!BI47</f>
        <v>0</v>
      </c>
      <c r="V254" s="32"/>
      <c r="W254" s="32"/>
      <c r="X254" s="32"/>
      <c r="Y254" s="32"/>
      <c r="Z254" s="32"/>
      <c r="AA254" s="325">
        <f>'AVT101(vn-A)'!BI47</f>
        <v>0</v>
      </c>
      <c r="AB254" s="32"/>
      <c r="AC254" s="325">
        <f>'AVT139(vn-A)'!BI47</f>
        <v>0</v>
      </c>
      <c r="AD254" s="32"/>
      <c r="AE254" s="325">
        <f>'AVT187(vn-A)'!BI47</f>
        <v>0</v>
      </c>
      <c r="AF254" s="32"/>
      <c r="AG254" s="32"/>
      <c r="AH254" s="32"/>
      <c r="AI254" s="325">
        <f>'AVT187(vn-S)'!BI47</f>
        <v>0</v>
      </c>
      <c r="AJ254" s="32"/>
      <c r="AK254" s="32"/>
      <c r="AL254" s="32"/>
      <c r="AM254" s="32"/>
      <c r="AN254" s="32"/>
      <c r="AO254" s="325">
        <f>'AVT-celny-101+187'!BI60</f>
        <v>0</v>
      </c>
      <c r="AP254" s="32"/>
      <c r="AQ254" s="325">
        <f>'AVT-celny-139+187'!BI48</f>
        <v>0</v>
      </c>
      <c r="AR254" s="32"/>
      <c r="AS254" s="325">
        <f>'AVT-celny-2x187'!BI40</f>
        <v>0</v>
      </c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165"/>
      <c r="BP254" s="165"/>
      <c r="BQ254" s="165"/>
      <c r="BR254" s="165"/>
      <c r="BS254" s="165"/>
      <c r="BT254" s="165"/>
      <c r="BU254" s="165"/>
      <c r="BV254" s="55"/>
      <c r="BW254" s="160"/>
      <c r="BX254" s="32"/>
      <c r="BY254" s="24"/>
      <c r="BZ254" s="24"/>
      <c r="CA254" s="24"/>
      <c r="CB254" s="24"/>
      <c r="CC254" s="24"/>
      <c r="CD254" s="24"/>
      <c r="CE254" s="24"/>
    </row>
    <row r="255" spans="1:83" ht="15" hidden="1" customHeight="1">
      <c r="A255" s="4"/>
      <c r="B255" s="318">
        <f>CENY!B631</f>
        <v>9318173</v>
      </c>
      <c r="C255" s="43" t="str">
        <f>VLOOKUP(B255,CENY!$B$11:$G$1054,2,FALSE)</f>
        <v>Actro You(L) 350/SiSy 40kg; EB21; ľavý</v>
      </c>
      <c r="D255" s="353">
        <f>VLOOKUP(B255,CENY!$B$11:$G$1054,3,FALSE)</f>
        <v>10</v>
      </c>
      <c r="E255" s="56" t="str">
        <f>IF(VLOOKUP(B255,CENY!$B$11:$G$1054,4,FALSE)=0,"",VLOOKUP(B255,CENY!$B$11:$G$1054,4,FALSE))</f>
        <v/>
      </c>
      <c r="F255" s="40" t="str">
        <f t="shared" si="58"/>
        <v/>
      </c>
      <c r="G255" s="52">
        <f>VLOOKUP(B255,CENY!$B$11:$M$1054,12,FALSE)</f>
        <v>14.37729</v>
      </c>
      <c r="H255" s="54" t="str">
        <f t="shared" si="55"/>
        <v xml:space="preserve"> EUR</v>
      </c>
      <c r="I255" s="41" t="str">
        <f t="shared" si="56"/>
        <v/>
      </c>
      <c r="J255" s="122"/>
      <c r="K255" s="42" t="str">
        <f>VLOOKUP(B255,CENY!$B$11:$M$1054,8,FALSE)</f>
        <v xml:space="preserve"> </v>
      </c>
      <c r="L255" s="42" t="str">
        <f>VLOOKUP(B255,CENY!$B$11:$M$1054,9,FALSE)</f>
        <v>397779</v>
      </c>
      <c r="M255" s="32"/>
      <c r="N255" s="35">
        <f t="shared" si="59"/>
        <v>0</v>
      </c>
      <c r="O255" s="36">
        <v>0</v>
      </c>
      <c r="P255" s="32"/>
      <c r="Q255" s="325">
        <f>'AVT101'!BI48</f>
        <v>0</v>
      </c>
      <c r="R255" s="32"/>
      <c r="S255" s="325">
        <f>'AVT139'!BI48</f>
        <v>0</v>
      </c>
      <c r="T255" s="32"/>
      <c r="U255" s="325">
        <f>'AVT187'!BI48</f>
        <v>0</v>
      </c>
      <c r="V255" s="32"/>
      <c r="W255" s="325">
        <f>'AVT251'!BI35</f>
        <v>0</v>
      </c>
      <c r="X255" s="32"/>
      <c r="Y255" s="325">
        <f>AVT187In!BI34</f>
        <v>0</v>
      </c>
      <c r="Z255" s="32"/>
      <c r="AA255" s="325">
        <f>'AVT101(vn-A)'!BI48</f>
        <v>0</v>
      </c>
      <c r="AB255" s="32"/>
      <c r="AC255" s="325">
        <f>'AVT139(vn-A)'!BI48</f>
        <v>0</v>
      </c>
      <c r="AD255" s="32"/>
      <c r="AE255" s="325">
        <f>'AVT187(vn-A)'!BI48</f>
        <v>0</v>
      </c>
      <c r="AF255" s="32"/>
      <c r="AG255" s="325">
        <f>'AVT187In(vn-A)'!BI34</f>
        <v>0</v>
      </c>
      <c r="AH255" s="32"/>
      <c r="AI255" s="325">
        <f>'AVT187(vn-S)'!BI48</f>
        <v>0</v>
      </c>
      <c r="AJ255" s="32"/>
      <c r="AK255" s="325">
        <f>'AVT187In(vn-S)'!BI34</f>
        <v>0</v>
      </c>
      <c r="AL255" s="32"/>
      <c r="AM255" s="32"/>
      <c r="AN255" s="32"/>
      <c r="AO255" s="325">
        <f>'AVT-celny-101+187'!BI61</f>
        <v>0</v>
      </c>
      <c r="AP255" s="32"/>
      <c r="AQ255" s="325">
        <f>'AVT-celny-139+187'!BI49</f>
        <v>0</v>
      </c>
      <c r="AR255" s="32"/>
      <c r="AS255" s="325">
        <f>'AVT-celny-2x187'!BI41</f>
        <v>0</v>
      </c>
      <c r="AT255" s="32"/>
      <c r="AU255" s="325">
        <f>'AVT-celny-2x187In'!BI31</f>
        <v>0</v>
      </c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165"/>
      <c r="BP255" s="165"/>
      <c r="BQ255" s="165"/>
      <c r="BR255" s="165"/>
      <c r="BS255" s="165"/>
      <c r="BT255" s="165"/>
      <c r="BU255" s="165"/>
      <c r="BV255" s="55"/>
      <c r="BW255" s="160"/>
      <c r="BX255" s="32"/>
      <c r="BY255" s="24"/>
      <c r="BZ255" s="24"/>
      <c r="CA255" s="24"/>
      <c r="CB255" s="24"/>
      <c r="CC255" s="24"/>
      <c r="CD255" s="24"/>
      <c r="CE255" s="24"/>
    </row>
    <row r="256" spans="1:83" ht="15" hidden="1" customHeight="1">
      <c r="A256" s="4"/>
      <c r="B256" s="318">
        <f>CENY!B632</f>
        <v>9318174</v>
      </c>
      <c r="C256" s="43" t="str">
        <f>VLOOKUP(B256,CENY!$B$11:$G$1054,2,FALSE)</f>
        <v>Actro You(L) 350/SiSy 40kg; EB21; pravý</v>
      </c>
      <c r="D256" s="353">
        <f>VLOOKUP(B256,CENY!$B$11:$G$1054,3,FALSE)</f>
        <v>10</v>
      </c>
      <c r="E256" s="56" t="str">
        <f>IF(VLOOKUP(B256,CENY!$B$11:$G$1054,4,FALSE)=0,"",VLOOKUP(B256,CENY!$B$11:$G$1054,4,FALSE))</f>
        <v/>
      </c>
      <c r="F256" s="40" t="str">
        <f t="shared" si="58"/>
        <v/>
      </c>
      <c r="G256" s="52" t="e">
        <f>VLOOKUP(B256,CENY!$B$11:$M$1054,12,FALSE)</f>
        <v>#N/A</v>
      </c>
      <c r="H256" s="54" t="e">
        <f t="shared" si="55"/>
        <v>#N/A</v>
      </c>
      <c r="I256" s="41" t="str">
        <f t="shared" si="56"/>
        <v/>
      </c>
      <c r="J256" s="122"/>
      <c r="K256" s="42" t="str">
        <f>VLOOKUP(B256,CENY!$B$11:$M$1054,8,FALSE)</f>
        <v xml:space="preserve"> </v>
      </c>
      <c r="L256" s="42">
        <f>VLOOKUP(B256,CENY!$B$11:$M$1054,9,FALSE)</f>
        <v>397780</v>
      </c>
      <c r="M256" s="32"/>
      <c r="N256" s="35">
        <f t="shared" si="59"/>
        <v>0</v>
      </c>
      <c r="O256" s="36">
        <v>0</v>
      </c>
      <c r="P256" s="32"/>
      <c r="Q256" s="325">
        <f>'AVT101'!BI49</f>
        <v>0</v>
      </c>
      <c r="R256" s="32"/>
      <c r="S256" s="325">
        <f>'AVT139'!BI49</f>
        <v>0</v>
      </c>
      <c r="T256" s="32"/>
      <c r="U256" s="325">
        <f>'AVT187'!BI49</f>
        <v>0</v>
      </c>
      <c r="V256" s="32"/>
      <c r="W256" s="325">
        <f>'AVT251'!BI36</f>
        <v>0</v>
      </c>
      <c r="X256" s="32"/>
      <c r="Y256" s="325">
        <f>AVT187In!BI35</f>
        <v>0</v>
      </c>
      <c r="Z256" s="32"/>
      <c r="AA256" s="325">
        <f>'AVT101(vn-A)'!BI49</f>
        <v>0</v>
      </c>
      <c r="AB256" s="32"/>
      <c r="AC256" s="325">
        <f>'AVT139(vn-A)'!BI49</f>
        <v>0</v>
      </c>
      <c r="AD256" s="32"/>
      <c r="AE256" s="325">
        <f>'AVT187(vn-A)'!BI49</f>
        <v>0</v>
      </c>
      <c r="AF256" s="32"/>
      <c r="AG256" s="325">
        <f>'AVT187In(vn-A)'!BI35</f>
        <v>0</v>
      </c>
      <c r="AH256" s="32"/>
      <c r="AI256" s="325">
        <f>'AVT187(vn-S)'!BI49</f>
        <v>0</v>
      </c>
      <c r="AJ256" s="32"/>
      <c r="AK256" s="325">
        <f>'AVT187In(vn-S)'!BI35</f>
        <v>0</v>
      </c>
      <c r="AL256" s="32"/>
      <c r="AM256" s="32"/>
      <c r="AN256" s="32"/>
      <c r="AO256" s="325">
        <f>'AVT-celny-101+187'!BI62</f>
        <v>0</v>
      </c>
      <c r="AP256" s="32"/>
      <c r="AQ256" s="325">
        <f>'AVT-celny-139+187'!BI50</f>
        <v>0</v>
      </c>
      <c r="AR256" s="32"/>
      <c r="AS256" s="325">
        <f>'AVT-celny-2x187'!BI42</f>
        <v>0</v>
      </c>
      <c r="AT256" s="32"/>
      <c r="AU256" s="325">
        <f>'AVT-celny-2x187In'!BI32</f>
        <v>0</v>
      </c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  <c r="BO256" s="165"/>
      <c r="BP256" s="165"/>
      <c r="BQ256" s="165"/>
      <c r="BR256" s="165"/>
      <c r="BS256" s="165"/>
      <c r="BT256" s="165"/>
      <c r="BU256" s="165"/>
      <c r="BV256" s="55"/>
      <c r="BW256" s="160"/>
      <c r="BX256" s="32"/>
      <c r="BY256" s="24"/>
      <c r="BZ256" s="24"/>
      <c r="CA256" s="24"/>
      <c r="CB256" s="24"/>
      <c r="CC256" s="24"/>
      <c r="CD256" s="24"/>
      <c r="CE256" s="24"/>
    </row>
    <row r="257" spans="1:83" ht="15" hidden="1" customHeight="1">
      <c r="A257" s="4"/>
      <c r="B257" s="318">
        <f>CENY!B633</f>
        <v>9318175</v>
      </c>
      <c r="C257" s="43" t="str">
        <f>VLOOKUP(B257,CENY!$B$11:$G$1054,2,FALSE)</f>
        <v>Actro You(L) 400/SiSy 40kg; EB21; ľavý</v>
      </c>
      <c r="D257" s="353">
        <f>VLOOKUP(B257,CENY!$B$11:$G$1054,3,FALSE)</f>
        <v>10</v>
      </c>
      <c r="E257" s="56" t="str">
        <f>IF(VLOOKUP(B257,CENY!$B$11:$G$1054,4,FALSE)=0,"",VLOOKUP(B257,CENY!$B$11:$G$1054,4,FALSE))</f>
        <v/>
      </c>
      <c r="F257" s="40" t="str">
        <f t="shared" si="58"/>
        <v/>
      </c>
      <c r="G257" s="52">
        <f>VLOOKUP(B257,CENY!$B$11:$M$1054,12,FALSE)</f>
        <v>14.56085</v>
      </c>
      <c r="H257" s="54" t="str">
        <f t="shared" si="55"/>
        <v xml:space="preserve"> EUR</v>
      </c>
      <c r="I257" s="41" t="str">
        <f t="shared" si="56"/>
        <v/>
      </c>
      <c r="J257" s="122"/>
      <c r="K257" s="42" t="str">
        <f>VLOOKUP(B257,CENY!$B$11:$M$1054,8,FALSE)</f>
        <v xml:space="preserve"> </v>
      </c>
      <c r="L257" s="42" t="str">
        <f>VLOOKUP(B257,CENY!$B$11:$M$1054,9,FALSE)</f>
        <v>397781</v>
      </c>
      <c r="M257" s="32"/>
      <c r="N257" s="35">
        <f t="shared" si="59"/>
        <v>0</v>
      </c>
      <c r="O257" s="36">
        <v>0</v>
      </c>
      <c r="P257" s="32"/>
      <c r="Q257" s="325">
        <f>'AVT101'!BI50</f>
        <v>0</v>
      </c>
      <c r="R257" s="32"/>
      <c r="S257" s="325">
        <f>'AVT139'!BI50</f>
        <v>0</v>
      </c>
      <c r="T257" s="32"/>
      <c r="U257" s="325">
        <f>'AVT187'!BI50</f>
        <v>0</v>
      </c>
      <c r="V257" s="32"/>
      <c r="W257" s="325">
        <f>'AVT251'!BI37</f>
        <v>0</v>
      </c>
      <c r="X257" s="32"/>
      <c r="Y257" s="325">
        <f>AVT187In!BI36</f>
        <v>0</v>
      </c>
      <c r="Z257" s="32"/>
      <c r="AA257" s="325">
        <f>'AVT101(vn-A)'!BI50</f>
        <v>0</v>
      </c>
      <c r="AB257" s="32"/>
      <c r="AC257" s="325">
        <f>'AVT139(vn-A)'!BI50</f>
        <v>0</v>
      </c>
      <c r="AD257" s="32"/>
      <c r="AE257" s="325">
        <f>'AVT187(vn-A)'!BI50</f>
        <v>0</v>
      </c>
      <c r="AF257" s="32"/>
      <c r="AG257" s="325">
        <f>'AVT187In(vn-A)'!BI36</f>
        <v>0</v>
      </c>
      <c r="AH257" s="32"/>
      <c r="AI257" s="325">
        <f>'AVT187(vn-S)'!BI50</f>
        <v>0</v>
      </c>
      <c r="AJ257" s="32"/>
      <c r="AK257" s="325">
        <f>'AVT187In(vn-S)'!BI36</f>
        <v>0</v>
      </c>
      <c r="AL257" s="32"/>
      <c r="AM257" s="325">
        <f>'AVT77'!BI22</f>
        <v>0</v>
      </c>
      <c r="AN257" s="32"/>
      <c r="AO257" s="325">
        <f>'AVT-celny-101+187'!BI63</f>
        <v>0</v>
      </c>
      <c r="AP257" s="32"/>
      <c r="AQ257" s="325">
        <f>'AVT-celny-139+187'!BI51</f>
        <v>0</v>
      </c>
      <c r="AR257" s="32"/>
      <c r="AS257" s="325">
        <f>'AVT-celny-2x187'!BI43</f>
        <v>0</v>
      </c>
      <c r="AT257" s="32"/>
      <c r="AU257" s="325">
        <f>'AVT-celny-2x187In'!BI33</f>
        <v>0</v>
      </c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165"/>
      <c r="BP257" s="165"/>
      <c r="BQ257" s="165"/>
      <c r="BR257" s="165"/>
      <c r="BS257" s="165"/>
      <c r="BT257" s="165"/>
      <c r="BU257" s="165"/>
      <c r="BV257" s="55"/>
      <c r="BW257" s="160"/>
      <c r="BX257" s="32"/>
      <c r="BY257" s="24"/>
      <c r="BZ257" s="24"/>
      <c r="CA257" s="24"/>
      <c r="CB257" s="24"/>
      <c r="CC257" s="24"/>
      <c r="CD257" s="24"/>
      <c r="CE257" s="24"/>
    </row>
    <row r="258" spans="1:83" ht="15" hidden="1" customHeight="1">
      <c r="A258" s="4"/>
      <c r="B258" s="318">
        <f>CENY!B634</f>
        <v>9318176</v>
      </c>
      <c r="C258" s="43" t="str">
        <f>VLOOKUP(B258,CENY!$B$11:$G$1054,2,FALSE)</f>
        <v>Actro You(L) 400/SiSy 40kg; EB21; pravý</v>
      </c>
      <c r="D258" s="353">
        <f>VLOOKUP(B258,CENY!$B$11:$G$1054,3,FALSE)</f>
        <v>10</v>
      </c>
      <c r="E258" s="56" t="str">
        <f>IF(VLOOKUP(B258,CENY!$B$11:$G$1054,4,FALSE)=0,"",VLOOKUP(B258,CENY!$B$11:$G$1054,4,FALSE))</f>
        <v/>
      </c>
      <c r="F258" s="40" t="str">
        <f t="shared" si="58"/>
        <v/>
      </c>
      <c r="G258" s="52">
        <f>VLOOKUP(B258,CENY!$B$11:$M$1054,12,FALSE)</f>
        <v>14.56085</v>
      </c>
      <c r="H258" s="54" t="str">
        <f t="shared" si="55"/>
        <v xml:space="preserve"> EUR</v>
      </c>
      <c r="I258" s="41" t="str">
        <f t="shared" si="56"/>
        <v/>
      </c>
      <c r="J258" s="122"/>
      <c r="K258" s="42" t="str">
        <f>VLOOKUP(B258,CENY!$B$11:$M$1054,8,FALSE)</f>
        <v xml:space="preserve"> </v>
      </c>
      <c r="L258" s="42" t="str">
        <f>VLOOKUP(B258,CENY!$B$11:$M$1054,9,FALSE)</f>
        <v>397782</v>
      </c>
      <c r="M258" s="32"/>
      <c r="N258" s="35">
        <f t="shared" si="59"/>
        <v>0</v>
      </c>
      <c r="O258" s="36">
        <v>0</v>
      </c>
      <c r="P258" s="32"/>
      <c r="Q258" s="325">
        <f>'AVT101'!BI51</f>
        <v>0</v>
      </c>
      <c r="R258" s="32"/>
      <c r="S258" s="325">
        <f>'AVT139'!BI51</f>
        <v>0</v>
      </c>
      <c r="T258" s="32"/>
      <c r="U258" s="325">
        <f>'AVT187'!BI51</f>
        <v>0</v>
      </c>
      <c r="V258" s="32"/>
      <c r="W258" s="325">
        <f>'AVT251'!BI38</f>
        <v>0</v>
      </c>
      <c r="X258" s="32"/>
      <c r="Y258" s="325">
        <f>AVT187In!BI37</f>
        <v>0</v>
      </c>
      <c r="Z258" s="32"/>
      <c r="AA258" s="325">
        <f>'AVT101(vn-A)'!BI51</f>
        <v>0</v>
      </c>
      <c r="AB258" s="32"/>
      <c r="AC258" s="325">
        <f>'AVT139(vn-A)'!BI51</f>
        <v>0</v>
      </c>
      <c r="AD258" s="32"/>
      <c r="AE258" s="325">
        <f>'AVT187(vn-A)'!BI51</f>
        <v>0</v>
      </c>
      <c r="AF258" s="32"/>
      <c r="AG258" s="325">
        <f>'AVT187In(vn-A)'!BI37</f>
        <v>0</v>
      </c>
      <c r="AH258" s="32"/>
      <c r="AI258" s="325">
        <f>'AVT187(vn-S)'!BI51</f>
        <v>0</v>
      </c>
      <c r="AJ258" s="32"/>
      <c r="AK258" s="325">
        <f>'AVT187In(vn-S)'!BI37</f>
        <v>0</v>
      </c>
      <c r="AL258" s="32"/>
      <c r="AM258" s="325">
        <f>'AVT77'!BI23</f>
        <v>0</v>
      </c>
      <c r="AN258" s="32"/>
      <c r="AO258" s="325">
        <f>'AVT-celny-101+187'!BI64</f>
        <v>0</v>
      </c>
      <c r="AP258" s="32"/>
      <c r="AQ258" s="325">
        <f>'AVT-celny-139+187'!BI52</f>
        <v>0</v>
      </c>
      <c r="AR258" s="32"/>
      <c r="AS258" s="325">
        <f>'AVT-celny-2x187'!BI44</f>
        <v>0</v>
      </c>
      <c r="AT258" s="32"/>
      <c r="AU258" s="325">
        <f>'AVT-celny-2x187In'!BI34</f>
        <v>0</v>
      </c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  <c r="BO258" s="165"/>
      <c r="BP258" s="165"/>
      <c r="BQ258" s="165"/>
      <c r="BR258" s="165"/>
      <c r="BS258" s="165"/>
      <c r="BT258" s="165"/>
      <c r="BU258" s="165"/>
      <c r="BV258" s="55"/>
      <c r="BW258" s="160"/>
      <c r="BX258" s="32"/>
      <c r="BY258" s="24"/>
      <c r="BZ258" s="24"/>
      <c r="CA258" s="24"/>
      <c r="CB258" s="24"/>
      <c r="CC258" s="24"/>
      <c r="CD258" s="24"/>
      <c r="CE258" s="24"/>
    </row>
    <row r="259" spans="1:83" ht="15" hidden="1" customHeight="1">
      <c r="A259" s="4"/>
      <c r="B259" s="318">
        <f>CENY!B635</f>
        <v>9318177</v>
      </c>
      <c r="C259" s="43" t="str">
        <f>VLOOKUP(B259,CENY!$B$11:$G$1054,2,FALSE)</f>
        <v>Actro You(L) 450/SiSy 40kg; EB21; ľavý</v>
      </c>
      <c r="D259" s="353">
        <f>VLOOKUP(B259,CENY!$B$11:$G$1054,3,FALSE)</f>
        <v>10</v>
      </c>
      <c r="E259" s="56" t="str">
        <f>IF(VLOOKUP(B259,CENY!$B$11:$G$1054,4,FALSE)=0,"",VLOOKUP(B259,CENY!$B$11:$G$1054,4,FALSE))</f>
        <v/>
      </c>
      <c r="F259" s="40" t="str">
        <f t="shared" si="58"/>
        <v/>
      </c>
      <c r="G259" s="52" t="e">
        <f>VLOOKUP(B259,CENY!$B$11:$M$1054,12,FALSE)</f>
        <v>#N/A</v>
      </c>
      <c r="H259" s="54" t="e">
        <f t="shared" si="55"/>
        <v>#N/A</v>
      </c>
      <c r="I259" s="41" t="str">
        <f t="shared" si="56"/>
        <v/>
      </c>
      <c r="J259" s="122"/>
      <c r="K259" s="42" t="str">
        <f>VLOOKUP(B259,CENY!$B$11:$M$1054,8,FALSE)</f>
        <v xml:space="preserve"> </v>
      </c>
      <c r="L259" s="42">
        <f>VLOOKUP(B259,CENY!$B$11:$M$1054,9,FALSE)</f>
        <v>397783</v>
      </c>
      <c r="M259" s="32"/>
      <c r="N259" s="35">
        <f t="shared" si="59"/>
        <v>0</v>
      </c>
      <c r="O259" s="36">
        <v>0</v>
      </c>
      <c r="P259" s="32"/>
      <c r="Q259" s="325">
        <f>'AVT101'!BI52</f>
        <v>0</v>
      </c>
      <c r="R259" s="32"/>
      <c r="S259" s="325">
        <f>'AVT139'!BI52</f>
        <v>0</v>
      </c>
      <c r="T259" s="32"/>
      <c r="U259" s="325">
        <f>'AVT187'!BI52</f>
        <v>0</v>
      </c>
      <c r="V259" s="32"/>
      <c r="W259" s="325">
        <f>'AVT251'!BI39</f>
        <v>0</v>
      </c>
      <c r="X259" s="32"/>
      <c r="Y259" s="325">
        <f>AVT187In!BI38</f>
        <v>0</v>
      </c>
      <c r="Z259" s="32"/>
      <c r="AA259" s="325">
        <f>'AVT101(vn-A)'!BI52</f>
        <v>0</v>
      </c>
      <c r="AB259" s="32"/>
      <c r="AC259" s="325">
        <f>'AVT139(vn-A)'!BI52</f>
        <v>0</v>
      </c>
      <c r="AD259" s="32"/>
      <c r="AE259" s="325">
        <f>'AVT187(vn-A)'!BI52</f>
        <v>0</v>
      </c>
      <c r="AF259" s="32"/>
      <c r="AG259" s="325">
        <f>'AVT187In(vn-A)'!BI38</f>
        <v>0</v>
      </c>
      <c r="AH259" s="32"/>
      <c r="AI259" s="325">
        <f>'AVT187(vn-S)'!BI52</f>
        <v>0</v>
      </c>
      <c r="AJ259" s="32"/>
      <c r="AK259" s="325">
        <f>'AVT187In(vn-S)'!BI38</f>
        <v>0</v>
      </c>
      <c r="AL259" s="32"/>
      <c r="AM259" s="325">
        <f>'AVT77'!BI24</f>
        <v>0</v>
      </c>
      <c r="AN259" s="32"/>
      <c r="AO259" s="325">
        <f>'AVT-celny-101+187'!BI65</f>
        <v>0</v>
      </c>
      <c r="AP259" s="32"/>
      <c r="AQ259" s="325">
        <f>'AVT-celny-139+187'!BI53</f>
        <v>0</v>
      </c>
      <c r="AR259" s="32"/>
      <c r="AS259" s="325">
        <f>'AVT-celny-2x187'!BI45</f>
        <v>0</v>
      </c>
      <c r="AT259" s="32"/>
      <c r="AU259" s="325">
        <f>'AVT-celny-2x187In'!BI35</f>
        <v>0</v>
      </c>
      <c r="AV259" s="32"/>
      <c r="AW259" s="325">
        <f>'potr-v101+187'!BI66</f>
        <v>0</v>
      </c>
      <c r="AX259" s="32"/>
      <c r="AY259" s="325">
        <f>'potr-v101+187-IL'!BI66</f>
        <v>0</v>
      </c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165"/>
      <c r="BP259" s="165"/>
      <c r="BQ259" s="165"/>
      <c r="BR259" s="165"/>
      <c r="BS259" s="165"/>
      <c r="BT259" s="165"/>
      <c r="BU259" s="165"/>
      <c r="BV259" s="55"/>
      <c r="BW259" s="160"/>
      <c r="BX259" s="32"/>
      <c r="BY259" s="24"/>
      <c r="BZ259" s="24"/>
      <c r="CA259" s="24"/>
      <c r="CB259" s="24"/>
      <c r="CC259" s="24"/>
      <c r="CD259" s="24"/>
      <c r="CE259" s="24"/>
    </row>
    <row r="260" spans="1:83" ht="15" hidden="1" customHeight="1">
      <c r="A260" s="4"/>
      <c r="B260" s="318">
        <f>CENY!B636</f>
        <v>9318178</v>
      </c>
      <c r="C260" s="43" t="str">
        <f>VLOOKUP(B260,CENY!$B$11:$G$1054,2,FALSE)</f>
        <v>Actro You(L) 450/SiSy 40kg; EB21; pravý</v>
      </c>
      <c r="D260" s="353">
        <f>VLOOKUP(B260,CENY!$B$11:$G$1054,3,FALSE)</f>
        <v>10</v>
      </c>
      <c r="E260" s="56" t="str">
        <f>IF(VLOOKUP(B260,CENY!$B$11:$G$1054,4,FALSE)=0,"",VLOOKUP(B260,CENY!$B$11:$G$1054,4,FALSE))</f>
        <v/>
      </c>
      <c r="F260" s="40" t="str">
        <f t="shared" si="58"/>
        <v/>
      </c>
      <c r="G260" s="52">
        <f>VLOOKUP(B260,CENY!$B$11:$M$1054,12,FALSE)</f>
        <v>14.040839999999999</v>
      </c>
      <c r="H260" s="54" t="str">
        <f t="shared" si="55"/>
        <v xml:space="preserve"> EUR</v>
      </c>
      <c r="I260" s="41" t="str">
        <f t="shared" si="56"/>
        <v/>
      </c>
      <c r="J260" s="122"/>
      <c r="K260" s="42" t="str">
        <f>VLOOKUP(B260,CENY!$B$11:$M$1054,8,FALSE)</f>
        <v xml:space="preserve"> </v>
      </c>
      <c r="L260" s="42" t="str">
        <f>VLOOKUP(B260,CENY!$B$11:$M$1054,9,FALSE)</f>
        <v>397784</v>
      </c>
      <c r="M260" s="32"/>
      <c r="N260" s="35">
        <f t="shared" si="59"/>
        <v>0</v>
      </c>
      <c r="O260" s="36">
        <v>0</v>
      </c>
      <c r="P260" s="32"/>
      <c r="Q260" s="325">
        <f>'AVT101'!BI53</f>
        <v>0</v>
      </c>
      <c r="R260" s="32"/>
      <c r="S260" s="325">
        <f>'AVT139'!BI53</f>
        <v>0</v>
      </c>
      <c r="T260" s="32"/>
      <c r="U260" s="325">
        <f>'AVT187'!BI53</f>
        <v>0</v>
      </c>
      <c r="V260" s="32"/>
      <c r="W260" s="325">
        <f>'AVT251'!BI40</f>
        <v>0</v>
      </c>
      <c r="X260" s="32"/>
      <c r="Y260" s="325">
        <f>AVT187In!BI39</f>
        <v>0</v>
      </c>
      <c r="Z260" s="32"/>
      <c r="AA260" s="325">
        <f>'AVT101(vn-A)'!BI53</f>
        <v>0</v>
      </c>
      <c r="AB260" s="32"/>
      <c r="AC260" s="325">
        <f>'AVT139(vn-A)'!BI53</f>
        <v>0</v>
      </c>
      <c r="AD260" s="32"/>
      <c r="AE260" s="325">
        <f>'AVT187(vn-A)'!BI53</f>
        <v>0</v>
      </c>
      <c r="AF260" s="32"/>
      <c r="AG260" s="325">
        <f>'AVT187In(vn-A)'!BI39</f>
        <v>0</v>
      </c>
      <c r="AH260" s="32"/>
      <c r="AI260" s="325">
        <f>'AVT187(vn-S)'!BI53</f>
        <v>0</v>
      </c>
      <c r="AJ260" s="32"/>
      <c r="AK260" s="325">
        <f>'AVT187In(vn-S)'!BI39</f>
        <v>0</v>
      </c>
      <c r="AL260" s="32"/>
      <c r="AM260" s="325">
        <f>'AVT77'!BI25</f>
        <v>0</v>
      </c>
      <c r="AN260" s="32"/>
      <c r="AO260" s="325">
        <f>'AVT-celny-101+187'!BI66</f>
        <v>0</v>
      </c>
      <c r="AP260" s="32"/>
      <c r="AQ260" s="325">
        <f>'AVT-celny-139+187'!BI54</f>
        <v>0</v>
      </c>
      <c r="AR260" s="32"/>
      <c r="AS260" s="325">
        <f>'AVT-celny-2x187'!BI46</f>
        <v>0</v>
      </c>
      <c r="AT260" s="32"/>
      <c r="AU260" s="325">
        <f>'AVT-celny-2x187In'!BI36</f>
        <v>0</v>
      </c>
      <c r="AV260" s="32"/>
      <c r="AW260" s="325">
        <f>'potr-v101+187'!BI67</f>
        <v>0</v>
      </c>
      <c r="AX260" s="32"/>
      <c r="AY260" s="325">
        <f>'potr-v101+187-IL'!BI67</f>
        <v>0</v>
      </c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165"/>
      <c r="BP260" s="165"/>
      <c r="BQ260" s="165"/>
      <c r="BR260" s="165"/>
      <c r="BS260" s="165"/>
      <c r="BT260" s="165"/>
      <c r="BU260" s="165"/>
      <c r="BV260" s="55"/>
      <c r="BW260" s="160"/>
      <c r="BX260" s="32"/>
      <c r="BY260" s="24"/>
      <c r="BZ260" s="24"/>
      <c r="CA260" s="24"/>
      <c r="CB260" s="24"/>
      <c r="CC260" s="24"/>
      <c r="CD260" s="24"/>
      <c r="CE260" s="24"/>
    </row>
    <row r="261" spans="1:83" ht="15" hidden="1" customHeight="1">
      <c r="A261" s="4"/>
      <c r="B261" s="318">
        <f>CENY!B637</f>
        <v>9318179</v>
      </c>
      <c r="C261" s="43" t="str">
        <f>VLOOKUP(B261,CENY!$B$11:$G$1054,2,FALSE)</f>
        <v>Actro You(L) 500/SiSy 40kg; EB21; ľavý</v>
      </c>
      <c r="D261" s="353">
        <f>VLOOKUP(B261,CENY!$B$11:$G$1054,3,FALSE)</f>
        <v>10</v>
      </c>
      <c r="E261" s="56" t="str">
        <f>IF(VLOOKUP(B261,CENY!$B$11:$G$1054,4,FALSE)=0,"",VLOOKUP(B261,CENY!$B$11:$G$1054,4,FALSE))</f>
        <v/>
      </c>
      <c r="F261" s="40" t="str">
        <f t="shared" si="58"/>
        <v/>
      </c>
      <c r="G261" s="52">
        <f>VLOOKUP(B261,CENY!$B$11:$M$1054,12,FALSE)</f>
        <v>13.931559999999999</v>
      </c>
      <c r="H261" s="54" t="str">
        <f t="shared" si="55"/>
        <v xml:space="preserve"> EUR</v>
      </c>
      <c r="I261" s="41" t="str">
        <f t="shared" si="56"/>
        <v/>
      </c>
      <c r="J261" s="122"/>
      <c r="K261" s="42" t="str">
        <f>VLOOKUP(B261,CENY!$B$11:$M$1054,8,FALSE)</f>
        <v xml:space="preserve"> </v>
      </c>
      <c r="L261" s="42" t="str">
        <f>VLOOKUP(B261,CENY!$B$11:$M$1054,9,FALSE)</f>
        <v>397785</v>
      </c>
      <c r="M261" s="32"/>
      <c r="N261" s="35">
        <f t="shared" si="59"/>
        <v>0</v>
      </c>
      <c r="O261" s="36">
        <v>0</v>
      </c>
      <c r="P261" s="32"/>
      <c r="Q261" s="325">
        <f>'AVT101'!BI54</f>
        <v>0</v>
      </c>
      <c r="R261" s="32"/>
      <c r="S261" s="325">
        <f>'AVT139'!BI54</f>
        <v>0</v>
      </c>
      <c r="T261" s="32"/>
      <c r="U261" s="325">
        <f>'AVT187'!BI54</f>
        <v>0</v>
      </c>
      <c r="V261" s="32"/>
      <c r="W261" s="325">
        <f>'AVT251'!BI41</f>
        <v>0</v>
      </c>
      <c r="X261" s="32"/>
      <c r="Y261" s="325">
        <f>AVT187In!BI40</f>
        <v>0</v>
      </c>
      <c r="Z261" s="32"/>
      <c r="AA261" s="325">
        <f>'AVT101(vn-A)'!BI54</f>
        <v>0</v>
      </c>
      <c r="AB261" s="32"/>
      <c r="AC261" s="325">
        <f>'AVT139(vn-A)'!BI54</f>
        <v>0</v>
      </c>
      <c r="AD261" s="32"/>
      <c r="AE261" s="325">
        <f>'AVT187(vn-A)'!BI54</f>
        <v>0</v>
      </c>
      <c r="AF261" s="32"/>
      <c r="AG261" s="325">
        <f>'AVT187In(vn-A)'!BI40</f>
        <v>0</v>
      </c>
      <c r="AH261" s="32"/>
      <c r="AI261" s="325">
        <f>'AVT187(vn-S)'!BI54</f>
        <v>0</v>
      </c>
      <c r="AJ261" s="32"/>
      <c r="AK261" s="325">
        <f>'AVT187In(vn-S)'!BI40</f>
        <v>0</v>
      </c>
      <c r="AL261" s="32"/>
      <c r="AM261" s="325">
        <f>'AVT77'!BI26</f>
        <v>0</v>
      </c>
      <c r="AN261" s="32"/>
      <c r="AO261" s="325">
        <f>'AVT-celny-101+187'!BI67</f>
        <v>0</v>
      </c>
      <c r="AP261" s="32"/>
      <c r="AQ261" s="325">
        <f>'AVT-celny-139+187'!BI55</f>
        <v>0</v>
      </c>
      <c r="AR261" s="32"/>
      <c r="AS261" s="325">
        <f>'AVT-celny-2x187'!BI47</f>
        <v>0</v>
      </c>
      <c r="AT261" s="32"/>
      <c r="AU261" s="325">
        <f>'AVT-celny-2x187In'!BI37</f>
        <v>0</v>
      </c>
      <c r="AV261" s="32"/>
      <c r="AW261" s="325">
        <f>'potr-v101+187'!BI68</f>
        <v>0</v>
      </c>
      <c r="AX261" s="32"/>
      <c r="AY261" s="325">
        <f>'potr-v101+187-IL'!BI68</f>
        <v>0</v>
      </c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  <c r="BO261" s="165"/>
      <c r="BP261" s="165"/>
      <c r="BQ261" s="165"/>
      <c r="BR261" s="165"/>
      <c r="BS261" s="165"/>
      <c r="BT261" s="165"/>
      <c r="BU261" s="165"/>
      <c r="BV261" s="55"/>
      <c r="BW261" s="160"/>
      <c r="BX261" s="32"/>
      <c r="BY261" s="24"/>
      <c r="BZ261" s="24"/>
      <c r="CA261" s="24"/>
      <c r="CB261" s="24"/>
      <c r="CC261" s="24"/>
      <c r="CD261" s="24"/>
      <c r="CE261" s="24"/>
    </row>
    <row r="262" spans="1:83" ht="15" hidden="1" customHeight="1">
      <c r="A262" s="4"/>
      <c r="B262" s="318">
        <f>CENY!B638</f>
        <v>9318180</v>
      </c>
      <c r="C262" s="43" t="str">
        <f>VLOOKUP(B262,CENY!$B$11:$G$1054,2,FALSE)</f>
        <v>Actro You(L) 500/SiSy 40kg; EB21; pravý</v>
      </c>
      <c r="D262" s="353">
        <f>VLOOKUP(B262,CENY!$B$11:$G$1054,3,FALSE)</f>
        <v>10</v>
      </c>
      <c r="E262" s="56" t="str">
        <f>IF(VLOOKUP(B262,CENY!$B$11:$G$1054,4,FALSE)=0,"",VLOOKUP(B262,CENY!$B$11:$G$1054,4,FALSE))</f>
        <v/>
      </c>
      <c r="F262" s="40" t="str">
        <f t="shared" si="58"/>
        <v/>
      </c>
      <c r="G262" s="52">
        <f>VLOOKUP(B262,CENY!$B$11:$M$1054,12,FALSE)</f>
        <v>13.931559999999999</v>
      </c>
      <c r="H262" s="54" t="str">
        <f t="shared" si="55"/>
        <v xml:space="preserve"> EUR</v>
      </c>
      <c r="I262" s="41" t="str">
        <f t="shared" si="56"/>
        <v/>
      </c>
      <c r="J262" s="122"/>
      <c r="K262" s="42" t="str">
        <f>VLOOKUP(B262,CENY!$B$11:$M$1054,8,FALSE)</f>
        <v xml:space="preserve"> </v>
      </c>
      <c r="L262" s="42" t="str">
        <f>VLOOKUP(B262,CENY!$B$11:$M$1054,9,FALSE)</f>
        <v>397786</v>
      </c>
      <c r="M262" s="32"/>
      <c r="N262" s="35">
        <f t="shared" si="59"/>
        <v>0</v>
      </c>
      <c r="O262" s="36">
        <v>0</v>
      </c>
      <c r="P262" s="32"/>
      <c r="Q262" s="325">
        <f>'AVT101'!BI55</f>
        <v>0</v>
      </c>
      <c r="R262" s="32"/>
      <c r="S262" s="325">
        <f>'AVT139'!BI55</f>
        <v>0</v>
      </c>
      <c r="T262" s="32"/>
      <c r="U262" s="325">
        <f>'AVT187'!BI55</f>
        <v>0</v>
      </c>
      <c r="V262" s="32"/>
      <c r="W262" s="325">
        <f>'AVT251'!BI42</f>
        <v>0</v>
      </c>
      <c r="X262" s="32"/>
      <c r="Y262" s="325">
        <f>AVT187In!BI41</f>
        <v>0</v>
      </c>
      <c r="Z262" s="32"/>
      <c r="AA262" s="325">
        <f>'AVT101(vn-A)'!BI55</f>
        <v>0</v>
      </c>
      <c r="AB262" s="32"/>
      <c r="AC262" s="325">
        <f>'AVT139(vn-A)'!BI55</f>
        <v>0</v>
      </c>
      <c r="AD262" s="32"/>
      <c r="AE262" s="325">
        <f>'AVT187(vn-A)'!BI55</f>
        <v>0</v>
      </c>
      <c r="AF262" s="32"/>
      <c r="AG262" s="325">
        <f>'AVT187In(vn-A)'!BI41</f>
        <v>0</v>
      </c>
      <c r="AH262" s="32"/>
      <c r="AI262" s="325">
        <f>'AVT187(vn-S)'!BI55</f>
        <v>0</v>
      </c>
      <c r="AJ262" s="32"/>
      <c r="AK262" s="325">
        <f>'AVT187In(vn-S)'!BI41</f>
        <v>0</v>
      </c>
      <c r="AL262" s="32"/>
      <c r="AM262" s="325">
        <f>'AVT77'!BI27</f>
        <v>0</v>
      </c>
      <c r="AN262" s="32"/>
      <c r="AO262" s="325">
        <f>'AVT-celny-101+187'!BI68</f>
        <v>0</v>
      </c>
      <c r="AP262" s="32"/>
      <c r="AQ262" s="325">
        <f>'AVT-celny-139+187'!BI56</f>
        <v>0</v>
      </c>
      <c r="AR262" s="32"/>
      <c r="AS262" s="325">
        <f>'AVT-celny-2x187'!BI48</f>
        <v>0</v>
      </c>
      <c r="AT262" s="32"/>
      <c r="AU262" s="325">
        <f>'AVT-celny-2x187In'!BI38</f>
        <v>0</v>
      </c>
      <c r="AV262" s="32"/>
      <c r="AW262" s="325">
        <f>'potr-v101+187'!BI69</f>
        <v>0</v>
      </c>
      <c r="AX262" s="32"/>
      <c r="AY262" s="325">
        <f>'potr-v101+187-IL'!BI69</f>
        <v>0</v>
      </c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165"/>
      <c r="BP262" s="165"/>
      <c r="BQ262" s="165"/>
      <c r="BR262" s="165"/>
      <c r="BS262" s="165"/>
      <c r="BT262" s="165"/>
      <c r="BU262" s="165"/>
      <c r="BV262" s="55"/>
      <c r="BW262" s="160"/>
      <c r="BX262" s="32"/>
      <c r="BY262" s="24"/>
      <c r="BZ262" s="24"/>
      <c r="CA262" s="24"/>
      <c r="CB262" s="24"/>
      <c r="CC262" s="24"/>
      <c r="CD262" s="24"/>
      <c r="CE262" s="24"/>
    </row>
    <row r="263" spans="1:83" ht="15" hidden="1" customHeight="1">
      <c r="A263" s="4"/>
      <c r="B263" s="318">
        <f>CENY!B639</f>
        <v>9318181</v>
      </c>
      <c r="C263" s="43" t="str">
        <f>VLOOKUP(B263,CENY!$B$11:$G$1054,2,FALSE)</f>
        <v>Actro You(L) 550/SiSy 40kg; EB21; ľavý</v>
      </c>
      <c r="D263" s="353">
        <f>VLOOKUP(B263,CENY!$B$11:$G$1054,3,FALSE)</f>
        <v>10</v>
      </c>
      <c r="E263" s="56" t="str">
        <f>IF(VLOOKUP(B263,CENY!$B$11:$G$1054,4,FALSE)=0,"",VLOOKUP(B263,CENY!$B$11:$G$1054,4,FALSE))</f>
        <v/>
      </c>
      <c r="F263" s="40" t="str">
        <f t="shared" si="58"/>
        <v/>
      </c>
      <c r="G263" s="52">
        <f>VLOOKUP(B263,CENY!$B$11:$M$1054,12,FALSE)</f>
        <v>15.147040000000001</v>
      </c>
      <c r="H263" s="54" t="str">
        <f t="shared" si="55"/>
        <v xml:space="preserve"> EUR</v>
      </c>
      <c r="I263" s="41" t="str">
        <f t="shared" si="56"/>
        <v/>
      </c>
      <c r="J263" s="122"/>
      <c r="K263" s="42" t="str">
        <f>VLOOKUP(B263,CENY!$B$11:$M$1054,8,FALSE)</f>
        <v xml:space="preserve"> </v>
      </c>
      <c r="L263" s="42" t="str">
        <f>VLOOKUP(B263,CENY!$B$11:$M$1054,9,FALSE)</f>
        <v>397787</v>
      </c>
      <c r="M263" s="32"/>
      <c r="N263" s="35">
        <f t="shared" si="59"/>
        <v>0</v>
      </c>
      <c r="O263" s="36">
        <v>0</v>
      </c>
      <c r="P263" s="32"/>
      <c r="Q263" s="325">
        <f>'AVT101'!BI56</f>
        <v>0</v>
      </c>
      <c r="R263" s="32"/>
      <c r="S263" s="325">
        <f>'AVT139'!BI56</f>
        <v>0</v>
      </c>
      <c r="T263" s="32"/>
      <c r="U263" s="325">
        <f>'AVT187'!BI56</f>
        <v>0</v>
      </c>
      <c r="V263" s="32"/>
      <c r="W263" s="325">
        <f>'AVT251'!BI43</f>
        <v>0</v>
      </c>
      <c r="X263" s="32"/>
      <c r="Y263" s="325">
        <f>AVT187In!BI42</f>
        <v>0</v>
      </c>
      <c r="Z263" s="32"/>
      <c r="AA263" s="325">
        <f>'AVT101(vn-A)'!BI56</f>
        <v>0</v>
      </c>
      <c r="AB263" s="32"/>
      <c r="AC263" s="325">
        <f>'AVT139(vn-A)'!BI56</f>
        <v>0</v>
      </c>
      <c r="AD263" s="32"/>
      <c r="AE263" s="325">
        <f>'AVT187(vn-A)'!BI56</f>
        <v>0</v>
      </c>
      <c r="AF263" s="32"/>
      <c r="AG263" s="325">
        <f>'AVT187In(vn-A)'!BI42</f>
        <v>0</v>
      </c>
      <c r="AH263" s="32"/>
      <c r="AI263" s="325">
        <f>'AVT187(vn-S)'!BI56</f>
        <v>0</v>
      </c>
      <c r="AJ263" s="32"/>
      <c r="AK263" s="325">
        <f>'AVT187In(vn-S)'!BI42</f>
        <v>0</v>
      </c>
      <c r="AL263" s="32"/>
      <c r="AM263" s="325">
        <f>'AVT77'!BI28</f>
        <v>0</v>
      </c>
      <c r="AN263" s="32"/>
      <c r="AO263" s="325">
        <f>'AVT-celny-101+187'!BI69</f>
        <v>0</v>
      </c>
      <c r="AP263" s="32"/>
      <c r="AQ263" s="325">
        <f>'AVT-celny-139+187'!BI57</f>
        <v>0</v>
      </c>
      <c r="AR263" s="32"/>
      <c r="AS263" s="325">
        <f>'AVT-celny-2x187'!BI49</f>
        <v>0</v>
      </c>
      <c r="AT263" s="32"/>
      <c r="AU263" s="325">
        <f>'AVT-celny-2x187In'!BI39</f>
        <v>0</v>
      </c>
      <c r="AV263" s="32"/>
      <c r="AW263" s="325">
        <f>'potr-v101+187'!BI70</f>
        <v>0</v>
      </c>
      <c r="AX263" s="32"/>
      <c r="AY263" s="325">
        <f>'potr-v101+187-IL'!BI70</f>
        <v>0</v>
      </c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165"/>
      <c r="BP263" s="165"/>
      <c r="BQ263" s="165"/>
      <c r="BR263" s="165"/>
      <c r="BS263" s="165"/>
      <c r="BT263" s="165"/>
      <c r="BU263" s="165"/>
      <c r="BV263" s="55"/>
      <c r="BW263" s="160"/>
      <c r="BX263" s="32"/>
      <c r="BY263" s="24"/>
      <c r="BZ263" s="24"/>
      <c r="CA263" s="24"/>
      <c r="CB263" s="24"/>
      <c r="CC263" s="24"/>
      <c r="CD263" s="24"/>
      <c r="CE263" s="24"/>
    </row>
    <row r="264" spans="1:83" ht="15" hidden="1" customHeight="1">
      <c r="A264" s="4"/>
      <c r="B264" s="318">
        <f>CENY!B640</f>
        <v>9318182</v>
      </c>
      <c r="C264" s="43" t="str">
        <f>VLOOKUP(B264,CENY!$B$11:$G$1054,2,FALSE)</f>
        <v>Actro You(L) 550/SiSy 40kg; EB21; pravý</v>
      </c>
      <c r="D264" s="353">
        <f>VLOOKUP(B264,CENY!$B$11:$G$1054,3,FALSE)</f>
        <v>10</v>
      </c>
      <c r="E264" s="56" t="str">
        <f>IF(VLOOKUP(B264,CENY!$B$11:$G$1054,4,FALSE)=0,"",VLOOKUP(B264,CENY!$B$11:$G$1054,4,FALSE))</f>
        <v/>
      </c>
      <c r="F264" s="40" t="str">
        <f t="shared" si="58"/>
        <v/>
      </c>
      <c r="G264" s="52">
        <f>VLOOKUP(B264,CENY!$B$11:$M$1054,12,FALSE)</f>
        <v>15.147040000000001</v>
      </c>
      <c r="H264" s="54" t="str">
        <f t="shared" si="55"/>
        <v xml:space="preserve"> EUR</v>
      </c>
      <c r="I264" s="41" t="str">
        <f t="shared" si="56"/>
        <v/>
      </c>
      <c r="J264" s="122"/>
      <c r="K264" s="42" t="str">
        <f>VLOOKUP(B264,CENY!$B$11:$M$1054,8,FALSE)</f>
        <v xml:space="preserve"> </v>
      </c>
      <c r="L264" s="42" t="str">
        <f>VLOOKUP(B264,CENY!$B$11:$M$1054,9,FALSE)</f>
        <v>397788</v>
      </c>
      <c r="M264" s="32"/>
      <c r="N264" s="35">
        <f t="shared" si="59"/>
        <v>0</v>
      </c>
      <c r="O264" s="36">
        <v>0</v>
      </c>
      <c r="P264" s="32"/>
      <c r="Q264" s="325">
        <f>'AVT101'!BI57</f>
        <v>0</v>
      </c>
      <c r="R264" s="32"/>
      <c r="S264" s="325">
        <f>'AVT139'!BI57</f>
        <v>0</v>
      </c>
      <c r="T264" s="32"/>
      <c r="U264" s="325">
        <f>'AVT187'!BI57</f>
        <v>0</v>
      </c>
      <c r="V264" s="32"/>
      <c r="W264" s="325">
        <f>'AVT251'!BI44</f>
        <v>0</v>
      </c>
      <c r="X264" s="32"/>
      <c r="Y264" s="325">
        <f>AVT187In!BI43</f>
        <v>0</v>
      </c>
      <c r="Z264" s="32"/>
      <c r="AA264" s="325">
        <f>'AVT101(vn-A)'!BI57</f>
        <v>0</v>
      </c>
      <c r="AB264" s="32"/>
      <c r="AC264" s="325">
        <f>'AVT139(vn-A)'!BI57</f>
        <v>0</v>
      </c>
      <c r="AD264" s="32"/>
      <c r="AE264" s="325">
        <f>'AVT187(vn-A)'!BI57</f>
        <v>0</v>
      </c>
      <c r="AF264" s="32"/>
      <c r="AG264" s="325">
        <f>'AVT187In(vn-A)'!BI43</f>
        <v>0</v>
      </c>
      <c r="AH264" s="32"/>
      <c r="AI264" s="325">
        <f>'AVT187(vn-S)'!BI57</f>
        <v>0</v>
      </c>
      <c r="AJ264" s="32"/>
      <c r="AK264" s="325">
        <f>'AVT187In(vn-S)'!BI43</f>
        <v>0</v>
      </c>
      <c r="AL264" s="32"/>
      <c r="AM264" s="325">
        <f>'AVT77'!BI29</f>
        <v>0</v>
      </c>
      <c r="AN264" s="32"/>
      <c r="AO264" s="325">
        <f>'AVT-celny-101+187'!BI70</f>
        <v>0</v>
      </c>
      <c r="AP264" s="32"/>
      <c r="AQ264" s="325">
        <f>'AVT-celny-139+187'!BI58</f>
        <v>0</v>
      </c>
      <c r="AR264" s="32"/>
      <c r="AS264" s="325">
        <f>'AVT-celny-2x187'!BI50</f>
        <v>0</v>
      </c>
      <c r="AT264" s="32"/>
      <c r="AU264" s="325">
        <f>'AVT-celny-2x187In'!BI40</f>
        <v>0</v>
      </c>
      <c r="AV264" s="32"/>
      <c r="AW264" s="325">
        <f>'potr-v101+187'!BI71</f>
        <v>0</v>
      </c>
      <c r="AX264" s="32"/>
      <c r="AY264" s="325">
        <f>'potr-v101+187-IL'!BI71</f>
        <v>0</v>
      </c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165"/>
      <c r="BP264" s="165"/>
      <c r="BQ264" s="165"/>
      <c r="BR264" s="165"/>
      <c r="BS264" s="165"/>
      <c r="BT264" s="165"/>
      <c r="BU264" s="165"/>
      <c r="BV264" s="55"/>
      <c r="BW264" s="160"/>
      <c r="BX264" s="32"/>
      <c r="BY264" s="24"/>
      <c r="BZ264" s="24"/>
      <c r="CA264" s="24"/>
      <c r="CB264" s="24"/>
      <c r="CC264" s="24"/>
      <c r="CD264" s="24"/>
      <c r="CE264" s="24"/>
    </row>
    <row r="265" spans="1:83" ht="15" hidden="1" customHeight="1">
      <c r="A265" s="4"/>
      <c r="B265" s="318">
        <f>CENY!B641</f>
        <v>9318183</v>
      </c>
      <c r="C265" s="43" t="str">
        <f>VLOOKUP(B265,CENY!$B$11:$G$1054,2,FALSE)</f>
        <v>Actro You(L) 600/SiSy 40kg; EB21; ľavý</v>
      </c>
      <c r="D265" s="353">
        <f>VLOOKUP(B265,CENY!$B$11:$G$1054,3,FALSE)</f>
        <v>10</v>
      </c>
      <c r="E265" s="56" t="str">
        <f>IF(VLOOKUP(B265,CENY!$B$11:$G$1054,4,FALSE)=0,"",VLOOKUP(B265,CENY!$B$11:$G$1054,4,FALSE))</f>
        <v/>
      </c>
      <c r="F265" s="40" t="str">
        <f t="shared" si="58"/>
        <v/>
      </c>
      <c r="G265" s="52">
        <f>VLOOKUP(B265,CENY!$B$11:$M$1054,12,FALSE)</f>
        <v>15.35308</v>
      </c>
      <c r="H265" s="54" t="str">
        <f t="shared" si="55"/>
        <v xml:space="preserve"> EUR</v>
      </c>
      <c r="I265" s="41" t="str">
        <f t="shared" si="56"/>
        <v/>
      </c>
      <c r="J265" s="122"/>
      <c r="K265" s="42" t="str">
        <f>VLOOKUP(B265,CENY!$B$11:$M$1054,8,FALSE)</f>
        <v xml:space="preserve"> </v>
      </c>
      <c r="L265" s="42" t="str">
        <f>VLOOKUP(B265,CENY!$B$11:$M$1054,9,FALSE)</f>
        <v>397789</v>
      </c>
      <c r="M265" s="32"/>
      <c r="N265" s="35">
        <f t="shared" si="59"/>
        <v>0</v>
      </c>
      <c r="O265" s="36">
        <v>0</v>
      </c>
      <c r="P265" s="32"/>
      <c r="Q265" s="325">
        <f>'AVT101'!BI58</f>
        <v>0</v>
      </c>
      <c r="R265" s="32"/>
      <c r="S265" s="325">
        <f>'AVT139'!BI58</f>
        <v>0</v>
      </c>
      <c r="T265" s="32"/>
      <c r="U265" s="325">
        <f>'AVT187'!BI58</f>
        <v>0</v>
      </c>
      <c r="V265" s="32"/>
      <c r="W265" s="325">
        <f>'AVT251'!BI45</f>
        <v>0</v>
      </c>
      <c r="X265" s="32"/>
      <c r="Y265" s="325">
        <f>AVT187In!BI44</f>
        <v>0</v>
      </c>
      <c r="Z265" s="32"/>
      <c r="AA265" s="325">
        <f>'AVT101(vn-A)'!BI58</f>
        <v>0</v>
      </c>
      <c r="AB265" s="32"/>
      <c r="AC265" s="325">
        <f>'AVT139(vn-A)'!BI58</f>
        <v>0</v>
      </c>
      <c r="AD265" s="32"/>
      <c r="AE265" s="325">
        <f>'AVT187(vn-A)'!BI58</f>
        <v>0</v>
      </c>
      <c r="AF265" s="32"/>
      <c r="AG265" s="325">
        <f>'AVT187In(vn-A)'!BI44</f>
        <v>0</v>
      </c>
      <c r="AH265" s="32"/>
      <c r="AI265" s="325">
        <f>'AVT187(vn-S)'!BI58</f>
        <v>0</v>
      </c>
      <c r="AJ265" s="32"/>
      <c r="AK265" s="325">
        <f>'AVT187In(vn-S)'!BI44</f>
        <v>0</v>
      </c>
      <c r="AL265" s="32"/>
      <c r="AM265" s="32"/>
      <c r="AN265" s="32"/>
      <c r="AO265" s="325">
        <f>'AVT-celny-101+187'!BI71</f>
        <v>0</v>
      </c>
      <c r="AP265" s="32"/>
      <c r="AQ265" s="325">
        <f>'AVT-celny-139+187'!BI59</f>
        <v>0</v>
      </c>
      <c r="AR265" s="32"/>
      <c r="AS265" s="325">
        <f>'AVT-celny-2x187'!BI51</f>
        <v>0</v>
      </c>
      <c r="AT265" s="32"/>
      <c r="AU265" s="325">
        <f>'AVT-celny-2x187In'!BI41</f>
        <v>0</v>
      </c>
      <c r="AV265" s="32"/>
      <c r="AW265" s="325">
        <f>'potr-v101+187'!BI72</f>
        <v>0</v>
      </c>
      <c r="AX265" s="32"/>
      <c r="AY265" s="325">
        <f>'potr-v101+187-IL'!BI72</f>
        <v>0</v>
      </c>
      <c r="AZ265" s="32"/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  <c r="BO265" s="165"/>
      <c r="BP265" s="165"/>
      <c r="BQ265" s="165"/>
      <c r="BR265" s="165"/>
      <c r="BS265" s="165"/>
      <c r="BT265" s="165"/>
      <c r="BU265" s="165"/>
      <c r="BV265" s="55"/>
      <c r="BW265" s="160"/>
      <c r="BX265" s="32"/>
      <c r="BY265" s="24"/>
      <c r="BZ265" s="24"/>
      <c r="CA265" s="24"/>
      <c r="CB265" s="24"/>
      <c r="CC265" s="24"/>
      <c r="CD265" s="24"/>
      <c r="CE265" s="24"/>
    </row>
    <row r="266" spans="1:83" ht="15" hidden="1" customHeight="1">
      <c r="A266" s="4"/>
      <c r="B266" s="318">
        <f>CENY!B642</f>
        <v>9318184</v>
      </c>
      <c r="C266" s="43" t="str">
        <f>VLOOKUP(B266,CENY!$B$11:$G$1054,2,FALSE)</f>
        <v>Actro You(L) 600/SiSy 40kg; EB21; pravý</v>
      </c>
      <c r="D266" s="353">
        <f>VLOOKUP(B266,CENY!$B$11:$G$1054,3,FALSE)</f>
        <v>10</v>
      </c>
      <c r="E266" s="56" t="str">
        <f>IF(VLOOKUP(B266,CENY!$B$11:$G$1054,4,FALSE)=0,"",VLOOKUP(B266,CENY!$B$11:$G$1054,4,FALSE))</f>
        <v/>
      </c>
      <c r="F266" s="40" t="str">
        <f t="shared" si="58"/>
        <v/>
      </c>
      <c r="G266" s="52" t="e">
        <f>VLOOKUP(B266,CENY!$B$11:$M$1054,12,FALSE)</f>
        <v>#N/A</v>
      </c>
      <c r="H266" s="54" t="e">
        <f t="shared" si="55"/>
        <v>#N/A</v>
      </c>
      <c r="I266" s="41" t="str">
        <f t="shared" si="56"/>
        <v/>
      </c>
      <c r="J266" s="122"/>
      <c r="K266" s="42" t="str">
        <f>VLOOKUP(B266,CENY!$B$11:$M$1054,8,FALSE)</f>
        <v xml:space="preserve"> </v>
      </c>
      <c r="L266" s="42">
        <f>VLOOKUP(B266,CENY!$B$11:$M$1054,9,FALSE)</f>
        <v>397790</v>
      </c>
      <c r="M266" s="32"/>
      <c r="N266" s="35">
        <f t="shared" si="59"/>
        <v>0</v>
      </c>
      <c r="O266" s="36">
        <v>0</v>
      </c>
      <c r="P266" s="32"/>
      <c r="Q266" s="325">
        <f>'AVT101'!BI59</f>
        <v>0</v>
      </c>
      <c r="R266" s="32"/>
      <c r="S266" s="325">
        <f>'AVT139'!BI59</f>
        <v>0</v>
      </c>
      <c r="T266" s="32"/>
      <c r="U266" s="325">
        <f>'AVT187'!BI59</f>
        <v>0</v>
      </c>
      <c r="V266" s="32"/>
      <c r="W266" s="325">
        <f>'AVT251'!BI46</f>
        <v>0</v>
      </c>
      <c r="X266" s="32"/>
      <c r="Y266" s="325">
        <f>AVT187In!BI45</f>
        <v>0</v>
      </c>
      <c r="Z266" s="32"/>
      <c r="AA266" s="325">
        <f>'AVT101(vn-A)'!BI59</f>
        <v>0</v>
      </c>
      <c r="AB266" s="32"/>
      <c r="AC266" s="325">
        <f>'AVT139(vn-A)'!BI59</f>
        <v>0</v>
      </c>
      <c r="AD266" s="32"/>
      <c r="AE266" s="325">
        <f>'AVT187(vn-A)'!BI59</f>
        <v>0</v>
      </c>
      <c r="AF266" s="32"/>
      <c r="AG266" s="325">
        <f>'AVT187In(vn-A)'!BI45</f>
        <v>0</v>
      </c>
      <c r="AH266" s="32"/>
      <c r="AI266" s="325">
        <f>'AVT187(vn-S)'!BI59</f>
        <v>0</v>
      </c>
      <c r="AJ266" s="32"/>
      <c r="AK266" s="325">
        <f>'AVT187In(vn-S)'!BI45</f>
        <v>0</v>
      </c>
      <c r="AL266" s="32"/>
      <c r="AM266" s="32"/>
      <c r="AN266" s="32"/>
      <c r="AO266" s="325">
        <f>'AVT-celny-101+187'!BI72</f>
        <v>0</v>
      </c>
      <c r="AP266" s="32"/>
      <c r="AQ266" s="325">
        <f>'AVT-celny-139+187'!BI60</f>
        <v>0</v>
      </c>
      <c r="AR266" s="32"/>
      <c r="AS266" s="325">
        <f>'AVT-celny-2x187'!BI52</f>
        <v>0</v>
      </c>
      <c r="AT266" s="32"/>
      <c r="AU266" s="325">
        <f>'AVT-celny-2x187In'!BI42</f>
        <v>0</v>
      </c>
      <c r="AV266" s="32"/>
      <c r="AW266" s="325">
        <f>'potr-v101+187'!BI73</f>
        <v>0</v>
      </c>
      <c r="AX266" s="32"/>
      <c r="AY266" s="325">
        <f>'potr-v101+187-IL'!BI73</f>
        <v>0</v>
      </c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165"/>
      <c r="BP266" s="165"/>
      <c r="BQ266" s="165"/>
      <c r="BR266" s="165"/>
      <c r="BS266" s="165"/>
      <c r="BT266" s="165"/>
      <c r="BU266" s="165"/>
      <c r="BV266" s="55"/>
      <c r="BW266" s="160"/>
      <c r="BX266" s="32"/>
      <c r="BY266" s="24"/>
      <c r="BZ266" s="24"/>
      <c r="CA266" s="24"/>
      <c r="CB266" s="24"/>
      <c r="CC266" s="24"/>
      <c r="CD266" s="24"/>
      <c r="CE266" s="24"/>
    </row>
    <row r="267" spans="1:83" ht="8.1" hidden="1" customHeight="1">
      <c r="A267" s="4"/>
      <c r="B267" s="126"/>
      <c r="C267" s="43"/>
      <c r="D267" s="39"/>
      <c r="E267" s="56"/>
      <c r="F267" s="60"/>
      <c r="G267" s="52"/>
      <c r="H267" s="54"/>
      <c r="I267" s="41"/>
      <c r="J267" s="122"/>
      <c r="K267" s="42"/>
      <c r="L267" s="42"/>
      <c r="M267" s="32"/>
      <c r="N267" s="35"/>
      <c r="O267" s="36">
        <v>0</v>
      </c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165"/>
      <c r="BP267" s="165"/>
      <c r="BQ267" s="165"/>
      <c r="BR267" s="165"/>
      <c r="BS267" s="165"/>
      <c r="BT267" s="165"/>
      <c r="BU267" s="165"/>
      <c r="BV267" s="55"/>
      <c r="BW267" s="160"/>
      <c r="BX267" s="32"/>
      <c r="BY267" s="24"/>
      <c r="BZ267" s="24"/>
      <c r="CA267" s="24"/>
      <c r="CB267" s="24"/>
      <c r="CC267" s="24"/>
      <c r="CD267" s="24"/>
      <c r="CE267" s="24"/>
    </row>
    <row r="268" spans="1:83" ht="15" customHeight="1">
      <c r="A268" s="4"/>
      <c r="B268" s="318">
        <f>CENY!B644</f>
        <v>9318215</v>
      </c>
      <c r="C268" s="43" t="str">
        <f>VLOOKUP(B268,CENY!$B$11:$G$1054,2,FALSE)</f>
        <v>Actro You(XL) 450/SiSy 70kg; EB21</v>
      </c>
      <c r="D268" s="364">
        <f>VLOOKUP(B268,CENY!$B$11:$G$1054,3,FALSE)</f>
        <v>1</v>
      </c>
      <c r="E268" s="56" t="str">
        <f>IF(VLOOKUP(B268,CENY!$B$11:$G$1054,4,FALSE)=0,"",VLOOKUP(B268,CENY!$B$11:$G$1054,4,FALSE))</f>
        <v/>
      </c>
      <c r="F268" s="40" t="str">
        <f t="shared" ref="F268:F282" si="60">IF(J268&lt;&gt;"",J268,IF(N268=0,"",N268))</f>
        <v/>
      </c>
      <c r="G268" s="52">
        <f>VLOOKUP(B268,CENY!$B$11:$M$1054,12,FALSE)</f>
        <v>7.9265800000000004</v>
      </c>
      <c r="H268" s="54" t="str">
        <f t="shared" si="55"/>
        <v xml:space="preserve"> EUR</v>
      </c>
      <c r="I268" s="41" t="str">
        <f t="shared" si="56"/>
        <v/>
      </c>
      <c r="J268" s="122"/>
      <c r="K268" s="42" t="str">
        <f>VLOOKUP(B268,CENY!$B$11:$M$1054,8,FALSE)</f>
        <v xml:space="preserve"> </v>
      </c>
      <c r="L268" s="42" t="str">
        <f>VLOOKUP(B268,CENY!$B$11:$M$1054,9,FALSE)</f>
        <v>503827</v>
      </c>
      <c r="M268" s="32"/>
      <c r="N268" s="35">
        <f t="shared" ref="N268:N282" si="61">SUM(P268:BW268)</f>
        <v>0</v>
      </c>
      <c r="O268" s="36">
        <v>0</v>
      </c>
      <c r="P268" s="325">
        <f>'AVT101'!AZ38</f>
        <v>0</v>
      </c>
      <c r="Q268" s="32"/>
      <c r="R268" s="325">
        <f>'AVT139'!AZ38</f>
        <v>0</v>
      </c>
      <c r="S268" s="32"/>
      <c r="T268" s="325">
        <f>'AVT187'!AZ38</f>
        <v>0</v>
      </c>
      <c r="U268" s="32"/>
      <c r="V268" s="325">
        <f>'AVT251'!AZ30</f>
        <v>0</v>
      </c>
      <c r="W268" s="32"/>
      <c r="X268" s="325">
        <f>AVT187In!AZ30</f>
        <v>0</v>
      </c>
      <c r="Y268" s="32"/>
      <c r="Z268" s="325">
        <f>'AVT101(vn-A)'!AZ38</f>
        <v>0</v>
      </c>
      <c r="AA268" s="32"/>
      <c r="AB268" s="325">
        <f>'AVT139(vn-A)'!AZ38</f>
        <v>0</v>
      </c>
      <c r="AC268" s="32"/>
      <c r="AD268" s="325">
        <f>'AVT187(vn-A)'!AZ38</f>
        <v>0</v>
      </c>
      <c r="AE268" s="32"/>
      <c r="AF268" s="325">
        <f>'AVT187In(vn-A)'!AZ30</f>
        <v>0</v>
      </c>
      <c r="AG268" s="32"/>
      <c r="AH268" s="325">
        <f>'AVT187(vn-S)'!AZ38</f>
        <v>0</v>
      </c>
      <c r="AI268" s="32"/>
      <c r="AJ268" s="325">
        <f>'AVT187In(vn-S)'!AZ30</f>
        <v>0</v>
      </c>
      <c r="AK268" s="32"/>
      <c r="AL268" s="325">
        <f>'AVT77'!AZ20</f>
        <v>0</v>
      </c>
      <c r="AM268" s="32"/>
      <c r="AN268" s="325">
        <f>'AVT-celny-101+187'!AZ44</f>
        <v>0</v>
      </c>
      <c r="AO268" s="32"/>
      <c r="AP268" s="325">
        <f>'AVT-celny-139+187'!AZ37</f>
        <v>0</v>
      </c>
      <c r="AQ268" s="32"/>
      <c r="AR268" s="325">
        <f>'AVT-celny-2x187'!AZ34</f>
        <v>0</v>
      </c>
      <c r="AS268" s="32"/>
      <c r="AT268" s="325">
        <f>'AVT-celny-2x187In'!AZ28</f>
        <v>0</v>
      </c>
      <c r="AU268" s="32"/>
      <c r="AV268" s="325">
        <f>'potr-v101+187'!AZ44</f>
        <v>0</v>
      </c>
      <c r="AW268" s="32"/>
      <c r="AX268" s="325">
        <f>'potr-v101+187-IL'!AZ44</f>
        <v>0</v>
      </c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165"/>
      <c r="BP268" s="165"/>
      <c r="BQ268" s="165"/>
      <c r="BR268" s="165"/>
      <c r="BS268" s="165"/>
      <c r="BT268" s="165"/>
      <c r="BU268" s="165"/>
      <c r="BV268" s="55"/>
      <c r="BW268" s="160"/>
      <c r="BX268" s="32"/>
      <c r="BY268" s="24"/>
      <c r="BZ268" s="24"/>
      <c r="CA268" s="24"/>
      <c r="CB268" s="24"/>
      <c r="CC268" s="24"/>
      <c r="CD268" s="24"/>
      <c r="CE268" s="24"/>
    </row>
    <row r="269" spans="1:83" ht="15" hidden="1" customHeight="1">
      <c r="A269" s="4"/>
      <c r="B269" s="318">
        <f>CENY!B645</f>
        <v>9318216</v>
      </c>
      <c r="C269" s="43" t="str">
        <f>VLOOKUP(B269,CENY!$B$11:$G$1054,2,FALSE)</f>
        <v>Actro You(XL) 500/SiSy 70kg; EB21</v>
      </c>
      <c r="D269" s="364">
        <f>VLOOKUP(B269,CENY!$B$11:$G$1054,3,FALSE)</f>
        <v>1</v>
      </c>
      <c r="E269" s="56" t="str">
        <f>IF(VLOOKUP(B269,CENY!$B$11:$G$1054,4,FALSE)=0,"",VLOOKUP(B269,CENY!$B$11:$G$1054,4,FALSE))</f>
        <v/>
      </c>
      <c r="F269" s="40" t="str">
        <f t="shared" si="60"/>
        <v/>
      </c>
      <c r="G269" s="52">
        <f>VLOOKUP(B269,CENY!$B$11:$M$1054,12,FALSE)</f>
        <v>39.622210000000003</v>
      </c>
      <c r="H269" s="54" t="str">
        <f t="shared" si="55"/>
        <v xml:space="preserve"> EUR</v>
      </c>
      <c r="I269" s="41" t="str">
        <f t="shared" si="56"/>
        <v/>
      </c>
      <c r="J269" s="122"/>
      <c r="K269" s="42" t="str">
        <f>VLOOKUP(B269,CENY!$B$11:$M$1054,8,FALSE)</f>
        <v xml:space="preserve"> </v>
      </c>
      <c r="L269" s="42" t="str">
        <f>VLOOKUP(B269,CENY!$B$11:$M$1054,9,FALSE)</f>
        <v>422189</v>
      </c>
      <c r="M269" s="32"/>
      <c r="N269" s="35">
        <f t="shared" si="61"/>
        <v>0</v>
      </c>
      <c r="O269" s="36">
        <v>0</v>
      </c>
      <c r="P269" s="325">
        <f>'AVT101'!AZ39</f>
        <v>0</v>
      </c>
      <c r="Q269" s="32"/>
      <c r="R269" s="325">
        <f>'AVT139'!AZ39</f>
        <v>0</v>
      </c>
      <c r="S269" s="32"/>
      <c r="T269" s="325">
        <f>'AVT187'!AZ39</f>
        <v>0</v>
      </c>
      <c r="U269" s="32"/>
      <c r="V269" s="325">
        <f>'AVT251'!AZ31</f>
        <v>0</v>
      </c>
      <c r="W269" s="32"/>
      <c r="X269" s="325">
        <f>AVT187In!AZ31</f>
        <v>0</v>
      </c>
      <c r="Y269" s="32"/>
      <c r="Z269" s="325">
        <f>'AVT101(vn-A)'!AZ39</f>
        <v>0</v>
      </c>
      <c r="AA269" s="32"/>
      <c r="AB269" s="325">
        <f>'AVT139(vn-A)'!AZ39</f>
        <v>0</v>
      </c>
      <c r="AC269" s="32"/>
      <c r="AD269" s="325">
        <f>'AVT187(vn-A)'!AZ39</f>
        <v>0</v>
      </c>
      <c r="AE269" s="32"/>
      <c r="AF269" s="325">
        <f>'AVT187In(vn-A)'!AZ31</f>
        <v>0</v>
      </c>
      <c r="AG269" s="32"/>
      <c r="AH269" s="325">
        <f>'AVT187(vn-S)'!AZ39</f>
        <v>0</v>
      </c>
      <c r="AI269" s="32"/>
      <c r="AJ269" s="325">
        <f>'AVT187In(vn-S)'!AZ31</f>
        <v>0</v>
      </c>
      <c r="AK269" s="32"/>
      <c r="AL269" s="325">
        <f>'AVT77'!AZ21</f>
        <v>0</v>
      </c>
      <c r="AM269" s="32"/>
      <c r="AN269" s="325">
        <f>'AVT-celny-101+187'!AZ45</f>
        <v>0</v>
      </c>
      <c r="AO269" s="32"/>
      <c r="AP269" s="325">
        <f>'AVT-celny-139+187'!AZ38</f>
        <v>0</v>
      </c>
      <c r="AQ269" s="32"/>
      <c r="AR269" s="325">
        <f>'AVT-celny-2x187'!AZ35</f>
        <v>0</v>
      </c>
      <c r="AS269" s="32"/>
      <c r="AT269" s="325">
        <f>'AVT-celny-2x187In'!AZ29</f>
        <v>0</v>
      </c>
      <c r="AU269" s="32"/>
      <c r="AV269" s="325">
        <f>'potr-v101+187'!AZ45</f>
        <v>0</v>
      </c>
      <c r="AW269" s="32"/>
      <c r="AX269" s="325">
        <f>'potr-v101+187-IL'!AZ45</f>
        <v>0</v>
      </c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165"/>
      <c r="BP269" s="165"/>
      <c r="BQ269" s="165"/>
      <c r="BR269" s="165"/>
      <c r="BS269" s="165"/>
      <c r="BT269" s="165"/>
      <c r="BU269" s="165"/>
      <c r="BV269" s="55"/>
      <c r="BW269" s="160"/>
      <c r="BX269" s="32"/>
      <c r="BY269" s="24"/>
      <c r="BZ269" s="24"/>
      <c r="CA269" s="24"/>
      <c r="CB269" s="24"/>
      <c r="CC269" s="24"/>
      <c r="CD269" s="24"/>
      <c r="CE269" s="24"/>
    </row>
    <row r="270" spans="1:83" ht="15" hidden="1" customHeight="1">
      <c r="A270" s="4"/>
      <c r="B270" s="318">
        <f>CENY!B646</f>
        <v>9318217</v>
      </c>
      <c r="C270" s="43" t="str">
        <f>VLOOKUP(B270,CENY!$B$11:$G$1054,2,FALSE)</f>
        <v>Actro You(XL) 550/SiSy 70kg; EB21</v>
      </c>
      <c r="D270" s="364">
        <f>VLOOKUP(B270,CENY!$B$11:$G$1054,3,FALSE)</f>
        <v>1</v>
      </c>
      <c r="E270" s="56" t="str">
        <f>IF(VLOOKUP(B270,CENY!$B$11:$G$1054,4,FALSE)=0,"",VLOOKUP(B270,CENY!$B$11:$G$1054,4,FALSE))</f>
        <v/>
      </c>
      <c r="F270" s="40" t="str">
        <f t="shared" si="60"/>
        <v/>
      </c>
      <c r="G270" s="52">
        <f>VLOOKUP(B270,CENY!$B$11:$M$1054,12,FALSE)</f>
        <v>41.504899999999999</v>
      </c>
      <c r="H270" s="54" t="str">
        <f t="shared" si="55"/>
        <v xml:space="preserve"> EUR</v>
      </c>
      <c r="I270" s="41" t="str">
        <f t="shared" si="56"/>
        <v/>
      </c>
      <c r="J270" s="122"/>
      <c r="K270" s="42" t="str">
        <f>VLOOKUP(B270,CENY!$B$11:$M$1054,8,FALSE)</f>
        <v xml:space="preserve"> </v>
      </c>
      <c r="L270" s="42" t="str">
        <f>VLOOKUP(B270,CENY!$B$11:$M$1054,9,FALSE)</f>
        <v>518538</v>
      </c>
      <c r="M270" s="32"/>
      <c r="N270" s="35">
        <f t="shared" si="61"/>
        <v>0</v>
      </c>
      <c r="O270" s="36">
        <v>0</v>
      </c>
      <c r="P270" s="325">
        <f>'AVT101'!AZ40</f>
        <v>0</v>
      </c>
      <c r="Q270" s="32"/>
      <c r="R270" s="325">
        <f>'AVT139'!AZ40</f>
        <v>0</v>
      </c>
      <c r="S270" s="32"/>
      <c r="T270" s="325">
        <f>'AVT187'!AZ40</f>
        <v>0</v>
      </c>
      <c r="U270" s="32"/>
      <c r="V270" s="325">
        <f>'AVT251'!AZ32</f>
        <v>0</v>
      </c>
      <c r="W270" s="32"/>
      <c r="X270" s="325">
        <f>AVT187In!AZ32</f>
        <v>0</v>
      </c>
      <c r="Y270" s="32"/>
      <c r="Z270" s="325">
        <f>'AVT101(vn-A)'!AZ40</f>
        <v>0</v>
      </c>
      <c r="AA270" s="32"/>
      <c r="AB270" s="325">
        <f>'AVT139(vn-A)'!AZ40</f>
        <v>0</v>
      </c>
      <c r="AC270" s="32"/>
      <c r="AD270" s="325">
        <f>'AVT187(vn-A)'!AZ40</f>
        <v>0</v>
      </c>
      <c r="AE270" s="32"/>
      <c r="AF270" s="325">
        <f>'AVT187In(vn-A)'!AZ32</f>
        <v>0</v>
      </c>
      <c r="AG270" s="32"/>
      <c r="AH270" s="325">
        <f>'AVT187(vn-S)'!AZ40</f>
        <v>0</v>
      </c>
      <c r="AI270" s="32"/>
      <c r="AJ270" s="325">
        <f>'AVT187In(vn-S)'!AZ32</f>
        <v>0</v>
      </c>
      <c r="AK270" s="32"/>
      <c r="AL270" s="325">
        <f>'AVT77'!AZ22</f>
        <v>0</v>
      </c>
      <c r="AM270" s="32"/>
      <c r="AN270" s="325">
        <f>'AVT-celny-101+187'!AZ46</f>
        <v>0</v>
      </c>
      <c r="AO270" s="32"/>
      <c r="AP270" s="325">
        <f>'AVT-celny-139+187'!AZ39</f>
        <v>0</v>
      </c>
      <c r="AQ270" s="32"/>
      <c r="AR270" s="325">
        <f>'AVT-celny-2x187'!AZ36</f>
        <v>0</v>
      </c>
      <c r="AS270" s="32"/>
      <c r="AT270" s="325">
        <f>'AVT-celny-2x187In'!AZ30</f>
        <v>0</v>
      </c>
      <c r="AU270" s="32"/>
      <c r="AV270" s="325">
        <f>'potr-v101+187'!AZ46</f>
        <v>0</v>
      </c>
      <c r="AW270" s="32"/>
      <c r="AX270" s="325">
        <f>'potr-v101+187-IL'!AZ46</f>
        <v>0</v>
      </c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165"/>
      <c r="BP270" s="165"/>
      <c r="BQ270" s="165"/>
      <c r="BR270" s="165"/>
      <c r="BS270" s="165"/>
      <c r="BT270" s="165"/>
      <c r="BU270" s="165"/>
      <c r="BV270" s="55"/>
      <c r="BW270" s="160"/>
      <c r="BX270" s="32"/>
      <c r="BY270" s="24"/>
      <c r="BZ270" s="24"/>
      <c r="CA270" s="24"/>
      <c r="CB270" s="24"/>
      <c r="CC270" s="24"/>
      <c r="CD270" s="24"/>
      <c r="CE270" s="24"/>
    </row>
    <row r="271" spans="1:83" ht="15" hidden="1" customHeight="1">
      <c r="A271" s="4"/>
      <c r="B271" s="318">
        <f>CENY!B647</f>
        <v>9318218</v>
      </c>
      <c r="C271" s="43" t="str">
        <f>VLOOKUP(B271,CENY!$B$11:$G$1054,2,FALSE)</f>
        <v>Actro You(XL) 600/SiSy 70kg; EB21</v>
      </c>
      <c r="D271" s="364">
        <f>VLOOKUP(B271,CENY!$B$11:$G$1054,3,FALSE)</f>
        <v>1</v>
      </c>
      <c r="E271" s="56" t="str">
        <f>IF(VLOOKUP(B271,CENY!$B$11:$G$1054,4,FALSE)=0,"",VLOOKUP(B271,CENY!$B$11:$G$1054,4,FALSE))</f>
        <v/>
      </c>
      <c r="F271" s="40" t="str">
        <f t="shared" si="60"/>
        <v/>
      </c>
      <c r="G271" s="52">
        <f>VLOOKUP(B271,CENY!$B$11:$M$1054,12,FALSE)</f>
        <v>45.308109999999999</v>
      </c>
      <c r="H271" s="54" t="str">
        <f t="shared" si="55"/>
        <v xml:space="preserve"> EUR</v>
      </c>
      <c r="I271" s="41" t="str">
        <f t="shared" si="56"/>
        <v/>
      </c>
      <c r="J271" s="122"/>
      <c r="K271" s="42" t="str">
        <f>VLOOKUP(B271,CENY!$B$11:$M$1054,8,FALSE)</f>
        <v xml:space="preserve"> </v>
      </c>
      <c r="L271" s="42" t="str">
        <f>VLOOKUP(B271,CENY!$B$11:$M$1054,9,FALSE)</f>
        <v>462510</v>
      </c>
      <c r="M271" s="32"/>
      <c r="N271" s="35">
        <f t="shared" si="61"/>
        <v>0</v>
      </c>
      <c r="O271" s="36">
        <v>0</v>
      </c>
      <c r="P271" s="325">
        <f>'AVT101'!AZ41</f>
        <v>0</v>
      </c>
      <c r="Q271" s="32"/>
      <c r="R271" s="325">
        <f>'AVT139'!AZ41</f>
        <v>0</v>
      </c>
      <c r="S271" s="32"/>
      <c r="T271" s="325">
        <f>'AVT187'!AZ41</f>
        <v>0</v>
      </c>
      <c r="U271" s="32"/>
      <c r="V271" s="325">
        <f>'AVT251'!AZ33</f>
        <v>0</v>
      </c>
      <c r="W271" s="32"/>
      <c r="X271" s="325">
        <f>AVT187In!AZ33</f>
        <v>0</v>
      </c>
      <c r="Y271" s="32"/>
      <c r="Z271" s="325">
        <f>'AVT101(vn-A)'!AZ41</f>
        <v>0</v>
      </c>
      <c r="AA271" s="32"/>
      <c r="AB271" s="325">
        <f>'AVT139(vn-A)'!AZ41</f>
        <v>0</v>
      </c>
      <c r="AC271" s="32"/>
      <c r="AD271" s="325">
        <f>'AVT187(vn-A)'!AZ41</f>
        <v>0</v>
      </c>
      <c r="AE271" s="32"/>
      <c r="AF271" s="325">
        <f>'AVT187In(vn-A)'!AZ33</f>
        <v>0</v>
      </c>
      <c r="AG271" s="32"/>
      <c r="AH271" s="325">
        <f>'AVT187(vn-S)'!AZ41</f>
        <v>0</v>
      </c>
      <c r="AI271" s="32"/>
      <c r="AJ271" s="325">
        <f>'AVT187In(vn-S)'!AZ33</f>
        <v>0</v>
      </c>
      <c r="AK271" s="32"/>
      <c r="AL271" s="32"/>
      <c r="AM271" s="32"/>
      <c r="AN271" s="325">
        <f>'AVT-celny-101+187'!AZ47</f>
        <v>0</v>
      </c>
      <c r="AO271" s="32"/>
      <c r="AP271" s="325">
        <f>'AVT-celny-139+187'!AZ40</f>
        <v>0</v>
      </c>
      <c r="AQ271" s="32"/>
      <c r="AR271" s="325">
        <f>'AVT-celny-2x187'!AZ37</f>
        <v>0</v>
      </c>
      <c r="AS271" s="32"/>
      <c r="AT271" s="325">
        <f>'AVT-celny-2x187In'!AZ31</f>
        <v>0</v>
      </c>
      <c r="AU271" s="32"/>
      <c r="AV271" s="325">
        <f>'potr-v101+187'!AZ47</f>
        <v>0</v>
      </c>
      <c r="AW271" s="32"/>
      <c r="AX271" s="325">
        <f>'potr-v101+187-IL'!AZ47</f>
        <v>0</v>
      </c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  <c r="BO271" s="165"/>
      <c r="BP271" s="165"/>
      <c r="BQ271" s="165"/>
      <c r="BR271" s="165"/>
      <c r="BS271" s="165"/>
      <c r="BT271" s="165"/>
      <c r="BU271" s="165"/>
      <c r="BV271" s="55"/>
      <c r="BW271" s="160"/>
      <c r="BX271" s="32"/>
      <c r="BY271" s="24"/>
      <c r="BZ271" s="24"/>
      <c r="CA271" s="24"/>
      <c r="CB271" s="24"/>
      <c r="CC271" s="24"/>
      <c r="CD271" s="24"/>
      <c r="CE271" s="24"/>
    </row>
    <row r="272" spans="1:83" ht="15" hidden="1" customHeight="1">
      <c r="A272" s="4"/>
      <c r="B272" s="318">
        <f>CENY!B648</f>
        <v>9318219</v>
      </c>
      <c r="C272" s="43" t="str">
        <f>VLOOKUP(B272,CENY!$B$11:$G$1054,2,FALSE)</f>
        <v>Actro You(XL) 650/SiSy 70kg; EB21</v>
      </c>
      <c r="D272" s="364">
        <f>VLOOKUP(B272,CENY!$B$11:$G$1054,3,FALSE)</f>
        <v>1</v>
      </c>
      <c r="E272" s="56" t="str">
        <f>IF(VLOOKUP(B272,CENY!$B$11:$G$1054,4,FALSE)=0,"",VLOOKUP(B272,CENY!$B$11:$G$1054,4,FALSE))</f>
        <v/>
      </c>
      <c r="F272" s="40" t="str">
        <f t="shared" si="60"/>
        <v/>
      </c>
      <c r="G272" s="52">
        <f>VLOOKUP(B272,CENY!$B$11:$M$1054,12,FALSE)</f>
        <v>47.02431</v>
      </c>
      <c r="H272" s="54" t="str">
        <f t="shared" si="55"/>
        <v xml:space="preserve"> EUR</v>
      </c>
      <c r="I272" s="41" t="str">
        <f t="shared" si="56"/>
        <v/>
      </c>
      <c r="J272" s="122"/>
      <c r="K272" s="42" t="str">
        <f>VLOOKUP(B272,CENY!$B$11:$M$1054,8,FALSE)</f>
        <v xml:space="preserve"> </v>
      </c>
      <c r="L272" s="42" t="str">
        <f>VLOOKUP(B272,CENY!$B$11:$M$1054,9,FALSE)</f>
        <v>518543</v>
      </c>
      <c r="M272" s="32"/>
      <c r="N272" s="35">
        <f t="shared" si="61"/>
        <v>0</v>
      </c>
      <c r="O272" s="36">
        <v>0</v>
      </c>
      <c r="P272" s="325">
        <f>'AVT101'!AZ42</f>
        <v>0</v>
      </c>
      <c r="Q272" s="32"/>
      <c r="R272" s="325">
        <f>'AVT139'!AZ42</f>
        <v>0</v>
      </c>
      <c r="S272" s="32"/>
      <c r="T272" s="325">
        <f>'AVT187'!AZ42</f>
        <v>0</v>
      </c>
      <c r="U272" s="32"/>
      <c r="V272" s="325">
        <f>'AVT251'!AZ34</f>
        <v>0</v>
      </c>
      <c r="W272" s="32"/>
      <c r="X272" s="325">
        <f>AVT187In!AZ34</f>
        <v>0</v>
      </c>
      <c r="Y272" s="32"/>
      <c r="Z272" s="325">
        <f>'AVT101(vn-A)'!AZ42</f>
        <v>0</v>
      </c>
      <c r="AA272" s="32"/>
      <c r="AB272" s="32"/>
      <c r="AC272" s="32"/>
      <c r="AD272" s="325">
        <f>'AVT187(vn-A)'!AZ42</f>
        <v>0</v>
      </c>
      <c r="AE272" s="32"/>
      <c r="AF272" s="325">
        <f>'AVT187In(vn-A)'!AZ34</f>
        <v>0</v>
      </c>
      <c r="AG272" s="32"/>
      <c r="AH272" s="325">
        <f>'AVT187(vn-S)'!AZ42</f>
        <v>0</v>
      </c>
      <c r="AI272" s="32"/>
      <c r="AJ272" s="325">
        <f>'AVT187In(vn-S)'!AZ34</f>
        <v>0</v>
      </c>
      <c r="AK272" s="32"/>
      <c r="AL272" s="32"/>
      <c r="AM272" s="32"/>
      <c r="AN272" s="325">
        <f>'AVT-celny-101+187'!AZ48</f>
        <v>0</v>
      </c>
      <c r="AO272" s="32"/>
      <c r="AP272" s="32"/>
      <c r="AQ272" s="32"/>
      <c r="AR272" s="325">
        <f>'AVT-celny-2x187'!AZ38</f>
        <v>0</v>
      </c>
      <c r="AS272" s="32"/>
      <c r="AT272" s="325">
        <f>'AVT-celny-2x187In'!AZ32</f>
        <v>0</v>
      </c>
      <c r="AU272" s="32"/>
      <c r="AV272" s="325">
        <f>'potr-v101+187'!AZ48</f>
        <v>0</v>
      </c>
      <c r="AW272" s="32"/>
      <c r="AX272" s="325">
        <f>'potr-v101+187-IL'!AZ48</f>
        <v>0</v>
      </c>
      <c r="AY272" s="32"/>
      <c r="AZ272" s="32"/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  <c r="BO272" s="165"/>
      <c r="BP272" s="165"/>
      <c r="BQ272" s="165"/>
      <c r="BR272" s="165"/>
      <c r="BS272" s="165"/>
      <c r="BT272" s="165"/>
      <c r="BU272" s="165"/>
      <c r="BV272" s="55"/>
      <c r="BW272" s="160"/>
      <c r="BX272" s="32"/>
      <c r="BY272" s="24"/>
      <c r="BZ272" s="24"/>
      <c r="CA272" s="24"/>
      <c r="CB272" s="24"/>
      <c r="CC272" s="24"/>
      <c r="CD272" s="24"/>
      <c r="CE272" s="24"/>
    </row>
    <row r="273" spans="1:83" ht="15" hidden="1" customHeight="1">
      <c r="A273" s="4"/>
      <c r="B273" s="318">
        <f>CENY!B649</f>
        <v>9318198</v>
      </c>
      <c r="C273" s="43" t="str">
        <f>VLOOKUP(B273,CENY!$B$11:$G$1054,2,FALSE)</f>
        <v>Actro You(XL) 450/SiSy 70kg; EB21; ľavý</v>
      </c>
      <c r="D273" s="353">
        <f>VLOOKUP(B273,CENY!$B$11:$G$1054,3,FALSE)</f>
        <v>10</v>
      </c>
      <c r="E273" s="56" t="str">
        <f>IF(VLOOKUP(B273,CENY!$B$11:$G$1054,4,FALSE)=0,"",VLOOKUP(B273,CENY!$B$11:$G$1054,4,FALSE))</f>
        <v/>
      </c>
      <c r="F273" s="40" t="str">
        <f t="shared" si="60"/>
        <v/>
      </c>
      <c r="G273" s="52" t="e">
        <f>VLOOKUP(B273,CENY!$B$11:$M$1054,12,FALSE)</f>
        <v>#N/A</v>
      </c>
      <c r="H273" s="54" t="e">
        <f t="shared" si="55"/>
        <v>#N/A</v>
      </c>
      <c r="I273" s="41" t="str">
        <f t="shared" si="56"/>
        <v/>
      </c>
      <c r="J273" s="122"/>
      <c r="K273" s="42" t="str">
        <f>VLOOKUP(B273,CENY!$B$11:$M$1054,8,FALSE)</f>
        <v xml:space="preserve"> </v>
      </c>
      <c r="L273" s="42">
        <f>VLOOKUP(B273,CENY!$B$11:$M$1054,9,FALSE)</f>
        <v>397791</v>
      </c>
      <c r="M273" s="32"/>
      <c r="N273" s="35">
        <f t="shared" si="61"/>
        <v>0</v>
      </c>
      <c r="O273" s="36">
        <v>0</v>
      </c>
      <c r="P273" s="32"/>
      <c r="Q273" s="325">
        <f>'AVT101'!BI61</f>
        <v>0</v>
      </c>
      <c r="R273" s="32"/>
      <c r="S273" s="325">
        <f>'AVT139'!BI61</f>
        <v>0</v>
      </c>
      <c r="T273" s="32"/>
      <c r="U273" s="325">
        <f>'AVT187'!BI61</f>
        <v>0</v>
      </c>
      <c r="V273" s="32"/>
      <c r="W273" s="325">
        <f>'AVT251'!BI48</f>
        <v>0</v>
      </c>
      <c r="X273" s="32"/>
      <c r="Y273" s="325">
        <f>AVT187In!BI47</f>
        <v>0</v>
      </c>
      <c r="Z273" s="32"/>
      <c r="AA273" s="325">
        <f>'AVT101(vn-A)'!BI61</f>
        <v>0</v>
      </c>
      <c r="AB273" s="32"/>
      <c r="AC273" s="325">
        <f>'AVT139(vn-A)'!BI61</f>
        <v>0</v>
      </c>
      <c r="AD273" s="32"/>
      <c r="AE273" s="325">
        <f>'AVT187(vn-A)'!BI61</f>
        <v>0</v>
      </c>
      <c r="AF273" s="32"/>
      <c r="AG273" s="325">
        <f>'AVT187In(vn-A)'!BI47</f>
        <v>0</v>
      </c>
      <c r="AH273" s="32"/>
      <c r="AI273" s="325">
        <f>'AVT187(vn-S)'!BI61</f>
        <v>0</v>
      </c>
      <c r="AJ273" s="32"/>
      <c r="AK273" s="325">
        <f>'AVT187In(vn-S)'!BI47</f>
        <v>0</v>
      </c>
      <c r="AL273" s="32"/>
      <c r="AM273" s="325">
        <f>'AVT77'!BI31</f>
        <v>0</v>
      </c>
      <c r="AN273" s="32"/>
      <c r="AO273" s="325">
        <f>'AVT-celny-101+187'!BI74</f>
        <v>0</v>
      </c>
      <c r="AP273" s="32"/>
      <c r="AQ273" s="325">
        <f>'AVT-celny-139+187'!BI62</f>
        <v>0</v>
      </c>
      <c r="AR273" s="32"/>
      <c r="AS273" s="325">
        <f>'AVT-celny-2x187'!BI54</f>
        <v>0</v>
      </c>
      <c r="AT273" s="32"/>
      <c r="AU273" s="325">
        <f>'AVT-celny-2x187In'!BI44</f>
        <v>0</v>
      </c>
      <c r="AV273" s="32"/>
      <c r="AW273" s="325">
        <f>'potr-v101+187'!BI75</f>
        <v>0</v>
      </c>
      <c r="AX273" s="32"/>
      <c r="AY273" s="325">
        <f>'potr-v101+187-IL'!BI75</f>
        <v>0</v>
      </c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165"/>
      <c r="BP273" s="165"/>
      <c r="BQ273" s="165"/>
      <c r="BR273" s="165"/>
      <c r="BS273" s="165"/>
      <c r="BT273" s="165"/>
      <c r="BU273" s="165"/>
      <c r="BV273" s="55"/>
      <c r="BW273" s="160"/>
      <c r="BX273" s="32"/>
      <c r="BY273" s="24"/>
      <c r="BZ273" s="24"/>
      <c r="CA273" s="24"/>
      <c r="CB273" s="24"/>
      <c r="CC273" s="24"/>
      <c r="CD273" s="24"/>
      <c r="CE273" s="24"/>
    </row>
    <row r="274" spans="1:83" ht="15" hidden="1" customHeight="1">
      <c r="A274" s="4"/>
      <c r="B274" s="318">
        <f>CENY!B650</f>
        <v>9318199</v>
      </c>
      <c r="C274" s="43" t="str">
        <f>VLOOKUP(B274,CENY!$B$11:$G$1054,2,FALSE)</f>
        <v>Actro You(XL) 450/SiSy 70kg; EB21; pravý</v>
      </c>
      <c r="D274" s="353">
        <f>VLOOKUP(B274,CENY!$B$11:$G$1054,3,FALSE)</f>
        <v>10</v>
      </c>
      <c r="E274" s="56" t="str">
        <f>IF(VLOOKUP(B274,CENY!$B$11:$G$1054,4,FALSE)=0,"",VLOOKUP(B274,CENY!$B$11:$G$1054,4,FALSE))</f>
        <v/>
      </c>
      <c r="F274" s="40" t="str">
        <f t="shared" si="60"/>
        <v/>
      </c>
      <c r="G274" s="52" t="e">
        <f>VLOOKUP(B274,CENY!$B$11:$M$1054,12,FALSE)</f>
        <v>#N/A</v>
      </c>
      <c r="H274" s="54" t="e">
        <f t="shared" si="55"/>
        <v>#N/A</v>
      </c>
      <c r="I274" s="41" t="str">
        <f t="shared" si="56"/>
        <v/>
      </c>
      <c r="J274" s="122"/>
      <c r="K274" s="42" t="str">
        <f>VLOOKUP(B274,CENY!$B$11:$M$1054,8,FALSE)</f>
        <v xml:space="preserve"> </v>
      </c>
      <c r="L274" s="42">
        <f>VLOOKUP(B274,CENY!$B$11:$M$1054,9,FALSE)</f>
        <v>397792</v>
      </c>
      <c r="M274" s="32"/>
      <c r="N274" s="35">
        <f t="shared" si="61"/>
        <v>0</v>
      </c>
      <c r="O274" s="36">
        <v>0</v>
      </c>
      <c r="P274" s="32"/>
      <c r="Q274" s="325">
        <f>'AVT101'!BI62</f>
        <v>0</v>
      </c>
      <c r="R274" s="32"/>
      <c r="S274" s="325">
        <f>'AVT139'!BI62</f>
        <v>0</v>
      </c>
      <c r="T274" s="32"/>
      <c r="U274" s="325">
        <f>'AVT187'!BI62</f>
        <v>0</v>
      </c>
      <c r="V274" s="32"/>
      <c r="W274" s="325">
        <f>'AVT251'!BI49</f>
        <v>0</v>
      </c>
      <c r="X274" s="32"/>
      <c r="Y274" s="325">
        <f>AVT187In!BI48</f>
        <v>0</v>
      </c>
      <c r="Z274" s="32"/>
      <c r="AA274" s="325">
        <f>'AVT101(vn-A)'!BI62</f>
        <v>0</v>
      </c>
      <c r="AB274" s="32"/>
      <c r="AC274" s="325">
        <f>'AVT139(vn-A)'!BI62</f>
        <v>0</v>
      </c>
      <c r="AD274" s="32"/>
      <c r="AE274" s="325">
        <f>'AVT187(vn-A)'!BI62</f>
        <v>0</v>
      </c>
      <c r="AF274" s="32"/>
      <c r="AG274" s="325">
        <f>'AVT187In(vn-A)'!BI48</f>
        <v>0</v>
      </c>
      <c r="AH274" s="32"/>
      <c r="AI274" s="325">
        <f>'AVT187(vn-S)'!BI62</f>
        <v>0</v>
      </c>
      <c r="AJ274" s="32"/>
      <c r="AK274" s="325">
        <f>'AVT187In(vn-S)'!BI48</f>
        <v>0</v>
      </c>
      <c r="AL274" s="32"/>
      <c r="AM274" s="325">
        <f>'AVT77'!BI32</f>
        <v>0</v>
      </c>
      <c r="AN274" s="32"/>
      <c r="AO274" s="325">
        <f>'AVT-celny-101+187'!BI75</f>
        <v>0</v>
      </c>
      <c r="AP274" s="32"/>
      <c r="AQ274" s="325">
        <f>'AVT-celny-139+187'!BI63</f>
        <v>0</v>
      </c>
      <c r="AR274" s="32"/>
      <c r="AS274" s="325">
        <f>'AVT-celny-2x187'!BI55</f>
        <v>0</v>
      </c>
      <c r="AT274" s="32"/>
      <c r="AU274" s="325">
        <f>'AVT-celny-2x187In'!BI45</f>
        <v>0</v>
      </c>
      <c r="AV274" s="32"/>
      <c r="AW274" s="325">
        <f>'potr-v101+187'!BI76</f>
        <v>0</v>
      </c>
      <c r="AX274" s="32"/>
      <c r="AY274" s="325">
        <f>'potr-v101+187-IL'!BI76</f>
        <v>0</v>
      </c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165"/>
      <c r="BP274" s="165"/>
      <c r="BQ274" s="165"/>
      <c r="BR274" s="165"/>
      <c r="BS274" s="165"/>
      <c r="BT274" s="165"/>
      <c r="BU274" s="165"/>
      <c r="BV274" s="55"/>
      <c r="BW274" s="160"/>
      <c r="BX274" s="32"/>
      <c r="BY274" s="24"/>
      <c r="BZ274" s="24"/>
      <c r="CA274" s="24"/>
      <c r="CB274" s="24"/>
      <c r="CC274" s="24"/>
      <c r="CD274" s="24"/>
      <c r="CE274" s="24"/>
    </row>
    <row r="275" spans="1:83" ht="15" hidden="1" customHeight="1">
      <c r="A275" s="4"/>
      <c r="B275" s="318">
        <f>CENY!B651</f>
        <v>9318201</v>
      </c>
      <c r="C275" s="43" t="str">
        <f>VLOOKUP(B275,CENY!$B$11:$G$1054,2,FALSE)</f>
        <v>Actro You(XL) 500/SiSy 70kg; EB21; ľavý</v>
      </c>
      <c r="D275" s="353">
        <f>VLOOKUP(B275,CENY!$B$11:$G$1054,3,FALSE)</f>
        <v>10</v>
      </c>
      <c r="E275" s="56" t="str">
        <f>IF(VLOOKUP(B275,CENY!$B$11:$G$1054,4,FALSE)=0,"",VLOOKUP(B275,CENY!$B$11:$G$1054,4,FALSE))</f>
        <v/>
      </c>
      <c r="F275" s="40" t="str">
        <f t="shared" si="60"/>
        <v/>
      </c>
      <c r="G275" s="52">
        <f>VLOOKUP(B275,CENY!$B$11:$M$1054,12,FALSE)</f>
        <v>17.52394</v>
      </c>
      <c r="H275" s="54" t="str">
        <f t="shared" si="55"/>
        <v xml:space="preserve"> EUR</v>
      </c>
      <c r="I275" s="41" t="str">
        <f t="shared" si="56"/>
        <v/>
      </c>
      <c r="J275" s="122"/>
      <c r="K275" s="42" t="str">
        <f>VLOOKUP(B275,CENY!$B$11:$M$1054,8,FALSE)</f>
        <v xml:space="preserve"> </v>
      </c>
      <c r="L275" s="42" t="str">
        <f>VLOOKUP(B275,CENY!$B$11:$M$1054,9,FALSE)</f>
        <v>397793</v>
      </c>
      <c r="M275" s="32"/>
      <c r="N275" s="35">
        <f t="shared" si="61"/>
        <v>0</v>
      </c>
      <c r="O275" s="36">
        <v>0</v>
      </c>
      <c r="P275" s="32"/>
      <c r="Q275" s="325">
        <f>'AVT101'!BI63</f>
        <v>0</v>
      </c>
      <c r="R275" s="32"/>
      <c r="S275" s="325">
        <f>'AVT139'!BI63</f>
        <v>0</v>
      </c>
      <c r="T275" s="32"/>
      <c r="U275" s="325">
        <f>'AVT187'!BI63</f>
        <v>0</v>
      </c>
      <c r="V275" s="32"/>
      <c r="W275" s="325">
        <f>'AVT251'!BI50</f>
        <v>0</v>
      </c>
      <c r="X275" s="32"/>
      <c r="Y275" s="325">
        <f>AVT187In!BI49</f>
        <v>0</v>
      </c>
      <c r="Z275" s="32"/>
      <c r="AA275" s="325">
        <f>'AVT101(vn-A)'!BI63</f>
        <v>0</v>
      </c>
      <c r="AB275" s="32"/>
      <c r="AC275" s="325">
        <f>'AVT139(vn-A)'!BI63</f>
        <v>0</v>
      </c>
      <c r="AD275" s="32"/>
      <c r="AE275" s="325">
        <f>'AVT187(vn-A)'!BI63</f>
        <v>0</v>
      </c>
      <c r="AF275" s="32"/>
      <c r="AG275" s="325">
        <f>'AVT187In(vn-A)'!BI49</f>
        <v>0</v>
      </c>
      <c r="AH275" s="32"/>
      <c r="AI275" s="325">
        <f>'AVT187(vn-S)'!BI63</f>
        <v>0</v>
      </c>
      <c r="AJ275" s="32"/>
      <c r="AK275" s="325">
        <f>'AVT187In(vn-S)'!BI49</f>
        <v>0</v>
      </c>
      <c r="AL275" s="32"/>
      <c r="AM275" s="325">
        <f>'AVT77'!BI33</f>
        <v>0</v>
      </c>
      <c r="AN275" s="32"/>
      <c r="AO275" s="325">
        <f>'AVT-celny-101+187'!BI76</f>
        <v>0</v>
      </c>
      <c r="AP275" s="32"/>
      <c r="AQ275" s="325">
        <f>'AVT-celny-139+187'!BI64</f>
        <v>0</v>
      </c>
      <c r="AR275" s="32"/>
      <c r="AS275" s="325">
        <f>'AVT-celny-2x187'!BI56</f>
        <v>0</v>
      </c>
      <c r="AT275" s="32"/>
      <c r="AU275" s="325">
        <f>'AVT-celny-2x187In'!BI46</f>
        <v>0</v>
      </c>
      <c r="AV275" s="32"/>
      <c r="AW275" s="325">
        <f>'potr-v101+187'!BI77</f>
        <v>0</v>
      </c>
      <c r="AX275" s="32"/>
      <c r="AY275" s="325">
        <f>'potr-v101+187-IL'!BI77</f>
        <v>0</v>
      </c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165"/>
      <c r="BP275" s="165"/>
      <c r="BQ275" s="165"/>
      <c r="BR275" s="165"/>
      <c r="BS275" s="165"/>
      <c r="BT275" s="165"/>
      <c r="BU275" s="165"/>
      <c r="BV275" s="55"/>
      <c r="BW275" s="160"/>
      <c r="BX275" s="32"/>
      <c r="BY275" s="24"/>
      <c r="BZ275" s="24"/>
      <c r="CA275" s="24"/>
      <c r="CB275" s="24"/>
      <c r="CC275" s="24"/>
      <c r="CD275" s="24"/>
      <c r="CE275" s="24"/>
    </row>
    <row r="276" spans="1:83" ht="15" hidden="1" customHeight="1">
      <c r="A276" s="4"/>
      <c r="B276" s="318">
        <f>CENY!B652</f>
        <v>9318203</v>
      </c>
      <c r="C276" s="43" t="str">
        <f>VLOOKUP(B276,CENY!$B$11:$G$1054,2,FALSE)</f>
        <v>Actro You(XL) 500/SiSy 70kg; EB21; pravý</v>
      </c>
      <c r="D276" s="353">
        <f>VLOOKUP(B276,CENY!$B$11:$G$1054,3,FALSE)</f>
        <v>10</v>
      </c>
      <c r="E276" s="56" t="str">
        <f>IF(VLOOKUP(B276,CENY!$B$11:$G$1054,4,FALSE)=0,"",VLOOKUP(B276,CENY!$B$11:$G$1054,4,FALSE))</f>
        <v/>
      </c>
      <c r="F276" s="40" t="str">
        <f t="shared" si="60"/>
        <v/>
      </c>
      <c r="G276" s="52">
        <f>VLOOKUP(B276,CENY!$B$11:$M$1054,12,FALSE)</f>
        <v>17.52394</v>
      </c>
      <c r="H276" s="54" t="str">
        <f t="shared" si="55"/>
        <v xml:space="preserve"> EUR</v>
      </c>
      <c r="I276" s="41" t="str">
        <f t="shared" si="56"/>
        <v/>
      </c>
      <c r="J276" s="122"/>
      <c r="K276" s="42" t="str">
        <f>VLOOKUP(B276,CENY!$B$11:$M$1054,8,FALSE)</f>
        <v xml:space="preserve"> </v>
      </c>
      <c r="L276" s="42" t="str">
        <f>VLOOKUP(B276,CENY!$B$11:$M$1054,9,FALSE)</f>
        <v>397794</v>
      </c>
      <c r="M276" s="32"/>
      <c r="N276" s="35">
        <f t="shared" si="61"/>
        <v>0</v>
      </c>
      <c r="O276" s="36">
        <v>0</v>
      </c>
      <c r="P276" s="32"/>
      <c r="Q276" s="325">
        <f>'AVT101'!BI64</f>
        <v>0</v>
      </c>
      <c r="R276" s="32"/>
      <c r="S276" s="325">
        <f>'AVT139'!BI64</f>
        <v>0</v>
      </c>
      <c r="T276" s="32"/>
      <c r="U276" s="325">
        <f>'AVT187'!BI64</f>
        <v>0</v>
      </c>
      <c r="V276" s="32"/>
      <c r="W276" s="325">
        <f>'AVT251'!BI51</f>
        <v>0</v>
      </c>
      <c r="X276" s="32"/>
      <c r="Y276" s="325">
        <f>AVT187In!BI50</f>
        <v>0</v>
      </c>
      <c r="Z276" s="32"/>
      <c r="AA276" s="325">
        <f>'AVT101(vn-A)'!BI64</f>
        <v>0</v>
      </c>
      <c r="AB276" s="32"/>
      <c r="AC276" s="325">
        <f>'AVT139(vn-A)'!BI64</f>
        <v>0</v>
      </c>
      <c r="AD276" s="32"/>
      <c r="AE276" s="325">
        <f>'AVT187(vn-A)'!BI64</f>
        <v>0</v>
      </c>
      <c r="AF276" s="32"/>
      <c r="AG276" s="325">
        <f>'AVT187In(vn-A)'!BI50</f>
        <v>0</v>
      </c>
      <c r="AH276" s="32"/>
      <c r="AI276" s="325">
        <f>'AVT187(vn-S)'!BI64</f>
        <v>0</v>
      </c>
      <c r="AJ276" s="32"/>
      <c r="AK276" s="325">
        <f>'AVT187In(vn-S)'!BI50</f>
        <v>0</v>
      </c>
      <c r="AL276" s="32"/>
      <c r="AM276" s="325">
        <f>'AVT77'!BI34</f>
        <v>0</v>
      </c>
      <c r="AN276" s="32"/>
      <c r="AO276" s="325">
        <f>'AVT-celny-101+187'!BI77</f>
        <v>0</v>
      </c>
      <c r="AP276" s="32"/>
      <c r="AQ276" s="325">
        <f>'AVT-celny-139+187'!BI65</f>
        <v>0</v>
      </c>
      <c r="AR276" s="32"/>
      <c r="AS276" s="325">
        <f>'AVT-celny-2x187'!BI57</f>
        <v>0</v>
      </c>
      <c r="AT276" s="32"/>
      <c r="AU276" s="325">
        <f>'AVT-celny-2x187In'!BI47</f>
        <v>0</v>
      </c>
      <c r="AV276" s="32"/>
      <c r="AW276" s="325">
        <f>'potr-v101+187'!BI78</f>
        <v>0</v>
      </c>
      <c r="AX276" s="32"/>
      <c r="AY276" s="325">
        <f>'potr-v101+187-IL'!BI78</f>
        <v>0</v>
      </c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165"/>
      <c r="BP276" s="165"/>
      <c r="BQ276" s="165"/>
      <c r="BR276" s="165"/>
      <c r="BS276" s="165"/>
      <c r="BT276" s="165"/>
      <c r="BU276" s="165"/>
      <c r="BV276" s="55"/>
      <c r="BW276" s="160"/>
      <c r="BX276" s="32"/>
      <c r="BY276" s="24"/>
      <c r="BZ276" s="24"/>
      <c r="CA276" s="24"/>
      <c r="CB276" s="24"/>
      <c r="CC276" s="24"/>
      <c r="CD276" s="24"/>
      <c r="CE276" s="24"/>
    </row>
    <row r="277" spans="1:83" ht="15" hidden="1" customHeight="1">
      <c r="A277" s="4"/>
      <c r="B277" s="318">
        <f>CENY!B653</f>
        <v>9318208</v>
      </c>
      <c r="C277" s="43" t="str">
        <f>VLOOKUP(B277,CENY!$B$11:$G$1054,2,FALSE)</f>
        <v>Actro You(XL) 550/SiSy 70kg; EB21; ľavý</v>
      </c>
      <c r="D277" s="353">
        <f>VLOOKUP(B277,CENY!$B$11:$G$1054,3,FALSE)</f>
        <v>10</v>
      </c>
      <c r="E277" s="56" t="str">
        <f>IF(VLOOKUP(B277,CENY!$B$11:$G$1054,4,FALSE)=0,"",VLOOKUP(B277,CENY!$B$11:$G$1054,4,FALSE))</f>
        <v/>
      </c>
      <c r="F277" s="40" t="str">
        <f t="shared" si="60"/>
        <v/>
      </c>
      <c r="G277" s="52">
        <f>VLOOKUP(B277,CENY!$B$11:$M$1054,12,FALSE)</f>
        <v>18.45496</v>
      </c>
      <c r="H277" s="54" t="str">
        <f t="shared" si="55"/>
        <v xml:space="preserve"> EUR</v>
      </c>
      <c r="I277" s="41" t="str">
        <f t="shared" si="56"/>
        <v/>
      </c>
      <c r="J277" s="122"/>
      <c r="K277" s="42" t="str">
        <f>VLOOKUP(B277,CENY!$B$11:$M$1054,8,FALSE)</f>
        <v xml:space="preserve"> </v>
      </c>
      <c r="L277" s="42" t="str">
        <f>VLOOKUP(B277,CENY!$B$11:$M$1054,9,FALSE)</f>
        <v>397795</v>
      </c>
      <c r="M277" s="32"/>
      <c r="N277" s="35">
        <f t="shared" si="61"/>
        <v>0</v>
      </c>
      <c r="O277" s="36">
        <v>0</v>
      </c>
      <c r="P277" s="32"/>
      <c r="Q277" s="325">
        <f>'AVT101'!BI65</f>
        <v>0</v>
      </c>
      <c r="R277" s="32"/>
      <c r="S277" s="325">
        <f>'AVT139'!BI65</f>
        <v>0</v>
      </c>
      <c r="T277" s="32"/>
      <c r="U277" s="325">
        <f>'AVT187'!BI65</f>
        <v>0</v>
      </c>
      <c r="V277" s="32"/>
      <c r="W277" s="325">
        <f>'AVT251'!BI52</f>
        <v>0</v>
      </c>
      <c r="X277" s="32"/>
      <c r="Y277" s="325">
        <f>AVT187In!BI51</f>
        <v>0</v>
      </c>
      <c r="Z277" s="32"/>
      <c r="AA277" s="325">
        <f>'AVT101(vn-A)'!BI65</f>
        <v>0</v>
      </c>
      <c r="AB277" s="32"/>
      <c r="AC277" s="325">
        <f>'AVT139(vn-A)'!BI65</f>
        <v>0</v>
      </c>
      <c r="AD277" s="32"/>
      <c r="AE277" s="325">
        <f>'AVT187(vn-A)'!BI65</f>
        <v>0</v>
      </c>
      <c r="AF277" s="32"/>
      <c r="AG277" s="325">
        <f>'AVT187In(vn-A)'!BI51</f>
        <v>0</v>
      </c>
      <c r="AH277" s="32"/>
      <c r="AI277" s="325">
        <f>'AVT187(vn-S)'!BI65</f>
        <v>0</v>
      </c>
      <c r="AJ277" s="32"/>
      <c r="AK277" s="325">
        <f>'AVT187In(vn-S)'!BI51</f>
        <v>0</v>
      </c>
      <c r="AL277" s="32"/>
      <c r="AM277" s="325">
        <f>'AVT77'!BI35</f>
        <v>0</v>
      </c>
      <c r="AN277" s="32"/>
      <c r="AO277" s="325">
        <f>'AVT-celny-101+187'!BI78</f>
        <v>0</v>
      </c>
      <c r="AP277" s="32"/>
      <c r="AQ277" s="325">
        <f>'AVT-celny-139+187'!BI66</f>
        <v>0</v>
      </c>
      <c r="AR277" s="32"/>
      <c r="AS277" s="325">
        <f>'AVT-celny-2x187'!BI58</f>
        <v>0</v>
      </c>
      <c r="AT277" s="32"/>
      <c r="AU277" s="325">
        <f>'AVT-celny-2x187In'!BI48</f>
        <v>0</v>
      </c>
      <c r="AV277" s="32"/>
      <c r="AW277" s="325">
        <f>'potr-v101+187'!BI79</f>
        <v>0</v>
      </c>
      <c r="AX277" s="32"/>
      <c r="AY277" s="325">
        <f>'potr-v101+187-IL'!BI79</f>
        <v>0</v>
      </c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165"/>
      <c r="BP277" s="165"/>
      <c r="BQ277" s="165"/>
      <c r="BR277" s="165"/>
      <c r="BS277" s="165"/>
      <c r="BT277" s="165"/>
      <c r="BU277" s="165"/>
      <c r="BV277" s="55"/>
      <c r="BW277" s="160"/>
      <c r="BX277" s="32"/>
      <c r="BY277" s="24"/>
      <c r="BZ277" s="24"/>
      <c r="CA277" s="24"/>
      <c r="CB277" s="24"/>
      <c r="CC277" s="24"/>
      <c r="CD277" s="24"/>
      <c r="CE277" s="24"/>
    </row>
    <row r="278" spans="1:83" ht="15" hidden="1" customHeight="1">
      <c r="A278" s="4"/>
      <c r="B278" s="318">
        <f>CENY!B654</f>
        <v>9318209</v>
      </c>
      <c r="C278" s="43" t="str">
        <f>VLOOKUP(B278,CENY!$B$11:$G$1054,2,FALSE)</f>
        <v>Actro You(XL) 550/SiSy 70kg; EB21; pravý</v>
      </c>
      <c r="D278" s="353">
        <f>VLOOKUP(B278,CENY!$B$11:$G$1054,3,FALSE)</f>
        <v>10</v>
      </c>
      <c r="E278" s="56" t="str">
        <f>IF(VLOOKUP(B278,CENY!$B$11:$G$1054,4,FALSE)=0,"",VLOOKUP(B278,CENY!$B$11:$G$1054,4,FALSE))</f>
        <v/>
      </c>
      <c r="F278" s="40" t="str">
        <f t="shared" si="60"/>
        <v/>
      </c>
      <c r="G278" s="52">
        <f>VLOOKUP(B278,CENY!$B$11:$M$1054,12,FALSE)</f>
        <v>18.45496</v>
      </c>
      <c r="H278" s="54" t="str">
        <f t="shared" si="55"/>
        <v xml:space="preserve"> EUR</v>
      </c>
      <c r="I278" s="41" t="str">
        <f t="shared" si="56"/>
        <v/>
      </c>
      <c r="J278" s="122"/>
      <c r="K278" s="42" t="str">
        <f>VLOOKUP(B278,CENY!$B$11:$M$1054,8,FALSE)</f>
        <v xml:space="preserve"> </v>
      </c>
      <c r="L278" s="42" t="str">
        <f>VLOOKUP(B278,CENY!$B$11:$M$1054,9,FALSE)</f>
        <v>397796</v>
      </c>
      <c r="M278" s="32"/>
      <c r="N278" s="35">
        <f t="shared" si="61"/>
        <v>0</v>
      </c>
      <c r="O278" s="36">
        <v>0</v>
      </c>
      <c r="P278" s="32"/>
      <c r="Q278" s="325">
        <f>'AVT101'!BI66</f>
        <v>0</v>
      </c>
      <c r="R278" s="32"/>
      <c r="S278" s="325">
        <f>'AVT139'!BI66</f>
        <v>0</v>
      </c>
      <c r="T278" s="32"/>
      <c r="U278" s="325">
        <f>'AVT187'!BI66</f>
        <v>0</v>
      </c>
      <c r="V278" s="32"/>
      <c r="W278" s="325">
        <f>'AVT251'!BI53</f>
        <v>0</v>
      </c>
      <c r="X278" s="32"/>
      <c r="Y278" s="325">
        <f>AVT187In!BI52</f>
        <v>0</v>
      </c>
      <c r="Z278" s="32"/>
      <c r="AA278" s="325">
        <f>'AVT101(vn-A)'!BI66</f>
        <v>0</v>
      </c>
      <c r="AB278" s="32"/>
      <c r="AC278" s="325">
        <f>'AVT139(vn-A)'!BI66</f>
        <v>0</v>
      </c>
      <c r="AD278" s="32"/>
      <c r="AE278" s="325">
        <f>'AVT187(vn-A)'!BI66</f>
        <v>0</v>
      </c>
      <c r="AF278" s="32"/>
      <c r="AG278" s="325">
        <f>'AVT187In(vn-A)'!BI52</f>
        <v>0</v>
      </c>
      <c r="AH278" s="32"/>
      <c r="AI278" s="325">
        <f>'AVT187(vn-S)'!BI66</f>
        <v>0</v>
      </c>
      <c r="AJ278" s="32"/>
      <c r="AK278" s="325">
        <f>'AVT187In(vn-S)'!BI52</f>
        <v>0</v>
      </c>
      <c r="AL278" s="32"/>
      <c r="AM278" s="325">
        <f>'AVT77'!BI36</f>
        <v>0</v>
      </c>
      <c r="AN278" s="32"/>
      <c r="AO278" s="325">
        <f>'AVT-celny-101+187'!BI79</f>
        <v>0</v>
      </c>
      <c r="AP278" s="32"/>
      <c r="AQ278" s="325">
        <f>'AVT-celny-139+187'!BI67</f>
        <v>0</v>
      </c>
      <c r="AR278" s="32"/>
      <c r="AS278" s="325">
        <f>'AVT-celny-2x187'!BI59</f>
        <v>0</v>
      </c>
      <c r="AT278" s="32"/>
      <c r="AU278" s="325">
        <f>'AVT-celny-2x187In'!BI49</f>
        <v>0</v>
      </c>
      <c r="AV278" s="32"/>
      <c r="AW278" s="325">
        <f>'potr-v101+187'!BI80</f>
        <v>0</v>
      </c>
      <c r="AX278" s="32"/>
      <c r="AY278" s="325">
        <f>'potr-v101+187-IL'!BI80</f>
        <v>0</v>
      </c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165"/>
      <c r="BP278" s="165"/>
      <c r="BQ278" s="165"/>
      <c r="BR278" s="165"/>
      <c r="BS278" s="165"/>
      <c r="BT278" s="165"/>
      <c r="BU278" s="165"/>
      <c r="BV278" s="55"/>
      <c r="BW278" s="160"/>
      <c r="BX278" s="32"/>
      <c r="BY278" s="24"/>
      <c r="BZ278" s="24"/>
      <c r="CA278" s="24"/>
      <c r="CB278" s="24"/>
      <c r="CC278" s="24"/>
      <c r="CD278" s="24"/>
      <c r="CE278" s="24"/>
    </row>
    <row r="279" spans="1:83" ht="15" hidden="1" customHeight="1">
      <c r="A279" s="4"/>
      <c r="B279" s="318">
        <f>CENY!B655</f>
        <v>9318211</v>
      </c>
      <c r="C279" s="43" t="str">
        <f>VLOOKUP(B279,CENY!$B$11:$G$1054,2,FALSE)</f>
        <v>Actro You(XL) 600/SiSy 70kg; EB21; ľavý</v>
      </c>
      <c r="D279" s="353">
        <f>VLOOKUP(B279,CENY!$B$11:$G$1054,3,FALSE)</f>
        <v>10</v>
      </c>
      <c r="E279" s="56" t="str">
        <f>IF(VLOOKUP(B279,CENY!$B$11:$G$1054,4,FALSE)=0,"",VLOOKUP(B279,CENY!$B$11:$G$1054,4,FALSE))</f>
        <v/>
      </c>
      <c r="F279" s="40" t="str">
        <f t="shared" si="60"/>
        <v/>
      </c>
      <c r="G279" s="52">
        <f>VLOOKUP(B279,CENY!$B$11:$M$1054,12,FALSE)</f>
        <v>21.352720000000001</v>
      </c>
      <c r="H279" s="54" t="str">
        <f t="shared" si="55"/>
        <v xml:space="preserve"> EUR</v>
      </c>
      <c r="I279" s="41" t="str">
        <f t="shared" si="56"/>
        <v/>
      </c>
      <c r="J279" s="122"/>
      <c r="K279" s="42" t="str">
        <f>VLOOKUP(B279,CENY!$B$11:$M$1054,8,FALSE)</f>
        <v xml:space="preserve"> </v>
      </c>
      <c r="L279" s="42" t="str">
        <f>VLOOKUP(B279,CENY!$B$11:$M$1054,9,FALSE)</f>
        <v>398924</v>
      </c>
      <c r="M279" s="32"/>
      <c r="N279" s="35">
        <f t="shared" si="61"/>
        <v>0</v>
      </c>
      <c r="O279" s="36">
        <v>0</v>
      </c>
      <c r="P279" s="32"/>
      <c r="Q279" s="325">
        <f>'AVT101'!BI67</f>
        <v>0</v>
      </c>
      <c r="R279" s="32"/>
      <c r="S279" s="325">
        <f>'AVT139'!BI67</f>
        <v>0</v>
      </c>
      <c r="T279" s="32"/>
      <c r="U279" s="325">
        <f>'AVT187'!BI67</f>
        <v>0</v>
      </c>
      <c r="V279" s="32"/>
      <c r="W279" s="325">
        <f>'AVT251'!BI54</f>
        <v>0</v>
      </c>
      <c r="X279" s="32"/>
      <c r="Y279" s="325">
        <f>AVT187In!BI53</f>
        <v>0</v>
      </c>
      <c r="Z279" s="32"/>
      <c r="AA279" s="325">
        <f>'AVT101(vn-A)'!BI67</f>
        <v>0</v>
      </c>
      <c r="AB279" s="32"/>
      <c r="AC279" s="325">
        <f>'AVT139(vn-A)'!BI67</f>
        <v>0</v>
      </c>
      <c r="AD279" s="32"/>
      <c r="AE279" s="325">
        <f>'AVT187(vn-A)'!BI67</f>
        <v>0</v>
      </c>
      <c r="AF279" s="32"/>
      <c r="AG279" s="325">
        <f>'AVT187In(vn-A)'!BI53</f>
        <v>0</v>
      </c>
      <c r="AH279" s="32"/>
      <c r="AI279" s="325">
        <f>'AVT187(vn-S)'!BI67</f>
        <v>0</v>
      </c>
      <c r="AJ279" s="32"/>
      <c r="AK279" s="325">
        <f>'AVT187In(vn-S)'!BI53</f>
        <v>0</v>
      </c>
      <c r="AL279" s="32"/>
      <c r="AM279" s="32"/>
      <c r="AN279" s="32"/>
      <c r="AO279" s="325">
        <f>'AVT-celny-101+187'!BI80</f>
        <v>0</v>
      </c>
      <c r="AP279" s="32"/>
      <c r="AQ279" s="325">
        <f>'AVT-celny-139+187'!BI68</f>
        <v>0</v>
      </c>
      <c r="AR279" s="32"/>
      <c r="AS279" s="325">
        <f>'AVT-celny-2x187'!BI60</f>
        <v>0</v>
      </c>
      <c r="AT279" s="32"/>
      <c r="AU279" s="325">
        <f>'AVT-celny-2x187In'!BI50</f>
        <v>0</v>
      </c>
      <c r="AV279" s="32"/>
      <c r="AW279" s="325">
        <f>'potr-v101+187'!BI81</f>
        <v>0</v>
      </c>
      <c r="AX279" s="32"/>
      <c r="AY279" s="325">
        <f>'potr-v101+187-IL'!BI81</f>
        <v>0</v>
      </c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165"/>
      <c r="BP279" s="165"/>
      <c r="BQ279" s="165"/>
      <c r="BR279" s="165"/>
      <c r="BS279" s="165"/>
      <c r="BT279" s="165"/>
      <c r="BU279" s="165"/>
      <c r="BV279" s="55"/>
      <c r="BW279" s="160"/>
      <c r="BX279" s="32"/>
      <c r="BY279" s="24"/>
      <c r="BZ279" s="24"/>
      <c r="CA279" s="24"/>
      <c r="CB279" s="24"/>
      <c r="CC279" s="24"/>
      <c r="CD279" s="24"/>
      <c r="CE279" s="24"/>
    </row>
    <row r="280" spans="1:83" ht="15" hidden="1" customHeight="1">
      <c r="A280" s="4"/>
      <c r="B280" s="318">
        <f>CENY!B656</f>
        <v>9318212</v>
      </c>
      <c r="C280" s="43" t="str">
        <f>VLOOKUP(B280,CENY!$B$11:$G$1054,2,FALSE)</f>
        <v>Actro You(XL) 600/SiSy 70kg; EB21; pravý</v>
      </c>
      <c r="D280" s="353">
        <f>VLOOKUP(B280,CENY!$B$11:$G$1054,3,FALSE)</f>
        <v>10</v>
      </c>
      <c r="E280" s="56" t="str">
        <f>IF(VLOOKUP(B280,CENY!$B$11:$G$1054,4,FALSE)=0,"",VLOOKUP(B280,CENY!$B$11:$G$1054,4,FALSE))</f>
        <v/>
      </c>
      <c r="F280" s="40" t="str">
        <f t="shared" si="60"/>
        <v/>
      </c>
      <c r="G280" s="52">
        <f>VLOOKUP(B280,CENY!$B$11:$M$1054,12,FALSE)</f>
        <v>21.352720000000001</v>
      </c>
      <c r="H280" s="54" t="str">
        <f t="shared" si="55"/>
        <v xml:space="preserve"> EUR</v>
      </c>
      <c r="I280" s="41" t="str">
        <f t="shared" si="56"/>
        <v/>
      </c>
      <c r="J280" s="122"/>
      <c r="K280" s="42" t="str">
        <f>VLOOKUP(B280,CENY!$B$11:$M$1054,8,FALSE)</f>
        <v xml:space="preserve"> </v>
      </c>
      <c r="L280" s="42" t="str">
        <f>VLOOKUP(B280,CENY!$B$11:$M$1054,9,FALSE)</f>
        <v>398925</v>
      </c>
      <c r="M280" s="32"/>
      <c r="N280" s="35">
        <f t="shared" si="61"/>
        <v>0</v>
      </c>
      <c r="O280" s="36">
        <v>0</v>
      </c>
      <c r="P280" s="32"/>
      <c r="Q280" s="325">
        <f>'AVT101'!BI68</f>
        <v>0</v>
      </c>
      <c r="R280" s="32"/>
      <c r="S280" s="325">
        <f>'AVT139'!BI68</f>
        <v>0</v>
      </c>
      <c r="T280" s="32"/>
      <c r="U280" s="325">
        <f>'AVT187'!BI68</f>
        <v>0</v>
      </c>
      <c r="V280" s="32"/>
      <c r="W280" s="325">
        <f>'AVT251'!BI55</f>
        <v>0</v>
      </c>
      <c r="X280" s="32"/>
      <c r="Y280" s="325">
        <f>AVT187In!BI54</f>
        <v>0</v>
      </c>
      <c r="Z280" s="32"/>
      <c r="AA280" s="325">
        <f>'AVT101(vn-A)'!BI68</f>
        <v>0</v>
      </c>
      <c r="AB280" s="32"/>
      <c r="AC280" s="325">
        <f>'AVT139(vn-A)'!BI68</f>
        <v>0</v>
      </c>
      <c r="AD280" s="32"/>
      <c r="AE280" s="325">
        <f>'AVT187(vn-A)'!BI68</f>
        <v>0</v>
      </c>
      <c r="AF280" s="32"/>
      <c r="AG280" s="325">
        <f>'AVT187In(vn-A)'!BI54</f>
        <v>0</v>
      </c>
      <c r="AH280" s="32"/>
      <c r="AI280" s="325">
        <f>'AVT187(vn-S)'!BI68</f>
        <v>0</v>
      </c>
      <c r="AJ280" s="32"/>
      <c r="AK280" s="325">
        <f>'AVT187In(vn-S)'!BI54</f>
        <v>0</v>
      </c>
      <c r="AL280" s="32"/>
      <c r="AM280" s="32"/>
      <c r="AN280" s="32"/>
      <c r="AO280" s="325">
        <f>'AVT-celny-101+187'!BI81</f>
        <v>0</v>
      </c>
      <c r="AP280" s="32"/>
      <c r="AQ280" s="325">
        <f>'AVT-celny-139+187'!BI69</f>
        <v>0</v>
      </c>
      <c r="AR280" s="32"/>
      <c r="AS280" s="325">
        <f>'AVT-celny-2x187'!BI61</f>
        <v>0</v>
      </c>
      <c r="AT280" s="32"/>
      <c r="AU280" s="325">
        <f>'AVT-celny-2x187In'!BI51</f>
        <v>0</v>
      </c>
      <c r="AV280" s="32"/>
      <c r="AW280" s="325">
        <f>'potr-v101+187'!BI82</f>
        <v>0</v>
      </c>
      <c r="AX280" s="32"/>
      <c r="AY280" s="325">
        <f>'potr-v101+187-IL'!BI82</f>
        <v>0</v>
      </c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165"/>
      <c r="BP280" s="165"/>
      <c r="BQ280" s="165"/>
      <c r="BR280" s="165"/>
      <c r="BS280" s="165"/>
      <c r="BT280" s="165"/>
      <c r="BU280" s="165"/>
      <c r="BV280" s="55"/>
      <c r="BW280" s="160"/>
      <c r="BX280" s="32"/>
      <c r="BY280" s="24"/>
      <c r="BZ280" s="24"/>
      <c r="CA280" s="24"/>
      <c r="CB280" s="24"/>
      <c r="CC280" s="24"/>
      <c r="CD280" s="24"/>
      <c r="CE280" s="24"/>
    </row>
    <row r="281" spans="1:83" ht="15" hidden="1" customHeight="1">
      <c r="A281" s="4"/>
      <c r="B281" s="318">
        <f>CENY!B657</f>
        <v>9318213</v>
      </c>
      <c r="C281" s="43" t="str">
        <f>VLOOKUP(B281,CENY!$B$11:$G$1054,2,FALSE)</f>
        <v>Actro You(XL) 650/SiSy 70kg; EB21; ľavý</v>
      </c>
      <c r="D281" s="353">
        <f>VLOOKUP(B281,CENY!$B$11:$G$1054,3,FALSE)</f>
        <v>5</v>
      </c>
      <c r="E281" s="56" t="str">
        <f>IF(VLOOKUP(B281,CENY!$B$11:$G$1054,4,FALSE)=0,"",VLOOKUP(B281,CENY!$B$11:$G$1054,4,FALSE))</f>
        <v/>
      </c>
      <c r="F281" s="40" t="str">
        <f t="shared" si="60"/>
        <v/>
      </c>
      <c r="G281" s="52">
        <f>VLOOKUP(B281,CENY!$B$11:$M$1054,12,FALSE)</f>
        <v>22.243659999999998</v>
      </c>
      <c r="H281" s="54" t="str">
        <f t="shared" si="55"/>
        <v xml:space="preserve"> EUR</v>
      </c>
      <c r="I281" s="41" t="str">
        <f t="shared" si="56"/>
        <v/>
      </c>
      <c r="J281" s="122"/>
      <c r="K281" s="42" t="str">
        <f>VLOOKUP(B281,CENY!$B$11:$M$1054,8,FALSE)</f>
        <v xml:space="preserve"> </v>
      </c>
      <c r="L281" s="42" t="str">
        <f>VLOOKUP(B281,CENY!$B$11:$M$1054,9,FALSE)</f>
        <v>397797</v>
      </c>
      <c r="M281" s="32"/>
      <c r="N281" s="35">
        <f t="shared" si="61"/>
        <v>0</v>
      </c>
      <c r="O281" s="36">
        <v>0</v>
      </c>
      <c r="P281" s="32"/>
      <c r="Q281" s="325">
        <f>'AVT101'!BI69</f>
        <v>0</v>
      </c>
      <c r="R281" s="32"/>
      <c r="S281" s="325">
        <f>'AVT139'!BI69</f>
        <v>0</v>
      </c>
      <c r="T281" s="32"/>
      <c r="U281" s="325">
        <f>'AVT187'!BI69</f>
        <v>0</v>
      </c>
      <c r="V281" s="32"/>
      <c r="W281" s="325">
        <f>'AVT251'!BI56</f>
        <v>0</v>
      </c>
      <c r="X281" s="32"/>
      <c r="Y281" s="325">
        <f>AVT187In!BI55</f>
        <v>0</v>
      </c>
      <c r="Z281" s="32"/>
      <c r="AA281" s="325">
        <f>'AVT101(vn-A)'!BI69</f>
        <v>0</v>
      </c>
      <c r="AB281" s="32"/>
      <c r="AC281" s="32"/>
      <c r="AD281" s="32"/>
      <c r="AE281" s="325">
        <f>'AVT187(vn-A)'!BI69</f>
        <v>0</v>
      </c>
      <c r="AF281" s="32"/>
      <c r="AG281" s="325">
        <f>'AVT187In(vn-A)'!BI55</f>
        <v>0</v>
      </c>
      <c r="AH281" s="32"/>
      <c r="AI281" s="325">
        <f>'AVT187(vn-S)'!BI69</f>
        <v>0</v>
      </c>
      <c r="AJ281" s="32"/>
      <c r="AK281" s="325">
        <f>'AVT187In(vn-S)'!BI55</f>
        <v>0</v>
      </c>
      <c r="AL281" s="32"/>
      <c r="AM281" s="32"/>
      <c r="AN281" s="32"/>
      <c r="AO281" s="325">
        <f>'AVT-celny-101+187'!BI82</f>
        <v>0</v>
      </c>
      <c r="AP281" s="32"/>
      <c r="AQ281" s="32"/>
      <c r="AR281" s="32"/>
      <c r="AS281" s="325">
        <f>'AVT-celny-2x187'!BI62</f>
        <v>0</v>
      </c>
      <c r="AT281" s="32"/>
      <c r="AU281" s="325">
        <f>'AVT-celny-2x187In'!BI52</f>
        <v>0</v>
      </c>
      <c r="AV281" s="32"/>
      <c r="AW281" s="325">
        <f>'potr-v101+187'!BI83</f>
        <v>0</v>
      </c>
      <c r="AX281" s="32"/>
      <c r="AY281" s="325">
        <f>'potr-v101+187-IL'!BI83</f>
        <v>0</v>
      </c>
      <c r="AZ281" s="32"/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165"/>
      <c r="BP281" s="165"/>
      <c r="BQ281" s="165"/>
      <c r="BR281" s="165"/>
      <c r="BS281" s="165"/>
      <c r="BT281" s="165"/>
      <c r="BU281" s="165"/>
      <c r="BV281" s="55"/>
      <c r="BW281" s="160"/>
      <c r="BX281" s="32"/>
      <c r="BY281" s="24"/>
      <c r="BZ281" s="24"/>
      <c r="CA281" s="24"/>
      <c r="CB281" s="24"/>
      <c r="CC281" s="24"/>
      <c r="CD281" s="24"/>
      <c r="CE281" s="24"/>
    </row>
    <row r="282" spans="1:83" ht="15" hidden="1" customHeight="1">
      <c r="A282" s="4"/>
      <c r="B282" s="318">
        <f>CENY!B658</f>
        <v>9318214</v>
      </c>
      <c r="C282" s="43" t="str">
        <f>VLOOKUP(B282,CENY!$B$11:$G$1054,2,FALSE)</f>
        <v>Actro You(XL) 650/SiSy 70kg; EB21; pravý</v>
      </c>
      <c r="D282" s="353">
        <f>VLOOKUP(B282,CENY!$B$11:$G$1054,3,FALSE)</f>
        <v>5</v>
      </c>
      <c r="E282" s="56" t="str">
        <f>IF(VLOOKUP(B282,CENY!$B$11:$G$1054,4,FALSE)=0,"",VLOOKUP(B282,CENY!$B$11:$G$1054,4,FALSE))</f>
        <v/>
      </c>
      <c r="F282" s="40" t="str">
        <f t="shared" si="60"/>
        <v/>
      </c>
      <c r="G282" s="52">
        <f>VLOOKUP(B282,CENY!$B$11:$M$1054,12,FALSE)</f>
        <v>22.243659999999998</v>
      </c>
      <c r="H282" s="54" t="str">
        <f t="shared" si="55"/>
        <v xml:space="preserve"> EUR</v>
      </c>
      <c r="I282" s="41" t="str">
        <f t="shared" si="56"/>
        <v/>
      </c>
      <c r="J282" s="122"/>
      <c r="K282" s="42" t="str">
        <f>VLOOKUP(B282,CENY!$B$11:$M$1054,8,FALSE)</f>
        <v xml:space="preserve"> </v>
      </c>
      <c r="L282" s="42" t="str">
        <f>VLOOKUP(B282,CENY!$B$11:$M$1054,9,FALSE)</f>
        <v>397798</v>
      </c>
      <c r="M282" s="32"/>
      <c r="N282" s="35">
        <f t="shared" si="61"/>
        <v>0</v>
      </c>
      <c r="O282" s="36">
        <v>0</v>
      </c>
      <c r="P282" s="32"/>
      <c r="Q282" s="325">
        <f>'AVT101'!BI70</f>
        <v>0</v>
      </c>
      <c r="R282" s="32"/>
      <c r="S282" s="325">
        <f>'AVT139'!BI70</f>
        <v>0</v>
      </c>
      <c r="T282" s="32"/>
      <c r="U282" s="325">
        <f>'AVT187'!BI70</f>
        <v>0</v>
      </c>
      <c r="V282" s="32"/>
      <c r="W282" s="325">
        <f>'AVT251'!BI57</f>
        <v>0</v>
      </c>
      <c r="X282" s="32"/>
      <c r="Y282" s="325">
        <f>AVT187In!BI56</f>
        <v>0</v>
      </c>
      <c r="Z282" s="32"/>
      <c r="AA282" s="325">
        <f>'AVT101(vn-A)'!BI70</f>
        <v>0</v>
      </c>
      <c r="AB282" s="32"/>
      <c r="AC282" s="32"/>
      <c r="AD282" s="32"/>
      <c r="AE282" s="325">
        <f>'AVT187(vn-A)'!BI70</f>
        <v>0</v>
      </c>
      <c r="AF282" s="32"/>
      <c r="AG282" s="325">
        <f>'AVT187In(vn-A)'!BI56</f>
        <v>0</v>
      </c>
      <c r="AH282" s="32"/>
      <c r="AI282" s="325">
        <f>'AVT187(vn-S)'!BI70</f>
        <v>0</v>
      </c>
      <c r="AJ282" s="32"/>
      <c r="AK282" s="325">
        <f>'AVT187In(vn-S)'!BI56</f>
        <v>0</v>
      </c>
      <c r="AL282" s="32"/>
      <c r="AM282" s="32"/>
      <c r="AN282" s="32"/>
      <c r="AO282" s="325">
        <f>'AVT-celny-101+187'!BI83</f>
        <v>0</v>
      </c>
      <c r="AP282" s="32"/>
      <c r="AQ282" s="32"/>
      <c r="AR282" s="32"/>
      <c r="AS282" s="325">
        <f>'AVT-celny-2x187'!BI63</f>
        <v>0</v>
      </c>
      <c r="AT282" s="32"/>
      <c r="AU282" s="325">
        <f>'AVT-celny-2x187In'!BI53</f>
        <v>0</v>
      </c>
      <c r="AV282" s="32"/>
      <c r="AW282" s="325">
        <f>'potr-v101+187'!BI84</f>
        <v>0</v>
      </c>
      <c r="AX282" s="32"/>
      <c r="AY282" s="325">
        <f>'potr-v101+187-IL'!BI84</f>
        <v>0</v>
      </c>
      <c r="AZ282" s="32"/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165"/>
      <c r="BP282" s="165"/>
      <c r="BQ282" s="165"/>
      <c r="BR282" s="165"/>
      <c r="BS282" s="165"/>
      <c r="BT282" s="165"/>
      <c r="BU282" s="165"/>
      <c r="BV282" s="55"/>
      <c r="BW282" s="160"/>
      <c r="BX282" s="32"/>
      <c r="BY282" s="24"/>
      <c r="BZ282" s="24"/>
      <c r="CA282" s="24"/>
      <c r="CB282" s="24"/>
      <c r="CC282" s="24"/>
      <c r="CD282" s="24"/>
      <c r="CE282" s="24"/>
    </row>
    <row r="283" spans="1:83" ht="8.1" hidden="1" customHeight="1">
      <c r="A283" s="4"/>
      <c r="B283" s="126"/>
      <c r="C283" s="43"/>
      <c r="D283" s="39"/>
      <c r="E283" s="56"/>
      <c r="F283" s="60"/>
      <c r="G283" s="52"/>
      <c r="H283" s="54"/>
      <c r="I283" s="41"/>
      <c r="J283" s="122"/>
      <c r="K283" s="42"/>
      <c r="L283" s="42"/>
      <c r="M283" s="32"/>
      <c r="N283" s="35"/>
      <c r="O283" s="36">
        <v>0</v>
      </c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165"/>
      <c r="BP283" s="165"/>
      <c r="BQ283" s="165"/>
      <c r="BR283" s="165"/>
      <c r="BS283" s="165"/>
      <c r="BT283" s="165"/>
      <c r="BU283" s="165"/>
      <c r="BV283" s="55"/>
      <c r="BW283" s="160"/>
      <c r="BX283" s="32"/>
      <c r="BY283" s="24"/>
      <c r="BZ283" s="24"/>
      <c r="CA283" s="24"/>
      <c r="CB283" s="24"/>
      <c r="CC283" s="24"/>
      <c r="CD283" s="24"/>
      <c r="CE283" s="24"/>
    </row>
    <row r="284" spans="1:83" ht="15" hidden="1" customHeight="1">
      <c r="A284" s="4"/>
      <c r="B284" s="318">
        <f>CENY!B660</f>
        <v>9257890</v>
      </c>
      <c r="C284" s="43" t="str">
        <f>VLOOKUP(B284,CENY!$B$11:$G$1054,2,FALSE)</f>
        <v>Actro You - Push to open Silent; &lt;10kg</v>
      </c>
      <c r="D284" s="355">
        <f>VLOOKUP(B284,CENY!$B$11:$G$1054,3,FALSE)</f>
        <v>1</v>
      </c>
      <c r="E284" s="56" t="str">
        <f>IF(VLOOKUP(B284,CENY!$B$11:$G$1054,4,FALSE)=0,"",VLOOKUP(B284,CENY!$B$11:$G$1054,4,FALSE))</f>
        <v/>
      </c>
      <c r="F284" s="40" t="str">
        <f t="shared" ref="F284:F292" si="62">IF(J284&lt;&gt;"",J284,IF(N284=0,"",N284))</f>
        <v/>
      </c>
      <c r="G284" s="52">
        <f>VLOOKUP(B284,CENY!$B$11:$M$1054,12,FALSE)</f>
        <v>23.177009999999999</v>
      </c>
      <c r="H284" s="54" t="str">
        <f t="shared" si="55"/>
        <v xml:space="preserve"> EUR</v>
      </c>
      <c r="I284" s="41" t="str">
        <f t="shared" si="56"/>
        <v/>
      </c>
      <c r="J284" s="122"/>
      <c r="K284" s="42" t="str">
        <f>VLOOKUP(B284,CENY!$B$11:$M$1054,8,FALSE)</f>
        <v xml:space="preserve"> </v>
      </c>
      <c r="L284" s="42" t="str">
        <f>VLOOKUP(B284,CENY!$B$11:$M$1054,9,FALSE)</f>
        <v>397802</v>
      </c>
      <c r="M284" s="32"/>
      <c r="N284" s="35">
        <f t="shared" ref="N284:N292" si="63">SUM(P284:BW284)</f>
        <v>0</v>
      </c>
      <c r="O284" s="36">
        <v>0</v>
      </c>
      <c r="P284" s="325">
        <f>'AVT101'!AZ44</f>
        <v>0</v>
      </c>
      <c r="Q284" s="325">
        <f>'AVT101'!BI72</f>
        <v>0</v>
      </c>
      <c r="R284" s="325">
        <f>'AVT139'!AZ44</f>
        <v>0</v>
      </c>
      <c r="S284" s="325">
        <f>'AVT139'!BI72</f>
        <v>0</v>
      </c>
      <c r="T284" s="325">
        <f>'AVT187'!AZ44</f>
        <v>0</v>
      </c>
      <c r="U284" s="325">
        <f>'AVT187'!BI72</f>
        <v>0</v>
      </c>
      <c r="V284" s="325">
        <f>'AVT251'!AZ36</f>
        <v>0</v>
      </c>
      <c r="W284" s="325">
        <f>'AVT251'!BI59</f>
        <v>0</v>
      </c>
      <c r="X284" s="325">
        <f>AVT187In!AZ36</f>
        <v>0</v>
      </c>
      <c r="Y284" s="325">
        <f>AVT187In!BI58</f>
        <v>0</v>
      </c>
      <c r="Z284" s="325">
        <f>'AVT101(vn-A)'!AZ44</f>
        <v>0</v>
      </c>
      <c r="AA284" s="325">
        <f>'AVT101(vn-A)'!BI72</f>
        <v>0</v>
      </c>
      <c r="AB284" s="325">
        <f>'AVT139(vn-A)'!AZ44</f>
        <v>0</v>
      </c>
      <c r="AC284" s="325">
        <f>'AVT139(vn-A)'!BI72</f>
        <v>0</v>
      </c>
      <c r="AD284" s="325">
        <f>'AVT187(vn-A)'!AZ44</f>
        <v>0</v>
      </c>
      <c r="AE284" s="325">
        <f>'AVT187(vn-A)'!BI72</f>
        <v>0</v>
      </c>
      <c r="AF284" s="325">
        <f>'AVT187In(vn-A)'!AZ36</f>
        <v>0</v>
      </c>
      <c r="AG284" s="325">
        <f>'AVT187In(vn-A)'!BI58</f>
        <v>0</v>
      </c>
      <c r="AH284" s="325">
        <f>'AVT187(vn-S)'!AZ44</f>
        <v>0</v>
      </c>
      <c r="AI284" s="325">
        <f>'AVT187(vn-S)'!BI72</f>
        <v>0</v>
      </c>
      <c r="AJ284" s="325">
        <f>'AVT187In(vn-S)'!AZ36</f>
        <v>0</v>
      </c>
      <c r="AK284" s="325">
        <f>'AVT187In(vn-S)'!BI58</f>
        <v>0</v>
      </c>
      <c r="AL284" s="325">
        <f>'AVT77'!AZ24</f>
        <v>0</v>
      </c>
      <c r="AM284" s="325">
        <f>'AVT77'!BI38</f>
        <v>0</v>
      </c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165"/>
      <c r="BP284" s="165"/>
      <c r="BQ284" s="165"/>
      <c r="BR284" s="165"/>
      <c r="BS284" s="165"/>
      <c r="BT284" s="165"/>
      <c r="BU284" s="165"/>
      <c r="BV284" s="55"/>
      <c r="BW284" s="160"/>
      <c r="BX284" s="32"/>
      <c r="BY284" s="24"/>
      <c r="BZ284" s="24"/>
      <c r="CA284" s="24"/>
      <c r="CB284" s="24"/>
      <c r="CC284" s="24"/>
      <c r="CD284" s="24"/>
      <c r="CE284" s="24"/>
    </row>
    <row r="285" spans="1:83" ht="15" hidden="1" customHeight="1">
      <c r="A285" s="4"/>
      <c r="B285" s="318">
        <f>CENY!B661</f>
        <v>9257891</v>
      </c>
      <c r="C285" s="43" t="str">
        <f>VLOOKUP(B285,CENY!$B$11:$G$1054,2,FALSE)</f>
        <v>Actro You - Push to open Silent; 8-20kg</v>
      </c>
      <c r="D285" s="355">
        <f>VLOOKUP(B285,CENY!$B$11:$G$1054,3,FALSE)</f>
        <v>1</v>
      </c>
      <c r="E285" s="56" t="str">
        <f>IF(VLOOKUP(B285,CENY!$B$11:$G$1054,4,FALSE)=0,"",VLOOKUP(B285,CENY!$B$11:$G$1054,4,FALSE))</f>
        <v/>
      </c>
      <c r="F285" s="40" t="str">
        <f t="shared" si="62"/>
        <v/>
      </c>
      <c r="G285" s="52">
        <f>VLOOKUP(B285,CENY!$B$11:$M$1054,12,FALSE)</f>
        <v>23.177009999999999</v>
      </c>
      <c r="H285" s="54" t="str">
        <f t="shared" si="55"/>
        <v xml:space="preserve"> EUR</v>
      </c>
      <c r="I285" s="41" t="str">
        <f t="shared" si="56"/>
        <v/>
      </c>
      <c r="J285" s="122"/>
      <c r="K285" s="42" t="str">
        <f>VLOOKUP(B285,CENY!$B$11:$M$1054,8,FALSE)</f>
        <v xml:space="preserve"> </v>
      </c>
      <c r="L285" s="42" t="str">
        <f>VLOOKUP(B285,CENY!$B$11:$M$1054,9,FALSE)</f>
        <v>397803</v>
      </c>
      <c r="M285" s="32"/>
      <c r="N285" s="35">
        <f t="shared" si="63"/>
        <v>0</v>
      </c>
      <c r="O285" s="36">
        <v>0</v>
      </c>
      <c r="P285" s="325">
        <f>'AVT101'!AZ45</f>
        <v>0</v>
      </c>
      <c r="Q285" s="325">
        <f>'AVT101'!BI73</f>
        <v>0</v>
      </c>
      <c r="R285" s="325">
        <f>'AVT139'!AZ45</f>
        <v>0</v>
      </c>
      <c r="S285" s="325">
        <f>'AVT139'!BI73</f>
        <v>0</v>
      </c>
      <c r="T285" s="325">
        <f>'AVT187'!AZ45</f>
        <v>0</v>
      </c>
      <c r="U285" s="325">
        <f>'AVT187'!BI73</f>
        <v>0</v>
      </c>
      <c r="V285" s="325">
        <f>'AVT251'!AZ37</f>
        <v>0</v>
      </c>
      <c r="W285" s="325">
        <f>'AVT251'!BI60</f>
        <v>0</v>
      </c>
      <c r="X285" s="325">
        <f>AVT187In!AZ37</f>
        <v>0</v>
      </c>
      <c r="Y285" s="325">
        <f>AVT187In!BI59</f>
        <v>0</v>
      </c>
      <c r="Z285" s="325">
        <f>'AVT101(vn-A)'!AZ45</f>
        <v>0</v>
      </c>
      <c r="AA285" s="325">
        <f>'AVT101(vn-A)'!BI73</f>
        <v>0</v>
      </c>
      <c r="AB285" s="325">
        <f>'AVT139(vn-A)'!AZ45</f>
        <v>0</v>
      </c>
      <c r="AC285" s="325">
        <f>'AVT139(vn-A)'!BI73</f>
        <v>0</v>
      </c>
      <c r="AD285" s="325">
        <f>'AVT187(vn-A)'!AZ45</f>
        <v>0</v>
      </c>
      <c r="AE285" s="325">
        <f>'AVT187(vn-A)'!BI73</f>
        <v>0</v>
      </c>
      <c r="AF285" s="325">
        <f>'AVT187In(vn-A)'!AZ37</f>
        <v>0</v>
      </c>
      <c r="AG285" s="325">
        <f>'AVT187In(vn-A)'!BI59</f>
        <v>0</v>
      </c>
      <c r="AH285" s="325">
        <f>'AVT187(vn-S)'!AZ45</f>
        <v>0</v>
      </c>
      <c r="AI285" s="325">
        <f>'AVT187(vn-S)'!BI73</f>
        <v>0</v>
      </c>
      <c r="AJ285" s="325">
        <f>'AVT187In(vn-S)'!AZ37</f>
        <v>0</v>
      </c>
      <c r="AK285" s="325">
        <f>'AVT187In(vn-S)'!BI59</f>
        <v>0</v>
      </c>
      <c r="AL285" s="325">
        <f>'AVT77'!AZ25</f>
        <v>0</v>
      </c>
      <c r="AM285" s="325">
        <f>'AVT77'!BI39</f>
        <v>0</v>
      </c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165"/>
      <c r="BP285" s="165"/>
      <c r="BQ285" s="165"/>
      <c r="BR285" s="165"/>
      <c r="BS285" s="165"/>
      <c r="BT285" s="165"/>
      <c r="BU285" s="165"/>
      <c r="BV285" s="55"/>
      <c r="BW285" s="160"/>
      <c r="BX285" s="32"/>
      <c r="BY285" s="24"/>
      <c r="BZ285" s="24"/>
      <c r="CA285" s="24"/>
      <c r="CB285" s="24"/>
      <c r="CC285" s="24"/>
      <c r="CD285" s="24"/>
      <c r="CE285" s="24"/>
    </row>
    <row r="286" spans="1:83" ht="15" hidden="1" customHeight="1">
      <c r="A286" s="4"/>
      <c r="B286" s="318">
        <f>CENY!B662</f>
        <v>9257892</v>
      </c>
      <c r="C286" s="43" t="str">
        <f>VLOOKUP(B286,CENY!$B$11:$G$1054,2,FALSE)</f>
        <v>Actro You - Push to open Silent; 10-40kg</v>
      </c>
      <c r="D286" s="355">
        <f>VLOOKUP(B286,CENY!$B$11:$G$1054,3,FALSE)</f>
        <v>1</v>
      </c>
      <c r="E286" s="56" t="str">
        <f>IF(VLOOKUP(B286,CENY!$B$11:$G$1054,4,FALSE)=0,"",VLOOKUP(B286,CENY!$B$11:$G$1054,4,FALSE))</f>
        <v/>
      </c>
      <c r="F286" s="40" t="str">
        <f t="shared" si="62"/>
        <v/>
      </c>
      <c r="G286" s="52">
        <f>VLOOKUP(B286,CENY!$B$11:$M$1054,12,FALSE)</f>
        <v>23.177009999999999</v>
      </c>
      <c r="H286" s="54" t="str">
        <f t="shared" si="55"/>
        <v xml:space="preserve"> EUR</v>
      </c>
      <c r="I286" s="41" t="str">
        <f t="shared" si="56"/>
        <v/>
      </c>
      <c r="J286" s="122"/>
      <c r="K286" s="42" t="str">
        <f>VLOOKUP(B286,CENY!$B$11:$M$1054,8,FALSE)</f>
        <v xml:space="preserve"> </v>
      </c>
      <c r="L286" s="42" t="str">
        <f>VLOOKUP(B286,CENY!$B$11:$M$1054,9,FALSE)</f>
        <v>397804</v>
      </c>
      <c r="M286" s="32"/>
      <c r="N286" s="35">
        <f t="shared" si="63"/>
        <v>0</v>
      </c>
      <c r="O286" s="36">
        <v>0</v>
      </c>
      <c r="P286" s="325">
        <f>'AVT101'!AZ46</f>
        <v>0</v>
      </c>
      <c r="Q286" s="325">
        <f>'AVT101'!BI74</f>
        <v>0</v>
      </c>
      <c r="R286" s="325">
        <f>'AVT139'!AZ46</f>
        <v>0</v>
      </c>
      <c r="S286" s="325">
        <f>'AVT139'!BI74</f>
        <v>0</v>
      </c>
      <c r="T286" s="325">
        <f>'AVT187'!AZ46</f>
        <v>0</v>
      </c>
      <c r="U286" s="325">
        <f>'AVT187'!BI74</f>
        <v>0</v>
      </c>
      <c r="V286" s="325">
        <f>'AVT251'!AZ38</f>
        <v>0</v>
      </c>
      <c r="W286" s="325">
        <f>'AVT251'!BI61</f>
        <v>0</v>
      </c>
      <c r="X286" s="325">
        <f>AVT187In!AZ38</f>
        <v>0</v>
      </c>
      <c r="Y286" s="325">
        <f>AVT187In!BI60</f>
        <v>0</v>
      </c>
      <c r="Z286" s="325">
        <f>'AVT101(vn-A)'!AZ46</f>
        <v>0</v>
      </c>
      <c r="AA286" s="325">
        <f>'AVT101(vn-A)'!BI74</f>
        <v>0</v>
      </c>
      <c r="AB286" s="325">
        <f>'AVT139(vn-A)'!AZ46</f>
        <v>0</v>
      </c>
      <c r="AC286" s="325">
        <f>'AVT139(vn-A)'!BI74</f>
        <v>0</v>
      </c>
      <c r="AD286" s="325">
        <f>'AVT187(vn-A)'!AZ46</f>
        <v>0</v>
      </c>
      <c r="AE286" s="325">
        <f>'AVT187(vn-A)'!BI74</f>
        <v>0</v>
      </c>
      <c r="AF286" s="325">
        <f>'AVT187In(vn-A)'!AZ38</f>
        <v>0</v>
      </c>
      <c r="AG286" s="325">
        <f>'AVT187In(vn-A)'!BI60</f>
        <v>0</v>
      </c>
      <c r="AH286" s="325">
        <f>'AVT187(vn-S)'!AZ46</f>
        <v>0</v>
      </c>
      <c r="AI286" s="325">
        <f>'AVT187(vn-S)'!BI74</f>
        <v>0</v>
      </c>
      <c r="AJ286" s="325">
        <f>'AVT187In(vn-S)'!AZ38</f>
        <v>0</v>
      </c>
      <c r="AK286" s="325">
        <f>'AVT187In(vn-S)'!BI60</f>
        <v>0</v>
      </c>
      <c r="AL286" s="325">
        <f>'AVT77'!AZ26</f>
        <v>0</v>
      </c>
      <c r="AM286" s="325">
        <f>'AVT77'!BI40</f>
        <v>0</v>
      </c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165"/>
      <c r="BP286" s="165"/>
      <c r="BQ286" s="165"/>
      <c r="BR286" s="165"/>
      <c r="BS286" s="165"/>
      <c r="BT286" s="165"/>
      <c r="BU286" s="165"/>
      <c r="BV286" s="55"/>
      <c r="BW286" s="160"/>
      <c r="BX286" s="32"/>
      <c r="BY286" s="24"/>
      <c r="BZ286" s="24"/>
      <c r="CA286" s="24"/>
      <c r="CB286" s="24"/>
      <c r="CC286" s="24"/>
      <c r="CD286" s="24"/>
      <c r="CE286" s="24"/>
    </row>
    <row r="287" spans="1:83" ht="15" hidden="1" customHeight="1">
      <c r="A287" s="4"/>
      <c r="B287" s="318">
        <f>CENY!B663</f>
        <v>9257893</v>
      </c>
      <c r="C287" s="43" t="str">
        <f>VLOOKUP(B287,CENY!$B$11:$G$1054,2,FALSE)</f>
        <v>Actro You - Push to open Silent; 20-70kg</v>
      </c>
      <c r="D287" s="355">
        <f>VLOOKUP(B287,CENY!$B$11:$G$1054,3,FALSE)</f>
        <v>1</v>
      </c>
      <c r="E287" s="56" t="str">
        <f>IF(VLOOKUP(B287,CENY!$B$11:$G$1054,4,FALSE)=0,"",VLOOKUP(B287,CENY!$B$11:$G$1054,4,FALSE))</f>
        <v/>
      </c>
      <c r="F287" s="40" t="str">
        <f t="shared" si="62"/>
        <v/>
      </c>
      <c r="G287" s="52">
        <f>VLOOKUP(B287,CENY!$B$11:$M$1054,12,FALSE)</f>
        <v>23.177009999999999</v>
      </c>
      <c r="H287" s="54" t="str">
        <f t="shared" si="55"/>
        <v xml:space="preserve"> EUR</v>
      </c>
      <c r="I287" s="41" t="str">
        <f t="shared" si="56"/>
        <v/>
      </c>
      <c r="J287" s="122"/>
      <c r="K287" s="42" t="str">
        <f>VLOOKUP(B287,CENY!$B$11:$M$1054,8,FALSE)</f>
        <v xml:space="preserve"> </v>
      </c>
      <c r="L287" s="42" t="str">
        <f>VLOOKUP(B287,CENY!$B$11:$M$1054,9,FALSE)</f>
        <v>397805</v>
      </c>
      <c r="M287" s="32"/>
      <c r="N287" s="35">
        <f t="shared" si="63"/>
        <v>0</v>
      </c>
      <c r="O287" s="36">
        <v>0</v>
      </c>
      <c r="P287" s="325">
        <f>'AVT101'!AZ47</f>
        <v>0</v>
      </c>
      <c r="Q287" s="325">
        <f>'AVT101'!BI75</f>
        <v>0</v>
      </c>
      <c r="R287" s="325">
        <f>'AVT139'!AZ47</f>
        <v>0</v>
      </c>
      <c r="S287" s="325">
        <f>'AVT139'!BI75</f>
        <v>0</v>
      </c>
      <c r="T287" s="325">
        <f>'AVT187'!AZ47</f>
        <v>0</v>
      </c>
      <c r="U287" s="325">
        <f>'AVT187'!BI75</f>
        <v>0</v>
      </c>
      <c r="V287" s="325">
        <f>'AVT251'!AZ39</f>
        <v>0</v>
      </c>
      <c r="W287" s="325">
        <f>'AVT251'!BI62</f>
        <v>0</v>
      </c>
      <c r="X287" s="325">
        <f>AVT187In!AZ39</f>
        <v>0</v>
      </c>
      <c r="Y287" s="325">
        <f>AVT187In!BI61</f>
        <v>0</v>
      </c>
      <c r="Z287" s="325">
        <f>'AVT101(vn-A)'!AZ47</f>
        <v>0</v>
      </c>
      <c r="AA287" s="325">
        <f>'AVT101(vn-A)'!BI75</f>
        <v>0</v>
      </c>
      <c r="AB287" s="325">
        <f>'AVT139(vn-A)'!AZ47</f>
        <v>0</v>
      </c>
      <c r="AC287" s="325">
        <f>'AVT139(vn-A)'!BI75</f>
        <v>0</v>
      </c>
      <c r="AD287" s="325">
        <f>'AVT187(vn-A)'!AZ47</f>
        <v>0</v>
      </c>
      <c r="AE287" s="325">
        <f>'AVT187(vn-A)'!BI75</f>
        <v>0</v>
      </c>
      <c r="AF287" s="325">
        <f>'AVT187In(vn-A)'!AZ39</f>
        <v>0</v>
      </c>
      <c r="AG287" s="325">
        <f>'AVT187In(vn-A)'!BI61</f>
        <v>0</v>
      </c>
      <c r="AH287" s="325">
        <f>'AVT187(vn-S)'!AZ47</f>
        <v>0</v>
      </c>
      <c r="AI287" s="325">
        <f>'AVT187(vn-S)'!BI75</f>
        <v>0</v>
      </c>
      <c r="AJ287" s="325">
        <f>'AVT187In(vn-S)'!AZ39</f>
        <v>0</v>
      </c>
      <c r="AK287" s="325">
        <f>'AVT187In(vn-S)'!BI61</f>
        <v>0</v>
      </c>
      <c r="AL287" s="325">
        <f>'AVT77'!AZ27</f>
        <v>0</v>
      </c>
      <c r="AM287" s="325">
        <f>'AVT77'!BI41</f>
        <v>0</v>
      </c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165"/>
      <c r="BP287" s="165"/>
      <c r="BQ287" s="165"/>
      <c r="BR287" s="165"/>
      <c r="BS287" s="165"/>
      <c r="BT287" s="165"/>
      <c r="BU287" s="165"/>
      <c r="BV287" s="55"/>
      <c r="BW287" s="160"/>
      <c r="BX287" s="32"/>
      <c r="BY287" s="24"/>
      <c r="BZ287" s="24"/>
      <c r="CA287" s="24"/>
      <c r="CB287" s="24"/>
      <c r="CC287" s="24"/>
      <c r="CD287" s="24"/>
      <c r="CE287" s="24"/>
    </row>
    <row r="288" spans="1:83" ht="15" hidden="1" customHeight="1">
      <c r="A288" s="4"/>
      <c r="B288" s="318">
        <f>CENY!B664</f>
        <v>9236718</v>
      </c>
      <c r="C288" s="43" t="str">
        <f>VLOOKUP(B288,CENY!$B$11:$G$1054,2,FALSE)</f>
        <v>Push to open Synchro / tyč 2.000 mm</v>
      </c>
      <c r="D288" s="354">
        <f>VLOOKUP(B288,CENY!$B$11:$G$1054,3,FALSE)</f>
        <v>100</v>
      </c>
      <c r="E288" s="56" t="str">
        <f>IF(VLOOKUP(B288,CENY!$B$11:$G$1054,4,FALSE)=0,"",VLOOKUP(B288,CENY!$B$11:$G$1054,4,FALSE))</f>
        <v/>
      </c>
      <c r="F288" s="40" t="str">
        <f t="shared" si="62"/>
        <v/>
      </c>
      <c r="G288" s="52">
        <f>VLOOKUP(B288,CENY!$B$11:$M$1054,12,FALSE)</f>
        <v>8.7567500000000003</v>
      </c>
      <c r="H288" s="54" t="str">
        <f t="shared" si="55"/>
        <v xml:space="preserve"> EUR</v>
      </c>
      <c r="I288" s="41" t="str">
        <f t="shared" si="56"/>
        <v/>
      </c>
      <c r="J288" s="122"/>
      <c r="K288" s="42" t="str">
        <f>VLOOKUP(B288,CENY!$B$11:$M$1054,8,FALSE)</f>
        <v xml:space="preserve"> </v>
      </c>
      <c r="L288" s="42" t="str">
        <f>VLOOKUP(B288,CENY!$B$11:$M$1054,9,FALSE)</f>
        <v>318279</v>
      </c>
      <c r="M288" s="32"/>
      <c r="N288" s="35">
        <f t="shared" si="63"/>
        <v>0</v>
      </c>
      <c r="O288" s="36">
        <v>0</v>
      </c>
      <c r="P288" s="325">
        <f>'AVT101'!AZ48</f>
        <v>0</v>
      </c>
      <c r="Q288" s="325">
        <f>'AVT101'!BI76</f>
        <v>0</v>
      </c>
      <c r="R288" s="325">
        <f>'AVT139'!AZ48</f>
        <v>0</v>
      </c>
      <c r="S288" s="325">
        <f>'AVT139'!BI76</f>
        <v>0</v>
      </c>
      <c r="T288" s="325">
        <f>'AVT187'!AZ48</f>
        <v>0</v>
      </c>
      <c r="U288" s="325">
        <f>'AVT187'!BI76</f>
        <v>0</v>
      </c>
      <c r="V288" s="325">
        <f>'AVT251'!AZ40</f>
        <v>0</v>
      </c>
      <c r="W288" s="325">
        <f>'AVT251'!BI63</f>
        <v>0</v>
      </c>
      <c r="X288" s="325">
        <f>AVT187In!AZ40</f>
        <v>0</v>
      </c>
      <c r="Y288" s="325">
        <f>AVT187In!BI62</f>
        <v>0</v>
      </c>
      <c r="Z288" s="325">
        <f>'AVT101(vn-A)'!AZ48</f>
        <v>0</v>
      </c>
      <c r="AA288" s="325">
        <f>'AVT101(vn-A)'!BI76</f>
        <v>0</v>
      </c>
      <c r="AB288" s="325">
        <f>'AVT139(vn-A)'!AZ48</f>
        <v>0</v>
      </c>
      <c r="AC288" s="325">
        <f>'AVT139(vn-A)'!BI76</f>
        <v>0</v>
      </c>
      <c r="AD288" s="325">
        <f>'AVT187(vn-A)'!AZ48</f>
        <v>0</v>
      </c>
      <c r="AE288" s="325">
        <f>'AVT187(vn-A)'!BI76</f>
        <v>0</v>
      </c>
      <c r="AF288" s="325">
        <f>'AVT187In(vn-A)'!AZ40</f>
        <v>0</v>
      </c>
      <c r="AG288" s="325">
        <f>'AVT187In(vn-A)'!BI62</f>
        <v>0</v>
      </c>
      <c r="AH288" s="325">
        <f>'AVT187(vn-S)'!AZ48</f>
        <v>0</v>
      </c>
      <c r="AI288" s="325">
        <f>'AVT187(vn-S)'!BI76</f>
        <v>0</v>
      </c>
      <c r="AJ288" s="325">
        <f>'AVT187In(vn-S)'!AZ40</f>
        <v>0</v>
      </c>
      <c r="AK288" s="325">
        <f>'AVT187In(vn-S)'!BI62</f>
        <v>0</v>
      </c>
      <c r="AL288" s="325">
        <f>'AVT77'!AZ28</f>
        <v>0</v>
      </c>
      <c r="AM288" s="325">
        <f>'AVT77'!BI42</f>
        <v>0</v>
      </c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165"/>
      <c r="BP288" s="165"/>
      <c r="BQ288" s="165"/>
      <c r="BR288" s="165"/>
      <c r="BS288" s="165"/>
      <c r="BT288" s="165"/>
      <c r="BU288" s="165"/>
      <c r="BV288" s="55"/>
      <c r="BW288" s="160"/>
      <c r="BX288" s="32"/>
      <c r="BY288" s="24"/>
      <c r="BZ288" s="24"/>
      <c r="CA288" s="24"/>
      <c r="CB288" s="24"/>
      <c r="CC288" s="24"/>
      <c r="CD288" s="24"/>
      <c r="CE288" s="24"/>
    </row>
    <row r="289" spans="1:83" ht="15" hidden="1" customHeight="1">
      <c r="A289" s="4"/>
      <c r="B289" s="318">
        <f>CENY!B665</f>
        <v>9221295</v>
      </c>
      <c r="C289" s="43" t="str">
        <f>VLOOKUP(B289,CENY!$B$11:$G$1054,2,FALSE)</f>
        <v>Push to open Synchro / spojka</v>
      </c>
      <c r="D289" s="354">
        <f>VLOOKUP(B289,CENY!$B$11:$G$1054,3,FALSE)</f>
        <v>20</v>
      </c>
      <c r="E289" s="56" t="str">
        <f>IF(VLOOKUP(B289,CENY!$B$11:$G$1054,4,FALSE)=0,"",VLOOKUP(B289,CENY!$B$11:$G$1054,4,FALSE))</f>
        <v/>
      </c>
      <c r="F289" s="40" t="str">
        <f t="shared" si="62"/>
        <v/>
      </c>
      <c r="G289" s="52">
        <f>VLOOKUP(B289,CENY!$B$11:$M$1054,12,FALSE)</f>
        <v>0.79318999999999995</v>
      </c>
      <c r="H289" s="54" t="str">
        <f t="shared" si="55"/>
        <v xml:space="preserve"> EUR</v>
      </c>
      <c r="I289" s="41" t="str">
        <f t="shared" si="56"/>
        <v/>
      </c>
      <c r="J289" s="122"/>
      <c r="K289" s="42" t="str">
        <f>VLOOKUP(B289,CENY!$B$11:$M$1054,8,FALSE)</f>
        <v xml:space="preserve"> </v>
      </c>
      <c r="L289" s="42" t="str">
        <f>VLOOKUP(B289,CENY!$B$11:$M$1054,9,FALSE)</f>
        <v>318281</v>
      </c>
      <c r="M289" s="32"/>
      <c r="N289" s="35">
        <f t="shared" si="63"/>
        <v>0</v>
      </c>
      <c r="O289" s="36">
        <v>0</v>
      </c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165"/>
      <c r="BP289" s="165"/>
      <c r="BQ289" s="165"/>
      <c r="BR289" s="165"/>
      <c r="BS289" s="165"/>
      <c r="BT289" s="165"/>
      <c r="BU289" s="165"/>
      <c r="BV289" s="55"/>
      <c r="BW289" s="160"/>
      <c r="BX289" s="32"/>
      <c r="BY289" s="24"/>
      <c r="BZ289" s="24"/>
      <c r="CA289" s="24"/>
      <c r="CB289" s="24"/>
      <c r="CC289" s="24"/>
      <c r="CD289" s="24"/>
      <c r="CE289" s="24"/>
    </row>
    <row r="290" spans="1:83" ht="15" hidden="1" customHeight="1">
      <c r="A290" s="4"/>
      <c r="B290" s="318">
        <f>CENY!B666</f>
        <v>9278452</v>
      </c>
      <c r="C290" s="43" t="str">
        <f>VLOOKUP(B290,CENY!$B$11:$G$1054,2,FALSE)</f>
        <v>Push to open Synchro /dvojitý adap.Actro</v>
      </c>
      <c r="D290" s="354">
        <f>VLOOKUP(B290,CENY!$B$11:$G$1054,3,FALSE)</f>
        <v>20</v>
      </c>
      <c r="E290" s="56" t="str">
        <f>IF(VLOOKUP(B290,CENY!$B$11:$G$1054,4,FALSE)=0,"",VLOOKUP(B290,CENY!$B$11:$G$1054,4,FALSE))</f>
        <v/>
      </c>
      <c r="F290" s="40" t="str">
        <f t="shared" si="62"/>
        <v/>
      </c>
      <c r="G290" s="52">
        <f>VLOOKUP(B290,CENY!$B$11:$M$1054,12,FALSE)</f>
        <v>2.2426300000000001</v>
      </c>
      <c r="H290" s="54" t="str">
        <f t="shared" si="55"/>
        <v xml:space="preserve"> EUR</v>
      </c>
      <c r="I290" s="41" t="str">
        <f t="shared" si="56"/>
        <v/>
      </c>
      <c r="J290" s="122"/>
      <c r="K290" s="42" t="str">
        <f>VLOOKUP(B290,CENY!$B$11:$M$1054,8,FALSE)</f>
        <v xml:space="preserve"> </v>
      </c>
      <c r="L290" s="42" t="str">
        <f>VLOOKUP(B290,CENY!$B$11:$M$1054,9,FALSE)</f>
        <v>462468</v>
      </c>
      <c r="M290" s="32"/>
      <c r="N290" s="35">
        <f t="shared" si="63"/>
        <v>0</v>
      </c>
      <c r="O290" s="36">
        <v>0</v>
      </c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165"/>
      <c r="BP290" s="165"/>
      <c r="BQ290" s="165"/>
      <c r="BR290" s="165"/>
      <c r="BS290" s="165"/>
      <c r="BT290" s="165"/>
      <c r="BU290" s="165"/>
      <c r="BV290" s="55"/>
      <c r="BW290" s="160"/>
      <c r="BX290" s="32"/>
      <c r="BY290" s="24"/>
      <c r="BZ290" s="24"/>
      <c r="CA290" s="24"/>
      <c r="CB290" s="24"/>
      <c r="CC290" s="24"/>
      <c r="CD290" s="24"/>
      <c r="CE290" s="24"/>
    </row>
    <row r="291" spans="1:83" ht="15" hidden="1" customHeight="1">
      <c r="A291" s="4"/>
      <c r="B291" s="318">
        <f>CENY!B667</f>
        <v>9262213</v>
      </c>
      <c r="C291" s="43" t="str">
        <f>VLOOKUP(B291,CENY!$B$11:$G$1054,2,FALSE)</f>
        <v>Push to open Synchro /flexibilný adaptér</v>
      </c>
      <c r="D291" s="354">
        <f>VLOOKUP(B291,CENY!$B$11:$G$1054,3,FALSE)</f>
        <v>20</v>
      </c>
      <c r="E291" s="56" t="str">
        <f>IF(VLOOKUP(B291,CENY!$B$11:$G$1054,4,FALSE)=0,"",VLOOKUP(B291,CENY!$B$11:$G$1054,4,FALSE))</f>
        <v/>
      </c>
      <c r="F291" s="40" t="str">
        <f t="shared" si="62"/>
        <v/>
      </c>
      <c r="G291" s="52">
        <f>VLOOKUP(B291,CENY!$B$11:$M$1054,12,FALSE)</f>
        <v>4.8308</v>
      </c>
      <c r="H291" s="54" t="str">
        <f t="shared" si="55"/>
        <v xml:space="preserve"> EUR</v>
      </c>
      <c r="I291" s="41" t="str">
        <f t="shared" si="56"/>
        <v/>
      </c>
      <c r="J291" s="122"/>
      <c r="K291" s="42" t="str">
        <f>VLOOKUP(B291,CENY!$B$11:$M$1054,8,FALSE)</f>
        <v xml:space="preserve"> </v>
      </c>
      <c r="L291" s="42" t="str">
        <f>VLOOKUP(B291,CENY!$B$11:$M$1054,9,FALSE)</f>
        <v>489987</v>
      </c>
      <c r="M291" s="32"/>
      <c r="N291" s="35">
        <f t="shared" si="63"/>
        <v>0</v>
      </c>
      <c r="O291" s="36">
        <v>0</v>
      </c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165"/>
      <c r="BP291" s="165"/>
      <c r="BQ291" s="165"/>
      <c r="BR291" s="165"/>
      <c r="BS291" s="165"/>
      <c r="BT291" s="165"/>
      <c r="BU291" s="165"/>
      <c r="BV291" s="55"/>
      <c r="BW291" s="160"/>
      <c r="BX291" s="32"/>
      <c r="BY291" s="24"/>
      <c r="BZ291" s="24"/>
      <c r="CA291" s="24"/>
      <c r="CB291" s="24"/>
      <c r="CC291" s="24"/>
      <c r="CD291" s="24"/>
      <c r="CE291" s="24"/>
    </row>
    <row r="292" spans="1:83" ht="15" hidden="1" customHeight="1">
      <c r="A292" s="4"/>
      <c r="B292" s="318">
        <f>CENY!B668</f>
        <v>9278453</v>
      </c>
      <c r="C292" s="43" t="str">
        <f>VLOOKUP(B292,CENY!$B$11:$G$1054,2,FALSE)</f>
        <v>Push to open Synchro /posunutie tyče</v>
      </c>
      <c r="D292" s="355">
        <f>VLOOKUP(B292,CENY!$B$11:$G$1054,3,FALSE)</f>
        <v>1</v>
      </c>
      <c r="E292" s="56" t="str">
        <f>IF(VLOOKUP(B292,CENY!$B$11:$G$1054,4,FALSE)=0,"",VLOOKUP(B292,CENY!$B$11:$G$1054,4,FALSE))</f>
        <v/>
      </c>
      <c r="F292" s="40" t="str">
        <f t="shared" si="62"/>
        <v/>
      </c>
      <c r="G292" s="52">
        <f>VLOOKUP(B292,CENY!$B$11:$M$1054,12,FALSE)</f>
        <v>49.761980000000001</v>
      </c>
      <c r="H292" s="54" t="str">
        <f t="shared" si="55"/>
        <v xml:space="preserve"> EUR</v>
      </c>
      <c r="I292" s="41" t="str">
        <f t="shared" si="56"/>
        <v/>
      </c>
      <c r="J292" s="122"/>
      <c r="K292" s="42" t="str">
        <f>VLOOKUP(B292,CENY!$B$11:$M$1054,8,FALSE)</f>
        <v xml:space="preserve"> </v>
      </c>
      <c r="L292" s="42" t="str">
        <f>VLOOKUP(B292,CENY!$B$11:$M$1054,9,FALSE)</f>
        <v>467233</v>
      </c>
      <c r="M292" s="32"/>
      <c r="N292" s="35">
        <f t="shared" si="63"/>
        <v>0</v>
      </c>
      <c r="O292" s="36">
        <v>0</v>
      </c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165"/>
      <c r="BP292" s="165"/>
      <c r="BQ292" s="165"/>
      <c r="BR292" s="165"/>
      <c r="BS292" s="165"/>
      <c r="BT292" s="165"/>
      <c r="BU292" s="165"/>
      <c r="BV292" s="55"/>
      <c r="BW292" s="160"/>
      <c r="BX292" s="32"/>
      <c r="BY292" s="24"/>
      <c r="BZ292" s="24"/>
      <c r="CA292" s="24"/>
      <c r="CB292" s="24"/>
      <c r="CC292" s="24"/>
      <c r="CD292" s="24"/>
      <c r="CE292" s="24"/>
    </row>
    <row r="293" spans="1:83" ht="8.1" hidden="1" customHeight="1">
      <c r="A293" s="4"/>
      <c r="B293" s="126"/>
      <c r="C293" s="43"/>
      <c r="D293" s="39"/>
      <c r="E293" s="56"/>
      <c r="F293" s="60"/>
      <c r="G293" s="52"/>
      <c r="H293" s="54"/>
      <c r="I293" s="41"/>
      <c r="J293" s="122"/>
      <c r="K293" s="42"/>
      <c r="L293" s="42"/>
      <c r="M293" s="32"/>
      <c r="N293" s="35"/>
      <c r="O293" s="36">
        <v>0</v>
      </c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165"/>
      <c r="BP293" s="165"/>
      <c r="BQ293" s="165"/>
      <c r="BR293" s="165"/>
      <c r="BS293" s="165"/>
      <c r="BT293" s="165"/>
      <c r="BU293" s="165"/>
      <c r="BV293" s="55"/>
      <c r="BW293" s="160"/>
      <c r="BX293" s="32"/>
      <c r="BY293" s="24"/>
      <c r="BZ293" s="24"/>
      <c r="CA293" s="24"/>
      <c r="CB293" s="24"/>
      <c r="CC293" s="24"/>
      <c r="CD293" s="24"/>
      <c r="CE293" s="24"/>
    </row>
    <row r="294" spans="1:83" ht="15" hidden="1" customHeight="1">
      <c r="A294" s="4"/>
      <c r="B294" s="318">
        <f>CENY!B670</f>
        <v>9256953</v>
      </c>
      <c r="C294" s="43" t="str">
        <f>VLOOKUP(B294,CENY!$B$11:$G$1054,2,FALSE)</f>
        <v>Quadro You(S) 270/SiSy 10kg; EB21</v>
      </c>
      <c r="D294" s="364">
        <f>VLOOKUP(B294,CENY!$B$11:$G$1054,3,FALSE)</f>
        <v>1</v>
      </c>
      <c r="E294" s="56" t="str">
        <f>IF(VLOOKUP(B294,CENY!$B$11:$G$1054,4,FALSE)=0,"",VLOOKUP(B294,CENY!$B$11:$G$1054,4,FALSE))</f>
        <v/>
      </c>
      <c r="F294" s="40" t="str">
        <f t="shared" ref="F294:F302" si="64">IF(J294&lt;&gt;"",J294,IF(N294=0,"",N294))</f>
        <v/>
      </c>
      <c r="G294" s="52">
        <f>VLOOKUP(B294,CENY!$B$11:$M$1054,12,FALSE)</f>
        <v>23.022449999999999</v>
      </c>
      <c r="H294" s="54" t="str">
        <f t="shared" si="55"/>
        <v xml:space="preserve"> EUR</v>
      </c>
      <c r="I294" s="41" t="str">
        <f t="shared" si="56"/>
        <v/>
      </c>
      <c r="J294" s="122"/>
      <c r="K294" s="42" t="str">
        <f>VLOOKUP(B294,CENY!$B$11:$M$1054,8,FALSE)</f>
        <v xml:space="preserve"> </v>
      </c>
      <c r="L294" s="42" t="str">
        <f>VLOOKUP(B294,CENY!$B$11:$M$1054,9,FALSE)</f>
        <v>518547</v>
      </c>
      <c r="M294" s="32"/>
      <c r="N294" s="35">
        <f t="shared" ref="N294:N302" si="65">SUM(P294:BW294)</f>
        <v>0</v>
      </c>
      <c r="O294" s="36">
        <v>0</v>
      </c>
      <c r="P294" s="325">
        <f>'AVT101'!AZ50</f>
        <v>0</v>
      </c>
      <c r="Q294" s="32"/>
      <c r="R294" s="325">
        <f>'AVT139'!AZ50</f>
        <v>0</v>
      </c>
      <c r="S294" s="32"/>
      <c r="T294" s="325">
        <f>'AVT187'!AZ50</f>
        <v>0</v>
      </c>
      <c r="U294" s="32"/>
      <c r="V294" s="32"/>
      <c r="W294" s="32"/>
      <c r="X294" s="32"/>
      <c r="Y294" s="32"/>
      <c r="Z294" s="325">
        <f>'AVT101(vn-A)'!AZ50</f>
        <v>0</v>
      </c>
      <c r="AA294" s="32"/>
      <c r="AB294" s="32"/>
      <c r="AC294" s="32"/>
      <c r="AD294" s="325">
        <f>'AVT187(vn-A)'!AZ50</f>
        <v>0</v>
      </c>
      <c r="AE294" s="32"/>
      <c r="AF294" s="32"/>
      <c r="AG294" s="32"/>
      <c r="AH294" s="325">
        <f>'AVT187(vn-S)'!AZ50</f>
        <v>0</v>
      </c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165"/>
      <c r="BP294" s="165"/>
      <c r="BQ294" s="165"/>
      <c r="BR294" s="165"/>
      <c r="BS294" s="165"/>
      <c r="BT294" s="165"/>
      <c r="BU294" s="165"/>
      <c r="BV294" s="55"/>
      <c r="BW294" s="160"/>
      <c r="BX294" s="32"/>
      <c r="BY294" s="24"/>
      <c r="BZ294" s="24"/>
      <c r="CA294" s="24"/>
      <c r="CB294" s="24"/>
      <c r="CC294" s="24"/>
      <c r="CD294" s="24"/>
      <c r="CE294" s="24"/>
    </row>
    <row r="295" spans="1:83" ht="15" hidden="1" customHeight="1">
      <c r="A295" s="4"/>
      <c r="B295" s="318">
        <f>CENY!B671</f>
        <v>9256954</v>
      </c>
      <c r="C295" s="43" t="str">
        <f>VLOOKUP(B295,CENY!$B$11:$G$1054,2,FALSE)</f>
        <v>Quadro You(S) 300/SiSy 10kg; EB21</v>
      </c>
      <c r="D295" s="364">
        <f>VLOOKUP(B295,CENY!$B$11:$G$1054,3,FALSE)</f>
        <v>1</v>
      </c>
      <c r="E295" s="56" t="str">
        <f>IF(VLOOKUP(B295,CENY!$B$11:$G$1054,4,FALSE)=0,"",VLOOKUP(B295,CENY!$B$11:$G$1054,4,FALSE))</f>
        <v/>
      </c>
      <c r="F295" s="40" t="str">
        <f t="shared" si="64"/>
        <v/>
      </c>
      <c r="G295" s="52">
        <f>VLOOKUP(B295,CENY!$B$11:$M$1054,12,FALSE)</f>
        <v>23.069210000000002</v>
      </c>
      <c r="H295" s="54" t="str">
        <f t="shared" si="55"/>
        <v xml:space="preserve"> EUR</v>
      </c>
      <c r="I295" s="41" t="str">
        <f t="shared" si="56"/>
        <v/>
      </c>
      <c r="J295" s="122"/>
      <c r="K295" s="42" t="str">
        <f>VLOOKUP(B295,CENY!$B$11:$M$1054,8,FALSE)</f>
        <v xml:space="preserve"> </v>
      </c>
      <c r="L295" s="42" t="str">
        <f>VLOOKUP(B295,CENY!$B$11:$M$1054,9,FALSE)</f>
        <v>518548</v>
      </c>
      <c r="M295" s="32"/>
      <c r="N295" s="35">
        <f t="shared" si="65"/>
        <v>0</v>
      </c>
      <c r="O295" s="36">
        <v>0</v>
      </c>
      <c r="P295" s="325">
        <f>'AVT101'!AZ51</f>
        <v>0</v>
      </c>
      <c r="Q295" s="32"/>
      <c r="R295" s="325">
        <f>'AVT139'!AZ51</f>
        <v>0</v>
      </c>
      <c r="S295" s="32"/>
      <c r="T295" s="325">
        <f>'AVT187'!AZ51</f>
        <v>0</v>
      </c>
      <c r="U295" s="32"/>
      <c r="V295" s="32"/>
      <c r="W295" s="32"/>
      <c r="X295" s="32"/>
      <c r="Y295" s="32"/>
      <c r="Z295" s="325">
        <f>'AVT101(vn-A)'!AZ51</f>
        <v>0</v>
      </c>
      <c r="AA295" s="32"/>
      <c r="AB295" s="325">
        <f>'AVT139(vn-A)'!AZ51</f>
        <v>0</v>
      </c>
      <c r="AC295" s="32"/>
      <c r="AD295" s="325">
        <f>'AVT187(vn-A)'!AZ51</f>
        <v>0</v>
      </c>
      <c r="AE295" s="32"/>
      <c r="AF295" s="32"/>
      <c r="AG295" s="32"/>
      <c r="AH295" s="325">
        <f>'AVT187(vn-S)'!AZ51</f>
        <v>0</v>
      </c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165"/>
      <c r="BP295" s="165"/>
      <c r="BQ295" s="165"/>
      <c r="BR295" s="165"/>
      <c r="BS295" s="165"/>
      <c r="BT295" s="165"/>
      <c r="BU295" s="165"/>
      <c r="BV295" s="55"/>
      <c r="BW295" s="160"/>
      <c r="BX295" s="32"/>
      <c r="BY295" s="24"/>
      <c r="BZ295" s="24"/>
      <c r="CA295" s="24"/>
      <c r="CB295" s="24"/>
      <c r="CC295" s="24"/>
      <c r="CD295" s="24"/>
      <c r="CE295" s="24"/>
    </row>
    <row r="296" spans="1:83" ht="15" hidden="1" customHeight="1">
      <c r="A296" s="4"/>
      <c r="B296" s="318">
        <f>CENY!B672</f>
        <v>9256956</v>
      </c>
      <c r="C296" s="43" t="str">
        <f>VLOOKUP(B296,CENY!$B$11:$G$1054,2,FALSE)</f>
        <v>Quadro You(S) 350/SiSy 10kg; EB21</v>
      </c>
      <c r="D296" s="364">
        <f>VLOOKUP(B296,CENY!$B$11:$G$1054,3,FALSE)</f>
        <v>1</v>
      </c>
      <c r="E296" s="56" t="str">
        <f>IF(VLOOKUP(B296,CENY!$B$11:$G$1054,4,FALSE)=0,"",VLOOKUP(B296,CENY!$B$11:$G$1054,4,FALSE))</f>
        <v/>
      </c>
      <c r="F296" s="40" t="str">
        <f t="shared" si="64"/>
        <v/>
      </c>
      <c r="G296" s="52">
        <f>VLOOKUP(B296,CENY!$B$11:$M$1054,12,FALSE)</f>
        <v>23.536069999999999</v>
      </c>
      <c r="H296" s="54" t="str">
        <f t="shared" ref="H296:H358" si="66">IF(G296="","",$H$22)</f>
        <v xml:space="preserve"> EUR</v>
      </c>
      <c r="I296" s="41" t="str">
        <f t="shared" ref="I296:I358" si="67">IF(F296="","",G296*F296)</f>
        <v/>
      </c>
      <c r="J296" s="122"/>
      <c r="K296" s="42" t="str">
        <f>VLOOKUP(B296,CENY!$B$11:$M$1054,8,FALSE)</f>
        <v xml:space="preserve"> </v>
      </c>
      <c r="L296" s="42" t="str">
        <f>VLOOKUP(B296,CENY!$B$11:$M$1054,9,FALSE)</f>
        <v>518549</v>
      </c>
      <c r="M296" s="32"/>
      <c r="N296" s="35">
        <f t="shared" si="65"/>
        <v>0</v>
      </c>
      <c r="O296" s="36">
        <v>0</v>
      </c>
      <c r="P296" s="325">
        <f>'AVT101'!AZ52</f>
        <v>0</v>
      </c>
      <c r="Q296" s="32"/>
      <c r="R296" s="325">
        <f>'AVT139'!AZ52</f>
        <v>0</v>
      </c>
      <c r="S296" s="32"/>
      <c r="T296" s="325">
        <f>'AVT187'!AZ52</f>
        <v>0</v>
      </c>
      <c r="U296" s="32"/>
      <c r="V296" s="325">
        <f>'AVT251'!AZ42</f>
        <v>0</v>
      </c>
      <c r="W296" s="32"/>
      <c r="X296" s="325">
        <f>AVT187In!AZ42</f>
        <v>0</v>
      </c>
      <c r="Y296" s="32"/>
      <c r="Z296" s="325">
        <f>'AVT101(vn-A)'!AZ52</f>
        <v>0</v>
      </c>
      <c r="AA296" s="32"/>
      <c r="AB296" s="325">
        <f>'AVT139(vn-A)'!AZ52</f>
        <v>0</v>
      </c>
      <c r="AC296" s="32"/>
      <c r="AD296" s="325">
        <f>'AVT187(vn-A)'!AZ52</f>
        <v>0</v>
      </c>
      <c r="AE296" s="32"/>
      <c r="AF296" s="325">
        <f>'AVT187In(vn-A)'!AZ42</f>
        <v>0</v>
      </c>
      <c r="AG296" s="32"/>
      <c r="AH296" s="325">
        <f>'AVT187(vn-S)'!AZ52</f>
        <v>0</v>
      </c>
      <c r="AI296" s="32"/>
      <c r="AJ296" s="325">
        <f>'AVT187In(vn-S)'!AZ42</f>
        <v>0</v>
      </c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165"/>
      <c r="BP296" s="165"/>
      <c r="BQ296" s="165"/>
      <c r="BR296" s="165"/>
      <c r="BS296" s="165"/>
      <c r="BT296" s="165"/>
      <c r="BU296" s="165"/>
      <c r="BV296" s="55"/>
      <c r="BW296" s="160"/>
      <c r="BX296" s="32"/>
      <c r="BY296" s="24"/>
      <c r="BZ296" s="24"/>
      <c r="CA296" s="24"/>
      <c r="CB296" s="24"/>
      <c r="CC296" s="24"/>
      <c r="CD296" s="24"/>
      <c r="CE296" s="24"/>
    </row>
    <row r="297" spans="1:83" ht="15" hidden="1" customHeight="1">
      <c r="A297" s="4"/>
      <c r="B297" s="318">
        <f>CENY!B673</f>
        <v>9256944</v>
      </c>
      <c r="C297" s="43" t="str">
        <f>VLOOKUP(B297,CENY!$B$11:$G$1054,2,FALSE)</f>
        <v>Quadro You(S) 270/SiSy 10kg; EB21; ľavý</v>
      </c>
      <c r="D297" s="353">
        <f>VLOOKUP(B297,CENY!$B$11:$G$1054,3,FALSE)</f>
        <v>20</v>
      </c>
      <c r="E297" s="56" t="str">
        <f>IF(VLOOKUP(B297,CENY!$B$11:$G$1054,4,FALSE)=0,"",VLOOKUP(B297,CENY!$B$11:$G$1054,4,FALSE))</f>
        <v/>
      </c>
      <c r="F297" s="40" t="str">
        <f t="shared" si="64"/>
        <v/>
      </c>
      <c r="G297" s="52">
        <f>VLOOKUP(B297,CENY!$B$11:$M$1054,12,FALSE)</f>
        <v>10.7646</v>
      </c>
      <c r="H297" s="54" t="str">
        <f t="shared" si="66"/>
        <v xml:space="preserve"> EUR</v>
      </c>
      <c r="I297" s="41" t="str">
        <f t="shared" si="67"/>
        <v/>
      </c>
      <c r="J297" s="122"/>
      <c r="K297" s="42" t="str">
        <f>VLOOKUP(B297,CENY!$B$11:$M$1054,8,FALSE)</f>
        <v xml:space="preserve"> </v>
      </c>
      <c r="L297" s="42" t="str">
        <f>VLOOKUP(B297,CENY!$B$11:$M$1054,9,FALSE)</f>
        <v>397806</v>
      </c>
      <c r="M297" s="32"/>
      <c r="N297" s="35">
        <f t="shared" si="65"/>
        <v>0</v>
      </c>
      <c r="O297" s="36">
        <v>0</v>
      </c>
      <c r="P297" s="32"/>
      <c r="Q297" s="325">
        <f>'AVT101'!BI78</f>
        <v>0</v>
      </c>
      <c r="R297" s="32"/>
      <c r="S297" s="325">
        <f>'AVT139'!BI78</f>
        <v>0</v>
      </c>
      <c r="T297" s="32"/>
      <c r="U297" s="325">
        <f>'AVT187'!BI78</f>
        <v>0</v>
      </c>
      <c r="V297" s="32"/>
      <c r="W297" s="32"/>
      <c r="X297" s="32"/>
      <c r="Y297" s="32"/>
      <c r="Z297" s="32"/>
      <c r="AA297" s="325">
        <f>'AVT101(vn-A)'!BI78</f>
        <v>0</v>
      </c>
      <c r="AB297" s="32"/>
      <c r="AC297" s="32"/>
      <c r="AD297" s="32"/>
      <c r="AE297" s="325">
        <f>'AVT187(vn-A)'!BI78</f>
        <v>0</v>
      </c>
      <c r="AF297" s="32"/>
      <c r="AG297" s="32"/>
      <c r="AH297" s="32"/>
      <c r="AI297" s="325">
        <f>'AVT187(vn-S)'!BI78</f>
        <v>0</v>
      </c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165"/>
      <c r="BP297" s="165"/>
      <c r="BQ297" s="165"/>
      <c r="BR297" s="165"/>
      <c r="BS297" s="165"/>
      <c r="BT297" s="165"/>
      <c r="BU297" s="165"/>
      <c r="BV297" s="55"/>
      <c r="BW297" s="160"/>
      <c r="BX297" s="32"/>
      <c r="BY297" s="24"/>
      <c r="BZ297" s="24"/>
      <c r="CA297" s="24"/>
      <c r="CB297" s="24"/>
      <c r="CC297" s="24"/>
      <c r="CD297" s="24"/>
      <c r="CE297" s="24"/>
    </row>
    <row r="298" spans="1:83" ht="15" hidden="1" customHeight="1">
      <c r="A298" s="4"/>
      <c r="B298" s="318">
        <f>CENY!B674</f>
        <v>9256945</v>
      </c>
      <c r="C298" s="43" t="str">
        <f>VLOOKUP(B298,CENY!$B$11:$G$1054,2,FALSE)</f>
        <v>Quadro You(S) 270/SiSy 10kg; EB21; pravý</v>
      </c>
      <c r="D298" s="353">
        <f>VLOOKUP(B298,CENY!$B$11:$G$1054,3,FALSE)</f>
        <v>20</v>
      </c>
      <c r="E298" s="56" t="str">
        <f>IF(VLOOKUP(B298,CENY!$B$11:$G$1054,4,FALSE)=0,"",VLOOKUP(B298,CENY!$B$11:$G$1054,4,FALSE))</f>
        <v/>
      </c>
      <c r="F298" s="40" t="str">
        <f t="shared" si="64"/>
        <v/>
      </c>
      <c r="G298" s="52">
        <f>VLOOKUP(B298,CENY!$B$11:$M$1054,12,FALSE)</f>
        <v>10.7646</v>
      </c>
      <c r="H298" s="54" t="str">
        <f t="shared" si="66"/>
        <v xml:space="preserve"> EUR</v>
      </c>
      <c r="I298" s="41" t="str">
        <f t="shared" si="67"/>
        <v/>
      </c>
      <c r="J298" s="122"/>
      <c r="K298" s="42" t="str">
        <f>VLOOKUP(B298,CENY!$B$11:$M$1054,8,FALSE)</f>
        <v xml:space="preserve"> </v>
      </c>
      <c r="L298" s="42" t="str">
        <f>VLOOKUP(B298,CENY!$B$11:$M$1054,9,FALSE)</f>
        <v>397807</v>
      </c>
      <c r="M298" s="32"/>
      <c r="N298" s="35">
        <f t="shared" si="65"/>
        <v>0</v>
      </c>
      <c r="O298" s="36">
        <v>0</v>
      </c>
      <c r="P298" s="32"/>
      <c r="Q298" s="325">
        <f>'AVT101'!BI79</f>
        <v>0</v>
      </c>
      <c r="R298" s="32"/>
      <c r="S298" s="325">
        <f>'AVT139'!BI79</f>
        <v>0</v>
      </c>
      <c r="T298" s="32"/>
      <c r="U298" s="325">
        <f>'AVT187'!BI79</f>
        <v>0</v>
      </c>
      <c r="V298" s="32"/>
      <c r="W298" s="32"/>
      <c r="X298" s="32"/>
      <c r="Y298" s="32"/>
      <c r="Z298" s="32"/>
      <c r="AA298" s="325">
        <f>'AVT101(vn-A)'!BI79</f>
        <v>0</v>
      </c>
      <c r="AB298" s="32"/>
      <c r="AC298" s="32"/>
      <c r="AD298" s="32"/>
      <c r="AE298" s="325">
        <f>'AVT187(vn-A)'!BI79</f>
        <v>0</v>
      </c>
      <c r="AF298" s="32"/>
      <c r="AG298" s="32"/>
      <c r="AH298" s="32"/>
      <c r="AI298" s="325">
        <f>'AVT187(vn-S)'!BI79</f>
        <v>0</v>
      </c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165"/>
      <c r="BP298" s="165"/>
      <c r="BQ298" s="165"/>
      <c r="BR298" s="165"/>
      <c r="BS298" s="165"/>
      <c r="BT298" s="165"/>
      <c r="BU298" s="165"/>
      <c r="BV298" s="55"/>
      <c r="BW298" s="160"/>
      <c r="BX298" s="32"/>
      <c r="BY298" s="24"/>
      <c r="BZ298" s="24"/>
      <c r="CA298" s="24"/>
      <c r="CB298" s="24"/>
      <c r="CC298" s="24"/>
      <c r="CD298" s="24"/>
      <c r="CE298" s="24"/>
    </row>
    <row r="299" spans="1:83" ht="15" hidden="1" customHeight="1">
      <c r="A299" s="4"/>
      <c r="B299" s="318">
        <f>CENY!B675</f>
        <v>9256946</v>
      </c>
      <c r="C299" s="43" t="str">
        <f>VLOOKUP(B299,CENY!$B$11:$G$1054,2,FALSE)</f>
        <v>Quadro You(S) 300/SiSy 10kg; EB21; ľavý</v>
      </c>
      <c r="D299" s="353">
        <f>VLOOKUP(B299,CENY!$B$11:$G$1054,3,FALSE)</f>
        <v>20</v>
      </c>
      <c r="E299" s="56" t="str">
        <f>IF(VLOOKUP(B299,CENY!$B$11:$G$1054,4,FALSE)=0,"",VLOOKUP(B299,CENY!$B$11:$G$1054,4,FALSE))</f>
        <v/>
      </c>
      <c r="F299" s="40" t="str">
        <f t="shared" si="64"/>
        <v/>
      </c>
      <c r="G299" s="52">
        <f>VLOOKUP(B299,CENY!$B$11:$M$1054,12,FALSE)</f>
        <v>10.787739999999999</v>
      </c>
      <c r="H299" s="54" t="str">
        <f t="shared" si="66"/>
        <v xml:space="preserve"> EUR</v>
      </c>
      <c r="I299" s="41" t="str">
        <f t="shared" si="67"/>
        <v/>
      </c>
      <c r="J299" s="122"/>
      <c r="K299" s="42" t="str">
        <f>VLOOKUP(B299,CENY!$B$11:$M$1054,8,FALSE)</f>
        <v xml:space="preserve"> </v>
      </c>
      <c r="L299" s="42" t="str">
        <f>VLOOKUP(B299,CENY!$B$11:$M$1054,9,FALSE)</f>
        <v>397808</v>
      </c>
      <c r="M299" s="32"/>
      <c r="N299" s="35">
        <f t="shared" si="65"/>
        <v>0</v>
      </c>
      <c r="O299" s="36">
        <v>0</v>
      </c>
      <c r="P299" s="32"/>
      <c r="Q299" s="325">
        <f>'AVT101'!BI80</f>
        <v>0</v>
      </c>
      <c r="R299" s="32"/>
      <c r="S299" s="325">
        <f>'AVT139'!BI80</f>
        <v>0</v>
      </c>
      <c r="T299" s="32"/>
      <c r="U299" s="325">
        <f>'AVT187'!BI80</f>
        <v>0</v>
      </c>
      <c r="V299" s="32"/>
      <c r="W299" s="32"/>
      <c r="X299" s="32"/>
      <c r="Y299" s="32"/>
      <c r="Z299" s="32"/>
      <c r="AA299" s="325">
        <f>'AVT101(vn-A)'!BI80</f>
        <v>0</v>
      </c>
      <c r="AB299" s="32"/>
      <c r="AC299" s="325">
        <f>'AVT139(vn-A)'!BI80</f>
        <v>0</v>
      </c>
      <c r="AD299" s="32"/>
      <c r="AE299" s="325">
        <f>'AVT187(vn-A)'!BI80</f>
        <v>0</v>
      </c>
      <c r="AF299" s="32"/>
      <c r="AG299" s="32"/>
      <c r="AH299" s="32"/>
      <c r="AI299" s="325">
        <f>'AVT187(vn-S)'!BI80</f>
        <v>0</v>
      </c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165"/>
      <c r="BP299" s="165"/>
      <c r="BQ299" s="165"/>
      <c r="BR299" s="165"/>
      <c r="BS299" s="165"/>
      <c r="BT299" s="165"/>
      <c r="BU299" s="165"/>
      <c r="BV299" s="55"/>
      <c r="BW299" s="160"/>
      <c r="BX299" s="32"/>
      <c r="BY299" s="24"/>
      <c r="BZ299" s="24"/>
      <c r="CA299" s="24"/>
      <c r="CB299" s="24"/>
      <c r="CC299" s="24"/>
      <c r="CD299" s="24"/>
      <c r="CE299" s="24"/>
    </row>
    <row r="300" spans="1:83" ht="15" hidden="1" customHeight="1">
      <c r="A300" s="4"/>
      <c r="B300" s="318">
        <f>CENY!B676</f>
        <v>9256947</v>
      </c>
      <c r="C300" s="43" t="str">
        <f>VLOOKUP(B300,CENY!$B$11:$G$1054,2,FALSE)</f>
        <v>Quadro You(S) 300/SiSy 10kg; EB21; pravý</v>
      </c>
      <c r="D300" s="353">
        <f>VLOOKUP(B300,CENY!$B$11:$G$1054,3,FALSE)</f>
        <v>20</v>
      </c>
      <c r="E300" s="56" t="str">
        <f>IF(VLOOKUP(B300,CENY!$B$11:$G$1054,4,FALSE)=0,"",VLOOKUP(B300,CENY!$B$11:$G$1054,4,FALSE))</f>
        <v/>
      </c>
      <c r="F300" s="40" t="str">
        <f t="shared" si="64"/>
        <v/>
      </c>
      <c r="G300" s="52">
        <f>VLOOKUP(B300,CENY!$B$11:$M$1054,12,FALSE)</f>
        <v>10.787739999999999</v>
      </c>
      <c r="H300" s="54" t="str">
        <f t="shared" si="66"/>
        <v xml:space="preserve"> EUR</v>
      </c>
      <c r="I300" s="41" t="str">
        <f t="shared" si="67"/>
        <v/>
      </c>
      <c r="J300" s="122"/>
      <c r="K300" s="42" t="str">
        <f>VLOOKUP(B300,CENY!$B$11:$M$1054,8,FALSE)</f>
        <v xml:space="preserve"> </v>
      </c>
      <c r="L300" s="42" t="str">
        <f>VLOOKUP(B300,CENY!$B$11:$M$1054,9,FALSE)</f>
        <v>397809</v>
      </c>
      <c r="M300" s="32"/>
      <c r="N300" s="35">
        <f t="shared" si="65"/>
        <v>0</v>
      </c>
      <c r="O300" s="36">
        <v>0</v>
      </c>
      <c r="P300" s="32"/>
      <c r="Q300" s="325">
        <f>'AVT101'!BI81</f>
        <v>0</v>
      </c>
      <c r="R300" s="32"/>
      <c r="S300" s="325">
        <f>'AVT139'!BI81</f>
        <v>0</v>
      </c>
      <c r="T300" s="32"/>
      <c r="U300" s="325">
        <f>'AVT187'!BI81</f>
        <v>0</v>
      </c>
      <c r="V300" s="32"/>
      <c r="W300" s="32"/>
      <c r="X300" s="32"/>
      <c r="Y300" s="32"/>
      <c r="Z300" s="32"/>
      <c r="AA300" s="325">
        <f>'AVT101(vn-A)'!BI81</f>
        <v>0</v>
      </c>
      <c r="AB300" s="32"/>
      <c r="AC300" s="325">
        <f>'AVT139(vn-A)'!BI81</f>
        <v>0</v>
      </c>
      <c r="AD300" s="32"/>
      <c r="AE300" s="325">
        <f>'AVT187(vn-A)'!BI81</f>
        <v>0</v>
      </c>
      <c r="AF300" s="32"/>
      <c r="AG300" s="32"/>
      <c r="AH300" s="32"/>
      <c r="AI300" s="325">
        <f>'AVT187(vn-S)'!BI81</f>
        <v>0</v>
      </c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165"/>
      <c r="BP300" s="165"/>
      <c r="BQ300" s="165"/>
      <c r="BR300" s="165"/>
      <c r="BS300" s="165"/>
      <c r="BT300" s="165"/>
      <c r="BU300" s="165"/>
      <c r="BV300" s="55"/>
      <c r="BW300" s="160"/>
      <c r="BX300" s="32"/>
      <c r="BY300" s="24"/>
      <c r="BZ300" s="24"/>
      <c r="CA300" s="24"/>
      <c r="CB300" s="24"/>
      <c r="CC300" s="24"/>
      <c r="CD300" s="24"/>
      <c r="CE300" s="24"/>
    </row>
    <row r="301" spans="1:83" ht="15" hidden="1" customHeight="1">
      <c r="A301" s="4"/>
      <c r="B301" s="318">
        <f>CENY!B677</f>
        <v>9256950</v>
      </c>
      <c r="C301" s="43" t="str">
        <f>VLOOKUP(B301,CENY!$B$11:$G$1054,2,FALSE)</f>
        <v>Quadro You(S) 350/SiSy 10kg; EB21; ľavý</v>
      </c>
      <c r="D301" s="353">
        <f>VLOOKUP(B301,CENY!$B$11:$G$1054,3,FALSE)</f>
        <v>20</v>
      </c>
      <c r="E301" s="56" t="str">
        <f>IF(VLOOKUP(B301,CENY!$B$11:$G$1054,4,FALSE)=0,"",VLOOKUP(B301,CENY!$B$11:$G$1054,4,FALSE))</f>
        <v/>
      </c>
      <c r="F301" s="40" t="str">
        <f t="shared" si="64"/>
        <v/>
      </c>
      <c r="G301" s="52">
        <f>VLOOKUP(B301,CENY!$B$11:$M$1054,12,FALSE)</f>
        <v>11.02122</v>
      </c>
      <c r="H301" s="54" t="str">
        <f t="shared" si="66"/>
        <v xml:space="preserve"> EUR</v>
      </c>
      <c r="I301" s="41" t="str">
        <f t="shared" si="67"/>
        <v/>
      </c>
      <c r="J301" s="122"/>
      <c r="K301" s="42" t="str">
        <f>VLOOKUP(B301,CENY!$B$11:$M$1054,8,FALSE)</f>
        <v xml:space="preserve"> </v>
      </c>
      <c r="L301" s="42" t="str">
        <f>VLOOKUP(B301,CENY!$B$11:$M$1054,9,FALSE)</f>
        <v>397810</v>
      </c>
      <c r="M301" s="32"/>
      <c r="N301" s="35">
        <f t="shared" si="65"/>
        <v>0</v>
      </c>
      <c r="O301" s="36">
        <v>0</v>
      </c>
      <c r="P301" s="32"/>
      <c r="Q301" s="325">
        <f>'AVT101'!BI82</f>
        <v>0</v>
      </c>
      <c r="R301" s="32"/>
      <c r="S301" s="325">
        <f>'AVT139'!BI82</f>
        <v>0</v>
      </c>
      <c r="T301" s="32"/>
      <c r="U301" s="325">
        <f>'AVT187'!BI82</f>
        <v>0</v>
      </c>
      <c r="V301" s="32"/>
      <c r="W301" s="325">
        <f>'AVT251'!BI65</f>
        <v>0</v>
      </c>
      <c r="X301" s="32"/>
      <c r="Y301" s="325">
        <f>AVT187In!BI64</f>
        <v>0</v>
      </c>
      <c r="Z301" s="32"/>
      <c r="AA301" s="325">
        <f>'AVT101(vn-A)'!BI82</f>
        <v>0</v>
      </c>
      <c r="AB301" s="32"/>
      <c r="AC301" s="325">
        <f>'AVT139(vn-A)'!BI82</f>
        <v>0</v>
      </c>
      <c r="AD301" s="32"/>
      <c r="AE301" s="325">
        <f>'AVT187(vn-A)'!BI82</f>
        <v>0</v>
      </c>
      <c r="AF301" s="32"/>
      <c r="AG301" s="325">
        <f>'AVT187In(vn-A)'!BI64</f>
        <v>0</v>
      </c>
      <c r="AH301" s="32"/>
      <c r="AI301" s="325">
        <f>'AVT187(vn-S)'!BI82</f>
        <v>0</v>
      </c>
      <c r="AJ301" s="32"/>
      <c r="AK301" s="325">
        <f>'AVT187In(vn-S)'!BI64</f>
        <v>0</v>
      </c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165"/>
      <c r="BP301" s="165"/>
      <c r="BQ301" s="165"/>
      <c r="BR301" s="165"/>
      <c r="BS301" s="165"/>
      <c r="BT301" s="165"/>
      <c r="BU301" s="165"/>
      <c r="BV301" s="55"/>
      <c r="BW301" s="160"/>
      <c r="BX301" s="32"/>
      <c r="BY301" s="24"/>
      <c r="BZ301" s="24"/>
      <c r="CA301" s="24"/>
      <c r="CB301" s="24"/>
      <c r="CC301" s="24"/>
      <c r="CD301" s="24"/>
      <c r="CE301" s="24"/>
    </row>
    <row r="302" spans="1:83" ht="15" hidden="1" customHeight="1">
      <c r="A302" s="4"/>
      <c r="B302" s="318">
        <f>CENY!B678</f>
        <v>9256951</v>
      </c>
      <c r="C302" s="43" t="str">
        <f>VLOOKUP(B302,CENY!$B$11:$G$1054,2,FALSE)</f>
        <v>Quadro You(S) 350/SiSy 10kg; EB21; pravý</v>
      </c>
      <c r="D302" s="353">
        <f>VLOOKUP(B302,CENY!$B$11:$G$1054,3,FALSE)</f>
        <v>20</v>
      </c>
      <c r="E302" s="56" t="str">
        <f>IF(VLOOKUP(B302,CENY!$B$11:$G$1054,4,FALSE)=0,"",VLOOKUP(B302,CENY!$B$11:$G$1054,4,FALSE))</f>
        <v/>
      </c>
      <c r="F302" s="40" t="str">
        <f t="shared" si="64"/>
        <v/>
      </c>
      <c r="G302" s="52">
        <f>VLOOKUP(B302,CENY!$B$11:$M$1054,12,FALSE)</f>
        <v>11.02122</v>
      </c>
      <c r="H302" s="54" t="str">
        <f t="shared" si="66"/>
        <v xml:space="preserve"> EUR</v>
      </c>
      <c r="I302" s="41" t="str">
        <f t="shared" si="67"/>
        <v/>
      </c>
      <c r="J302" s="122"/>
      <c r="K302" s="42" t="str">
        <f>VLOOKUP(B302,CENY!$B$11:$M$1054,8,FALSE)</f>
        <v xml:space="preserve"> </v>
      </c>
      <c r="L302" s="42" t="str">
        <f>VLOOKUP(B302,CENY!$B$11:$M$1054,9,FALSE)</f>
        <v>397811</v>
      </c>
      <c r="M302" s="32"/>
      <c r="N302" s="35">
        <f t="shared" si="65"/>
        <v>0</v>
      </c>
      <c r="O302" s="36">
        <v>0</v>
      </c>
      <c r="P302" s="32"/>
      <c r="Q302" s="325">
        <f>'AVT101'!BI83</f>
        <v>0</v>
      </c>
      <c r="R302" s="32"/>
      <c r="S302" s="325">
        <f>'AVT139'!BI83</f>
        <v>0</v>
      </c>
      <c r="T302" s="32"/>
      <c r="U302" s="325">
        <f>'AVT187'!BI83</f>
        <v>0</v>
      </c>
      <c r="V302" s="32"/>
      <c r="W302" s="325">
        <f>'AVT251'!BI66</f>
        <v>0</v>
      </c>
      <c r="X302" s="32"/>
      <c r="Y302" s="325">
        <f>AVT187In!BI65</f>
        <v>0</v>
      </c>
      <c r="Z302" s="32"/>
      <c r="AA302" s="325">
        <f>'AVT101(vn-A)'!BI83</f>
        <v>0</v>
      </c>
      <c r="AB302" s="32"/>
      <c r="AC302" s="325">
        <f>'AVT139(vn-A)'!BI83</f>
        <v>0</v>
      </c>
      <c r="AD302" s="32"/>
      <c r="AE302" s="325">
        <f>'AVT187(vn-A)'!BI83</f>
        <v>0</v>
      </c>
      <c r="AF302" s="32"/>
      <c r="AG302" s="325">
        <f>'AVT187In(vn-A)'!BI65</f>
        <v>0</v>
      </c>
      <c r="AH302" s="32"/>
      <c r="AI302" s="325">
        <f>'AVT187(vn-S)'!BI83</f>
        <v>0</v>
      </c>
      <c r="AJ302" s="32"/>
      <c r="AK302" s="325">
        <f>'AVT187In(vn-S)'!BI65</f>
        <v>0</v>
      </c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165"/>
      <c r="BP302" s="165"/>
      <c r="BQ302" s="165"/>
      <c r="BR302" s="165"/>
      <c r="BS302" s="165"/>
      <c r="BT302" s="165"/>
      <c r="BU302" s="165"/>
      <c r="BV302" s="55"/>
      <c r="BW302" s="160"/>
      <c r="BX302" s="32"/>
      <c r="BY302" s="24"/>
      <c r="BZ302" s="24"/>
      <c r="CA302" s="24"/>
      <c r="CB302" s="24"/>
      <c r="CC302" s="24"/>
      <c r="CD302" s="24"/>
      <c r="CE302" s="24"/>
    </row>
    <row r="303" spans="1:83" ht="8.1" hidden="1" customHeight="1">
      <c r="A303" s="4"/>
      <c r="B303" s="126"/>
      <c r="C303" s="43"/>
      <c r="D303" s="39"/>
      <c r="E303" s="56"/>
      <c r="F303" s="60"/>
      <c r="G303" s="52"/>
      <c r="H303" s="54"/>
      <c r="I303" s="41"/>
      <c r="J303" s="122"/>
      <c r="K303" s="42"/>
      <c r="L303" s="42"/>
      <c r="M303" s="32"/>
      <c r="N303" s="35"/>
      <c r="O303" s="36">
        <v>0</v>
      </c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165"/>
      <c r="BP303" s="165"/>
      <c r="BQ303" s="165"/>
      <c r="BR303" s="165"/>
      <c r="BS303" s="165"/>
      <c r="BT303" s="165"/>
      <c r="BU303" s="165"/>
      <c r="BV303" s="55"/>
      <c r="BW303" s="160"/>
      <c r="BX303" s="32"/>
      <c r="BY303" s="24"/>
      <c r="BZ303" s="24"/>
      <c r="CA303" s="24"/>
      <c r="CB303" s="24"/>
      <c r="CC303" s="24"/>
      <c r="CD303" s="24"/>
      <c r="CE303" s="24"/>
    </row>
    <row r="304" spans="1:83" ht="15" hidden="1" customHeight="1">
      <c r="A304" s="4"/>
      <c r="B304" s="318">
        <f>CENY!B680</f>
        <v>9256883</v>
      </c>
      <c r="C304" s="43" t="str">
        <f>VLOOKUP(B304,CENY!$B$11:$G$1054,2,FALSE)</f>
        <v>Quadro You(M) 270/SiSy 20kg; EB21</v>
      </c>
      <c r="D304" s="364">
        <f>VLOOKUP(B304,CENY!$B$11:$G$1054,3,FALSE)</f>
        <v>1</v>
      </c>
      <c r="E304" s="56" t="str">
        <f>IF(VLOOKUP(B304,CENY!$B$11:$G$1054,4,FALSE)=0,"",VLOOKUP(B304,CENY!$B$11:$G$1054,4,FALSE))</f>
        <v/>
      </c>
      <c r="F304" s="40" t="str">
        <f t="shared" ref="F304:F327" si="68">IF(J304&lt;&gt;"",J304,IF(N304=0,"",N304))</f>
        <v/>
      </c>
      <c r="G304" s="52">
        <f>VLOOKUP(B304,CENY!$B$11:$M$1054,12,FALSE)</f>
        <v>23.022449999999999</v>
      </c>
      <c r="H304" s="54" t="str">
        <f t="shared" si="66"/>
        <v xml:space="preserve"> EUR</v>
      </c>
      <c r="I304" s="41" t="str">
        <f t="shared" si="67"/>
        <v/>
      </c>
      <c r="J304" s="122"/>
      <c r="K304" s="42" t="str">
        <f>VLOOKUP(B304,CENY!$B$11:$M$1054,8,FALSE)</f>
        <v xml:space="preserve"> </v>
      </c>
      <c r="L304" s="42" t="str">
        <f>VLOOKUP(B304,CENY!$B$11:$M$1054,9,FALSE)</f>
        <v>518550</v>
      </c>
      <c r="M304" s="32"/>
      <c r="N304" s="35">
        <f t="shared" ref="N304:N327" si="69">SUM(P304:BW304)</f>
        <v>0</v>
      </c>
      <c r="O304" s="36">
        <v>0</v>
      </c>
      <c r="P304" s="325">
        <f>'AVT101'!AZ54</f>
        <v>0</v>
      </c>
      <c r="Q304" s="32"/>
      <c r="R304" s="325">
        <f>'AVT139'!AZ54</f>
        <v>0</v>
      </c>
      <c r="S304" s="32"/>
      <c r="T304" s="325">
        <f>'AVT187'!AZ54</f>
        <v>0</v>
      </c>
      <c r="U304" s="32"/>
      <c r="V304" s="32"/>
      <c r="W304" s="32"/>
      <c r="X304" s="32"/>
      <c r="Y304" s="32"/>
      <c r="Z304" s="325">
        <f>'AVT101(vn-A)'!AZ54</f>
        <v>0</v>
      </c>
      <c r="AA304" s="32"/>
      <c r="AB304" s="32"/>
      <c r="AC304" s="32"/>
      <c r="AD304" s="325">
        <f>'AVT187(vn-A)'!AZ54</f>
        <v>0</v>
      </c>
      <c r="AE304" s="32"/>
      <c r="AF304" s="32"/>
      <c r="AG304" s="32"/>
      <c r="AH304" s="325">
        <f>'AVT187(vn-S)'!AZ54</f>
        <v>0</v>
      </c>
      <c r="AI304" s="32"/>
      <c r="AJ304" s="32"/>
      <c r="AK304" s="32"/>
      <c r="AL304" s="32"/>
      <c r="AM304" s="32"/>
      <c r="AN304" s="325">
        <f>'AVT-celny-101+187'!AZ50</f>
        <v>0</v>
      </c>
      <c r="AO304" s="32"/>
      <c r="AP304" s="32"/>
      <c r="AQ304" s="32"/>
      <c r="AR304" s="325">
        <f>'AVT-celny-2x187'!AZ40</f>
        <v>0</v>
      </c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165"/>
      <c r="BP304" s="165"/>
      <c r="BQ304" s="165"/>
      <c r="BR304" s="165"/>
      <c r="BS304" s="165"/>
      <c r="BT304" s="165"/>
      <c r="BU304" s="165"/>
      <c r="BV304" s="55"/>
      <c r="BW304" s="160"/>
      <c r="BX304" s="32"/>
      <c r="BY304" s="24"/>
      <c r="BZ304" s="24"/>
      <c r="CA304" s="24"/>
      <c r="CB304" s="24"/>
      <c r="CC304" s="24"/>
      <c r="CD304" s="24"/>
      <c r="CE304" s="24"/>
    </row>
    <row r="305" spans="1:83" ht="15" hidden="1" customHeight="1">
      <c r="A305" s="4"/>
      <c r="B305" s="318">
        <f>CENY!B681</f>
        <v>9256884</v>
      </c>
      <c r="C305" s="43" t="str">
        <f>VLOOKUP(B305,CENY!$B$11:$G$1054,2,FALSE)</f>
        <v>Quadro You(M) 300/SiSy 20kg; EB21</v>
      </c>
      <c r="D305" s="364">
        <f>VLOOKUP(B305,CENY!$B$11:$G$1054,3,FALSE)</f>
        <v>1</v>
      </c>
      <c r="E305" s="56" t="str">
        <f>IF(VLOOKUP(B305,CENY!$B$11:$G$1054,4,FALSE)=0,"",VLOOKUP(B305,CENY!$B$11:$G$1054,4,FALSE))</f>
        <v/>
      </c>
      <c r="F305" s="40" t="str">
        <f t="shared" si="68"/>
        <v/>
      </c>
      <c r="G305" s="52">
        <f>VLOOKUP(B305,CENY!$B$11:$M$1054,12,FALSE)</f>
        <v>23.069210000000002</v>
      </c>
      <c r="H305" s="54" t="str">
        <f t="shared" si="66"/>
        <v xml:space="preserve"> EUR</v>
      </c>
      <c r="I305" s="41" t="str">
        <f t="shared" si="67"/>
        <v/>
      </c>
      <c r="J305" s="122"/>
      <c r="K305" s="42" t="str">
        <f>VLOOKUP(B305,CENY!$B$11:$M$1054,8,FALSE)</f>
        <v xml:space="preserve"> </v>
      </c>
      <c r="L305" s="42" t="str">
        <f>VLOOKUP(B305,CENY!$B$11:$M$1054,9,FALSE)</f>
        <v>518551</v>
      </c>
      <c r="M305" s="32"/>
      <c r="N305" s="35">
        <f t="shared" si="69"/>
        <v>0</v>
      </c>
      <c r="O305" s="36">
        <v>0</v>
      </c>
      <c r="P305" s="325">
        <f>'AVT101'!AZ55</f>
        <v>0</v>
      </c>
      <c r="Q305" s="32"/>
      <c r="R305" s="325">
        <f>'AVT139'!AZ55</f>
        <v>0</v>
      </c>
      <c r="S305" s="32"/>
      <c r="T305" s="325">
        <f>'AVT187'!AZ55</f>
        <v>0</v>
      </c>
      <c r="U305" s="32"/>
      <c r="V305" s="32"/>
      <c r="W305" s="32"/>
      <c r="X305" s="32"/>
      <c r="Y305" s="32"/>
      <c r="Z305" s="325">
        <f>'AVT101(vn-A)'!AZ55</f>
        <v>0</v>
      </c>
      <c r="AA305" s="32"/>
      <c r="AB305" s="325">
        <f>'AVT139(vn-A)'!AZ55</f>
        <v>0</v>
      </c>
      <c r="AC305" s="32"/>
      <c r="AD305" s="325">
        <f>'AVT187(vn-A)'!AZ55</f>
        <v>0</v>
      </c>
      <c r="AE305" s="32"/>
      <c r="AF305" s="32"/>
      <c r="AG305" s="32"/>
      <c r="AH305" s="325">
        <f>'AVT187(vn-S)'!AZ55</f>
        <v>0</v>
      </c>
      <c r="AI305" s="32"/>
      <c r="AJ305" s="32"/>
      <c r="AK305" s="32"/>
      <c r="AL305" s="32"/>
      <c r="AM305" s="32"/>
      <c r="AN305" s="325">
        <f>'AVT-celny-101+187'!AZ51</f>
        <v>0</v>
      </c>
      <c r="AO305" s="32"/>
      <c r="AP305" s="325">
        <f>'AVT-celny-139+187'!AZ42</f>
        <v>0</v>
      </c>
      <c r="AQ305" s="32"/>
      <c r="AR305" s="325">
        <f>'AVT-celny-2x187'!AZ41</f>
        <v>0</v>
      </c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165"/>
      <c r="BP305" s="165"/>
      <c r="BQ305" s="165"/>
      <c r="BR305" s="165"/>
      <c r="BS305" s="165"/>
      <c r="BT305" s="165"/>
      <c r="BU305" s="165"/>
      <c r="BV305" s="55"/>
      <c r="BW305" s="160"/>
      <c r="BX305" s="32"/>
      <c r="BY305" s="24"/>
      <c r="BZ305" s="24"/>
      <c r="CA305" s="24"/>
      <c r="CB305" s="24"/>
      <c r="CC305" s="24"/>
      <c r="CD305" s="24"/>
      <c r="CE305" s="24"/>
    </row>
    <row r="306" spans="1:83" ht="15" hidden="1" customHeight="1">
      <c r="A306" s="4"/>
      <c r="B306" s="318">
        <f>CENY!B682</f>
        <v>9256886</v>
      </c>
      <c r="C306" s="43" t="str">
        <f>VLOOKUP(B306,CENY!$B$11:$G$1054,2,FALSE)</f>
        <v>Quadro You(M) 350/SiSy 25kg; EB21</v>
      </c>
      <c r="D306" s="364">
        <f>VLOOKUP(B306,CENY!$B$11:$G$1054,3,FALSE)</f>
        <v>1</v>
      </c>
      <c r="E306" s="56" t="str">
        <f>IF(VLOOKUP(B306,CENY!$B$11:$G$1054,4,FALSE)=0,"",VLOOKUP(B306,CENY!$B$11:$G$1054,4,FALSE))</f>
        <v/>
      </c>
      <c r="F306" s="40" t="str">
        <f t="shared" si="68"/>
        <v/>
      </c>
      <c r="G306" s="52" t="e">
        <f>VLOOKUP(B306,CENY!$B$11:$M$1054,12,FALSE)</f>
        <v>#N/A</v>
      </c>
      <c r="H306" s="54" t="e">
        <f t="shared" si="66"/>
        <v>#N/A</v>
      </c>
      <c r="I306" s="41" t="str">
        <f t="shared" si="67"/>
        <v/>
      </c>
      <c r="J306" s="122"/>
      <c r="K306" s="42" t="str">
        <f>VLOOKUP(B306,CENY!$B$11:$M$1054,8,FALSE)</f>
        <v xml:space="preserve"> </v>
      </c>
      <c r="L306" s="42">
        <f>VLOOKUP(B306,CENY!$B$11:$M$1054,9,FALSE)</f>
        <v>527985</v>
      </c>
      <c r="M306" s="32"/>
      <c r="N306" s="35">
        <f t="shared" si="69"/>
        <v>0</v>
      </c>
      <c r="O306" s="36">
        <v>0</v>
      </c>
      <c r="P306" s="325">
        <f>'AVT101'!AZ56</f>
        <v>0</v>
      </c>
      <c r="Q306" s="32"/>
      <c r="R306" s="325">
        <f>'AVT139'!AZ56</f>
        <v>0</v>
      </c>
      <c r="S306" s="32"/>
      <c r="T306" s="325">
        <f>'AVT187'!AZ56</f>
        <v>0</v>
      </c>
      <c r="U306" s="32"/>
      <c r="V306" s="325">
        <f>'AVT251'!AZ44</f>
        <v>0</v>
      </c>
      <c r="W306" s="32"/>
      <c r="X306" s="325">
        <f>AVT187In!AZ44</f>
        <v>0</v>
      </c>
      <c r="Y306" s="32"/>
      <c r="Z306" s="325">
        <f>'AVT101(vn-A)'!AZ56</f>
        <v>0</v>
      </c>
      <c r="AA306" s="32"/>
      <c r="AB306" s="325">
        <f>'AVT139(vn-A)'!AZ56</f>
        <v>0</v>
      </c>
      <c r="AC306" s="32"/>
      <c r="AD306" s="325">
        <f>'AVT187(vn-A)'!AZ56</f>
        <v>0</v>
      </c>
      <c r="AE306" s="32"/>
      <c r="AF306" s="325">
        <f>'AVT187In(vn-A)'!AZ44</f>
        <v>0</v>
      </c>
      <c r="AG306" s="32"/>
      <c r="AH306" s="325">
        <f>'AVT187(vn-S)'!AZ56</f>
        <v>0</v>
      </c>
      <c r="AI306" s="32"/>
      <c r="AJ306" s="325">
        <f>'AVT187In(vn-S)'!AZ44</f>
        <v>0</v>
      </c>
      <c r="AK306" s="32"/>
      <c r="AL306" s="32"/>
      <c r="AM306" s="32"/>
      <c r="AN306" s="325">
        <f>'AVT-celny-101+187'!AZ52</f>
        <v>0</v>
      </c>
      <c r="AO306" s="32"/>
      <c r="AP306" s="325">
        <f>'AVT-celny-139+187'!AZ43</f>
        <v>0</v>
      </c>
      <c r="AQ306" s="32"/>
      <c r="AR306" s="325">
        <f>'AVT-celny-2x187'!AZ42</f>
        <v>0</v>
      </c>
      <c r="AS306" s="32"/>
      <c r="AT306" s="325">
        <f>'AVT-celny-2x187In'!AZ34</f>
        <v>0</v>
      </c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165"/>
      <c r="BP306" s="165"/>
      <c r="BQ306" s="165"/>
      <c r="BR306" s="165"/>
      <c r="BS306" s="165"/>
      <c r="BT306" s="165"/>
      <c r="BU306" s="165"/>
      <c r="BV306" s="55"/>
      <c r="BW306" s="160"/>
      <c r="BX306" s="32"/>
      <c r="BY306" s="24"/>
      <c r="BZ306" s="24"/>
      <c r="CA306" s="24"/>
      <c r="CB306" s="24"/>
      <c r="CC306" s="24"/>
      <c r="CD306" s="24"/>
      <c r="CE306" s="24"/>
    </row>
    <row r="307" spans="1:83" ht="15" hidden="1" customHeight="1">
      <c r="A307" s="4"/>
      <c r="B307" s="318">
        <f>CENY!B683</f>
        <v>9256888</v>
      </c>
      <c r="C307" s="43" t="str">
        <f>VLOOKUP(B307,CENY!$B$11:$G$1054,2,FALSE)</f>
        <v>Quadro You(M) 400/SiSy 30kg; EB21</v>
      </c>
      <c r="D307" s="364">
        <f>VLOOKUP(B307,CENY!$B$11:$G$1054,3,FALSE)</f>
        <v>1</v>
      </c>
      <c r="E307" s="56" t="str">
        <f>IF(VLOOKUP(B307,CENY!$B$11:$G$1054,4,FALSE)=0,"",VLOOKUP(B307,CENY!$B$11:$G$1054,4,FALSE))</f>
        <v/>
      </c>
      <c r="F307" s="40" t="str">
        <f t="shared" si="68"/>
        <v/>
      </c>
      <c r="G307" s="52">
        <f>VLOOKUP(B307,CENY!$B$11:$M$1054,12,FALSE)</f>
        <v>24.002659999999999</v>
      </c>
      <c r="H307" s="54" t="str">
        <f t="shared" si="66"/>
        <v xml:space="preserve"> EUR</v>
      </c>
      <c r="I307" s="41" t="str">
        <f t="shared" si="67"/>
        <v/>
      </c>
      <c r="J307" s="122"/>
      <c r="K307" s="42" t="str">
        <f>VLOOKUP(B307,CENY!$B$11:$M$1054,8,FALSE)</f>
        <v xml:space="preserve"> </v>
      </c>
      <c r="L307" s="42" t="str">
        <f>VLOOKUP(B307,CENY!$B$11:$M$1054,9,FALSE)</f>
        <v>518552</v>
      </c>
      <c r="M307" s="32"/>
      <c r="N307" s="35">
        <f t="shared" si="69"/>
        <v>0</v>
      </c>
      <c r="O307" s="36">
        <v>0</v>
      </c>
      <c r="P307" s="325">
        <f>'AVT101'!AZ57</f>
        <v>0</v>
      </c>
      <c r="Q307" s="32"/>
      <c r="R307" s="325">
        <f>'AVT139'!AZ57</f>
        <v>0</v>
      </c>
      <c r="S307" s="32"/>
      <c r="T307" s="325">
        <f>'AVT187'!AZ57</f>
        <v>0</v>
      </c>
      <c r="U307" s="32"/>
      <c r="V307" s="325">
        <f>'AVT251'!AZ45</f>
        <v>0</v>
      </c>
      <c r="W307" s="32"/>
      <c r="X307" s="325">
        <f>AVT187In!AZ45</f>
        <v>0</v>
      </c>
      <c r="Y307" s="32"/>
      <c r="Z307" s="325">
        <f>'AVT101(vn-A)'!AZ57</f>
        <v>0</v>
      </c>
      <c r="AA307" s="32"/>
      <c r="AB307" s="325">
        <f>'AVT139(vn-A)'!AZ57</f>
        <v>0</v>
      </c>
      <c r="AC307" s="32"/>
      <c r="AD307" s="325">
        <f>'AVT187(vn-A)'!AZ57</f>
        <v>0</v>
      </c>
      <c r="AE307" s="32"/>
      <c r="AF307" s="325">
        <f>'AVT187In(vn-A)'!AZ45</f>
        <v>0</v>
      </c>
      <c r="AG307" s="32"/>
      <c r="AH307" s="325">
        <f>'AVT187(vn-S)'!AZ57</f>
        <v>0</v>
      </c>
      <c r="AI307" s="32"/>
      <c r="AJ307" s="325">
        <f>'AVT187In(vn-S)'!AZ45</f>
        <v>0</v>
      </c>
      <c r="AK307" s="32"/>
      <c r="AL307" s="325">
        <f>'AVT77'!AZ30</f>
        <v>0</v>
      </c>
      <c r="AM307" s="32"/>
      <c r="AN307" s="325">
        <f>'AVT-celny-101+187'!AZ53</f>
        <v>0</v>
      </c>
      <c r="AO307" s="32"/>
      <c r="AP307" s="325">
        <f>'AVT-celny-139+187'!AZ44</f>
        <v>0</v>
      </c>
      <c r="AQ307" s="32"/>
      <c r="AR307" s="325">
        <f>'AVT-celny-2x187'!AZ43</f>
        <v>0</v>
      </c>
      <c r="AS307" s="32"/>
      <c r="AT307" s="325">
        <f>'AVT-celny-2x187In'!AZ35</f>
        <v>0</v>
      </c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165"/>
      <c r="BP307" s="165"/>
      <c r="BQ307" s="165"/>
      <c r="BR307" s="165"/>
      <c r="BS307" s="165"/>
      <c r="BT307" s="165"/>
      <c r="BU307" s="165"/>
      <c r="BV307" s="55"/>
      <c r="BW307" s="160"/>
      <c r="BX307" s="32"/>
      <c r="BY307" s="24"/>
      <c r="BZ307" s="24"/>
      <c r="CA307" s="24"/>
      <c r="CB307" s="24"/>
      <c r="CC307" s="24"/>
      <c r="CD307" s="24"/>
      <c r="CE307" s="24"/>
    </row>
    <row r="308" spans="1:83" ht="15" hidden="1" customHeight="1">
      <c r="A308" s="4"/>
      <c r="B308" s="318">
        <f>CENY!B684</f>
        <v>9256890</v>
      </c>
      <c r="C308" s="43" t="str">
        <f>VLOOKUP(B308,CENY!$B$11:$G$1054,2,FALSE)</f>
        <v>Quadro You(M) 450/SiSy 30kg; EB21</v>
      </c>
      <c r="D308" s="364">
        <f>VLOOKUP(B308,CENY!$B$11:$G$1054,3,FALSE)</f>
        <v>1</v>
      </c>
      <c r="E308" s="56" t="str">
        <f>IF(VLOOKUP(B308,CENY!$B$11:$G$1054,4,FALSE)=0,"",VLOOKUP(B308,CENY!$B$11:$G$1054,4,FALSE))</f>
        <v/>
      </c>
      <c r="F308" s="40" t="str">
        <f t="shared" si="68"/>
        <v/>
      </c>
      <c r="G308" s="52">
        <f>VLOOKUP(B308,CENY!$B$11:$M$1054,12,FALSE)</f>
        <v>4.9393000000000002</v>
      </c>
      <c r="H308" s="54" t="str">
        <f t="shared" si="66"/>
        <v xml:space="preserve"> EUR</v>
      </c>
      <c r="I308" s="41" t="str">
        <f t="shared" si="67"/>
        <v/>
      </c>
      <c r="J308" s="122"/>
      <c r="K308" s="42" t="str">
        <f>VLOOKUP(B308,CENY!$B$11:$M$1054,8,FALSE)</f>
        <v xml:space="preserve"> </v>
      </c>
      <c r="L308" s="42" t="str">
        <f>VLOOKUP(B308,CENY!$B$11:$M$1054,9,FALSE)</f>
        <v>494286</v>
      </c>
      <c r="M308" s="32"/>
      <c r="N308" s="35">
        <f t="shared" si="69"/>
        <v>0</v>
      </c>
      <c r="O308" s="36">
        <v>0</v>
      </c>
      <c r="P308" s="325">
        <f>'AVT101'!AZ58</f>
        <v>0</v>
      </c>
      <c r="Q308" s="32"/>
      <c r="R308" s="325">
        <f>'AVT139'!AZ58</f>
        <v>0</v>
      </c>
      <c r="S308" s="32"/>
      <c r="T308" s="325">
        <f>'AVT187'!AZ58</f>
        <v>0</v>
      </c>
      <c r="U308" s="32"/>
      <c r="V308" s="325">
        <f>'AVT251'!AZ46</f>
        <v>0</v>
      </c>
      <c r="W308" s="32"/>
      <c r="X308" s="325">
        <f>AVT187In!AZ46</f>
        <v>0</v>
      </c>
      <c r="Y308" s="32"/>
      <c r="Z308" s="325">
        <f>'AVT101(vn-A)'!AZ58</f>
        <v>0</v>
      </c>
      <c r="AA308" s="32"/>
      <c r="AB308" s="325">
        <f>'AVT139(vn-A)'!AZ58</f>
        <v>0</v>
      </c>
      <c r="AC308" s="32"/>
      <c r="AD308" s="325">
        <f>'AVT187(vn-A)'!AZ58</f>
        <v>0</v>
      </c>
      <c r="AE308" s="32"/>
      <c r="AF308" s="325">
        <f>'AVT187In(vn-A)'!AZ46</f>
        <v>0</v>
      </c>
      <c r="AG308" s="32"/>
      <c r="AH308" s="325">
        <f>'AVT187(vn-S)'!AZ58</f>
        <v>0</v>
      </c>
      <c r="AI308" s="32"/>
      <c r="AJ308" s="325">
        <f>'AVT187In(vn-S)'!AZ46</f>
        <v>0</v>
      </c>
      <c r="AK308" s="32"/>
      <c r="AL308" s="325">
        <f>'AVT77'!AZ31</f>
        <v>0</v>
      </c>
      <c r="AM308" s="32"/>
      <c r="AN308" s="325">
        <f>'AVT-celny-101+187'!AZ54</f>
        <v>0</v>
      </c>
      <c r="AO308" s="32"/>
      <c r="AP308" s="325">
        <f>'AVT-celny-139+187'!AZ45</f>
        <v>0</v>
      </c>
      <c r="AQ308" s="32"/>
      <c r="AR308" s="325">
        <f>'AVT-celny-2x187'!AZ44</f>
        <v>0</v>
      </c>
      <c r="AS308" s="32"/>
      <c r="AT308" s="325">
        <f>'AVT-celny-2x187In'!AZ36</f>
        <v>0</v>
      </c>
      <c r="AU308" s="32"/>
      <c r="AV308" s="325">
        <f>'potr-v101+187'!AZ64</f>
        <v>0</v>
      </c>
      <c r="AW308" s="32"/>
      <c r="AX308" s="325">
        <f>'potr-v101+187-IL'!AZ64</f>
        <v>0</v>
      </c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165"/>
      <c r="BP308" s="165"/>
      <c r="BQ308" s="165"/>
      <c r="BR308" s="165"/>
      <c r="BS308" s="165"/>
      <c r="BT308" s="165"/>
      <c r="BU308" s="165"/>
      <c r="BV308" s="55"/>
      <c r="BW308" s="160"/>
      <c r="BX308" s="32"/>
      <c r="BY308" s="24"/>
      <c r="BZ308" s="24"/>
      <c r="CA308" s="24"/>
      <c r="CB308" s="24"/>
      <c r="CC308" s="24"/>
      <c r="CD308" s="24"/>
      <c r="CE308" s="24"/>
    </row>
    <row r="309" spans="1:83" ht="15" hidden="1" customHeight="1">
      <c r="A309" s="4"/>
      <c r="B309" s="318">
        <f>CENY!B685</f>
        <v>9256892</v>
      </c>
      <c r="C309" s="43" t="str">
        <f>VLOOKUP(B309,CENY!$B$11:$G$1054,2,FALSE)</f>
        <v>Quadro You(M) 500/SiSy 30kg; EB21</v>
      </c>
      <c r="D309" s="364">
        <f>VLOOKUP(B309,CENY!$B$11:$G$1054,3,FALSE)</f>
        <v>1</v>
      </c>
      <c r="E309" s="56" t="str">
        <f>IF(VLOOKUP(B309,CENY!$B$11:$G$1054,4,FALSE)=0,"",VLOOKUP(B309,CENY!$B$11:$G$1054,4,FALSE))</f>
        <v/>
      </c>
      <c r="F309" s="40" t="str">
        <f t="shared" si="68"/>
        <v/>
      </c>
      <c r="G309" s="52">
        <f>VLOOKUP(B309,CENY!$B$11:$M$1054,12,FALSE)</f>
        <v>23.748699999999999</v>
      </c>
      <c r="H309" s="54" t="str">
        <f t="shared" si="66"/>
        <v xml:space="preserve"> EUR</v>
      </c>
      <c r="I309" s="41" t="str">
        <f t="shared" si="67"/>
        <v/>
      </c>
      <c r="J309" s="122"/>
      <c r="K309" s="42" t="str">
        <f>VLOOKUP(B309,CENY!$B$11:$M$1054,8,FALSE)</f>
        <v xml:space="preserve"> </v>
      </c>
      <c r="L309" s="42" t="str">
        <f>VLOOKUP(B309,CENY!$B$11:$M$1054,9,FALSE)</f>
        <v>422190</v>
      </c>
      <c r="M309" s="32"/>
      <c r="N309" s="35">
        <f t="shared" si="69"/>
        <v>0</v>
      </c>
      <c r="O309" s="36">
        <v>0</v>
      </c>
      <c r="P309" s="325">
        <f>'AVT101'!AZ59</f>
        <v>0</v>
      </c>
      <c r="Q309" s="32"/>
      <c r="R309" s="325">
        <f>'AVT139'!AZ59</f>
        <v>0</v>
      </c>
      <c r="S309" s="32"/>
      <c r="T309" s="325">
        <f>'AVT187'!AZ59</f>
        <v>0</v>
      </c>
      <c r="U309" s="32"/>
      <c r="V309" s="325">
        <f>'AVT251'!AZ47</f>
        <v>0</v>
      </c>
      <c r="W309" s="32"/>
      <c r="X309" s="325">
        <f>AVT187In!AZ47</f>
        <v>0</v>
      </c>
      <c r="Y309" s="32"/>
      <c r="Z309" s="325">
        <f>'AVT101(vn-A)'!AZ59</f>
        <v>0</v>
      </c>
      <c r="AA309" s="32"/>
      <c r="AB309" s="325">
        <f>'AVT139(vn-A)'!AZ59</f>
        <v>0</v>
      </c>
      <c r="AC309" s="32"/>
      <c r="AD309" s="325">
        <f>'AVT187(vn-A)'!AZ59</f>
        <v>0</v>
      </c>
      <c r="AE309" s="32"/>
      <c r="AF309" s="325">
        <f>'AVT187In(vn-A)'!AZ47</f>
        <v>0</v>
      </c>
      <c r="AG309" s="32"/>
      <c r="AH309" s="325">
        <f>'AVT187(vn-S)'!AZ59</f>
        <v>0</v>
      </c>
      <c r="AI309" s="32"/>
      <c r="AJ309" s="325">
        <f>'AVT187In(vn-S)'!AZ47</f>
        <v>0</v>
      </c>
      <c r="AK309" s="32"/>
      <c r="AL309" s="325">
        <f>'AVT77'!AZ32</f>
        <v>0</v>
      </c>
      <c r="AM309" s="32"/>
      <c r="AN309" s="325">
        <f>'AVT-celny-101+187'!AZ55</f>
        <v>0</v>
      </c>
      <c r="AO309" s="32"/>
      <c r="AP309" s="325">
        <f>'AVT-celny-139+187'!AZ46</f>
        <v>0</v>
      </c>
      <c r="AQ309" s="32"/>
      <c r="AR309" s="325">
        <f>'AVT-celny-2x187'!AZ45</f>
        <v>0</v>
      </c>
      <c r="AS309" s="32"/>
      <c r="AT309" s="325">
        <f>'AVT-celny-2x187In'!AZ37</f>
        <v>0</v>
      </c>
      <c r="AU309" s="32"/>
      <c r="AV309" s="325">
        <f>'potr-v101+187'!AZ65</f>
        <v>0</v>
      </c>
      <c r="AW309" s="32"/>
      <c r="AX309" s="325">
        <f>'potr-v101+187-IL'!AZ65</f>
        <v>0</v>
      </c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165"/>
      <c r="BP309" s="165"/>
      <c r="BQ309" s="165"/>
      <c r="BR309" s="165"/>
      <c r="BS309" s="165"/>
      <c r="BT309" s="165"/>
      <c r="BU309" s="165"/>
      <c r="BV309" s="55"/>
      <c r="BW309" s="160"/>
      <c r="BX309" s="32"/>
      <c r="BY309" s="24"/>
      <c r="BZ309" s="24"/>
      <c r="CA309" s="24"/>
      <c r="CB309" s="24"/>
      <c r="CC309" s="24"/>
      <c r="CD309" s="24"/>
      <c r="CE309" s="24"/>
    </row>
    <row r="310" spans="1:83" ht="15" hidden="1" customHeight="1">
      <c r="A310" s="4"/>
      <c r="B310" s="318">
        <f>CENY!B686</f>
        <v>9256894</v>
      </c>
      <c r="C310" s="43" t="str">
        <f>VLOOKUP(B310,CENY!$B$11:$G$1054,2,FALSE)</f>
        <v>Quadro You(M) 550/SiSy 30kg; EB21</v>
      </c>
      <c r="D310" s="364">
        <f>VLOOKUP(B310,CENY!$B$11:$G$1054,3,FALSE)</f>
        <v>1</v>
      </c>
      <c r="E310" s="56" t="str">
        <f>IF(VLOOKUP(B310,CENY!$B$11:$G$1054,4,FALSE)=0,"",VLOOKUP(B310,CENY!$B$11:$G$1054,4,FALSE))</f>
        <v/>
      </c>
      <c r="F310" s="40" t="str">
        <f t="shared" si="68"/>
        <v/>
      </c>
      <c r="G310" s="52">
        <f>VLOOKUP(B310,CENY!$B$11:$M$1054,12,FALSE)</f>
        <v>5.1277499999999998</v>
      </c>
      <c r="H310" s="54" t="str">
        <f t="shared" si="66"/>
        <v xml:space="preserve"> EUR</v>
      </c>
      <c r="I310" s="41" t="str">
        <f t="shared" si="67"/>
        <v/>
      </c>
      <c r="J310" s="122"/>
      <c r="K310" s="42" t="str">
        <f>VLOOKUP(B310,CENY!$B$11:$M$1054,8,FALSE)</f>
        <v xml:space="preserve"> </v>
      </c>
      <c r="L310" s="42" t="str">
        <f>VLOOKUP(B310,CENY!$B$11:$M$1054,9,FALSE)</f>
        <v>494284</v>
      </c>
      <c r="M310" s="32"/>
      <c r="N310" s="35">
        <f t="shared" si="69"/>
        <v>0</v>
      </c>
      <c r="O310" s="36">
        <v>0</v>
      </c>
      <c r="P310" s="325">
        <f>'AVT101'!AZ60</f>
        <v>0</v>
      </c>
      <c r="Q310" s="32"/>
      <c r="R310" s="325">
        <f>'AVT139'!AZ60</f>
        <v>0</v>
      </c>
      <c r="S310" s="32"/>
      <c r="T310" s="325">
        <f>'AVT187'!AZ60</f>
        <v>0</v>
      </c>
      <c r="U310" s="32"/>
      <c r="V310" s="325">
        <f>'AVT251'!AZ48</f>
        <v>0</v>
      </c>
      <c r="W310" s="32"/>
      <c r="X310" s="325">
        <f>AVT187In!AZ48</f>
        <v>0</v>
      </c>
      <c r="Y310" s="32"/>
      <c r="Z310" s="325">
        <f>'AVT101(vn-A)'!AZ60</f>
        <v>0</v>
      </c>
      <c r="AA310" s="32"/>
      <c r="AB310" s="325">
        <f>'AVT139(vn-A)'!AZ60</f>
        <v>0</v>
      </c>
      <c r="AC310" s="32"/>
      <c r="AD310" s="325">
        <f>'AVT187(vn-A)'!AZ60</f>
        <v>0</v>
      </c>
      <c r="AE310" s="32"/>
      <c r="AF310" s="325">
        <f>'AVT187In(vn-A)'!AZ48</f>
        <v>0</v>
      </c>
      <c r="AG310" s="32"/>
      <c r="AH310" s="325">
        <f>'AVT187(vn-S)'!AZ60</f>
        <v>0</v>
      </c>
      <c r="AI310" s="32"/>
      <c r="AJ310" s="325">
        <f>'AVT187In(vn-S)'!AZ48</f>
        <v>0</v>
      </c>
      <c r="AK310" s="32"/>
      <c r="AL310" s="325">
        <f>'AVT77'!AZ33</f>
        <v>0</v>
      </c>
      <c r="AM310" s="32"/>
      <c r="AN310" s="325">
        <f>'AVT-celny-101+187'!AZ56</f>
        <v>0</v>
      </c>
      <c r="AO310" s="32"/>
      <c r="AP310" s="325">
        <f>'AVT-celny-139+187'!AZ47</f>
        <v>0</v>
      </c>
      <c r="AQ310" s="32"/>
      <c r="AR310" s="325">
        <f>'AVT-celny-2x187'!AZ46</f>
        <v>0</v>
      </c>
      <c r="AS310" s="32"/>
      <c r="AT310" s="325">
        <f>'AVT-celny-2x187In'!AZ38</f>
        <v>0</v>
      </c>
      <c r="AU310" s="32"/>
      <c r="AV310" s="325">
        <f>'potr-v101+187'!AZ66</f>
        <v>0</v>
      </c>
      <c r="AW310" s="32"/>
      <c r="AX310" s="325">
        <f>'potr-v101+187-IL'!AZ66</f>
        <v>0</v>
      </c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165"/>
      <c r="BP310" s="165"/>
      <c r="BQ310" s="165"/>
      <c r="BR310" s="165"/>
      <c r="BS310" s="165"/>
      <c r="BT310" s="165"/>
      <c r="BU310" s="165"/>
      <c r="BV310" s="55"/>
      <c r="BW310" s="160"/>
      <c r="BX310" s="32"/>
      <c r="BY310" s="24"/>
      <c r="BZ310" s="24"/>
      <c r="CA310" s="24"/>
      <c r="CB310" s="24"/>
      <c r="CC310" s="24"/>
      <c r="CD310" s="24"/>
      <c r="CE310" s="24"/>
    </row>
    <row r="311" spans="1:83" ht="15" hidden="1" customHeight="1">
      <c r="A311" s="4"/>
      <c r="B311" s="318">
        <f>CENY!B687</f>
        <v>9256896</v>
      </c>
      <c r="C311" s="43" t="str">
        <f>VLOOKUP(B311,CENY!$B$11:$G$1054,2,FALSE)</f>
        <v>Quadro You(M) 600/SiSy 25kg; EB21</v>
      </c>
      <c r="D311" s="364">
        <f>VLOOKUP(B311,CENY!$B$11:$G$1054,3,FALSE)</f>
        <v>1</v>
      </c>
      <c r="E311" s="56" t="str">
        <f>IF(VLOOKUP(B311,CENY!$B$11:$G$1054,4,FALSE)=0,"",VLOOKUP(B311,CENY!$B$11:$G$1054,4,FALSE))</f>
        <v/>
      </c>
      <c r="F311" s="40" t="str">
        <f t="shared" si="68"/>
        <v/>
      </c>
      <c r="G311" s="52">
        <f>VLOOKUP(B311,CENY!$B$11:$M$1054,12,FALSE)</f>
        <v>25.86984</v>
      </c>
      <c r="H311" s="54" t="str">
        <f t="shared" si="66"/>
        <v xml:space="preserve"> EUR</v>
      </c>
      <c r="I311" s="41" t="str">
        <f t="shared" si="67"/>
        <v/>
      </c>
      <c r="J311" s="122"/>
      <c r="K311" s="42" t="str">
        <f>VLOOKUP(B311,CENY!$B$11:$M$1054,8,FALSE)</f>
        <v xml:space="preserve"> </v>
      </c>
      <c r="L311" s="42" t="str">
        <f>VLOOKUP(B311,CENY!$B$11:$M$1054,9,FALSE)</f>
        <v>518553</v>
      </c>
      <c r="M311" s="32"/>
      <c r="N311" s="35">
        <f t="shared" si="69"/>
        <v>0</v>
      </c>
      <c r="O311" s="36">
        <v>0</v>
      </c>
      <c r="P311" s="325">
        <f>'AVT101'!AZ61</f>
        <v>0</v>
      </c>
      <c r="Q311" s="32"/>
      <c r="R311" s="325">
        <f>'AVT139'!AZ61</f>
        <v>0</v>
      </c>
      <c r="S311" s="32"/>
      <c r="T311" s="325">
        <f>'AVT187'!AZ61</f>
        <v>0</v>
      </c>
      <c r="U311" s="32"/>
      <c r="V311" s="325">
        <f>'AVT251'!AZ49</f>
        <v>0</v>
      </c>
      <c r="W311" s="32"/>
      <c r="X311" s="325">
        <f>AVT187In!AZ49</f>
        <v>0</v>
      </c>
      <c r="Y311" s="32"/>
      <c r="Z311" s="325">
        <f>'AVT101(vn-A)'!AZ61</f>
        <v>0</v>
      </c>
      <c r="AA311" s="32"/>
      <c r="AB311" s="325">
        <f>'AVT139(vn-A)'!AZ61</f>
        <v>0</v>
      </c>
      <c r="AC311" s="32"/>
      <c r="AD311" s="325">
        <f>'AVT187(vn-A)'!AZ61</f>
        <v>0</v>
      </c>
      <c r="AE311" s="32"/>
      <c r="AF311" s="325">
        <f>'AVT187In(vn-A)'!AZ49</f>
        <v>0</v>
      </c>
      <c r="AG311" s="32"/>
      <c r="AH311" s="325">
        <f>'AVT187(vn-S)'!AZ61</f>
        <v>0</v>
      </c>
      <c r="AI311" s="32"/>
      <c r="AJ311" s="325">
        <f>'AVT187In(vn-S)'!AZ49</f>
        <v>0</v>
      </c>
      <c r="AK311" s="32"/>
      <c r="AL311" s="32"/>
      <c r="AM311" s="32"/>
      <c r="AN311" s="325">
        <f>'AVT-celny-101+187'!AZ57</f>
        <v>0</v>
      </c>
      <c r="AO311" s="32"/>
      <c r="AP311" s="325">
        <f>'AVT-celny-139+187'!AZ48</f>
        <v>0</v>
      </c>
      <c r="AQ311" s="32"/>
      <c r="AR311" s="325">
        <f>'AVT-celny-2x187'!AZ47</f>
        <v>0</v>
      </c>
      <c r="AS311" s="32"/>
      <c r="AT311" s="325">
        <f>'AVT-celny-2x187In'!AZ39</f>
        <v>0</v>
      </c>
      <c r="AU311" s="32"/>
      <c r="AV311" s="325">
        <f>'potr-v101+187'!AZ67</f>
        <v>0</v>
      </c>
      <c r="AW311" s="32"/>
      <c r="AX311" s="325">
        <f>'potr-v101+187-IL'!AZ67</f>
        <v>0</v>
      </c>
      <c r="AY311" s="32"/>
      <c r="AZ311" s="32"/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165"/>
      <c r="BP311" s="165"/>
      <c r="BQ311" s="165"/>
      <c r="BR311" s="165"/>
      <c r="BS311" s="165"/>
      <c r="BT311" s="165"/>
      <c r="BU311" s="165"/>
      <c r="BV311" s="55"/>
      <c r="BW311" s="160"/>
      <c r="BX311" s="32"/>
      <c r="BY311" s="24"/>
      <c r="BZ311" s="24"/>
      <c r="CA311" s="24"/>
      <c r="CB311" s="24"/>
      <c r="CC311" s="24"/>
      <c r="CD311" s="24"/>
      <c r="CE311" s="24"/>
    </row>
    <row r="312" spans="1:83" ht="15" hidden="1" customHeight="1">
      <c r="A312" s="4"/>
      <c r="B312" s="318">
        <f>CENY!B688</f>
        <v>9256854</v>
      </c>
      <c r="C312" s="43" t="str">
        <f>VLOOKUP(B312,CENY!$B$11:$G$1054,2,FALSE)</f>
        <v>Quadro You(M) 270/SiSy 20kg; EB21; ľavý</v>
      </c>
      <c r="D312" s="353">
        <f>VLOOKUP(B312,CENY!$B$11:$G$1054,3,FALSE)</f>
        <v>20</v>
      </c>
      <c r="E312" s="56" t="str">
        <f>IF(VLOOKUP(B312,CENY!$B$11:$G$1054,4,FALSE)=0,"",VLOOKUP(B312,CENY!$B$11:$G$1054,4,FALSE))</f>
        <v/>
      </c>
      <c r="F312" s="40" t="str">
        <f t="shared" si="68"/>
        <v/>
      </c>
      <c r="G312" s="52">
        <f>VLOOKUP(B312,CENY!$B$11:$M$1054,12,FALSE)</f>
        <v>10.7646</v>
      </c>
      <c r="H312" s="54" t="str">
        <f t="shared" si="66"/>
        <v xml:space="preserve"> EUR</v>
      </c>
      <c r="I312" s="41" t="str">
        <f t="shared" si="67"/>
        <v/>
      </c>
      <c r="J312" s="122"/>
      <c r="K312" s="42" t="str">
        <f>VLOOKUP(B312,CENY!$B$11:$M$1054,8,FALSE)</f>
        <v xml:space="preserve"> </v>
      </c>
      <c r="L312" s="42" t="str">
        <f>VLOOKUP(B312,CENY!$B$11:$M$1054,9,FALSE)</f>
        <v>397812</v>
      </c>
      <c r="M312" s="32"/>
      <c r="N312" s="35">
        <f t="shared" si="69"/>
        <v>0</v>
      </c>
      <c r="O312" s="36">
        <v>0</v>
      </c>
      <c r="P312" s="32"/>
      <c r="Q312" s="325">
        <f>'AVT101'!BI85</f>
        <v>0</v>
      </c>
      <c r="R312" s="32"/>
      <c r="S312" s="325">
        <f>'AVT139'!BI85</f>
        <v>0</v>
      </c>
      <c r="T312" s="32"/>
      <c r="U312" s="325">
        <f>'AVT187'!BI85</f>
        <v>0</v>
      </c>
      <c r="V312" s="32"/>
      <c r="W312" s="32"/>
      <c r="X312" s="32"/>
      <c r="Y312" s="32"/>
      <c r="Z312" s="32"/>
      <c r="AA312" s="325">
        <f>'AVT101(vn-A)'!BI85</f>
        <v>0</v>
      </c>
      <c r="AB312" s="32"/>
      <c r="AC312" s="32"/>
      <c r="AD312" s="32"/>
      <c r="AE312" s="325">
        <f>'AVT187(vn-A)'!BI85</f>
        <v>0</v>
      </c>
      <c r="AF312" s="32"/>
      <c r="AG312" s="32"/>
      <c r="AH312" s="32"/>
      <c r="AI312" s="325">
        <f>'AVT187(vn-S)'!BI85</f>
        <v>0</v>
      </c>
      <c r="AJ312" s="32"/>
      <c r="AK312" s="32"/>
      <c r="AL312" s="32"/>
      <c r="AM312" s="32"/>
      <c r="AN312" s="32"/>
      <c r="AO312" s="325">
        <f>'AVT-celny-101+187'!BI85</f>
        <v>0</v>
      </c>
      <c r="AP312" s="32"/>
      <c r="AQ312" s="32"/>
      <c r="AR312" s="32"/>
      <c r="AS312" s="325">
        <f>'AVT-celny-2x187'!BI65</f>
        <v>0</v>
      </c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165"/>
      <c r="BP312" s="165"/>
      <c r="BQ312" s="165"/>
      <c r="BR312" s="165"/>
      <c r="BS312" s="165"/>
      <c r="BT312" s="165"/>
      <c r="BU312" s="165"/>
      <c r="BV312" s="55"/>
      <c r="BW312" s="160"/>
      <c r="BX312" s="32"/>
      <c r="BY312" s="24"/>
      <c r="BZ312" s="24"/>
      <c r="CA312" s="24"/>
      <c r="CB312" s="24"/>
      <c r="CC312" s="24"/>
      <c r="CD312" s="24"/>
      <c r="CE312" s="24"/>
    </row>
    <row r="313" spans="1:83" ht="15" hidden="1" customHeight="1">
      <c r="A313" s="4"/>
      <c r="B313" s="318">
        <f>CENY!B689</f>
        <v>9256855</v>
      </c>
      <c r="C313" s="43" t="str">
        <f>VLOOKUP(B313,CENY!$B$11:$G$1054,2,FALSE)</f>
        <v>Quadro You(M) 270/SiSy 20kg; EB21; pravý</v>
      </c>
      <c r="D313" s="353">
        <f>VLOOKUP(B313,CENY!$B$11:$G$1054,3,FALSE)</f>
        <v>20</v>
      </c>
      <c r="E313" s="56" t="str">
        <f>IF(VLOOKUP(B313,CENY!$B$11:$G$1054,4,FALSE)=0,"",VLOOKUP(B313,CENY!$B$11:$G$1054,4,FALSE))</f>
        <v/>
      </c>
      <c r="F313" s="40" t="str">
        <f t="shared" si="68"/>
        <v/>
      </c>
      <c r="G313" s="52">
        <f>VLOOKUP(B313,CENY!$B$11:$M$1054,12,FALSE)</f>
        <v>10.7646</v>
      </c>
      <c r="H313" s="54" t="str">
        <f t="shared" si="66"/>
        <v xml:space="preserve"> EUR</v>
      </c>
      <c r="I313" s="41" t="str">
        <f t="shared" si="67"/>
        <v/>
      </c>
      <c r="J313" s="122"/>
      <c r="K313" s="42" t="str">
        <f>VLOOKUP(B313,CENY!$B$11:$M$1054,8,FALSE)</f>
        <v xml:space="preserve"> </v>
      </c>
      <c r="L313" s="42" t="str">
        <f>VLOOKUP(B313,CENY!$B$11:$M$1054,9,FALSE)</f>
        <v>397813</v>
      </c>
      <c r="M313" s="32"/>
      <c r="N313" s="35">
        <f t="shared" si="69"/>
        <v>0</v>
      </c>
      <c r="O313" s="36">
        <v>0</v>
      </c>
      <c r="P313" s="32"/>
      <c r="Q313" s="325">
        <f>'AVT101'!BI86</f>
        <v>0</v>
      </c>
      <c r="R313" s="32"/>
      <c r="S313" s="325">
        <f>'AVT139'!BI86</f>
        <v>0</v>
      </c>
      <c r="T313" s="32"/>
      <c r="U313" s="325">
        <f>'AVT187'!BI86</f>
        <v>0</v>
      </c>
      <c r="V313" s="32"/>
      <c r="W313" s="32"/>
      <c r="X313" s="32"/>
      <c r="Y313" s="32"/>
      <c r="Z313" s="32"/>
      <c r="AA313" s="325">
        <f>'AVT101(vn-A)'!BI86</f>
        <v>0</v>
      </c>
      <c r="AB313" s="32"/>
      <c r="AC313" s="32"/>
      <c r="AD313" s="32"/>
      <c r="AE313" s="325">
        <f>'AVT187(vn-A)'!BI86</f>
        <v>0</v>
      </c>
      <c r="AF313" s="32"/>
      <c r="AG313" s="32"/>
      <c r="AH313" s="32"/>
      <c r="AI313" s="325">
        <f>'AVT187(vn-S)'!BI86</f>
        <v>0</v>
      </c>
      <c r="AJ313" s="32"/>
      <c r="AK313" s="32"/>
      <c r="AL313" s="32"/>
      <c r="AM313" s="32"/>
      <c r="AN313" s="32"/>
      <c r="AO313" s="325">
        <f>'AVT-celny-101+187'!BI86</f>
        <v>0</v>
      </c>
      <c r="AP313" s="32"/>
      <c r="AQ313" s="32"/>
      <c r="AR313" s="32"/>
      <c r="AS313" s="325">
        <f>'AVT-celny-2x187'!BI66</f>
        <v>0</v>
      </c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165"/>
      <c r="BP313" s="165"/>
      <c r="BQ313" s="165"/>
      <c r="BR313" s="165"/>
      <c r="BS313" s="165"/>
      <c r="BT313" s="165"/>
      <c r="BU313" s="165"/>
      <c r="BV313" s="55"/>
      <c r="BW313" s="160"/>
      <c r="BX313" s="32"/>
      <c r="BY313" s="24"/>
      <c r="BZ313" s="24"/>
      <c r="CA313" s="24"/>
      <c r="CB313" s="24"/>
      <c r="CC313" s="24"/>
      <c r="CD313" s="24"/>
      <c r="CE313" s="24"/>
    </row>
    <row r="314" spans="1:83" ht="15" hidden="1" customHeight="1">
      <c r="A314" s="4"/>
      <c r="B314" s="318">
        <f>CENY!B690</f>
        <v>9256856</v>
      </c>
      <c r="C314" s="43" t="str">
        <f>VLOOKUP(B314,CENY!$B$11:$G$1054,2,FALSE)</f>
        <v>Quadro You(M) 300/SiSy 20kg; EB21; ľavý</v>
      </c>
      <c r="D314" s="353">
        <f>VLOOKUP(B314,CENY!$B$11:$G$1054,3,FALSE)</f>
        <v>20</v>
      </c>
      <c r="E314" s="56" t="str">
        <f>IF(VLOOKUP(B314,CENY!$B$11:$G$1054,4,FALSE)=0,"",VLOOKUP(B314,CENY!$B$11:$G$1054,4,FALSE))</f>
        <v/>
      </c>
      <c r="F314" s="40" t="str">
        <f t="shared" si="68"/>
        <v/>
      </c>
      <c r="G314" s="52">
        <f>VLOOKUP(B314,CENY!$B$11:$M$1054,12,FALSE)</f>
        <v>10.787739999999999</v>
      </c>
      <c r="H314" s="54" t="str">
        <f t="shared" si="66"/>
        <v xml:space="preserve"> EUR</v>
      </c>
      <c r="I314" s="41" t="str">
        <f t="shared" si="67"/>
        <v/>
      </c>
      <c r="J314" s="122"/>
      <c r="K314" s="42" t="str">
        <f>VLOOKUP(B314,CENY!$B$11:$M$1054,8,FALSE)</f>
        <v xml:space="preserve"> </v>
      </c>
      <c r="L314" s="42" t="str">
        <f>VLOOKUP(B314,CENY!$B$11:$M$1054,9,FALSE)</f>
        <v>397814</v>
      </c>
      <c r="M314" s="32"/>
      <c r="N314" s="35">
        <f t="shared" si="69"/>
        <v>0</v>
      </c>
      <c r="O314" s="36">
        <v>0</v>
      </c>
      <c r="P314" s="32"/>
      <c r="Q314" s="325">
        <f>'AVT101'!BI87</f>
        <v>0</v>
      </c>
      <c r="R314" s="32"/>
      <c r="S314" s="325">
        <f>'AVT139'!BI87</f>
        <v>0</v>
      </c>
      <c r="T314" s="32"/>
      <c r="U314" s="325">
        <f>'AVT187'!BI87</f>
        <v>0</v>
      </c>
      <c r="V314" s="32"/>
      <c r="W314" s="32"/>
      <c r="X314" s="32"/>
      <c r="Y314" s="32"/>
      <c r="Z314" s="32"/>
      <c r="AA314" s="325">
        <f>'AVT101(vn-A)'!BI87</f>
        <v>0</v>
      </c>
      <c r="AB314" s="32"/>
      <c r="AC314" s="325">
        <f>'AVT139(vn-A)'!BI87</f>
        <v>0</v>
      </c>
      <c r="AD314" s="32"/>
      <c r="AE314" s="325">
        <f>'AVT187(vn-A)'!BI87</f>
        <v>0</v>
      </c>
      <c r="AF314" s="32"/>
      <c r="AG314" s="32"/>
      <c r="AH314" s="32"/>
      <c r="AI314" s="325">
        <f>'AVT187(vn-S)'!BI87</f>
        <v>0</v>
      </c>
      <c r="AJ314" s="32"/>
      <c r="AK314" s="32"/>
      <c r="AL314" s="32"/>
      <c r="AM314" s="32"/>
      <c r="AN314" s="32"/>
      <c r="AO314" s="325">
        <f>'AVT-celny-101+187'!BI87</f>
        <v>0</v>
      </c>
      <c r="AP314" s="32"/>
      <c r="AQ314" s="325">
        <f>'AVT-celny-139+187'!BI71</f>
        <v>0</v>
      </c>
      <c r="AR314" s="32"/>
      <c r="AS314" s="325">
        <f>'AVT-celny-2x187'!BI67</f>
        <v>0</v>
      </c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165"/>
      <c r="BP314" s="165"/>
      <c r="BQ314" s="165"/>
      <c r="BR314" s="165"/>
      <c r="BS314" s="165"/>
      <c r="BT314" s="165"/>
      <c r="BU314" s="165"/>
      <c r="BV314" s="55"/>
      <c r="BW314" s="160"/>
      <c r="BX314" s="32"/>
      <c r="BY314" s="24"/>
      <c r="BZ314" s="24"/>
      <c r="CA314" s="24"/>
      <c r="CB314" s="24"/>
      <c r="CC314" s="24"/>
      <c r="CD314" s="24"/>
      <c r="CE314" s="24"/>
    </row>
    <row r="315" spans="1:83" ht="15" hidden="1" customHeight="1">
      <c r="A315" s="4"/>
      <c r="B315" s="318">
        <f>CENY!B691</f>
        <v>9256857</v>
      </c>
      <c r="C315" s="43" t="str">
        <f>VLOOKUP(B315,CENY!$B$11:$G$1054,2,FALSE)</f>
        <v>Quadro You(M) 300/SiSy 20kg; EB21; pravý</v>
      </c>
      <c r="D315" s="353">
        <f>VLOOKUP(B315,CENY!$B$11:$G$1054,3,FALSE)</f>
        <v>20</v>
      </c>
      <c r="E315" s="56" t="str">
        <f>IF(VLOOKUP(B315,CENY!$B$11:$G$1054,4,FALSE)=0,"",VLOOKUP(B315,CENY!$B$11:$G$1054,4,FALSE))</f>
        <v/>
      </c>
      <c r="F315" s="40" t="str">
        <f t="shared" si="68"/>
        <v/>
      </c>
      <c r="G315" s="52">
        <f>VLOOKUP(B315,CENY!$B$11:$M$1054,12,FALSE)</f>
        <v>10.787739999999999</v>
      </c>
      <c r="H315" s="54" t="str">
        <f t="shared" si="66"/>
        <v xml:space="preserve"> EUR</v>
      </c>
      <c r="I315" s="41" t="str">
        <f t="shared" si="67"/>
        <v/>
      </c>
      <c r="J315" s="122"/>
      <c r="K315" s="42" t="str">
        <f>VLOOKUP(B315,CENY!$B$11:$M$1054,8,FALSE)</f>
        <v xml:space="preserve"> </v>
      </c>
      <c r="L315" s="42" t="str">
        <f>VLOOKUP(B315,CENY!$B$11:$M$1054,9,FALSE)</f>
        <v>397815</v>
      </c>
      <c r="M315" s="32"/>
      <c r="N315" s="35">
        <f t="shared" si="69"/>
        <v>0</v>
      </c>
      <c r="O315" s="36">
        <v>0</v>
      </c>
      <c r="P315" s="32"/>
      <c r="Q315" s="325">
        <f>'AVT101'!BI88</f>
        <v>0</v>
      </c>
      <c r="R315" s="32"/>
      <c r="S315" s="325">
        <f>'AVT139'!BI88</f>
        <v>0</v>
      </c>
      <c r="T315" s="32"/>
      <c r="U315" s="325">
        <f>'AVT187'!BI88</f>
        <v>0</v>
      </c>
      <c r="V315" s="32"/>
      <c r="W315" s="32"/>
      <c r="X315" s="32"/>
      <c r="Y315" s="32"/>
      <c r="Z315" s="32"/>
      <c r="AA315" s="325">
        <f>'AVT101(vn-A)'!BI88</f>
        <v>0</v>
      </c>
      <c r="AB315" s="32"/>
      <c r="AC315" s="325">
        <f>'AVT139(vn-A)'!BI88</f>
        <v>0</v>
      </c>
      <c r="AD315" s="32"/>
      <c r="AE315" s="325">
        <f>'AVT187(vn-A)'!BI88</f>
        <v>0</v>
      </c>
      <c r="AF315" s="32"/>
      <c r="AG315" s="32"/>
      <c r="AH315" s="32"/>
      <c r="AI315" s="325">
        <f>'AVT187(vn-S)'!BI88</f>
        <v>0</v>
      </c>
      <c r="AJ315" s="32"/>
      <c r="AK315" s="32"/>
      <c r="AL315" s="32"/>
      <c r="AM315" s="32"/>
      <c r="AN315" s="32"/>
      <c r="AO315" s="325">
        <f>'AVT-celny-101+187'!BI88</f>
        <v>0</v>
      </c>
      <c r="AP315" s="32"/>
      <c r="AQ315" s="325">
        <f>'AVT-celny-139+187'!BI72</f>
        <v>0</v>
      </c>
      <c r="AR315" s="32"/>
      <c r="AS315" s="325">
        <f>'AVT-celny-2x187'!BI68</f>
        <v>0</v>
      </c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165"/>
      <c r="BP315" s="165"/>
      <c r="BQ315" s="165"/>
      <c r="BR315" s="165"/>
      <c r="BS315" s="165"/>
      <c r="BT315" s="165"/>
      <c r="BU315" s="165"/>
      <c r="BV315" s="55"/>
      <c r="BW315" s="160"/>
      <c r="BX315" s="32"/>
      <c r="BY315" s="24"/>
      <c r="BZ315" s="24"/>
      <c r="CA315" s="24"/>
      <c r="CB315" s="24"/>
      <c r="CC315" s="24"/>
      <c r="CD315" s="24"/>
      <c r="CE315" s="24"/>
    </row>
    <row r="316" spans="1:83" ht="15" hidden="1" customHeight="1">
      <c r="A316" s="4"/>
      <c r="B316" s="318">
        <f>CENY!B692</f>
        <v>9256860</v>
      </c>
      <c r="C316" s="43" t="str">
        <f>VLOOKUP(B316,CENY!$B$11:$G$1054,2,FALSE)</f>
        <v>Quadro You(M) 350/SiSy 25kg; EB21; ľavý</v>
      </c>
      <c r="D316" s="353">
        <f>VLOOKUP(B316,CENY!$B$11:$G$1054,3,FALSE)</f>
        <v>20</v>
      </c>
      <c r="E316" s="56" t="str">
        <f>IF(VLOOKUP(B316,CENY!$B$11:$G$1054,4,FALSE)=0,"",VLOOKUP(B316,CENY!$B$11:$G$1054,4,FALSE))</f>
        <v/>
      </c>
      <c r="F316" s="40" t="str">
        <f t="shared" si="68"/>
        <v/>
      </c>
      <c r="G316" s="52">
        <f>VLOOKUP(B316,CENY!$B$11:$M$1054,12,FALSE)</f>
        <v>11.02122</v>
      </c>
      <c r="H316" s="54" t="str">
        <f t="shared" si="66"/>
        <v xml:space="preserve"> EUR</v>
      </c>
      <c r="I316" s="41" t="str">
        <f t="shared" si="67"/>
        <v/>
      </c>
      <c r="J316" s="122"/>
      <c r="K316" s="42" t="str">
        <f>VLOOKUP(B316,CENY!$B$11:$M$1054,8,FALSE)</f>
        <v xml:space="preserve"> </v>
      </c>
      <c r="L316" s="42" t="str">
        <f>VLOOKUP(B316,CENY!$B$11:$M$1054,9,FALSE)</f>
        <v>397816</v>
      </c>
      <c r="M316" s="32"/>
      <c r="N316" s="35">
        <f t="shared" si="69"/>
        <v>0</v>
      </c>
      <c r="O316" s="36">
        <v>0</v>
      </c>
      <c r="P316" s="32"/>
      <c r="Q316" s="325">
        <f>'AVT101'!BI89</f>
        <v>0</v>
      </c>
      <c r="R316" s="32"/>
      <c r="S316" s="325">
        <f>'AVT139'!BI89</f>
        <v>0</v>
      </c>
      <c r="T316" s="32"/>
      <c r="U316" s="325">
        <f>'AVT187'!BI89</f>
        <v>0</v>
      </c>
      <c r="V316" s="32"/>
      <c r="W316" s="325">
        <f>'AVT251'!BI68</f>
        <v>0</v>
      </c>
      <c r="X316" s="32"/>
      <c r="Y316" s="325">
        <f>AVT187In!BI67</f>
        <v>0</v>
      </c>
      <c r="Z316" s="32"/>
      <c r="AA316" s="325">
        <f>'AVT101(vn-A)'!BI89</f>
        <v>0</v>
      </c>
      <c r="AB316" s="32"/>
      <c r="AC316" s="325">
        <f>'AVT139(vn-A)'!BI89</f>
        <v>0</v>
      </c>
      <c r="AD316" s="32"/>
      <c r="AE316" s="325">
        <f>'AVT187(vn-A)'!BI89</f>
        <v>0</v>
      </c>
      <c r="AF316" s="32"/>
      <c r="AG316" s="325">
        <f>'AVT187In(vn-A)'!BI67</f>
        <v>0</v>
      </c>
      <c r="AH316" s="32"/>
      <c r="AI316" s="325">
        <f>'AVT187(vn-S)'!BI89</f>
        <v>0</v>
      </c>
      <c r="AJ316" s="32"/>
      <c r="AK316" s="325">
        <f>'AVT187In(vn-S)'!BI67</f>
        <v>0</v>
      </c>
      <c r="AL316" s="32"/>
      <c r="AM316" s="32"/>
      <c r="AN316" s="32"/>
      <c r="AO316" s="325">
        <f>'AVT-celny-101+187'!BI89</f>
        <v>0</v>
      </c>
      <c r="AP316" s="32"/>
      <c r="AQ316" s="325">
        <f>'AVT-celny-139+187'!BI73</f>
        <v>0</v>
      </c>
      <c r="AR316" s="32"/>
      <c r="AS316" s="325">
        <f>'AVT-celny-2x187'!BI69</f>
        <v>0</v>
      </c>
      <c r="AT316" s="32"/>
      <c r="AU316" s="325">
        <f>'AVT-celny-2x187In'!BI55</f>
        <v>0</v>
      </c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165"/>
      <c r="BP316" s="165"/>
      <c r="BQ316" s="165"/>
      <c r="BR316" s="165"/>
      <c r="BS316" s="165"/>
      <c r="BT316" s="165"/>
      <c r="BU316" s="165"/>
      <c r="BV316" s="55"/>
      <c r="BW316" s="160"/>
      <c r="BX316" s="32"/>
      <c r="BY316" s="24"/>
      <c r="BZ316" s="24"/>
      <c r="CA316" s="24"/>
      <c r="CB316" s="24"/>
      <c r="CC316" s="24"/>
      <c r="CD316" s="24"/>
      <c r="CE316" s="24"/>
    </row>
    <row r="317" spans="1:83" ht="15" hidden="1" customHeight="1">
      <c r="A317" s="4"/>
      <c r="B317" s="318">
        <f>CENY!B693</f>
        <v>9256861</v>
      </c>
      <c r="C317" s="43" t="str">
        <f>VLOOKUP(B317,CENY!$B$11:$G$1054,2,FALSE)</f>
        <v>Quadro You(M) 350/SiSy 25kg; EB21; pravý</v>
      </c>
      <c r="D317" s="353">
        <f>VLOOKUP(B317,CENY!$B$11:$G$1054,3,FALSE)</f>
        <v>20</v>
      </c>
      <c r="E317" s="56" t="str">
        <f>IF(VLOOKUP(B317,CENY!$B$11:$G$1054,4,FALSE)=0,"",VLOOKUP(B317,CENY!$B$11:$G$1054,4,FALSE))</f>
        <v/>
      </c>
      <c r="F317" s="40" t="str">
        <f t="shared" si="68"/>
        <v/>
      </c>
      <c r="G317" s="52">
        <f>VLOOKUP(B317,CENY!$B$11:$M$1054,12,FALSE)</f>
        <v>11.02122</v>
      </c>
      <c r="H317" s="54" t="str">
        <f t="shared" si="66"/>
        <v xml:space="preserve"> EUR</v>
      </c>
      <c r="I317" s="41" t="str">
        <f t="shared" si="67"/>
        <v/>
      </c>
      <c r="J317" s="122"/>
      <c r="K317" s="42" t="str">
        <f>VLOOKUP(B317,CENY!$B$11:$M$1054,8,FALSE)</f>
        <v xml:space="preserve"> </v>
      </c>
      <c r="L317" s="42" t="str">
        <f>VLOOKUP(B317,CENY!$B$11:$M$1054,9,FALSE)</f>
        <v>397817</v>
      </c>
      <c r="M317" s="32"/>
      <c r="N317" s="35">
        <f t="shared" si="69"/>
        <v>0</v>
      </c>
      <c r="O317" s="36">
        <v>0</v>
      </c>
      <c r="P317" s="32"/>
      <c r="Q317" s="325">
        <f>'AVT101'!BI90</f>
        <v>0</v>
      </c>
      <c r="R317" s="32"/>
      <c r="S317" s="325">
        <f>'AVT139'!BI90</f>
        <v>0</v>
      </c>
      <c r="T317" s="32"/>
      <c r="U317" s="325">
        <f>'AVT187'!BI90</f>
        <v>0</v>
      </c>
      <c r="V317" s="32"/>
      <c r="W317" s="325">
        <f>'AVT251'!BI69</f>
        <v>0</v>
      </c>
      <c r="X317" s="32"/>
      <c r="Y317" s="325">
        <f>AVT187In!BI68</f>
        <v>0</v>
      </c>
      <c r="Z317" s="32"/>
      <c r="AA317" s="325">
        <f>'AVT101(vn-A)'!BI90</f>
        <v>0</v>
      </c>
      <c r="AB317" s="32"/>
      <c r="AC317" s="325">
        <f>'AVT139(vn-A)'!BI90</f>
        <v>0</v>
      </c>
      <c r="AD317" s="32"/>
      <c r="AE317" s="325">
        <f>'AVT187(vn-A)'!BI90</f>
        <v>0</v>
      </c>
      <c r="AF317" s="32"/>
      <c r="AG317" s="325">
        <f>'AVT187In(vn-A)'!BI68</f>
        <v>0</v>
      </c>
      <c r="AH317" s="32"/>
      <c r="AI317" s="325">
        <f>'AVT187(vn-S)'!BI90</f>
        <v>0</v>
      </c>
      <c r="AJ317" s="32"/>
      <c r="AK317" s="325">
        <f>'AVT187In(vn-S)'!BI68</f>
        <v>0</v>
      </c>
      <c r="AL317" s="32"/>
      <c r="AM317" s="32"/>
      <c r="AN317" s="32"/>
      <c r="AO317" s="325">
        <f>'AVT-celny-101+187'!BI90</f>
        <v>0</v>
      </c>
      <c r="AP317" s="32"/>
      <c r="AQ317" s="325">
        <f>'AVT-celny-139+187'!BI74</f>
        <v>0</v>
      </c>
      <c r="AR317" s="32"/>
      <c r="AS317" s="325">
        <f>'AVT-celny-2x187'!BI70</f>
        <v>0</v>
      </c>
      <c r="AT317" s="32"/>
      <c r="AU317" s="325">
        <f>'AVT-celny-2x187In'!BI56</f>
        <v>0</v>
      </c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165"/>
      <c r="BP317" s="165"/>
      <c r="BQ317" s="165"/>
      <c r="BR317" s="165"/>
      <c r="BS317" s="165"/>
      <c r="BT317" s="165"/>
      <c r="BU317" s="165"/>
      <c r="BV317" s="55"/>
      <c r="BW317" s="160"/>
      <c r="BX317" s="32"/>
      <c r="BY317" s="24"/>
      <c r="BZ317" s="24"/>
      <c r="CA317" s="24"/>
      <c r="CB317" s="24"/>
      <c r="CC317" s="24"/>
      <c r="CD317" s="24"/>
      <c r="CE317" s="24"/>
    </row>
    <row r="318" spans="1:83" ht="15" hidden="1" customHeight="1">
      <c r="A318" s="4"/>
      <c r="B318" s="318">
        <f>CENY!B694</f>
        <v>9256864</v>
      </c>
      <c r="C318" s="43" t="str">
        <f>VLOOKUP(B318,CENY!$B$11:$G$1054,2,FALSE)</f>
        <v>Quadro You(M) 400/SiSy 30kg; EB21; ľavý</v>
      </c>
      <c r="D318" s="353">
        <f>VLOOKUP(B318,CENY!$B$11:$G$1054,3,FALSE)</f>
        <v>20</v>
      </c>
      <c r="E318" s="56" t="str">
        <f>IF(VLOOKUP(B318,CENY!$B$11:$G$1054,4,FALSE)=0,"",VLOOKUP(B318,CENY!$B$11:$G$1054,4,FALSE))</f>
        <v/>
      </c>
      <c r="F318" s="40" t="str">
        <f t="shared" si="68"/>
        <v/>
      </c>
      <c r="G318" s="52">
        <f>VLOOKUP(B318,CENY!$B$11:$M$1054,12,FALSE)</f>
        <v>11.25459</v>
      </c>
      <c r="H318" s="54" t="str">
        <f t="shared" si="66"/>
        <v xml:space="preserve"> EUR</v>
      </c>
      <c r="I318" s="41" t="str">
        <f t="shared" si="67"/>
        <v/>
      </c>
      <c r="J318" s="122"/>
      <c r="K318" s="42" t="str">
        <f>VLOOKUP(B318,CENY!$B$11:$M$1054,8,FALSE)</f>
        <v xml:space="preserve"> </v>
      </c>
      <c r="L318" s="42" t="str">
        <f>VLOOKUP(B318,CENY!$B$11:$M$1054,9,FALSE)</f>
        <v>397818</v>
      </c>
      <c r="M318" s="32"/>
      <c r="N318" s="35">
        <f t="shared" si="69"/>
        <v>0</v>
      </c>
      <c r="O318" s="36">
        <v>0</v>
      </c>
      <c r="P318" s="32"/>
      <c r="Q318" s="325">
        <f>'AVT101'!BI91</f>
        <v>0</v>
      </c>
      <c r="R318" s="32"/>
      <c r="S318" s="325">
        <f>'AVT139'!BI91</f>
        <v>0</v>
      </c>
      <c r="T318" s="32"/>
      <c r="U318" s="325">
        <f>'AVT187'!BI91</f>
        <v>0</v>
      </c>
      <c r="V318" s="32"/>
      <c r="W318" s="325">
        <f>'AVT251'!BI70</f>
        <v>0</v>
      </c>
      <c r="X318" s="32"/>
      <c r="Y318" s="325">
        <f>AVT187In!BI69</f>
        <v>0</v>
      </c>
      <c r="Z318" s="32"/>
      <c r="AA318" s="325">
        <f>'AVT101(vn-A)'!BI91</f>
        <v>0</v>
      </c>
      <c r="AB318" s="32"/>
      <c r="AC318" s="325">
        <f>'AVT139(vn-A)'!BI91</f>
        <v>0</v>
      </c>
      <c r="AD318" s="32"/>
      <c r="AE318" s="325">
        <f>'AVT187(vn-A)'!BI91</f>
        <v>0</v>
      </c>
      <c r="AF318" s="32"/>
      <c r="AG318" s="325">
        <f>'AVT187In(vn-A)'!BI69</f>
        <v>0</v>
      </c>
      <c r="AH318" s="32"/>
      <c r="AI318" s="325">
        <f>'AVT187(vn-S)'!BI91</f>
        <v>0</v>
      </c>
      <c r="AJ318" s="32"/>
      <c r="AK318" s="325">
        <f>'AVT187In(vn-S)'!BI69</f>
        <v>0</v>
      </c>
      <c r="AL318" s="32"/>
      <c r="AM318" s="325">
        <f>'AVT77'!BI44</f>
        <v>0</v>
      </c>
      <c r="AN318" s="32"/>
      <c r="AO318" s="325">
        <f>'AVT-celny-101+187'!BI91</f>
        <v>0</v>
      </c>
      <c r="AP318" s="32"/>
      <c r="AQ318" s="325">
        <f>'AVT-celny-139+187'!BI75</f>
        <v>0</v>
      </c>
      <c r="AR318" s="32"/>
      <c r="AS318" s="325">
        <f>'AVT-celny-2x187'!BI71</f>
        <v>0</v>
      </c>
      <c r="AT318" s="32"/>
      <c r="AU318" s="325">
        <f>'AVT-celny-2x187In'!BI57</f>
        <v>0</v>
      </c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165"/>
      <c r="BP318" s="165"/>
      <c r="BQ318" s="165"/>
      <c r="BR318" s="165"/>
      <c r="BS318" s="165"/>
      <c r="BT318" s="165"/>
      <c r="BU318" s="165"/>
      <c r="BV318" s="55"/>
      <c r="BW318" s="160"/>
      <c r="BX318" s="32"/>
      <c r="BY318" s="24"/>
      <c r="BZ318" s="24"/>
      <c r="CA318" s="24"/>
      <c r="CB318" s="24"/>
      <c r="CC318" s="24"/>
      <c r="CD318" s="24"/>
      <c r="CE318" s="24"/>
    </row>
    <row r="319" spans="1:83" ht="15" hidden="1" customHeight="1">
      <c r="A319" s="4"/>
      <c r="B319" s="318">
        <f>CENY!B695</f>
        <v>9256865</v>
      </c>
      <c r="C319" s="43" t="str">
        <f>VLOOKUP(B319,CENY!$B$11:$G$1054,2,FALSE)</f>
        <v>Quadro You(M) 400/SiSy 30kg; EB21; pravý</v>
      </c>
      <c r="D319" s="353">
        <f>VLOOKUP(B319,CENY!$B$11:$G$1054,3,FALSE)</f>
        <v>20</v>
      </c>
      <c r="E319" s="56" t="str">
        <f>IF(VLOOKUP(B319,CENY!$B$11:$G$1054,4,FALSE)=0,"",VLOOKUP(B319,CENY!$B$11:$G$1054,4,FALSE))</f>
        <v/>
      </c>
      <c r="F319" s="40" t="str">
        <f t="shared" si="68"/>
        <v/>
      </c>
      <c r="G319" s="52">
        <f>VLOOKUP(B319,CENY!$B$11:$M$1054,12,FALSE)</f>
        <v>11.25459</v>
      </c>
      <c r="H319" s="54" t="str">
        <f t="shared" si="66"/>
        <v xml:space="preserve"> EUR</v>
      </c>
      <c r="I319" s="41" t="str">
        <f t="shared" si="67"/>
        <v/>
      </c>
      <c r="J319" s="122"/>
      <c r="K319" s="42" t="str">
        <f>VLOOKUP(B319,CENY!$B$11:$M$1054,8,FALSE)</f>
        <v xml:space="preserve"> </v>
      </c>
      <c r="L319" s="42" t="str">
        <f>VLOOKUP(B319,CENY!$B$11:$M$1054,9,FALSE)</f>
        <v>397819</v>
      </c>
      <c r="M319" s="32"/>
      <c r="N319" s="35">
        <f t="shared" si="69"/>
        <v>0</v>
      </c>
      <c r="O319" s="36">
        <v>0</v>
      </c>
      <c r="P319" s="32"/>
      <c r="Q319" s="325">
        <f>'AVT101'!BI92</f>
        <v>0</v>
      </c>
      <c r="R319" s="32"/>
      <c r="S319" s="325">
        <f>'AVT139'!BI92</f>
        <v>0</v>
      </c>
      <c r="T319" s="32"/>
      <c r="U319" s="325">
        <f>'AVT187'!BI92</f>
        <v>0</v>
      </c>
      <c r="V319" s="32"/>
      <c r="W319" s="325">
        <f>'AVT251'!BI71</f>
        <v>0</v>
      </c>
      <c r="X319" s="32"/>
      <c r="Y319" s="325">
        <f>AVT187In!BI70</f>
        <v>0</v>
      </c>
      <c r="Z319" s="32"/>
      <c r="AA319" s="325">
        <f>'AVT101(vn-A)'!BI92</f>
        <v>0</v>
      </c>
      <c r="AB319" s="32"/>
      <c r="AC319" s="325">
        <f>'AVT139(vn-A)'!BI92</f>
        <v>0</v>
      </c>
      <c r="AD319" s="32"/>
      <c r="AE319" s="325">
        <f>'AVT187(vn-A)'!BI92</f>
        <v>0</v>
      </c>
      <c r="AF319" s="32"/>
      <c r="AG319" s="325">
        <f>'AVT187In(vn-A)'!BI70</f>
        <v>0</v>
      </c>
      <c r="AH319" s="32"/>
      <c r="AI319" s="325">
        <f>'AVT187(vn-S)'!BI92</f>
        <v>0</v>
      </c>
      <c r="AJ319" s="32"/>
      <c r="AK319" s="325">
        <f>'AVT187In(vn-S)'!BI70</f>
        <v>0</v>
      </c>
      <c r="AL319" s="32"/>
      <c r="AM319" s="325">
        <f>'AVT77'!BI45</f>
        <v>0</v>
      </c>
      <c r="AN319" s="32"/>
      <c r="AO319" s="325">
        <f>'AVT-celny-101+187'!BI92</f>
        <v>0</v>
      </c>
      <c r="AP319" s="32"/>
      <c r="AQ319" s="325">
        <f>'AVT-celny-139+187'!BI76</f>
        <v>0</v>
      </c>
      <c r="AR319" s="32"/>
      <c r="AS319" s="325">
        <f>'AVT-celny-2x187'!BI72</f>
        <v>0</v>
      </c>
      <c r="AT319" s="32"/>
      <c r="AU319" s="325">
        <f>'AVT-celny-2x187In'!BI58</f>
        <v>0</v>
      </c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165"/>
      <c r="BP319" s="165"/>
      <c r="BQ319" s="165"/>
      <c r="BR319" s="165"/>
      <c r="BS319" s="165"/>
      <c r="BT319" s="165"/>
      <c r="BU319" s="165"/>
      <c r="BV319" s="55"/>
      <c r="BW319" s="160"/>
      <c r="BX319" s="32"/>
      <c r="BY319" s="24"/>
      <c r="BZ319" s="24"/>
      <c r="CA319" s="24"/>
      <c r="CB319" s="24"/>
      <c r="CC319" s="24"/>
      <c r="CD319" s="24"/>
      <c r="CE319" s="24"/>
    </row>
    <row r="320" spans="1:83" ht="15" hidden="1" customHeight="1">
      <c r="A320" s="4"/>
      <c r="B320" s="318">
        <f>CENY!B696</f>
        <v>9256868</v>
      </c>
      <c r="C320" s="43" t="str">
        <f>VLOOKUP(B320,CENY!$B$11:$G$1054,2,FALSE)</f>
        <v>Quadro You(M) 450/SiSy 30kg; EB21; ľavý</v>
      </c>
      <c r="D320" s="353">
        <f>VLOOKUP(B320,CENY!$B$11:$G$1054,3,FALSE)</f>
        <v>20</v>
      </c>
      <c r="E320" s="56" t="str">
        <f>IF(VLOOKUP(B320,CENY!$B$11:$G$1054,4,FALSE)=0,"",VLOOKUP(B320,CENY!$B$11:$G$1054,4,FALSE))</f>
        <v/>
      </c>
      <c r="F320" s="40" t="str">
        <f t="shared" si="68"/>
        <v/>
      </c>
      <c r="G320" s="52">
        <f>VLOOKUP(B320,CENY!$B$11:$M$1054,12,FALSE)</f>
        <v>11.487740000000001</v>
      </c>
      <c r="H320" s="54" t="str">
        <f t="shared" si="66"/>
        <v xml:space="preserve"> EUR</v>
      </c>
      <c r="I320" s="41" t="str">
        <f t="shared" si="67"/>
        <v/>
      </c>
      <c r="J320" s="122"/>
      <c r="K320" s="42" t="str">
        <f>VLOOKUP(B320,CENY!$B$11:$M$1054,8,FALSE)</f>
        <v xml:space="preserve"> </v>
      </c>
      <c r="L320" s="42" t="str">
        <f>VLOOKUP(B320,CENY!$B$11:$M$1054,9,FALSE)</f>
        <v>397820</v>
      </c>
      <c r="M320" s="32"/>
      <c r="N320" s="35">
        <f t="shared" si="69"/>
        <v>0</v>
      </c>
      <c r="O320" s="36">
        <v>0</v>
      </c>
      <c r="P320" s="32"/>
      <c r="Q320" s="325">
        <f>'AVT101'!BI93</f>
        <v>0</v>
      </c>
      <c r="R320" s="32"/>
      <c r="S320" s="325">
        <f>'AVT139'!BI93</f>
        <v>0</v>
      </c>
      <c r="T320" s="32"/>
      <c r="U320" s="325">
        <f>'AVT187'!BI93</f>
        <v>0</v>
      </c>
      <c r="V320" s="32"/>
      <c r="W320" s="325">
        <f>'AVT251'!BI72</f>
        <v>0</v>
      </c>
      <c r="X320" s="32"/>
      <c r="Y320" s="325">
        <f>AVT187In!BI71</f>
        <v>0</v>
      </c>
      <c r="Z320" s="32"/>
      <c r="AA320" s="325">
        <f>'AVT101(vn-A)'!BI93</f>
        <v>0</v>
      </c>
      <c r="AB320" s="32"/>
      <c r="AC320" s="325">
        <f>'AVT139(vn-A)'!BI93</f>
        <v>0</v>
      </c>
      <c r="AD320" s="32"/>
      <c r="AE320" s="325">
        <f>'AVT187(vn-A)'!BI93</f>
        <v>0</v>
      </c>
      <c r="AF320" s="32"/>
      <c r="AG320" s="325">
        <f>'AVT187In(vn-A)'!BI71</f>
        <v>0</v>
      </c>
      <c r="AH320" s="32"/>
      <c r="AI320" s="325">
        <f>'AVT187(vn-S)'!BI93</f>
        <v>0</v>
      </c>
      <c r="AJ320" s="32"/>
      <c r="AK320" s="325">
        <f>'AVT187In(vn-S)'!BI71</f>
        <v>0</v>
      </c>
      <c r="AL320" s="32"/>
      <c r="AM320" s="325">
        <f>'AVT77'!BI46</f>
        <v>0</v>
      </c>
      <c r="AN320" s="32"/>
      <c r="AO320" s="325">
        <f>'AVT-celny-101+187'!BI93</f>
        <v>0</v>
      </c>
      <c r="AP320" s="32"/>
      <c r="AQ320" s="325">
        <f>'AVT-celny-139+187'!BI77</f>
        <v>0</v>
      </c>
      <c r="AR320" s="32"/>
      <c r="AS320" s="325">
        <f>'AVT-celny-2x187'!BI73</f>
        <v>0</v>
      </c>
      <c r="AT320" s="32"/>
      <c r="AU320" s="325">
        <f>'AVT-celny-2x187In'!BI59</f>
        <v>0</v>
      </c>
      <c r="AV320" s="32"/>
      <c r="AW320" s="325">
        <f>'potr-v101+187'!BI107</f>
        <v>0</v>
      </c>
      <c r="AX320" s="32"/>
      <c r="AY320" s="325">
        <f>'potr-v101+187-IL'!BI107</f>
        <v>0</v>
      </c>
      <c r="AZ320" s="32"/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165"/>
      <c r="BP320" s="165"/>
      <c r="BQ320" s="165"/>
      <c r="BR320" s="165"/>
      <c r="BS320" s="165"/>
      <c r="BT320" s="165"/>
      <c r="BU320" s="165"/>
      <c r="BV320" s="55"/>
      <c r="BW320" s="160"/>
      <c r="BX320" s="32"/>
      <c r="BY320" s="24"/>
      <c r="BZ320" s="24"/>
      <c r="CA320" s="24"/>
      <c r="CB320" s="24"/>
      <c r="CC320" s="24"/>
      <c r="CD320" s="24"/>
      <c r="CE320" s="24"/>
    </row>
    <row r="321" spans="1:83" ht="15" hidden="1" customHeight="1">
      <c r="A321" s="4"/>
      <c r="B321" s="318">
        <f>CENY!B697</f>
        <v>9256869</v>
      </c>
      <c r="C321" s="43" t="str">
        <f>VLOOKUP(B321,CENY!$B$11:$G$1054,2,FALSE)</f>
        <v>Quadro You(M) 450/SiSy 30kg; EB21; pravý</v>
      </c>
      <c r="D321" s="353">
        <f>VLOOKUP(B321,CENY!$B$11:$G$1054,3,FALSE)</f>
        <v>20</v>
      </c>
      <c r="E321" s="56" t="str">
        <f>IF(VLOOKUP(B321,CENY!$B$11:$G$1054,4,FALSE)=0,"",VLOOKUP(B321,CENY!$B$11:$G$1054,4,FALSE))</f>
        <v/>
      </c>
      <c r="F321" s="40" t="str">
        <f t="shared" si="68"/>
        <v/>
      </c>
      <c r="G321" s="52">
        <f>VLOOKUP(B321,CENY!$B$11:$M$1054,12,FALSE)</f>
        <v>11.487740000000001</v>
      </c>
      <c r="H321" s="54" t="str">
        <f t="shared" si="66"/>
        <v xml:space="preserve"> EUR</v>
      </c>
      <c r="I321" s="41" t="str">
        <f t="shared" si="67"/>
        <v/>
      </c>
      <c r="J321" s="122"/>
      <c r="K321" s="42" t="str">
        <f>VLOOKUP(B321,CENY!$B$11:$M$1054,8,FALSE)</f>
        <v xml:space="preserve"> </v>
      </c>
      <c r="L321" s="42" t="str">
        <f>VLOOKUP(B321,CENY!$B$11:$M$1054,9,FALSE)</f>
        <v>397821</v>
      </c>
      <c r="M321" s="32"/>
      <c r="N321" s="35">
        <f t="shared" si="69"/>
        <v>0</v>
      </c>
      <c r="O321" s="36">
        <v>0</v>
      </c>
      <c r="P321" s="32"/>
      <c r="Q321" s="325">
        <f>'AVT101'!BI94</f>
        <v>0</v>
      </c>
      <c r="R321" s="32"/>
      <c r="S321" s="325">
        <f>'AVT139'!BI94</f>
        <v>0</v>
      </c>
      <c r="T321" s="32"/>
      <c r="U321" s="325">
        <f>'AVT187'!BI94</f>
        <v>0</v>
      </c>
      <c r="V321" s="32"/>
      <c r="W321" s="325">
        <f>'AVT251'!BI73</f>
        <v>0</v>
      </c>
      <c r="X321" s="32"/>
      <c r="Y321" s="325">
        <f>AVT187In!BI72</f>
        <v>0</v>
      </c>
      <c r="Z321" s="32"/>
      <c r="AA321" s="325">
        <f>'AVT101(vn-A)'!BI94</f>
        <v>0</v>
      </c>
      <c r="AB321" s="32"/>
      <c r="AC321" s="325">
        <f>'AVT139(vn-A)'!BI94</f>
        <v>0</v>
      </c>
      <c r="AD321" s="32"/>
      <c r="AE321" s="325">
        <f>'AVT187(vn-A)'!BI94</f>
        <v>0</v>
      </c>
      <c r="AF321" s="32"/>
      <c r="AG321" s="325">
        <f>'AVT187In(vn-A)'!BI72</f>
        <v>0</v>
      </c>
      <c r="AH321" s="32"/>
      <c r="AI321" s="325">
        <f>'AVT187(vn-S)'!BI94</f>
        <v>0</v>
      </c>
      <c r="AJ321" s="32"/>
      <c r="AK321" s="325">
        <f>'AVT187In(vn-S)'!BI72</f>
        <v>0</v>
      </c>
      <c r="AL321" s="32"/>
      <c r="AM321" s="325">
        <f>'AVT77'!BI47</f>
        <v>0</v>
      </c>
      <c r="AN321" s="32"/>
      <c r="AO321" s="325">
        <f>'AVT-celny-101+187'!BI94</f>
        <v>0</v>
      </c>
      <c r="AP321" s="32"/>
      <c r="AQ321" s="325">
        <f>'AVT-celny-139+187'!BI78</f>
        <v>0</v>
      </c>
      <c r="AR321" s="32"/>
      <c r="AS321" s="325">
        <f>'AVT-celny-2x187'!BI74</f>
        <v>0</v>
      </c>
      <c r="AT321" s="32"/>
      <c r="AU321" s="325">
        <f>'AVT-celny-2x187In'!BI60</f>
        <v>0</v>
      </c>
      <c r="AV321" s="32"/>
      <c r="AW321" s="325">
        <f>'potr-v101+187'!BI108</f>
        <v>0</v>
      </c>
      <c r="AX321" s="32"/>
      <c r="AY321" s="325">
        <f>'potr-v101+187-IL'!BI108</f>
        <v>0</v>
      </c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165"/>
      <c r="BP321" s="165"/>
      <c r="BQ321" s="165"/>
      <c r="BR321" s="165"/>
      <c r="BS321" s="165"/>
      <c r="BT321" s="165"/>
      <c r="BU321" s="165"/>
      <c r="BV321" s="55"/>
      <c r="BW321" s="160"/>
      <c r="BX321" s="32"/>
      <c r="BY321" s="24"/>
      <c r="BZ321" s="24"/>
      <c r="CA321" s="24"/>
      <c r="CB321" s="24"/>
      <c r="CC321" s="24"/>
      <c r="CD321" s="24"/>
      <c r="CE321" s="24"/>
    </row>
    <row r="322" spans="1:83" ht="15" hidden="1" customHeight="1">
      <c r="A322" s="4"/>
      <c r="B322" s="318">
        <f>CENY!B698</f>
        <v>9256872</v>
      </c>
      <c r="C322" s="43" t="str">
        <f>VLOOKUP(B322,CENY!$B$11:$G$1054,2,FALSE)</f>
        <v>Quadro You(M) 500/SiSy 30kg; EB21; ľavý</v>
      </c>
      <c r="D322" s="353">
        <f>VLOOKUP(B322,CENY!$B$11:$G$1054,3,FALSE)</f>
        <v>20</v>
      </c>
      <c r="E322" s="56" t="str">
        <f>IF(VLOOKUP(B322,CENY!$B$11:$G$1054,4,FALSE)=0,"",VLOOKUP(B322,CENY!$B$11:$G$1054,4,FALSE))</f>
        <v/>
      </c>
      <c r="F322" s="40" t="str">
        <f t="shared" si="68"/>
        <v/>
      </c>
      <c r="G322" s="52">
        <f>VLOOKUP(B322,CENY!$B$11:$M$1054,12,FALSE)</f>
        <v>11.163180000000001</v>
      </c>
      <c r="H322" s="54" t="str">
        <f t="shared" si="66"/>
        <v xml:space="preserve"> EUR</v>
      </c>
      <c r="I322" s="41" t="str">
        <f t="shared" si="67"/>
        <v/>
      </c>
      <c r="J322" s="122"/>
      <c r="K322" s="42" t="str">
        <f>VLOOKUP(B322,CENY!$B$11:$M$1054,8,FALSE)</f>
        <v xml:space="preserve"> </v>
      </c>
      <c r="L322" s="42" t="str">
        <f>VLOOKUP(B322,CENY!$B$11:$M$1054,9,FALSE)</f>
        <v>397822</v>
      </c>
      <c r="M322" s="32"/>
      <c r="N322" s="35">
        <f t="shared" si="69"/>
        <v>0</v>
      </c>
      <c r="O322" s="36">
        <v>0</v>
      </c>
      <c r="P322" s="32"/>
      <c r="Q322" s="325">
        <f>'AVT101'!BI95</f>
        <v>0</v>
      </c>
      <c r="R322" s="32"/>
      <c r="S322" s="325">
        <f>'AVT139'!BI95</f>
        <v>0</v>
      </c>
      <c r="T322" s="32"/>
      <c r="U322" s="325">
        <f>'AVT187'!BI95</f>
        <v>0</v>
      </c>
      <c r="V322" s="32"/>
      <c r="W322" s="325">
        <f>'AVT251'!BI74</f>
        <v>0</v>
      </c>
      <c r="X322" s="32"/>
      <c r="Y322" s="325">
        <f>AVT187In!BI73</f>
        <v>0</v>
      </c>
      <c r="Z322" s="32"/>
      <c r="AA322" s="325">
        <f>'AVT101(vn-A)'!BI95</f>
        <v>0</v>
      </c>
      <c r="AB322" s="32"/>
      <c r="AC322" s="325">
        <f>'AVT139(vn-A)'!BI95</f>
        <v>0</v>
      </c>
      <c r="AD322" s="32"/>
      <c r="AE322" s="325">
        <f>'AVT187(vn-A)'!BI95</f>
        <v>0</v>
      </c>
      <c r="AF322" s="32"/>
      <c r="AG322" s="325">
        <f>'AVT187In(vn-A)'!BI73</f>
        <v>0</v>
      </c>
      <c r="AH322" s="32"/>
      <c r="AI322" s="325">
        <f>'AVT187(vn-S)'!BI95</f>
        <v>0</v>
      </c>
      <c r="AJ322" s="32"/>
      <c r="AK322" s="325">
        <f>'AVT187In(vn-S)'!BI73</f>
        <v>0</v>
      </c>
      <c r="AL322" s="32"/>
      <c r="AM322" s="325">
        <f>'AVT77'!BI48</f>
        <v>0</v>
      </c>
      <c r="AN322" s="32"/>
      <c r="AO322" s="325">
        <f>'AVT-celny-101+187'!BI95</f>
        <v>0</v>
      </c>
      <c r="AP322" s="32"/>
      <c r="AQ322" s="325">
        <f>'AVT-celny-139+187'!BI79</f>
        <v>0</v>
      </c>
      <c r="AR322" s="32"/>
      <c r="AS322" s="325">
        <f>'AVT-celny-2x187'!BI75</f>
        <v>0</v>
      </c>
      <c r="AT322" s="32"/>
      <c r="AU322" s="325">
        <f>'AVT-celny-2x187In'!BI61</f>
        <v>0</v>
      </c>
      <c r="AV322" s="32"/>
      <c r="AW322" s="325">
        <f>'potr-v101+187'!BI109</f>
        <v>0</v>
      </c>
      <c r="AX322" s="32"/>
      <c r="AY322" s="325">
        <f>'potr-v101+187-IL'!BI109</f>
        <v>0</v>
      </c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165"/>
      <c r="BP322" s="165"/>
      <c r="BQ322" s="165"/>
      <c r="BR322" s="165"/>
      <c r="BS322" s="165"/>
      <c r="BT322" s="165"/>
      <c r="BU322" s="165"/>
      <c r="BV322" s="55"/>
      <c r="BW322" s="160"/>
      <c r="BX322" s="32"/>
      <c r="BY322" s="24"/>
      <c r="BZ322" s="24"/>
      <c r="CA322" s="24"/>
      <c r="CB322" s="24"/>
      <c r="CC322" s="24"/>
      <c r="CD322" s="24"/>
      <c r="CE322" s="24"/>
    </row>
    <row r="323" spans="1:83" ht="15" hidden="1" customHeight="1">
      <c r="A323" s="4"/>
      <c r="B323" s="318">
        <f>CENY!B699</f>
        <v>9256873</v>
      </c>
      <c r="C323" s="43" t="str">
        <f>VLOOKUP(B323,CENY!$B$11:$G$1054,2,FALSE)</f>
        <v>Quadro You(M) 500/SiSy 30kg; EB21; pravý</v>
      </c>
      <c r="D323" s="353">
        <f>VLOOKUP(B323,CENY!$B$11:$G$1054,3,FALSE)</f>
        <v>20</v>
      </c>
      <c r="E323" s="56" t="str">
        <f>IF(VLOOKUP(B323,CENY!$B$11:$G$1054,4,FALSE)=0,"",VLOOKUP(B323,CENY!$B$11:$G$1054,4,FALSE))</f>
        <v/>
      </c>
      <c r="F323" s="40" t="str">
        <f t="shared" si="68"/>
        <v/>
      </c>
      <c r="G323" s="52">
        <f>VLOOKUP(B323,CENY!$B$11:$M$1054,12,FALSE)</f>
        <v>11.163180000000001</v>
      </c>
      <c r="H323" s="54" t="str">
        <f t="shared" si="66"/>
        <v xml:space="preserve"> EUR</v>
      </c>
      <c r="I323" s="41" t="str">
        <f t="shared" si="67"/>
        <v/>
      </c>
      <c r="J323" s="122"/>
      <c r="K323" s="42" t="str">
        <f>VLOOKUP(B323,CENY!$B$11:$M$1054,8,FALSE)</f>
        <v xml:space="preserve"> </v>
      </c>
      <c r="L323" s="42" t="str">
        <f>VLOOKUP(B323,CENY!$B$11:$M$1054,9,FALSE)</f>
        <v>397823</v>
      </c>
      <c r="M323" s="32"/>
      <c r="N323" s="35">
        <f t="shared" si="69"/>
        <v>0</v>
      </c>
      <c r="O323" s="36">
        <v>0</v>
      </c>
      <c r="P323" s="32"/>
      <c r="Q323" s="325">
        <f>'AVT101'!BI96</f>
        <v>0</v>
      </c>
      <c r="R323" s="32"/>
      <c r="S323" s="325">
        <f>'AVT139'!BI96</f>
        <v>0</v>
      </c>
      <c r="T323" s="32"/>
      <c r="U323" s="325">
        <f>'AVT187'!BI96</f>
        <v>0</v>
      </c>
      <c r="V323" s="32"/>
      <c r="W323" s="325">
        <f>'AVT251'!BI75</f>
        <v>0</v>
      </c>
      <c r="X323" s="32"/>
      <c r="Y323" s="325">
        <f>AVT187In!BI74</f>
        <v>0</v>
      </c>
      <c r="Z323" s="32"/>
      <c r="AA323" s="325">
        <f>'AVT101(vn-A)'!BI96</f>
        <v>0</v>
      </c>
      <c r="AB323" s="32"/>
      <c r="AC323" s="325">
        <f>'AVT139(vn-A)'!BI96</f>
        <v>0</v>
      </c>
      <c r="AD323" s="32"/>
      <c r="AE323" s="325">
        <f>'AVT187(vn-A)'!BI96</f>
        <v>0</v>
      </c>
      <c r="AF323" s="32"/>
      <c r="AG323" s="325">
        <f>'AVT187In(vn-A)'!BI74</f>
        <v>0</v>
      </c>
      <c r="AH323" s="32"/>
      <c r="AI323" s="325">
        <f>'AVT187(vn-S)'!BI96</f>
        <v>0</v>
      </c>
      <c r="AJ323" s="32"/>
      <c r="AK323" s="325">
        <f>'AVT187In(vn-S)'!BI74</f>
        <v>0</v>
      </c>
      <c r="AL323" s="32"/>
      <c r="AM323" s="325">
        <f>'AVT77'!BI49</f>
        <v>0</v>
      </c>
      <c r="AN323" s="32"/>
      <c r="AO323" s="325">
        <f>'AVT-celny-101+187'!BI96</f>
        <v>0</v>
      </c>
      <c r="AP323" s="32"/>
      <c r="AQ323" s="325">
        <f>'AVT-celny-139+187'!BI80</f>
        <v>0</v>
      </c>
      <c r="AR323" s="32"/>
      <c r="AS323" s="325">
        <f>'AVT-celny-2x187'!BI76</f>
        <v>0</v>
      </c>
      <c r="AT323" s="32"/>
      <c r="AU323" s="325">
        <f>'AVT-celny-2x187In'!BI62</f>
        <v>0</v>
      </c>
      <c r="AV323" s="32"/>
      <c r="AW323" s="325">
        <f>'potr-v101+187'!BI110</f>
        <v>0</v>
      </c>
      <c r="AX323" s="32"/>
      <c r="AY323" s="325">
        <f>'potr-v101+187-IL'!BI110</f>
        <v>0</v>
      </c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165"/>
      <c r="BP323" s="165"/>
      <c r="BQ323" s="165"/>
      <c r="BR323" s="165"/>
      <c r="BS323" s="165"/>
      <c r="BT323" s="165"/>
      <c r="BU323" s="165"/>
      <c r="BV323" s="55"/>
      <c r="BW323" s="160"/>
      <c r="BX323" s="32"/>
      <c r="BY323" s="24"/>
      <c r="BZ323" s="24"/>
      <c r="CA323" s="24"/>
      <c r="CB323" s="24"/>
      <c r="CC323" s="24"/>
      <c r="CD323" s="24"/>
      <c r="CE323" s="24"/>
    </row>
    <row r="324" spans="1:83" ht="15" hidden="1" customHeight="1">
      <c r="A324" s="4"/>
      <c r="B324" s="318">
        <f>CENY!B700</f>
        <v>9256876</v>
      </c>
      <c r="C324" s="43" t="str">
        <f>VLOOKUP(B324,CENY!$B$11:$G$1054,2,FALSE)</f>
        <v>Quadro You(M) 550/SiSy 30kg; EB21; ľavý</v>
      </c>
      <c r="D324" s="353">
        <f>VLOOKUP(B324,CENY!$B$11:$G$1054,3,FALSE)</f>
        <v>20</v>
      </c>
      <c r="E324" s="56" t="str">
        <f>IF(VLOOKUP(B324,CENY!$B$11:$G$1054,4,FALSE)=0,"",VLOOKUP(B324,CENY!$B$11:$G$1054,4,FALSE))</f>
        <v/>
      </c>
      <c r="F324" s="40" t="str">
        <f t="shared" si="68"/>
        <v/>
      </c>
      <c r="G324" s="52">
        <f>VLOOKUP(B324,CENY!$B$11:$M$1054,12,FALSE)</f>
        <v>11.38542</v>
      </c>
      <c r="H324" s="54" t="str">
        <f t="shared" si="66"/>
        <v xml:space="preserve"> EUR</v>
      </c>
      <c r="I324" s="41" t="str">
        <f t="shared" si="67"/>
        <v/>
      </c>
      <c r="J324" s="122"/>
      <c r="K324" s="42" t="str">
        <f>VLOOKUP(B324,CENY!$B$11:$M$1054,8,FALSE)</f>
        <v xml:space="preserve"> </v>
      </c>
      <c r="L324" s="42" t="str">
        <f>VLOOKUP(B324,CENY!$B$11:$M$1054,9,FALSE)</f>
        <v>397824</v>
      </c>
      <c r="M324" s="32"/>
      <c r="N324" s="35">
        <f t="shared" si="69"/>
        <v>0</v>
      </c>
      <c r="O324" s="36">
        <v>0</v>
      </c>
      <c r="P324" s="32"/>
      <c r="Q324" s="325">
        <f>'AVT101'!BI97</f>
        <v>0</v>
      </c>
      <c r="R324" s="32"/>
      <c r="S324" s="325">
        <f>'AVT139'!BI97</f>
        <v>0</v>
      </c>
      <c r="T324" s="32"/>
      <c r="U324" s="325">
        <f>'AVT187'!BI97</f>
        <v>0</v>
      </c>
      <c r="V324" s="32"/>
      <c r="W324" s="325">
        <f>'AVT251'!BI76</f>
        <v>0</v>
      </c>
      <c r="X324" s="32"/>
      <c r="Y324" s="325">
        <f>AVT187In!BI75</f>
        <v>0</v>
      </c>
      <c r="Z324" s="32"/>
      <c r="AA324" s="325">
        <f>'AVT101(vn-A)'!BI97</f>
        <v>0</v>
      </c>
      <c r="AB324" s="32"/>
      <c r="AC324" s="325">
        <f>'AVT139(vn-A)'!BI97</f>
        <v>0</v>
      </c>
      <c r="AD324" s="32"/>
      <c r="AE324" s="325">
        <f>'AVT187(vn-A)'!BI97</f>
        <v>0</v>
      </c>
      <c r="AF324" s="32"/>
      <c r="AG324" s="325">
        <f>'AVT187In(vn-A)'!BI75</f>
        <v>0</v>
      </c>
      <c r="AH324" s="32"/>
      <c r="AI324" s="325">
        <f>'AVT187(vn-S)'!BI97</f>
        <v>0</v>
      </c>
      <c r="AJ324" s="32"/>
      <c r="AK324" s="325">
        <f>'AVT187In(vn-S)'!BI75</f>
        <v>0</v>
      </c>
      <c r="AL324" s="32"/>
      <c r="AM324" s="325">
        <f>'AVT77'!BI50</f>
        <v>0</v>
      </c>
      <c r="AN324" s="32"/>
      <c r="AO324" s="325">
        <f>'AVT-celny-101+187'!BI97</f>
        <v>0</v>
      </c>
      <c r="AP324" s="32"/>
      <c r="AQ324" s="325">
        <f>'AVT-celny-139+187'!BI81</f>
        <v>0</v>
      </c>
      <c r="AR324" s="32"/>
      <c r="AS324" s="325">
        <f>'AVT-celny-2x187'!BI77</f>
        <v>0</v>
      </c>
      <c r="AT324" s="32"/>
      <c r="AU324" s="325">
        <f>'AVT-celny-2x187In'!BI63</f>
        <v>0</v>
      </c>
      <c r="AV324" s="32"/>
      <c r="AW324" s="325">
        <f>'potr-v101+187'!BI111</f>
        <v>0</v>
      </c>
      <c r="AX324" s="32"/>
      <c r="AY324" s="325">
        <f>'potr-v101+187-IL'!BI111</f>
        <v>0</v>
      </c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165"/>
      <c r="BP324" s="165"/>
      <c r="BQ324" s="165"/>
      <c r="BR324" s="165"/>
      <c r="BS324" s="165"/>
      <c r="BT324" s="165"/>
      <c r="BU324" s="165"/>
      <c r="BV324" s="55"/>
      <c r="BW324" s="160"/>
      <c r="BX324" s="32"/>
      <c r="BY324" s="24"/>
      <c r="BZ324" s="24"/>
      <c r="CA324" s="24"/>
      <c r="CB324" s="24"/>
      <c r="CC324" s="24"/>
      <c r="CD324" s="24"/>
      <c r="CE324" s="24"/>
    </row>
    <row r="325" spans="1:83" ht="15" hidden="1" customHeight="1">
      <c r="A325" s="4"/>
      <c r="B325" s="318">
        <f>CENY!B701</f>
        <v>9256877</v>
      </c>
      <c r="C325" s="43" t="str">
        <f>VLOOKUP(B325,CENY!$B$11:$G$1054,2,FALSE)</f>
        <v>Quadro You(M) 550/SiSy 30kg; EB21; pravý</v>
      </c>
      <c r="D325" s="353">
        <f>VLOOKUP(B325,CENY!$B$11:$G$1054,3,FALSE)</f>
        <v>20</v>
      </c>
      <c r="E325" s="56" t="str">
        <f>IF(VLOOKUP(B325,CENY!$B$11:$G$1054,4,FALSE)=0,"",VLOOKUP(B325,CENY!$B$11:$G$1054,4,FALSE))</f>
        <v/>
      </c>
      <c r="F325" s="40" t="str">
        <f t="shared" si="68"/>
        <v/>
      </c>
      <c r="G325" s="52">
        <f>VLOOKUP(B325,CENY!$B$11:$M$1054,12,FALSE)</f>
        <v>11.954689999999999</v>
      </c>
      <c r="H325" s="54" t="str">
        <f t="shared" si="66"/>
        <v xml:space="preserve"> EUR</v>
      </c>
      <c r="I325" s="41" t="str">
        <f t="shared" si="67"/>
        <v/>
      </c>
      <c r="J325" s="122"/>
      <c r="K325" s="42" t="str">
        <f>VLOOKUP(B325,CENY!$B$11:$M$1054,8,FALSE)</f>
        <v xml:space="preserve"> </v>
      </c>
      <c r="L325" s="42" t="str">
        <f>VLOOKUP(B325,CENY!$B$11:$M$1054,9,FALSE)</f>
        <v>397825</v>
      </c>
      <c r="M325" s="32"/>
      <c r="N325" s="35">
        <f t="shared" si="69"/>
        <v>0</v>
      </c>
      <c r="O325" s="36">
        <v>0</v>
      </c>
      <c r="P325" s="32"/>
      <c r="Q325" s="325">
        <f>'AVT101'!BI98</f>
        <v>0</v>
      </c>
      <c r="R325" s="32"/>
      <c r="S325" s="325">
        <f>'AVT139'!BI98</f>
        <v>0</v>
      </c>
      <c r="T325" s="32"/>
      <c r="U325" s="325">
        <f>'AVT187'!BI98</f>
        <v>0</v>
      </c>
      <c r="V325" s="32"/>
      <c r="W325" s="325">
        <f>'AVT251'!BI77</f>
        <v>0</v>
      </c>
      <c r="X325" s="32"/>
      <c r="Y325" s="325">
        <f>AVT187In!BI76</f>
        <v>0</v>
      </c>
      <c r="Z325" s="32"/>
      <c r="AA325" s="325">
        <f>'AVT101(vn-A)'!BI98</f>
        <v>0</v>
      </c>
      <c r="AB325" s="32"/>
      <c r="AC325" s="325">
        <f>'AVT139(vn-A)'!BI98</f>
        <v>0</v>
      </c>
      <c r="AD325" s="32"/>
      <c r="AE325" s="325">
        <f>'AVT187(vn-A)'!BI98</f>
        <v>0</v>
      </c>
      <c r="AF325" s="32"/>
      <c r="AG325" s="325">
        <f>'AVT187In(vn-A)'!BI76</f>
        <v>0</v>
      </c>
      <c r="AH325" s="32"/>
      <c r="AI325" s="325">
        <f>'AVT187(vn-S)'!BI98</f>
        <v>0</v>
      </c>
      <c r="AJ325" s="32"/>
      <c r="AK325" s="325">
        <f>'AVT187In(vn-S)'!BI76</f>
        <v>0</v>
      </c>
      <c r="AL325" s="32"/>
      <c r="AM325" s="325">
        <f>'AVT77'!BI51</f>
        <v>0</v>
      </c>
      <c r="AN325" s="32"/>
      <c r="AO325" s="325">
        <f>'AVT-celny-101+187'!BI98</f>
        <v>0</v>
      </c>
      <c r="AP325" s="32"/>
      <c r="AQ325" s="325">
        <f>'AVT-celny-139+187'!BI82</f>
        <v>0</v>
      </c>
      <c r="AR325" s="32"/>
      <c r="AS325" s="325">
        <f>'AVT-celny-2x187'!BI78</f>
        <v>0</v>
      </c>
      <c r="AT325" s="32"/>
      <c r="AU325" s="325">
        <f>'AVT-celny-2x187In'!BI64</f>
        <v>0</v>
      </c>
      <c r="AV325" s="32"/>
      <c r="AW325" s="325">
        <f>'potr-v101+187'!BI112</f>
        <v>0</v>
      </c>
      <c r="AX325" s="32"/>
      <c r="AY325" s="325">
        <f>'potr-v101+187-IL'!BI112</f>
        <v>0</v>
      </c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165"/>
      <c r="BP325" s="165"/>
      <c r="BQ325" s="165"/>
      <c r="BR325" s="165"/>
      <c r="BS325" s="165"/>
      <c r="BT325" s="165"/>
      <c r="BU325" s="165"/>
      <c r="BV325" s="55"/>
      <c r="BW325" s="160"/>
      <c r="BX325" s="32"/>
      <c r="BY325" s="24"/>
      <c r="BZ325" s="24"/>
      <c r="CA325" s="24"/>
      <c r="CB325" s="24"/>
      <c r="CC325" s="24"/>
      <c r="CD325" s="24"/>
      <c r="CE325" s="24"/>
    </row>
    <row r="326" spans="1:83" ht="15" hidden="1" customHeight="1">
      <c r="A326" s="4"/>
      <c r="B326" s="318">
        <f>CENY!B702</f>
        <v>9256880</v>
      </c>
      <c r="C326" s="43" t="str">
        <f>VLOOKUP(B326,CENY!$B$11:$G$1054,2,FALSE)</f>
        <v>Quadro You(M) 600/SiSy 25kg; EB21; ľavý</v>
      </c>
      <c r="D326" s="353">
        <f>VLOOKUP(B326,CENY!$B$11:$G$1054,3,FALSE)</f>
        <v>20</v>
      </c>
      <c r="E326" s="56" t="str">
        <f>IF(VLOOKUP(B326,CENY!$B$11:$G$1054,4,FALSE)=0,"",VLOOKUP(B326,CENY!$B$11:$G$1054,4,FALSE))</f>
        <v/>
      </c>
      <c r="F326" s="40" t="str">
        <f t="shared" si="68"/>
        <v/>
      </c>
      <c r="G326" s="52">
        <f>VLOOKUP(B326,CENY!$B$11:$M$1054,12,FALSE)</f>
        <v>12.187939999999999</v>
      </c>
      <c r="H326" s="54" t="str">
        <f t="shared" si="66"/>
        <v xml:space="preserve"> EUR</v>
      </c>
      <c r="I326" s="41" t="str">
        <f t="shared" si="67"/>
        <v/>
      </c>
      <c r="J326" s="122"/>
      <c r="K326" s="42" t="str">
        <f>VLOOKUP(B326,CENY!$B$11:$M$1054,8,FALSE)</f>
        <v xml:space="preserve"> </v>
      </c>
      <c r="L326" s="42" t="str">
        <f>VLOOKUP(B326,CENY!$B$11:$M$1054,9,FALSE)</f>
        <v>397826</v>
      </c>
      <c r="M326" s="32"/>
      <c r="N326" s="35">
        <f t="shared" si="69"/>
        <v>0</v>
      </c>
      <c r="O326" s="36">
        <v>0</v>
      </c>
      <c r="P326" s="32"/>
      <c r="Q326" s="325">
        <f>'AVT101'!BI99</f>
        <v>0</v>
      </c>
      <c r="R326" s="32"/>
      <c r="S326" s="325">
        <f>'AVT139'!BI99</f>
        <v>0</v>
      </c>
      <c r="T326" s="32"/>
      <c r="U326" s="325">
        <f>'AVT187'!BI99</f>
        <v>0</v>
      </c>
      <c r="V326" s="32"/>
      <c r="W326" s="325">
        <f>'AVT251'!BI78</f>
        <v>0</v>
      </c>
      <c r="X326" s="32"/>
      <c r="Y326" s="325">
        <f>AVT187In!BI77</f>
        <v>0</v>
      </c>
      <c r="Z326" s="32"/>
      <c r="AA326" s="325">
        <f>'AVT101(vn-A)'!BI99</f>
        <v>0</v>
      </c>
      <c r="AB326" s="32"/>
      <c r="AC326" s="325">
        <f>'AVT139(vn-A)'!BI99</f>
        <v>0</v>
      </c>
      <c r="AD326" s="32"/>
      <c r="AE326" s="325">
        <f>'AVT187(vn-A)'!BI99</f>
        <v>0</v>
      </c>
      <c r="AF326" s="32"/>
      <c r="AG326" s="325">
        <f>'AVT187In(vn-A)'!BI77</f>
        <v>0</v>
      </c>
      <c r="AH326" s="32"/>
      <c r="AI326" s="325">
        <f>'AVT187(vn-S)'!BI99</f>
        <v>0</v>
      </c>
      <c r="AJ326" s="32"/>
      <c r="AK326" s="325">
        <f>'AVT187In(vn-S)'!BI77</f>
        <v>0</v>
      </c>
      <c r="AL326" s="32"/>
      <c r="AM326" s="32"/>
      <c r="AN326" s="32"/>
      <c r="AO326" s="325">
        <f>'AVT-celny-101+187'!BI99</f>
        <v>0</v>
      </c>
      <c r="AP326" s="32"/>
      <c r="AQ326" s="325">
        <f>'AVT-celny-139+187'!BI83</f>
        <v>0</v>
      </c>
      <c r="AR326" s="32"/>
      <c r="AS326" s="325">
        <f>'AVT-celny-2x187'!BI79</f>
        <v>0</v>
      </c>
      <c r="AT326" s="32"/>
      <c r="AU326" s="325">
        <f>'AVT-celny-2x187In'!BI65</f>
        <v>0</v>
      </c>
      <c r="AV326" s="32"/>
      <c r="AW326" s="325">
        <f>'potr-v101+187'!BI113</f>
        <v>0</v>
      </c>
      <c r="AX326" s="32"/>
      <c r="AY326" s="325">
        <f>'potr-v101+187-IL'!BI113</f>
        <v>0</v>
      </c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165"/>
      <c r="BP326" s="165"/>
      <c r="BQ326" s="165"/>
      <c r="BR326" s="165"/>
      <c r="BS326" s="165"/>
      <c r="BT326" s="165"/>
      <c r="BU326" s="165"/>
      <c r="BV326" s="55"/>
      <c r="BW326" s="160"/>
      <c r="BX326" s="32"/>
      <c r="BY326" s="24"/>
      <c r="BZ326" s="24"/>
      <c r="CA326" s="24"/>
      <c r="CB326" s="24"/>
      <c r="CC326" s="24"/>
      <c r="CD326" s="24"/>
      <c r="CE326" s="24"/>
    </row>
    <row r="327" spans="1:83" ht="15" hidden="1" customHeight="1">
      <c r="A327" s="4"/>
      <c r="B327" s="318">
        <f>CENY!B703</f>
        <v>9256881</v>
      </c>
      <c r="C327" s="43" t="str">
        <f>VLOOKUP(B327,CENY!$B$11:$G$1054,2,FALSE)</f>
        <v>Quadro You(M) 600/SiSy 25kg; EB21; pravý</v>
      </c>
      <c r="D327" s="353">
        <f>VLOOKUP(B327,CENY!$B$11:$G$1054,3,FALSE)</f>
        <v>20</v>
      </c>
      <c r="E327" s="56" t="str">
        <f>IF(VLOOKUP(B327,CENY!$B$11:$G$1054,4,FALSE)=0,"",VLOOKUP(B327,CENY!$B$11:$G$1054,4,FALSE))</f>
        <v/>
      </c>
      <c r="F327" s="40" t="str">
        <f t="shared" si="68"/>
        <v/>
      </c>
      <c r="G327" s="52">
        <f>VLOOKUP(B327,CENY!$B$11:$M$1054,12,FALSE)</f>
        <v>12.187939999999999</v>
      </c>
      <c r="H327" s="54" t="str">
        <f t="shared" si="66"/>
        <v xml:space="preserve"> EUR</v>
      </c>
      <c r="I327" s="41" t="str">
        <f t="shared" si="67"/>
        <v/>
      </c>
      <c r="J327" s="122"/>
      <c r="K327" s="42" t="str">
        <f>VLOOKUP(B327,CENY!$B$11:$M$1054,8,FALSE)</f>
        <v xml:space="preserve"> </v>
      </c>
      <c r="L327" s="42" t="str">
        <f>VLOOKUP(B327,CENY!$B$11:$M$1054,9,FALSE)</f>
        <v>397827</v>
      </c>
      <c r="M327" s="32"/>
      <c r="N327" s="35">
        <f t="shared" si="69"/>
        <v>0</v>
      </c>
      <c r="O327" s="36">
        <v>0</v>
      </c>
      <c r="P327" s="32"/>
      <c r="Q327" s="325">
        <f>'AVT101'!BI100</f>
        <v>0</v>
      </c>
      <c r="R327" s="32"/>
      <c r="S327" s="325">
        <f>'AVT139'!BI100</f>
        <v>0</v>
      </c>
      <c r="T327" s="32"/>
      <c r="U327" s="325">
        <f>'AVT187'!BI100</f>
        <v>0</v>
      </c>
      <c r="V327" s="32"/>
      <c r="W327" s="325">
        <f>'AVT251'!BI79</f>
        <v>0</v>
      </c>
      <c r="X327" s="32"/>
      <c r="Y327" s="325">
        <f>AVT187In!BI78</f>
        <v>0</v>
      </c>
      <c r="Z327" s="32"/>
      <c r="AA327" s="325">
        <f>'AVT101(vn-A)'!BI100</f>
        <v>0</v>
      </c>
      <c r="AB327" s="32"/>
      <c r="AC327" s="325">
        <f>'AVT139(vn-A)'!BI100</f>
        <v>0</v>
      </c>
      <c r="AD327" s="32"/>
      <c r="AE327" s="325">
        <f>'AVT187(vn-A)'!BI100</f>
        <v>0</v>
      </c>
      <c r="AF327" s="32"/>
      <c r="AG327" s="325">
        <f>'AVT187In(vn-A)'!BI78</f>
        <v>0</v>
      </c>
      <c r="AH327" s="32"/>
      <c r="AI327" s="325">
        <f>'AVT187(vn-S)'!BI100</f>
        <v>0</v>
      </c>
      <c r="AJ327" s="32"/>
      <c r="AK327" s="325">
        <f>'AVT187In(vn-S)'!BI78</f>
        <v>0</v>
      </c>
      <c r="AL327" s="32"/>
      <c r="AM327" s="32"/>
      <c r="AN327" s="32"/>
      <c r="AO327" s="325">
        <f>'AVT-celny-101+187'!BI100</f>
        <v>0</v>
      </c>
      <c r="AP327" s="32"/>
      <c r="AQ327" s="325">
        <f>'AVT-celny-139+187'!BI84</f>
        <v>0</v>
      </c>
      <c r="AR327" s="32"/>
      <c r="AS327" s="325">
        <f>'AVT-celny-2x187'!BI80</f>
        <v>0</v>
      </c>
      <c r="AT327" s="32"/>
      <c r="AU327" s="325">
        <f>'AVT-celny-2x187In'!BI66</f>
        <v>0</v>
      </c>
      <c r="AV327" s="32"/>
      <c r="AW327" s="325">
        <f>'potr-v101+187'!BI114</f>
        <v>0</v>
      </c>
      <c r="AX327" s="32"/>
      <c r="AY327" s="325">
        <f>'potr-v101+187-IL'!BI114</f>
        <v>0</v>
      </c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165"/>
      <c r="BP327" s="165"/>
      <c r="BQ327" s="165"/>
      <c r="BR327" s="165"/>
      <c r="BS327" s="165"/>
      <c r="BT327" s="165"/>
      <c r="BU327" s="165"/>
      <c r="BV327" s="55"/>
      <c r="BW327" s="160"/>
      <c r="BX327" s="32"/>
      <c r="BY327" s="24"/>
      <c r="BZ327" s="24"/>
      <c r="CA327" s="24"/>
      <c r="CB327" s="24"/>
      <c r="CC327" s="24"/>
      <c r="CD327" s="24"/>
      <c r="CE327" s="24"/>
    </row>
    <row r="328" spans="1:83" ht="8.1" hidden="1" customHeight="1">
      <c r="A328" s="4"/>
      <c r="B328" s="126"/>
      <c r="C328" s="43"/>
      <c r="D328" s="39"/>
      <c r="E328" s="56"/>
      <c r="F328" s="60"/>
      <c r="G328" s="52"/>
      <c r="H328" s="54"/>
      <c r="I328" s="41"/>
      <c r="J328" s="122"/>
      <c r="K328" s="42"/>
      <c r="L328" s="42"/>
      <c r="M328" s="32"/>
      <c r="N328" s="35"/>
      <c r="O328" s="36">
        <v>0</v>
      </c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165"/>
      <c r="BP328" s="165"/>
      <c r="BQ328" s="165"/>
      <c r="BR328" s="165"/>
      <c r="BS328" s="165"/>
      <c r="BT328" s="165"/>
      <c r="BU328" s="165"/>
      <c r="BV328" s="55"/>
      <c r="BW328" s="160"/>
      <c r="BX328" s="32"/>
      <c r="BY328" s="24"/>
      <c r="BZ328" s="24"/>
      <c r="CA328" s="24"/>
      <c r="CB328" s="24"/>
      <c r="CC328" s="24"/>
      <c r="CD328" s="24"/>
      <c r="CE328" s="24"/>
    </row>
    <row r="329" spans="1:83" ht="15" hidden="1" customHeight="1">
      <c r="A329" s="4"/>
      <c r="B329" s="318">
        <f>CENY!B705</f>
        <v>9257894</v>
      </c>
      <c r="C329" s="43" t="str">
        <f>VLOOKUP(B329,CENY!$B$11:$G$1054,2,FALSE)</f>
        <v>Quadro You - Push to open Silent; &lt;10kg</v>
      </c>
      <c r="D329" s="355">
        <f>VLOOKUP(B329,CENY!$B$11:$G$1054,3,FALSE)</f>
        <v>1</v>
      </c>
      <c r="E329" s="56" t="str">
        <f>IF(VLOOKUP(B329,CENY!$B$11:$G$1054,4,FALSE)=0,"",VLOOKUP(B329,CENY!$B$11:$G$1054,4,FALSE))</f>
        <v/>
      </c>
      <c r="F329" s="40" t="str">
        <f>IF(J329&lt;&gt;"",J329,IF(N329=0,"",N329))</f>
        <v/>
      </c>
      <c r="G329" s="52">
        <f>VLOOKUP(B329,CENY!$B$11:$M$1054,12,FALSE)</f>
        <v>23.114239999999999</v>
      </c>
      <c r="H329" s="54" t="str">
        <f t="shared" si="66"/>
        <v xml:space="preserve"> EUR</v>
      </c>
      <c r="I329" s="41" t="str">
        <f t="shared" si="67"/>
        <v/>
      </c>
      <c r="J329" s="122"/>
      <c r="K329" s="42" t="str">
        <f>VLOOKUP(B329,CENY!$B$11:$M$1054,8,FALSE)</f>
        <v xml:space="preserve"> </v>
      </c>
      <c r="L329" s="42" t="str">
        <f>VLOOKUP(B329,CENY!$B$11:$M$1054,9,FALSE)</f>
        <v>397831</v>
      </c>
      <c r="M329" s="32"/>
      <c r="N329" s="35">
        <f>SUM(P329:BW329)</f>
        <v>0</v>
      </c>
      <c r="O329" s="36">
        <v>0</v>
      </c>
      <c r="P329" s="325">
        <f>'AVT101'!AZ63</f>
        <v>0</v>
      </c>
      <c r="Q329" s="325">
        <f>'AVT101'!BI102</f>
        <v>0</v>
      </c>
      <c r="R329" s="325">
        <f>'AVT139'!AZ63</f>
        <v>0</v>
      </c>
      <c r="S329" s="325">
        <f>'AVT139'!BI102</f>
        <v>0</v>
      </c>
      <c r="T329" s="325">
        <f>'AVT187'!AZ63</f>
        <v>0</v>
      </c>
      <c r="U329" s="325">
        <f>'AVT187'!BI102</f>
        <v>0</v>
      </c>
      <c r="V329" s="325">
        <f>'AVT251'!AZ51</f>
        <v>0</v>
      </c>
      <c r="W329" s="325">
        <f>'AVT251'!BI81</f>
        <v>0</v>
      </c>
      <c r="X329" s="325">
        <f>AVT187In!AZ51</f>
        <v>0</v>
      </c>
      <c r="Y329" s="325">
        <f>AVT187In!BI80</f>
        <v>0</v>
      </c>
      <c r="Z329" s="325">
        <f>'AVT101(vn-A)'!AZ63</f>
        <v>0</v>
      </c>
      <c r="AA329" s="325">
        <f>'AVT101(vn-A)'!BI102</f>
        <v>0</v>
      </c>
      <c r="AB329" s="325">
        <f>'AVT139(vn-A)'!AZ63</f>
        <v>0</v>
      </c>
      <c r="AC329" s="325">
        <f>'AVT139(vn-A)'!BI102</f>
        <v>0</v>
      </c>
      <c r="AD329" s="325">
        <f>'AVT187(vn-A)'!AZ63</f>
        <v>0</v>
      </c>
      <c r="AE329" s="325">
        <f>'AVT187(vn-A)'!BI102</f>
        <v>0</v>
      </c>
      <c r="AF329" s="325">
        <f>'AVT187In(vn-A)'!AZ51</f>
        <v>0</v>
      </c>
      <c r="AG329" s="325">
        <f>'AVT187In(vn-A)'!BI80</f>
        <v>0</v>
      </c>
      <c r="AH329" s="325">
        <f>'AVT187(vn-S)'!AZ63</f>
        <v>0</v>
      </c>
      <c r="AI329" s="325">
        <f>'AVT187(vn-S)'!BI102</f>
        <v>0</v>
      </c>
      <c r="AJ329" s="325">
        <f>'AVT187In(vn-S)'!AZ51</f>
        <v>0</v>
      </c>
      <c r="AK329" s="325">
        <f>'AVT187In(vn-S)'!BI80</f>
        <v>0</v>
      </c>
      <c r="AL329" s="325">
        <f>'AVT77'!AZ35</f>
        <v>0</v>
      </c>
      <c r="AM329" s="325">
        <f>'AVT77'!BI53</f>
        <v>0</v>
      </c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165"/>
      <c r="BP329" s="165"/>
      <c r="BQ329" s="165"/>
      <c r="BR329" s="165"/>
      <c r="BS329" s="165"/>
      <c r="BT329" s="165"/>
      <c r="BU329" s="165"/>
      <c r="BV329" s="55"/>
      <c r="BW329" s="160"/>
      <c r="BX329" s="32"/>
      <c r="BY329" s="24"/>
      <c r="BZ329" s="24"/>
      <c r="CA329" s="24"/>
      <c r="CB329" s="24"/>
      <c r="CC329" s="24"/>
      <c r="CD329" s="24"/>
      <c r="CE329" s="24"/>
    </row>
    <row r="330" spans="1:83" ht="15" hidden="1" customHeight="1">
      <c r="A330" s="4"/>
      <c r="B330" s="318">
        <f>CENY!B706</f>
        <v>9257895</v>
      </c>
      <c r="C330" s="43" t="str">
        <f>VLOOKUP(B330,CENY!$B$11:$G$1054,2,FALSE)</f>
        <v>Quadro You - Push to open Silent; 8-20kg</v>
      </c>
      <c r="D330" s="355">
        <f>VLOOKUP(B330,CENY!$B$11:$G$1054,3,FALSE)</f>
        <v>1</v>
      </c>
      <c r="E330" s="56" t="str">
        <f>IF(VLOOKUP(B330,CENY!$B$11:$G$1054,4,FALSE)=0,"",VLOOKUP(B330,CENY!$B$11:$G$1054,4,FALSE))</f>
        <v/>
      </c>
      <c r="F330" s="40" t="str">
        <f>IF(J330&lt;&gt;"",J330,IF(N330=0,"",N330))</f>
        <v/>
      </c>
      <c r="G330" s="52">
        <f>VLOOKUP(B330,CENY!$B$11:$M$1054,12,FALSE)</f>
        <v>23.114239999999999</v>
      </c>
      <c r="H330" s="54" t="str">
        <f t="shared" si="66"/>
        <v xml:space="preserve"> EUR</v>
      </c>
      <c r="I330" s="41" t="str">
        <f t="shared" si="67"/>
        <v/>
      </c>
      <c r="J330" s="122"/>
      <c r="K330" s="42" t="str">
        <f>VLOOKUP(B330,CENY!$B$11:$M$1054,8,FALSE)</f>
        <v xml:space="preserve"> </v>
      </c>
      <c r="L330" s="42" t="str">
        <f>VLOOKUP(B330,CENY!$B$11:$M$1054,9,FALSE)</f>
        <v>397832</v>
      </c>
      <c r="M330" s="32"/>
      <c r="N330" s="35">
        <f>SUM(P330:BW330)</f>
        <v>0</v>
      </c>
      <c r="O330" s="36">
        <v>0</v>
      </c>
      <c r="P330" s="325">
        <f>'AVT101'!AZ64</f>
        <v>0</v>
      </c>
      <c r="Q330" s="325">
        <f>'AVT101'!BI103</f>
        <v>0</v>
      </c>
      <c r="R330" s="325">
        <f>'AVT139'!AZ64</f>
        <v>0</v>
      </c>
      <c r="S330" s="325">
        <f>'AVT139'!BI103</f>
        <v>0</v>
      </c>
      <c r="T330" s="325">
        <f>'AVT187'!AZ64</f>
        <v>0</v>
      </c>
      <c r="U330" s="325">
        <f>'AVT187'!BI103</f>
        <v>0</v>
      </c>
      <c r="V330" s="325">
        <f>'AVT251'!AZ52</f>
        <v>0</v>
      </c>
      <c r="W330" s="325">
        <f>'AVT251'!BI82</f>
        <v>0</v>
      </c>
      <c r="X330" s="325">
        <f>AVT187In!AZ52</f>
        <v>0</v>
      </c>
      <c r="Y330" s="325">
        <f>AVT187In!BI81</f>
        <v>0</v>
      </c>
      <c r="Z330" s="325">
        <f>'AVT101(vn-A)'!AZ64</f>
        <v>0</v>
      </c>
      <c r="AA330" s="325">
        <f>'AVT101(vn-A)'!BI103</f>
        <v>0</v>
      </c>
      <c r="AB330" s="325">
        <f>'AVT139(vn-A)'!AZ64</f>
        <v>0</v>
      </c>
      <c r="AC330" s="325">
        <f>'AVT139(vn-A)'!BI103</f>
        <v>0</v>
      </c>
      <c r="AD330" s="325">
        <f>'AVT187(vn-A)'!AZ64</f>
        <v>0</v>
      </c>
      <c r="AE330" s="325">
        <f>'AVT187(vn-A)'!BI103</f>
        <v>0</v>
      </c>
      <c r="AF330" s="325">
        <f>'AVT187In(vn-A)'!AZ52</f>
        <v>0</v>
      </c>
      <c r="AG330" s="325">
        <f>'AVT187In(vn-A)'!BI81</f>
        <v>0</v>
      </c>
      <c r="AH330" s="325">
        <f>'AVT187(vn-S)'!AZ64</f>
        <v>0</v>
      </c>
      <c r="AI330" s="325">
        <f>'AVT187(vn-S)'!BI103</f>
        <v>0</v>
      </c>
      <c r="AJ330" s="325">
        <f>'AVT187In(vn-S)'!AZ52</f>
        <v>0</v>
      </c>
      <c r="AK330" s="325">
        <f>'AVT187In(vn-S)'!BI81</f>
        <v>0</v>
      </c>
      <c r="AL330" s="325">
        <f>'AVT77'!AZ36</f>
        <v>0</v>
      </c>
      <c r="AM330" s="325">
        <f>'AVT77'!BI54</f>
        <v>0</v>
      </c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165"/>
      <c r="BP330" s="165"/>
      <c r="BQ330" s="165"/>
      <c r="BR330" s="165"/>
      <c r="BS330" s="165"/>
      <c r="BT330" s="165"/>
      <c r="BU330" s="165"/>
      <c r="BV330" s="55"/>
      <c r="BW330" s="160"/>
      <c r="BX330" s="32"/>
      <c r="BY330" s="24"/>
      <c r="BZ330" s="24"/>
      <c r="CA330" s="24"/>
      <c r="CB330" s="24"/>
      <c r="CC330" s="24"/>
      <c r="CD330" s="24"/>
      <c r="CE330" s="24"/>
    </row>
    <row r="331" spans="1:83" ht="15" hidden="1" customHeight="1">
      <c r="A331" s="4"/>
      <c r="B331" s="318">
        <f>CENY!B707</f>
        <v>9257896</v>
      </c>
      <c r="C331" s="43" t="str">
        <f>VLOOKUP(B331,CENY!$B$11:$G$1054,2,FALSE)</f>
        <v>Quadro You - Push to open Silent; 10-30kg</v>
      </c>
      <c r="D331" s="355">
        <f>VLOOKUP(B331,CENY!$B$11:$G$1054,3,FALSE)</f>
        <v>1</v>
      </c>
      <c r="E331" s="56" t="str">
        <f>IF(VLOOKUP(B331,CENY!$B$11:$G$1054,4,FALSE)=0,"",VLOOKUP(B331,CENY!$B$11:$G$1054,4,FALSE))</f>
        <v/>
      </c>
      <c r="F331" s="40" t="str">
        <f>IF(J331&lt;&gt;"",J331,IF(N331=0,"",N331))</f>
        <v/>
      </c>
      <c r="G331" s="52">
        <f>VLOOKUP(B331,CENY!$B$11:$M$1054,12,FALSE)</f>
        <v>23.114239999999999</v>
      </c>
      <c r="H331" s="54" t="str">
        <f t="shared" si="66"/>
        <v xml:space="preserve"> EUR</v>
      </c>
      <c r="I331" s="41" t="str">
        <f t="shared" si="67"/>
        <v/>
      </c>
      <c r="J331" s="122"/>
      <c r="K331" s="42" t="str">
        <f>VLOOKUP(B331,CENY!$B$11:$M$1054,8,FALSE)</f>
        <v xml:space="preserve"> </v>
      </c>
      <c r="L331" s="42" t="str">
        <f>VLOOKUP(B331,CENY!$B$11:$M$1054,9,FALSE)</f>
        <v>397833</v>
      </c>
      <c r="M331" s="32"/>
      <c r="N331" s="35">
        <f>SUM(P331:BW331)</f>
        <v>0</v>
      </c>
      <c r="O331" s="36">
        <v>0</v>
      </c>
      <c r="P331" s="325">
        <f>'AVT101'!AZ65</f>
        <v>0</v>
      </c>
      <c r="Q331" s="325">
        <f>'AVT101'!BI104</f>
        <v>0</v>
      </c>
      <c r="R331" s="325">
        <f>'AVT139'!AZ65</f>
        <v>0</v>
      </c>
      <c r="S331" s="325">
        <f>'AVT139'!BI104</f>
        <v>0</v>
      </c>
      <c r="T331" s="325">
        <f>'AVT187'!AZ65</f>
        <v>0</v>
      </c>
      <c r="U331" s="325">
        <f>'AVT187'!BI104</f>
        <v>0</v>
      </c>
      <c r="V331" s="325">
        <f>'AVT251'!AZ53</f>
        <v>0</v>
      </c>
      <c r="W331" s="325">
        <f>'AVT251'!BI83</f>
        <v>0</v>
      </c>
      <c r="X331" s="325">
        <f>AVT187In!AZ53</f>
        <v>0</v>
      </c>
      <c r="Y331" s="325">
        <f>AVT187In!BI82</f>
        <v>0</v>
      </c>
      <c r="Z331" s="325">
        <f>'AVT101(vn-A)'!AZ65</f>
        <v>0</v>
      </c>
      <c r="AA331" s="325">
        <f>'AVT101(vn-A)'!BI104</f>
        <v>0</v>
      </c>
      <c r="AB331" s="325">
        <f>'AVT139(vn-A)'!AZ65</f>
        <v>0</v>
      </c>
      <c r="AC331" s="325">
        <f>'AVT139(vn-A)'!BI104</f>
        <v>0</v>
      </c>
      <c r="AD331" s="325">
        <f>'AVT187(vn-A)'!AZ65</f>
        <v>0</v>
      </c>
      <c r="AE331" s="325">
        <f>'AVT187(vn-A)'!BI104</f>
        <v>0</v>
      </c>
      <c r="AF331" s="325">
        <f>'AVT187In(vn-A)'!AZ53</f>
        <v>0</v>
      </c>
      <c r="AG331" s="325">
        <f>'AVT187In(vn-A)'!BI82</f>
        <v>0</v>
      </c>
      <c r="AH331" s="325">
        <f>'AVT187(vn-S)'!AZ65</f>
        <v>0</v>
      </c>
      <c r="AI331" s="325">
        <f>'AVT187(vn-S)'!BI104</f>
        <v>0</v>
      </c>
      <c r="AJ331" s="325">
        <f>'AVT187In(vn-S)'!AZ53</f>
        <v>0</v>
      </c>
      <c r="AK331" s="325">
        <f>'AVT187In(vn-S)'!BI82</f>
        <v>0</v>
      </c>
      <c r="AL331" s="325">
        <f>'AVT77'!AZ37</f>
        <v>0</v>
      </c>
      <c r="AM331" s="325">
        <f>'AVT77'!BI55</f>
        <v>0</v>
      </c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165"/>
      <c r="BP331" s="165"/>
      <c r="BQ331" s="165"/>
      <c r="BR331" s="165"/>
      <c r="BS331" s="165"/>
      <c r="BT331" s="165"/>
      <c r="BU331" s="165"/>
      <c r="BV331" s="55"/>
      <c r="BW331" s="160"/>
      <c r="BX331" s="32"/>
      <c r="BY331" s="24"/>
      <c r="BZ331" s="24"/>
      <c r="CA331" s="24"/>
      <c r="CB331" s="24"/>
      <c r="CC331" s="24"/>
      <c r="CD331" s="24"/>
      <c r="CE331" s="24"/>
    </row>
    <row r="332" spans="1:83" ht="8.1" hidden="1" customHeight="1">
      <c r="A332" s="4"/>
      <c r="B332" s="126"/>
      <c r="C332" s="43"/>
      <c r="D332" s="39"/>
      <c r="E332" s="56"/>
      <c r="F332" s="60"/>
      <c r="G332" s="52"/>
      <c r="H332" s="54"/>
      <c r="I332" s="41"/>
      <c r="J332" s="122"/>
      <c r="K332" s="42"/>
      <c r="L332" s="42"/>
      <c r="M332" s="32"/>
      <c r="N332" s="35"/>
      <c r="O332" s="36">
        <v>0</v>
      </c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165"/>
      <c r="BP332" s="165"/>
      <c r="BQ332" s="165"/>
      <c r="BR332" s="165"/>
      <c r="BS332" s="165"/>
      <c r="BT332" s="165"/>
      <c r="BU332" s="165"/>
      <c r="BV332" s="55"/>
      <c r="BW332" s="160"/>
      <c r="BX332" s="32"/>
      <c r="BY332" s="24"/>
      <c r="BZ332" s="24"/>
      <c r="CA332" s="24"/>
      <c r="CB332" s="24"/>
      <c r="CC332" s="24"/>
      <c r="CD332" s="24"/>
      <c r="CE332" s="24"/>
    </row>
    <row r="333" spans="1:83" ht="15" hidden="1" customHeight="1">
      <c r="A333" s="4"/>
      <c r="B333" s="318">
        <f>CENY!B709</f>
        <v>9256928</v>
      </c>
      <c r="C333" s="43" t="str">
        <f>VLOOKUP(B333,CENY!$B$11:$G$1054,2,FALSE)</f>
        <v>Quadro You(M) 270/P2O 20kg; EB21</v>
      </c>
      <c r="D333" s="364">
        <f>VLOOKUP(B333,CENY!$B$11:$G$1054,3,FALSE)</f>
        <v>1</v>
      </c>
      <c r="E333" s="56" t="str">
        <f>IF(VLOOKUP(B333,CENY!$B$11:$G$1054,4,FALSE)=0,"",VLOOKUP(B333,CENY!$B$11:$G$1054,4,FALSE))</f>
        <v/>
      </c>
      <c r="F333" s="40" t="str">
        <f t="shared" ref="F333:F356" si="70">IF(J333&lt;&gt;"",J333,IF(N333=0,"",N333))</f>
        <v/>
      </c>
      <c r="G333" s="52">
        <f>VLOOKUP(B333,CENY!$B$11:$M$1054,12,FALSE)</f>
        <v>25.824369999999998</v>
      </c>
      <c r="H333" s="54" t="str">
        <f t="shared" si="66"/>
        <v xml:space="preserve"> EUR</v>
      </c>
      <c r="I333" s="41" t="str">
        <f t="shared" si="67"/>
        <v/>
      </c>
      <c r="J333" s="122"/>
      <c r="K333" s="42" t="str">
        <f>VLOOKUP(B333,CENY!$B$11:$M$1054,8,FALSE)</f>
        <v xml:space="preserve"> </v>
      </c>
      <c r="L333" s="42" t="str">
        <f>VLOOKUP(B333,CENY!$B$11:$M$1054,9,FALSE)</f>
        <v>518554</v>
      </c>
      <c r="M333" s="32"/>
      <c r="N333" s="35">
        <f t="shared" ref="N333:N356" si="71">SUM(P333:BW333)</f>
        <v>0</v>
      </c>
      <c r="O333" s="36">
        <v>0</v>
      </c>
      <c r="P333" s="325">
        <f>'AVT101'!AZ67</f>
        <v>0</v>
      </c>
      <c r="Q333" s="32"/>
      <c r="R333" s="325">
        <f>'AVT139'!AZ67</f>
        <v>0</v>
      </c>
      <c r="S333" s="32"/>
      <c r="T333" s="325">
        <f>'AVT187'!AZ67</f>
        <v>0</v>
      </c>
      <c r="U333" s="32"/>
      <c r="V333" s="32"/>
      <c r="W333" s="32"/>
      <c r="X333" s="32"/>
      <c r="Y333" s="32"/>
      <c r="Z333" s="325">
        <f>'AVT101(vn-A)'!AZ67</f>
        <v>0</v>
      </c>
      <c r="AA333" s="32"/>
      <c r="AB333" s="32"/>
      <c r="AC333" s="32"/>
      <c r="AD333" s="325">
        <f>'AVT187(vn-A)'!AZ67</f>
        <v>0</v>
      </c>
      <c r="AE333" s="32"/>
      <c r="AF333" s="32"/>
      <c r="AG333" s="32"/>
      <c r="AH333" s="325">
        <f>'AVT187(vn-S)'!AZ67</f>
        <v>0</v>
      </c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165"/>
      <c r="BP333" s="165"/>
      <c r="BQ333" s="165"/>
      <c r="BR333" s="165"/>
      <c r="BS333" s="165"/>
      <c r="BT333" s="165"/>
      <c r="BU333" s="165"/>
      <c r="BV333" s="55"/>
      <c r="BW333" s="160"/>
      <c r="BX333" s="32"/>
      <c r="BY333" s="24"/>
      <c r="BZ333" s="24"/>
      <c r="CA333" s="24"/>
      <c r="CB333" s="24"/>
      <c r="CC333" s="24"/>
      <c r="CD333" s="24"/>
      <c r="CE333" s="24"/>
    </row>
    <row r="334" spans="1:83" ht="15" hidden="1" customHeight="1">
      <c r="A334" s="4"/>
      <c r="B334" s="318">
        <f>CENY!B710</f>
        <v>9256929</v>
      </c>
      <c r="C334" s="43" t="str">
        <f>VLOOKUP(B334,CENY!$B$11:$G$1054,2,FALSE)</f>
        <v>Quadro You(M) 300/P2O 20kg; EB21</v>
      </c>
      <c r="D334" s="364">
        <f>VLOOKUP(B334,CENY!$B$11:$G$1054,3,FALSE)</f>
        <v>1</v>
      </c>
      <c r="E334" s="56" t="str">
        <f>IF(VLOOKUP(B334,CENY!$B$11:$G$1054,4,FALSE)=0,"",VLOOKUP(B334,CENY!$B$11:$G$1054,4,FALSE))</f>
        <v/>
      </c>
      <c r="F334" s="40" t="str">
        <f t="shared" si="70"/>
        <v/>
      </c>
      <c r="G334" s="52">
        <f>VLOOKUP(B334,CENY!$B$11:$M$1054,12,FALSE)</f>
        <v>25.86984</v>
      </c>
      <c r="H334" s="54" t="str">
        <f t="shared" si="66"/>
        <v xml:space="preserve"> EUR</v>
      </c>
      <c r="I334" s="41" t="str">
        <f t="shared" si="67"/>
        <v/>
      </c>
      <c r="J334" s="122"/>
      <c r="K334" s="42" t="str">
        <f>VLOOKUP(B334,CENY!$B$11:$M$1054,8,FALSE)</f>
        <v xml:space="preserve"> </v>
      </c>
      <c r="L334" s="42" t="str">
        <f>VLOOKUP(B334,CENY!$B$11:$M$1054,9,FALSE)</f>
        <v>518555</v>
      </c>
      <c r="M334" s="32"/>
      <c r="N334" s="35">
        <f t="shared" si="71"/>
        <v>0</v>
      </c>
      <c r="O334" s="36">
        <v>0</v>
      </c>
      <c r="P334" s="325">
        <f>'AVT101'!AZ68</f>
        <v>0</v>
      </c>
      <c r="Q334" s="32"/>
      <c r="R334" s="325">
        <f>'AVT139'!AZ68</f>
        <v>0</v>
      </c>
      <c r="S334" s="32"/>
      <c r="T334" s="325">
        <f>'AVT187'!AZ68</f>
        <v>0</v>
      </c>
      <c r="U334" s="32"/>
      <c r="V334" s="32"/>
      <c r="W334" s="32"/>
      <c r="X334" s="32"/>
      <c r="Y334" s="32"/>
      <c r="Z334" s="325">
        <f>'AVT101(vn-A)'!AZ68</f>
        <v>0</v>
      </c>
      <c r="AA334" s="32"/>
      <c r="AB334" s="325">
        <f>'AVT139(vn-A)'!AZ68</f>
        <v>0</v>
      </c>
      <c r="AC334" s="32"/>
      <c r="AD334" s="325">
        <f>'AVT187(vn-A)'!AZ68</f>
        <v>0</v>
      </c>
      <c r="AE334" s="32"/>
      <c r="AF334" s="32"/>
      <c r="AG334" s="32"/>
      <c r="AH334" s="325">
        <f>'AVT187(vn-S)'!AZ68</f>
        <v>0</v>
      </c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165"/>
      <c r="BP334" s="165"/>
      <c r="BQ334" s="165"/>
      <c r="BR334" s="165"/>
      <c r="BS334" s="165"/>
      <c r="BT334" s="165"/>
      <c r="BU334" s="165"/>
      <c r="BV334" s="55"/>
      <c r="BW334" s="160"/>
      <c r="BX334" s="32"/>
      <c r="BY334" s="24"/>
      <c r="BZ334" s="24"/>
      <c r="CA334" s="24"/>
      <c r="CB334" s="24"/>
      <c r="CC334" s="24"/>
      <c r="CD334" s="24"/>
      <c r="CE334" s="24"/>
    </row>
    <row r="335" spans="1:83" ht="15" hidden="1" customHeight="1">
      <c r="A335" s="4"/>
      <c r="B335" s="318">
        <f>CENY!B711</f>
        <v>9256931</v>
      </c>
      <c r="C335" s="43" t="str">
        <f>VLOOKUP(B335,CENY!$B$11:$G$1054,2,FALSE)</f>
        <v>Quadro You(M) 350/P2O 25kg; EB21</v>
      </c>
      <c r="D335" s="364">
        <f>VLOOKUP(B335,CENY!$B$11:$G$1054,3,FALSE)</f>
        <v>1</v>
      </c>
      <c r="E335" s="56" t="str">
        <f>IF(VLOOKUP(B335,CENY!$B$11:$G$1054,4,FALSE)=0,"",VLOOKUP(B335,CENY!$B$11:$G$1054,4,FALSE))</f>
        <v/>
      </c>
      <c r="F335" s="40" t="str">
        <f t="shared" si="70"/>
        <v/>
      </c>
      <c r="G335" s="52">
        <f>VLOOKUP(B335,CENY!$B$11:$M$1054,12,FALSE)</f>
        <v>26.336690000000001</v>
      </c>
      <c r="H335" s="54" t="str">
        <f t="shared" si="66"/>
        <v xml:space="preserve"> EUR</v>
      </c>
      <c r="I335" s="41" t="str">
        <f t="shared" si="67"/>
        <v/>
      </c>
      <c r="J335" s="122"/>
      <c r="K335" s="42" t="str">
        <f>VLOOKUP(B335,CENY!$B$11:$M$1054,8,FALSE)</f>
        <v xml:space="preserve"> </v>
      </c>
      <c r="L335" s="42" t="str">
        <f>VLOOKUP(B335,CENY!$B$11:$M$1054,9,FALSE)</f>
        <v>518556</v>
      </c>
      <c r="M335" s="32"/>
      <c r="N335" s="35">
        <f t="shared" si="71"/>
        <v>0</v>
      </c>
      <c r="O335" s="36">
        <v>0</v>
      </c>
      <c r="P335" s="325">
        <f>'AVT101'!AZ69</f>
        <v>0</v>
      </c>
      <c r="Q335" s="32"/>
      <c r="R335" s="325">
        <f>'AVT139'!AZ69</f>
        <v>0</v>
      </c>
      <c r="S335" s="32"/>
      <c r="T335" s="325">
        <f>'AVT187'!AZ69</f>
        <v>0</v>
      </c>
      <c r="U335" s="32"/>
      <c r="V335" s="325">
        <f>'AVT251'!AZ55</f>
        <v>0</v>
      </c>
      <c r="W335" s="32"/>
      <c r="X335" s="325">
        <f>AVT187In!AZ55</f>
        <v>0</v>
      </c>
      <c r="Y335" s="32"/>
      <c r="Z335" s="325">
        <f>'AVT101(vn-A)'!AZ69</f>
        <v>0</v>
      </c>
      <c r="AA335" s="32"/>
      <c r="AB335" s="325">
        <f>'AVT139(vn-A)'!AZ69</f>
        <v>0</v>
      </c>
      <c r="AC335" s="32"/>
      <c r="AD335" s="325">
        <f>'AVT187(vn-A)'!AZ69</f>
        <v>0</v>
      </c>
      <c r="AE335" s="32"/>
      <c r="AF335" s="325">
        <f>'AVT187In(vn-A)'!AZ55</f>
        <v>0</v>
      </c>
      <c r="AG335" s="32"/>
      <c r="AH335" s="325">
        <f>'AVT187(vn-S)'!AZ69</f>
        <v>0</v>
      </c>
      <c r="AI335" s="32"/>
      <c r="AJ335" s="325">
        <f>'AVT187In(vn-S)'!AZ55</f>
        <v>0</v>
      </c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165"/>
      <c r="BP335" s="165"/>
      <c r="BQ335" s="165"/>
      <c r="BR335" s="165"/>
      <c r="BS335" s="165"/>
      <c r="BT335" s="165"/>
      <c r="BU335" s="165"/>
      <c r="BV335" s="55"/>
      <c r="BW335" s="160"/>
      <c r="BX335" s="32"/>
      <c r="BY335" s="24"/>
      <c r="BZ335" s="24"/>
      <c r="CA335" s="24"/>
      <c r="CB335" s="24"/>
      <c r="CC335" s="24"/>
      <c r="CD335" s="24"/>
      <c r="CE335" s="24"/>
    </row>
    <row r="336" spans="1:83" ht="15" hidden="1" customHeight="1">
      <c r="A336" s="4"/>
      <c r="B336" s="318">
        <f>CENY!B712</f>
        <v>9256933</v>
      </c>
      <c r="C336" s="43" t="str">
        <f>VLOOKUP(B336,CENY!$B$11:$G$1054,2,FALSE)</f>
        <v>Quadro You(M) 400/P2O 30kg; EB21</v>
      </c>
      <c r="D336" s="364">
        <f>VLOOKUP(B336,CENY!$B$11:$G$1054,3,FALSE)</f>
        <v>1</v>
      </c>
      <c r="E336" s="56" t="str">
        <f>IF(VLOOKUP(B336,CENY!$B$11:$G$1054,4,FALSE)=0,"",VLOOKUP(B336,CENY!$B$11:$G$1054,4,FALSE))</f>
        <v/>
      </c>
      <c r="F336" s="40" t="str">
        <f t="shared" si="70"/>
        <v/>
      </c>
      <c r="G336" s="52">
        <f>VLOOKUP(B336,CENY!$B$11:$M$1054,12,FALSE)</f>
        <v>26.80339</v>
      </c>
      <c r="H336" s="54" t="str">
        <f t="shared" si="66"/>
        <v xml:space="preserve"> EUR</v>
      </c>
      <c r="I336" s="41" t="str">
        <f t="shared" si="67"/>
        <v/>
      </c>
      <c r="J336" s="122"/>
      <c r="K336" s="42" t="str">
        <f>VLOOKUP(B336,CENY!$B$11:$M$1054,8,FALSE)</f>
        <v xml:space="preserve"> </v>
      </c>
      <c r="L336" s="42" t="str">
        <f>VLOOKUP(B336,CENY!$B$11:$M$1054,9,FALSE)</f>
        <v>518557</v>
      </c>
      <c r="M336" s="32"/>
      <c r="N336" s="35">
        <f t="shared" si="71"/>
        <v>0</v>
      </c>
      <c r="O336" s="36">
        <v>0</v>
      </c>
      <c r="P336" s="325">
        <f>'AVT101'!AZ70</f>
        <v>0</v>
      </c>
      <c r="Q336" s="32"/>
      <c r="R336" s="325">
        <f>'AVT139'!AZ70</f>
        <v>0</v>
      </c>
      <c r="S336" s="32"/>
      <c r="T336" s="325">
        <f>'AVT187'!AZ70</f>
        <v>0</v>
      </c>
      <c r="U336" s="32"/>
      <c r="V336" s="325">
        <f>'AVT251'!AZ56</f>
        <v>0</v>
      </c>
      <c r="W336" s="32"/>
      <c r="X336" s="325">
        <f>AVT187In!AZ56</f>
        <v>0</v>
      </c>
      <c r="Y336" s="32"/>
      <c r="Z336" s="325">
        <f>'AVT101(vn-A)'!AZ70</f>
        <v>0</v>
      </c>
      <c r="AA336" s="32"/>
      <c r="AB336" s="325">
        <f>'AVT139(vn-A)'!AZ70</f>
        <v>0</v>
      </c>
      <c r="AC336" s="32"/>
      <c r="AD336" s="325">
        <f>'AVT187(vn-A)'!AZ70</f>
        <v>0</v>
      </c>
      <c r="AE336" s="32"/>
      <c r="AF336" s="325">
        <f>'AVT187In(vn-A)'!AZ56</f>
        <v>0</v>
      </c>
      <c r="AG336" s="32"/>
      <c r="AH336" s="325">
        <f>'AVT187(vn-S)'!AZ70</f>
        <v>0</v>
      </c>
      <c r="AI336" s="32"/>
      <c r="AJ336" s="325">
        <f>'AVT187In(vn-S)'!AZ56</f>
        <v>0</v>
      </c>
      <c r="AK336" s="32"/>
      <c r="AL336" s="325">
        <f>'AVT77'!AZ39</f>
        <v>0</v>
      </c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165"/>
      <c r="BP336" s="165"/>
      <c r="BQ336" s="165"/>
      <c r="BR336" s="165"/>
      <c r="BS336" s="165"/>
      <c r="BT336" s="165"/>
      <c r="BU336" s="165"/>
      <c r="BV336" s="55"/>
      <c r="BW336" s="160"/>
      <c r="BX336" s="32"/>
      <c r="BY336" s="24"/>
      <c r="BZ336" s="24"/>
      <c r="CA336" s="24"/>
      <c r="CB336" s="24"/>
      <c r="CC336" s="24"/>
      <c r="CD336" s="24"/>
      <c r="CE336" s="24"/>
    </row>
    <row r="337" spans="1:83" ht="15" hidden="1" customHeight="1">
      <c r="A337" s="4"/>
      <c r="B337" s="318">
        <f>CENY!B713</f>
        <v>9256935</v>
      </c>
      <c r="C337" s="43" t="str">
        <f>VLOOKUP(B337,CENY!$B$11:$G$1054,2,FALSE)</f>
        <v>Quadro You(M) 450/P2O 30kg; EB21</v>
      </c>
      <c r="D337" s="364">
        <f>VLOOKUP(B337,CENY!$B$11:$G$1054,3,FALSE)</f>
        <v>1</v>
      </c>
      <c r="E337" s="56" t="str">
        <f>IF(VLOOKUP(B337,CENY!$B$11:$G$1054,4,FALSE)=0,"",VLOOKUP(B337,CENY!$B$11:$G$1054,4,FALSE))</f>
        <v/>
      </c>
      <c r="F337" s="40" t="str">
        <f t="shared" si="70"/>
        <v/>
      </c>
      <c r="G337" s="52">
        <f>VLOOKUP(B337,CENY!$B$11:$M$1054,12,FALSE)</f>
        <v>27.270389999999999</v>
      </c>
      <c r="H337" s="54" t="str">
        <f t="shared" si="66"/>
        <v xml:space="preserve"> EUR</v>
      </c>
      <c r="I337" s="41" t="str">
        <f t="shared" si="67"/>
        <v/>
      </c>
      <c r="J337" s="122"/>
      <c r="K337" s="42" t="str">
        <f>VLOOKUP(B337,CENY!$B$11:$M$1054,8,FALSE)</f>
        <v xml:space="preserve"> </v>
      </c>
      <c r="L337" s="42" t="str">
        <f>VLOOKUP(B337,CENY!$B$11:$M$1054,9,FALSE)</f>
        <v>518558</v>
      </c>
      <c r="M337" s="32"/>
      <c r="N337" s="35">
        <f t="shared" si="71"/>
        <v>0</v>
      </c>
      <c r="O337" s="36">
        <v>0</v>
      </c>
      <c r="P337" s="325">
        <f>'AVT101'!AZ71</f>
        <v>0</v>
      </c>
      <c r="Q337" s="32"/>
      <c r="R337" s="325">
        <f>'AVT139'!AZ71</f>
        <v>0</v>
      </c>
      <c r="S337" s="32"/>
      <c r="T337" s="325">
        <f>'AVT187'!AZ71</f>
        <v>0</v>
      </c>
      <c r="U337" s="32"/>
      <c r="V337" s="325">
        <f>'AVT251'!AZ57</f>
        <v>0</v>
      </c>
      <c r="W337" s="32"/>
      <c r="X337" s="325">
        <f>AVT187In!AZ57</f>
        <v>0</v>
      </c>
      <c r="Y337" s="32"/>
      <c r="Z337" s="325">
        <f>'AVT101(vn-A)'!AZ71</f>
        <v>0</v>
      </c>
      <c r="AA337" s="32"/>
      <c r="AB337" s="325">
        <f>'AVT139(vn-A)'!AZ71</f>
        <v>0</v>
      </c>
      <c r="AC337" s="32"/>
      <c r="AD337" s="325">
        <f>'AVT187(vn-A)'!AZ71</f>
        <v>0</v>
      </c>
      <c r="AE337" s="32"/>
      <c r="AF337" s="325">
        <f>'AVT187In(vn-A)'!AZ57</f>
        <v>0</v>
      </c>
      <c r="AG337" s="32"/>
      <c r="AH337" s="325">
        <f>'AVT187(vn-S)'!AZ71</f>
        <v>0</v>
      </c>
      <c r="AI337" s="32"/>
      <c r="AJ337" s="325">
        <f>'AVT187In(vn-S)'!AZ57</f>
        <v>0</v>
      </c>
      <c r="AK337" s="32"/>
      <c r="AL337" s="325">
        <f>'AVT77'!AZ40</f>
        <v>0</v>
      </c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165"/>
      <c r="BP337" s="165"/>
      <c r="BQ337" s="165"/>
      <c r="BR337" s="165"/>
      <c r="BS337" s="165"/>
      <c r="BT337" s="165"/>
      <c r="BU337" s="165"/>
      <c r="BV337" s="55"/>
      <c r="BW337" s="160"/>
      <c r="BX337" s="32"/>
      <c r="BY337" s="24"/>
      <c r="BZ337" s="24"/>
      <c r="CA337" s="24"/>
      <c r="CB337" s="24"/>
      <c r="CC337" s="24"/>
      <c r="CD337" s="24"/>
      <c r="CE337" s="24"/>
    </row>
    <row r="338" spans="1:83" ht="15" hidden="1" customHeight="1">
      <c r="A338" s="4"/>
      <c r="B338" s="318">
        <f>CENY!B714</f>
        <v>9256937</v>
      </c>
      <c r="C338" s="43" t="str">
        <f>VLOOKUP(B338,CENY!$B$11:$G$1054,2,FALSE)</f>
        <v>Quadro You(M) 500/P2O 30kg; EB21</v>
      </c>
      <c r="D338" s="364">
        <f>VLOOKUP(B338,CENY!$B$11:$G$1054,3,FALSE)</f>
        <v>1</v>
      </c>
      <c r="E338" s="56" t="str">
        <f>IF(VLOOKUP(B338,CENY!$B$11:$G$1054,4,FALSE)=0,"",VLOOKUP(B338,CENY!$B$11:$G$1054,4,FALSE))</f>
        <v/>
      </c>
      <c r="F338" s="40" t="str">
        <f t="shared" si="70"/>
        <v/>
      </c>
      <c r="G338" s="52">
        <f>VLOOKUP(B338,CENY!$B$11:$M$1054,12,FALSE)</f>
        <v>5.5988800000000003</v>
      </c>
      <c r="H338" s="54" t="str">
        <f t="shared" si="66"/>
        <v xml:space="preserve"> EUR</v>
      </c>
      <c r="I338" s="41" t="str">
        <f t="shared" si="67"/>
        <v/>
      </c>
      <c r="J338" s="122"/>
      <c r="K338" s="42" t="str">
        <f>VLOOKUP(B338,CENY!$B$11:$M$1054,8,FALSE)</f>
        <v xml:space="preserve"> </v>
      </c>
      <c r="L338" s="42" t="str">
        <f>VLOOKUP(B338,CENY!$B$11:$M$1054,9,FALSE)</f>
        <v>474963</v>
      </c>
      <c r="M338" s="32"/>
      <c r="N338" s="35">
        <f t="shared" si="71"/>
        <v>0</v>
      </c>
      <c r="O338" s="36">
        <v>0</v>
      </c>
      <c r="P338" s="325">
        <f>'AVT101'!AZ72</f>
        <v>0</v>
      </c>
      <c r="Q338" s="32"/>
      <c r="R338" s="325">
        <f>'AVT139'!AZ72</f>
        <v>0</v>
      </c>
      <c r="S338" s="32"/>
      <c r="T338" s="325">
        <f>'AVT187'!AZ72</f>
        <v>0</v>
      </c>
      <c r="U338" s="32"/>
      <c r="V338" s="325">
        <f>'AVT251'!AZ58</f>
        <v>0</v>
      </c>
      <c r="W338" s="32"/>
      <c r="X338" s="325">
        <f>AVT187In!AZ58</f>
        <v>0</v>
      </c>
      <c r="Y338" s="32"/>
      <c r="Z338" s="325">
        <f>'AVT101(vn-A)'!AZ72</f>
        <v>0</v>
      </c>
      <c r="AA338" s="32"/>
      <c r="AB338" s="325">
        <f>'AVT139(vn-A)'!AZ72</f>
        <v>0</v>
      </c>
      <c r="AC338" s="32"/>
      <c r="AD338" s="325">
        <f>'AVT187(vn-A)'!AZ72</f>
        <v>0</v>
      </c>
      <c r="AE338" s="32"/>
      <c r="AF338" s="325">
        <f>'AVT187In(vn-A)'!AZ58</f>
        <v>0</v>
      </c>
      <c r="AG338" s="32"/>
      <c r="AH338" s="325">
        <f>'AVT187(vn-S)'!AZ72</f>
        <v>0</v>
      </c>
      <c r="AI338" s="32"/>
      <c r="AJ338" s="325">
        <f>'AVT187In(vn-S)'!AZ58</f>
        <v>0</v>
      </c>
      <c r="AK338" s="32"/>
      <c r="AL338" s="325">
        <f>'AVT77'!AZ41</f>
        <v>0</v>
      </c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165"/>
      <c r="BP338" s="165"/>
      <c r="BQ338" s="165"/>
      <c r="BR338" s="165"/>
      <c r="BS338" s="165"/>
      <c r="BT338" s="165"/>
      <c r="BU338" s="165"/>
      <c r="BV338" s="55"/>
      <c r="BW338" s="160"/>
      <c r="BX338" s="32"/>
      <c r="BY338" s="24"/>
      <c r="BZ338" s="24"/>
      <c r="CA338" s="24"/>
      <c r="CB338" s="24"/>
      <c r="CC338" s="24"/>
      <c r="CD338" s="24"/>
      <c r="CE338" s="24"/>
    </row>
    <row r="339" spans="1:83" ht="15" hidden="1" customHeight="1">
      <c r="A339" s="4"/>
      <c r="B339" s="318">
        <f>CENY!B715</f>
        <v>9256939</v>
      </c>
      <c r="C339" s="43" t="str">
        <f>VLOOKUP(B339,CENY!$B$11:$G$1054,2,FALSE)</f>
        <v>Quadro You(M) 550/P2O 30kg; EB21</v>
      </c>
      <c r="D339" s="364">
        <f>VLOOKUP(B339,CENY!$B$11:$G$1054,3,FALSE)</f>
        <v>1</v>
      </c>
      <c r="E339" s="56" t="str">
        <f>IF(VLOOKUP(B339,CENY!$B$11:$G$1054,4,FALSE)=0,"",VLOOKUP(B339,CENY!$B$11:$G$1054,4,FALSE))</f>
        <v/>
      </c>
      <c r="F339" s="40" t="str">
        <f t="shared" si="70"/>
        <v/>
      </c>
      <c r="G339" s="52">
        <f>VLOOKUP(B339,CENY!$B$11:$M$1054,12,FALSE)</f>
        <v>28.20382</v>
      </c>
      <c r="H339" s="54" t="str">
        <f t="shared" si="66"/>
        <v xml:space="preserve"> EUR</v>
      </c>
      <c r="I339" s="41" t="str">
        <f t="shared" si="67"/>
        <v/>
      </c>
      <c r="J339" s="122"/>
      <c r="K339" s="42" t="str">
        <f>VLOOKUP(B339,CENY!$B$11:$M$1054,8,FALSE)</f>
        <v xml:space="preserve"> </v>
      </c>
      <c r="L339" s="42" t="str">
        <f>VLOOKUP(B339,CENY!$B$11:$M$1054,9,FALSE)</f>
        <v>518559</v>
      </c>
      <c r="M339" s="32"/>
      <c r="N339" s="35">
        <f t="shared" si="71"/>
        <v>0</v>
      </c>
      <c r="O339" s="36">
        <v>0</v>
      </c>
      <c r="P339" s="325">
        <f>'AVT101'!AZ73</f>
        <v>0</v>
      </c>
      <c r="Q339" s="32"/>
      <c r="R339" s="325">
        <f>'AVT139'!AZ73</f>
        <v>0</v>
      </c>
      <c r="S339" s="32"/>
      <c r="T339" s="325">
        <f>'AVT187'!AZ73</f>
        <v>0</v>
      </c>
      <c r="U339" s="32"/>
      <c r="V339" s="325">
        <f>'AVT251'!AZ59</f>
        <v>0</v>
      </c>
      <c r="W339" s="32"/>
      <c r="X339" s="325">
        <f>AVT187In!AZ59</f>
        <v>0</v>
      </c>
      <c r="Y339" s="32"/>
      <c r="Z339" s="325">
        <f>'AVT101(vn-A)'!AZ73</f>
        <v>0</v>
      </c>
      <c r="AA339" s="32"/>
      <c r="AB339" s="325">
        <f>'AVT139(vn-A)'!AZ73</f>
        <v>0</v>
      </c>
      <c r="AC339" s="32"/>
      <c r="AD339" s="325">
        <f>'AVT187(vn-A)'!AZ73</f>
        <v>0</v>
      </c>
      <c r="AE339" s="32"/>
      <c r="AF339" s="325">
        <f>'AVT187In(vn-A)'!AZ59</f>
        <v>0</v>
      </c>
      <c r="AG339" s="32"/>
      <c r="AH339" s="325">
        <f>'AVT187(vn-S)'!AZ73</f>
        <v>0</v>
      </c>
      <c r="AI339" s="32"/>
      <c r="AJ339" s="325">
        <f>'AVT187In(vn-S)'!AZ59</f>
        <v>0</v>
      </c>
      <c r="AK339" s="32"/>
      <c r="AL339" s="325">
        <f>'AVT77'!AZ42</f>
        <v>0</v>
      </c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165"/>
      <c r="BP339" s="165"/>
      <c r="BQ339" s="165"/>
      <c r="BR339" s="165"/>
      <c r="BS339" s="165"/>
      <c r="BT339" s="165"/>
      <c r="BU339" s="165"/>
      <c r="BV339" s="55"/>
      <c r="BW339" s="160"/>
      <c r="BX339" s="32"/>
      <c r="BY339" s="24"/>
      <c r="BZ339" s="24"/>
      <c r="CA339" s="24"/>
      <c r="CB339" s="24"/>
      <c r="CC339" s="24"/>
      <c r="CD339" s="24"/>
      <c r="CE339" s="24"/>
    </row>
    <row r="340" spans="1:83" ht="15" hidden="1" customHeight="1">
      <c r="A340" s="4"/>
      <c r="B340" s="318">
        <f>CENY!B716</f>
        <v>9256941</v>
      </c>
      <c r="C340" s="43" t="str">
        <f>VLOOKUP(B340,CENY!$B$11:$G$1054,2,FALSE)</f>
        <v>Quadro You(M) 600/P2O 25kg; EB21</v>
      </c>
      <c r="D340" s="364">
        <f>VLOOKUP(B340,CENY!$B$11:$G$1054,3,FALSE)</f>
        <v>1</v>
      </c>
      <c r="E340" s="56" t="str">
        <f>IF(VLOOKUP(B340,CENY!$B$11:$G$1054,4,FALSE)=0,"",VLOOKUP(B340,CENY!$B$11:$G$1054,4,FALSE))</f>
        <v/>
      </c>
      <c r="F340" s="40" t="str">
        <f t="shared" si="70"/>
        <v/>
      </c>
      <c r="G340" s="52">
        <f>VLOOKUP(B340,CENY!$B$11:$M$1054,12,FALSE)</f>
        <v>28.670570000000001</v>
      </c>
      <c r="H340" s="54" t="str">
        <f t="shared" si="66"/>
        <v xml:space="preserve"> EUR</v>
      </c>
      <c r="I340" s="41" t="str">
        <f t="shared" si="67"/>
        <v/>
      </c>
      <c r="J340" s="122"/>
      <c r="K340" s="42" t="str">
        <f>VLOOKUP(B340,CENY!$B$11:$M$1054,8,FALSE)</f>
        <v xml:space="preserve"> </v>
      </c>
      <c r="L340" s="42" t="str">
        <f>VLOOKUP(B340,CENY!$B$11:$M$1054,9,FALSE)</f>
        <v>518560</v>
      </c>
      <c r="M340" s="32"/>
      <c r="N340" s="35">
        <f t="shared" si="71"/>
        <v>0</v>
      </c>
      <c r="O340" s="36">
        <v>0</v>
      </c>
      <c r="P340" s="325">
        <f>'AVT101'!AZ74</f>
        <v>0</v>
      </c>
      <c r="Q340" s="32"/>
      <c r="R340" s="325">
        <f>'AVT139'!AZ74</f>
        <v>0</v>
      </c>
      <c r="S340" s="32"/>
      <c r="T340" s="325">
        <f>'AVT187'!AZ74</f>
        <v>0</v>
      </c>
      <c r="U340" s="32"/>
      <c r="V340" s="325">
        <f>'AVT251'!AZ60</f>
        <v>0</v>
      </c>
      <c r="W340" s="32"/>
      <c r="X340" s="325">
        <f>AVT187In!AZ60</f>
        <v>0</v>
      </c>
      <c r="Y340" s="32"/>
      <c r="Z340" s="325">
        <f>'AVT101(vn-A)'!AZ74</f>
        <v>0</v>
      </c>
      <c r="AA340" s="32"/>
      <c r="AB340" s="325">
        <f>'AVT139(vn-A)'!AZ74</f>
        <v>0</v>
      </c>
      <c r="AC340" s="32"/>
      <c r="AD340" s="325">
        <f>'AVT187(vn-A)'!AZ74</f>
        <v>0</v>
      </c>
      <c r="AE340" s="32"/>
      <c r="AF340" s="325">
        <f>'AVT187In(vn-A)'!AZ60</f>
        <v>0</v>
      </c>
      <c r="AG340" s="32"/>
      <c r="AH340" s="325">
        <f>'AVT187(vn-S)'!AZ74</f>
        <v>0</v>
      </c>
      <c r="AI340" s="32"/>
      <c r="AJ340" s="325">
        <f>'AVT187In(vn-S)'!AZ60</f>
        <v>0</v>
      </c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165"/>
      <c r="BP340" s="165"/>
      <c r="BQ340" s="165"/>
      <c r="BR340" s="165"/>
      <c r="BS340" s="165"/>
      <c r="BT340" s="165"/>
      <c r="BU340" s="165"/>
      <c r="BV340" s="55"/>
      <c r="BW340" s="160"/>
      <c r="BX340" s="32"/>
      <c r="BY340" s="24"/>
      <c r="BZ340" s="24"/>
      <c r="CA340" s="24"/>
      <c r="CB340" s="24"/>
      <c r="CC340" s="24"/>
      <c r="CD340" s="24"/>
      <c r="CE340" s="24"/>
    </row>
    <row r="341" spans="1:83" ht="15" hidden="1" customHeight="1">
      <c r="A341" s="4"/>
      <c r="B341" s="318">
        <f>CENY!B717</f>
        <v>9256899</v>
      </c>
      <c r="C341" s="43" t="str">
        <f>VLOOKUP(B341,CENY!$B$11:$G$1054,2,FALSE)</f>
        <v>Quadro You(M) 270/P2O 20kg; EB21; ľavý</v>
      </c>
      <c r="D341" s="353">
        <f>VLOOKUP(B341,CENY!$B$11:$G$1054,3,FALSE)</f>
        <v>20</v>
      </c>
      <c r="E341" s="56" t="str">
        <f>IF(VLOOKUP(B341,CENY!$B$11:$G$1054,4,FALSE)=0,"",VLOOKUP(B341,CENY!$B$11:$G$1054,4,FALSE))</f>
        <v/>
      </c>
      <c r="F341" s="40" t="str">
        <f t="shared" si="70"/>
        <v/>
      </c>
      <c r="G341" s="52">
        <f>VLOOKUP(B341,CENY!$B$11:$M$1054,12,FALSE)</f>
        <v>12.16503</v>
      </c>
      <c r="H341" s="54" t="str">
        <f t="shared" si="66"/>
        <v xml:space="preserve"> EUR</v>
      </c>
      <c r="I341" s="41" t="str">
        <f t="shared" si="67"/>
        <v/>
      </c>
      <c r="J341" s="122"/>
      <c r="K341" s="42" t="str">
        <f>VLOOKUP(B341,CENY!$B$11:$M$1054,8,FALSE)</f>
        <v xml:space="preserve"> </v>
      </c>
      <c r="L341" s="42" t="str">
        <f>VLOOKUP(B341,CENY!$B$11:$M$1054,9,FALSE)</f>
        <v>397834</v>
      </c>
      <c r="M341" s="32"/>
      <c r="N341" s="35">
        <f t="shared" si="71"/>
        <v>0</v>
      </c>
      <c r="O341" s="36">
        <v>0</v>
      </c>
      <c r="P341" s="32"/>
      <c r="Q341" s="325">
        <f>'AVT101'!BI106</f>
        <v>0</v>
      </c>
      <c r="R341" s="32"/>
      <c r="S341" s="325">
        <f>'AVT139'!BI106</f>
        <v>0</v>
      </c>
      <c r="T341" s="32"/>
      <c r="U341" s="325">
        <f>'AVT187'!BI106</f>
        <v>0</v>
      </c>
      <c r="V341" s="32"/>
      <c r="W341" s="32"/>
      <c r="X341" s="32"/>
      <c r="Y341" s="32"/>
      <c r="Z341" s="32"/>
      <c r="AA341" s="325">
        <f>'AVT101(vn-A)'!BI106</f>
        <v>0</v>
      </c>
      <c r="AB341" s="32"/>
      <c r="AC341" s="32"/>
      <c r="AD341" s="32"/>
      <c r="AE341" s="325">
        <f>'AVT187(vn-A)'!BI106</f>
        <v>0</v>
      </c>
      <c r="AF341" s="32"/>
      <c r="AG341" s="32"/>
      <c r="AH341" s="32"/>
      <c r="AI341" s="325">
        <f>'AVT187(vn-S)'!BI106</f>
        <v>0</v>
      </c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165"/>
      <c r="BP341" s="165"/>
      <c r="BQ341" s="165"/>
      <c r="BR341" s="165"/>
      <c r="BS341" s="165"/>
      <c r="BT341" s="165"/>
      <c r="BU341" s="165"/>
      <c r="BV341" s="55"/>
      <c r="BW341" s="160"/>
      <c r="BX341" s="32"/>
      <c r="BY341" s="24"/>
      <c r="BZ341" s="24"/>
      <c r="CA341" s="24"/>
      <c r="CB341" s="24"/>
      <c r="CC341" s="24"/>
      <c r="CD341" s="24"/>
      <c r="CE341" s="24"/>
    </row>
    <row r="342" spans="1:83" ht="15" hidden="1" customHeight="1">
      <c r="A342" s="4"/>
      <c r="B342" s="318">
        <f>CENY!B718</f>
        <v>9256900</v>
      </c>
      <c r="C342" s="43" t="str">
        <f>VLOOKUP(B342,CENY!$B$11:$G$1054,2,FALSE)</f>
        <v>Quadro You(M) 270/P2O 20kg; EB21; pravý</v>
      </c>
      <c r="D342" s="353">
        <f>VLOOKUP(B342,CENY!$B$11:$G$1054,3,FALSE)</f>
        <v>20</v>
      </c>
      <c r="E342" s="56" t="str">
        <f>IF(VLOOKUP(B342,CENY!$B$11:$G$1054,4,FALSE)=0,"",VLOOKUP(B342,CENY!$B$11:$G$1054,4,FALSE))</f>
        <v/>
      </c>
      <c r="F342" s="40" t="str">
        <f t="shared" si="70"/>
        <v/>
      </c>
      <c r="G342" s="52">
        <f>VLOOKUP(B342,CENY!$B$11:$M$1054,12,FALSE)</f>
        <v>12.16503</v>
      </c>
      <c r="H342" s="54" t="str">
        <f t="shared" si="66"/>
        <v xml:space="preserve"> EUR</v>
      </c>
      <c r="I342" s="41" t="str">
        <f t="shared" si="67"/>
        <v/>
      </c>
      <c r="J342" s="122"/>
      <c r="K342" s="42" t="str">
        <f>VLOOKUP(B342,CENY!$B$11:$M$1054,8,FALSE)</f>
        <v xml:space="preserve"> </v>
      </c>
      <c r="L342" s="42" t="str">
        <f>VLOOKUP(B342,CENY!$B$11:$M$1054,9,FALSE)</f>
        <v>397835</v>
      </c>
      <c r="M342" s="32"/>
      <c r="N342" s="35">
        <f t="shared" si="71"/>
        <v>0</v>
      </c>
      <c r="O342" s="36">
        <v>0</v>
      </c>
      <c r="P342" s="32"/>
      <c r="Q342" s="325">
        <f>'AVT101'!BI107</f>
        <v>0</v>
      </c>
      <c r="R342" s="32"/>
      <c r="S342" s="325">
        <f>'AVT139'!BI107</f>
        <v>0</v>
      </c>
      <c r="T342" s="32"/>
      <c r="U342" s="325">
        <f>'AVT187'!BI107</f>
        <v>0</v>
      </c>
      <c r="V342" s="32"/>
      <c r="W342" s="32"/>
      <c r="X342" s="32"/>
      <c r="Y342" s="32"/>
      <c r="Z342" s="32"/>
      <c r="AA342" s="325">
        <f>'AVT101(vn-A)'!BI107</f>
        <v>0</v>
      </c>
      <c r="AB342" s="32"/>
      <c r="AC342" s="32"/>
      <c r="AD342" s="32"/>
      <c r="AE342" s="325">
        <f>'AVT187(vn-A)'!BI107</f>
        <v>0</v>
      </c>
      <c r="AF342" s="32"/>
      <c r="AG342" s="32"/>
      <c r="AH342" s="32"/>
      <c r="AI342" s="325">
        <f>'AVT187(vn-S)'!BI107</f>
        <v>0</v>
      </c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165"/>
      <c r="BP342" s="165"/>
      <c r="BQ342" s="165"/>
      <c r="BR342" s="165"/>
      <c r="BS342" s="165"/>
      <c r="BT342" s="165"/>
      <c r="BU342" s="165"/>
      <c r="BV342" s="55"/>
      <c r="BW342" s="160"/>
      <c r="BX342" s="32"/>
      <c r="BY342" s="24"/>
      <c r="BZ342" s="24"/>
      <c r="CA342" s="24"/>
      <c r="CB342" s="24"/>
      <c r="CC342" s="24"/>
      <c r="CD342" s="24"/>
      <c r="CE342" s="24"/>
    </row>
    <row r="343" spans="1:83" ht="15" hidden="1" customHeight="1">
      <c r="A343" s="4"/>
      <c r="B343" s="318">
        <f>CENY!B719</f>
        <v>9256901</v>
      </c>
      <c r="C343" s="43" t="str">
        <f>VLOOKUP(B343,CENY!$B$11:$G$1054,2,FALSE)</f>
        <v>Quadro You(M) 300/P2O 20kg; EB21; ľavý</v>
      </c>
      <c r="D343" s="353">
        <f>VLOOKUP(B343,CENY!$B$11:$G$1054,3,FALSE)</f>
        <v>20</v>
      </c>
      <c r="E343" s="56" t="str">
        <f>IF(VLOOKUP(B343,CENY!$B$11:$G$1054,4,FALSE)=0,"",VLOOKUP(B343,CENY!$B$11:$G$1054,4,FALSE))</f>
        <v/>
      </c>
      <c r="F343" s="40" t="str">
        <f t="shared" si="70"/>
        <v/>
      </c>
      <c r="G343" s="52">
        <f>VLOOKUP(B343,CENY!$B$11:$M$1054,12,FALSE)</f>
        <v>12.187939999999999</v>
      </c>
      <c r="H343" s="54" t="str">
        <f t="shared" si="66"/>
        <v xml:space="preserve"> EUR</v>
      </c>
      <c r="I343" s="41" t="str">
        <f t="shared" si="67"/>
        <v/>
      </c>
      <c r="J343" s="122"/>
      <c r="K343" s="42" t="str">
        <f>VLOOKUP(B343,CENY!$B$11:$M$1054,8,FALSE)</f>
        <v xml:space="preserve"> </v>
      </c>
      <c r="L343" s="42" t="str">
        <f>VLOOKUP(B343,CENY!$B$11:$M$1054,9,FALSE)</f>
        <v>397836</v>
      </c>
      <c r="M343" s="32"/>
      <c r="N343" s="35">
        <f t="shared" si="71"/>
        <v>0</v>
      </c>
      <c r="O343" s="36">
        <v>0</v>
      </c>
      <c r="P343" s="32"/>
      <c r="Q343" s="325">
        <f>'AVT101'!BI108</f>
        <v>0</v>
      </c>
      <c r="R343" s="32"/>
      <c r="S343" s="325">
        <f>'AVT139'!BI108</f>
        <v>0</v>
      </c>
      <c r="T343" s="32"/>
      <c r="U343" s="325">
        <f>'AVT187'!BI108</f>
        <v>0</v>
      </c>
      <c r="V343" s="32"/>
      <c r="W343" s="32"/>
      <c r="X343" s="32"/>
      <c r="Y343" s="32"/>
      <c r="Z343" s="32"/>
      <c r="AA343" s="325">
        <f>'AVT101(vn-A)'!BI108</f>
        <v>0</v>
      </c>
      <c r="AB343" s="32"/>
      <c r="AC343" s="325">
        <f>'AVT139(vn-A)'!BI108</f>
        <v>0</v>
      </c>
      <c r="AD343" s="32"/>
      <c r="AE343" s="325">
        <f>'AVT187(vn-A)'!BI108</f>
        <v>0</v>
      </c>
      <c r="AF343" s="32"/>
      <c r="AG343" s="32"/>
      <c r="AH343" s="32"/>
      <c r="AI343" s="325">
        <f>'AVT187(vn-S)'!BI108</f>
        <v>0</v>
      </c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165"/>
      <c r="BP343" s="165"/>
      <c r="BQ343" s="165"/>
      <c r="BR343" s="165"/>
      <c r="BS343" s="165"/>
      <c r="BT343" s="165"/>
      <c r="BU343" s="165"/>
      <c r="BV343" s="55"/>
      <c r="BW343" s="160"/>
      <c r="BX343" s="32"/>
      <c r="BY343" s="24"/>
      <c r="BZ343" s="24"/>
      <c r="CA343" s="24"/>
      <c r="CB343" s="24"/>
      <c r="CC343" s="24"/>
      <c r="CD343" s="24"/>
      <c r="CE343" s="24"/>
    </row>
    <row r="344" spans="1:83" ht="15" hidden="1" customHeight="1">
      <c r="A344" s="4"/>
      <c r="B344" s="318">
        <f>CENY!B720</f>
        <v>9256902</v>
      </c>
      <c r="C344" s="43" t="str">
        <f>VLOOKUP(B344,CENY!$B$11:$G$1054,2,FALSE)</f>
        <v>Quadro You(M) 300/P2O 20kg; EB21; pravý</v>
      </c>
      <c r="D344" s="353">
        <f>VLOOKUP(B344,CENY!$B$11:$G$1054,3,FALSE)</f>
        <v>20</v>
      </c>
      <c r="E344" s="56" t="str">
        <f>IF(VLOOKUP(B344,CENY!$B$11:$G$1054,4,FALSE)=0,"",VLOOKUP(B344,CENY!$B$11:$G$1054,4,FALSE))</f>
        <v/>
      </c>
      <c r="F344" s="40" t="str">
        <f t="shared" si="70"/>
        <v/>
      </c>
      <c r="G344" s="52">
        <f>VLOOKUP(B344,CENY!$B$11:$M$1054,12,FALSE)</f>
        <v>12.187939999999999</v>
      </c>
      <c r="H344" s="54" t="str">
        <f t="shared" si="66"/>
        <v xml:space="preserve"> EUR</v>
      </c>
      <c r="I344" s="41" t="str">
        <f t="shared" si="67"/>
        <v/>
      </c>
      <c r="J344" s="122"/>
      <c r="K344" s="42" t="str">
        <f>VLOOKUP(B344,CENY!$B$11:$M$1054,8,FALSE)</f>
        <v xml:space="preserve"> </v>
      </c>
      <c r="L344" s="42" t="str">
        <f>VLOOKUP(B344,CENY!$B$11:$M$1054,9,FALSE)</f>
        <v>397837</v>
      </c>
      <c r="M344" s="32"/>
      <c r="N344" s="35">
        <f t="shared" si="71"/>
        <v>0</v>
      </c>
      <c r="O344" s="36">
        <v>0</v>
      </c>
      <c r="P344" s="32"/>
      <c r="Q344" s="325">
        <f>'AVT101'!BI109</f>
        <v>0</v>
      </c>
      <c r="R344" s="32"/>
      <c r="S344" s="325">
        <f>'AVT139'!BI109</f>
        <v>0</v>
      </c>
      <c r="T344" s="32"/>
      <c r="U344" s="325">
        <f>'AVT187'!BI109</f>
        <v>0</v>
      </c>
      <c r="V344" s="32"/>
      <c r="W344" s="32"/>
      <c r="X344" s="32"/>
      <c r="Y344" s="32"/>
      <c r="Z344" s="32"/>
      <c r="AA344" s="325">
        <f>'AVT101(vn-A)'!BI109</f>
        <v>0</v>
      </c>
      <c r="AB344" s="32"/>
      <c r="AC344" s="325">
        <f>'AVT139(vn-A)'!BI109</f>
        <v>0</v>
      </c>
      <c r="AD344" s="32"/>
      <c r="AE344" s="325">
        <f>'AVT187(vn-A)'!BI109</f>
        <v>0</v>
      </c>
      <c r="AF344" s="32"/>
      <c r="AG344" s="32"/>
      <c r="AH344" s="32"/>
      <c r="AI344" s="325">
        <f>'AVT187(vn-S)'!BI109</f>
        <v>0</v>
      </c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165"/>
      <c r="BP344" s="165"/>
      <c r="BQ344" s="165"/>
      <c r="BR344" s="165"/>
      <c r="BS344" s="165"/>
      <c r="BT344" s="165"/>
      <c r="BU344" s="165"/>
      <c r="BV344" s="55"/>
      <c r="BW344" s="160"/>
      <c r="BX344" s="32"/>
      <c r="BY344" s="24"/>
      <c r="BZ344" s="24"/>
      <c r="CA344" s="24"/>
      <c r="CB344" s="24"/>
      <c r="CC344" s="24"/>
      <c r="CD344" s="24"/>
      <c r="CE344" s="24"/>
    </row>
    <row r="345" spans="1:83" ht="15" hidden="1" customHeight="1">
      <c r="A345" s="4"/>
      <c r="B345" s="318">
        <f>CENY!B721</f>
        <v>9256905</v>
      </c>
      <c r="C345" s="43" t="str">
        <f>VLOOKUP(B345,CENY!$B$11:$G$1054,2,FALSE)</f>
        <v>Quadro You(M) 350/P2O 25kg; EB21; ľavý</v>
      </c>
      <c r="D345" s="353">
        <f>VLOOKUP(B345,CENY!$B$11:$G$1054,3,FALSE)</f>
        <v>20</v>
      </c>
      <c r="E345" s="56" t="str">
        <f>IF(VLOOKUP(B345,CENY!$B$11:$G$1054,4,FALSE)=0,"",VLOOKUP(B345,CENY!$B$11:$G$1054,4,FALSE))</f>
        <v/>
      </c>
      <c r="F345" s="40" t="str">
        <f t="shared" si="70"/>
        <v/>
      </c>
      <c r="G345" s="52">
        <f>VLOOKUP(B345,CENY!$B$11:$M$1054,12,FALSE)</f>
        <v>12.42154</v>
      </c>
      <c r="H345" s="54" t="str">
        <f t="shared" si="66"/>
        <v xml:space="preserve"> EUR</v>
      </c>
      <c r="I345" s="41" t="str">
        <f t="shared" si="67"/>
        <v/>
      </c>
      <c r="J345" s="122"/>
      <c r="K345" s="42" t="str">
        <f>VLOOKUP(B345,CENY!$B$11:$M$1054,8,FALSE)</f>
        <v xml:space="preserve"> </v>
      </c>
      <c r="L345" s="42" t="str">
        <f>VLOOKUP(B345,CENY!$B$11:$M$1054,9,FALSE)</f>
        <v>397838</v>
      </c>
      <c r="M345" s="32"/>
      <c r="N345" s="35">
        <f t="shared" si="71"/>
        <v>0</v>
      </c>
      <c r="O345" s="36">
        <v>0</v>
      </c>
      <c r="P345" s="32"/>
      <c r="Q345" s="325">
        <f>'AVT101'!BI110</f>
        <v>0</v>
      </c>
      <c r="R345" s="32"/>
      <c r="S345" s="325">
        <f>'AVT139'!BI110</f>
        <v>0</v>
      </c>
      <c r="T345" s="32"/>
      <c r="U345" s="325">
        <f>'AVT187'!BI110</f>
        <v>0</v>
      </c>
      <c r="V345" s="32"/>
      <c r="W345" s="325">
        <f>'AVT251'!BI85</f>
        <v>0</v>
      </c>
      <c r="X345" s="32"/>
      <c r="Y345" s="325">
        <f>AVT187In!BI84</f>
        <v>0</v>
      </c>
      <c r="Z345" s="32"/>
      <c r="AA345" s="325">
        <f>'AVT101(vn-A)'!BI110</f>
        <v>0</v>
      </c>
      <c r="AB345" s="32"/>
      <c r="AC345" s="325">
        <f>'AVT139(vn-A)'!BI110</f>
        <v>0</v>
      </c>
      <c r="AD345" s="32"/>
      <c r="AE345" s="325">
        <f>'AVT187(vn-A)'!BI110</f>
        <v>0</v>
      </c>
      <c r="AF345" s="32"/>
      <c r="AG345" s="325">
        <f>'AVT187In(vn-A)'!BI84</f>
        <v>0</v>
      </c>
      <c r="AH345" s="32"/>
      <c r="AI345" s="325">
        <f>'AVT187(vn-S)'!BI110</f>
        <v>0</v>
      </c>
      <c r="AJ345" s="32"/>
      <c r="AK345" s="325">
        <f>'AVT187In(vn-S)'!BI84</f>
        <v>0</v>
      </c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165"/>
      <c r="BP345" s="165"/>
      <c r="BQ345" s="165"/>
      <c r="BR345" s="165"/>
      <c r="BS345" s="165"/>
      <c r="BT345" s="165"/>
      <c r="BU345" s="165"/>
      <c r="BV345" s="55"/>
      <c r="BW345" s="160"/>
      <c r="BX345" s="32"/>
      <c r="BY345" s="24"/>
      <c r="BZ345" s="24"/>
      <c r="CA345" s="24"/>
      <c r="CB345" s="24"/>
      <c r="CC345" s="24"/>
      <c r="CD345" s="24"/>
      <c r="CE345" s="24"/>
    </row>
    <row r="346" spans="1:83" ht="15" hidden="1" customHeight="1">
      <c r="A346" s="4"/>
      <c r="B346" s="318">
        <f>CENY!B722</f>
        <v>9256906</v>
      </c>
      <c r="C346" s="43" t="str">
        <f>VLOOKUP(B346,CENY!$B$11:$G$1054,2,FALSE)</f>
        <v>Quadro You(M) 350/P2O 25kg; EB21; pravý</v>
      </c>
      <c r="D346" s="353">
        <f>VLOOKUP(B346,CENY!$B$11:$G$1054,3,FALSE)</f>
        <v>20</v>
      </c>
      <c r="E346" s="56" t="str">
        <f>IF(VLOOKUP(B346,CENY!$B$11:$G$1054,4,FALSE)=0,"",VLOOKUP(B346,CENY!$B$11:$G$1054,4,FALSE))</f>
        <v/>
      </c>
      <c r="F346" s="40" t="str">
        <f t="shared" si="70"/>
        <v/>
      </c>
      <c r="G346" s="52">
        <f>VLOOKUP(B346,CENY!$B$11:$M$1054,12,FALSE)</f>
        <v>12.42154</v>
      </c>
      <c r="H346" s="54" t="str">
        <f t="shared" si="66"/>
        <v xml:space="preserve"> EUR</v>
      </c>
      <c r="I346" s="41" t="str">
        <f t="shared" si="67"/>
        <v/>
      </c>
      <c r="J346" s="122"/>
      <c r="K346" s="42" t="str">
        <f>VLOOKUP(B346,CENY!$B$11:$M$1054,8,FALSE)</f>
        <v xml:space="preserve"> </v>
      </c>
      <c r="L346" s="42" t="str">
        <f>VLOOKUP(B346,CENY!$B$11:$M$1054,9,FALSE)</f>
        <v>397839</v>
      </c>
      <c r="M346" s="32"/>
      <c r="N346" s="35">
        <f t="shared" si="71"/>
        <v>0</v>
      </c>
      <c r="O346" s="36">
        <v>0</v>
      </c>
      <c r="P346" s="32"/>
      <c r="Q346" s="325">
        <f>'AVT101'!BI111</f>
        <v>0</v>
      </c>
      <c r="R346" s="32"/>
      <c r="S346" s="325">
        <f>'AVT139'!BI111</f>
        <v>0</v>
      </c>
      <c r="T346" s="32"/>
      <c r="U346" s="325">
        <f>'AVT187'!BI111</f>
        <v>0</v>
      </c>
      <c r="V346" s="32"/>
      <c r="W346" s="325">
        <f>'AVT251'!BI86</f>
        <v>0</v>
      </c>
      <c r="X346" s="32"/>
      <c r="Y346" s="325">
        <f>AVT187In!BI85</f>
        <v>0</v>
      </c>
      <c r="Z346" s="32"/>
      <c r="AA346" s="325">
        <f>'AVT101(vn-A)'!BI111</f>
        <v>0</v>
      </c>
      <c r="AB346" s="32"/>
      <c r="AC346" s="325">
        <f>'AVT139(vn-A)'!BI111</f>
        <v>0</v>
      </c>
      <c r="AD346" s="32"/>
      <c r="AE346" s="325">
        <f>'AVT187(vn-A)'!BI111</f>
        <v>0</v>
      </c>
      <c r="AF346" s="32"/>
      <c r="AG346" s="325">
        <f>'AVT187In(vn-A)'!BI85</f>
        <v>0</v>
      </c>
      <c r="AH346" s="32"/>
      <c r="AI346" s="325">
        <f>'AVT187(vn-S)'!BI111</f>
        <v>0</v>
      </c>
      <c r="AJ346" s="32"/>
      <c r="AK346" s="325">
        <f>'AVT187In(vn-S)'!BI85</f>
        <v>0</v>
      </c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165"/>
      <c r="BP346" s="165"/>
      <c r="BQ346" s="165"/>
      <c r="BR346" s="165"/>
      <c r="BS346" s="165"/>
      <c r="BT346" s="165"/>
      <c r="BU346" s="165"/>
      <c r="BV346" s="55"/>
      <c r="BW346" s="160"/>
      <c r="BX346" s="32"/>
      <c r="BY346" s="24"/>
      <c r="BZ346" s="24"/>
      <c r="CA346" s="24"/>
      <c r="CB346" s="24"/>
      <c r="CC346" s="24"/>
      <c r="CD346" s="24"/>
      <c r="CE346" s="24"/>
    </row>
    <row r="347" spans="1:83" ht="15" hidden="1" customHeight="1">
      <c r="A347" s="4"/>
      <c r="B347" s="318">
        <f>CENY!B723</f>
        <v>9256909</v>
      </c>
      <c r="C347" s="43" t="str">
        <f>VLOOKUP(B347,CENY!$B$11:$G$1054,2,FALSE)</f>
        <v>Quadro You(M) 400/P2O 30kg; EB21; ľavý</v>
      </c>
      <c r="D347" s="353">
        <f>VLOOKUP(B347,CENY!$B$11:$G$1054,3,FALSE)</f>
        <v>20</v>
      </c>
      <c r="E347" s="56" t="str">
        <f>IF(VLOOKUP(B347,CENY!$B$11:$G$1054,4,FALSE)=0,"",VLOOKUP(B347,CENY!$B$11:$G$1054,4,FALSE))</f>
        <v/>
      </c>
      <c r="F347" s="40" t="str">
        <f t="shared" si="70"/>
        <v/>
      </c>
      <c r="G347" s="52">
        <f>VLOOKUP(B347,CENY!$B$11:$M$1054,12,FALSE)</f>
        <v>12.654769999999999</v>
      </c>
      <c r="H347" s="54" t="str">
        <f t="shared" si="66"/>
        <v xml:space="preserve"> EUR</v>
      </c>
      <c r="I347" s="41" t="str">
        <f t="shared" si="67"/>
        <v/>
      </c>
      <c r="J347" s="122"/>
      <c r="K347" s="42" t="str">
        <f>VLOOKUP(B347,CENY!$B$11:$M$1054,8,FALSE)</f>
        <v xml:space="preserve"> </v>
      </c>
      <c r="L347" s="42" t="str">
        <f>VLOOKUP(B347,CENY!$B$11:$M$1054,9,FALSE)</f>
        <v>397840</v>
      </c>
      <c r="M347" s="32"/>
      <c r="N347" s="35">
        <f t="shared" si="71"/>
        <v>0</v>
      </c>
      <c r="O347" s="36">
        <v>0</v>
      </c>
      <c r="P347" s="32"/>
      <c r="Q347" s="325">
        <f>'AVT101'!BI112</f>
        <v>0</v>
      </c>
      <c r="R347" s="32"/>
      <c r="S347" s="325">
        <f>'AVT139'!BI112</f>
        <v>0</v>
      </c>
      <c r="T347" s="32"/>
      <c r="U347" s="325">
        <f>'AVT187'!BI112</f>
        <v>0</v>
      </c>
      <c r="V347" s="32"/>
      <c r="W347" s="325">
        <f>'AVT251'!BI87</f>
        <v>0</v>
      </c>
      <c r="X347" s="32"/>
      <c r="Y347" s="325">
        <f>AVT187In!BI86</f>
        <v>0</v>
      </c>
      <c r="Z347" s="32"/>
      <c r="AA347" s="325">
        <f>'AVT101(vn-A)'!BI112</f>
        <v>0</v>
      </c>
      <c r="AB347" s="32"/>
      <c r="AC347" s="325">
        <f>'AVT139(vn-A)'!BI112</f>
        <v>0</v>
      </c>
      <c r="AD347" s="32"/>
      <c r="AE347" s="325">
        <f>'AVT187(vn-A)'!BI112</f>
        <v>0</v>
      </c>
      <c r="AF347" s="32"/>
      <c r="AG347" s="325">
        <f>'AVT187In(vn-A)'!BI86</f>
        <v>0</v>
      </c>
      <c r="AH347" s="32"/>
      <c r="AI347" s="325">
        <f>'AVT187(vn-S)'!BI112</f>
        <v>0</v>
      </c>
      <c r="AJ347" s="32"/>
      <c r="AK347" s="325">
        <f>'AVT187In(vn-S)'!BI86</f>
        <v>0</v>
      </c>
      <c r="AL347" s="32"/>
      <c r="AM347" s="325">
        <f>'AVT77'!BI57</f>
        <v>0</v>
      </c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165"/>
      <c r="BP347" s="165"/>
      <c r="BQ347" s="165"/>
      <c r="BR347" s="165"/>
      <c r="BS347" s="165"/>
      <c r="BT347" s="165"/>
      <c r="BU347" s="165"/>
      <c r="BV347" s="55"/>
      <c r="BW347" s="160"/>
      <c r="BX347" s="32"/>
      <c r="BY347" s="24"/>
      <c r="BZ347" s="24"/>
      <c r="CA347" s="24"/>
      <c r="CB347" s="24"/>
      <c r="CC347" s="24"/>
      <c r="CD347" s="24"/>
      <c r="CE347" s="24"/>
    </row>
    <row r="348" spans="1:83" ht="15" hidden="1" customHeight="1">
      <c r="A348" s="4"/>
      <c r="B348" s="318">
        <f>CENY!B724</f>
        <v>9256910</v>
      </c>
      <c r="C348" s="43" t="str">
        <f>VLOOKUP(B348,CENY!$B$11:$G$1054,2,FALSE)</f>
        <v>Quadro You(M) 400/P2O 30kg; EB21; pravý</v>
      </c>
      <c r="D348" s="353">
        <f>VLOOKUP(B348,CENY!$B$11:$G$1054,3,FALSE)</f>
        <v>20</v>
      </c>
      <c r="E348" s="56" t="str">
        <f>IF(VLOOKUP(B348,CENY!$B$11:$G$1054,4,FALSE)=0,"",VLOOKUP(B348,CENY!$B$11:$G$1054,4,FALSE))</f>
        <v/>
      </c>
      <c r="F348" s="40" t="str">
        <f t="shared" si="70"/>
        <v/>
      </c>
      <c r="G348" s="52">
        <f>VLOOKUP(B348,CENY!$B$11:$M$1054,12,FALSE)</f>
        <v>12.654769999999999</v>
      </c>
      <c r="H348" s="54" t="str">
        <f t="shared" si="66"/>
        <v xml:space="preserve"> EUR</v>
      </c>
      <c r="I348" s="41" t="str">
        <f t="shared" si="67"/>
        <v/>
      </c>
      <c r="J348" s="122"/>
      <c r="K348" s="42" t="str">
        <f>VLOOKUP(B348,CENY!$B$11:$M$1054,8,FALSE)</f>
        <v xml:space="preserve"> </v>
      </c>
      <c r="L348" s="42" t="str">
        <f>VLOOKUP(B348,CENY!$B$11:$M$1054,9,FALSE)</f>
        <v>397841</v>
      </c>
      <c r="M348" s="32"/>
      <c r="N348" s="35">
        <f t="shared" si="71"/>
        <v>0</v>
      </c>
      <c r="O348" s="36">
        <v>0</v>
      </c>
      <c r="P348" s="32"/>
      <c r="Q348" s="325">
        <f>'AVT101'!BI113</f>
        <v>0</v>
      </c>
      <c r="R348" s="32"/>
      <c r="S348" s="325">
        <f>'AVT139'!BI113</f>
        <v>0</v>
      </c>
      <c r="T348" s="32"/>
      <c r="U348" s="325">
        <f>'AVT187'!BI113</f>
        <v>0</v>
      </c>
      <c r="V348" s="32"/>
      <c r="W348" s="325">
        <f>'AVT251'!BI88</f>
        <v>0</v>
      </c>
      <c r="X348" s="32"/>
      <c r="Y348" s="325">
        <f>AVT187In!BI87</f>
        <v>0</v>
      </c>
      <c r="Z348" s="32"/>
      <c r="AA348" s="325">
        <f>'AVT101(vn-A)'!BI113</f>
        <v>0</v>
      </c>
      <c r="AB348" s="32"/>
      <c r="AC348" s="325">
        <f>'AVT139(vn-A)'!BI113</f>
        <v>0</v>
      </c>
      <c r="AD348" s="32"/>
      <c r="AE348" s="325">
        <f>'AVT187(vn-A)'!BI113</f>
        <v>0</v>
      </c>
      <c r="AF348" s="32"/>
      <c r="AG348" s="325">
        <f>'AVT187In(vn-A)'!BI87</f>
        <v>0</v>
      </c>
      <c r="AH348" s="32"/>
      <c r="AI348" s="325">
        <f>'AVT187(vn-S)'!BI113</f>
        <v>0</v>
      </c>
      <c r="AJ348" s="32"/>
      <c r="AK348" s="325">
        <f>'AVT187In(vn-S)'!BI87</f>
        <v>0</v>
      </c>
      <c r="AL348" s="32"/>
      <c r="AM348" s="325">
        <f>'AVT77'!BI58</f>
        <v>0</v>
      </c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165"/>
      <c r="BP348" s="165"/>
      <c r="BQ348" s="165"/>
      <c r="BR348" s="165"/>
      <c r="BS348" s="165"/>
      <c r="BT348" s="165"/>
      <c r="BU348" s="165"/>
      <c r="BV348" s="55"/>
      <c r="BW348" s="160"/>
      <c r="BX348" s="32"/>
      <c r="BY348" s="24"/>
      <c r="BZ348" s="24"/>
      <c r="CA348" s="24"/>
      <c r="CB348" s="24"/>
      <c r="CC348" s="24"/>
      <c r="CD348" s="24"/>
      <c r="CE348" s="24"/>
    </row>
    <row r="349" spans="1:83" ht="15" hidden="1" customHeight="1">
      <c r="A349" s="4"/>
      <c r="B349" s="318">
        <f>CENY!B725</f>
        <v>9256913</v>
      </c>
      <c r="C349" s="43" t="str">
        <f>VLOOKUP(B349,CENY!$B$11:$G$1054,2,FALSE)</f>
        <v>Quadro You(M) 450/P2O 30kg; EB21; ľavý</v>
      </c>
      <c r="D349" s="353">
        <f>VLOOKUP(B349,CENY!$B$11:$G$1054,3,FALSE)</f>
        <v>20</v>
      </c>
      <c r="E349" s="56" t="str">
        <f>IF(VLOOKUP(B349,CENY!$B$11:$G$1054,4,FALSE)=0,"",VLOOKUP(B349,CENY!$B$11:$G$1054,4,FALSE))</f>
        <v/>
      </c>
      <c r="F349" s="40" t="str">
        <f t="shared" si="70"/>
        <v/>
      </c>
      <c r="G349" s="52">
        <f>VLOOKUP(B349,CENY!$B$11:$M$1054,12,FALSE)</f>
        <v>12.888019999999999</v>
      </c>
      <c r="H349" s="54" t="str">
        <f t="shared" si="66"/>
        <v xml:space="preserve"> EUR</v>
      </c>
      <c r="I349" s="41" t="str">
        <f t="shared" si="67"/>
        <v/>
      </c>
      <c r="J349" s="122"/>
      <c r="K349" s="42" t="str">
        <f>VLOOKUP(B349,CENY!$B$11:$M$1054,8,FALSE)</f>
        <v xml:space="preserve"> </v>
      </c>
      <c r="L349" s="42" t="str">
        <f>VLOOKUP(B349,CENY!$B$11:$M$1054,9,FALSE)</f>
        <v>397842</v>
      </c>
      <c r="M349" s="32"/>
      <c r="N349" s="35">
        <f t="shared" si="71"/>
        <v>0</v>
      </c>
      <c r="O349" s="36">
        <v>0</v>
      </c>
      <c r="P349" s="32"/>
      <c r="Q349" s="325">
        <f>'AVT101'!BI114</f>
        <v>0</v>
      </c>
      <c r="R349" s="32"/>
      <c r="S349" s="325">
        <f>'AVT139'!BI114</f>
        <v>0</v>
      </c>
      <c r="T349" s="32"/>
      <c r="U349" s="325">
        <f>'AVT187'!BI114</f>
        <v>0</v>
      </c>
      <c r="V349" s="32"/>
      <c r="W349" s="325">
        <f>'AVT251'!BI89</f>
        <v>0</v>
      </c>
      <c r="X349" s="32"/>
      <c r="Y349" s="325">
        <f>AVT187In!BI88</f>
        <v>0</v>
      </c>
      <c r="Z349" s="32"/>
      <c r="AA349" s="325">
        <f>'AVT101(vn-A)'!BI114</f>
        <v>0</v>
      </c>
      <c r="AB349" s="32"/>
      <c r="AC349" s="325">
        <f>'AVT139(vn-A)'!BI114</f>
        <v>0</v>
      </c>
      <c r="AD349" s="32"/>
      <c r="AE349" s="325">
        <f>'AVT187(vn-A)'!BI114</f>
        <v>0</v>
      </c>
      <c r="AF349" s="32"/>
      <c r="AG349" s="325">
        <f>'AVT187In(vn-A)'!BI88</f>
        <v>0</v>
      </c>
      <c r="AH349" s="32"/>
      <c r="AI349" s="325">
        <f>'AVT187(vn-S)'!BI114</f>
        <v>0</v>
      </c>
      <c r="AJ349" s="32"/>
      <c r="AK349" s="325">
        <f>'AVT187In(vn-S)'!BI88</f>
        <v>0</v>
      </c>
      <c r="AL349" s="32"/>
      <c r="AM349" s="325">
        <f>'AVT77'!BI59</f>
        <v>0</v>
      </c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165"/>
      <c r="BP349" s="165"/>
      <c r="BQ349" s="165"/>
      <c r="BR349" s="165"/>
      <c r="BS349" s="165"/>
      <c r="BT349" s="165"/>
      <c r="BU349" s="165"/>
      <c r="BV349" s="55"/>
      <c r="BW349" s="160"/>
      <c r="BX349" s="32"/>
      <c r="BY349" s="24"/>
      <c r="BZ349" s="24"/>
      <c r="CA349" s="24"/>
      <c r="CB349" s="24"/>
      <c r="CC349" s="24"/>
      <c r="CD349" s="24"/>
      <c r="CE349" s="24"/>
    </row>
    <row r="350" spans="1:83" ht="15" hidden="1" customHeight="1">
      <c r="A350" s="4"/>
      <c r="B350" s="318">
        <f>CENY!B726</f>
        <v>9256914</v>
      </c>
      <c r="C350" s="43" t="str">
        <f>VLOOKUP(B350,CENY!$B$11:$G$1054,2,FALSE)</f>
        <v>Quadro You(M) 450/P2O 30kg; EB21; pravý</v>
      </c>
      <c r="D350" s="353">
        <f>VLOOKUP(B350,CENY!$B$11:$G$1054,3,FALSE)</f>
        <v>20</v>
      </c>
      <c r="E350" s="56" t="str">
        <f>IF(VLOOKUP(B350,CENY!$B$11:$G$1054,4,FALSE)=0,"",VLOOKUP(B350,CENY!$B$11:$G$1054,4,FALSE))</f>
        <v/>
      </c>
      <c r="F350" s="40" t="str">
        <f t="shared" si="70"/>
        <v/>
      </c>
      <c r="G350" s="52">
        <f>VLOOKUP(B350,CENY!$B$11:$M$1054,12,FALSE)</f>
        <v>12.888019999999999</v>
      </c>
      <c r="H350" s="54" t="str">
        <f t="shared" si="66"/>
        <v xml:space="preserve"> EUR</v>
      </c>
      <c r="I350" s="41" t="str">
        <f t="shared" si="67"/>
        <v/>
      </c>
      <c r="J350" s="122"/>
      <c r="K350" s="42" t="str">
        <f>VLOOKUP(B350,CENY!$B$11:$M$1054,8,FALSE)</f>
        <v xml:space="preserve"> </v>
      </c>
      <c r="L350" s="42" t="str">
        <f>VLOOKUP(B350,CENY!$B$11:$M$1054,9,FALSE)</f>
        <v>397843</v>
      </c>
      <c r="M350" s="32"/>
      <c r="N350" s="35">
        <f t="shared" si="71"/>
        <v>0</v>
      </c>
      <c r="O350" s="36">
        <v>0</v>
      </c>
      <c r="P350" s="32"/>
      <c r="Q350" s="325">
        <f>'AVT101'!BI115</f>
        <v>0</v>
      </c>
      <c r="R350" s="32"/>
      <c r="S350" s="325">
        <f>'AVT139'!BI115</f>
        <v>0</v>
      </c>
      <c r="T350" s="32"/>
      <c r="U350" s="325">
        <f>'AVT187'!BI115</f>
        <v>0</v>
      </c>
      <c r="V350" s="32"/>
      <c r="W350" s="325">
        <f>'AVT251'!BI90</f>
        <v>0</v>
      </c>
      <c r="X350" s="32"/>
      <c r="Y350" s="325">
        <f>AVT187In!BI89</f>
        <v>0</v>
      </c>
      <c r="Z350" s="32"/>
      <c r="AA350" s="325">
        <f>'AVT101(vn-A)'!BI115</f>
        <v>0</v>
      </c>
      <c r="AB350" s="32"/>
      <c r="AC350" s="325">
        <f>'AVT139(vn-A)'!BI115</f>
        <v>0</v>
      </c>
      <c r="AD350" s="32"/>
      <c r="AE350" s="325">
        <f>'AVT187(vn-A)'!BI115</f>
        <v>0</v>
      </c>
      <c r="AF350" s="32"/>
      <c r="AG350" s="325">
        <f>'AVT187In(vn-A)'!BI89</f>
        <v>0</v>
      </c>
      <c r="AH350" s="32"/>
      <c r="AI350" s="325">
        <f>'AVT187(vn-S)'!BI115</f>
        <v>0</v>
      </c>
      <c r="AJ350" s="32"/>
      <c r="AK350" s="325">
        <f>'AVT187In(vn-S)'!BI89</f>
        <v>0</v>
      </c>
      <c r="AL350" s="32"/>
      <c r="AM350" s="325">
        <f>'AVT77'!BI60</f>
        <v>0</v>
      </c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165"/>
      <c r="BP350" s="165"/>
      <c r="BQ350" s="165"/>
      <c r="BR350" s="165"/>
      <c r="BS350" s="165"/>
      <c r="BT350" s="165"/>
      <c r="BU350" s="165"/>
      <c r="BV350" s="55"/>
      <c r="BW350" s="160"/>
      <c r="BX350" s="32"/>
      <c r="BY350" s="24"/>
      <c r="BZ350" s="24"/>
      <c r="CA350" s="24"/>
      <c r="CB350" s="24"/>
      <c r="CC350" s="24"/>
      <c r="CD350" s="24"/>
      <c r="CE350" s="24"/>
    </row>
    <row r="351" spans="1:83" ht="15" hidden="1" customHeight="1">
      <c r="A351" s="4"/>
      <c r="B351" s="318">
        <f>CENY!B727</f>
        <v>9256917</v>
      </c>
      <c r="C351" s="43" t="str">
        <f>VLOOKUP(B351,CENY!$B$11:$G$1054,2,FALSE)</f>
        <v>Quadro You(M) 500/P2O 30kg; EB21; ľavý</v>
      </c>
      <c r="D351" s="353">
        <f>VLOOKUP(B351,CENY!$B$11:$G$1054,3,FALSE)</f>
        <v>20</v>
      </c>
      <c r="E351" s="56" t="str">
        <f>IF(VLOOKUP(B351,CENY!$B$11:$G$1054,4,FALSE)=0,"",VLOOKUP(B351,CENY!$B$11:$G$1054,4,FALSE))</f>
        <v/>
      </c>
      <c r="F351" s="40" t="str">
        <f t="shared" si="70"/>
        <v/>
      </c>
      <c r="G351" s="52">
        <f>VLOOKUP(B351,CENY!$B$11:$M$1054,12,FALSE)</f>
        <v>12.496779999999999</v>
      </c>
      <c r="H351" s="54" t="str">
        <f t="shared" si="66"/>
        <v xml:space="preserve"> EUR</v>
      </c>
      <c r="I351" s="41" t="str">
        <f t="shared" si="67"/>
        <v/>
      </c>
      <c r="J351" s="122"/>
      <c r="K351" s="42" t="str">
        <f>VLOOKUP(B351,CENY!$B$11:$M$1054,8,FALSE)</f>
        <v xml:space="preserve"> </v>
      </c>
      <c r="L351" s="42" t="str">
        <f>VLOOKUP(B351,CENY!$B$11:$M$1054,9,FALSE)</f>
        <v>397844</v>
      </c>
      <c r="M351" s="32"/>
      <c r="N351" s="35">
        <f t="shared" si="71"/>
        <v>0</v>
      </c>
      <c r="O351" s="36">
        <v>0</v>
      </c>
      <c r="P351" s="32"/>
      <c r="Q351" s="325">
        <f>'AVT101'!BI116</f>
        <v>0</v>
      </c>
      <c r="R351" s="32"/>
      <c r="S351" s="325">
        <f>'AVT139'!BI116</f>
        <v>0</v>
      </c>
      <c r="T351" s="32"/>
      <c r="U351" s="325">
        <f>'AVT187'!BI116</f>
        <v>0</v>
      </c>
      <c r="V351" s="32"/>
      <c r="W351" s="325">
        <f>'AVT251'!BI91</f>
        <v>0</v>
      </c>
      <c r="X351" s="32"/>
      <c r="Y351" s="325">
        <f>AVT187In!BI90</f>
        <v>0</v>
      </c>
      <c r="Z351" s="32"/>
      <c r="AA351" s="325">
        <f>'AVT101(vn-A)'!BI116</f>
        <v>0</v>
      </c>
      <c r="AB351" s="32"/>
      <c r="AC351" s="325">
        <f>'AVT139(vn-A)'!BI116</f>
        <v>0</v>
      </c>
      <c r="AD351" s="32"/>
      <c r="AE351" s="325">
        <f>'AVT187(vn-A)'!BI116</f>
        <v>0</v>
      </c>
      <c r="AF351" s="32"/>
      <c r="AG351" s="325">
        <f>'AVT187In(vn-A)'!BI90</f>
        <v>0</v>
      </c>
      <c r="AH351" s="32"/>
      <c r="AI351" s="325">
        <f>'AVT187(vn-S)'!BI116</f>
        <v>0</v>
      </c>
      <c r="AJ351" s="32"/>
      <c r="AK351" s="325">
        <f>'AVT187In(vn-S)'!BI90</f>
        <v>0</v>
      </c>
      <c r="AL351" s="32"/>
      <c r="AM351" s="325">
        <f>'AVT77'!BI61</f>
        <v>0</v>
      </c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165"/>
      <c r="BP351" s="165"/>
      <c r="BQ351" s="165"/>
      <c r="BR351" s="165"/>
      <c r="BS351" s="165"/>
      <c r="BT351" s="165"/>
      <c r="BU351" s="165"/>
      <c r="BV351" s="55"/>
      <c r="BW351" s="160"/>
      <c r="BX351" s="32"/>
      <c r="BY351" s="24"/>
      <c r="BZ351" s="24"/>
      <c r="CA351" s="24"/>
      <c r="CB351" s="24"/>
      <c r="CC351" s="24"/>
      <c r="CD351" s="24"/>
      <c r="CE351" s="24"/>
    </row>
    <row r="352" spans="1:83" ht="15" hidden="1" customHeight="1">
      <c r="A352" s="4"/>
      <c r="B352" s="318">
        <f>CENY!B728</f>
        <v>9256918</v>
      </c>
      <c r="C352" s="43" t="str">
        <f>VLOOKUP(B352,CENY!$B$11:$G$1054,2,FALSE)</f>
        <v>Quadro You(M) 500/P2O 30kg; EB21; pravý</v>
      </c>
      <c r="D352" s="353">
        <f>VLOOKUP(B352,CENY!$B$11:$G$1054,3,FALSE)</f>
        <v>20</v>
      </c>
      <c r="E352" s="56" t="str">
        <f>IF(VLOOKUP(B352,CENY!$B$11:$G$1054,4,FALSE)=0,"",VLOOKUP(B352,CENY!$B$11:$G$1054,4,FALSE))</f>
        <v/>
      </c>
      <c r="F352" s="40" t="str">
        <f t="shared" si="70"/>
        <v/>
      </c>
      <c r="G352" s="52">
        <f>VLOOKUP(B352,CENY!$B$11:$M$1054,12,FALSE)</f>
        <v>12.496779999999999</v>
      </c>
      <c r="H352" s="54" t="str">
        <f t="shared" si="66"/>
        <v xml:space="preserve"> EUR</v>
      </c>
      <c r="I352" s="41" t="str">
        <f t="shared" si="67"/>
        <v/>
      </c>
      <c r="J352" s="122"/>
      <c r="K352" s="42" t="str">
        <f>VLOOKUP(B352,CENY!$B$11:$M$1054,8,FALSE)</f>
        <v xml:space="preserve"> </v>
      </c>
      <c r="L352" s="42" t="str">
        <f>VLOOKUP(B352,CENY!$B$11:$M$1054,9,FALSE)</f>
        <v>397845</v>
      </c>
      <c r="M352" s="32"/>
      <c r="N352" s="35">
        <f t="shared" si="71"/>
        <v>0</v>
      </c>
      <c r="O352" s="36">
        <v>0</v>
      </c>
      <c r="P352" s="32"/>
      <c r="Q352" s="325">
        <f>'AVT101'!BI117</f>
        <v>0</v>
      </c>
      <c r="R352" s="32"/>
      <c r="S352" s="325">
        <f>'AVT139'!BI117</f>
        <v>0</v>
      </c>
      <c r="T352" s="32"/>
      <c r="U352" s="325">
        <f>'AVT187'!BI117</f>
        <v>0</v>
      </c>
      <c r="V352" s="32"/>
      <c r="W352" s="325">
        <f>'AVT251'!BI92</f>
        <v>0</v>
      </c>
      <c r="X352" s="32"/>
      <c r="Y352" s="325">
        <f>AVT187In!BI91</f>
        <v>0</v>
      </c>
      <c r="Z352" s="32"/>
      <c r="AA352" s="325">
        <f>'AVT101(vn-A)'!BI117</f>
        <v>0</v>
      </c>
      <c r="AB352" s="32"/>
      <c r="AC352" s="325">
        <f>'AVT139(vn-A)'!BI117</f>
        <v>0</v>
      </c>
      <c r="AD352" s="32"/>
      <c r="AE352" s="325">
        <f>'AVT187(vn-A)'!BI117</f>
        <v>0</v>
      </c>
      <c r="AF352" s="32"/>
      <c r="AG352" s="325">
        <f>'AVT187In(vn-A)'!BI91</f>
        <v>0</v>
      </c>
      <c r="AH352" s="32"/>
      <c r="AI352" s="325">
        <f>'AVT187(vn-S)'!BI117</f>
        <v>0</v>
      </c>
      <c r="AJ352" s="32"/>
      <c r="AK352" s="325">
        <f>'AVT187In(vn-S)'!BI91</f>
        <v>0</v>
      </c>
      <c r="AL352" s="32"/>
      <c r="AM352" s="325">
        <f>'AVT77'!BI62</f>
        <v>0</v>
      </c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165"/>
      <c r="BP352" s="165"/>
      <c r="BQ352" s="165"/>
      <c r="BR352" s="165"/>
      <c r="BS352" s="165"/>
      <c r="BT352" s="165"/>
      <c r="BU352" s="165"/>
      <c r="BV352" s="55"/>
      <c r="BW352" s="160"/>
      <c r="BX352" s="32"/>
      <c r="BY352" s="24"/>
      <c r="BZ352" s="24"/>
      <c r="CA352" s="24"/>
      <c r="CB352" s="24"/>
      <c r="CC352" s="24"/>
      <c r="CD352" s="24"/>
      <c r="CE352" s="24"/>
    </row>
    <row r="353" spans="1:83" ht="15" hidden="1" customHeight="1">
      <c r="A353" s="4"/>
      <c r="B353" s="318">
        <f>CENY!B729</f>
        <v>9256921</v>
      </c>
      <c r="C353" s="43" t="str">
        <f>VLOOKUP(B353,CENY!$B$11:$G$1054,2,FALSE)</f>
        <v>Quadro You(M) 550/P2O 30kg; EB21; ľavý</v>
      </c>
      <c r="D353" s="353">
        <f>VLOOKUP(B353,CENY!$B$11:$G$1054,3,FALSE)</f>
        <v>20</v>
      </c>
      <c r="E353" s="56" t="str">
        <f>IF(VLOOKUP(B353,CENY!$B$11:$G$1054,4,FALSE)=0,"",VLOOKUP(B353,CENY!$B$11:$G$1054,4,FALSE))</f>
        <v/>
      </c>
      <c r="F353" s="40" t="str">
        <f t="shared" si="70"/>
        <v/>
      </c>
      <c r="G353" s="52">
        <f>VLOOKUP(B353,CENY!$B$11:$M$1054,12,FALSE)</f>
        <v>12.718019999999999</v>
      </c>
      <c r="H353" s="54" t="str">
        <f t="shared" si="66"/>
        <v xml:space="preserve"> EUR</v>
      </c>
      <c r="I353" s="41" t="str">
        <f t="shared" si="67"/>
        <v/>
      </c>
      <c r="J353" s="122"/>
      <c r="K353" s="42" t="str">
        <f>VLOOKUP(B353,CENY!$B$11:$M$1054,8,FALSE)</f>
        <v xml:space="preserve"> </v>
      </c>
      <c r="L353" s="42" t="str">
        <f>VLOOKUP(B353,CENY!$B$11:$M$1054,9,FALSE)</f>
        <v>397846</v>
      </c>
      <c r="M353" s="32"/>
      <c r="N353" s="35">
        <f t="shared" si="71"/>
        <v>0</v>
      </c>
      <c r="O353" s="36">
        <v>0</v>
      </c>
      <c r="P353" s="32"/>
      <c r="Q353" s="325">
        <f>'AVT101'!BI118</f>
        <v>0</v>
      </c>
      <c r="R353" s="32"/>
      <c r="S353" s="325">
        <f>'AVT139'!BI118</f>
        <v>0</v>
      </c>
      <c r="T353" s="32"/>
      <c r="U353" s="325">
        <f>'AVT187'!BI118</f>
        <v>0</v>
      </c>
      <c r="V353" s="32"/>
      <c r="W353" s="325">
        <f>'AVT251'!BI93</f>
        <v>0</v>
      </c>
      <c r="X353" s="32"/>
      <c r="Y353" s="325">
        <f>AVT187In!BI92</f>
        <v>0</v>
      </c>
      <c r="Z353" s="32"/>
      <c r="AA353" s="325">
        <f>'AVT101(vn-A)'!BI118</f>
        <v>0</v>
      </c>
      <c r="AB353" s="32"/>
      <c r="AC353" s="325">
        <f>'AVT139(vn-A)'!BI118</f>
        <v>0</v>
      </c>
      <c r="AD353" s="32"/>
      <c r="AE353" s="325">
        <f>'AVT187(vn-A)'!BI118</f>
        <v>0</v>
      </c>
      <c r="AF353" s="32"/>
      <c r="AG353" s="325">
        <f>'AVT187In(vn-A)'!BI92</f>
        <v>0</v>
      </c>
      <c r="AH353" s="32"/>
      <c r="AI353" s="325">
        <f>'AVT187(vn-S)'!BI118</f>
        <v>0</v>
      </c>
      <c r="AJ353" s="32"/>
      <c r="AK353" s="325">
        <f>'AVT187In(vn-S)'!BI92</f>
        <v>0</v>
      </c>
      <c r="AL353" s="32"/>
      <c r="AM353" s="325">
        <f>'AVT77'!BI63</f>
        <v>0</v>
      </c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165"/>
      <c r="BP353" s="165"/>
      <c r="BQ353" s="165"/>
      <c r="BR353" s="165"/>
      <c r="BS353" s="165"/>
      <c r="BT353" s="165"/>
      <c r="BU353" s="165"/>
      <c r="BV353" s="55"/>
      <c r="BW353" s="160"/>
      <c r="BX353" s="32"/>
      <c r="BY353" s="24"/>
      <c r="BZ353" s="24"/>
      <c r="CA353" s="24"/>
      <c r="CB353" s="24"/>
      <c r="CC353" s="24"/>
      <c r="CD353" s="24"/>
      <c r="CE353" s="24"/>
    </row>
    <row r="354" spans="1:83" ht="15" hidden="1" customHeight="1">
      <c r="A354" s="4"/>
      <c r="B354" s="318">
        <f>CENY!B730</f>
        <v>9256922</v>
      </c>
      <c r="C354" s="43" t="str">
        <f>VLOOKUP(B354,CENY!$B$11:$G$1054,2,FALSE)</f>
        <v>Quadro You(M) 550/P2O 30kg; EB21; pravý</v>
      </c>
      <c r="D354" s="353">
        <f>VLOOKUP(B354,CENY!$B$11:$G$1054,3,FALSE)</f>
        <v>20</v>
      </c>
      <c r="E354" s="56" t="str">
        <f>IF(VLOOKUP(B354,CENY!$B$11:$G$1054,4,FALSE)=0,"",VLOOKUP(B354,CENY!$B$11:$G$1054,4,FALSE))</f>
        <v/>
      </c>
      <c r="F354" s="40" t="str">
        <f t="shared" si="70"/>
        <v/>
      </c>
      <c r="G354" s="52">
        <f>VLOOKUP(B354,CENY!$B$11:$M$1054,12,FALSE)</f>
        <v>13.35392</v>
      </c>
      <c r="H354" s="54" t="str">
        <f t="shared" si="66"/>
        <v xml:space="preserve"> EUR</v>
      </c>
      <c r="I354" s="41" t="str">
        <f t="shared" si="67"/>
        <v/>
      </c>
      <c r="J354" s="122"/>
      <c r="K354" s="42" t="str">
        <f>VLOOKUP(B354,CENY!$B$11:$M$1054,8,FALSE)</f>
        <v xml:space="preserve"> </v>
      </c>
      <c r="L354" s="42" t="str">
        <f>VLOOKUP(B354,CENY!$B$11:$M$1054,9,FALSE)</f>
        <v>397847</v>
      </c>
      <c r="M354" s="32"/>
      <c r="N354" s="35">
        <f t="shared" si="71"/>
        <v>0</v>
      </c>
      <c r="O354" s="36">
        <v>0</v>
      </c>
      <c r="P354" s="32"/>
      <c r="Q354" s="325">
        <f>'AVT101'!BI119</f>
        <v>0</v>
      </c>
      <c r="R354" s="32"/>
      <c r="S354" s="325">
        <f>'AVT139'!BI119</f>
        <v>0</v>
      </c>
      <c r="T354" s="32"/>
      <c r="U354" s="325">
        <f>'AVT187'!BI119</f>
        <v>0</v>
      </c>
      <c r="V354" s="32"/>
      <c r="W354" s="325">
        <f>'AVT251'!BI94</f>
        <v>0</v>
      </c>
      <c r="X354" s="32"/>
      <c r="Y354" s="325">
        <f>AVT187In!BI93</f>
        <v>0</v>
      </c>
      <c r="Z354" s="32"/>
      <c r="AA354" s="325">
        <f>'AVT101(vn-A)'!BI119</f>
        <v>0</v>
      </c>
      <c r="AB354" s="32"/>
      <c r="AC354" s="325">
        <f>'AVT139(vn-A)'!BI119</f>
        <v>0</v>
      </c>
      <c r="AD354" s="32"/>
      <c r="AE354" s="325">
        <f>'AVT187(vn-A)'!BI119</f>
        <v>0</v>
      </c>
      <c r="AF354" s="32"/>
      <c r="AG354" s="325">
        <f>'AVT187In(vn-A)'!BI93</f>
        <v>0</v>
      </c>
      <c r="AH354" s="32"/>
      <c r="AI354" s="325">
        <f>'AVT187(vn-S)'!BI119</f>
        <v>0</v>
      </c>
      <c r="AJ354" s="32"/>
      <c r="AK354" s="325">
        <f>'AVT187In(vn-S)'!BI93</f>
        <v>0</v>
      </c>
      <c r="AL354" s="32"/>
      <c r="AM354" s="325">
        <f>'AVT77'!BI64</f>
        <v>0</v>
      </c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165"/>
      <c r="BP354" s="165"/>
      <c r="BQ354" s="165"/>
      <c r="BR354" s="165"/>
      <c r="BS354" s="165"/>
      <c r="BT354" s="165"/>
      <c r="BU354" s="165"/>
      <c r="BV354" s="55"/>
      <c r="BW354" s="160"/>
      <c r="BX354" s="32"/>
      <c r="BY354" s="24"/>
      <c r="BZ354" s="24"/>
      <c r="CA354" s="24"/>
      <c r="CB354" s="24"/>
      <c r="CC354" s="24"/>
      <c r="CD354" s="24"/>
      <c r="CE354" s="24"/>
    </row>
    <row r="355" spans="1:83" ht="15" hidden="1" customHeight="1">
      <c r="A355" s="4"/>
      <c r="B355" s="318">
        <f>CENY!B731</f>
        <v>9256925</v>
      </c>
      <c r="C355" s="43" t="str">
        <f>VLOOKUP(B355,CENY!$B$11:$G$1054,2,FALSE)</f>
        <v>Quadro You(M) 600/P2O 25kg; EB21; ľavý</v>
      </c>
      <c r="D355" s="353">
        <f>VLOOKUP(B355,CENY!$B$11:$G$1054,3,FALSE)</f>
        <v>20</v>
      </c>
      <c r="E355" s="56" t="str">
        <f>IF(VLOOKUP(B355,CENY!$B$11:$G$1054,4,FALSE)=0,"",VLOOKUP(B355,CENY!$B$11:$G$1054,4,FALSE))</f>
        <v/>
      </c>
      <c r="F355" s="40" t="str">
        <f t="shared" si="70"/>
        <v/>
      </c>
      <c r="G355" s="52">
        <f>VLOOKUP(B355,CENY!$B$11:$M$1054,12,FALSE)</f>
        <v>13.58704</v>
      </c>
      <c r="H355" s="54" t="str">
        <f t="shared" si="66"/>
        <v xml:space="preserve"> EUR</v>
      </c>
      <c r="I355" s="41" t="str">
        <f t="shared" si="67"/>
        <v/>
      </c>
      <c r="J355" s="122"/>
      <c r="K355" s="42" t="str">
        <f>VLOOKUP(B355,CENY!$B$11:$M$1054,8,FALSE)</f>
        <v xml:space="preserve"> </v>
      </c>
      <c r="L355" s="42" t="str">
        <f>VLOOKUP(B355,CENY!$B$11:$M$1054,9,FALSE)</f>
        <v>397848</v>
      </c>
      <c r="M355" s="32"/>
      <c r="N355" s="35">
        <f t="shared" si="71"/>
        <v>0</v>
      </c>
      <c r="O355" s="36">
        <v>0</v>
      </c>
      <c r="P355" s="32"/>
      <c r="Q355" s="325">
        <f>'AVT101'!BI120</f>
        <v>0</v>
      </c>
      <c r="R355" s="32"/>
      <c r="S355" s="325">
        <f>'AVT139'!BI120</f>
        <v>0</v>
      </c>
      <c r="T355" s="32"/>
      <c r="U355" s="325">
        <f>'AVT187'!BI120</f>
        <v>0</v>
      </c>
      <c r="V355" s="32"/>
      <c r="W355" s="325">
        <f>'AVT251'!BI95</f>
        <v>0</v>
      </c>
      <c r="X355" s="32"/>
      <c r="Y355" s="325">
        <f>AVT187In!BI94</f>
        <v>0</v>
      </c>
      <c r="Z355" s="32"/>
      <c r="AA355" s="325">
        <f>'AVT101(vn-A)'!BI120</f>
        <v>0</v>
      </c>
      <c r="AB355" s="32"/>
      <c r="AC355" s="325">
        <f>'AVT139(vn-A)'!BI120</f>
        <v>0</v>
      </c>
      <c r="AD355" s="32"/>
      <c r="AE355" s="325">
        <f>'AVT187(vn-A)'!BI120</f>
        <v>0</v>
      </c>
      <c r="AF355" s="32"/>
      <c r="AG355" s="325">
        <f>'AVT187In(vn-A)'!BI94</f>
        <v>0</v>
      </c>
      <c r="AH355" s="32"/>
      <c r="AI355" s="325">
        <f>'AVT187(vn-S)'!BI120</f>
        <v>0</v>
      </c>
      <c r="AJ355" s="32"/>
      <c r="AK355" s="325">
        <f>'AVT187In(vn-S)'!BI94</f>
        <v>0</v>
      </c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165"/>
      <c r="BP355" s="165"/>
      <c r="BQ355" s="165"/>
      <c r="BR355" s="165"/>
      <c r="BS355" s="165"/>
      <c r="BT355" s="165"/>
      <c r="BU355" s="165"/>
      <c r="BV355" s="55"/>
      <c r="BW355" s="160"/>
      <c r="BX355" s="32"/>
      <c r="BY355" s="24"/>
      <c r="BZ355" s="24"/>
      <c r="CA355" s="24"/>
      <c r="CB355" s="24"/>
      <c r="CC355" s="24"/>
      <c r="CD355" s="24"/>
      <c r="CE355" s="24"/>
    </row>
    <row r="356" spans="1:83" ht="15" hidden="1" customHeight="1">
      <c r="A356" s="4"/>
      <c r="B356" s="318">
        <f>CENY!B732</f>
        <v>9256926</v>
      </c>
      <c r="C356" s="43" t="str">
        <f>VLOOKUP(B356,CENY!$B$11:$G$1054,2,FALSE)</f>
        <v>Quadro You(M) 600/P2O 25kg; EB21; pravý</v>
      </c>
      <c r="D356" s="353">
        <f>VLOOKUP(B356,CENY!$B$11:$G$1054,3,FALSE)</f>
        <v>20</v>
      </c>
      <c r="E356" s="56" t="str">
        <f>IF(VLOOKUP(B356,CENY!$B$11:$G$1054,4,FALSE)=0,"",VLOOKUP(B356,CENY!$B$11:$G$1054,4,FALSE))</f>
        <v/>
      </c>
      <c r="F356" s="40" t="str">
        <f t="shared" si="70"/>
        <v/>
      </c>
      <c r="G356" s="52">
        <f>VLOOKUP(B356,CENY!$B$11:$M$1054,12,FALSE)</f>
        <v>13.58704</v>
      </c>
      <c r="H356" s="54" t="str">
        <f t="shared" si="66"/>
        <v xml:space="preserve"> EUR</v>
      </c>
      <c r="I356" s="41" t="str">
        <f t="shared" si="67"/>
        <v/>
      </c>
      <c r="J356" s="122"/>
      <c r="K356" s="42" t="str">
        <f>VLOOKUP(B356,CENY!$B$11:$M$1054,8,FALSE)</f>
        <v xml:space="preserve"> </v>
      </c>
      <c r="L356" s="42" t="str">
        <f>VLOOKUP(B356,CENY!$B$11:$M$1054,9,FALSE)</f>
        <v>397849</v>
      </c>
      <c r="M356" s="32"/>
      <c r="N356" s="35">
        <f t="shared" si="71"/>
        <v>0</v>
      </c>
      <c r="O356" s="36">
        <v>0</v>
      </c>
      <c r="P356" s="32"/>
      <c r="Q356" s="325">
        <f>'AVT101'!BI121</f>
        <v>0</v>
      </c>
      <c r="R356" s="32"/>
      <c r="S356" s="325">
        <f>'AVT139'!BI121</f>
        <v>0</v>
      </c>
      <c r="T356" s="32"/>
      <c r="U356" s="325">
        <f>'AVT187'!BI121</f>
        <v>0</v>
      </c>
      <c r="V356" s="32"/>
      <c r="W356" s="325">
        <f>'AVT251'!BI96</f>
        <v>0</v>
      </c>
      <c r="X356" s="32"/>
      <c r="Y356" s="325">
        <f>AVT187In!BI95</f>
        <v>0</v>
      </c>
      <c r="Z356" s="32"/>
      <c r="AA356" s="325">
        <f>'AVT101(vn-A)'!BI121</f>
        <v>0</v>
      </c>
      <c r="AB356" s="32"/>
      <c r="AC356" s="325">
        <f>'AVT139(vn-A)'!BI121</f>
        <v>0</v>
      </c>
      <c r="AD356" s="32"/>
      <c r="AE356" s="325">
        <f>'AVT187(vn-A)'!BI121</f>
        <v>0</v>
      </c>
      <c r="AF356" s="32"/>
      <c r="AG356" s="325">
        <f>'AVT187In(vn-A)'!BI95</f>
        <v>0</v>
      </c>
      <c r="AH356" s="32"/>
      <c r="AI356" s="325">
        <f>'AVT187(vn-S)'!BI121</f>
        <v>0</v>
      </c>
      <c r="AJ356" s="32"/>
      <c r="AK356" s="325">
        <f>'AVT187In(vn-S)'!BI95</f>
        <v>0</v>
      </c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165"/>
      <c r="BP356" s="165"/>
      <c r="BQ356" s="165"/>
      <c r="BR356" s="165"/>
      <c r="BS356" s="165"/>
      <c r="BT356" s="165"/>
      <c r="BU356" s="165"/>
      <c r="BV356" s="55"/>
      <c r="BW356" s="160"/>
      <c r="BX356" s="32"/>
      <c r="BY356" s="24"/>
      <c r="BZ356" s="24"/>
      <c r="CA356" s="24"/>
      <c r="CB356" s="24"/>
      <c r="CC356" s="24"/>
      <c r="CD356" s="24"/>
      <c r="CE356" s="24"/>
    </row>
    <row r="357" spans="1:83" ht="8.1" hidden="1" customHeight="1">
      <c r="A357" s="4"/>
      <c r="B357" s="126"/>
      <c r="C357" s="43"/>
      <c r="D357" s="39"/>
      <c r="E357" s="56"/>
      <c r="F357" s="60"/>
      <c r="G357" s="52"/>
      <c r="H357" s="54"/>
      <c r="I357" s="41"/>
      <c r="J357" s="122"/>
      <c r="K357" s="42"/>
      <c r="L357" s="42"/>
      <c r="M357" s="32"/>
      <c r="N357" s="35"/>
      <c r="O357" s="36">
        <v>0</v>
      </c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165"/>
      <c r="BP357" s="165"/>
      <c r="BQ357" s="165"/>
      <c r="BR357" s="165"/>
      <c r="BS357" s="165"/>
      <c r="BT357" s="165"/>
      <c r="BU357" s="165"/>
      <c r="BV357" s="55"/>
      <c r="BW357" s="160"/>
      <c r="BX357" s="32"/>
      <c r="BY357" s="24"/>
      <c r="BZ357" s="24"/>
      <c r="CA357" s="24"/>
      <c r="CB357" s="24"/>
      <c r="CC357" s="24"/>
      <c r="CD357" s="24"/>
      <c r="CE357" s="24"/>
    </row>
    <row r="358" spans="1:83" ht="15" hidden="1" customHeight="1">
      <c r="A358" s="4"/>
      <c r="B358" s="318">
        <f>CENY!B734</f>
        <v>9219966</v>
      </c>
      <c r="C358" s="43" t="str">
        <f>VLOOKUP(B358,CENY!$B$11:$G$1054,2,FALSE)</f>
        <v>Push to open Synchro / adaptér typ A</v>
      </c>
      <c r="D358" s="354">
        <f>VLOOKUP(B358,CENY!$B$11:$G$1054,3,FALSE)</f>
        <v>200</v>
      </c>
      <c r="E358" s="56" t="str">
        <f>IF(VLOOKUP(B358,CENY!$B$11:$G$1054,4,FALSE)=0,"",VLOOKUP(B358,CENY!$B$11:$G$1054,4,FALSE))</f>
        <v/>
      </c>
      <c r="F358" s="40" t="str">
        <f>IF(J358&lt;&gt;"",J358,IF(N358=0,"",N358))</f>
        <v/>
      </c>
      <c r="G358" s="52">
        <f>VLOOKUP(B358,CENY!$B$11:$M$1054,12,FALSE)</f>
        <v>0.79318999999999995</v>
      </c>
      <c r="H358" s="54" t="str">
        <f t="shared" si="66"/>
        <v xml:space="preserve"> EUR</v>
      </c>
      <c r="I358" s="41" t="str">
        <f t="shared" si="67"/>
        <v/>
      </c>
      <c r="J358" s="122"/>
      <c r="K358" s="42" t="str">
        <f>VLOOKUP(B358,CENY!$B$11:$M$1054,8,FALSE)</f>
        <v xml:space="preserve"> </v>
      </c>
      <c r="L358" s="42" t="str">
        <f>VLOOKUP(B358,CENY!$B$11:$M$1054,9,FALSE)</f>
        <v>318282</v>
      </c>
      <c r="M358" s="32"/>
      <c r="N358" s="35">
        <f t="shared" ref="N358:N381" si="72">SUM(P358:BW358)</f>
        <v>0</v>
      </c>
      <c r="O358" s="36">
        <v>0</v>
      </c>
      <c r="P358" s="325">
        <f>'AVT101'!AZ76</f>
        <v>0</v>
      </c>
      <c r="Q358" s="325">
        <f>'AVT101'!BI123</f>
        <v>0</v>
      </c>
      <c r="R358" s="325">
        <f>'AVT139'!AZ76</f>
        <v>0</v>
      </c>
      <c r="S358" s="325">
        <f>'AVT139'!BI123</f>
        <v>0</v>
      </c>
      <c r="T358" s="325">
        <f>'AVT187'!AZ76</f>
        <v>0</v>
      </c>
      <c r="U358" s="325">
        <f>'AVT187'!BI123</f>
        <v>0</v>
      </c>
      <c r="V358" s="325">
        <f>'AVT251'!AZ62</f>
        <v>0</v>
      </c>
      <c r="W358" s="325">
        <f>'AVT251'!BI98</f>
        <v>0</v>
      </c>
      <c r="X358" s="325">
        <f>AVT187In!AZ62</f>
        <v>0</v>
      </c>
      <c r="Y358" s="325">
        <f>AVT187In!BI97</f>
        <v>0</v>
      </c>
      <c r="Z358" s="325">
        <f>'AVT101(vn-A)'!AZ76</f>
        <v>0</v>
      </c>
      <c r="AA358" s="325">
        <f>'AVT101(vn-A)'!BI123</f>
        <v>0</v>
      </c>
      <c r="AB358" s="325">
        <f>'AVT139(vn-A)'!AZ76</f>
        <v>0</v>
      </c>
      <c r="AC358" s="325">
        <f>'AVT139(vn-A)'!BI123</f>
        <v>0</v>
      </c>
      <c r="AD358" s="325">
        <f>'AVT187(vn-A)'!AZ76</f>
        <v>0</v>
      </c>
      <c r="AE358" s="325">
        <f>'AVT187(vn-A)'!BI123</f>
        <v>0</v>
      </c>
      <c r="AF358" s="325">
        <f>'AVT187In(vn-A)'!AZ62</f>
        <v>0</v>
      </c>
      <c r="AG358" s="325">
        <f>'AVT187In(vn-A)'!BI97</f>
        <v>0</v>
      </c>
      <c r="AH358" s="325">
        <f>'AVT187(vn-S)'!AZ76</f>
        <v>0</v>
      </c>
      <c r="AI358" s="325">
        <f>'AVT187(vn-S)'!BI123</f>
        <v>0</v>
      </c>
      <c r="AJ358" s="325">
        <f>'AVT187In(vn-S)'!AZ62</f>
        <v>0</v>
      </c>
      <c r="AK358" s="325">
        <f>'AVT187In(vn-S)'!BI97</f>
        <v>0</v>
      </c>
      <c r="AL358" s="325">
        <f>'AVT77'!AZ44</f>
        <v>0</v>
      </c>
      <c r="AM358" s="325">
        <f>'AVT77'!BI66</f>
        <v>0</v>
      </c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165"/>
      <c r="BP358" s="165"/>
      <c r="BQ358" s="165"/>
      <c r="BR358" s="165"/>
      <c r="BS358" s="165"/>
      <c r="BT358" s="165"/>
      <c r="BU358" s="165"/>
      <c r="BV358" s="55"/>
      <c r="BW358" s="160"/>
      <c r="BX358" s="32"/>
      <c r="BY358" s="24"/>
      <c r="BZ358" s="24"/>
      <c r="CA358" s="24"/>
      <c r="CB358" s="24"/>
      <c r="CC358" s="24"/>
      <c r="CD358" s="24"/>
      <c r="CE358" s="24"/>
    </row>
    <row r="359" spans="1:83" ht="8.1" hidden="1" customHeight="1">
      <c r="A359" s="4"/>
      <c r="B359" s="126"/>
      <c r="C359" s="43"/>
      <c r="D359" s="39"/>
      <c r="E359" s="56"/>
      <c r="F359" s="60"/>
      <c r="G359" s="52"/>
      <c r="H359" s="54"/>
      <c r="I359" s="41"/>
      <c r="J359" s="122"/>
      <c r="K359" s="42"/>
      <c r="L359" s="42"/>
      <c r="M359" s="32"/>
      <c r="N359" s="35">
        <f t="shared" si="72"/>
        <v>0</v>
      </c>
      <c r="O359" s="36">
        <v>0</v>
      </c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7"/>
      <c r="BP359" s="37"/>
      <c r="BQ359" s="37"/>
      <c r="BR359" s="37"/>
      <c r="BS359" s="37"/>
      <c r="BT359" s="37"/>
      <c r="BU359" s="37"/>
      <c r="BV359" s="32"/>
      <c r="BW359" s="38"/>
      <c r="BX359" s="32"/>
      <c r="BY359" s="24"/>
      <c r="BZ359" s="24"/>
      <c r="CA359" s="24"/>
      <c r="CB359" s="24"/>
      <c r="CC359" s="24"/>
      <c r="CD359" s="24"/>
      <c r="CE359" s="24"/>
    </row>
    <row r="360" spans="1:83" ht="15" customHeight="1">
      <c r="A360" s="4"/>
      <c r="B360" s="317">
        <f>CENY!B602</f>
        <v>9278225</v>
      </c>
      <c r="C360" s="43" t="str">
        <f>VLOOKUP(B360,CENY!$B$11:$G$1054,2,FALSE)</f>
        <v>Skrutka s polgul.hlavou 3,5x6,5mm</v>
      </c>
      <c r="D360" s="353">
        <f>VLOOKUP(B360,CENY!$B$11:$G$1054,3,FALSE)</f>
        <v>200</v>
      </c>
      <c r="E360" s="56" t="str">
        <f>IF(VLOOKUP(B360,CENY!$B$11:$G$1054,4,FALSE)=0,"",VLOOKUP(B360,CENY!$B$11:$G$1054,4,FALSE))</f>
        <v/>
      </c>
      <c r="F360" s="40" t="str">
        <f t="shared" ref="F360:F365" si="73">IF(J360&lt;&gt;"",J360,IF(N360=0,"",N360))</f>
        <v/>
      </c>
      <c r="G360" s="52" t="e">
        <f>VLOOKUP(B360,CENY!$B$11:$M$1054,12,FALSE)</f>
        <v>#N/A</v>
      </c>
      <c r="H360" s="54" t="e">
        <f t="shared" ref="H360:H365" si="74">IF(G360="","",$H$22)</f>
        <v>#N/A</v>
      </c>
      <c r="I360" s="41" t="str">
        <f t="shared" ref="I360:I365" si="75">IF(F360="","",G360*F360)</f>
        <v/>
      </c>
      <c r="J360" s="122"/>
      <c r="K360" s="42" t="str">
        <f>VLOOKUP(B360,CENY!$B$11:$M$1054,8,FALSE)</f>
        <v xml:space="preserve"> </v>
      </c>
      <c r="L360" s="42" t="str">
        <f>VLOOKUP(B360,CENY!$B$11:$M$1054,9,FALSE)</f>
        <v>518512</v>
      </c>
      <c r="M360" s="32"/>
      <c r="N360" s="35">
        <f t="shared" si="72"/>
        <v>0</v>
      </c>
      <c r="O360" s="36">
        <v>0</v>
      </c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5">
        <f>'AVT77'!AZ70</f>
        <v>0</v>
      </c>
      <c r="AM360" s="325">
        <f>'AVT77'!BI70</f>
        <v>0</v>
      </c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7"/>
      <c r="BP360" s="37"/>
      <c r="BQ360" s="37"/>
      <c r="BR360" s="37"/>
      <c r="BS360" s="37"/>
      <c r="BT360" s="37"/>
      <c r="BU360" s="37"/>
      <c r="BV360" s="32"/>
      <c r="BW360" s="38"/>
      <c r="BX360" s="32"/>
      <c r="BY360" s="24"/>
      <c r="BZ360" s="24"/>
      <c r="CA360" s="24"/>
      <c r="CB360" s="24"/>
      <c r="CC360" s="24"/>
      <c r="CD360" s="24"/>
      <c r="CE360" s="24"/>
    </row>
    <row r="361" spans="1:83" ht="15" customHeight="1">
      <c r="A361" s="4"/>
      <c r="B361" s="317">
        <f>CENY!B603</f>
        <v>45167</v>
      </c>
      <c r="C361" s="43" t="str">
        <f>VLOOKUP(B361,CENY!$B$11:$G$1054,2,FALSE)</f>
        <v>Skrutka s polgul.hlavou 3,5x12mm</v>
      </c>
      <c r="D361" s="353">
        <f>VLOOKUP(B361,CENY!$B$11:$G$1054,3,FALSE)</f>
        <v>200</v>
      </c>
      <c r="E361" s="56" t="str">
        <f>IF(VLOOKUP(B361,CENY!$B$11:$G$1054,4,FALSE)=0,"",VLOOKUP(B361,CENY!$B$11:$G$1054,4,FALSE))</f>
        <v/>
      </c>
      <c r="F361" s="40" t="str">
        <f t="shared" si="73"/>
        <v/>
      </c>
      <c r="G361" s="52">
        <f>VLOOKUP(B361,CENY!$B$11:$M$1054,12,FALSE)</f>
        <v>3.4759999999999999E-2</v>
      </c>
      <c r="H361" s="54" t="str">
        <f t="shared" si="74"/>
        <v xml:space="preserve"> EUR</v>
      </c>
      <c r="I361" s="41" t="str">
        <f t="shared" si="75"/>
        <v/>
      </c>
      <c r="J361" s="122"/>
      <c r="K361" s="42" t="str">
        <f>VLOOKUP(B361,CENY!$B$11:$M$1054,8,FALSE)</f>
        <v xml:space="preserve"> </v>
      </c>
      <c r="L361" s="42" t="str">
        <f>VLOOKUP(B361,CENY!$B$11:$M$1054,9,FALSE)</f>
        <v>119084</v>
      </c>
      <c r="M361" s="32"/>
      <c r="N361" s="35">
        <f t="shared" si="72"/>
        <v>0</v>
      </c>
      <c r="O361" s="36">
        <v>0</v>
      </c>
      <c r="P361" s="325">
        <f>'AVT101'!AZ127</f>
        <v>0</v>
      </c>
      <c r="Q361" s="325">
        <f>'AVT101'!BI127</f>
        <v>0</v>
      </c>
      <c r="R361" s="325">
        <f>'AVT139'!AZ119</f>
        <v>0</v>
      </c>
      <c r="S361" s="325">
        <f>'AVT139'!BI127</f>
        <v>0</v>
      </c>
      <c r="T361" s="325">
        <f>'AVT187'!AZ127</f>
        <v>0</v>
      </c>
      <c r="U361" s="325">
        <f>'AVT187'!BI127</f>
        <v>0</v>
      </c>
      <c r="V361" s="325">
        <f>'AVT251'!AZ102</f>
        <v>0</v>
      </c>
      <c r="W361" s="325">
        <f>'AVT251'!BI102</f>
        <v>0</v>
      </c>
      <c r="X361" s="325">
        <f>AVT187In!AZ101</f>
        <v>0</v>
      </c>
      <c r="Y361" s="325">
        <f>AVT187In!BI101</f>
        <v>0</v>
      </c>
      <c r="Z361" s="325">
        <f>'AVT101(vn-A)'!AZ133</f>
        <v>0</v>
      </c>
      <c r="AA361" s="325">
        <f>'AVT101(vn-A)'!BI133</f>
        <v>0</v>
      </c>
      <c r="AB361" s="325">
        <f>'AVT139(vn-A)'!AZ125</f>
        <v>0</v>
      </c>
      <c r="AC361" s="325">
        <f>'AVT139(vn-A)'!BI133</f>
        <v>0</v>
      </c>
      <c r="AD361" s="325">
        <f>'AVT187(vn-A)'!AZ133</f>
        <v>0</v>
      </c>
      <c r="AE361" s="325">
        <f>'AVT187(vn-A)'!BI133</f>
        <v>0</v>
      </c>
      <c r="AF361" s="325">
        <f>'AVT187In(vn-A)'!AZ107</f>
        <v>0</v>
      </c>
      <c r="AG361" s="325">
        <f>'AVT187In(vn-A)'!BI107</f>
        <v>0</v>
      </c>
      <c r="AH361" s="325">
        <f>'AVT187(vn-S)'!AZ139</f>
        <v>0</v>
      </c>
      <c r="AI361" s="325">
        <f>'AVT187(vn-S)'!BI139</f>
        <v>0</v>
      </c>
      <c r="AJ361" s="325">
        <f>'AVT187In(vn-S)'!AZ113</f>
        <v>0</v>
      </c>
      <c r="AK361" s="325">
        <f>'AVT187In(vn-S)'!BI113</f>
        <v>0</v>
      </c>
      <c r="AL361" s="32"/>
      <c r="AM361" s="325">
        <f>'AVT77'!BI71</f>
        <v>0</v>
      </c>
      <c r="AN361" s="325">
        <f>'AVT-celny-101+187'!AZ104</f>
        <v>0</v>
      </c>
      <c r="AO361" s="325">
        <f>'AVT-celny-101+187'!BI104</f>
        <v>0</v>
      </c>
      <c r="AP361" s="325">
        <f>'AVT-celny-139+187'!AZ88</f>
        <v>0</v>
      </c>
      <c r="AQ361" s="325">
        <f>'AVT-celny-139+187'!BI88</f>
        <v>0</v>
      </c>
      <c r="AR361" s="325">
        <f>'AVT-celny-2x187'!AZ84</f>
        <v>0</v>
      </c>
      <c r="AS361" s="325">
        <f>'AVT-celny-2x187'!BI84</f>
        <v>0</v>
      </c>
      <c r="AT361" s="325">
        <f>'AVT-celny-2x187In'!AZ70</f>
        <v>0</v>
      </c>
      <c r="AU361" s="325">
        <f>'AVT-celny-2x187In'!BI70</f>
        <v>0</v>
      </c>
      <c r="AV361" s="325">
        <f>'potr-v101+187'!AZ142</f>
        <v>0</v>
      </c>
      <c r="AW361" s="325">
        <f>'potr-v101+187'!BI149</f>
        <v>0</v>
      </c>
      <c r="AX361" s="325">
        <f>'potr-v101+187-IL'!AZ142</f>
        <v>0</v>
      </c>
      <c r="AY361" s="325">
        <f>'potr-v101+187-IL'!BI149</f>
        <v>0</v>
      </c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7"/>
      <c r="BP361" s="37"/>
      <c r="BQ361" s="37"/>
      <c r="BR361" s="37"/>
      <c r="BS361" s="37"/>
      <c r="BT361" s="37"/>
      <c r="BU361" s="37"/>
      <c r="BV361" s="32"/>
      <c r="BW361" s="38"/>
      <c r="BX361" s="32"/>
      <c r="BY361" s="24"/>
      <c r="BZ361" s="24"/>
      <c r="CA361" s="24"/>
      <c r="CB361" s="24"/>
      <c r="CC361" s="24"/>
      <c r="CD361" s="24"/>
      <c r="CE361" s="24"/>
    </row>
    <row r="362" spans="1:83" ht="15" hidden="1" customHeight="1">
      <c r="A362" s="4"/>
      <c r="B362" s="317">
        <f>CENY!B604</f>
        <v>45168</v>
      </c>
      <c r="C362" s="43" t="str">
        <f>VLOOKUP(B362,CENY!$B$11:$G$1054,2,FALSE)</f>
        <v>Skrutka s polgul.hlavou 3,5x20mm</v>
      </c>
      <c r="D362" s="353">
        <f>VLOOKUP(B362,CENY!$B$11:$G$1054,3,FALSE)</f>
        <v>200</v>
      </c>
      <c r="E362" s="56" t="str">
        <f>IF(VLOOKUP(B362,CENY!$B$11:$G$1054,4,FALSE)=0,"",VLOOKUP(B362,CENY!$B$11:$G$1054,4,FALSE))</f>
        <v/>
      </c>
      <c r="F362" s="40" t="str">
        <f t="shared" si="73"/>
        <v/>
      </c>
      <c r="G362" s="52">
        <f>VLOOKUP(B362,CENY!$B$11:$M$1054,12,FALSE)</f>
        <v>4.9860000000000002E-2</v>
      </c>
      <c r="H362" s="54" t="str">
        <f t="shared" si="74"/>
        <v xml:space="preserve"> EUR</v>
      </c>
      <c r="I362" s="41" t="str">
        <f t="shared" si="75"/>
        <v/>
      </c>
      <c r="J362" s="122"/>
      <c r="K362" s="42" t="str">
        <f>VLOOKUP(B362,CENY!$B$11:$M$1054,8,FALSE)</f>
        <v xml:space="preserve"> </v>
      </c>
      <c r="L362" s="42" t="str">
        <f>VLOOKUP(B362,CENY!$B$11:$M$1054,9,FALSE)</f>
        <v>177538</v>
      </c>
      <c r="M362" s="32"/>
      <c r="N362" s="35">
        <f t="shared" si="72"/>
        <v>0</v>
      </c>
      <c r="O362" s="36">
        <v>0</v>
      </c>
      <c r="P362" s="32"/>
      <c r="Q362" s="325">
        <f>'AVT101'!BI128</f>
        <v>0</v>
      </c>
      <c r="R362" s="32"/>
      <c r="S362" s="325">
        <f>'AVT139'!BI128</f>
        <v>0</v>
      </c>
      <c r="T362" s="32"/>
      <c r="U362" s="325">
        <f>'AVT187'!BI128</f>
        <v>0</v>
      </c>
      <c r="V362" s="32"/>
      <c r="W362" s="325">
        <f>'AVT251'!BI103</f>
        <v>0</v>
      </c>
      <c r="X362" s="32"/>
      <c r="Y362" s="325">
        <f>AVT187In!BI102</f>
        <v>0</v>
      </c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5">
        <f>'AVT77'!BI72</f>
        <v>0</v>
      </c>
      <c r="AN362" s="32"/>
      <c r="AO362" s="325">
        <f>'AVT-celny-101+187'!BI105</f>
        <v>0</v>
      </c>
      <c r="AP362" s="32"/>
      <c r="AQ362" s="325">
        <f>'AVT-celny-139+187'!BI89</f>
        <v>0</v>
      </c>
      <c r="AR362" s="32"/>
      <c r="AS362" s="325">
        <f>'AVT-celny-2x187'!BI85</f>
        <v>0</v>
      </c>
      <c r="AT362" s="32"/>
      <c r="AU362" s="325">
        <f>'AVT-celny-2x187In'!BI71</f>
        <v>0</v>
      </c>
      <c r="AV362" s="32"/>
      <c r="AW362" s="325">
        <f>'potr-v101+187'!BI150</f>
        <v>0</v>
      </c>
      <c r="AX362" s="32"/>
      <c r="AY362" s="325">
        <f>'potr-v101+187-IL'!BI150</f>
        <v>0</v>
      </c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7"/>
      <c r="BP362" s="37"/>
      <c r="BQ362" s="37"/>
      <c r="BR362" s="37"/>
      <c r="BS362" s="37"/>
      <c r="BT362" s="37"/>
      <c r="BU362" s="37"/>
      <c r="BV362" s="32"/>
      <c r="BW362" s="38"/>
      <c r="BX362" s="32"/>
      <c r="BY362" s="24"/>
      <c r="BZ362" s="24"/>
      <c r="CA362" s="24"/>
      <c r="CB362" s="24"/>
      <c r="CC362" s="24"/>
      <c r="CD362" s="24"/>
      <c r="CE362" s="24"/>
    </row>
    <row r="363" spans="1:83" ht="15" hidden="1" customHeight="1">
      <c r="A363" s="4"/>
      <c r="B363" s="317">
        <f>CENY!B605</f>
        <v>9278224</v>
      </c>
      <c r="C363" s="43" t="str">
        <f>VLOOKUP(B363,CENY!$B$11:$G$1054,2,FALSE)</f>
        <v>Skrutka s polgul.hlavou 3,5x30mm</v>
      </c>
      <c r="D363" s="353">
        <f>VLOOKUP(B363,CENY!$B$11:$G$1054,3,FALSE)</f>
        <v>200</v>
      </c>
      <c r="E363" s="56" t="str">
        <f>IF(VLOOKUP(B363,CENY!$B$11:$G$1054,4,FALSE)=0,"",VLOOKUP(B363,CENY!$B$11:$G$1054,4,FALSE))</f>
        <v/>
      </c>
      <c r="F363" s="40" t="str">
        <f t="shared" si="73"/>
        <v/>
      </c>
      <c r="G363" s="52">
        <f>VLOOKUP(B363,CENY!$B$11:$M$1054,12,FALSE)</f>
        <v>4.299E-2</v>
      </c>
      <c r="H363" s="54" t="str">
        <f t="shared" si="74"/>
        <v xml:space="preserve"> EUR</v>
      </c>
      <c r="I363" s="41" t="str">
        <f t="shared" si="75"/>
        <v/>
      </c>
      <c r="J363" s="122"/>
      <c r="K363" s="42" t="str">
        <f>VLOOKUP(B363,CENY!$B$11:$M$1054,8,FALSE)</f>
        <v xml:space="preserve"> </v>
      </c>
      <c r="L363" s="42" t="str">
        <f>VLOOKUP(B363,CENY!$B$11:$M$1054,9,FALSE)</f>
        <v>518511</v>
      </c>
      <c r="M363" s="32"/>
      <c r="N363" s="35">
        <f t="shared" si="72"/>
        <v>0</v>
      </c>
      <c r="O363" s="36">
        <v>0</v>
      </c>
      <c r="P363" s="32"/>
      <c r="Q363" s="325">
        <f>'AVT101'!BI129</f>
        <v>0</v>
      </c>
      <c r="R363" s="32"/>
      <c r="S363" s="325">
        <f>'AVT139'!BI129</f>
        <v>0</v>
      </c>
      <c r="T363" s="32"/>
      <c r="U363" s="325">
        <f>'AVT187'!BI129</f>
        <v>0</v>
      </c>
      <c r="V363" s="32"/>
      <c r="W363" s="325">
        <f>'AVT251'!BI104</f>
        <v>0</v>
      </c>
      <c r="X363" s="32"/>
      <c r="Y363" s="325">
        <f>AVT187In!BI103</f>
        <v>0</v>
      </c>
      <c r="Z363" s="32"/>
      <c r="AA363" s="325">
        <f>'AVT101(vn-A)'!BI135</f>
        <v>0</v>
      </c>
      <c r="AB363" s="32"/>
      <c r="AC363" s="325">
        <f>'AVT139(vn-A)'!BI135</f>
        <v>0</v>
      </c>
      <c r="AD363" s="32"/>
      <c r="AE363" s="325">
        <f>'AVT187(vn-A)'!BI135</f>
        <v>0</v>
      </c>
      <c r="AF363" s="32"/>
      <c r="AG363" s="325">
        <f>'AVT187In(vn-A)'!BI109</f>
        <v>0</v>
      </c>
      <c r="AH363" s="32"/>
      <c r="AI363" s="325">
        <f>'AVT187(vn-S)'!BI141</f>
        <v>0</v>
      </c>
      <c r="AJ363" s="32"/>
      <c r="AK363" s="325">
        <f>'AVT187In(vn-S)'!BI115</f>
        <v>0</v>
      </c>
      <c r="AL363" s="32"/>
      <c r="AM363" s="325">
        <f>'AVT77'!BI73</f>
        <v>0</v>
      </c>
      <c r="AN363" s="32"/>
      <c r="AO363" s="325">
        <f>'AVT-celny-101+187'!BI106</f>
        <v>0</v>
      </c>
      <c r="AP363" s="32"/>
      <c r="AQ363" s="325">
        <f>'AVT-celny-139+187'!BI90</f>
        <v>0</v>
      </c>
      <c r="AR363" s="32"/>
      <c r="AS363" s="325">
        <f>'AVT-celny-2x187'!BI86</f>
        <v>0</v>
      </c>
      <c r="AT363" s="32"/>
      <c r="AU363" s="325">
        <f>'AVT-celny-2x187In'!BI72</f>
        <v>0</v>
      </c>
      <c r="AV363" s="32"/>
      <c r="AW363" s="325">
        <f>'potr-v101+187'!BI151</f>
        <v>0</v>
      </c>
      <c r="AX363" s="32"/>
      <c r="AY363" s="325">
        <f>'potr-v101+187-IL'!BI151</f>
        <v>0</v>
      </c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7"/>
      <c r="BP363" s="37"/>
      <c r="BQ363" s="37"/>
      <c r="BR363" s="37"/>
      <c r="BS363" s="37"/>
      <c r="BT363" s="37"/>
      <c r="BU363" s="37"/>
      <c r="BV363" s="32"/>
      <c r="BW363" s="38"/>
      <c r="BX363" s="32"/>
      <c r="BY363" s="24"/>
      <c r="BZ363" s="24"/>
      <c r="CA363" s="24"/>
      <c r="CB363" s="24"/>
      <c r="CC363" s="24"/>
      <c r="CD363" s="24"/>
      <c r="CE363" s="24"/>
    </row>
    <row r="364" spans="1:83" ht="15" hidden="1" customHeight="1">
      <c r="A364" s="4"/>
      <c r="B364" s="317">
        <f>CENY!B606</f>
        <v>9279197</v>
      </c>
      <c r="C364" s="43" t="str">
        <f>VLOOKUP(B364,CENY!$B$11:$G$1054,2,FALSE)</f>
        <v>Skrutka s polgul.hlavou M3,5x12mm</v>
      </c>
      <c r="D364" s="353">
        <f>VLOOKUP(B364,CENY!$B$11:$G$1054,3,FALSE)</f>
        <v>1000</v>
      </c>
      <c r="E364" s="56" t="str">
        <f>IF(VLOOKUP(B364,CENY!$B$11:$G$1054,4,FALSE)=0,"",VLOOKUP(B364,CENY!$B$11:$G$1054,4,FALSE))</f>
        <v/>
      </c>
      <c r="F364" s="40" t="str">
        <f t="shared" si="73"/>
        <v/>
      </c>
      <c r="G364" s="52" t="e">
        <f>VLOOKUP(B364,CENY!$B$11:$M$1054,12,FALSE)</f>
        <v>#N/A</v>
      </c>
      <c r="H364" s="54" t="e">
        <f t="shared" si="74"/>
        <v>#N/A</v>
      </c>
      <c r="I364" s="41" t="str">
        <f t="shared" si="75"/>
        <v/>
      </c>
      <c r="J364" s="122"/>
      <c r="K364" s="42" t="str">
        <f>VLOOKUP(B364,CENY!$B$11:$M$1054,8,FALSE)</f>
        <v xml:space="preserve"> </v>
      </c>
      <c r="L364" s="42" t="str">
        <f>VLOOKUP(B364,CENY!$B$11:$M$1054,9,FALSE)</f>
        <v>518513</v>
      </c>
      <c r="M364" s="32"/>
      <c r="N364" s="35">
        <f t="shared" si="72"/>
        <v>0</v>
      </c>
      <c r="O364" s="36">
        <v>0</v>
      </c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5">
        <f>'AVT101(vn-A)'!BI136</f>
        <v>0</v>
      </c>
      <c r="AB364" s="32"/>
      <c r="AC364" s="325">
        <f>'AVT139(vn-A)'!BI136</f>
        <v>0</v>
      </c>
      <c r="AD364" s="32"/>
      <c r="AE364" s="325">
        <f>'AVT187(vn-A)'!BI136</f>
        <v>0</v>
      </c>
      <c r="AF364" s="32"/>
      <c r="AG364" s="325">
        <f>'AVT187In(vn-A)'!BI110</f>
        <v>0</v>
      </c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/>
      <c r="AW364" s="325">
        <f>'potr-v101+187'!BI152</f>
        <v>0</v>
      </c>
      <c r="AX364" s="32"/>
      <c r="AY364" s="325">
        <f>'potr-v101+187-IL'!BI152</f>
        <v>0</v>
      </c>
      <c r="AZ364" s="32"/>
      <c r="BA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7"/>
      <c r="BP364" s="37"/>
      <c r="BQ364" s="37"/>
      <c r="BR364" s="37"/>
      <c r="BS364" s="37"/>
      <c r="BT364" s="37"/>
      <c r="BU364" s="37"/>
      <c r="BV364" s="32"/>
      <c r="BW364" s="38"/>
      <c r="BX364" s="32"/>
      <c r="BY364" s="24"/>
      <c r="BZ364" s="24"/>
      <c r="CA364" s="24"/>
      <c r="CB364" s="24"/>
      <c r="CC364" s="24"/>
      <c r="CD364" s="24"/>
      <c r="CE364" s="24"/>
    </row>
    <row r="365" spans="1:83" ht="15" customHeight="1">
      <c r="A365" s="4"/>
      <c r="B365" s="317">
        <f>CENY!B607</f>
        <v>9137114</v>
      </c>
      <c r="C365" s="43" t="str">
        <f>VLOOKUP(B365,CENY!$B$11:$G$1054,2,FALSE)</f>
        <v>EURO-skrutka  6,0x14mm / niklovaná</v>
      </c>
      <c r="D365" s="353">
        <f>VLOOKUP(B365,CENY!$B$11:$G$1054,3,FALSE)</f>
        <v>200</v>
      </c>
      <c r="E365" s="56" t="str">
        <f>IF(VLOOKUP(B365,CENY!$B$11:$G$1054,4,FALSE)=0,"",VLOOKUP(B365,CENY!$B$11:$G$1054,4,FALSE))</f>
        <v/>
      </c>
      <c r="F365" s="40" t="str">
        <f t="shared" si="73"/>
        <v/>
      </c>
      <c r="G365" s="52">
        <f>VLOOKUP(B365,CENY!$B$11:$M$1054,12,FALSE)</f>
        <v>7.7280000000000001E-2</v>
      </c>
      <c r="H365" s="54" t="str">
        <f t="shared" si="74"/>
        <v xml:space="preserve"> EUR</v>
      </c>
      <c r="I365" s="41" t="str">
        <f t="shared" si="75"/>
        <v/>
      </c>
      <c r="J365" s="122"/>
      <c r="K365" s="42" t="str">
        <f>VLOOKUP(B365,CENY!$B$11:$M$1054,8,FALSE)</f>
        <v xml:space="preserve"> </v>
      </c>
      <c r="L365" s="42" t="str">
        <f>VLOOKUP(B365,CENY!$B$11:$M$1054,9,FALSE)</f>
        <v>210282</v>
      </c>
      <c r="M365" s="32"/>
      <c r="N365" s="35">
        <f t="shared" si="72"/>
        <v>0</v>
      </c>
      <c r="O365" s="36">
        <v>0</v>
      </c>
      <c r="P365" s="325">
        <f>'AVT101'!AZ131</f>
        <v>0</v>
      </c>
      <c r="Q365" s="325">
        <f>'AVT101'!BI131</f>
        <v>0</v>
      </c>
      <c r="R365" s="325">
        <f>'AVT139'!AZ123</f>
        <v>0</v>
      </c>
      <c r="S365" s="325">
        <f>'AVT139'!BI131</f>
        <v>0</v>
      </c>
      <c r="T365" s="325">
        <f>'AVT187'!AZ131</f>
        <v>0</v>
      </c>
      <c r="U365" s="325">
        <f>'AVT187'!BI131</f>
        <v>0</v>
      </c>
      <c r="V365" s="325">
        <f>'AVT251'!AZ106</f>
        <v>0</v>
      </c>
      <c r="W365" s="325">
        <f>'AVT251'!BI106</f>
        <v>0</v>
      </c>
      <c r="X365" s="325">
        <f>AVT187In!AZ105</f>
        <v>0</v>
      </c>
      <c r="Y365" s="325">
        <f>AVT187In!BI105</f>
        <v>0</v>
      </c>
      <c r="Z365" s="325">
        <f>'AVT101(vn-A)'!AZ137</f>
        <v>0</v>
      </c>
      <c r="AA365" s="325">
        <f>'AVT101(vn-A)'!BI137</f>
        <v>0</v>
      </c>
      <c r="AB365" s="325">
        <f>'AVT139(vn-A)'!AZ129</f>
        <v>0</v>
      </c>
      <c r="AC365" s="325">
        <f>'AVT139(vn-A)'!BI137</f>
        <v>0</v>
      </c>
      <c r="AD365" s="325">
        <f>'AVT187(vn-A)'!AZ137</f>
        <v>0</v>
      </c>
      <c r="AE365" s="325">
        <f>'AVT187(vn-A)'!BI137</f>
        <v>0</v>
      </c>
      <c r="AF365" s="325">
        <f>'AVT187In(vn-A)'!AZ111</f>
        <v>0</v>
      </c>
      <c r="AG365" s="325">
        <f>'AVT187In(vn-A)'!BI111</f>
        <v>0</v>
      </c>
      <c r="AH365" s="325">
        <f>'AVT187(vn-S)'!AZ143</f>
        <v>0</v>
      </c>
      <c r="AI365" s="325">
        <f>'AVT187(vn-S)'!BI143</f>
        <v>0</v>
      </c>
      <c r="AJ365" s="325">
        <f>'AVT187In(vn-S)'!AZ117</f>
        <v>0</v>
      </c>
      <c r="AK365" s="325">
        <f>'AVT187In(vn-S)'!BI117</f>
        <v>0</v>
      </c>
      <c r="AL365" s="325">
        <f>'AVT77'!AZ75</f>
        <v>0</v>
      </c>
      <c r="AM365" s="325">
        <f>'AVT77'!BI75</f>
        <v>0</v>
      </c>
      <c r="AN365" s="325">
        <f>'AVT-celny-101+187'!AZ108</f>
        <v>0</v>
      </c>
      <c r="AO365" s="325">
        <f>'AVT-celny-101+187'!BI108</f>
        <v>0</v>
      </c>
      <c r="AP365" s="325">
        <f>'AVT-celny-139+187'!AZ92</f>
        <v>0</v>
      </c>
      <c r="AQ365" s="325">
        <f>'AVT-celny-139+187'!BI92</f>
        <v>0</v>
      </c>
      <c r="AR365" s="325">
        <f>'AVT-celny-2x187'!AZ88</f>
        <v>0</v>
      </c>
      <c r="AS365" s="325">
        <f>'AVT-celny-2x187'!BI88</f>
        <v>0</v>
      </c>
      <c r="AT365" s="325">
        <f>'AVT-celny-2x187In'!AZ74</f>
        <v>0</v>
      </c>
      <c r="AU365" s="325">
        <f>'AVT-celny-2x187In'!BI74</f>
        <v>0</v>
      </c>
      <c r="AV365" s="325">
        <f>'potr-v101+187'!AZ146</f>
        <v>0</v>
      </c>
      <c r="AW365" s="325">
        <f>'potr-v101+187'!BI153</f>
        <v>0</v>
      </c>
      <c r="AX365" s="325">
        <f>'potr-v101+187-IL'!AZ146</f>
        <v>0</v>
      </c>
      <c r="AY365" s="325">
        <f>'potr-v101+187-IL'!BI153</f>
        <v>0</v>
      </c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7"/>
      <c r="BP365" s="37"/>
      <c r="BQ365" s="37"/>
      <c r="BR365" s="37"/>
      <c r="BS365" s="37"/>
      <c r="BT365" s="37"/>
      <c r="BU365" s="37"/>
      <c r="BV365" s="32"/>
      <c r="BW365" s="38"/>
      <c r="BX365" s="32"/>
      <c r="BY365" s="24"/>
      <c r="BZ365" s="24"/>
      <c r="CA365" s="24"/>
      <c r="CB365" s="24"/>
      <c r="CC365" s="24"/>
      <c r="CD365" s="24"/>
      <c r="CE365" s="24"/>
    </row>
    <row r="366" spans="1:83" ht="8.1" hidden="1" customHeight="1">
      <c r="A366" s="4"/>
      <c r="B366" s="126"/>
      <c r="C366" s="43"/>
      <c r="D366" s="39"/>
      <c r="E366" s="56"/>
      <c r="F366" s="60"/>
      <c r="G366" s="52"/>
      <c r="H366" s="54"/>
      <c r="I366" s="41"/>
      <c r="J366" s="122"/>
      <c r="K366" s="42"/>
      <c r="L366" s="42"/>
      <c r="M366" s="32"/>
      <c r="N366" s="35">
        <f t="shared" si="72"/>
        <v>0</v>
      </c>
      <c r="O366" s="36">
        <v>0</v>
      </c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7"/>
      <c r="BP366" s="37"/>
      <c r="BQ366" s="37"/>
      <c r="BR366" s="37"/>
      <c r="BS366" s="37"/>
      <c r="BT366" s="37"/>
      <c r="BU366" s="37"/>
      <c r="BV366" s="32"/>
      <c r="BW366" s="38"/>
      <c r="BX366" s="32"/>
      <c r="BY366" s="24"/>
      <c r="BZ366" s="24"/>
      <c r="CA366" s="24"/>
      <c r="CB366" s="24"/>
      <c r="CC366" s="24"/>
      <c r="CD366" s="24"/>
      <c r="CE366" s="24"/>
    </row>
    <row r="367" spans="1:83" ht="15" hidden="1" customHeight="1">
      <c r="A367" s="4"/>
      <c r="B367" s="39">
        <f>CENY!B1049</f>
        <v>9099540</v>
      </c>
      <c r="C367" s="43" t="str">
        <f>VLOOKUP(B367,CENY!$B$11:$G$1054,2,FALSE)</f>
        <v>SENSYS 8657i 165st. B12,5/TH52</v>
      </c>
      <c r="D367" s="39">
        <f>VLOOKUP(B367,CENY!$B$11:$G$1054,3,FALSE)</f>
        <v>50</v>
      </c>
      <c r="E367" s="56" t="str">
        <f>IF(VLOOKUP(B367,CENY!$B$11:$G$1054,4,FALSE)=0,"",VLOOKUP(B367,CENY!$B$11:$G$1054,4,FALSE))</f>
        <v/>
      </c>
      <c r="F367" s="40" t="str">
        <f>IF(J367&lt;&gt;"",J367,IF(N367=0,"",N367))</f>
        <v/>
      </c>
      <c r="G367" s="52">
        <f>VLOOKUP(B367,CENY!$B$11:$M$1054,12,FALSE)</f>
        <v>6.6812800000000001</v>
      </c>
      <c r="H367" s="54" t="str">
        <f t="shared" ref="H367:H371" si="76">IF(G367="","",$H$22)</f>
        <v xml:space="preserve"> EUR</v>
      </c>
      <c r="I367" s="41" t="str">
        <f t="shared" ref="I367:I371" si="77">IF(F367="","",G367*F367)</f>
        <v/>
      </c>
      <c r="J367" s="122"/>
      <c r="K367" s="42" t="str">
        <f>VLOOKUP(B367,CENY!$B$11:$M$1054,8,FALSE)</f>
        <v xml:space="preserve"> </v>
      </c>
      <c r="L367" s="42" t="str">
        <f>VLOOKUP(B367,CENY!$B$11:$M$1054,9,FALSE)</f>
        <v>264246</v>
      </c>
      <c r="M367" s="32"/>
      <c r="N367" s="35">
        <f t="shared" si="72"/>
        <v>0</v>
      </c>
      <c r="O367" s="36">
        <v>0</v>
      </c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7"/>
      <c r="BP367" s="37"/>
      <c r="BQ367" s="37"/>
      <c r="BR367" s="37"/>
      <c r="BS367" s="37"/>
      <c r="BT367" s="37"/>
      <c r="BU367" s="37"/>
      <c r="BV367" s="32"/>
      <c r="BW367" s="32"/>
      <c r="BX367" s="32"/>
      <c r="BY367" s="24"/>
      <c r="BZ367" s="24"/>
      <c r="CA367" s="24"/>
      <c r="CB367" s="24"/>
      <c r="CC367" s="24"/>
      <c r="CD367" s="24"/>
      <c r="CE367" s="24"/>
    </row>
    <row r="368" spans="1:83" ht="15" hidden="1" customHeight="1">
      <c r="A368" s="4"/>
      <c r="B368" s="39">
        <f>CENY!B1050</f>
        <v>9099600</v>
      </c>
      <c r="C368" s="43" t="str">
        <f>VLOOKUP(B368,CENY!$B$11:$G$1054,2,FALSE)</f>
        <v>SENSYS 8657 165st. B12,5/TH52 (bez SiSy)</v>
      </c>
      <c r="D368" s="39">
        <f>VLOOKUP(B368,CENY!$B$11:$G$1054,3,FALSE)</f>
        <v>50</v>
      </c>
      <c r="E368" s="56" t="str">
        <f>IF(VLOOKUP(B368,CENY!$B$11:$G$1054,4,FALSE)=0,"",VLOOKUP(B368,CENY!$B$11:$G$1054,4,FALSE))</f>
        <v/>
      </c>
      <c r="F368" s="40" t="str">
        <f>IF(J368&lt;&gt;"",J368,IF(F367="","",0))</f>
        <v/>
      </c>
      <c r="G368" s="52">
        <f>VLOOKUP(B368,CENY!$B$11:$M$1054,12,FALSE)</f>
        <v>6.23475</v>
      </c>
      <c r="H368" s="54" t="str">
        <f t="shared" si="76"/>
        <v xml:space="preserve"> EUR</v>
      </c>
      <c r="I368" s="41" t="str">
        <f t="shared" si="77"/>
        <v/>
      </c>
      <c r="J368" s="122"/>
      <c r="K368" s="42" t="str">
        <f>VLOOKUP(B368,CENY!$B$11:$M$1054,8,FALSE)</f>
        <v xml:space="preserve"> </v>
      </c>
      <c r="L368" s="42" t="str">
        <f>VLOOKUP(B368,CENY!$B$11:$M$1054,9,FALSE)</f>
        <v>264266</v>
      </c>
      <c r="M368" s="32"/>
      <c r="N368" s="35">
        <f t="shared" si="72"/>
        <v>0</v>
      </c>
      <c r="O368" s="36">
        <v>0</v>
      </c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7"/>
      <c r="BP368" s="37"/>
      <c r="BQ368" s="37"/>
      <c r="BR368" s="37"/>
      <c r="BS368" s="37"/>
      <c r="BT368" s="37"/>
      <c r="BU368" s="37"/>
      <c r="BV368" s="32"/>
      <c r="BW368" s="32"/>
      <c r="BX368" s="32"/>
      <c r="BY368" s="24"/>
      <c r="BZ368" s="24"/>
      <c r="CA368" s="24"/>
      <c r="CB368" s="24"/>
      <c r="CC368" s="24"/>
      <c r="CD368" s="24"/>
      <c r="CE368" s="24"/>
    </row>
    <row r="369" spans="1:83" ht="15" hidden="1" customHeight="1">
      <c r="A369" s="4"/>
      <c r="B369" s="39">
        <f>CENY!B1051</f>
        <v>9099660</v>
      </c>
      <c r="C369" s="43" t="str">
        <f>VLOOKUP(B369,CENY!$B$11:$G$1054,2,FALSE)</f>
        <v>SENSYS 8687 165st. B12,5/TH52 (pre P2O)</v>
      </c>
      <c r="D369" s="39">
        <f>VLOOKUP(B369,CENY!$B$11:$G$1054,3,FALSE)</f>
        <v>50</v>
      </c>
      <c r="E369" s="56" t="str">
        <f>IF(VLOOKUP(B369,CENY!$B$11:$G$1054,4,FALSE)=0,"",VLOOKUP(B369,CENY!$B$11:$G$1054,4,FALSE))</f>
        <v/>
      </c>
      <c r="F369" s="40" t="str">
        <f>IF(J369&lt;&gt;"",J369,IF(F367="","",0))</f>
        <v/>
      </c>
      <c r="G369" s="52">
        <f>VLOOKUP(B369,CENY!$B$11:$M$1054,12,FALSE)</f>
        <v>6.4656099999999999</v>
      </c>
      <c r="H369" s="54" t="str">
        <f t="shared" si="76"/>
        <v xml:space="preserve"> EUR</v>
      </c>
      <c r="I369" s="41" t="str">
        <f t="shared" si="77"/>
        <v/>
      </c>
      <c r="J369" s="122"/>
      <c r="K369" s="42" t="str">
        <f>VLOOKUP(B369,CENY!$B$11:$M$1054,8,FALSE)</f>
        <v xml:space="preserve"> </v>
      </c>
      <c r="L369" s="42" t="str">
        <f>VLOOKUP(B369,CENY!$B$11:$M$1054,9,FALSE)</f>
        <v>264278</v>
      </c>
      <c r="M369" s="32"/>
      <c r="N369" s="35">
        <f t="shared" si="72"/>
        <v>0</v>
      </c>
      <c r="O369" s="36">
        <v>0</v>
      </c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7"/>
      <c r="BP369" s="37"/>
      <c r="BQ369" s="37"/>
      <c r="BR369" s="37"/>
      <c r="BS369" s="37"/>
      <c r="BT369" s="37"/>
      <c r="BU369" s="37"/>
      <c r="BV369" s="32"/>
      <c r="BW369" s="32"/>
      <c r="BX369" s="32"/>
      <c r="BY369" s="24"/>
      <c r="BZ369" s="24"/>
      <c r="CA369" s="24"/>
      <c r="CB369" s="24"/>
      <c r="CC369" s="24"/>
      <c r="CD369" s="24"/>
      <c r="CE369" s="24"/>
    </row>
    <row r="370" spans="1:83" ht="15" hidden="1" customHeight="1">
      <c r="A370" s="4"/>
      <c r="B370" s="39">
        <f>CENY!B1052</f>
        <v>9071576</v>
      </c>
      <c r="C370" s="43" t="str">
        <f>VLOOKUP(B370,CENY!$B$11:$G$1054,2,FALSE)</f>
        <v>Podložka SENSYS k naskrut./D=1,5 mm</v>
      </c>
      <c r="D370" s="39">
        <f>VLOOKUP(B370,CENY!$B$11:$G$1054,3,FALSE)</f>
        <v>200</v>
      </c>
      <c r="E370" s="56" t="str">
        <f>IF(VLOOKUP(B370,CENY!$B$11:$G$1054,4,FALSE)=0,"",VLOOKUP(B370,CENY!$B$11:$G$1054,4,FALSE))</f>
        <v/>
      </c>
      <c r="F370" s="40" t="str">
        <f>IF(J370&lt;&gt;"",J370,IF(N370=0,"",N370))</f>
        <v/>
      </c>
      <c r="G370" s="52">
        <f>VLOOKUP(B370,CENY!$B$11:$M$1054,12,FALSE)</f>
        <v>0.38334000000000001</v>
      </c>
      <c r="H370" s="54" t="str">
        <f t="shared" si="76"/>
        <v xml:space="preserve"> EUR</v>
      </c>
      <c r="I370" s="41" t="str">
        <f t="shared" si="77"/>
        <v/>
      </c>
      <c r="J370" s="122"/>
      <c r="K370" s="42" t="str">
        <f>VLOOKUP(B370,CENY!$B$11:$M$1054,8,FALSE)</f>
        <v xml:space="preserve"> </v>
      </c>
      <c r="L370" s="42" t="str">
        <f>VLOOKUP(B370,CENY!$B$11:$M$1054,9,FALSE)</f>
        <v>106403</v>
      </c>
      <c r="M370" s="32"/>
      <c r="N370" s="35">
        <f t="shared" si="72"/>
        <v>0</v>
      </c>
      <c r="O370" s="36">
        <v>0</v>
      </c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7"/>
      <c r="BP370" s="37"/>
      <c r="BQ370" s="37"/>
      <c r="BR370" s="37"/>
      <c r="BS370" s="37"/>
      <c r="BT370" s="37"/>
      <c r="BU370" s="37"/>
      <c r="BV370" s="32"/>
      <c r="BW370" s="32"/>
      <c r="BX370" s="32"/>
      <c r="BY370" s="24"/>
      <c r="BZ370" s="24"/>
      <c r="CA370" s="24"/>
      <c r="CB370" s="24"/>
      <c r="CC370" s="24"/>
      <c r="CD370" s="24"/>
      <c r="CE370" s="24"/>
    </row>
    <row r="371" spans="1:83" ht="15" hidden="1" customHeight="1">
      <c r="A371" s="4"/>
      <c r="B371" s="39">
        <f>CENY!B1053</f>
        <v>9071671</v>
      </c>
      <c r="C371" s="43" t="str">
        <f>VLOOKUP(B371,CENY!$B$11:$G$1054,2,FALSE)</f>
        <v>Podlož.SENSYS s predm.skr.D=1,5(exc.)</v>
      </c>
      <c r="D371" s="39">
        <f>VLOOKUP(B371,CENY!$B$11:$G$1054,3,FALSE)</f>
        <v>200</v>
      </c>
      <c r="E371" s="56" t="str">
        <f>IF(VLOOKUP(B371,CENY!$B$11:$G$1054,4,FALSE)=0,"",VLOOKUP(B371,CENY!$B$11:$G$1054,4,FALSE))</f>
        <v/>
      </c>
      <c r="F371" s="40" t="str">
        <f>IF(J371&lt;&gt;"",J371,IF(F370="","",0))</f>
        <v/>
      </c>
      <c r="G371" s="52">
        <f>VLOOKUP(B371,CENY!$B$11:$M$1054,12,FALSE)</f>
        <v>0.82479999999999998</v>
      </c>
      <c r="H371" s="54" t="str">
        <f t="shared" si="76"/>
        <v xml:space="preserve"> EUR</v>
      </c>
      <c r="I371" s="41" t="str">
        <f t="shared" si="77"/>
        <v/>
      </c>
      <c r="J371" s="122"/>
      <c r="K371" s="42" t="str">
        <f>VLOOKUP(B371,CENY!$B$11:$M$1054,8,FALSE)</f>
        <v xml:space="preserve"> </v>
      </c>
      <c r="L371" s="42" t="str">
        <f>VLOOKUP(B371,CENY!$B$11:$M$1054,9,FALSE)</f>
        <v>106416</v>
      </c>
      <c r="M371" s="32"/>
      <c r="N371" s="35">
        <f t="shared" si="72"/>
        <v>0</v>
      </c>
      <c r="O371" s="36">
        <v>0</v>
      </c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7"/>
      <c r="BP371" s="37"/>
      <c r="BQ371" s="37"/>
      <c r="BR371" s="37"/>
      <c r="BS371" s="37"/>
      <c r="BT371" s="37"/>
      <c r="BU371" s="37"/>
      <c r="BV371" s="32"/>
      <c r="BW371" s="32"/>
      <c r="BX371" s="32"/>
      <c r="BY371" s="24"/>
      <c r="BZ371" s="24"/>
      <c r="CA371" s="24"/>
      <c r="CB371" s="24"/>
      <c r="CC371" s="24"/>
      <c r="CD371" s="24"/>
      <c r="CE371" s="24"/>
    </row>
    <row r="372" spans="1:83" ht="15" hidden="1" customHeight="1">
      <c r="A372" s="4"/>
      <c r="B372" s="123"/>
      <c r="C372" s="123"/>
      <c r="D372" s="124"/>
      <c r="E372" s="125"/>
      <c r="F372" s="124"/>
      <c r="G372" s="229"/>
      <c r="H372" s="54" t="str">
        <f t="shared" ref="H372:H381" si="78">IF(G372="","",$H$22)</f>
        <v/>
      </c>
      <c r="I372" s="41" t="str">
        <f t="shared" ref="I372:I381" si="79">IF(F372="","",G372*F372)</f>
        <v/>
      </c>
      <c r="J372" s="42"/>
      <c r="K372" s="42"/>
      <c r="L372" s="124"/>
      <c r="M372" s="32"/>
      <c r="N372" s="35">
        <f t="shared" si="72"/>
        <v>0</v>
      </c>
      <c r="O372" s="36">
        <v>0</v>
      </c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24"/>
      <c r="BZ372" s="24"/>
      <c r="CA372" s="24"/>
      <c r="CB372" s="24"/>
      <c r="CC372" s="24"/>
      <c r="CD372" s="24"/>
      <c r="CE372" s="24"/>
    </row>
    <row r="373" spans="1:83" ht="15" hidden="1" customHeight="1">
      <c r="A373" s="4"/>
      <c r="B373" s="123"/>
      <c r="C373" s="123"/>
      <c r="D373" s="124"/>
      <c r="E373" s="125"/>
      <c r="F373" s="124"/>
      <c r="G373" s="229"/>
      <c r="H373" s="54" t="str">
        <f t="shared" si="78"/>
        <v/>
      </c>
      <c r="I373" s="41" t="str">
        <f t="shared" si="79"/>
        <v/>
      </c>
      <c r="J373" s="42"/>
      <c r="K373" s="42"/>
      <c r="L373" s="124"/>
      <c r="M373" s="32"/>
      <c r="N373" s="35">
        <f t="shared" si="72"/>
        <v>0</v>
      </c>
      <c r="O373" s="36">
        <v>0</v>
      </c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24"/>
      <c r="BZ373" s="24"/>
      <c r="CA373" s="24"/>
      <c r="CB373" s="24"/>
      <c r="CC373" s="24"/>
      <c r="CD373" s="24"/>
      <c r="CE373" s="24"/>
    </row>
    <row r="374" spans="1:83" ht="15" hidden="1" customHeight="1">
      <c r="A374" s="4"/>
      <c r="B374" s="123"/>
      <c r="C374" s="123"/>
      <c r="D374" s="124"/>
      <c r="E374" s="125"/>
      <c r="F374" s="124"/>
      <c r="G374" s="229"/>
      <c r="H374" s="54" t="str">
        <f t="shared" si="78"/>
        <v/>
      </c>
      <c r="I374" s="41" t="str">
        <f t="shared" si="79"/>
        <v/>
      </c>
      <c r="J374" s="42"/>
      <c r="K374" s="42"/>
      <c r="L374" s="124"/>
      <c r="M374" s="32"/>
      <c r="N374" s="35">
        <f t="shared" si="72"/>
        <v>0</v>
      </c>
      <c r="O374" s="36">
        <v>0</v>
      </c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  <c r="BY374" s="24"/>
      <c r="BZ374" s="24"/>
      <c r="CA374" s="24"/>
      <c r="CB374" s="24"/>
      <c r="CC374" s="24"/>
      <c r="CD374" s="24"/>
      <c r="CE374" s="24"/>
    </row>
    <row r="375" spans="1:83" ht="15" hidden="1" customHeight="1">
      <c r="A375" s="4"/>
      <c r="B375" s="123"/>
      <c r="C375" s="123"/>
      <c r="D375" s="124"/>
      <c r="E375" s="125"/>
      <c r="F375" s="124"/>
      <c r="G375" s="229"/>
      <c r="H375" s="54" t="str">
        <f t="shared" si="78"/>
        <v/>
      </c>
      <c r="I375" s="41" t="str">
        <f t="shared" si="79"/>
        <v/>
      </c>
      <c r="J375" s="42"/>
      <c r="K375" s="42"/>
      <c r="L375" s="124"/>
      <c r="M375" s="32"/>
      <c r="N375" s="35">
        <f t="shared" si="72"/>
        <v>0</v>
      </c>
      <c r="O375" s="36">
        <v>0</v>
      </c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24"/>
      <c r="BZ375" s="24"/>
      <c r="CA375" s="24"/>
      <c r="CB375" s="24"/>
      <c r="CC375" s="24"/>
      <c r="CD375" s="24"/>
      <c r="CE375" s="24"/>
    </row>
    <row r="376" spans="1:83" ht="15" hidden="1" customHeight="1">
      <c r="A376" s="4"/>
      <c r="B376" s="123"/>
      <c r="C376" s="123"/>
      <c r="D376" s="124"/>
      <c r="E376" s="125"/>
      <c r="F376" s="124"/>
      <c r="G376" s="229"/>
      <c r="H376" s="54" t="str">
        <f t="shared" si="78"/>
        <v/>
      </c>
      <c r="I376" s="41" t="str">
        <f t="shared" si="79"/>
        <v/>
      </c>
      <c r="J376" s="42"/>
      <c r="K376" s="42"/>
      <c r="L376" s="124"/>
      <c r="M376" s="32"/>
      <c r="N376" s="35">
        <f t="shared" si="72"/>
        <v>0</v>
      </c>
      <c r="O376" s="36">
        <v>0</v>
      </c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24"/>
      <c r="BZ376" s="24"/>
      <c r="CA376" s="24"/>
      <c r="CB376" s="24"/>
      <c r="CC376" s="24"/>
      <c r="CD376" s="24"/>
      <c r="CE376" s="24"/>
    </row>
    <row r="377" spans="1:83" ht="15" hidden="1" customHeight="1">
      <c r="A377" s="4"/>
      <c r="B377" s="123"/>
      <c r="C377" s="123"/>
      <c r="D377" s="124"/>
      <c r="E377" s="125"/>
      <c r="F377" s="124"/>
      <c r="G377" s="229"/>
      <c r="H377" s="54" t="str">
        <f t="shared" si="78"/>
        <v/>
      </c>
      <c r="I377" s="41" t="str">
        <f t="shared" si="79"/>
        <v/>
      </c>
      <c r="J377" s="42"/>
      <c r="K377" s="42"/>
      <c r="L377" s="124"/>
      <c r="M377" s="32"/>
      <c r="N377" s="35">
        <f t="shared" si="72"/>
        <v>0</v>
      </c>
      <c r="O377" s="36">
        <v>0</v>
      </c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24"/>
      <c r="BZ377" s="24"/>
      <c r="CA377" s="24"/>
      <c r="CB377" s="24"/>
      <c r="CC377" s="24"/>
      <c r="CD377" s="24"/>
      <c r="CE377" s="24"/>
    </row>
    <row r="378" spans="1:83" ht="15" hidden="1" customHeight="1">
      <c r="A378" s="4"/>
      <c r="B378" s="123"/>
      <c r="C378" s="123"/>
      <c r="D378" s="124"/>
      <c r="E378" s="125"/>
      <c r="F378" s="124"/>
      <c r="G378" s="229"/>
      <c r="H378" s="54" t="str">
        <f t="shared" si="78"/>
        <v/>
      </c>
      <c r="I378" s="41" t="str">
        <f t="shared" si="79"/>
        <v/>
      </c>
      <c r="J378" s="42"/>
      <c r="K378" s="42"/>
      <c r="L378" s="124"/>
      <c r="M378" s="32"/>
      <c r="N378" s="35">
        <f t="shared" si="72"/>
        <v>0</v>
      </c>
      <c r="O378" s="36">
        <v>0</v>
      </c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  <c r="BR378" s="32"/>
      <c r="BS378" s="32"/>
      <c r="BT378" s="32"/>
      <c r="BU378" s="32"/>
      <c r="BV378" s="32"/>
      <c r="BW378" s="32"/>
      <c r="BX378" s="32"/>
      <c r="BY378" s="24"/>
      <c r="BZ378" s="24"/>
      <c r="CA378" s="24"/>
      <c r="CB378" s="24"/>
      <c r="CC378" s="24"/>
      <c r="CD378" s="24"/>
      <c r="CE378" s="24"/>
    </row>
    <row r="379" spans="1:83" ht="15" hidden="1" customHeight="1">
      <c r="A379" s="4"/>
      <c r="B379" s="123"/>
      <c r="C379" s="123"/>
      <c r="D379" s="124"/>
      <c r="E379" s="125"/>
      <c r="F379" s="124"/>
      <c r="G379" s="229"/>
      <c r="H379" s="54" t="str">
        <f t="shared" si="78"/>
        <v/>
      </c>
      <c r="I379" s="41" t="str">
        <f t="shared" si="79"/>
        <v/>
      </c>
      <c r="J379" s="42"/>
      <c r="K379" s="42"/>
      <c r="L379" s="124"/>
      <c r="M379" s="32"/>
      <c r="N379" s="35">
        <f t="shared" si="72"/>
        <v>0</v>
      </c>
      <c r="O379" s="36">
        <v>0</v>
      </c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24"/>
      <c r="BZ379" s="24"/>
      <c r="CA379" s="24"/>
      <c r="CB379" s="24"/>
      <c r="CC379" s="24"/>
      <c r="CD379" s="24"/>
      <c r="CE379" s="24"/>
    </row>
    <row r="380" spans="1:83" ht="15" hidden="1" customHeight="1">
      <c r="A380" s="4"/>
      <c r="B380" s="123"/>
      <c r="C380" s="123"/>
      <c r="D380" s="124"/>
      <c r="E380" s="125"/>
      <c r="F380" s="124"/>
      <c r="G380" s="229"/>
      <c r="H380" s="54" t="str">
        <f t="shared" si="78"/>
        <v/>
      </c>
      <c r="I380" s="41" t="str">
        <f t="shared" si="79"/>
        <v/>
      </c>
      <c r="J380" s="42"/>
      <c r="K380" s="42"/>
      <c r="L380" s="124"/>
      <c r="M380" s="32"/>
      <c r="N380" s="35">
        <f t="shared" si="72"/>
        <v>0</v>
      </c>
      <c r="O380" s="36">
        <v>0</v>
      </c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24"/>
      <c r="BZ380" s="24"/>
      <c r="CA380" s="24"/>
      <c r="CB380" s="24"/>
      <c r="CC380" s="24"/>
      <c r="CD380" s="24"/>
      <c r="CE380" s="24"/>
    </row>
    <row r="381" spans="1:83" ht="15" hidden="1" customHeight="1">
      <c r="A381" s="4"/>
      <c r="B381" s="123"/>
      <c r="C381" s="123"/>
      <c r="D381" s="124"/>
      <c r="E381" s="125"/>
      <c r="F381" s="124"/>
      <c r="G381" s="229"/>
      <c r="H381" s="54" t="str">
        <f t="shared" si="78"/>
        <v/>
      </c>
      <c r="I381" s="41" t="str">
        <f t="shared" si="79"/>
        <v/>
      </c>
      <c r="J381" s="42"/>
      <c r="K381" s="42"/>
      <c r="L381" s="124"/>
      <c r="M381" s="32"/>
      <c r="N381" s="35">
        <f t="shared" si="72"/>
        <v>0</v>
      </c>
      <c r="O381" s="36">
        <v>0</v>
      </c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24"/>
      <c r="BZ381" s="24"/>
      <c r="CA381" s="24"/>
      <c r="CB381" s="24"/>
      <c r="CC381" s="24"/>
      <c r="CD381" s="24"/>
      <c r="CE381" s="24"/>
    </row>
    <row r="382" spans="1:83" ht="15" customHeight="1">
      <c r="A382" s="4"/>
      <c r="B382" s="4"/>
      <c r="C382" s="44"/>
      <c r="D382" s="24"/>
      <c r="E382" s="45"/>
      <c r="F382" s="24"/>
      <c r="G382" s="24"/>
      <c r="H382" s="24"/>
      <c r="I382" s="24"/>
      <c r="J382" s="32"/>
      <c r="K382" s="24"/>
      <c r="L382" s="24"/>
      <c r="M382" s="32"/>
      <c r="N382" s="24"/>
      <c r="O382" s="25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32"/>
      <c r="BX382" s="32"/>
      <c r="BY382" s="24"/>
      <c r="BZ382" s="24"/>
      <c r="CA382" s="24"/>
      <c r="CB382" s="24"/>
      <c r="CC382" s="24"/>
      <c r="CD382" s="24"/>
      <c r="CE382" s="24"/>
    </row>
    <row r="383" spans="1:83" ht="15" customHeight="1">
      <c r="A383" s="4"/>
      <c r="B383" s="4"/>
      <c r="C383" s="58"/>
      <c r="D383" s="58"/>
      <c r="E383" s="46"/>
      <c r="F383" s="47" t="str">
        <f>verze!$E$207</f>
        <v xml:space="preserve">Cena ceľkom bez DPH </v>
      </c>
      <c r="G383" s="620">
        <f>SUM(I23:I381)</f>
        <v>0</v>
      </c>
      <c r="H383" s="620"/>
      <c r="I383" s="620"/>
      <c r="J383" s="59" t="str">
        <f>$H$22</f>
        <v xml:space="preserve"> EUR</v>
      </c>
      <c r="K383" s="24"/>
      <c r="L383" s="24"/>
      <c r="M383" s="24"/>
      <c r="N383" s="24"/>
      <c r="O383" s="25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24"/>
      <c r="BZ383" s="24"/>
      <c r="CA383" s="24"/>
      <c r="CB383" s="24"/>
      <c r="CC383" s="24"/>
      <c r="CD383" s="24"/>
      <c r="CE383" s="24"/>
    </row>
    <row r="384" spans="1:83" ht="15" customHeight="1">
      <c r="A384" s="4"/>
      <c r="B384" s="4"/>
      <c r="C384" s="44"/>
      <c r="D384" s="24"/>
      <c r="E384" s="45"/>
      <c r="F384" s="24"/>
      <c r="G384" s="24"/>
      <c r="H384" s="24"/>
      <c r="I384" s="24"/>
      <c r="J384" s="32"/>
      <c r="K384" s="24"/>
      <c r="L384" s="24"/>
      <c r="M384" s="24"/>
      <c r="N384" s="24"/>
      <c r="O384" s="25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  <c r="BY384" s="24"/>
      <c r="BZ384" s="24"/>
      <c r="CA384" s="24"/>
      <c r="CB384" s="24"/>
      <c r="CC384" s="24"/>
      <c r="CD384" s="24"/>
      <c r="CE384" s="24"/>
    </row>
    <row r="385" spans="1:83" ht="15" customHeight="1">
      <c r="A385" s="4"/>
      <c r="B385" s="4"/>
      <c r="C385" s="48" t="s">
        <v>47</v>
      </c>
      <c r="D385" s="24"/>
      <c r="E385" s="45"/>
      <c r="F385" s="24"/>
      <c r="G385" s="24"/>
      <c r="H385" s="24"/>
      <c r="I385" s="24"/>
      <c r="J385" s="32"/>
      <c r="K385" s="24"/>
      <c r="L385" s="24"/>
      <c r="M385" s="24"/>
      <c r="N385" s="24"/>
      <c r="O385" s="25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  <c r="AR385" s="32"/>
      <c r="AS385" s="32"/>
      <c r="AT385" s="32"/>
      <c r="AU385" s="32"/>
      <c r="AV385" s="32"/>
      <c r="AW385" s="32"/>
      <c r="AX385" s="32"/>
      <c r="AY385" s="32"/>
      <c r="AZ385" s="32"/>
      <c r="BA385" s="32"/>
      <c r="BB385" s="32"/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24"/>
      <c r="BZ385" s="24"/>
      <c r="CA385" s="24"/>
      <c r="CB385" s="24"/>
      <c r="CC385" s="24"/>
      <c r="CD385" s="24"/>
      <c r="CE385" s="24"/>
    </row>
    <row r="386" spans="1:83" ht="15" customHeight="1">
      <c r="A386" s="4"/>
      <c r="B386" s="4"/>
      <c r="C386" s="48"/>
      <c r="D386" s="24"/>
      <c r="E386" s="45"/>
      <c r="F386" s="24"/>
      <c r="G386" s="24"/>
      <c r="H386" s="24"/>
      <c r="I386" s="24"/>
      <c r="J386" s="32"/>
      <c r="K386" s="24"/>
      <c r="L386" s="24"/>
      <c r="M386" s="24"/>
      <c r="N386" s="24"/>
      <c r="O386" s="25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2"/>
      <c r="BX386" s="32"/>
      <c r="BY386" s="24"/>
      <c r="BZ386" s="24"/>
      <c r="CA386" s="24"/>
      <c r="CB386" s="24"/>
      <c r="CC386" s="24"/>
      <c r="CD386" s="24"/>
      <c r="CE386" s="24"/>
    </row>
    <row r="387" spans="1:83" ht="15" customHeight="1">
      <c r="A387" s="4"/>
      <c r="B387" s="4"/>
      <c r="C387" s="49" t="str">
        <f>verze!$E$208</f>
        <v>Poznámka :</v>
      </c>
      <c r="D387" s="24"/>
      <c r="E387" s="45"/>
      <c r="F387" s="24"/>
      <c r="G387" s="24"/>
      <c r="H387" s="24"/>
      <c r="I387" s="24"/>
      <c r="J387" s="32"/>
      <c r="K387" s="24"/>
      <c r="L387" s="24"/>
      <c r="M387" s="24"/>
      <c r="N387" s="24"/>
      <c r="O387" s="25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  <c r="AR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24"/>
      <c r="BZ387" s="24"/>
      <c r="CA387" s="24"/>
      <c r="CB387" s="24"/>
      <c r="CC387" s="24"/>
      <c r="CD387" s="24"/>
      <c r="CE387" s="24"/>
    </row>
    <row r="388" spans="1:83" ht="15" customHeight="1">
      <c r="A388" s="24"/>
      <c r="B388" s="24"/>
      <c r="C388" s="622"/>
      <c r="D388" s="622"/>
      <c r="E388" s="622"/>
      <c r="F388" s="622"/>
      <c r="G388" s="622"/>
      <c r="H388" s="622"/>
      <c r="I388" s="622"/>
      <c r="J388" s="622"/>
      <c r="K388" s="622"/>
      <c r="L388" s="622"/>
      <c r="M388" s="50"/>
      <c r="N388" s="24"/>
      <c r="O388" s="25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32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32"/>
      <c r="BX388" s="32"/>
      <c r="BY388" s="24"/>
      <c r="BZ388" s="24"/>
      <c r="CA388" s="24"/>
      <c r="CB388" s="24"/>
      <c r="CC388" s="24"/>
      <c r="CD388" s="24"/>
      <c r="CE388" s="24"/>
    </row>
    <row r="389" spans="1:83" ht="15" customHeight="1">
      <c r="A389" s="24"/>
      <c r="B389" s="24"/>
      <c r="C389" s="622"/>
      <c r="D389" s="622"/>
      <c r="E389" s="622"/>
      <c r="F389" s="622"/>
      <c r="G389" s="622"/>
      <c r="H389" s="622"/>
      <c r="I389" s="622"/>
      <c r="J389" s="622"/>
      <c r="K389" s="622"/>
      <c r="L389" s="622"/>
      <c r="M389" s="50"/>
      <c r="N389" s="24"/>
      <c r="O389" s="25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24"/>
      <c r="BZ389" s="24"/>
      <c r="CA389" s="24"/>
      <c r="CB389" s="24"/>
      <c r="CC389" s="24"/>
      <c r="CD389" s="24"/>
      <c r="CE389" s="24"/>
    </row>
    <row r="390" spans="1:83" ht="15" customHeight="1">
      <c r="A390" s="24"/>
      <c r="B390" s="24"/>
      <c r="C390" s="622"/>
      <c r="D390" s="622"/>
      <c r="E390" s="622"/>
      <c r="F390" s="622"/>
      <c r="G390" s="622"/>
      <c r="H390" s="622"/>
      <c r="I390" s="622"/>
      <c r="J390" s="622"/>
      <c r="K390" s="622"/>
      <c r="L390" s="622"/>
      <c r="M390" s="50"/>
      <c r="N390" s="24"/>
      <c r="O390" s="25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  <c r="AR390" s="32"/>
      <c r="AS390" s="32"/>
      <c r="AT390" s="32"/>
      <c r="AU390" s="32"/>
      <c r="AV390" s="32"/>
      <c r="AW390" s="32"/>
      <c r="AX390" s="32"/>
      <c r="AY390" s="32"/>
      <c r="AZ390" s="32"/>
      <c r="BA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  <c r="BR390" s="32"/>
      <c r="BS390" s="32"/>
      <c r="BT390" s="32"/>
      <c r="BU390" s="32"/>
      <c r="BV390" s="32"/>
      <c r="BW390" s="32"/>
      <c r="BX390" s="32"/>
      <c r="BY390" s="24"/>
      <c r="BZ390" s="24"/>
      <c r="CA390" s="24"/>
      <c r="CB390" s="24"/>
      <c r="CC390" s="24"/>
      <c r="CD390" s="24"/>
      <c r="CE390" s="24"/>
    </row>
    <row r="391" spans="1:83" ht="15" customHeight="1">
      <c r="A391" s="24"/>
      <c r="B391" s="24"/>
      <c r="C391" s="24"/>
      <c r="D391" s="24"/>
      <c r="E391" s="45"/>
      <c r="F391" s="24"/>
      <c r="G391" s="24"/>
      <c r="H391" s="24"/>
      <c r="I391" s="24"/>
      <c r="J391" s="32"/>
      <c r="K391" s="24"/>
      <c r="L391" s="24"/>
      <c r="M391" s="24"/>
      <c r="N391" s="24"/>
      <c r="O391" s="25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24"/>
      <c r="BZ391" s="24"/>
      <c r="CA391" s="24"/>
      <c r="CB391" s="24"/>
      <c r="CC391" s="24"/>
      <c r="CD391" s="24"/>
      <c r="CE391" s="24"/>
    </row>
    <row r="392" spans="1:83" ht="15" customHeight="1">
      <c r="A392" s="24"/>
      <c r="B392" s="153">
        <f ca="1">NOW()</f>
        <v>46287.563696527781</v>
      </c>
      <c r="C392" s="238"/>
      <c r="D392" s="24"/>
      <c r="E392" s="45"/>
      <c r="F392" s="24"/>
      <c r="G392" s="24"/>
      <c r="H392" s="24"/>
      <c r="I392" s="24"/>
      <c r="J392" s="32"/>
      <c r="K392" s="24"/>
      <c r="L392" s="24"/>
      <c r="M392" s="24"/>
      <c r="N392" s="24"/>
      <c r="O392" s="25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2"/>
      <c r="BX392" s="32"/>
      <c r="BY392" s="24"/>
      <c r="BZ392" s="24"/>
      <c r="CA392" s="24"/>
      <c r="CB392" s="24"/>
      <c r="CC392" s="24"/>
      <c r="CD392" s="24"/>
      <c r="CE392" s="24"/>
    </row>
    <row r="393" spans="1:83" ht="15" customHeight="1">
      <c r="A393" s="24"/>
      <c r="B393" s="153"/>
      <c r="C393" s="24"/>
      <c r="D393" s="24"/>
      <c r="E393" s="45"/>
      <c r="F393" s="24"/>
      <c r="G393" s="24"/>
      <c r="H393" s="24"/>
      <c r="I393" s="24"/>
      <c r="J393" s="32"/>
      <c r="K393" s="24"/>
      <c r="L393" s="24"/>
      <c r="M393" s="24"/>
      <c r="N393" s="24"/>
      <c r="O393" s="25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24"/>
      <c r="BZ393" s="24"/>
      <c r="CA393" s="24"/>
      <c r="CB393" s="24"/>
      <c r="CC393" s="24"/>
      <c r="CD393" s="24"/>
      <c r="CE393" s="24"/>
    </row>
    <row r="394" spans="1:83" ht="15" customHeight="1">
      <c r="A394" s="24"/>
      <c r="B394" s="24"/>
      <c r="C394" s="24" t="str">
        <f>verze!$E$191</f>
        <v xml:space="preserve">V stĺpci "Zmena" môžeš upraviť počty kusov jednotlivých položiek. </v>
      </c>
      <c r="D394" s="24"/>
      <c r="E394" s="45"/>
      <c r="F394" s="24"/>
      <c r="G394" s="24"/>
      <c r="H394" s="24"/>
      <c r="I394" s="24"/>
      <c r="J394" s="32"/>
      <c r="K394" s="24"/>
      <c r="L394" s="24"/>
      <c r="M394" s="24"/>
      <c r="N394" s="24"/>
      <c r="O394" s="25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2"/>
      <c r="AV394" s="32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  <c r="BR394" s="32"/>
      <c r="BS394" s="32"/>
      <c r="BT394" s="32"/>
      <c r="BU394" s="32"/>
      <c r="BV394" s="32"/>
      <c r="BW394" s="32"/>
      <c r="BX394" s="32"/>
      <c r="BY394" s="24"/>
      <c r="BZ394" s="24"/>
      <c r="CA394" s="24"/>
      <c r="CB394" s="24"/>
      <c r="CC394" s="24"/>
      <c r="CD394" s="24"/>
      <c r="CE394" s="24"/>
    </row>
    <row r="395" spans="1:83" ht="15" customHeight="1">
      <c r="A395" s="24"/>
      <c r="B395" s="24"/>
      <c r="C395" s="24" t="str">
        <f>verze!$E$192</f>
        <v>Po úprave objednávky odfiltruj prázné riadky pomocou filtru v stĺpci "Počet".</v>
      </c>
      <c r="D395" s="24"/>
      <c r="E395" s="45"/>
      <c r="F395" s="24"/>
      <c r="G395" s="24"/>
      <c r="H395" s="24"/>
      <c r="I395" s="24"/>
      <c r="J395" s="32"/>
      <c r="K395" s="24"/>
      <c r="L395" s="24"/>
      <c r="M395" s="24"/>
      <c r="N395" s="24"/>
      <c r="O395" s="25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2"/>
      <c r="AV395" s="32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2"/>
      <c r="BH395" s="32"/>
      <c r="BI395" s="32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  <c r="BY395" s="24"/>
      <c r="BZ395" s="24"/>
      <c r="CA395" s="24"/>
      <c r="CB395" s="24"/>
      <c r="CC395" s="24"/>
      <c r="CD395" s="24"/>
      <c r="CE395" s="24"/>
    </row>
    <row r="396" spans="1:83" ht="15" customHeight="1">
      <c r="A396" s="24"/>
      <c r="B396" s="24"/>
      <c r="C396" s="24" t="str">
        <f>verze!$E$193</f>
        <v>Pokiaľ chceš objednávku uložiť alebo odoslať ako prílohu, vytvor nový súbor kliknutím na odkaz  'Vytvoriť objednávku'.</v>
      </c>
      <c r="D396" s="24"/>
      <c r="E396" s="45"/>
      <c r="F396" s="24"/>
      <c r="G396" s="24"/>
      <c r="H396" s="24"/>
      <c r="I396" s="24"/>
      <c r="J396" s="32"/>
      <c r="K396" s="24"/>
      <c r="L396" s="24"/>
      <c r="M396" s="24"/>
      <c r="N396" s="24"/>
      <c r="O396" s="25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2"/>
      <c r="AV396" s="32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  <c r="BR396" s="32"/>
      <c r="BS396" s="32"/>
      <c r="BT396" s="32"/>
      <c r="BU396" s="32"/>
      <c r="BV396" s="32"/>
      <c r="BW396" s="32"/>
      <c r="BX396" s="32"/>
      <c r="BY396" s="24"/>
      <c r="BZ396" s="24"/>
      <c r="CA396" s="24"/>
      <c r="CB396" s="24"/>
      <c r="CC396" s="24"/>
      <c r="CD396" s="24"/>
      <c r="CE396" s="24"/>
    </row>
    <row r="397" spans="1:83" ht="15" customHeight="1">
      <c r="A397" s="24"/>
      <c r="B397" s="24"/>
      <c r="C397" s="24"/>
      <c r="D397" s="24"/>
      <c r="E397" s="45"/>
      <c r="F397" s="24"/>
      <c r="G397" s="24"/>
      <c r="H397" s="24"/>
      <c r="I397" s="24"/>
      <c r="J397" s="32"/>
      <c r="K397" s="24"/>
      <c r="L397" s="24"/>
      <c r="M397" s="24"/>
      <c r="N397" s="24"/>
      <c r="O397" s="25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2"/>
      <c r="AV397" s="32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24"/>
      <c r="BZ397" s="24"/>
      <c r="CA397" s="24"/>
      <c r="CB397" s="24"/>
      <c r="CC397" s="24"/>
      <c r="CD397" s="24"/>
      <c r="CE397" s="24"/>
    </row>
    <row r="398" spans="1:83" ht="15" customHeight="1">
      <c r="A398" s="24"/>
      <c r="B398" s="153"/>
      <c r="C398" s="24"/>
      <c r="D398" s="24"/>
      <c r="E398" s="45"/>
      <c r="F398" s="24"/>
      <c r="G398" s="24"/>
      <c r="H398" s="24"/>
      <c r="I398" s="24"/>
      <c r="J398" s="32"/>
      <c r="K398" s="24"/>
      <c r="L398" s="24"/>
      <c r="M398" s="24"/>
      <c r="N398" s="24"/>
      <c r="O398" s="25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2"/>
      <c r="BX398" s="32"/>
      <c r="BY398" s="24"/>
      <c r="BZ398" s="24"/>
      <c r="CA398" s="24"/>
      <c r="CB398" s="24"/>
      <c r="CC398" s="24"/>
      <c r="CD398" s="24"/>
      <c r="CE398" s="24"/>
    </row>
    <row r="399" spans="1:83" ht="15" customHeight="1">
      <c r="A399" s="24"/>
      <c r="B399" s="24"/>
      <c r="C399" s="24"/>
      <c r="D399" s="24"/>
      <c r="E399" s="45"/>
      <c r="F399" s="24"/>
      <c r="G399" s="24"/>
      <c r="H399" s="24"/>
      <c r="I399" s="24"/>
      <c r="J399" s="32"/>
      <c r="K399" s="24"/>
      <c r="L399" s="24"/>
      <c r="M399" s="24"/>
      <c r="N399" s="24"/>
      <c r="O399" s="25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2"/>
      <c r="AV399" s="32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24"/>
      <c r="BZ399" s="24"/>
      <c r="CA399" s="24"/>
      <c r="CB399" s="24"/>
      <c r="CC399" s="24"/>
      <c r="CD399" s="24"/>
      <c r="CE399" s="24"/>
    </row>
    <row r="400" spans="1:83" ht="15" customHeight="1">
      <c r="A400" s="24"/>
      <c r="B400" s="24"/>
      <c r="C400" s="24"/>
      <c r="D400" s="24"/>
      <c r="E400" s="45"/>
      <c r="F400" s="24"/>
      <c r="G400" s="24"/>
      <c r="H400" s="24"/>
      <c r="I400" s="24"/>
      <c r="J400" s="32"/>
      <c r="K400" s="24"/>
      <c r="L400" s="24"/>
      <c r="M400" s="24"/>
      <c r="N400" s="24"/>
      <c r="O400" s="25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2"/>
      <c r="AV400" s="32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  <c r="BS400" s="32"/>
      <c r="BT400" s="32"/>
      <c r="BU400" s="32"/>
      <c r="BV400" s="32"/>
      <c r="BW400" s="32"/>
      <c r="BX400" s="32"/>
      <c r="BY400" s="24"/>
      <c r="BZ400" s="24"/>
      <c r="CA400" s="24"/>
      <c r="CB400" s="24"/>
      <c r="CC400" s="24"/>
      <c r="CD400" s="24"/>
      <c r="CE400" s="24"/>
    </row>
    <row r="401" spans="1:83" ht="15" customHeight="1">
      <c r="A401" s="24"/>
      <c r="B401" s="24"/>
      <c r="C401" s="24"/>
      <c r="D401" s="24"/>
      <c r="E401" s="45"/>
      <c r="F401" s="24"/>
      <c r="G401" s="24"/>
      <c r="H401" s="24"/>
      <c r="I401" s="24"/>
      <c r="J401" s="32"/>
      <c r="K401" s="24"/>
      <c r="L401" s="24"/>
      <c r="M401" s="24"/>
      <c r="N401" s="24"/>
      <c r="O401" s="25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2"/>
      <c r="AV401" s="32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24"/>
      <c r="BZ401" s="24"/>
      <c r="CA401" s="24"/>
      <c r="CB401" s="24"/>
      <c r="CC401" s="24"/>
      <c r="CD401" s="24"/>
      <c r="CE401" s="24"/>
    </row>
    <row r="402" spans="1:83" ht="15" customHeight="1">
      <c r="A402" s="24"/>
      <c r="B402" s="24"/>
      <c r="C402" s="24"/>
      <c r="D402" s="24"/>
      <c r="E402" s="45"/>
      <c r="F402" s="24"/>
      <c r="G402" s="24"/>
      <c r="H402" s="24"/>
      <c r="I402" s="24"/>
      <c r="J402" s="32"/>
      <c r="K402" s="24"/>
      <c r="L402" s="24"/>
      <c r="M402" s="24"/>
      <c r="N402" s="24"/>
      <c r="O402" s="25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  <c r="AR402" s="32"/>
      <c r="AS402" s="32"/>
      <c r="AT402" s="32"/>
      <c r="AU402" s="32"/>
      <c r="AV402" s="32"/>
      <c r="AW402" s="32"/>
      <c r="AX402" s="32"/>
      <c r="AY402" s="32"/>
      <c r="AZ402" s="32"/>
      <c r="BA402" s="32"/>
      <c r="BB402" s="32"/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24"/>
      <c r="BZ402" s="24"/>
      <c r="CA402" s="24"/>
      <c r="CB402" s="24"/>
      <c r="CC402" s="24"/>
      <c r="CD402" s="24"/>
      <c r="CE402" s="24"/>
    </row>
    <row r="403" spans="1:83" ht="15" customHeight="1">
      <c r="A403" s="24"/>
      <c r="B403" s="24"/>
      <c r="C403" s="24"/>
      <c r="D403" s="24"/>
      <c r="E403" s="45"/>
      <c r="F403" s="24"/>
      <c r="G403" s="24"/>
      <c r="H403" s="24"/>
      <c r="I403" s="24"/>
      <c r="J403" s="32"/>
      <c r="K403" s="24"/>
      <c r="L403" s="24"/>
      <c r="M403" s="24"/>
      <c r="N403" s="24"/>
      <c r="O403" s="25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  <c r="AO403" s="32"/>
      <c r="AP403" s="32"/>
      <c r="AQ403" s="32"/>
      <c r="AR403" s="32"/>
      <c r="AS403" s="32"/>
      <c r="AT403" s="32"/>
      <c r="AU403" s="32"/>
      <c r="AV403" s="32"/>
      <c r="AW403" s="32"/>
      <c r="AX403" s="32"/>
      <c r="AY403" s="32"/>
      <c r="AZ403" s="32"/>
      <c r="BA403" s="32"/>
      <c r="BB403" s="32"/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24"/>
      <c r="BZ403" s="24"/>
      <c r="CA403" s="24"/>
      <c r="CB403" s="24"/>
      <c r="CC403" s="24"/>
      <c r="CD403" s="24"/>
      <c r="CE403" s="24"/>
    </row>
    <row r="404" spans="1:83" ht="15" customHeight="1">
      <c r="A404" s="24"/>
      <c r="B404" s="24"/>
      <c r="C404" s="24"/>
      <c r="D404" s="24"/>
      <c r="E404" s="45"/>
      <c r="F404" s="24"/>
      <c r="G404" s="24"/>
      <c r="H404" s="24"/>
      <c r="I404" s="24"/>
      <c r="J404" s="32"/>
      <c r="K404" s="24"/>
      <c r="L404" s="24"/>
      <c r="M404" s="24"/>
      <c r="N404" s="24"/>
      <c r="O404" s="25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2"/>
      <c r="AV404" s="32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  <c r="BY404" s="24"/>
      <c r="BZ404" s="24"/>
      <c r="CA404" s="24"/>
      <c r="CB404" s="24"/>
      <c r="CC404" s="24"/>
      <c r="CD404" s="24"/>
      <c r="CE404" s="24"/>
    </row>
    <row r="405" spans="1:83" ht="15" customHeight="1">
      <c r="A405" s="24"/>
      <c r="B405" s="24"/>
      <c r="C405" s="24"/>
      <c r="D405" s="24"/>
      <c r="E405" s="45"/>
      <c r="F405" s="24"/>
      <c r="G405" s="24"/>
      <c r="H405" s="24"/>
      <c r="I405" s="24"/>
      <c r="J405" s="32"/>
      <c r="K405" s="24"/>
      <c r="L405" s="24"/>
      <c r="M405" s="24"/>
      <c r="N405" s="24"/>
      <c r="O405" s="25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  <c r="AO405" s="32"/>
      <c r="AP405" s="32"/>
      <c r="AQ405" s="32"/>
      <c r="AR405" s="32"/>
      <c r="AS405" s="32"/>
      <c r="AT405" s="32"/>
      <c r="AU405" s="32"/>
      <c r="AV405" s="32"/>
      <c r="AW405" s="32"/>
      <c r="AX405" s="32"/>
      <c r="AY405" s="32"/>
      <c r="AZ405" s="32"/>
      <c r="BA405" s="32"/>
      <c r="BB405" s="32"/>
      <c r="BC405" s="32"/>
      <c r="BD405" s="32"/>
      <c r="BE405" s="32"/>
      <c r="BF405" s="32"/>
      <c r="BG405" s="32"/>
      <c r="BH405" s="32"/>
      <c r="BI405" s="32"/>
      <c r="BJ405" s="32"/>
      <c r="BK405" s="32"/>
      <c r="BL405" s="32"/>
      <c r="BM405" s="32"/>
      <c r="BN405" s="32"/>
      <c r="BO405" s="32"/>
      <c r="BP405" s="32"/>
      <c r="BQ405" s="32"/>
      <c r="BR405" s="32"/>
      <c r="BS405" s="32"/>
      <c r="BT405" s="32"/>
      <c r="BU405" s="32"/>
      <c r="BV405" s="32"/>
      <c r="BW405" s="32"/>
      <c r="BX405" s="32"/>
      <c r="BY405" s="24"/>
      <c r="BZ405" s="24"/>
      <c r="CA405" s="24"/>
      <c r="CB405" s="24"/>
      <c r="CC405" s="24"/>
      <c r="CD405" s="24"/>
      <c r="CE405" s="24"/>
    </row>
    <row r="406" spans="1:83" ht="15" customHeight="1">
      <c r="A406" s="24"/>
      <c r="B406" s="24"/>
      <c r="C406" s="24"/>
      <c r="D406" s="24"/>
      <c r="E406" s="45"/>
      <c r="F406" s="24"/>
      <c r="G406" s="24"/>
      <c r="H406" s="24"/>
      <c r="I406" s="24"/>
      <c r="J406" s="32"/>
      <c r="K406" s="24"/>
      <c r="L406" s="24"/>
      <c r="M406" s="24"/>
      <c r="N406" s="24"/>
      <c r="O406" s="25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  <c r="AN406" s="32"/>
      <c r="AO406" s="32"/>
      <c r="AP406" s="32"/>
      <c r="AQ406" s="32"/>
      <c r="AR406" s="32"/>
      <c r="AS406" s="32"/>
      <c r="AT406" s="32"/>
      <c r="AU406" s="32"/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  <c r="BY406" s="24"/>
      <c r="BZ406" s="24"/>
      <c r="CA406" s="24"/>
      <c r="CB406" s="24"/>
      <c r="CC406" s="24"/>
      <c r="CD406" s="24"/>
      <c r="CE406" s="24"/>
    </row>
    <row r="407" spans="1:83" ht="15" customHeight="1">
      <c r="A407" s="24"/>
      <c r="B407" s="24"/>
      <c r="C407" s="24"/>
      <c r="D407" s="24"/>
      <c r="E407" s="45"/>
      <c r="F407" s="24"/>
      <c r="G407" s="24"/>
      <c r="H407" s="24"/>
      <c r="I407" s="24"/>
      <c r="J407" s="32"/>
      <c r="K407" s="24"/>
      <c r="L407" s="24"/>
      <c r="M407" s="24"/>
      <c r="N407" s="24"/>
      <c r="O407" s="25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  <c r="AO407" s="32"/>
      <c r="AP407" s="32"/>
      <c r="AQ407" s="32"/>
      <c r="AR407" s="32"/>
      <c r="AS407" s="32"/>
      <c r="AT407" s="32"/>
      <c r="AU407" s="32"/>
      <c r="AV407" s="32"/>
      <c r="AW407" s="32"/>
      <c r="AX407" s="32"/>
      <c r="AY407" s="32"/>
      <c r="AZ407" s="32"/>
      <c r="BA407" s="32"/>
      <c r="BB407" s="32"/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  <c r="BN407" s="32"/>
      <c r="BO407" s="32"/>
      <c r="BP407" s="32"/>
      <c r="BQ407" s="32"/>
      <c r="BR407" s="32"/>
      <c r="BS407" s="32"/>
      <c r="BT407" s="32"/>
      <c r="BU407" s="32"/>
      <c r="BV407" s="32"/>
      <c r="BW407" s="32"/>
      <c r="BX407" s="32"/>
      <c r="BY407" s="24"/>
      <c r="BZ407" s="24"/>
      <c r="CA407" s="24"/>
      <c r="CB407" s="24"/>
      <c r="CC407" s="24"/>
      <c r="CD407" s="24"/>
      <c r="CE407" s="24"/>
    </row>
    <row r="408" spans="1:83" ht="15" customHeight="1">
      <c r="A408" s="24"/>
      <c r="B408" s="24"/>
      <c r="C408" s="24"/>
      <c r="D408" s="24"/>
      <c r="E408" s="45"/>
      <c r="F408" s="24"/>
      <c r="G408" s="24"/>
      <c r="H408" s="24"/>
      <c r="I408" s="24"/>
      <c r="J408" s="32"/>
      <c r="K408" s="24"/>
      <c r="L408" s="24"/>
      <c r="M408" s="24"/>
      <c r="N408" s="24"/>
      <c r="O408" s="25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  <c r="AN408" s="32"/>
      <c r="AO408" s="32"/>
      <c r="AP408" s="32"/>
      <c r="AQ408" s="32"/>
      <c r="AR408" s="32"/>
      <c r="AS408" s="32"/>
      <c r="AT408" s="32"/>
      <c r="AU408" s="32"/>
      <c r="AV408" s="32"/>
      <c r="AW408" s="32"/>
      <c r="AX408" s="32"/>
      <c r="AY408" s="32"/>
      <c r="AZ408" s="32"/>
      <c r="BA408" s="32"/>
      <c r="BB408" s="32"/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  <c r="BT408" s="32"/>
      <c r="BU408" s="32"/>
      <c r="BV408" s="32"/>
      <c r="BW408" s="32"/>
      <c r="BX408" s="32"/>
      <c r="BY408" s="24"/>
      <c r="BZ408" s="24"/>
      <c r="CA408" s="24"/>
      <c r="CB408" s="24"/>
      <c r="CC408" s="24"/>
      <c r="CD408" s="24"/>
      <c r="CE408" s="24"/>
    </row>
    <row r="409" spans="1:83" ht="15" customHeight="1">
      <c r="A409" s="24"/>
      <c r="B409" s="24"/>
      <c r="C409" s="24"/>
      <c r="D409" s="24"/>
      <c r="E409" s="45"/>
      <c r="F409" s="24"/>
      <c r="G409" s="24"/>
      <c r="H409" s="24"/>
      <c r="I409" s="24"/>
      <c r="J409" s="32"/>
      <c r="K409" s="24"/>
      <c r="L409" s="24"/>
      <c r="M409" s="24"/>
      <c r="N409" s="24"/>
      <c r="O409" s="25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  <c r="AO409" s="32"/>
      <c r="AP409" s="32"/>
      <c r="AQ409" s="32"/>
      <c r="AR409" s="32"/>
      <c r="AS409" s="32"/>
      <c r="AT409" s="32"/>
      <c r="AU409" s="32"/>
      <c r="AV409" s="32"/>
      <c r="AW409" s="32"/>
      <c r="AX409" s="32"/>
      <c r="AY409" s="32"/>
      <c r="AZ409" s="32"/>
      <c r="BA409" s="32"/>
      <c r="BB409" s="32"/>
      <c r="BC409" s="32"/>
      <c r="BD409" s="32"/>
      <c r="BE409" s="32"/>
      <c r="BF409" s="32"/>
      <c r="BG409" s="32"/>
      <c r="BH409" s="32"/>
      <c r="BI409" s="32"/>
      <c r="BJ409" s="32"/>
      <c r="BK409" s="32"/>
      <c r="BL409" s="32"/>
      <c r="BM409" s="32"/>
      <c r="BN409" s="32"/>
      <c r="BO409" s="32"/>
      <c r="BP409" s="32"/>
      <c r="BQ409" s="32"/>
      <c r="BR409" s="32"/>
      <c r="BS409" s="32"/>
      <c r="BT409" s="32"/>
      <c r="BU409" s="32"/>
      <c r="BV409" s="32"/>
      <c r="BW409" s="32"/>
      <c r="BX409" s="32"/>
      <c r="BY409" s="24"/>
      <c r="BZ409" s="24"/>
      <c r="CA409" s="24"/>
      <c r="CB409" s="24"/>
      <c r="CC409" s="24"/>
      <c r="CD409" s="24"/>
      <c r="CE409" s="24"/>
    </row>
    <row r="410" spans="1:83" ht="15" customHeight="1">
      <c r="A410" s="24"/>
      <c r="B410" s="24"/>
      <c r="C410" s="24"/>
      <c r="D410" s="24"/>
      <c r="E410" s="45"/>
      <c r="F410" s="24"/>
      <c r="G410" s="24"/>
      <c r="H410" s="24"/>
      <c r="I410" s="24"/>
      <c r="J410" s="32"/>
      <c r="K410" s="24"/>
      <c r="L410" s="24"/>
      <c r="M410" s="24"/>
      <c r="N410" s="24"/>
      <c r="O410" s="25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  <c r="AO410" s="32"/>
      <c r="AP410" s="32"/>
      <c r="AQ410" s="32"/>
      <c r="AR410" s="32"/>
      <c r="AS410" s="32"/>
      <c r="AT410" s="32"/>
      <c r="AU410" s="32"/>
      <c r="AV410" s="32"/>
      <c r="AW410" s="32"/>
      <c r="AX410" s="32"/>
      <c r="AY410" s="32"/>
      <c r="AZ410" s="32"/>
      <c r="BA410" s="32"/>
      <c r="BB410" s="32"/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  <c r="BN410" s="32"/>
      <c r="BO410" s="32"/>
      <c r="BP410" s="32"/>
      <c r="BQ410" s="32"/>
      <c r="BR410" s="32"/>
      <c r="BS410" s="32"/>
      <c r="BT410" s="32"/>
      <c r="BU410" s="32"/>
      <c r="BV410" s="32"/>
      <c r="BW410" s="32"/>
      <c r="BX410" s="32"/>
      <c r="BY410" s="24"/>
      <c r="BZ410" s="24"/>
      <c r="CA410" s="24"/>
      <c r="CB410" s="24"/>
      <c r="CC410" s="24"/>
      <c r="CD410" s="24"/>
      <c r="CE410" s="24"/>
    </row>
    <row r="411" spans="1:83" ht="15" customHeight="1">
      <c r="A411" s="24"/>
      <c r="B411" s="24"/>
      <c r="C411" s="24"/>
      <c r="D411" s="24"/>
      <c r="E411" s="45"/>
      <c r="F411" s="24"/>
      <c r="G411" s="24"/>
      <c r="H411" s="24"/>
      <c r="I411" s="24"/>
      <c r="J411" s="32"/>
      <c r="K411" s="24"/>
      <c r="L411" s="24"/>
      <c r="M411" s="24"/>
      <c r="N411" s="24"/>
      <c r="O411" s="25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/>
      <c r="AS411" s="32"/>
      <c r="AT411" s="32"/>
      <c r="AU411" s="32"/>
      <c r="AV411" s="32"/>
      <c r="AW411" s="32"/>
      <c r="AX411" s="32"/>
      <c r="AY411" s="32"/>
      <c r="AZ411" s="32"/>
      <c r="BA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  <c r="BR411" s="32"/>
      <c r="BS411" s="32"/>
      <c r="BT411" s="32"/>
      <c r="BU411" s="32"/>
      <c r="BV411" s="32"/>
      <c r="BW411" s="32"/>
      <c r="BX411" s="32"/>
      <c r="BY411" s="24"/>
      <c r="BZ411" s="24"/>
      <c r="CA411" s="24"/>
      <c r="CB411" s="24"/>
      <c r="CC411" s="24"/>
      <c r="CD411" s="24"/>
      <c r="CE411" s="24"/>
    </row>
    <row r="412" spans="1:83" ht="15" customHeight="1">
      <c r="A412" s="24"/>
      <c r="B412" s="24"/>
      <c r="C412" s="24"/>
      <c r="D412" s="24"/>
      <c r="E412" s="45"/>
      <c r="F412" s="24"/>
      <c r="G412" s="24"/>
      <c r="H412" s="24"/>
      <c r="I412" s="24"/>
      <c r="J412" s="32"/>
      <c r="K412" s="24"/>
      <c r="L412" s="24"/>
      <c r="M412" s="24"/>
      <c r="N412" s="24"/>
      <c r="O412" s="25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  <c r="AO412" s="32"/>
      <c r="AP412" s="32"/>
      <c r="AQ412" s="32"/>
      <c r="AR412" s="32"/>
      <c r="AS412" s="32"/>
      <c r="AT412" s="32"/>
      <c r="AU412" s="32"/>
      <c r="AV412" s="32"/>
      <c r="AW412" s="32"/>
      <c r="AX412" s="32"/>
      <c r="AY412" s="32"/>
      <c r="AZ412" s="32"/>
      <c r="BA412" s="32"/>
      <c r="BB412" s="32"/>
      <c r="BC412" s="32"/>
      <c r="BD412" s="32"/>
      <c r="BE412" s="32"/>
      <c r="BF412" s="32"/>
      <c r="BG412" s="32"/>
      <c r="BH412" s="32"/>
      <c r="BI412" s="32"/>
      <c r="BJ412" s="32"/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  <c r="BY412" s="24"/>
      <c r="BZ412" s="24"/>
      <c r="CA412" s="24"/>
      <c r="CB412" s="24"/>
      <c r="CC412" s="24"/>
      <c r="CD412" s="24"/>
      <c r="CE412" s="24"/>
    </row>
    <row r="413" spans="1:83">
      <c r="AY413" s="32"/>
      <c r="AZ413" s="32"/>
      <c r="BA413" s="32"/>
      <c r="BB413" s="32"/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  <c r="BN413" s="32"/>
    </row>
    <row r="414" spans="1:83">
      <c r="AY414" s="32"/>
      <c r="AZ414" s="32"/>
      <c r="BA414" s="32"/>
      <c r="BB414" s="32"/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  <c r="BN414" s="32"/>
    </row>
    <row r="415" spans="1:83">
      <c r="AY415" s="32"/>
      <c r="AZ415" s="32"/>
      <c r="BA415" s="32"/>
      <c r="BB415" s="32"/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  <c r="BN415" s="32"/>
    </row>
    <row r="416" spans="1:83">
      <c r="AY416" s="32"/>
      <c r="AZ416" s="32"/>
      <c r="BA416" s="32"/>
      <c r="BB416" s="32"/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  <c r="BN416" s="32"/>
    </row>
    <row r="417" spans="51:66">
      <c r="AY417" s="32"/>
      <c r="AZ417" s="32"/>
      <c r="BA417" s="32"/>
      <c r="BB417" s="32"/>
      <c r="BC417" s="32"/>
      <c r="BD417" s="32"/>
      <c r="BE417" s="32"/>
      <c r="BF417" s="32"/>
      <c r="BG417" s="32"/>
      <c r="BH417" s="32"/>
      <c r="BI417" s="32"/>
      <c r="BJ417" s="32"/>
      <c r="BK417" s="32"/>
      <c r="BL417" s="32"/>
      <c r="BM417" s="32"/>
      <c r="BN417" s="32"/>
    </row>
    <row r="418" spans="51:66">
      <c r="AY418" s="32"/>
      <c r="AZ418" s="32"/>
      <c r="BA418" s="32"/>
      <c r="BB418" s="32"/>
      <c r="BC418" s="32"/>
      <c r="BD418" s="32"/>
      <c r="BE418" s="32"/>
      <c r="BF418" s="32"/>
      <c r="BG418" s="32"/>
      <c r="BH418" s="32"/>
      <c r="BI418" s="32"/>
      <c r="BJ418" s="32"/>
      <c r="BK418" s="32"/>
      <c r="BL418" s="32"/>
      <c r="BM418" s="32"/>
      <c r="BN418" s="32"/>
    </row>
    <row r="419" spans="51:66">
      <c r="AY419" s="32"/>
      <c r="AZ419" s="32"/>
      <c r="BA419" s="32"/>
      <c r="BB419" s="32"/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</row>
    <row r="420" spans="51:66">
      <c r="AY420" s="32"/>
      <c r="AZ420" s="32"/>
      <c r="BA420" s="32"/>
      <c r="BB420" s="32"/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</row>
    <row r="421" spans="51:66">
      <c r="AY421" s="32"/>
      <c r="AZ421" s="32"/>
      <c r="BA421" s="32"/>
      <c r="BB421" s="32"/>
      <c r="BC421" s="32"/>
      <c r="BD421" s="32"/>
      <c r="BE421" s="32"/>
      <c r="BF421" s="32"/>
      <c r="BG421" s="32"/>
      <c r="BH421" s="32"/>
      <c r="BI421" s="32"/>
      <c r="BJ421" s="32"/>
      <c r="BK421" s="32"/>
      <c r="BL421" s="32"/>
      <c r="BM421" s="32"/>
      <c r="BN421" s="32"/>
    </row>
    <row r="422" spans="51:66">
      <c r="AY422" s="32"/>
      <c r="AZ422" s="32"/>
      <c r="BA422" s="32"/>
      <c r="BB422" s="32"/>
      <c r="BC422" s="32"/>
      <c r="BD422" s="32"/>
      <c r="BE422" s="32"/>
      <c r="BF422" s="32"/>
      <c r="BG422" s="32"/>
      <c r="BH422" s="32"/>
      <c r="BI422" s="32"/>
      <c r="BJ422" s="32"/>
      <c r="BK422" s="32"/>
      <c r="BL422" s="32"/>
      <c r="BM422" s="32"/>
      <c r="BN422" s="32"/>
    </row>
    <row r="423" spans="51:66">
      <c r="AY423" s="32"/>
      <c r="AZ423" s="32"/>
      <c r="BA423" s="32"/>
      <c r="BB423" s="32"/>
      <c r="BC423" s="32"/>
      <c r="BD423" s="32"/>
      <c r="BE423" s="32"/>
      <c r="BF423" s="32"/>
      <c r="BG423" s="32"/>
      <c r="BH423" s="32"/>
      <c r="BI423" s="32"/>
      <c r="BJ423" s="32"/>
      <c r="BK423" s="32"/>
      <c r="BL423" s="32"/>
      <c r="BM423" s="32"/>
      <c r="BN423" s="32"/>
    </row>
    <row r="424" spans="51:66">
      <c r="AY424" s="32"/>
      <c r="AZ424" s="32"/>
      <c r="BA424" s="32"/>
      <c r="BB424" s="32"/>
      <c r="BC424" s="32"/>
      <c r="BD424" s="32"/>
      <c r="BE424" s="32"/>
      <c r="BF424" s="32"/>
      <c r="BG424" s="32"/>
      <c r="BH424" s="32"/>
      <c r="BI424" s="32"/>
      <c r="BJ424" s="32"/>
      <c r="BK424" s="32"/>
      <c r="BL424" s="32"/>
      <c r="BM424" s="32"/>
      <c r="BN424" s="32"/>
    </row>
    <row r="425" spans="51:66">
      <c r="AY425" s="32"/>
      <c r="AZ425" s="32"/>
      <c r="BA425" s="32"/>
      <c r="BB425" s="32"/>
      <c r="BC425" s="32"/>
      <c r="BD425" s="32"/>
      <c r="BE425" s="32"/>
      <c r="BF425" s="32"/>
      <c r="BG425" s="32"/>
      <c r="BH425" s="32"/>
      <c r="BI425" s="32"/>
      <c r="BJ425" s="32"/>
      <c r="BK425" s="32"/>
      <c r="BL425" s="32"/>
      <c r="BM425" s="32"/>
      <c r="BN425" s="32"/>
    </row>
    <row r="426" spans="51:66">
      <c r="AY426" s="32"/>
      <c r="AZ426" s="32"/>
      <c r="BA426" s="32"/>
      <c r="BB426" s="32"/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</row>
  </sheetData>
  <sheetProtection algorithmName="SHA-512" hashValue="2W+R5FFP5QVUDImWl6dG8+rGvBQO7o8q/u/GJIJ/iyMt2bdnJoy4gki2tyNN/sKf+kmhyFEQHt7JEgkGi9RlbA==" saltValue="zlE+MK2HiwHqRvH0uIjTug==" spinCount="100000" sheet="1" autoFilter="0"/>
  <autoFilter ref="F22:F381" xr:uid="{00000000-0009-0000-0000-00001A000000}">
    <filterColumn colId="0">
      <customFilters>
        <customFilter operator="notEqual" val=" "/>
      </customFilters>
    </filterColumn>
  </autoFilter>
  <mergeCells count="51">
    <mergeCell ref="BW21:BW22"/>
    <mergeCell ref="AY21:AY22"/>
    <mergeCell ref="AQ21:AQ22"/>
    <mergeCell ref="AR21:AR22"/>
    <mergeCell ref="AS21:AS22"/>
    <mergeCell ref="AT21:AT22"/>
    <mergeCell ref="AU21:AU22"/>
    <mergeCell ref="AW21:AW22"/>
    <mergeCell ref="AV21:AV22"/>
    <mergeCell ref="BC21:BC22"/>
    <mergeCell ref="BD21:BD22"/>
    <mergeCell ref="BE21:BE22"/>
    <mergeCell ref="F16:K16"/>
    <mergeCell ref="F18:K18"/>
    <mergeCell ref="V21:V22"/>
    <mergeCell ref="AD21:AD22"/>
    <mergeCell ref="AC21:AC22"/>
    <mergeCell ref="W21:W22"/>
    <mergeCell ref="U21:U22"/>
    <mergeCell ref="S21:S22"/>
    <mergeCell ref="R21:R22"/>
    <mergeCell ref="Q21:Q22"/>
    <mergeCell ref="P21:P22"/>
    <mergeCell ref="Z20:AE20"/>
    <mergeCell ref="AA21:AA22"/>
    <mergeCell ref="Z21:Z22"/>
    <mergeCell ref="Y21:Y22"/>
    <mergeCell ref="X21:X22"/>
    <mergeCell ref="C389:L389"/>
    <mergeCell ref="C390:L390"/>
    <mergeCell ref="C388:L388"/>
    <mergeCell ref="AI21:AI22"/>
    <mergeCell ref="T21:T22"/>
    <mergeCell ref="AH21:AH22"/>
    <mergeCell ref="AF21:AF22"/>
    <mergeCell ref="AE21:AE22"/>
    <mergeCell ref="AH20:AK20"/>
    <mergeCell ref="BB21:BB22"/>
    <mergeCell ref="AB21:AB22"/>
    <mergeCell ref="G383:I383"/>
    <mergeCell ref="AP21:AP22"/>
    <mergeCell ref="AX21:AX22"/>
    <mergeCell ref="AZ21:AZ22"/>
    <mergeCell ref="AG21:AG22"/>
    <mergeCell ref="BA21:BA22"/>
    <mergeCell ref="AO21:AO22"/>
    <mergeCell ref="AN21:AN22"/>
    <mergeCell ref="AM21:AM22"/>
    <mergeCell ref="AL21:AL22"/>
    <mergeCell ref="AK21:AK22"/>
    <mergeCell ref="AJ21:AJ22"/>
  </mergeCells>
  <conditionalFormatting sqref="F193 F196">
    <cfRule type="cellIs" dxfId="3" priority="4" stopIfTrue="1" operator="notEqual">
      <formula>""</formula>
    </cfRule>
  </conditionalFormatting>
  <conditionalFormatting sqref="F194:F195">
    <cfRule type="cellIs" dxfId="2" priority="3" stopIfTrue="1" operator="notEqual">
      <formula>""</formula>
    </cfRule>
  </conditionalFormatting>
  <conditionalFormatting sqref="F288">
    <cfRule type="cellIs" dxfId="1" priority="2" stopIfTrue="1" operator="notEqual">
      <formula>""</formula>
    </cfRule>
  </conditionalFormatting>
  <conditionalFormatting sqref="F210">
    <cfRule type="cellIs" dxfId="0" priority="1" stopIfTrue="1" operator="notEqual">
      <formula>""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66" fitToHeight="10" orientation="portrait" r:id="rId1"/>
  <headerFooter>
    <oddHeader>&amp;R&amp;"Aptos"&amp;10&amp;K000000 Restricted&amp;1#_x000D_</oddHeader>
  </headerFooter>
  <ignoredErrors>
    <ignoredError sqref="N23 N194:N195 N368:N381 N26:N27 N29:N31 N39:N43 N34:N37 N45:N48 N50 N59:N60 N62:N68 N71 N79 N82:N87 N93 N110 N112:N115 N117:N120 N122:N123 N141 N143:N149 N152 N168:N174 N176:N182 N203 N205:N206 N198:N201 N210 N224:N226 N234:N241 N243:N255 N208 N74:N77 N101:N106 N139 N192" formulaRange="1"/>
    <ignoredError sqref="D23:D27 D39:D48 D71:D79 D82:D88 D112:D120 D143:D145 D152:D165 D168:D174 D176:D189 D233:D241 D347:D356 D245:D272 D29:D37 D50:D69 D93:D106 D122:D139 D190:D191 D140:D141 D109:D110 D89:D92 D107:D108 D147:D150" unlockedFormula="1"/>
    <ignoredError sqref="W73:W79 W141 W284:W288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3424" r:id="rId4" name="Button 1504">
              <controlPr defaultSize="0" print="0" autoFill="0" autoPict="0" macro="[0]!Export_objednavky">
                <anchor moveWithCells="1" sizeWithCells="1">
                  <from>
                    <xdr:col>8</xdr:col>
                    <xdr:colOff>600075</xdr:colOff>
                    <xdr:row>397</xdr:row>
                    <xdr:rowOff>0</xdr:rowOff>
                  </from>
                  <to>
                    <xdr:col>12</xdr:col>
                    <xdr:colOff>9525</xdr:colOff>
                    <xdr:row>398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List35"/>
  <dimension ref="A1:M243"/>
  <sheetViews>
    <sheetView showGridLines="0" showRowColHeaders="0" workbookViewId="0">
      <pane ySplit="1" topLeftCell="A2" activePane="bottomLeft" state="frozen"/>
      <selection pane="bottomLeft" activeCell="E2" sqref="E2"/>
    </sheetView>
  </sheetViews>
  <sheetFormatPr defaultColWidth="9" defaultRowHeight="14.25"/>
  <cols>
    <col min="1" max="1" width="9" style="61"/>
    <col min="2" max="2" width="191.875" style="61" customWidth="1"/>
    <col min="3" max="4" width="9" style="61"/>
    <col min="5" max="5" width="37.5" style="146" bestFit="1" customWidth="1"/>
    <col min="6" max="6" width="2.375" style="145" customWidth="1"/>
    <col min="7" max="7" width="29.125" style="145" customWidth="1"/>
    <col min="8" max="10" width="29.125" style="61" customWidth="1"/>
    <col min="11" max="16384" width="9" style="61"/>
  </cols>
  <sheetData>
    <row r="1" spans="1:13">
      <c r="A1" s="228" t="s">
        <v>247</v>
      </c>
      <c r="E1" s="227" t="s">
        <v>6</v>
      </c>
      <c r="G1" s="250" t="s">
        <v>5</v>
      </c>
      <c r="H1" s="251" t="s">
        <v>6</v>
      </c>
      <c r="I1" s="251" t="s">
        <v>424</v>
      </c>
      <c r="J1" s="251" t="s">
        <v>425</v>
      </c>
    </row>
    <row r="2" spans="1:13" ht="15" thickBot="1"/>
    <row r="3" spans="1:13">
      <c r="E3" s="247" t="str">
        <f>IF($E$1=$G$1,G3,IF($E$1=$H$1,H3,IF($E$1=$I$1,I3,IF($E$1=$J$1,J3,""))))</f>
        <v xml:space="preserve"> Základné údaje</v>
      </c>
      <c r="G3" s="239" t="s">
        <v>10</v>
      </c>
      <c r="H3" s="240" t="s">
        <v>14</v>
      </c>
      <c r="I3" s="241" t="s">
        <v>426</v>
      </c>
      <c r="J3" s="242"/>
    </row>
    <row r="4" spans="1:13">
      <c r="E4" s="248" t="str">
        <f t="shared" ref="E4:E68" si="0">IF($E$1=$G$1,G4,IF($E$1=$H$1,H4,IF($E$1=$I$1,I4,IF($E$1=$J$1,J4,""))))</f>
        <v>Údaje pre objednávku, zadanie zľavy od predajcu</v>
      </c>
      <c r="G4" s="239" t="s">
        <v>11</v>
      </c>
      <c r="H4" s="240" t="s">
        <v>15</v>
      </c>
      <c r="I4" s="241" t="s">
        <v>427</v>
      </c>
      <c r="J4" s="242"/>
    </row>
    <row r="5" spans="1:13">
      <c r="E5" s="248" t="str">
        <f t="shared" si="0"/>
        <v>Pokračovať na:</v>
      </c>
      <c r="G5" s="239" t="s">
        <v>12</v>
      </c>
      <c r="H5" s="240" t="s">
        <v>16</v>
      </c>
      <c r="I5" s="241" t="s">
        <v>428</v>
      </c>
      <c r="J5" s="242"/>
    </row>
    <row r="6" spans="1:13">
      <c r="E6" s="248" t="str">
        <f t="shared" si="0"/>
        <v xml:space="preserve"> Úvod</v>
      </c>
      <c r="G6" s="239" t="s">
        <v>8</v>
      </c>
      <c r="H6" s="240" t="s">
        <v>8</v>
      </c>
      <c r="I6" s="241" t="s">
        <v>429</v>
      </c>
      <c r="J6" s="242"/>
    </row>
    <row r="7" spans="1:13">
      <c r="E7" s="248" t="str">
        <f t="shared" si="0"/>
        <v xml:space="preserve"> Výber zásuviek</v>
      </c>
      <c r="G7" s="239" t="s">
        <v>113</v>
      </c>
      <c r="H7" s="240" t="s">
        <v>114</v>
      </c>
      <c r="I7" s="241" t="s">
        <v>430</v>
      </c>
      <c r="J7" s="242"/>
    </row>
    <row r="8" spans="1:13">
      <c r="E8" s="248" t="str">
        <f t="shared" si="0"/>
        <v xml:space="preserve"> </v>
      </c>
      <c r="G8" s="239" t="s">
        <v>47</v>
      </c>
      <c r="H8" s="240" t="s">
        <v>47</v>
      </c>
      <c r="I8" s="241" t="s">
        <v>47</v>
      </c>
      <c r="J8" s="242"/>
    </row>
    <row r="9" spans="1:13">
      <c r="E9" s="248" t="str">
        <f t="shared" si="0"/>
        <v xml:space="preserve"> </v>
      </c>
      <c r="G9" s="239" t="s">
        <v>47</v>
      </c>
      <c r="H9" s="240" t="s">
        <v>47</v>
      </c>
      <c r="I9" s="241" t="s">
        <v>47</v>
      </c>
      <c r="J9" s="242"/>
    </row>
    <row r="10" spans="1:13">
      <c r="E10" s="248" t="str">
        <f t="shared" si="0"/>
        <v xml:space="preserve"> Objednávka</v>
      </c>
      <c r="G10" s="239" t="s">
        <v>9</v>
      </c>
      <c r="H10" s="240" t="s">
        <v>9</v>
      </c>
      <c r="I10" s="241" t="s">
        <v>431</v>
      </c>
      <c r="J10" s="242"/>
    </row>
    <row r="11" spans="1:13">
      <c r="E11" s="248" t="str">
        <f t="shared" si="0"/>
        <v>Späť na:</v>
      </c>
      <c r="G11" s="239" t="s">
        <v>13</v>
      </c>
      <c r="H11" s="240" t="s">
        <v>17</v>
      </c>
      <c r="I11" s="241" t="s">
        <v>432</v>
      </c>
      <c r="J11" s="242"/>
    </row>
    <row r="12" spans="1:13">
      <c r="E12" s="248" t="str">
        <f t="shared" si="0"/>
        <v>Vpred na:</v>
      </c>
      <c r="G12" s="239" t="s">
        <v>116</v>
      </c>
      <c r="H12" s="240" t="s">
        <v>115</v>
      </c>
      <c r="I12" s="241" t="s">
        <v>433</v>
      </c>
      <c r="J12" s="242"/>
    </row>
    <row r="13" spans="1:13">
      <c r="E13" s="248" t="str">
        <f t="shared" si="0"/>
        <v>&lt;&lt;  späť</v>
      </c>
      <c r="G13" s="239" t="s">
        <v>139</v>
      </c>
      <c r="H13" s="240" t="s">
        <v>141</v>
      </c>
      <c r="I13" s="241" t="s">
        <v>434</v>
      </c>
      <c r="J13" s="242"/>
    </row>
    <row r="14" spans="1:13">
      <c r="E14" s="248" t="str">
        <f t="shared" si="0"/>
        <v>vpred  &gt;&gt;</v>
      </c>
      <c r="G14" s="239" t="s">
        <v>140</v>
      </c>
      <c r="H14" s="240" t="s">
        <v>142</v>
      </c>
      <c r="I14" s="241" t="s">
        <v>435</v>
      </c>
      <c r="J14" s="242"/>
    </row>
    <row r="15" spans="1:13">
      <c r="E15" s="248" t="str">
        <f t="shared" si="0"/>
        <v xml:space="preserve"> Základné údaje // Nápoveda</v>
      </c>
      <c r="G15" s="243" t="s">
        <v>407</v>
      </c>
      <c r="H15" s="244" t="s">
        <v>112</v>
      </c>
      <c r="I15" s="241" t="s">
        <v>436</v>
      </c>
      <c r="J15" s="242"/>
    </row>
    <row r="16" spans="1:13">
      <c r="E16" s="248" t="str">
        <f t="shared" si="0"/>
        <v xml:space="preserve"> Nápoveda</v>
      </c>
      <c r="G16" s="243" t="s">
        <v>26</v>
      </c>
      <c r="H16" s="244" t="s">
        <v>65</v>
      </c>
      <c r="I16" s="241" t="s">
        <v>437</v>
      </c>
      <c r="J16" s="242"/>
      <c r="M16" s="92"/>
    </row>
    <row r="17" spans="5:13">
      <c r="E17" s="248">
        <f t="shared" si="0"/>
        <v>0</v>
      </c>
      <c r="G17" s="239"/>
      <c r="H17" s="244"/>
      <c r="I17" s="241" t="s">
        <v>47</v>
      </c>
      <c r="J17" s="242"/>
      <c r="M17" s="92"/>
    </row>
    <row r="18" spans="5:13">
      <c r="E18" s="248" t="str">
        <f t="shared" si="0"/>
        <v>plnovýsuv</v>
      </c>
      <c r="G18" s="239" t="s">
        <v>3</v>
      </c>
      <c r="H18" s="244" t="s">
        <v>3</v>
      </c>
      <c r="I18" s="241" t="s">
        <v>438</v>
      </c>
      <c r="J18" s="242"/>
      <c r="M18" s="92"/>
    </row>
    <row r="19" spans="5:13">
      <c r="E19" s="248" t="str">
        <f t="shared" si="0"/>
        <v>čiastočný výsuv</v>
      </c>
      <c r="G19" s="239" t="s">
        <v>4</v>
      </c>
      <c r="H19" s="244" t="s">
        <v>2</v>
      </c>
      <c r="I19" s="241" t="s">
        <v>439</v>
      </c>
      <c r="J19" s="242"/>
      <c r="M19" s="92"/>
    </row>
    <row r="20" spans="5:13">
      <c r="E20" s="248" t="str">
        <f t="shared" si="0"/>
        <v>Menovitá dĺžka:</v>
      </c>
      <c r="G20" s="239" t="s">
        <v>0</v>
      </c>
      <c r="H20" s="244" t="s">
        <v>7</v>
      </c>
      <c r="I20" s="241" t="s">
        <v>440</v>
      </c>
      <c r="J20" s="242"/>
      <c r="M20" s="92"/>
    </row>
    <row r="21" spans="5:13">
      <c r="E21" s="248" t="str">
        <f t="shared" si="0"/>
        <v>Menovitá dĺžka 470 mm:</v>
      </c>
      <c r="G21" s="239" t="s">
        <v>200</v>
      </c>
      <c r="H21" s="244" t="s">
        <v>201</v>
      </c>
      <c r="I21" s="241" t="s">
        <v>441</v>
      </c>
      <c r="J21" s="242"/>
      <c r="M21" s="92"/>
    </row>
    <row r="22" spans="5:13">
      <c r="E22" s="248" t="str">
        <f t="shared" si="0"/>
        <v>STOP CONTROL - samodovieranie</v>
      </c>
      <c r="G22" s="239" t="s">
        <v>128</v>
      </c>
      <c r="H22" s="244" t="s">
        <v>107</v>
      </c>
      <c r="I22" s="241" t="s">
        <v>442</v>
      </c>
      <c r="J22" s="242"/>
      <c r="M22" s="92"/>
    </row>
    <row r="23" spans="5:13">
      <c r="E23" s="248" t="str">
        <f t="shared" si="0"/>
        <v>SILENT SYSTEM - s tlmením</v>
      </c>
      <c r="G23" s="239" t="s">
        <v>129</v>
      </c>
      <c r="H23" s="244" t="s">
        <v>108</v>
      </c>
      <c r="I23" s="241" t="s">
        <v>443</v>
      </c>
      <c r="J23" s="242"/>
      <c r="M23" s="92"/>
    </row>
    <row r="24" spans="5:13">
      <c r="E24" s="248" t="str">
        <f t="shared" si="0"/>
        <v>PUSH-TO-OPEN - bez úchytkové</v>
      </c>
      <c r="G24" s="239" t="s">
        <v>109</v>
      </c>
      <c r="H24" s="244" t="s">
        <v>109</v>
      </c>
      <c r="I24" s="241" t="s">
        <v>444</v>
      </c>
      <c r="J24" s="242"/>
      <c r="M24" s="92"/>
    </row>
    <row r="25" spans="5:13">
      <c r="E25" s="248" t="str">
        <f t="shared" si="0"/>
        <v>spôsob balenia:</v>
      </c>
      <c r="G25" s="239" t="s">
        <v>408</v>
      </c>
      <c r="H25" s="244" t="s">
        <v>293</v>
      </c>
      <c r="I25" s="241" t="s">
        <v>445</v>
      </c>
      <c r="J25" s="242"/>
      <c r="M25" s="92"/>
    </row>
    <row r="26" spans="5:13">
      <c r="E26" s="248" t="str">
        <f t="shared" si="0"/>
        <v>flexibilné sety</v>
      </c>
      <c r="G26" s="239" t="s">
        <v>130</v>
      </c>
      <c r="H26" s="240" t="s">
        <v>106</v>
      </c>
      <c r="I26" s="241" t="s">
        <v>447</v>
      </c>
      <c r="J26" s="242"/>
      <c r="M26" s="92"/>
    </row>
    <row r="27" spans="5:13">
      <c r="E27" s="248" t="str">
        <f t="shared" si="0"/>
        <v>veľkobalenia</v>
      </c>
      <c r="G27" s="239" t="s">
        <v>131</v>
      </c>
      <c r="H27" s="240" t="s">
        <v>103</v>
      </c>
      <c r="I27" s="241" t="s">
        <v>446</v>
      </c>
      <c r="J27" s="242"/>
      <c r="M27" s="92"/>
    </row>
    <row r="28" spans="5:13">
      <c r="E28" s="248">
        <f t="shared" si="0"/>
        <v>0</v>
      </c>
      <c r="G28" s="239"/>
      <c r="H28" s="244"/>
      <c r="I28" s="241" t="s">
        <v>47</v>
      </c>
      <c r="J28" s="242"/>
    </row>
    <row r="29" spans="5:13">
      <c r="E29" s="248" t="str">
        <f t="shared" si="0"/>
        <v>Predajca:</v>
      </c>
      <c r="G29" s="243" t="s">
        <v>27</v>
      </c>
      <c r="H29" s="240" t="s">
        <v>82</v>
      </c>
      <c r="I29" s="241" t="s">
        <v>448</v>
      </c>
      <c r="J29" s="242"/>
    </row>
    <row r="30" spans="5:13">
      <c r="E30" s="248" t="str">
        <f t="shared" si="0"/>
        <v>Odberateľ</v>
      </c>
      <c r="G30" s="239" t="s">
        <v>35</v>
      </c>
      <c r="H30" s="244" t="s">
        <v>50</v>
      </c>
      <c r="I30" s="241" t="s">
        <v>449</v>
      </c>
      <c r="J30" s="242"/>
    </row>
    <row r="31" spans="5:13">
      <c r="E31" s="248" t="str">
        <f t="shared" si="0"/>
        <v>Adresa</v>
      </c>
      <c r="G31" s="239" t="s">
        <v>48</v>
      </c>
      <c r="H31" s="244" t="s">
        <v>48</v>
      </c>
      <c r="I31" s="241" t="s">
        <v>451</v>
      </c>
      <c r="J31" s="242"/>
    </row>
    <row r="32" spans="5:13">
      <c r="E32" s="248" t="str">
        <f t="shared" si="0"/>
        <v>Fakturačná adresa</v>
      </c>
      <c r="G32" s="239" t="s">
        <v>132</v>
      </c>
      <c r="H32" s="244" t="s">
        <v>133</v>
      </c>
      <c r="I32" s="241" t="s">
        <v>450</v>
      </c>
      <c r="J32" s="242"/>
    </row>
    <row r="33" spans="5:10">
      <c r="E33" s="248" t="str">
        <f t="shared" si="0"/>
        <v>Dodacia adresa</v>
      </c>
      <c r="G33" s="239" t="s">
        <v>37</v>
      </c>
      <c r="H33" s="244" t="s">
        <v>51</v>
      </c>
      <c r="I33" s="241" t="s">
        <v>452</v>
      </c>
      <c r="J33" s="242"/>
    </row>
    <row r="34" spans="5:10">
      <c r="E34" s="248" t="str">
        <f t="shared" si="0"/>
        <v>IČO</v>
      </c>
      <c r="G34" s="239" t="s">
        <v>134</v>
      </c>
      <c r="H34" s="244" t="s">
        <v>134</v>
      </c>
      <c r="I34" s="241" t="s">
        <v>454</v>
      </c>
      <c r="J34" s="242"/>
    </row>
    <row r="35" spans="5:10">
      <c r="E35" s="248" t="str">
        <f t="shared" si="0"/>
        <v>DIČ / IČDPH</v>
      </c>
      <c r="G35" s="239" t="s">
        <v>280</v>
      </c>
      <c r="H35" s="240" t="s">
        <v>135</v>
      </c>
      <c r="I35" s="241" t="s">
        <v>453</v>
      </c>
      <c r="J35" s="242"/>
    </row>
    <row r="36" spans="5:10">
      <c r="E36" s="248" t="str">
        <f t="shared" si="0"/>
        <v>Telefón, fax, e-mail</v>
      </c>
      <c r="G36" s="239" t="s">
        <v>38</v>
      </c>
      <c r="H36" s="244" t="s">
        <v>52</v>
      </c>
      <c r="I36" s="241" t="s">
        <v>455</v>
      </c>
      <c r="J36" s="242"/>
    </row>
    <row r="37" spans="5:10">
      <c r="E37" s="248" t="str">
        <f t="shared" si="0"/>
        <v xml:space="preserve">Zľava od predajcu [%]: </v>
      </c>
      <c r="G37" s="239" t="s">
        <v>49</v>
      </c>
      <c r="H37" s="244" t="s">
        <v>53</v>
      </c>
      <c r="I37" s="241" t="s">
        <v>456</v>
      </c>
      <c r="J37" s="242"/>
    </row>
    <row r="38" spans="5:10">
      <c r="E38" s="248" t="str">
        <f t="shared" si="0"/>
        <v>Objednávka</v>
      </c>
      <c r="G38" s="239" t="s">
        <v>36</v>
      </c>
      <c r="H38" s="244" t="s">
        <v>36</v>
      </c>
      <c r="I38" s="241" t="s">
        <v>431</v>
      </c>
      <c r="J38" s="242"/>
    </row>
    <row r="39" spans="5:10">
      <c r="E39" s="248" t="str">
        <f t="shared" si="0"/>
        <v>Číslo objednávky</v>
      </c>
      <c r="G39" s="239" t="s">
        <v>39</v>
      </c>
      <c r="H39" s="244" t="s">
        <v>39</v>
      </c>
      <c r="I39" s="241" t="s">
        <v>457</v>
      </c>
      <c r="J39" s="242"/>
    </row>
    <row r="40" spans="5:10">
      <c r="E40" s="248" t="str">
        <f t="shared" si="0"/>
        <v>Zákazka</v>
      </c>
      <c r="G40" s="239" t="s">
        <v>40</v>
      </c>
      <c r="H40" s="244" t="s">
        <v>54</v>
      </c>
      <c r="I40" s="241" t="s">
        <v>458</v>
      </c>
      <c r="J40" s="242"/>
    </row>
    <row r="41" spans="5:10">
      <c r="E41" s="248" t="str">
        <f t="shared" si="0"/>
        <v>Číslo artiklu</v>
      </c>
      <c r="G41" s="239" t="s">
        <v>30</v>
      </c>
      <c r="H41" s="244" t="s">
        <v>30</v>
      </c>
      <c r="I41" s="241" t="s">
        <v>459</v>
      </c>
      <c r="J41" s="242"/>
    </row>
    <row r="42" spans="5:10">
      <c r="E42" s="248" t="str">
        <f t="shared" si="0"/>
        <v>Názov</v>
      </c>
      <c r="G42" s="239" t="s">
        <v>29</v>
      </c>
      <c r="H42" s="244" t="s">
        <v>55</v>
      </c>
      <c r="I42" s="241" t="s">
        <v>460</v>
      </c>
      <c r="J42" s="242"/>
    </row>
    <row r="43" spans="5:10">
      <c r="E43" s="248" t="str">
        <f t="shared" si="0"/>
        <v>balenie</v>
      </c>
      <c r="G43" s="239" t="s">
        <v>56</v>
      </c>
      <c r="H43" s="244" t="s">
        <v>32</v>
      </c>
      <c r="I43" s="241" t="s">
        <v>461</v>
      </c>
      <c r="J43" s="242"/>
    </row>
    <row r="44" spans="5:10">
      <c r="E44" s="248" t="str">
        <f t="shared" si="0"/>
        <v>Sklad</v>
      </c>
      <c r="G44" s="239" t="s">
        <v>111</v>
      </c>
      <c r="H44" s="244" t="s">
        <v>111</v>
      </c>
      <c r="I44" s="241" t="s">
        <v>462</v>
      </c>
      <c r="J44" s="242"/>
    </row>
    <row r="45" spans="5:10">
      <c r="E45" s="248" t="str">
        <f t="shared" si="0"/>
        <v>Počet</v>
      </c>
      <c r="G45" s="239" t="s">
        <v>41</v>
      </c>
      <c r="H45" s="244" t="s">
        <v>41</v>
      </c>
      <c r="I45" s="241" t="s">
        <v>463</v>
      </c>
      <c r="J45" s="242"/>
    </row>
    <row r="46" spans="5:10">
      <c r="E46" s="248" t="str">
        <f t="shared" si="0"/>
        <v>Jednotková cena</v>
      </c>
      <c r="G46" s="239" t="s">
        <v>31</v>
      </c>
      <c r="H46" s="244" t="s">
        <v>31</v>
      </c>
      <c r="I46" s="241" t="s">
        <v>465</v>
      </c>
      <c r="J46" s="242"/>
    </row>
    <row r="47" spans="5:10">
      <c r="E47" s="248" t="str">
        <f t="shared" si="0"/>
        <v>Celkom</v>
      </c>
      <c r="G47" s="239" t="s">
        <v>42</v>
      </c>
      <c r="H47" s="244" t="s">
        <v>57</v>
      </c>
      <c r="I47" s="241" t="s">
        <v>464</v>
      </c>
      <c r="J47" s="242"/>
    </row>
    <row r="48" spans="5:10">
      <c r="E48" s="248" t="str">
        <f t="shared" si="0"/>
        <v>Zmena</v>
      </c>
      <c r="G48" s="239" t="s">
        <v>43</v>
      </c>
      <c r="H48" s="244" t="s">
        <v>58</v>
      </c>
      <c r="I48" s="241" t="s">
        <v>466</v>
      </c>
      <c r="J48" s="242"/>
    </row>
    <row r="49" spans="5:10">
      <c r="E49" s="248" t="str">
        <f t="shared" si="0"/>
        <v>Voľné pole</v>
      </c>
      <c r="G49" s="239" t="s">
        <v>277</v>
      </c>
      <c r="H49" s="240" t="s">
        <v>278</v>
      </c>
      <c r="I49" s="241" t="s">
        <v>467</v>
      </c>
      <c r="J49" s="242"/>
    </row>
    <row r="50" spans="5:10">
      <c r="E50" s="248" t="str">
        <f t="shared" si="0"/>
        <v>Kód predajcu</v>
      </c>
      <c r="G50" s="239" t="s">
        <v>136</v>
      </c>
      <c r="H50" s="244" t="s">
        <v>110</v>
      </c>
      <c r="I50" s="241" t="s">
        <v>468</v>
      </c>
      <c r="J50" s="242"/>
    </row>
    <row r="51" spans="5:10">
      <c r="E51" s="248" t="str">
        <f t="shared" si="0"/>
        <v>Verzia</v>
      </c>
      <c r="G51" s="243" t="s">
        <v>60</v>
      </c>
      <c r="H51" s="244" t="s">
        <v>66</v>
      </c>
      <c r="I51" s="241" t="s">
        <v>469</v>
      </c>
      <c r="J51" s="242"/>
    </row>
    <row r="52" spans="5:10">
      <c r="E52" s="248" t="str">
        <f t="shared" si="0"/>
        <v>2.0.0</v>
      </c>
      <c r="G52" s="239" t="s">
        <v>1316</v>
      </c>
      <c r="H52" s="240" t="s">
        <v>1316</v>
      </c>
      <c r="I52" s="241" t="s">
        <v>1316</v>
      </c>
      <c r="J52" s="242"/>
    </row>
    <row r="53" spans="5:10">
      <c r="E53" s="248" t="str">
        <f t="shared" si="0"/>
        <v>Platnosť cenníku od</v>
      </c>
      <c r="G53" s="239" t="s">
        <v>137</v>
      </c>
      <c r="H53" s="240" t="s">
        <v>138</v>
      </c>
      <c r="I53" s="241" t="s">
        <v>470</v>
      </c>
      <c r="J53" s="242"/>
    </row>
    <row r="54" spans="5:10">
      <c r="E54" s="248">
        <f t="shared" si="0"/>
        <v>0</v>
      </c>
      <c r="G54" s="239"/>
      <c r="H54" s="244"/>
      <c r="I54" s="241"/>
      <c r="J54" s="242"/>
    </row>
    <row r="55" spans="5:10">
      <c r="E55" s="248" t="str">
        <f t="shared" si="0"/>
        <v>Vybraté</v>
      </c>
      <c r="G55" s="239" t="s">
        <v>117</v>
      </c>
      <c r="H55" s="240" t="s">
        <v>118</v>
      </c>
      <c r="I55" s="241" t="s">
        <v>471</v>
      </c>
      <c r="J55" s="242"/>
    </row>
    <row r="56" spans="5:10">
      <c r="E56" s="248" t="str">
        <f t="shared" si="0"/>
        <v>farba:</v>
      </c>
      <c r="G56" s="243" t="s">
        <v>61</v>
      </c>
      <c r="H56" s="244" t="s">
        <v>23</v>
      </c>
      <c r="I56" s="241" t="s">
        <v>472</v>
      </c>
      <c r="J56" s="242"/>
    </row>
    <row r="57" spans="5:10">
      <c r="E57" s="248" t="str">
        <f t="shared" si="0"/>
        <v>čelné kovanie:</v>
      </c>
      <c r="G57" s="239" t="s">
        <v>62</v>
      </c>
      <c r="H57" s="240" t="s">
        <v>24</v>
      </c>
      <c r="I57" s="241" t="s">
        <v>473</v>
      </c>
      <c r="J57" s="242"/>
    </row>
    <row r="58" spans="5:10">
      <c r="E58" s="248" t="str">
        <f t="shared" si="0"/>
        <v>Cenová hladina:</v>
      </c>
      <c r="G58" s="243" t="s">
        <v>67</v>
      </c>
      <c r="H58" s="244" t="s">
        <v>67</v>
      </c>
      <c r="I58" s="241" t="s">
        <v>474</v>
      </c>
      <c r="J58" s="242"/>
    </row>
    <row r="59" spans="5:10">
      <c r="E59" s="248" t="str">
        <f t="shared" si="0"/>
        <v>Zľava %</v>
      </c>
      <c r="G59" s="239" t="s">
        <v>63</v>
      </c>
      <c r="H59" s="240" t="s">
        <v>68</v>
      </c>
      <c r="I59" s="241" t="s">
        <v>475</v>
      </c>
      <c r="J59" s="242"/>
    </row>
    <row r="60" spans="5:10">
      <c r="E60" s="248">
        <f t="shared" si="0"/>
        <v>0</v>
      </c>
      <c r="G60" s="239"/>
      <c r="H60" s="244"/>
      <c r="I60" s="241"/>
      <c r="J60" s="242"/>
    </row>
    <row r="61" spans="5:10">
      <c r="E61" s="248" t="str">
        <f t="shared" si="0"/>
        <v>strieborná</v>
      </c>
      <c r="G61" s="239" t="s">
        <v>69</v>
      </c>
      <c r="H61" s="240" t="s">
        <v>19</v>
      </c>
      <c r="I61" s="241" t="s">
        <v>476</v>
      </c>
      <c r="J61" s="242"/>
    </row>
    <row r="62" spans="5:10">
      <c r="E62" s="248" t="str">
        <f t="shared" si="0"/>
        <v>biela</v>
      </c>
      <c r="G62" s="239" t="s">
        <v>70</v>
      </c>
      <c r="H62" s="244" t="s">
        <v>71</v>
      </c>
      <c r="I62" s="241" t="s">
        <v>477</v>
      </c>
      <c r="J62" s="242"/>
    </row>
    <row r="63" spans="5:10">
      <c r="E63" s="248" t="str">
        <f t="shared" si="0"/>
        <v>antracit</v>
      </c>
      <c r="G63" s="239" t="s">
        <v>72</v>
      </c>
      <c r="H63" s="240" t="s">
        <v>72</v>
      </c>
      <c r="I63" s="241" t="s">
        <v>478</v>
      </c>
      <c r="J63" s="242"/>
    </row>
    <row r="64" spans="5:10">
      <c r="E64" s="248" t="str">
        <f t="shared" si="0"/>
        <v>farba relingu:</v>
      </c>
      <c r="G64" s="239" t="s">
        <v>101</v>
      </c>
      <c r="H64" s="240" t="s">
        <v>102</v>
      </c>
      <c r="I64" s="241"/>
      <c r="J64" s="242"/>
    </row>
    <row r="65" spans="5:10">
      <c r="E65" s="248" t="str">
        <f t="shared" si="0"/>
        <v>chróm</v>
      </c>
      <c r="G65" s="239" t="s">
        <v>410</v>
      </c>
      <c r="H65" s="240" t="s">
        <v>99</v>
      </c>
      <c r="I65" s="241" t="s">
        <v>479</v>
      </c>
      <c r="J65" s="242"/>
    </row>
    <row r="66" spans="5:10">
      <c r="E66" s="248" t="str">
        <f t="shared" si="0"/>
        <v>nerez finiš</v>
      </c>
      <c r="G66" s="239" t="s">
        <v>100</v>
      </c>
      <c r="H66" s="240" t="s">
        <v>100</v>
      </c>
      <c r="I66" s="241" t="s">
        <v>480</v>
      </c>
      <c r="J66" s="242"/>
    </row>
    <row r="67" spans="5:10">
      <c r="E67" s="248" t="str">
        <f t="shared" si="0"/>
        <v>na skrutky</v>
      </c>
      <c r="G67" s="239" t="s">
        <v>59</v>
      </c>
      <c r="H67" s="244" t="s">
        <v>20</v>
      </c>
      <c r="I67" s="241" t="s">
        <v>481</v>
      </c>
      <c r="J67" s="242"/>
    </row>
    <row r="68" spans="5:10">
      <c r="E68" s="248" t="str">
        <f t="shared" si="0"/>
        <v>s rozpernými púzdrami</v>
      </c>
      <c r="G68" s="239" t="s">
        <v>73</v>
      </c>
      <c r="H68" s="240" t="s">
        <v>74</v>
      </c>
      <c r="I68" s="241" t="s">
        <v>482</v>
      </c>
      <c r="J68" s="242"/>
    </row>
    <row r="69" spans="5:10">
      <c r="E69" s="248">
        <f t="shared" ref="E69:E85" si="1">IF($E$1=$G$1,G69,IF($E$1=$H$1,H69,IF($E$1=$I$1,I69,IF($E$1=$J$1,J69,""))))</f>
        <v>0</v>
      </c>
      <c r="G69" s="239"/>
      <c r="H69" s="240"/>
      <c r="I69" s="241"/>
      <c r="J69" s="242"/>
    </row>
    <row r="70" spans="5:10">
      <c r="E70" s="248" t="str">
        <f t="shared" si="1"/>
        <v>dekoratívny profil:</v>
      </c>
      <c r="G70" s="239" t="s">
        <v>317</v>
      </c>
      <c r="H70" s="240" t="s">
        <v>307</v>
      </c>
      <c r="I70" s="241" t="s">
        <v>483</v>
      </c>
      <c r="J70" s="242"/>
    </row>
    <row r="71" spans="5:10">
      <c r="E71" s="248" t="str">
        <f t="shared" si="1"/>
        <v>vo farbe bočnice</v>
      </c>
      <c r="G71" s="239" t="s">
        <v>319</v>
      </c>
      <c r="H71" s="240" t="s">
        <v>318</v>
      </c>
      <c r="I71" s="241" t="s">
        <v>484</v>
      </c>
      <c r="J71" s="242"/>
    </row>
    <row r="72" spans="5:10">
      <c r="E72" s="248" t="str">
        <f t="shared" si="1"/>
        <v>hliník</v>
      </c>
      <c r="G72" s="239" t="s">
        <v>303</v>
      </c>
      <c r="H72" s="240" t="s">
        <v>303</v>
      </c>
      <c r="I72" s="241" t="s">
        <v>485</v>
      </c>
      <c r="J72" s="242"/>
    </row>
    <row r="73" spans="5:10">
      <c r="E73" s="248" t="str">
        <f t="shared" si="1"/>
        <v>nerez</v>
      </c>
      <c r="G73" s="239" t="s">
        <v>304</v>
      </c>
      <c r="H73" s="240" t="s">
        <v>304</v>
      </c>
      <c r="I73" s="241" t="s">
        <v>480</v>
      </c>
      <c r="J73" s="242"/>
    </row>
    <row r="74" spans="5:10">
      <c r="E74" s="248" t="str">
        <f t="shared" si="1"/>
        <v>dub</v>
      </c>
      <c r="G74" s="239" t="s">
        <v>305</v>
      </c>
      <c r="H74" s="240" t="s">
        <v>305</v>
      </c>
      <c r="I74" s="241" t="s">
        <v>486</v>
      </c>
      <c r="J74" s="242"/>
    </row>
    <row r="75" spans="5:10">
      <c r="E75" s="248" t="str">
        <f t="shared" si="1"/>
        <v>orech</v>
      </c>
      <c r="G75" s="239" t="s">
        <v>320</v>
      </c>
      <c r="H75" s="240" t="s">
        <v>306</v>
      </c>
      <c r="I75" s="241" t="s">
        <v>487</v>
      </c>
      <c r="J75" s="242"/>
    </row>
    <row r="76" spans="5:10">
      <c r="E76" s="248" t="str">
        <f t="shared" si="1"/>
        <v>krytka:</v>
      </c>
      <c r="G76" s="240" t="s">
        <v>315</v>
      </c>
      <c r="H76" s="240" t="s">
        <v>315</v>
      </c>
      <c r="I76" s="241" t="s">
        <v>488</v>
      </c>
      <c r="J76" s="242"/>
    </row>
    <row r="77" spans="5:10">
      <c r="E77" s="248" t="str">
        <f t="shared" si="1"/>
        <v>žiadna</v>
      </c>
      <c r="G77" s="240" t="s">
        <v>409</v>
      </c>
      <c r="H77" s="240" t="s">
        <v>308</v>
      </c>
      <c r="I77" s="241" t="s">
        <v>489</v>
      </c>
      <c r="J77" s="242"/>
    </row>
    <row r="78" spans="5:10">
      <c r="E78" s="248" t="str">
        <f t="shared" si="1"/>
        <v>strieborná s logom</v>
      </c>
      <c r="G78" s="240" t="s">
        <v>321</v>
      </c>
      <c r="H78" s="240" t="s">
        <v>309</v>
      </c>
      <c r="I78" s="241" t="s">
        <v>490</v>
      </c>
      <c r="J78" s="242"/>
    </row>
    <row r="79" spans="5:10">
      <c r="E79" s="248" t="str">
        <f t="shared" si="1"/>
        <v>strieborná bez loga</v>
      </c>
      <c r="G79" s="240" t="s">
        <v>322</v>
      </c>
      <c r="H79" s="240" t="s">
        <v>310</v>
      </c>
      <c r="I79" s="241" t="s">
        <v>491</v>
      </c>
      <c r="J79" s="242"/>
    </row>
    <row r="80" spans="5:10">
      <c r="E80" s="248" t="str">
        <f t="shared" si="1"/>
        <v>biela s logom</v>
      </c>
      <c r="G80" s="240" t="s">
        <v>324</v>
      </c>
      <c r="H80" s="240" t="s">
        <v>311</v>
      </c>
      <c r="I80" s="241" t="s">
        <v>492</v>
      </c>
      <c r="J80" s="242"/>
    </row>
    <row r="81" spans="5:10">
      <c r="E81" s="248" t="str">
        <f t="shared" si="1"/>
        <v>biela bez loga</v>
      </c>
      <c r="G81" s="240" t="s">
        <v>323</v>
      </c>
      <c r="H81" s="240" t="s">
        <v>312</v>
      </c>
      <c r="I81" s="241" t="s">
        <v>493</v>
      </c>
      <c r="J81" s="242"/>
    </row>
    <row r="82" spans="5:10">
      <c r="E82" s="248" t="str">
        <f t="shared" si="1"/>
        <v>antracitová s logom</v>
      </c>
      <c r="G82" s="240" t="s">
        <v>325</v>
      </c>
      <c r="H82" s="240" t="s">
        <v>313</v>
      </c>
      <c r="I82" s="241" t="s">
        <v>494</v>
      </c>
      <c r="J82" s="242"/>
    </row>
    <row r="83" spans="5:10">
      <c r="E83" s="248" t="str">
        <f t="shared" si="1"/>
        <v>antracitová bez loga</v>
      </c>
      <c r="G83" s="240" t="s">
        <v>314</v>
      </c>
      <c r="H83" s="240" t="s">
        <v>314</v>
      </c>
      <c r="I83" s="241" t="s">
        <v>495</v>
      </c>
      <c r="J83" s="242"/>
    </row>
    <row r="84" spans="5:10">
      <c r="E84" s="248" t="str">
        <f t="shared" si="1"/>
        <v>hrúbka boku skrinky:</v>
      </c>
      <c r="G84" s="240" t="s">
        <v>326</v>
      </c>
      <c r="H84" s="240" t="s">
        <v>316</v>
      </c>
      <c r="I84" s="241" t="s">
        <v>496</v>
      </c>
      <c r="J84" s="242"/>
    </row>
    <row r="85" spans="5:10">
      <c r="E85" s="248">
        <f t="shared" si="1"/>
        <v>0</v>
      </c>
      <c r="G85" s="239"/>
      <c r="H85" s="244"/>
      <c r="I85" s="241"/>
      <c r="J85" s="242"/>
    </row>
    <row r="86" spans="5:10">
      <c r="E86" s="248" t="str">
        <f t="shared" ref="E86:E148" si="2">IF($E$1=$G$1,G86,IF($E$1=$H$1,H86,IF($E$1=$I$1,I86,IF($E$1=$J$1,J86,""))))</f>
        <v>Základné ceny</v>
      </c>
      <c r="G86" s="243" t="s">
        <v>87</v>
      </c>
      <c r="H86" s="244" t="s">
        <v>88</v>
      </c>
      <c r="I86" s="241" t="s">
        <v>497</v>
      </c>
      <c r="J86" s="242"/>
    </row>
    <row r="87" spans="5:10">
      <c r="E87" s="248" t="str">
        <f t="shared" si="2"/>
        <v>Nákupné ceny</v>
      </c>
      <c r="G87" s="243" t="s">
        <v>90</v>
      </c>
      <c r="H87" s="244" t="s">
        <v>89</v>
      </c>
      <c r="I87" s="241" t="s">
        <v>498</v>
      </c>
      <c r="J87" s="242"/>
    </row>
    <row r="88" spans="5:10">
      <c r="E88" s="248" t="str">
        <f t="shared" si="2"/>
        <v>S voliteľnou zľavou</v>
      </c>
      <c r="G88" s="243" t="s">
        <v>91</v>
      </c>
      <c r="H88" s="244" t="s">
        <v>92</v>
      </c>
      <c r="I88" s="241" t="s">
        <v>499</v>
      </c>
      <c r="J88" s="242"/>
    </row>
    <row r="89" spans="5:10">
      <c r="E89" s="248">
        <f t="shared" si="2"/>
        <v>0</v>
      </c>
      <c r="G89" s="239"/>
      <c r="H89" s="244"/>
      <c r="I89" s="241"/>
      <c r="J89" s="242"/>
    </row>
    <row r="90" spans="5:10">
      <c r="E90" s="248" t="str">
        <f t="shared" si="2"/>
        <v>bočnica:</v>
      </c>
      <c r="G90" s="243" t="s">
        <v>18</v>
      </c>
      <c r="H90" s="244" t="s">
        <v>21</v>
      </c>
      <c r="I90" s="241" t="s">
        <v>500</v>
      </c>
      <c r="J90" s="242"/>
    </row>
    <row r="91" spans="5:10">
      <c r="E91" s="248" t="str">
        <f t="shared" si="2"/>
        <v>chrbát:</v>
      </c>
      <c r="G91" s="243" t="s">
        <v>75</v>
      </c>
      <c r="H91" s="244" t="s">
        <v>22</v>
      </c>
      <c r="I91" s="241" t="s">
        <v>501</v>
      </c>
      <c r="J91" s="242"/>
    </row>
    <row r="92" spans="5:10">
      <c r="E92" s="248" t="str">
        <f t="shared" si="2"/>
        <v>cena kovania:</v>
      </c>
      <c r="G92" s="243" t="s">
        <v>76</v>
      </c>
      <c r="H92" s="244" t="s">
        <v>25</v>
      </c>
      <c r="I92" s="241" t="s">
        <v>502</v>
      </c>
      <c r="J92" s="242"/>
    </row>
    <row r="93" spans="5:10">
      <c r="E93" s="248">
        <f t="shared" si="2"/>
        <v>0</v>
      </c>
      <c r="G93" s="239"/>
      <c r="H93" s="244"/>
      <c r="I93" s="241"/>
      <c r="J93" s="242"/>
    </row>
    <row r="94" spans="5:10">
      <c r="E94" s="248" t="str">
        <f t="shared" si="2"/>
        <v>Formulár pre identifikačné údaje</v>
      </c>
      <c r="G94" s="243" t="s">
        <v>64</v>
      </c>
      <c r="H94" s="244" t="s">
        <v>77</v>
      </c>
      <c r="I94" s="241" t="s">
        <v>503</v>
      </c>
      <c r="J94" s="242"/>
    </row>
    <row r="95" spans="5:10">
      <c r="E95" s="248" t="str">
        <f t="shared" si="2"/>
        <v>Späť na úvod</v>
      </c>
      <c r="G95" s="239" t="s">
        <v>28</v>
      </c>
      <c r="H95" s="240" t="s">
        <v>78</v>
      </c>
      <c r="I95" s="241" t="s">
        <v>504</v>
      </c>
      <c r="J95" s="242"/>
    </row>
    <row r="96" spans="5:10">
      <c r="E96" s="248">
        <f t="shared" si="2"/>
        <v>0</v>
      </c>
      <c r="G96" s="239"/>
      <c r="H96" s="244"/>
      <c r="I96" s="241"/>
      <c r="J96" s="242"/>
    </row>
    <row r="97" spans="5:10">
      <c r="E97" s="248" t="str">
        <f t="shared" si="2"/>
        <v>Nápoveda</v>
      </c>
      <c r="G97" s="239" t="s">
        <v>84</v>
      </c>
      <c r="H97" s="240" t="s">
        <v>97</v>
      </c>
      <c r="I97" s="241" t="s">
        <v>437</v>
      </c>
      <c r="J97" s="242"/>
    </row>
    <row r="98" spans="5:10">
      <c r="E98" s="248" t="str">
        <f t="shared" si="2"/>
        <v>Úvod</v>
      </c>
      <c r="G98" s="239" t="s">
        <v>85</v>
      </c>
      <c r="H98" s="240" t="s">
        <v>85</v>
      </c>
      <c r="I98" s="241" t="s">
        <v>505</v>
      </c>
      <c r="J98" s="242"/>
    </row>
    <row r="99" spans="5:10">
      <c r="E99" s="248" t="str">
        <f t="shared" si="2"/>
        <v>Pred prvým spustením:</v>
      </c>
      <c r="G99" s="243" t="s">
        <v>83</v>
      </c>
      <c r="H99" s="244" t="s">
        <v>86</v>
      </c>
      <c r="I99" s="241" t="s">
        <v>506</v>
      </c>
      <c r="J99" s="242"/>
    </row>
    <row r="100" spans="5:10">
      <c r="E100" s="248" t="str">
        <f t="shared" si="2"/>
        <v>V ľavej časti obrazovky vyplň identifikačné údaje.</v>
      </c>
      <c r="G100" s="243" t="s">
        <v>231</v>
      </c>
      <c r="H100" s="244" t="s">
        <v>237</v>
      </c>
      <c r="I100" s="241" t="s">
        <v>509</v>
      </c>
      <c r="J100" s="242"/>
    </row>
    <row r="101" spans="5:10">
      <c r="E101" s="248" t="str">
        <f t="shared" si="2"/>
        <v>V strednej časti vyplň výšku zľavy od predajcu.</v>
      </c>
      <c r="G101" s="243" t="s">
        <v>232</v>
      </c>
      <c r="H101" s="244" t="s">
        <v>236</v>
      </c>
      <c r="I101" s="241" t="s">
        <v>507</v>
      </c>
      <c r="J101" s="242"/>
    </row>
    <row r="102" spans="5:10">
      <c r="E102" s="248" t="str">
        <f t="shared" si="2"/>
        <v>Vrať sa na úvod a súbor ulož, alebo zatvor s potvdením zmien.</v>
      </c>
      <c r="G102" s="243" t="s">
        <v>233</v>
      </c>
      <c r="H102" s="244" t="s">
        <v>238</v>
      </c>
      <c r="I102" s="241" t="s">
        <v>508</v>
      </c>
      <c r="J102" s="242"/>
    </row>
    <row r="103" spans="5:10">
      <c r="E103" s="248" t="str">
        <f t="shared" si="2"/>
        <v>Identifikačné údaje sa budú zobrazovať v hlavičke objednávky.</v>
      </c>
      <c r="G103" s="243" t="s">
        <v>234</v>
      </c>
      <c r="H103" s="244" t="s">
        <v>235</v>
      </c>
      <c r="I103" s="241" t="s">
        <v>510</v>
      </c>
      <c r="J103" s="242"/>
    </row>
    <row r="104" spans="5:10">
      <c r="E104" s="248" t="str">
        <f t="shared" si="2"/>
        <v>Na úvodnej obrazovke :</v>
      </c>
      <c r="G104" s="243" t="s">
        <v>228</v>
      </c>
      <c r="H104" s="244" t="s">
        <v>227</v>
      </c>
      <c r="I104" s="241" t="s">
        <v>511</v>
      </c>
      <c r="J104" s="242"/>
    </row>
    <row r="105" spans="5:10">
      <c r="E105" s="248" t="str">
        <f t="shared" si="2"/>
        <v>vyber, aké ceny sa budú zobrazovať:</v>
      </c>
      <c r="G105" s="243" t="s">
        <v>230</v>
      </c>
      <c r="H105" s="244" t="s">
        <v>229</v>
      </c>
      <c r="I105" s="241" t="s">
        <v>512</v>
      </c>
      <c r="J105" s="242"/>
    </row>
    <row r="106" spans="5:10">
      <c r="E106" s="248" t="str">
        <f t="shared" si="2"/>
        <v>základné ceny, tj. cenníkové bez zľavy</v>
      </c>
      <c r="G106" s="243" t="s">
        <v>239</v>
      </c>
      <c r="H106" s="244" t="s">
        <v>241</v>
      </c>
      <c r="I106" s="241" t="s">
        <v>513</v>
      </c>
      <c r="J106" s="242"/>
    </row>
    <row r="107" spans="5:10">
      <c r="E107" s="248" t="str">
        <f t="shared" si="2"/>
        <v>nákupné ceny, tj. ceny so zľavou od predajcu</v>
      </c>
      <c r="G107" s="243" t="s">
        <v>240</v>
      </c>
      <c r="H107" s="244" t="s">
        <v>242</v>
      </c>
      <c r="I107" s="241" t="s">
        <v>514</v>
      </c>
      <c r="J107" s="242"/>
    </row>
    <row r="108" spans="5:10">
      <c r="E108" s="248" t="str">
        <f t="shared" si="2"/>
        <v>ceny s voliteľnou zľavou</v>
      </c>
      <c r="G108" s="243" t="s">
        <v>243</v>
      </c>
      <c r="H108" s="244" t="s">
        <v>244</v>
      </c>
      <c r="I108" s="241" t="s">
        <v>515</v>
      </c>
      <c r="J108" s="242"/>
    </row>
    <row r="109" spans="5:10">
      <c r="E109" s="248" t="str">
        <f t="shared" si="2"/>
        <v>Tip:</v>
      </c>
      <c r="G109" s="243" t="s">
        <v>98</v>
      </c>
      <c r="H109" s="244" t="s">
        <v>98</v>
      </c>
      <c r="I109" s="241" t="s">
        <v>98</v>
      </c>
      <c r="J109" s="242"/>
    </row>
    <row r="110" spans="5:10">
      <c r="E110" s="248" t="str">
        <f t="shared" si="2"/>
        <v>Pokiaľ zadáte zľavu s mínusovým znamienkom, zobrazia sa ceny o túto hodnotu vyššie.</v>
      </c>
      <c r="G110" s="243" t="s">
        <v>245</v>
      </c>
      <c r="H110" s="244" t="s">
        <v>246</v>
      </c>
      <c r="I110" s="241" t="s">
        <v>516</v>
      </c>
      <c r="J110" s="242"/>
    </row>
    <row r="111" spans="5:10">
      <c r="E111" s="248" t="str">
        <f t="shared" si="2"/>
        <v>vyber farbu povrchovej úpravy</v>
      </c>
      <c r="G111" s="243" t="s">
        <v>225</v>
      </c>
      <c r="H111" s="244" t="s">
        <v>223</v>
      </c>
      <c r="I111" s="241" t="s">
        <v>517</v>
      </c>
      <c r="J111" s="242"/>
    </row>
    <row r="112" spans="5:10">
      <c r="E112" s="248" t="str">
        <f t="shared" si="2"/>
        <v>vyber zpôsob montáže čelného kovania</v>
      </c>
      <c r="G112" s="243" t="s">
        <v>226</v>
      </c>
      <c r="H112" s="244" t="s">
        <v>224</v>
      </c>
      <c r="I112" s="241" t="s">
        <v>518</v>
      </c>
      <c r="J112" s="242"/>
    </row>
    <row r="113" spans="5:10">
      <c r="E113" s="248" t="str">
        <f t="shared" si="2"/>
        <v xml:space="preserve">Zadaj výšku zľavy [%] </v>
      </c>
      <c r="G113" s="239" t="s">
        <v>221</v>
      </c>
      <c r="H113" s="240" t="s">
        <v>219</v>
      </c>
      <c r="I113" s="241" t="s">
        <v>519</v>
      </c>
      <c r="J113" s="242"/>
    </row>
    <row r="114" spans="5:10">
      <c r="E114" s="248" t="str">
        <f t="shared" si="2"/>
        <v>Zadaj výšku zľavy</v>
      </c>
      <c r="G114" s="243" t="s">
        <v>222</v>
      </c>
      <c r="H114" s="244" t="s">
        <v>220</v>
      </c>
      <c r="I114" s="241" t="s">
        <v>519</v>
      </c>
      <c r="J114" s="242"/>
    </row>
    <row r="115" spans="5:10">
      <c r="E115" s="248" t="str">
        <f t="shared" si="2"/>
        <v>Nastaviť</v>
      </c>
      <c r="G115" s="239" t="s">
        <v>94</v>
      </c>
      <c r="H115" s="244" t="s">
        <v>95</v>
      </c>
      <c r="I115" s="241" t="s">
        <v>520</v>
      </c>
      <c r="J115" s="242"/>
    </row>
    <row r="116" spans="5:10">
      <c r="E116" s="248" t="str">
        <f t="shared" si="2"/>
        <v>Ceny so zľavou od predajcu [Základné údaje]</v>
      </c>
      <c r="G116" s="243" t="s">
        <v>93</v>
      </c>
      <c r="H116" s="244" t="s">
        <v>96</v>
      </c>
      <c r="I116" s="241" t="s">
        <v>521</v>
      </c>
      <c r="J116" s="242"/>
    </row>
    <row r="117" spans="5:10">
      <c r="E117" s="248">
        <f t="shared" si="2"/>
        <v>0</v>
      </c>
      <c r="G117" s="239"/>
      <c r="H117" s="244"/>
      <c r="I117" s="241"/>
      <c r="J117" s="242"/>
    </row>
    <row r="118" spans="5:10">
      <c r="E118" s="248" t="str">
        <f t="shared" si="2"/>
        <v>Nevymazal si vnútorné čelá !</v>
      </c>
      <c r="G118" s="243" t="s">
        <v>260</v>
      </c>
      <c r="H118" s="244" t="s">
        <v>259</v>
      </c>
      <c r="I118" s="241" t="s">
        <v>522</v>
      </c>
      <c r="J118" s="242"/>
    </row>
    <row r="119" spans="5:10">
      <c r="E119" s="248" t="str">
        <f t="shared" si="2"/>
        <v>zásuvka základná</v>
      </c>
      <c r="G119" s="239" t="s">
        <v>411</v>
      </c>
      <c r="H119" s="244" t="s">
        <v>104</v>
      </c>
      <c r="I119" s="241" t="s">
        <v>523</v>
      </c>
      <c r="J119" s="242"/>
    </row>
    <row r="120" spans="5:10">
      <c r="E120" s="248" t="str">
        <f t="shared" si="2"/>
        <v>zásuvka so sklenenou bočnicou</v>
      </c>
      <c r="G120" s="239" t="s">
        <v>340</v>
      </c>
      <c r="H120" s="244" t="s">
        <v>341</v>
      </c>
      <c r="I120" s="241" t="s">
        <v>524</v>
      </c>
      <c r="J120" s="242"/>
    </row>
    <row r="121" spans="5:10">
      <c r="E121" s="248" t="str">
        <f t="shared" si="2"/>
        <v>zásuvka s 2x relingom</v>
      </c>
      <c r="G121" s="239" t="s">
        <v>124</v>
      </c>
      <c r="H121" s="244" t="s">
        <v>123</v>
      </c>
      <c r="I121" s="241"/>
      <c r="J121" s="242"/>
    </row>
    <row r="122" spans="5:10">
      <c r="E122" s="248" t="str">
        <f t="shared" si="2"/>
        <v>zásuvka s TopSide oceľ.</v>
      </c>
      <c r="G122" s="243" t="s">
        <v>125</v>
      </c>
      <c r="H122" s="244" t="s">
        <v>121</v>
      </c>
      <c r="I122" s="241"/>
      <c r="J122" s="242"/>
    </row>
    <row r="123" spans="5:10">
      <c r="E123" s="248" t="str">
        <f t="shared" si="2"/>
        <v>zásuvka s TopSide sklen.</v>
      </c>
      <c r="G123" s="243" t="s">
        <v>126</v>
      </c>
      <c r="H123" s="244" t="s">
        <v>122</v>
      </c>
      <c r="I123" s="241"/>
      <c r="J123" s="242"/>
    </row>
    <row r="124" spans="5:10">
      <c r="E124" s="248" t="str">
        <f t="shared" si="2"/>
        <v>zásuvka s DesignSide</v>
      </c>
      <c r="G124" s="243" t="s">
        <v>264</v>
      </c>
      <c r="H124" s="244" t="s">
        <v>264</v>
      </c>
      <c r="I124" s="241"/>
      <c r="J124" s="242"/>
    </row>
    <row r="125" spans="5:10">
      <c r="E125" s="248" t="str">
        <f t="shared" si="2"/>
        <v>Vnútorná zásuvka - 101 mm s ALU čelom</v>
      </c>
      <c r="G125" s="243" t="s">
        <v>347</v>
      </c>
      <c r="H125" s="244" t="s">
        <v>351</v>
      </c>
      <c r="I125" s="241" t="s">
        <v>525</v>
      </c>
      <c r="J125" s="242"/>
    </row>
    <row r="126" spans="5:10">
      <c r="E126" s="248" t="str">
        <f t="shared" si="2"/>
        <v>Vnútorná zásuvka - 139 mm s ALU čelom</v>
      </c>
      <c r="G126" s="243" t="s">
        <v>348</v>
      </c>
      <c r="H126" s="244" t="s">
        <v>352</v>
      </c>
      <c r="I126" s="241" t="s">
        <v>527</v>
      </c>
      <c r="J126" s="242"/>
    </row>
    <row r="127" spans="5:10">
      <c r="E127" s="248" t="str">
        <f t="shared" si="2"/>
        <v>Vnútorná zásuvka - 187 mm s ALU čelom</v>
      </c>
      <c r="G127" s="243" t="s">
        <v>349</v>
      </c>
      <c r="H127" s="244" t="s">
        <v>353</v>
      </c>
      <c r="I127" s="241" t="s">
        <v>526</v>
      </c>
      <c r="J127" s="242"/>
    </row>
    <row r="128" spans="5:10">
      <c r="E128" s="248" t="str">
        <f t="shared" si="2"/>
        <v>Vnútorná zásuvka - 187 mm so skleneným čelom</v>
      </c>
      <c r="G128" s="243" t="s">
        <v>350</v>
      </c>
      <c r="H128" s="244" t="s">
        <v>363</v>
      </c>
      <c r="I128" s="241" t="s">
        <v>528</v>
      </c>
      <c r="J128" s="242"/>
    </row>
    <row r="129" spans="5:10">
      <c r="E129" s="248" t="str">
        <f t="shared" si="2"/>
        <v>zásuvka nízka (v 77mm)</v>
      </c>
      <c r="G129" s="243" t="s">
        <v>345</v>
      </c>
      <c r="H129" s="244" t="s">
        <v>346</v>
      </c>
      <c r="I129" s="241" t="s">
        <v>529</v>
      </c>
      <c r="J129" s="242"/>
    </row>
    <row r="130" spans="5:10">
      <c r="E130" s="248" t="str">
        <f t="shared" si="2"/>
        <v>zásuvka s relingom a individuálne vysokým chrbátom</v>
      </c>
      <c r="G130" s="243" t="s">
        <v>179</v>
      </c>
      <c r="H130" s="244" t="s">
        <v>178</v>
      </c>
      <c r="I130" s="241"/>
      <c r="J130" s="242"/>
    </row>
    <row r="131" spans="5:10">
      <c r="E131" s="248" t="str">
        <f t="shared" si="2"/>
        <v>zásuvka veľkokapacitná XXL</v>
      </c>
      <c r="G131" s="243" t="s">
        <v>181</v>
      </c>
      <c r="H131" s="244" t="s">
        <v>180</v>
      </c>
      <c r="I131" s="241"/>
      <c r="J131" s="242"/>
    </row>
    <row r="132" spans="5:10">
      <c r="E132" s="248" t="str">
        <f t="shared" si="2"/>
        <v>zásuvka s vybraním pod drez</v>
      </c>
      <c r="G132" s="243" t="s">
        <v>182</v>
      </c>
      <c r="H132" s="244" t="s">
        <v>184</v>
      </c>
      <c r="I132" s="241"/>
      <c r="J132" s="242"/>
    </row>
    <row r="133" spans="5:10">
      <c r="E133" s="248" t="str">
        <f t="shared" si="2"/>
        <v>zásuvka s relingom a s vybraním pod drez</v>
      </c>
      <c r="G133" s="243" t="s">
        <v>183</v>
      </c>
      <c r="H133" s="244" t="s">
        <v>185</v>
      </c>
      <c r="I133" s="241"/>
      <c r="J133" s="242"/>
    </row>
    <row r="134" spans="5:10">
      <c r="E134" s="248" t="str">
        <f t="shared" si="2"/>
        <v>zásuvka veľkokapacitná pod šporák</v>
      </c>
      <c r="G134" s="243" t="s">
        <v>186</v>
      </c>
      <c r="H134" s="244" t="s">
        <v>187</v>
      </c>
      <c r="I134" s="241"/>
      <c r="J134" s="242"/>
    </row>
    <row r="135" spans="5:10">
      <c r="E135" s="248" t="str">
        <f t="shared" si="2"/>
        <v>alebo</v>
      </c>
      <c r="G135" s="243" t="s">
        <v>189</v>
      </c>
      <c r="H135" s="244" t="s">
        <v>188</v>
      </c>
      <c r="I135" s="241" t="s">
        <v>530</v>
      </c>
      <c r="J135" s="242"/>
    </row>
    <row r="136" spans="5:10">
      <c r="E136" s="248" t="str">
        <f t="shared" si="2"/>
        <v>zásuvka uzká spodná 101/187</v>
      </c>
      <c r="G136" s="243" t="s">
        <v>379</v>
      </c>
      <c r="H136" s="244" t="s">
        <v>380</v>
      </c>
      <c r="I136" s="241" t="s">
        <v>532</v>
      </c>
      <c r="J136" s="242"/>
    </row>
    <row r="137" spans="5:10">
      <c r="E137" s="248" t="str">
        <f t="shared" si="2"/>
        <v>zásuvka uzká spodná 139/187</v>
      </c>
      <c r="G137" s="243" t="s">
        <v>381</v>
      </c>
      <c r="H137" s="244" t="s">
        <v>382</v>
      </c>
      <c r="I137" s="241" t="s">
        <v>533</v>
      </c>
      <c r="J137" s="242"/>
    </row>
    <row r="138" spans="5:10">
      <c r="E138" s="248" t="str">
        <f>IF($E$1=$G$1,G138,IF($E$1=$H$1,H138,IF($E$1=$I$1,I138,IF($E$1=$J$1,J138,""))))</f>
        <v>zásuvka uzká spodná 2x187</v>
      </c>
      <c r="G138" s="243" t="s">
        <v>383</v>
      </c>
      <c r="H138" s="244" t="s">
        <v>384</v>
      </c>
      <c r="I138" s="241" t="s">
        <v>531</v>
      </c>
      <c r="J138" s="242"/>
    </row>
    <row r="139" spans="5:10">
      <c r="E139" s="248" t="str">
        <f t="shared" si="2"/>
        <v>potravinová skriňa vysoká výsuvná</v>
      </c>
      <c r="G139" s="243" t="s">
        <v>192</v>
      </c>
      <c r="H139" s="244" t="s">
        <v>190</v>
      </c>
      <c r="I139" s="241" t="s">
        <v>534</v>
      </c>
      <c r="J139" s="242"/>
    </row>
    <row r="140" spans="5:10">
      <c r="E140" s="248" t="str">
        <f t="shared" si="2"/>
        <v>potravinová skriňa vysoká otváravá</v>
      </c>
      <c r="G140" s="243" t="s">
        <v>193</v>
      </c>
      <c r="H140" s="244" t="s">
        <v>191</v>
      </c>
      <c r="I140" s="241" t="s">
        <v>535</v>
      </c>
      <c r="J140" s="242"/>
    </row>
    <row r="141" spans="5:10">
      <c r="E141" s="248" t="str">
        <f t="shared" si="2"/>
        <v>Špeciálne zásuvky a špeciálne riešenia</v>
      </c>
      <c r="G141" s="243" t="s">
        <v>279</v>
      </c>
      <c r="H141" s="244" t="s">
        <v>177</v>
      </c>
      <c r="I141" s="241" t="s">
        <v>536</v>
      </c>
      <c r="J141" s="242"/>
    </row>
    <row r="142" spans="5:10">
      <c r="E142" s="248" t="str">
        <f t="shared" si="2"/>
        <v>Zásuvky uzké</v>
      </c>
      <c r="G142" s="243" t="s">
        <v>263</v>
      </c>
      <c r="H142" s="244" t="s">
        <v>255</v>
      </c>
      <c r="I142" s="241" t="s">
        <v>537</v>
      </c>
      <c r="J142" s="242"/>
    </row>
    <row r="143" spans="5:10">
      <c r="E143" s="248" t="str">
        <f t="shared" si="2"/>
        <v>Vysoké potravinové skrine</v>
      </c>
      <c r="G143" s="243" t="s">
        <v>257</v>
      </c>
      <c r="H143" s="244" t="s">
        <v>256</v>
      </c>
      <c r="I143" s="241" t="s">
        <v>538</v>
      </c>
      <c r="J143" s="242"/>
    </row>
    <row r="144" spans="5:10">
      <c r="E144" s="248">
        <f t="shared" si="2"/>
        <v>0</v>
      </c>
      <c r="G144" s="243"/>
      <c r="H144" s="244"/>
      <c r="I144" s="241"/>
      <c r="J144" s="242"/>
    </row>
    <row r="145" spans="5:10">
      <c r="E145" s="248" t="str">
        <f t="shared" si="2"/>
        <v>výška bočnice :</v>
      </c>
      <c r="G145" s="243" t="s">
        <v>120</v>
      </c>
      <c r="H145" s="244" t="s">
        <v>120</v>
      </c>
      <c r="I145" s="241" t="s">
        <v>539</v>
      </c>
      <c r="J145" s="242"/>
    </row>
    <row r="146" spans="5:10">
      <c r="E146" s="248" t="str">
        <f t="shared" si="2"/>
        <v>výška chrbátu :</v>
      </c>
      <c r="G146" s="243" t="s">
        <v>127</v>
      </c>
      <c r="H146" s="244" t="s">
        <v>105</v>
      </c>
      <c r="I146" s="241" t="s">
        <v>540</v>
      </c>
      <c r="J146" s="242"/>
    </row>
    <row r="147" spans="5:10">
      <c r="E147" s="248" t="str">
        <f t="shared" si="2"/>
        <v>min.vstavaná výška [mm] :</v>
      </c>
      <c r="G147" s="243" t="s">
        <v>412</v>
      </c>
      <c r="H147" s="244" t="s">
        <v>333</v>
      </c>
      <c r="I147" s="241" t="s">
        <v>541</v>
      </c>
      <c r="J147" s="242"/>
    </row>
    <row r="148" spans="5:10">
      <c r="E148" s="248" t="str">
        <f t="shared" si="2"/>
        <v>len SiSy</v>
      </c>
      <c r="G148" s="243" t="s">
        <v>374</v>
      </c>
      <c r="H148" s="244" t="s">
        <v>338</v>
      </c>
      <c r="I148" s="241" t="s">
        <v>542</v>
      </c>
      <c r="J148" s="242"/>
    </row>
    <row r="149" spans="5:10">
      <c r="E149" s="248"/>
      <c r="G149" s="243"/>
      <c r="H149" s="244"/>
      <c r="I149" s="241"/>
      <c r="J149" s="242"/>
    </row>
    <row r="150" spans="5:10">
      <c r="E150" s="248" t="str">
        <f t="shared" ref="E150:E215" si="3">IF($E$1=$G$1,G150,IF($E$1=$H$1,H150,IF($E$1=$I$1,I150,IF($E$1=$J$1,J150,""))))</f>
        <v>min.šírka korp.:</v>
      </c>
      <c r="G150" s="243" t="s">
        <v>269</v>
      </c>
      <c r="H150" s="244" t="s">
        <v>270</v>
      </c>
      <c r="I150" s="241" t="s">
        <v>543</v>
      </c>
      <c r="J150" s="242"/>
    </row>
    <row r="151" spans="5:10">
      <c r="E151" s="248" t="str">
        <f t="shared" si="3"/>
        <v>max.šírka korp.:</v>
      </c>
      <c r="G151" s="243" t="s">
        <v>271</v>
      </c>
      <c r="H151" s="244" t="s">
        <v>272</v>
      </c>
      <c r="I151" s="241" t="s">
        <v>544</v>
      </c>
      <c r="J151" s="242"/>
    </row>
    <row r="152" spans="5:10">
      <c r="E152" s="248" t="str">
        <f t="shared" si="3"/>
        <v>min.hĺb.príbor.:</v>
      </c>
      <c r="G152" s="243" t="s">
        <v>273</v>
      </c>
      <c r="H152" s="244" t="s">
        <v>275</v>
      </c>
      <c r="I152" s="241" t="s">
        <v>545</v>
      </c>
      <c r="J152" s="242"/>
    </row>
    <row r="153" spans="5:10">
      <c r="E153" s="248" t="str">
        <f t="shared" si="3"/>
        <v>max.hĺb.príbor.:</v>
      </c>
      <c r="G153" s="243" t="s">
        <v>274</v>
      </c>
      <c r="H153" s="244" t="s">
        <v>276</v>
      </c>
      <c r="I153" s="241" t="s">
        <v>546</v>
      </c>
      <c r="J153" s="242"/>
    </row>
    <row r="154" spans="5:10">
      <c r="E154" s="248">
        <f t="shared" si="3"/>
        <v>0</v>
      </c>
      <c r="G154" s="239"/>
      <c r="H154" s="244"/>
      <c r="I154" s="241"/>
      <c r="J154" s="242"/>
    </row>
    <row r="155" spans="5:10">
      <c r="E155" s="248" t="str">
        <f t="shared" si="3"/>
        <v>Ku každej zásuvke je uvažované jedno predné 2m hliníkové čelo.</v>
      </c>
      <c r="G155" s="239" t="s">
        <v>161</v>
      </c>
      <c r="H155" s="240" t="s">
        <v>160</v>
      </c>
      <c r="I155" s="241" t="s">
        <v>547</v>
      </c>
      <c r="J155" s="242"/>
    </row>
    <row r="156" spans="5:10">
      <c r="E156" s="248" t="str">
        <f t="shared" si="3"/>
        <v>Ku každej zásuvke je uvažované jedno predné 2m hliníkové čelo a priečný reling.</v>
      </c>
      <c r="G156" s="239" t="s">
        <v>167</v>
      </c>
      <c r="H156" s="240" t="s">
        <v>166</v>
      </c>
      <c r="I156" s="241"/>
      <c r="J156" s="242"/>
    </row>
    <row r="157" spans="5:10">
      <c r="E157" s="248" t="str">
        <f t="shared" si="3"/>
        <v>Prípadnú úpravu počtu hliníkových čiel (profilov) vykonaj v objednávke.</v>
      </c>
      <c r="G157" s="239" t="s">
        <v>215</v>
      </c>
      <c r="H157" s="240" t="s">
        <v>217</v>
      </c>
      <c r="I157" s="241" t="s">
        <v>548</v>
      </c>
      <c r="J157" s="242"/>
    </row>
    <row r="158" spans="5:10">
      <c r="E158" s="248" t="str">
        <f t="shared" si="3"/>
        <v>Prípadnú úpravu počtu hliníkových čiel (profilov) a priečnych relingov vykonaj v objednávke.</v>
      </c>
      <c r="G158" s="239" t="s">
        <v>216</v>
      </c>
      <c r="H158" s="240" t="s">
        <v>218</v>
      </c>
      <c r="I158" s="241"/>
      <c r="J158" s="242"/>
    </row>
    <row r="159" spans="5:10">
      <c r="E159" s="248" t="str">
        <f t="shared" si="3"/>
        <v>Je nutné vybrať sklenené čelá podľa rozmerov skriniek !</v>
      </c>
      <c r="G159" s="239" t="s">
        <v>163</v>
      </c>
      <c r="H159" s="240" t="s">
        <v>162</v>
      </c>
      <c r="I159" s="241" t="s">
        <v>549</v>
      </c>
      <c r="J159" s="242"/>
    </row>
    <row r="160" spans="5:10">
      <c r="E160" s="248" t="str">
        <f t="shared" si="3"/>
        <v>Je nutné natypovať šírky čiel ?</v>
      </c>
      <c r="G160" s="243" t="s">
        <v>355</v>
      </c>
      <c r="H160" s="244" t="s">
        <v>354</v>
      </c>
      <c r="I160" s="241" t="s">
        <v>550</v>
      </c>
      <c r="J160" s="242"/>
    </row>
    <row r="161" spans="5:10">
      <c r="E161" s="248" t="str">
        <f t="shared" si="3"/>
        <v>Pre výber kliknu tu.</v>
      </c>
      <c r="G161" s="243" t="s">
        <v>165</v>
      </c>
      <c r="H161" s="244" t="s">
        <v>164</v>
      </c>
      <c r="I161" s="241" t="s">
        <v>551</v>
      </c>
      <c r="J161" s="242"/>
    </row>
    <row r="162" spans="5:10">
      <c r="E162" s="248" t="str">
        <f t="shared" si="3"/>
        <v>Čelo na vnútornú zásuvku</v>
      </c>
      <c r="G162" s="243" t="s">
        <v>146</v>
      </c>
      <c r="H162" s="244" t="s">
        <v>143</v>
      </c>
      <c r="I162" s="241" t="s">
        <v>552</v>
      </c>
      <c r="J162" s="242"/>
    </row>
    <row r="163" spans="5:10">
      <c r="E163" s="248" t="str">
        <f t="shared" si="3"/>
        <v>vonkajšie rozmery zásuvkovej skrinky [mm]</v>
      </c>
      <c r="G163" s="243" t="s">
        <v>147</v>
      </c>
      <c r="H163" s="244" t="s">
        <v>144</v>
      </c>
      <c r="I163" s="241" t="s">
        <v>553</v>
      </c>
      <c r="J163" s="242"/>
    </row>
    <row r="164" spans="5:10">
      <c r="E164" s="248" t="str">
        <f t="shared" si="3"/>
        <v>nízke čelo = 66 mm</v>
      </c>
      <c r="G164" s="243" t="s">
        <v>364</v>
      </c>
      <c r="H164" s="244" t="s">
        <v>364</v>
      </c>
      <c r="I164" s="241" t="s">
        <v>554</v>
      </c>
      <c r="J164" s="242"/>
    </row>
    <row r="165" spans="5:10">
      <c r="E165" s="248" t="str">
        <f t="shared" si="3"/>
        <v>vysoké čelo = 130 mm</v>
      </c>
      <c r="G165" s="243" t="s">
        <v>365</v>
      </c>
      <c r="H165" s="244" t="s">
        <v>365</v>
      </c>
      <c r="I165" s="241" t="s">
        <v>555</v>
      </c>
      <c r="J165" s="242"/>
    </row>
    <row r="166" spans="5:10">
      <c r="E166" s="248" t="str">
        <f t="shared" si="3"/>
        <v>Šírka korpusu:</v>
      </c>
      <c r="G166" s="243" t="s">
        <v>148</v>
      </c>
      <c r="H166" s="244" t="s">
        <v>145</v>
      </c>
      <c r="I166" s="241" t="s">
        <v>556</v>
      </c>
      <c r="J166" s="242"/>
    </row>
    <row r="167" spans="5:10">
      <c r="E167" s="248" t="str">
        <f t="shared" si="3"/>
        <v>ALU čelo</v>
      </c>
      <c r="G167" s="243" t="s">
        <v>360</v>
      </c>
      <c r="H167" s="244" t="s">
        <v>360</v>
      </c>
      <c r="I167" s="241" t="s">
        <v>557</v>
      </c>
      <c r="J167" s="242"/>
    </row>
    <row r="168" spans="5:10">
      <c r="E168" s="248" t="str">
        <f t="shared" si="3"/>
        <v>Sklenené čelo</v>
      </c>
      <c r="G168" s="243" t="s">
        <v>361</v>
      </c>
      <c r="H168" s="244" t="s">
        <v>362</v>
      </c>
      <c r="I168" s="241" t="s">
        <v>558</v>
      </c>
      <c r="J168" s="242"/>
    </row>
    <row r="169" spans="5:10">
      <c r="E169" s="248" t="str">
        <f t="shared" si="3"/>
        <v>Je potrebné vybrať</v>
      </c>
      <c r="G169" s="243" t="s">
        <v>150</v>
      </c>
      <c r="H169" s="244" t="s">
        <v>149</v>
      </c>
      <c r="I169" s="241" t="s">
        <v>559</v>
      </c>
      <c r="J169" s="242"/>
    </row>
    <row r="170" spans="5:10">
      <c r="E170" s="248" t="str">
        <f t="shared" si="3"/>
        <v>ks vnútorných čiel.</v>
      </c>
      <c r="G170" s="243" t="s">
        <v>151</v>
      </c>
      <c r="H170" s="244" t="s">
        <v>152</v>
      </c>
      <c r="I170" s="241" t="s">
        <v>560</v>
      </c>
      <c r="J170" s="242"/>
    </row>
    <row r="171" spans="5:10">
      <c r="E171" s="248" t="str">
        <f t="shared" si="3"/>
        <v>Ešte CHÝBA vybrať</v>
      </c>
      <c r="G171" s="243" t="s">
        <v>158</v>
      </c>
      <c r="H171" s="244" t="s">
        <v>157</v>
      </c>
      <c r="I171" s="241" t="s">
        <v>561</v>
      </c>
      <c r="J171" s="242"/>
    </row>
    <row r="172" spans="5:10">
      <c r="E172" s="248" t="str">
        <f t="shared" si="3"/>
        <v>Vybral si o</v>
      </c>
      <c r="G172" s="243" t="s">
        <v>155</v>
      </c>
      <c r="H172" s="244" t="s">
        <v>153</v>
      </c>
      <c r="I172" s="241" t="s">
        <v>562</v>
      </c>
      <c r="J172" s="242"/>
    </row>
    <row r="173" spans="5:10">
      <c r="E173" s="248" t="str">
        <f t="shared" si="3"/>
        <v>ks vnútorných čiel VIACEJ.</v>
      </c>
      <c r="G173" s="243" t="s">
        <v>156</v>
      </c>
      <c r="H173" s="244" t="s">
        <v>154</v>
      </c>
      <c r="I173" s="241" t="s">
        <v>563</v>
      </c>
      <c r="J173" s="242"/>
    </row>
    <row r="174" spans="5:10">
      <c r="E174" s="248" t="str">
        <f t="shared" si="3"/>
        <v>Počet vnútorných čiel teraz pasuje s počtom zásuviek.</v>
      </c>
      <c r="G174" s="243" t="s">
        <v>212</v>
      </c>
      <c r="H174" s="244" t="s">
        <v>159</v>
      </c>
      <c r="I174" s="241" t="s">
        <v>564</v>
      </c>
      <c r="J174" s="242"/>
    </row>
    <row r="175" spans="5:10">
      <c r="E175" s="248" t="str">
        <f t="shared" si="3"/>
        <v>Je potrebné vybrať vnútorné čelá na</v>
      </c>
      <c r="G175" s="243" t="s">
        <v>205</v>
      </c>
      <c r="H175" s="244" t="s">
        <v>204</v>
      </c>
      <c r="I175" s="241" t="s">
        <v>565</v>
      </c>
      <c r="J175" s="242"/>
    </row>
    <row r="176" spans="5:10">
      <c r="E176" s="248" t="str">
        <f t="shared" si="3"/>
        <v>skriňu (skrine).</v>
      </c>
      <c r="G176" s="243" t="s">
        <v>208</v>
      </c>
      <c r="H176" s="244" t="s">
        <v>207</v>
      </c>
      <c r="I176" s="241" t="s">
        <v>566</v>
      </c>
      <c r="J176" s="242"/>
    </row>
    <row r="177" spans="5:10">
      <c r="E177" s="248" t="str">
        <f t="shared" si="3"/>
        <v>Ešte CHÝBA vybrať vnútorné čelá na</v>
      </c>
      <c r="G177" s="243" t="s">
        <v>209</v>
      </c>
      <c r="H177" s="244" t="s">
        <v>206</v>
      </c>
      <c r="I177" s="241" t="s">
        <v>567</v>
      </c>
      <c r="J177" s="242"/>
    </row>
    <row r="178" spans="5:10">
      <c r="E178" s="248" t="str">
        <f t="shared" si="3"/>
        <v>Vybral si na</v>
      </c>
      <c r="G178" s="243" t="s">
        <v>211</v>
      </c>
      <c r="H178" s="244" t="s">
        <v>210</v>
      </c>
      <c r="I178" s="241" t="s">
        <v>568</v>
      </c>
      <c r="J178" s="242"/>
    </row>
    <row r="179" spans="5:10">
      <c r="E179" s="248" t="str">
        <f t="shared" si="3"/>
        <v>skriňu (skrine) vnútorných čiel VIACEJ.</v>
      </c>
      <c r="G179" s="243" t="s">
        <v>214</v>
      </c>
      <c r="H179" s="244" t="s">
        <v>213</v>
      </c>
      <c r="I179" s="241" t="s">
        <v>569</v>
      </c>
      <c r="J179" s="242"/>
    </row>
    <row r="180" spans="5:10">
      <c r="E180" s="248">
        <f t="shared" si="3"/>
        <v>0</v>
      </c>
      <c r="G180" s="243"/>
      <c r="H180" s="244"/>
      <c r="I180" s="241"/>
      <c r="J180" s="242"/>
    </row>
    <row r="181" spans="5:10">
      <c r="E181" s="248" t="str">
        <f t="shared" si="3"/>
        <v>vonkajšia šírka skrinky</v>
      </c>
      <c r="G181" s="243" t="s">
        <v>173</v>
      </c>
      <c r="H181" s="244" t="s">
        <v>168</v>
      </c>
      <c r="I181" s="241" t="s">
        <v>570</v>
      </c>
      <c r="J181" s="242"/>
    </row>
    <row r="182" spans="5:10">
      <c r="E182" s="248" t="str">
        <f t="shared" si="3"/>
        <v>šírka výlisku</v>
      </c>
      <c r="G182" s="243" t="s">
        <v>174</v>
      </c>
      <c r="H182" s="244" t="s">
        <v>169</v>
      </c>
      <c r="I182" s="241" t="s">
        <v>571</v>
      </c>
      <c r="J182" s="242"/>
    </row>
    <row r="183" spans="5:10">
      <c r="E183" s="248" t="str">
        <f t="shared" si="3"/>
        <v>hĺbka výlisku [mm]</v>
      </c>
      <c r="G183" s="243" t="s">
        <v>175</v>
      </c>
      <c r="H183" s="244" t="s">
        <v>172</v>
      </c>
      <c r="I183" s="241" t="s">
        <v>572</v>
      </c>
      <c r="J183" s="242"/>
    </row>
    <row r="184" spans="5:10">
      <c r="E184" s="248" t="str">
        <f t="shared" si="3"/>
        <v>hĺbka zásuvky</v>
      </c>
      <c r="G184" s="243" t="s">
        <v>176</v>
      </c>
      <c r="H184" s="244" t="s">
        <v>171</v>
      </c>
      <c r="I184" s="241" t="s">
        <v>573</v>
      </c>
      <c r="J184" s="242"/>
    </row>
    <row r="185" spans="5:10">
      <c r="E185" s="248">
        <f t="shared" si="3"/>
        <v>0</v>
      </c>
      <c r="G185" s="239"/>
      <c r="H185" s="244"/>
      <c r="I185" s="241"/>
      <c r="J185" s="242"/>
    </row>
    <row r="186" spans="5:10">
      <c r="E186" s="248" t="str">
        <f t="shared" si="3"/>
        <v>Koľko úrovňový chceš mať reling ?</v>
      </c>
      <c r="G186" s="243" t="s">
        <v>195</v>
      </c>
      <c r="H186" s="244" t="s">
        <v>194</v>
      </c>
      <c r="I186" s="241"/>
      <c r="J186" s="242"/>
    </row>
    <row r="187" spans="5:10">
      <c r="E187" s="248" t="str">
        <f t="shared" si="3"/>
        <v>Vnútorné krátke bočnice sú uvažované v menovitej dĺžke 260mm.</v>
      </c>
      <c r="G187" s="239" t="s">
        <v>197</v>
      </c>
      <c r="H187" s="240" t="s">
        <v>198</v>
      </c>
      <c r="I187" s="241" t="s">
        <v>581</v>
      </c>
      <c r="J187" s="242"/>
    </row>
    <row r="188" spans="5:10">
      <c r="E188" s="248" t="str">
        <f t="shared" si="3"/>
        <v>Prípadnú zmenu na inú dĺžku vykonajte v objednávke.</v>
      </c>
      <c r="G188" s="239" t="s">
        <v>199</v>
      </c>
      <c r="H188" s="240" t="s">
        <v>196</v>
      </c>
      <c r="I188" s="241" t="s">
        <v>582</v>
      </c>
      <c r="J188" s="242"/>
    </row>
    <row r="189" spans="5:10">
      <c r="E189" s="248" t="str">
        <f t="shared" si="3"/>
        <v>Maximálna výška korpusu skrinky = 750mm.   Maximálna šírka korpusu skrinky = 300mm.</v>
      </c>
      <c r="G189" s="243" t="s">
        <v>202</v>
      </c>
      <c r="H189" s="244" t="s">
        <v>203</v>
      </c>
      <c r="I189" s="241" t="s">
        <v>583</v>
      </c>
      <c r="J189" s="242"/>
    </row>
    <row r="190" spans="5:10">
      <c r="E190" s="248">
        <f t="shared" si="3"/>
        <v>0</v>
      </c>
      <c r="G190" s="239"/>
      <c r="H190" s="244"/>
      <c r="I190" s="241"/>
      <c r="J190" s="242"/>
    </row>
    <row r="191" spans="5:10">
      <c r="E191" s="248" t="str">
        <f t="shared" si="3"/>
        <v xml:space="preserve">V stĺpci "Zmena" môžeš upraviť počty kusov jednotlivých položiek. </v>
      </c>
      <c r="G191" s="245" t="s">
        <v>415</v>
      </c>
      <c r="H191" s="246" t="s">
        <v>248</v>
      </c>
      <c r="I191" s="241" t="s">
        <v>584</v>
      </c>
      <c r="J191" s="242"/>
    </row>
    <row r="192" spans="5:10">
      <c r="E192" s="248" t="str">
        <f t="shared" si="3"/>
        <v>Po úprave objednávky odfiltruj prázné riadky pomocou filtru v stĺpci "Počet".</v>
      </c>
      <c r="G192" s="245" t="s">
        <v>249</v>
      </c>
      <c r="H192" s="246" t="s">
        <v>250</v>
      </c>
      <c r="I192" s="241" t="s">
        <v>585</v>
      </c>
      <c r="J192" s="242"/>
    </row>
    <row r="193" spans="5:10">
      <c r="E193" s="248" t="str">
        <f t="shared" si="3"/>
        <v>Pokiaľ chceš objednávku uložiť alebo odoslať ako prílohu, vytvor nový súbor kliknutím na odkaz  'Vytvoriť objednávku'.</v>
      </c>
      <c r="G193" s="245" t="s">
        <v>251</v>
      </c>
      <c r="H193" s="246" t="s">
        <v>254</v>
      </c>
      <c r="I193" s="241" t="s">
        <v>586</v>
      </c>
      <c r="J193" s="242"/>
    </row>
    <row r="194" spans="5:10">
      <c r="E194" s="248" t="str">
        <f t="shared" si="3"/>
        <v>VYTVORIŤ  OBJEDNÁVKU</v>
      </c>
      <c r="G194" s="243" t="s">
        <v>253</v>
      </c>
      <c r="H194" s="244" t="s">
        <v>252</v>
      </c>
      <c r="I194" s="241" t="s">
        <v>580</v>
      </c>
      <c r="J194" s="242"/>
    </row>
    <row r="195" spans="5:10">
      <c r="E195" s="248">
        <f t="shared" si="3"/>
        <v>0</v>
      </c>
      <c r="G195" s="239"/>
      <c r="H195" s="244"/>
      <c r="I195" s="241"/>
      <c r="J195" s="242"/>
    </row>
    <row r="196" spans="5:10">
      <c r="E196" s="248" t="str">
        <f t="shared" si="3"/>
        <v>Tlačítko "RESET" funguje len pri zapnutej funkcii MAKRO. Pokiaľ nie je zapnutá, musíte polia vymazať ručne.</v>
      </c>
      <c r="G196" s="239" t="s">
        <v>404</v>
      </c>
      <c r="H196" s="244" t="s">
        <v>403</v>
      </c>
      <c r="I196" s="241"/>
      <c r="J196" s="242"/>
    </row>
    <row r="197" spans="5:10">
      <c r="E197" s="248">
        <f t="shared" si="3"/>
        <v>0</v>
      </c>
      <c r="G197" s="239"/>
      <c r="H197" s="244"/>
      <c r="I197" s="241"/>
      <c r="J197" s="242"/>
    </row>
    <row r="198" spans="5:10">
      <c r="E198" s="248" t="str">
        <f t="shared" si="3"/>
        <v>P2O Silent pre Actro</v>
      </c>
      <c r="G198" s="239" t="s">
        <v>413</v>
      </c>
      <c r="H198" s="244" t="s">
        <v>300</v>
      </c>
      <c r="I198" s="241" t="s">
        <v>578</v>
      </c>
      <c r="J198" s="242"/>
    </row>
    <row r="199" spans="5:10">
      <c r="E199" s="248" t="str">
        <f t="shared" si="3"/>
        <v>P2O Silent pre Quadro</v>
      </c>
      <c r="G199" s="239" t="s">
        <v>414</v>
      </c>
      <c r="H199" s="244" t="s">
        <v>301</v>
      </c>
      <c r="I199" s="241" t="s">
        <v>579</v>
      </c>
      <c r="J199" s="242"/>
    </row>
    <row r="200" spans="5:10">
      <c r="E200" s="248">
        <f t="shared" si="3"/>
        <v>0</v>
      </c>
      <c r="G200" s="239"/>
      <c r="H200" s="244"/>
      <c r="I200" s="241"/>
      <c r="J200" s="242"/>
    </row>
    <row r="201" spans="5:10">
      <c r="E201" s="248" t="str">
        <f t="shared" si="3"/>
        <v>SiSy = tlmenie Silent System</v>
      </c>
      <c r="G201" s="239" t="s">
        <v>416</v>
      </c>
      <c r="H201" s="244" t="s">
        <v>418</v>
      </c>
      <c r="I201" s="241" t="s">
        <v>574</v>
      </c>
      <c r="J201" s="242"/>
    </row>
    <row r="202" spans="5:10">
      <c r="E202" s="248" t="str">
        <f t="shared" si="3"/>
        <v>P2O/SiSy = tlmenie s otváraním bez úchytky Push to open Silent</v>
      </c>
      <c r="G202" s="239" t="s">
        <v>417</v>
      </c>
      <c r="H202" s="244" t="s">
        <v>419</v>
      </c>
      <c r="I202" s="241" t="s">
        <v>575</v>
      </c>
      <c r="J202" s="242"/>
    </row>
    <row r="203" spans="5:10">
      <c r="E203" s="248" t="str">
        <f t="shared" si="3"/>
        <v>P2O Silent = tlmenie s otváraním bez úchytky Push to open Silent</v>
      </c>
      <c r="G203" s="239" t="s">
        <v>420</v>
      </c>
      <c r="H203" s="244" t="s">
        <v>421</v>
      </c>
      <c r="I203" s="241" t="s">
        <v>576</v>
      </c>
      <c r="J203" s="242"/>
    </row>
    <row r="204" spans="5:10">
      <c r="E204" s="248" t="str">
        <f t="shared" si="3"/>
        <v>P2O = otváranie bez úchytky Push to open</v>
      </c>
      <c r="G204" s="239" t="s">
        <v>422</v>
      </c>
      <c r="H204" s="244" t="s">
        <v>423</v>
      </c>
      <c r="I204" s="241" t="s">
        <v>577</v>
      </c>
      <c r="J204" s="242"/>
    </row>
    <row r="205" spans="5:10">
      <c r="E205" s="248">
        <f t="shared" si="3"/>
        <v>0</v>
      </c>
      <c r="G205" s="239"/>
      <c r="H205" s="244"/>
      <c r="I205" s="241"/>
      <c r="J205" s="242"/>
    </row>
    <row r="206" spans="5:10">
      <c r="E206" s="248" t="str">
        <f t="shared" si="3"/>
        <v>Zásuvka</v>
      </c>
      <c r="G206" s="239" t="s">
        <v>587</v>
      </c>
      <c r="H206" s="244" t="s">
        <v>587</v>
      </c>
      <c r="I206" s="241" t="s">
        <v>590</v>
      </c>
      <c r="J206" s="242"/>
    </row>
    <row r="207" spans="5:10">
      <c r="E207" s="248" t="str">
        <f t="shared" ref="E207:E212" si="4">IF($E$1=$G$1,G207,IF($E$1=$H$1,H207,IF($E$1=$I$1,I207,IF($E$1=$J$1,J207,""))))</f>
        <v xml:space="preserve">Cena ceľkom bez DPH </v>
      </c>
      <c r="G207" s="239" t="s">
        <v>46</v>
      </c>
      <c r="H207" s="244" t="s">
        <v>588</v>
      </c>
      <c r="I207" s="241" t="s">
        <v>590</v>
      </c>
      <c r="J207" s="242"/>
    </row>
    <row r="208" spans="5:10">
      <c r="E208" s="248" t="str">
        <f t="shared" si="4"/>
        <v>Poznámka :</v>
      </c>
      <c r="G208" s="239" t="s">
        <v>589</v>
      </c>
      <c r="H208" s="244" t="s">
        <v>589</v>
      </c>
      <c r="I208" s="241" t="s">
        <v>590</v>
      </c>
      <c r="J208" s="242"/>
    </row>
    <row r="209" spans="5:10">
      <c r="E209" s="248">
        <f t="shared" si="4"/>
        <v>0</v>
      </c>
      <c r="G209" s="239"/>
      <c r="H209" s="244"/>
      <c r="I209" s="241"/>
      <c r="J209" s="242"/>
    </row>
    <row r="210" spans="5:10">
      <c r="E210" s="248">
        <f t="shared" si="4"/>
        <v>0</v>
      </c>
      <c r="G210" s="239"/>
      <c r="H210" s="244"/>
      <c r="I210" s="241"/>
      <c r="J210" s="242"/>
    </row>
    <row r="211" spans="5:10">
      <c r="E211" s="248">
        <f t="shared" si="4"/>
        <v>0</v>
      </c>
      <c r="G211" s="239"/>
      <c r="H211" s="244"/>
      <c r="I211" s="241"/>
      <c r="J211" s="242"/>
    </row>
    <row r="212" spans="5:10">
      <c r="E212" s="248">
        <f t="shared" si="4"/>
        <v>0</v>
      </c>
      <c r="G212" s="239"/>
      <c r="H212" s="244"/>
      <c r="I212" s="241"/>
      <c r="J212" s="242"/>
    </row>
    <row r="213" spans="5:10">
      <c r="E213" s="248">
        <f t="shared" si="3"/>
        <v>0</v>
      </c>
      <c r="G213" s="239"/>
      <c r="H213" s="244"/>
      <c r="I213" s="241"/>
      <c r="J213" s="242"/>
    </row>
    <row r="214" spans="5:10">
      <c r="E214" s="248">
        <f t="shared" si="3"/>
        <v>0</v>
      </c>
      <c r="G214" s="239"/>
      <c r="H214" s="244"/>
      <c r="I214" s="241"/>
      <c r="J214" s="242"/>
    </row>
    <row r="215" spans="5:10">
      <c r="E215" s="248">
        <f t="shared" si="3"/>
        <v>0</v>
      </c>
      <c r="G215" s="239"/>
      <c r="H215" s="244"/>
      <c r="I215" s="241"/>
      <c r="J215" s="242"/>
    </row>
    <row r="216" spans="5:10">
      <c r="E216" s="248">
        <f t="shared" ref="E216:E243" si="5">IF($E$1=$G$1,G216,IF($E$1=$H$1,H216,IF($E$1=$I$1,I216,IF($E$1=$J$1,J216,""))))</f>
        <v>0</v>
      </c>
      <c r="G216" s="239"/>
      <c r="H216" s="244"/>
      <c r="I216" s="241"/>
      <c r="J216" s="242"/>
    </row>
    <row r="217" spans="5:10">
      <c r="E217" s="248">
        <f t="shared" si="5"/>
        <v>0</v>
      </c>
      <c r="G217" s="239"/>
      <c r="H217" s="244"/>
      <c r="I217" s="241"/>
      <c r="J217" s="242"/>
    </row>
    <row r="218" spans="5:10">
      <c r="E218" s="248">
        <f t="shared" si="5"/>
        <v>0</v>
      </c>
      <c r="G218" s="239"/>
      <c r="H218" s="244"/>
      <c r="I218" s="241"/>
      <c r="J218" s="242"/>
    </row>
    <row r="219" spans="5:10">
      <c r="E219" s="248">
        <f t="shared" si="5"/>
        <v>0</v>
      </c>
      <c r="G219" s="239"/>
      <c r="H219" s="244"/>
      <c r="I219" s="241"/>
      <c r="J219" s="242"/>
    </row>
    <row r="220" spans="5:10">
      <c r="E220" s="248">
        <f t="shared" si="5"/>
        <v>0</v>
      </c>
      <c r="G220" s="239"/>
      <c r="H220" s="244"/>
      <c r="I220" s="241"/>
      <c r="J220" s="242"/>
    </row>
    <row r="221" spans="5:10">
      <c r="E221" s="248">
        <f t="shared" si="5"/>
        <v>0</v>
      </c>
      <c r="G221" s="239"/>
      <c r="H221" s="244"/>
      <c r="I221" s="241"/>
      <c r="J221" s="242"/>
    </row>
    <row r="222" spans="5:10">
      <c r="E222" s="248">
        <f t="shared" si="5"/>
        <v>0</v>
      </c>
      <c r="G222" s="239"/>
      <c r="H222" s="244"/>
      <c r="I222" s="241"/>
      <c r="J222" s="242"/>
    </row>
    <row r="223" spans="5:10">
      <c r="E223" s="248">
        <f t="shared" si="5"/>
        <v>0</v>
      </c>
      <c r="G223" s="239"/>
      <c r="H223" s="244"/>
      <c r="I223" s="241"/>
      <c r="J223" s="242"/>
    </row>
    <row r="224" spans="5:10">
      <c r="E224" s="248">
        <f t="shared" si="5"/>
        <v>0</v>
      </c>
      <c r="G224" s="239"/>
      <c r="H224" s="244"/>
      <c r="I224" s="241"/>
      <c r="J224" s="242"/>
    </row>
    <row r="225" spans="5:10">
      <c r="E225" s="248">
        <f t="shared" si="5"/>
        <v>0</v>
      </c>
      <c r="G225" s="239"/>
      <c r="H225" s="244"/>
      <c r="I225" s="241"/>
      <c r="J225" s="242"/>
    </row>
    <row r="226" spans="5:10">
      <c r="E226" s="248">
        <f t="shared" si="5"/>
        <v>0</v>
      </c>
      <c r="G226" s="239"/>
      <c r="H226" s="244"/>
      <c r="I226" s="241"/>
      <c r="J226" s="242"/>
    </row>
    <row r="227" spans="5:10">
      <c r="E227" s="248">
        <f t="shared" si="5"/>
        <v>0</v>
      </c>
      <c r="G227" s="239"/>
      <c r="H227" s="244"/>
      <c r="I227" s="241"/>
      <c r="J227" s="242"/>
    </row>
    <row r="228" spans="5:10">
      <c r="E228" s="248">
        <f t="shared" si="5"/>
        <v>0</v>
      </c>
      <c r="G228" s="239"/>
      <c r="H228" s="244"/>
      <c r="I228" s="241"/>
      <c r="J228" s="242"/>
    </row>
    <row r="229" spans="5:10">
      <c r="E229" s="248">
        <f t="shared" si="5"/>
        <v>0</v>
      </c>
      <c r="G229" s="239"/>
      <c r="H229" s="244"/>
      <c r="I229" s="241"/>
      <c r="J229" s="242"/>
    </row>
    <row r="230" spans="5:10">
      <c r="E230" s="248">
        <f t="shared" si="5"/>
        <v>0</v>
      </c>
      <c r="G230" s="239"/>
      <c r="H230" s="244"/>
      <c r="I230" s="241"/>
      <c r="J230" s="242"/>
    </row>
    <row r="231" spans="5:10">
      <c r="E231" s="248">
        <f t="shared" si="5"/>
        <v>0</v>
      </c>
      <c r="G231" s="239"/>
      <c r="H231" s="244"/>
      <c r="I231" s="241"/>
      <c r="J231" s="242"/>
    </row>
    <row r="232" spans="5:10">
      <c r="E232" s="248">
        <f t="shared" si="5"/>
        <v>0</v>
      </c>
      <c r="G232" s="239"/>
      <c r="H232" s="244"/>
      <c r="I232" s="241"/>
      <c r="J232" s="242"/>
    </row>
    <row r="233" spans="5:10">
      <c r="E233" s="248">
        <f t="shared" si="5"/>
        <v>0</v>
      </c>
      <c r="G233" s="239"/>
      <c r="H233" s="244"/>
      <c r="I233" s="241"/>
      <c r="J233" s="242"/>
    </row>
    <row r="234" spans="5:10">
      <c r="E234" s="248">
        <f t="shared" si="5"/>
        <v>0</v>
      </c>
      <c r="G234" s="239"/>
      <c r="H234" s="244"/>
      <c r="I234" s="241"/>
      <c r="J234" s="242"/>
    </row>
    <row r="235" spans="5:10">
      <c r="E235" s="248">
        <f t="shared" si="5"/>
        <v>0</v>
      </c>
      <c r="G235" s="239"/>
      <c r="H235" s="244"/>
      <c r="I235" s="241"/>
      <c r="J235" s="242"/>
    </row>
    <row r="236" spans="5:10">
      <c r="E236" s="248">
        <f t="shared" si="5"/>
        <v>0</v>
      </c>
      <c r="G236" s="239"/>
      <c r="H236" s="244"/>
      <c r="I236" s="241"/>
      <c r="J236" s="242"/>
    </row>
    <row r="237" spans="5:10">
      <c r="E237" s="248">
        <f t="shared" si="5"/>
        <v>0</v>
      </c>
      <c r="G237" s="239"/>
      <c r="H237" s="244"/>
      <c r="I237" s="241"/>
      <c r="J237" s="242"/>
    </row>
    <row r="238" spans="5:10">
      <c r="E238" s="248">
        <f t="shared" si="5"/>
        <v>0</v>
      </c>
      <c r="G238" s="239"/>
      <c r="H238" s="244"/>
      <c r="I238" s="241"/>
      <c r="J238" s="242"/>
    </row>
    <row r="239" spans="5:10">
      <c r="E239" s="248">
        <f t="shared" si="5"/>
        <v>0</v>
      </c>
      <c r="G239" s="239"/>
      <c r="H239" s="244"/>
      <c r="I239" s="241"/>
      <c r="J239" s="242"/>
    </row>
    <row r="240" spans="5:10">
      <c r="E240" s="248">
        <f t="shared" si="5"/>
        <v>0</v>
      </c>
      <c r="G240" s="239"/>
      <c r="H240" s="244"/>
      <c r="I240" s="241"/>
      <c r="J240" s="242"/>
    </row>
    <row r="241" spans="5:10">
      <c r="E241" s="248">
        <f t="shared" si="5"/>
        <v>0</v>
      </c>
      <c r="G241" s="239"/>
      <c r="H241" s="244"/>
      <c r="I241" s="241"/>
      <c r="J241" s="242"/>
    </row>
    <row r="242" spans="5:10">
      <c r="E242" s="248">
        <f t="shared" si="5"/>
        <v>0</v>
      </c>
      <c r="G242" s="239"/>
      <c r="H242" s="244"/>
      <c r="I242" s="241"/>
      <c r="J242" s="242"/>
    </row>
    <row r="243" spans="5:10" ht="15" thickBot="1">
      <c r="E243" s="249">
        <f t="shared" si="5"/>
        <v>0</v>
      </c>
      <c r="G243" s="239"/>
      <c r="H243" s="244"/>
      <c r="I243" s="241"/>
      <c r="J243" s="242"/>
    </row>
  </sheetData>
  <sheetProtection algorithmName="SHA-512" hashValue="YkJ+2DGHJ8tnfoWx6UcHBqdhxJwnRDJS6Z2NIN4Pauj2HCwRxBbRSpBXoNgZ5iDemByU9uh91maN2oCzhzWc7w==" saltValue="dNEDh1EhEcoguZ27rf7eMQ==" spinCount="100000" sheet="1" objects="1" scenarios="1"/>
  <pageMargins left="0.7" right="0.7" top="0.78740157499999996" bottom="0.78740157499999996" header="0.3" footer="0.3"/>
  <pageSetup paperSize="9" orientation="portrait" r:id="rId1"/>
  <headerFooter>
    <oddHeader>&amp;R&amp;"Aptos"&amp;10&amp;K000000 Restricted&amp;1#_x000D_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List34"/>
  <dimension ref="A1:AF10259"/>
  <sheetViews>
    <sheetView showGridLines="0" topLeftCell="D1" zoomScaleNormal="100" workbookViewId="0">
      <selection activeCell="P1" sqref="P1:XFD1048576"/>
    </sheetView>
  </sheetViews>
  <sheetFormatPr defaultColWidth="0" defaultRowHeight="14.25"/>
  <cols>
    <col min="1" max="1" width="2" style="86" customWidth="1"/>
    <col min="2" max="2" width="11.25" style="86" bestFit="1" customWidth="1"/>
    <col min="3" max="3" width="60.875" style="86" customWidth="1"/>
    <col min="4" max="4" width="5.125" style="86" bestFit="1" customWidth="1"/>
    <col min="5" max="5" width="2.375" style="86" customWidth="1"/>
    <col min="6" max="6" width="2.25" style="86" customWidth="1"/>
    <col min="7" max="7" width="12" style="86" customWidth="1"/>
    <col min="8" max="8" width="5.5" style="86" customWidth="1"/>
    <col min="9" max="10" width="12" style="86" customWidth="1"/>
    <col min="11" max="11" width="9" style="86" customWidth="1"/>
    <col min="12" max="12" width="0" style="86" hidden="1" customWidth="1"/>
    <col min="13" max="13" width="21.625" style="86" customWidth="1"/>
    <col min="14" max="14" width="9" style="86" customWidth="1"/>
    <col min="15" max="15" width="20.375" style="86" customWidth="1"/>
    <col min="16" max="30" width="9" style="86" hidden="1"/>
    <col min="31" max="31" width="13.625" style="86" hidden="1"/>
    <col min="32" max="16384" width="9" style="86" hidden="1"/>
  </cols>
  <sheetData>
    <row r="1" spans="1:32" ht="15" thickBot="1">
      <c r="B1" s="4"/>
      <c r="C1" s="4"/>
      <c r="D1" s="4"/>
      <c r="E1" s="6"/>
      <c r="F1" s="4"/>
      <c r="G1" s="128"/>
      <c r="H1" s="128"/>
      <c r="I1" s="4"/>
      <c r="J1" s="6"/>
    </row>
    <row r="2" spans="1:32" ht="15" thickBot="1">
      <c r="B2" s="4"/>
      <c r="C2" s="4" t="str">
        <f>verze!E29</f>
        <v>Predajca:</v>
      </c>
      <c r="D2" s="4"/>
      <c r="E2" s="6"/>
      <c r="F2" s="4"/>
      <c r="G2" s="128"/>
      <c r="H2" s="128"/>
      <c r="I2" s="4"/>
      <c r="J2" s="127" t="s">
        <v>8</v>
      </c>
    </row>
    <row r="3" spans="1:32" ht="15.75" thickBot="1">
      <c r="B3" s="4"/>
      <c r="C3" s="421" t="s">
        <v>79</v>
      </c>
      <c r="D3" s="4"/>
      <c r="E3" s="6"/>
      <c r="F3" s="4"/>
      <c r="G3" s="128"/>
      <c r="H3" s="128"/>
      <c r="I3" s="4"/>
      <c r="J3" s="8"/>
      <c r="AA3" s="461"/>
      <c r="AB3" s="462" t="s">
        <v>1317</v>
      </c>
      <c r="AC3" s="462" t="s">
        <v>29</v>
      </c>
      <c r="AD3" s="462" t="s">
        <v>1318</v>
      </c>
      <c r="AE3" s="462" t="s">
        <v>1319</v>
      </c>
      <c r="AF3" s="86" t="s">
        <v>28281</v>
      </c>
    </row>
    <row r="4" spans="1:32" ht="15.75" thickBot="1">
      <c r="B4" s="4"/>
      <c r="C4" s="422" t="s">
        <v>80</v>
      </c>
      <c r="D4" s="4"/>
      <c r="E4" s="6"/>
      <c r="F4" s="4"/>
      <c r="G4" s="128"/>
      <c r="H4" s="128"/>
      <c r="AA4" s="463" t="s">
        <v>1320</v>
      </c>
      <c r="AB4" s="462" t="s">
        <v>1321</v>
      </c>
      <c r="AC4" s="462" t="s">
        <v>1322</v>
      </c>
      <c r="AD4" s="464">
        <v>214.26124999999999</v>
      </c>
      <c r="AE4" s="465">
        <v>5.2773399999999997</v>
      </c>
      <c r="AF4" s="86">
        <f>IF(verze!$E$1="CZK",AD4,IF(verze!$E$1="SK",AE4,""))</f>
        <v>5.2773399999999997</v>
      </c>
    </row>
    <row r="5" spans="1:32" ht="15.75" thickBot="1">
      <c r="B5" s="4"/>
      <c r="C5" s="422" t="s">
        <v>81</v>
      </c>
      <c r="D5" s="4"/>
      <c r="E5" s="6"/>
      <c r="F5" s="4"/>
      <c r="G5" s="128"/>
      <c r="H5" s="128"/>
      <c r="I5" s="4"/>
      <c r="AA5" s="463" t="s">
        <v>1320</v>
      </c>
      <c r="AB5" s="462" t="s">
        <v>1323</v>
      </c>
      <c r="AC5" s="462" t="s">
        <v>1324</v>
      </c>
      <c r="AD5" s="464">
        <v>0</v>
      </c>
      <c r="AE5" s="465">
        <v>0</v>
      </c>
      <c r="AF5" s="86">
        <f>IF(verze!$E$1="CZK",AD5,IF(verze!$E$1="SK",AE5,""))</f>
        <v>0</v>
      </c>
    </row>
    <row r="6" spans="1:32" ht="15.75" thickBot="1">
      <c r="B6" s="4"/>
      <c r="C6" s="422" t="s">
        <v>1129</v>
      </c>
      <c r="D6" s="4"/>
      <c r="E6" s="6"/>
      <c r="F6" s="4"/>
      <c r="G6" s="128"/>
      <c r="H6" s="128"/>
      <c r="I6" s="9" t="str">
        <f>verze!E51&amp;" : "</f>
        <v xml:space="preserve">Verzia : </v>
      </c>
      <c r="J6" s="10" t="str">
        <f>verze!E52</f>
        <v>2.0.0</v>
      </c>
      <c r="AA6" s="463" t="s">
        <v>1320</v>
      </c>
      <c r="AB6" s="462" t="s">
        <v>1325</v>
      </c>
      <c r="AC6" s="462" t="s">
        <v>1324</v>
      </c>
      <c r="AD6" s="464">
        <v>0</v>
      </c>
      <c r="AE6" s="465">
        <v>0</v>
      </c>
      <c r="AF6" s="86">
        <f>IF(verze!$E$1="CZK",AD6,IF(verze!$E$1="SK",AE6,""))</f>
        <v>0</v>
      </c>
    </row>
    <row r="7" spans="1:32" ht="15.75" thickBot="1">
      <c r="B7" s="4"/>
      <c r="C7" s="422" t="s">
        <v>1130</v>
      </c>
      <c r="D7" s="4"/>
      <c r="E7" s="6"/>
      <c r="F7" s="4"/>
      <c r="G7" s="128"/>
      <c r="H7" s="128"/>
      <c r="I7" s="4"/>
      <c r="J7" s="4"/>
      <c r="AA7" s="463" t="s">
        <v>1326</v>
      </c>
      <c r="AB7" s="462" t="s">
        <v>1327</v>
      </c>
      <c r="AC7" s="462" t="s">
        <v>1328</v>
      </c>
      <c r="AD7" s="464">
        <v>942.97812999999996</v>
      </c>
      <c r="AE7" s="465">
        <v>43.200620000000001</v>
      </c>
      <c r="AF7" s="86">
        <f>IF(verze!$E$1="CZK",AD7,IF(verze!$E$1="SK",AE7,""))</f>
        <v>43.200620000000001</v>
      </c>
    </row>
    <row r="8" spans="1:32" ht="15.75" thickBot="1">
      <c r="B8" s="4"/>
      <c r="C8" s="423" t="s">
        <v>1131</v>
      </c>
      <c r="D8" s="4"/>
      <c r="E8" s="6"/>
      <c r="F8" s="4"/>
      <c r="G8" s="128"/>
      <c r="H8" s="128"/>
      <c r="I8" s="9" t="str">
        <f>verze!E53&amp;" : "</f>
        <v xml:space="preserve">Platnosť cenníku od : </v>
      </c>
      <c r="J8" s="384">
        <v>45597</v>
      </c>
      <c r="AA8" s="463" t="s">
        <v>1320</v>
      </c>
      <c r="AB8" s="462" t="s">
        <v>1329</v>
      </c>
      <c r="AC8" s="462" t="s">
        <v>1330</v>
      </c>
      <c r="AD8" s="464">
        <v>1000</v>
      </c>
      <c r="AE8" s="465">
        <v>40</v>
      </c>
      <c r="AF8" s="86">
        <f>IF(verze!$E$1="CZK",AD8,IF(verze!$E$1="SK",AE8,""))</f>
        <v>40</v>
      </c>
    </row>
    <row r="9" spans="1:32" ht="15.75" thickBot="1">
      <c r="B9" s="4"/>
      <c r="C9" s="4"/>
      <c r="D9" s="4"/>
      <c r="E9" s="6"/>
      <c r="F9" s="4"/>
      <c r="G9" s="129"/>
      <c r="H9" s="129"/>
      <c r="I9" s="4"/>
      <c r="J9" s="4"/>
      <c r="AA9" s="463" t="s">
        <v>1320</v>
      </c>
      <c r="AB9" s="462" t="s">
        <v>1331</v>
      </c>
      <c r="AC9" s="462" t="s">
        <v>1332</v>
      </c>
      <c r="AD9" s="464">
        <v>1000</v>
      </c>
      <c r="AE9" s="465">
        <v>40</v>
      </c>
      <c r="AF9" s="86">
        <f>IF(verze!$E$1="CZK",AD9,IF(verze!$E$1="SK",AE9,""))</f>
        <v>40</v>
      </c>
    </row>
    <row r="10" spans="1:32" ht="25.5" thickBot="1">
      <c r="B10" s="16" t="str">
        <f>verze!E41</f>
        <v>Číslo artiklu</v>
      </c>
      <c r="C10" s="274" t="str">
        <f>verze!E42</f>
        <v>Názov</v>
      </c>
      <c r="D10" s="11" t="str">
        <f>verze!E43</f>
        <v>balenie</v>
      </c>
      <c r="E10" s="275" t="str">
        <f>verze!E44</f>
        <v>Sklad</v>
      </c>
      <c r="F10" s="11"/>
      <c r="G10" s="276" t="str">
        <f>verze!E46</f>
        <v>Jednotková cena</v>
      </c>
      <c r="H10" s="17" t="str">
        <f>IF(verze!E1="CZK","CZK","EUR")</f>
        <v>EUR</v>
      </c>
      <c r="I10" s="277" t="str">
        <f>verze!E49</f>
        <v>Voľné pole</v>
      </c>
      <c r="J10" s="278" t="str">
        <f>verze!E50</f>
        <v>Kód predajcu</v>
      </c>
      <c r="M10" s="255" t="str">
        <f>verze!E107</f>
        <v>nákupné ceny, tj. ceny so zľavou od predajcu</v>
      </c>
      <c r="AA10" s="463" t="s">
        <v>1320</v>
      </c>
      <c r="AB10" s="462" t="s">
        <v>1333</v>
      </c>
      <c r="AC10" s="462" t="s">
        <v>1334</v>
      </c>
      <c r="AD10" s="464">
        <v>1000</v>
      </c>
      <c r="AE10" s="465">
        <v>40</v>
      </c>
      <c r="AF10" s="86">
        <f>IF(verze!$E$1="CZK",AD10,IF(verze!$E$1="SK",AE10,""))</f>
        <v>40</v>
      </c>
    </row>
    <row r="11" spans="1:32" ht="15">
      <c r="A11" s="130"/>
      <c r="B11" s="433">
        <v>9353331</v>
      </c>
      <c r="C11" s="292" t="s">
        <v>1168</v>
      </c>
      <c r="D11" s="293">
        <v>1</v>
      </c>
      <c r="E11" s="385"/>
      <c r="F11" s="294"/>
      <c r="G11" s="295">
        <f>VLOOKUP(J11,AB:AF,5,0)</f>
        <v>27.198930000000001</v>
      </c>
      <c r="H11" s="296" t="str">
        <f>IF(G11="","",$H$10)</f>
        <v>EUR</v>
      </c>
      <c r="I11" s="402" t="s">
        <v>47</v>
      </c>
      <c r="J11" s="466" t="s">
        <v>20416</v>
      </c>
      <c r="M11" s="256">
        <f>G11*(1-FORM!$AE$28/100)</f>
        <v>27.198930000000001</v>
      </c>
      <c r="AA11" s="463" t="s">
        <v>1320</v>
      </c>
      <c r="AB11" s="462" t="s">
        <v>1335</v>
      </c>
      <c r="AC11" s="462" t="s">
        <v>1336</v>
      </c>
      <c r="AD11" s="464">
        <v>1000</v>
      </c>
      <c r="AE11" s="465">
        <v>40</v>
      </c>
      <c r="AF11" s="86">
        <f>IF(verze!$E$1="CZK",AD11,IF(verze!$E$1="SK",AE11,""))</f>
        <v>40</v>
      </c>
    </row>
    <row r="12" spans="1:32" ht="15">
      <c r="A12" s="130"/>
      <c r="B12" s="434">
        <v>9353332</v>
      </c>
      <c r="C12" s="224" t="s">
        <v>1169</v>
      </c>
      <c r="D12" s="225">
        <v>1</v>
      </c>
      <c r="E12" s="386"/>
      <c r="F12" s="267"/>
      <c r="G12" s="272">
        <f>VLOOKUP(J12,AB:AF,5,0)</f>
        <v>26.252420000000001</v>
      </c>
      <c r="H12" s="138" t="str">
        <f t="shared" ref="H12:H27" si="0">IF(G12="","",$H$10)</f>
        <v>EUR</v>
      </c>
      <c r="I12" s="403" t="s">
        <v>47</v>
      </c>
      <c r="J12" s="467" t="s">
        <v>20419</v>
      </c>
      <c r="L12" s="86" t="e">
        <f>VLOOKUP(B12,$B$11:B11,1,FALSE)</f>
        <v>#N/A</v>
      </c>
      <c r="M12" s="256">
        <f>G12*(1-FORM!$AE$28/100)</f>
        <v>26.252420000000001</v>
      </c>
      <c r="AA12" s="463" t="s">
        <v>1337</v>
      </c>
      <c r="AB12" s="462" t="s">
        <v>1338</v>
      </c>
      <c r="AC12" s="462" t="s">
        <v>1339</v>
      </c>
      <c r="AD12" s="464">
        <v>28.80818</v>
      </c>
      <c r="AE12" s="465">
        <v>1.31978</v>
      </c>
      <c r="AF12" s="86">
        <f>IF(verze!$E$1="CZK",AD12,IF(verze!$E$1="SK",AE12,""))</f>
        <v>1.31978</v>
      </c>
    </row>
    <row r="13" spans="1:32" ht="15">
      <c r="A13" s="130"/>
      <c r="B13" s="435">
        <v>9353333</v>
      </c>
      <c r="C13" s="12" t="s">
        <v>1170</v>
      </c>
      <c r="D13" s="161">
        <v>1</v>
      </c>
      <c r="E13" s="387"/>
      <c r="F13" s="258"/>
      <c r="G13" s="272">
        <f t="shared" ref="G13:G76" si="1">VLOOKUP(J13,AB:AF,5,0)</f>
        <v>26.6004</v>
      </c>
      <c r="H13" s="131" t="str">
        <f t="shared" si="0"/>
        <v>EUR</v>
      </c>
      <c r="I13" s="404" t="s">
        <v>47</v>
      </c>
      <c r="J13" s="467" t="s">
        <v>20422</v>
      </c>
      <c r="L13" s="86" t="e">
        <f>VLOOKUP(B13,$B$11:B12,1,FALSE)</f>
        <v>#N/A</v>
      </c>
      <c r="M13" s="256">
        <f>G13*(1-FORM!$AE$28/100)</f>
        <v>26.6004</v>
      </c>
      <c r="AA13" s="463" t="s">
        <v>1340</v>
      </c>
      <c r="AB13" s="462" t="s">
        <v>1341</v>
      </c>
      <c r="AC13" s="462" t="s">
        <v>1342</v>
      </c>
      <c r="AD13" s="464">
        <v>28.80818</v>
      </c>
      <c r="AE13" s="465">
        <v>1.31978</v>
      </c>
      <c r="AF13" s="86">
        <f>IF(verze!$E$1="CZK",AD13,IF(verze!$E$1="SK",AE13,""))</f>
        <v>1.31978</v>
      </c>
    </row>
    <row r="14" spans="1:32" ht="15">
      <c r="A14" s="130"/>
      <c r="B14" s="436">
        <v>9353334</v>
      </c>
      <c r="C14" s="14" t="s">
        <v>1171</v>
      </c>
      <c r="D14" s="162">
        <v>1</v>
      </c>
      <c r="E14" s="388"/>
      <c r="F14" s="259"/>
      <c r="G14" s="272">
        <f t="shared" si="1"/>
        <v>28.296320000000001</v>
      </c>
      <c r="H14" s="132" t="str">
        <f t="shared" si="0"/>
        <v>EUR</v>
      </c>
      <c r="I14" s="405" t="s">
        <v>47</v>
      </c>
      <c r="J14" s="468" t="s">
        <v>20425</v>
      </c>
      <c r="L14" s="86" t="e">
        <f>VLOOKUP(B14,$B$11:B13,1,FALSE)</f>
        <v>#N/A</v>
      </c>
      <c r="M14" s="256">
        <f>G14*(1-FORM!$AE$28/100)</f>
        <v>28.296320000000001</v>
      </c>
      <c r="AA14" s="463" t="s">
        <v>1343</v>
      </c>
      <c r="AB14" s="462" t="s">
        <v>1344</v>
      </c>
      <c r="AC14" s="462" t="s">
        <v>1345</v>
      </c>
      <c r="AD14" s="464">
        <v>0</v>
      </c>
      <c r="AE14" s="465">
        <v>0</v>
      </c>
      <c r="AF14" s="86">
        <f>IF(verze!$E$1="CZK",AD14,IF(verze!$E$1="SK",AE14,""))</f>
        <v>0</v>
      </c>
    </row>
    <row r="15" spans="1:32" ht="15">
      <c r="A15" s="137"/>
      <c r="B15" s="437">
        <v>9353379</v>
      </c>
      <c r="C15" s="13" t="s">
        <v>1172</v>
      </c>
      <c r="D15" s="163">
        <v>1</v>
      </c>
      <c r="E15" s="389"/>
      <c r="F15" s="257"/>
      <c r="G15" s="272">
        <f t="shared" si="1"/>
        <v>27.198930000000001</v>
      </c>
      <c r="H15" s="135" t="str">
        <f t="shared" si="0"/>
        <v>EUR</v>
      </c>
      <c r="I15" s="407" t="s">
        <v>47</v>
      </c>
      <c r="J15" s="469" t="s">
        <v>20530</v>
      </c>
      <c r="L15" s="86" t="e">
        <f>VLOOKUP(B15,$B$11:B14,1,FALSE)</f>
        <v>#N/A</v>
      </c>
      <c r="M15" s="256">
        <f>G15*(1-FORM!$AE$28/100)</f>
        <v>27.198930000000001</v>
      </c>
      <c r="AA15" s="463" t="s">
        <v>1320</v>
      </c>
      <c r="AB15" s="462" t="s">
        <v>1346</v>
      </c>
      <c r="AC15" s="462" t="s">
        <v>1347</v>
      </c>
      <c r="AD15" s="464">
        <v>73.319999999999993</v>
      </c>
      <c r="AE15" s="465">
        <v>0</v>
      </c>
      <c r="AF15" s="86">
        <f>IF(verze!$E$1="CZK",AD15,IF(verze!$E$1="SK",AE15,""))</f>
        <v>0</v>
      </c>
    </row>
    <row r="16" spans="1:32" ht="15">
      <c r="A16" s="137"/>
      <c r="B16" s="435">
        <v>9353380</v>
      </c>
      <c r="C16" s="12" t="s">
        <v>1173</v>
      </c>
      <c r="D16" s="161">
        <v>1</v>
      </c>
      <c r="E16" s="387"/>
      <c r="F16" s="258"/>
      <c r="G16" s="272">
        <f t="shared" si="1"/>
        <v>26.252420000000001</v>
      </c>
      <c r="H16" s="131" t="str">
        <f t="shared" si="0"/>
        <v>EUR</v>
      </c>
      <c r="I16" s="404" t="s">
        <v>47</v>
      </c>
      <c r="J16" s="467" t="s">
        <v>20533</v>
      </c>
      <c r="L16" s="86" t="e">
        <f>VLOOKUP(B16,$B$11:B15,1,FALSE)</f>
        <v>#N/A</v>
      </c>
      <c r="M16" s="256">
        <f>G16*(1-FORM!$AE$28/100)</f>
        <v>26.252420000000001</v>
      </c>
      <c r="AA16" s="463" t="s">
        <v>1348</v>
      </c>
      <c r="AB16" s="462" t="s">
        <v>1349</v>
      </c>
      <c r="AC16" s="462" t="s">
        <v>1350</v>
      </c>
      <c r="AD16" s="464">
        <v>45.691429999999997</v>
      </c>
      <c r="AE16" s="465">
        <v>2.09328</v>
      </c>
      <c r="AF16" s="86">
        <f>IF(verze!$E$1="CZK",AD16,IF(verze!$E$1="SK",AE16,""))</f>
        <v>2.09328</v>
      </c>
    </row>
    <row r="17" spans="1:32" ht="15">
      <c r="A17" s="137"/>
      <c r="B17" s="435">
        <v>9353381</v>
      </c>
      <c r="C17" s="12" t="s">
        <v>1174</v>
      </c>
      <c r="D17" s="161">
        <v>1</v>
      </c>
      <c r="E17" s="387"/>
      <c r="F17" s="258"/>
      <c r="G17" s="272">
        <f t="shared" si="1"/>
        <v>26.6004</v>
      </c>
      <c r="H17" s="131" t="str">
        <f t="shared" si="0"/>
        <v>EUR</v>
      </c>
      <c r="I17" s="404" t="s">
        <v>47</v>
      </c>
      <c r="J17" s="467" t="s">
        <v>20536</v>
      </c>
      <c r="L17" s="86" t="e">
        <f>VLOOKUP(B17,$B$11:B16,1,FALSE)</f>
        <v>#N/A</v>
      </c>
      <c r="M17" s="256">
        <f>G17*(1-FORM!$AE$28/100)</f>
        <v>26.6004</v>
      </c>
      <c r="AA17" s="463" t="s">
        <v>1320</v>
      </c>
      <c r="AB17" s="462" t="s">
        <v>1351</v>
      </c>
      <c r="AC17" s="462" t="s">
        <v>1352</v>
      </c>
      <c r="AD17" s="464">
        <v>22.184000000000001</v>
      </c>
      <c r="AE17" s="465">
        <v>0</v>
      </c>
      <c r="AF17" s="86">
        <f>IF(verze!$E$1="CZK",AD17,IF(verze!$E$1="SK",AE17,""))</f>
        <v>0</v>
      </c>
    </row>
    <row r="18" spans="1:32" ht="15">
      <c r="A18" s="137"/>
      <c r="B18" s="436">
        <v>9353382</v>
      </c>
      <c r="C18" s="14" t="s">
        <v>1175</v>
      </c>
      <c r="D18" s="162">
        <v>1</v>
      </c>
      <c r="E18" s="388"/>
      <c r="F18" s="259"/>
      <c r="G18" s="272">
        <f t="shared" si="1"/>
        <v>28.296320000000001</v>
      </c>
      <c r="H18" s="132" t="str">
        <f t="shared" si="0"/>
        <v>EUR</v>
      </c>
      <c r="I18" s="405" t="s">
        <v>47</v>
      </c>
      <c r="J18" s="468" t="s">
        <v>20539</v>
      </c>
      <c r="L18" s="86" t="e">
        <f>VLOOKUP(B18,$B$11:B17,1,FALSE)</f>
        <v>#N/A</v>
      </c>
      <c r="M18" s="256">
        <f>G18*(1-FORM!$AE$28/100)</f>
        <v>28.296320000000001</v>
      </c>
      <c r="AA18" s="463" t="s">
        <v>1320</v>
      </c>
      <c r="AB18" s="462" t="s">
        <v>1353</v>
      </c>
      <c r="AC18" s="462" t="s">
        <v>1354</v>
      </c>
      <c r="AD18" s="464">
        <v>36.359200000000001</v>
      </c>
      <c r="AE18" s="465">
        <v>0</v>
      </c>
      <c r="AF18" s="86">
        <f>IF(verze!$E$1="CZK",AD18,IF(verze!$E$1="SK",AE18,""))</f>
        <v>0</v>
      </c>
    </row>
    <row r="19" spans="1:32" ht="15">
      <c r="A19" s="139"/>
      <c r="B19" s="438">
        <v>9353417</v>
      </c>
      <c r="C19" s="214" t="s">
        <v>1176</v>
      </c>
      <c r="D19" s="215">
        <v>1</v>
      </c>
      <c r="E19" s="390"/>
      <c r="F19" s="261"/>
      <c r="G19" s="272">
        <f t="shared" si="1"/>
        <v>27.198930000000001</v>
      </c>
      <c r="H19" s="156" t="str">
        <f>IF(G19="","",$H$10)</f>
        <v>EUR</v>
      </c>
      <c r="I19" s="408" t="s">
        <v>47</v>
      </c>
      <c r="J19" s="469" t="s">
        <v>20644</v>
      </c>
      <c r="L19" s="86" t="e">
        <f>VLOOKUP(B19,$B$11:B18,1,FALSE)</f>
        <v>#N/A</v>
      </c>
      <c r="M19" s="256">
        <f>G19*(1-FORM!$AE$28/100)</f>
        <v>27.198930000000001</v>
      </c>
      <c r="AA19" s="463" t="s">
        <v>1355</v>
      </c>
      <c r="AB19" s="462" t="s">
        <v>1356</v>
      </c>
      <c r="AC19" s="462" t="s">
        <v>1357</v>
      </c>
      <c r="AD19" s="464">
        <v>18.786200000000001</v>
      </c>
      <c r="AE19" s="465">
        <v>0.77049999999999996</v>
      </c>
      <c r="AF19" s="86">
        <f>IF(verze!$E$1="CZK",AD19,IF(verze!$E$1="SK",AE19,""))</f>
        <v>0.77049999999999996</v>
      </c>
    </row>
    <row r="20" spans="1:32" ht="15">
      <c r="A20" s="139"/>
      <c r="B20" s="425">
        <v>9353418</v>
      </c>
      <c r="C20" s="216" t="s">
        <v>1177</v>
      </c>
      <c r="D20" s="217">
        <v>1</v>
      </c>
      <c r="E20" s="391"/>
      <c r="F20" s="262"/>
      <c r="G20" s="272">
        <f t="shared" si="1"/>
        <v>26.252420000000001</v>
      </c>
      <c r="H20" s="141" t="str">
        <f t="shared" si="0"/>
        <v>EUR</v>
      </c>
      <c r="I20" s="409" t="s">
        <v>47</v>
      </c>
      <c r="J20" s="467" t="s">
        <v>20647</v>
      </c>
      <c r="L20" s="86" t="e">
        <f>VLOOKUP(B20,$B$11:B19,1,FALSE)</f>
        <v>#N/A</v>
      </c>
      <c r="M20" s="256">
        <f>G20*(1-FORM!$AE$28/100)</f>
        <v>26.252420000000001</v>
      </c>
      <c r="AA20" s="463" t="s">
        <v>1358</v>
      </c>
      <c r="AB20" s="462" t="s">
        <v>1359</v>
      </c>
      <c r="AC20" s="462" t="s">
        <v>1360</v>
      </c>
      <c r="AD20" s="464">
        <v>0.57196000000000002</v>
      </c>
      <c r="AE20" s="465">
        <v>2.3460000000000002E-2</v>
      </c>
      <c r="AF20" s="86">
        <f>IF(verze!$E$1="CZK",AD20,IF(verze!$E$1="SK",AE20,""))</f>
        <v>2.3460000000000002E-2</v>
      </c>
    </row>
    <row r="21" spans="1:32" ht="15">
      <c r="A21" s="139"/>
      <c r="B21" s="439">
        <v>9353419</v>
      </c>
      <c r="C21" s="218" t="s">
        <v>1178</v>
      </c>
      <c r="D21" s="219">
        <v>1</v>
      </c>
      <c r="E21" s="392"/>
      <c r="F21" s="263"/>
      <c r="G21" s="272">
        <f t="shared" si="1"/>
        <v>26.6004</v>
      </c>
      <c r="H21" s="133" t="str">
        <f t="shared" si="0"/>
        <v>EUR</v>
      </c>
      <c r="I21" s="411" t="s">
        <v>47</v>
      </c>
      <c r="J21" s="467" t="s">
        <v>20650</v>
      </c>
      <c r="L21" s="86" t="e">
        <f>VLOOKUP(B21,$B$11:B20,1,FALSE)</f>
        <v>#N/A</v>
      </c>
      <c r="M21" s="256">
        <f>G21*(1-FORM!$AE$28/100)</f>
        <v>26.6004</v>
      </c>
      <c r="AA21" s="463" t="s">
        <v>1361</v>
      </c>
      <c r="AB21" s="462" t="s">
        <v>1362</v>
      </c>
      <c r="AC21" s="462" t="s">
        <v>1363</v>
      </c>
      <c r="AD21" s="464">
        <v>0.75075000000000003</v>
      </c>
      <c r="AE21" s="465">
        <v>3.0779999999999998E-2</v>
      </c>
      <c r="AF21" s="86">
        <f>IF(verze!$E$1="CZK",AD21,IF(verze!$E$1="SK",AE21,""))</f>
        <v>3.0779999999999998E-2</v>
      </c>
    </row>
    <row r="22" spans="1:32" ht="15">
      <c r="A22" s="139"/>
      <c r="B22" s="440">
        <v>9353420</v>
      </c>
      <c r="C22" s="164" t="s">
        <v>1179</v>
      </c>
      <c r="D22" s="220">
        <v>1</v>
      </c>
      <c r="E22" s="393"/>
      <c r="F22" s="264"/>
      <c r="G22" s="272">
        <f t="shared" si="1"/>
        <v>28.296320000000001</v>
      </c>
      <c r="H22" s="134" t="str">
        <f t="shared" si="0"/>
        <v>EUR</v>
      </c>
      <c r="I22" s="412" t="s">
        <v>47</v>
      </c>
      <c r="J22" s="468" t="s">
        <v>20653</v>
      </c>
      <c r="L22" s="86" t="e">
        <f>VLOOKUP(B22,$B$11:B21,1,FALSE)</f>
        <v>#N/A</v>
      </c>
      <c r="M22" s="256">
        <f>G22*(1-FORM!$AE$28/100)</f>
        <v>28.296320000000001</v>
      </c>
      <c r="AA22" s="463" t="s">
        <v>1364</v>
      </c>
      <c r="AB22" s="462" t="s">
        <v>1365</v>
      </c>
      <c r="AC22" s="462" t="s">
        <v>1366</v>
      </c>
      <c r="AD22" s="464">
        <v>2.8225899999999999</v>
      </c>
      <c r="AE22" s="465">
        <v>0.11577999999999999</v>
      </c>
      <c r="AF22" s="86">
        <f>IF(verze!$E$1="CZK",AD22,IF(verze!$E$1="SK",AE22,""))</f>
        <v>0.11577999999999999</v>
      </c>
    </row>
    <row r="23" spans="1:32" ht="15">
      <c r="B23" s="302">
        <v>79665</v>
      </c>
      <c r="C23" s="15" t="s">
        <v>603</v>
      </c>
      <c r="D23" s="221">
        <v>100</v>
      </c>
      <c r="E23" s="394"/>
      <c r="F23" s="265"/>
      <c r="G23" s="272">
        <f t="shared" si="1"/>
        <v>0.38266</v>
      </c>
      <c r="H23" s="136" t="str">
        <f t="shared" si="0"/>
        <v>EUR</v>
      </c>
      <c r="I23" s="414" t="s">
        <v>47</v>
      </c>
      <c r="J23" s="470" t="s">
        <v>4909</v>
      </c>
      <c r="L23" s="86" t="e">
        <f>VLOOKUP(B23,$B$11:B22,1,FALSE)</f>
        <v>#N/A</v>
      </c>
      <c r="M23" s="256">
        <f>G23*(1-FORM!$AE$28/100)</f>
        <v>0.38266</v>
      </c>
      <c r="AA23" s="463" t="s">
        <v>1367</v>
      </c>
      <c r="AB23" s="462" t="s">
        <v>1368</v>
      </c>
      <c r="AC23" s="462" t="s">
        <v>1369</v>
      </c>
      <c r="AD23" s="464">
        <v>2.3565999999999998</v>
      </c>
      <c r="AE23" s="465">
        <v>0.11337999999999999</v>
      </c>
      <c r="AF23" s="86">
        <f>IF(verze!$E$1="CZK",AD23,IF(verze!$E$1="SK",AE23,""))</f>
        <v>0.11337999999999999</v>
      </c>
    </row>
    <row r="24" spans="1:32" ht="15">
      <c r="A24" s="130"/>
      <c r="B24" s="301">
        <v>9255000</v>
      </c>
      <c r="C24" s="222" t="s">
        <v>604</v>
      </c>
      <c r="D24" s="223">
        <v>10</v>
      </c>
      <c r="E24" s="395"/>
      <c r="F24" s="266"/>
      <c r="G24" s="272">
        <f t="shared" si="1"/>
        <v>10.49362</v>
      </c>
      <c r="H24" s="211" t="str">
        <f t="shared" si="0"/>
        <v>EUR</v>
      </c>
      <c r="I24" s="416" t="s">
        <v>47</v>
      </c>
      <c r="J24" s="469" t="s">
        <v>14650</v>
      </c>
      <c r="L24" s="86" t="e">
        <f>VLOOKUP(B24,$B$11:B23,1,FALSE)</f>
        <v>#N/A</v>
      </c>
      <c r="M24" s="256">
        <f>G24*(1-FORM!$AE$28/100)</f>
        <v>10.49362</v>
      </c>
      <c r="AA24" s="463" t="s">
        <v>1370</v>
      </c>
      <c r="AB24" s="462" t="s">
        <v>1371</v>
      </c>
      <c r="AC24" s="462" t="s">
        <v>1372</v>
      </c>
      <c r="AD24" s="464">
        <v>37.820520000000002</v>
      </c>
      <c r="AE24" s="465">
        <v>1.8192900000000001</v>
      </c>
      <c r="AF24" s="86">
        <f>IF(verze!$E$1="CZK",AD24,IF(verze!$E$1="SK",AE24,""))</f>
        <v>1.8192900000000001</v>
      </c>
    </row>
    <row r="25" spans="1:32" ht="15">
      <c r="A25" s="130"/>
      <c r="B25" s="298">
        <v>9255001</v>
      </c>
      <c r="C25" s="216" t="s">
        <v>605</v>
      </c>
      <c r="D25" s="217">
        <v>10</v>
      </c>
      <c r="E25" s="391"/>
      <c r="F25" s="262"/>
      <c r="G25" s="272">
        <f t="shared" si="1"/>
        <v>10.49362</v>
      </c>
      <c r="H25" s="141" t="str">
        <f t="shared" si="0"/>
        <v>EUR</v>
      </c>
      <c r="I25" s="409" t="s">
        <v>47</v>
      </c>
      <c r="J25" s="467" t="s">
        <v>14653</v>
      </c>
      <c r="L25" s="86" t="e">
        <f>VLOOKUP(B25,$B$11:B24,1,FALSE)</f>
        <v>#N/A</v>
      </c>
      <c r="M25" s="256">
        <f>G25*(1-FORM!$AE$28/100)</f>
        <v>10.49362</v>
      </c>
      <c r="AA25" s="463" t="s">
        <v>1373</v>
      </c>
      <c r="AB25" s="462" t="s">
        <v>1374</v>
      </c>
      <c r="AC25" s="462" t="s">
        <v>1375</v>
      </c>
      <c r="AD25" s="464">
        <v>431.24459000000002</v>
      </c>
      <c r="AE25" s="465">
        <v>17.251940000000001</v>
      </c>
      <c r="AF25" s="86">
        <f>IF(verze!$E$1="CZK",AD25,IF(verze!$E$1="SK",AE25,""))</f>
        <v>17.251940000000001</v>
      </c>
    </row>
    <row r="26" spans="1:32" ht="15">
      <c r="A26" s="130"/>
      <c r="B26" s="298">
        <v>9255002</v>
      </c>
      <c r="C26" s="216" t="s">
        <v>606</v>
      </c>
      <c r="D26" s="217">
        <v>10</v>
      </c>
      <c r="E26" s="391"/>
      <c r="F26" s="262"/>
      <c r="G26" s="272">
        <f t="shared" si="1"/>
        <v>10.680099999999999</v>
      </c>
      <c r="H26" s="141" t="str">
        <f t="shared" si="0"/>
        <v>EUR</v>
      </c>
      <c r="I26" s="409" t="s">
        <v>47</v>
      </c>
      <c r="J26" s="467" t="s">
        <v>14656</v>
      </c>
      <c r="L26" s="86" t="e">
        <f>VLOOKUP(B26,$B$11:B25,1,FALSE)</f>
        <v>#N/A</v>
      </c>
      <c r="M26" s="256">
        <f>G26*(1-FORM!$AE$28/100)</f>
        <v>10.680099999999999</v>
      </c>
      <c r="AA26" s="463" t="s">
        <v>1376</v>
      </c>
      <c r="AB26" s="462" t="s">
        <v>1377</v>
      </c>
      <c r="AC26" s="462" t="s">
        <v>1378</v>
      </c>
      <c r="AD26" s="464">
        <v>3416.4461299999998</v>
      </c>
      <c r="AE26" s="465">
        <v>137.98437999999999</v>
      </c>
      <c r="AF26" s="86">
        <f>IF(verze!$E$1="CZK",AD26,IF(verze!$E$1="SK",AE26,""))</f>
        <v>137.98437999999999</v>
      </c>
    </row>
    <row r="27" spans="1:32" ht="15">
      <c r="A27" s="130"/>
      <c r="B27" s="298">
        <v>9255003</v>
      </c>
      <c r="C27" s="216" t="s">
        <v>607</v>
      </c>
      <c r="D27" s="217">
        <v>10</v>
      </c>
      <c r="E27" s="391"/>
      <c r="F27" s="262"/>
      <c r="G27" s="272">
        <f t="shared" si="1"/>
        <v>10.680099999999999</v>
      </c>
      <c r="H27" s="141" t="str">
        <f t="shared" si="0"/>
        <v>EUR</v>
      </c>
      <c r="I27" s="409" t="s">
        <v>47</v>
      </c>
      <c r="J27" s="467" t="s">
        <v>14659</v>
      </c>
      <c r="L27" s="86" t="e">
        <f>VLOOKUP(B27,$B$11:B26,1,FALSE)</f>
        <v>#N/A</v>
      </c>
      <c r="M27" s="256">
        <f>G27*(1-FORM!$AE$28/100)</f>
        <v>10.680099999999999</v>
      </c>
      <c r="AA27" s="463" t="s">
        <v>1379</v>
      </c>
      <c r="AB27" s="462" t="s">
        <v>1380</v>
      </c>
      <c r="AC27" s="462" t="s">
        <v>1381</v>
      </c>
      <c r="AD27" s="464">
        <v>3416.4461299999998</v>
      </c>
      <c r="AE27" s="465">
        <v>137.98437999999999</v>
      </c>
      <c r="AF27" s="86">
        <f>IF(verze!$E$1="CZK",AD27,IF(verze!$E$1="SK",AE27,""))</f>
        <v>137.98437999999999</v>
      </c>
    </row>
    <row r="28" spans="1:32" ht="15">
      <c r="A28" s="130"/>
      <c r="B28" s="298">
        <v>9255004</v>
      </c>
      <c r="C28" s="216" t="s">
        <v>608</v>
      </c>
      <c r="D28" s="217">
        <v>10</v>
      </c>
      <c r="E28" s="391"/>
      <c r="F28" s="262"/>
      <c r="G28" s="272">
        <f t="shared" si="1"/>
        <v>10.86618</v>
      </c>
      <c r="H28" s="141" t="str">
        <f t="shared" ref="H28:H52" si="2">IF(G28="","",$H$10)</f>
        <v>EUR</v>
      </c>
      <c r="I28" s="409" t="s">
        <v>47</v>
      </c>
      <c r="J28" s="467" t="s">
        <v>14662</v>
      </c>
      <c r="L28" s="86" t="e">
        <f>VLOOKUP(B28,$B$11:B27,1,FALSE)</f>
        <v>#N/A</v>
      </c>
      <c r="M28" s="256">
        <f>G28*(1-FORM!$AE$28/100)</f>
        <v>10.86618</v>
      </c>
      <c r="AA28" s="463" t="s">
        <v>1382</v>
      </c>
      <c r="AB28" s="462" t="s">
        <v>1383</v>
      </c>
      <c r="AC28" s="462" t="s">
        <v>1384</v>
      </c>
      <c r="AD28" s="464">
        <v>1.37616</v>
      </c>
      <c r="AE28" s="465">
        <v>6.6189999999999999E-2</v>
      </c>
      <c r="AF28" s="86">
        <f>IF(verze!$E$1="CZK",AD28,IF(verze!$E$1="SK",AE28,""))</f>
        <v>6.6189999999999999E-2</v>
      </c>
    </row>
    <row r="29" spans="1:32" ht="15">
      <c r="A29" s="130"/>
      <c r="B29" s="298">
        <v>9255005</v>
      </c>
      <c r="C29" s="216" t="s">
        <v>609</v>
      </c>
      <c r="D29" s="217">
        <v>10</v>
      </c>
      <c r="E29" s="391"/>
      <c r="F29" s="262"/>
      <c r="G29" s="272">
        <f t="shared" si="1"/>
        <v>10.86618</v>
      </c>
      <c r="H29" s="141" t="str">
        <f t="shared" si="2"/>
        <v>EUR</v>
      </c>
      <c r="I29" s="409" t="s">
        <v>47</v>
      </c>
      <c r="J29" s="467" t="s">
        <v>14665</v>
      </c>
      <c r="L29" s="86" t="e">
        <f>VLOOKUP(B29,$B$11:B28,1,FALSE)</f>
        <v>#N/A</v>
      </c>
      <c r="M29" s="256">
        <f>G29*(1-FORM!$AE$28/100)</f>
        <v>10.86618</v>
      </c>
      <c r="AA29" s="463" t="s">
        <v>1385</v>
      </c>
      <c r="AB29" s="462" t="s">
        <v>1386</v>
      </c>
      <c r="AC29" s="462" t="s">
        <v>1387</v>
      </c>
      <c r="AD29" s="464">
        <v>8.4149899999999995</v>
      </c>
      <c r="AE29" s="465">
        <v>0.34514</v>
      </c>
      <c r="AF29" s="86">
        <f>IF(verze!$E$1="CZK",AD29,IF(verze!$E$1="SK",AE29,""))</f>
        <v>0.34514</v>
      </c>
    </row>
    <row r="30" spans="1:32" ht="15">
      <c r="A30" s="130"/>
      <c r="B30" s="298">
        <v>9255006</v>
      </c>
      <c r="C30" s="216" t="s">
        <v>610</v>
      </c>
      <c r="D30" s="217">
        <v>10</v>
      </c>
      <c r="E30" s="391"/>
      <c r="F30" s="262"/>
      <c r="G30" s="272">
        <f t="shared" si="1"/>
        <v>11.052530000000001</v>
      </c>
      <c r="H30" s="141" t="str">
        <f t="shared" si="2"/>
        <v>EUR</v>
      </c>
      <c r="I30" s="409" t="s">
        <v>47</v>
      </c>
      <c r="J30" s="467" t="s">
        <v>15561</v>
      </c>
      <c r="L30" s="86" t="e">
        <f>VLOOKUP(B30,$B$11:B29,1,FALSE)</f>
        <v>#N/A</v>
      </c>
      <c r="M30" s="256">
        <f>G30*(1-FORM!$AE$28/100)</f>
        <v>11.052530000000001</v>
      </c>
      <c r="AA30" s="463" t="s">
        <v>1388</v>
      </c>
      <c r="AB30" s="462" t="s">
        <v>1389</v>
      </c>
      <c r="AC30" s="462" t="s">
        <v>1390</v>
      </c>
      <c r="AD30" s="464">
        <v>2.2734999999999999</v>
      </c>
      <c r="AE30" s="465">
        <v>9.3240000000000003E-2</v>
      </c>
      <c r="AF30" s="86">
        <f>IF(verze!$E$1="CZK",AD30,IF(verze!$E$1="SK",AE30,""))</f>
        <v>9.3240000000000003E-2</v>
      </c>
    </row>
    <row r="31" spans="1:32" ht="15">
      <c r="A31" s="130"/>
      <c r="B31" s="303">
        <v>9255007</v>
      </c>
      <c r="C31" s="304" t="s">
        <v>611</v>
      </c>
      <c r="D31" s="226">
        <v>10</v>
      </c>
      <c r="E31" s="396"/>
      <c r="F31" s="268"/>
      <c r="G31" s="272">
        <f t="shared" si="1"/>
        <v>11.052530000000001</v>
      </c>
      <c r="H31" s="142" t="str">
        <f t="shared" si="2"/>
        <v>EUR</v>
      </c>
      <c r="I31" s="417" t="s">
        <v>47</v>
      </c>
      <c r="J31" s="468" t="s">
        <v>15564</v>
      </c>
      <c r="L31" s="86" t="e">
        <f>VLOOKUP(B31,$B$11:B30,1,FALSE)</f>
        <v>#N/A</v>
      </c>
      <c r="M31" s="256">
        <f>G31*(1-FORM!$AE$28/100)</f>
        <v>11.052530000000001</v>
      </c>
      <c r="AA31" s="463" t="s">
        <v>1391</v>
      </c>
      <c r="AB31" s="462" t="s">
        <v>1392</v>
      </c>
      <c r="AC31" s="462" t="s">
        <v>1393</v>
      </c>
      <c r="AD31" s="464">
        <v>25.424589999999998</v>
      </c>
      <c r="AE31" s="465">
        <v>1.1966000000000001</v>
      </c>
      <c r="AF31" s="86">
        <f>IF(verze!$E$1="CZK",AD31,IF(verze!$E$1="SK",AE31,""))</f>
        <v>1.1966000000000001</v>
      </c>
    </row>
    <row r="32" spans="1:32" ht="15">
      <c r="A32" s="137"/>
      <c r="B32" s="301">
        <v>9255080</v>
      </c>
      <c r="C32" s="222" t="s">
        <v>612</v>
      </c>
      <c r="D32" s="223">
        <v>10</v>
      </c>
      <c r="E32" s="395"/>
      <c r="F32" s="266"/>
      <c r="G32" s="272">
        <f t="shared" si="1"/>
        <v>10.49362</v>
      </c>
      <c r="H32" s="211" t="str">
        <f t="shared" si="2"/>
        <v>EUR</v>
      </c>
      <c r="I32" s="416" t="s">
        <v>47</v>
      </c>
      <c r="J32" s="469" t="s">
        <v>14882</v>
      </c>
      <c r="L32" s="86" t="e">
        <f>VLOOKUP(B32,$B$11:B31,1,FALSE)</f>
        <v>#N/A</v>
      </c>
      <c r="M32" s="256">
        <f>G32*(1-FORM!$AE$28/100)</f>
        <v>10.49362</v>
      </c>
      <c r="AA32" s="463" t="s">
        <v>1394</v>
      </c>
      <c r="AB32" s="462" t="s">
        <v>1395</v>
      </c>
      <c r="AC32" s="462" t="s">
        <v>1396</v>
      </c>
      <c r="AD32" s="464">
        <v>29.494340000000001</v>
      </c>
      <c r="AE32" s="465">
        <v>1.4188000000000001</v>
      </c>
      <c r="AF32" s="86">
        <f>IF(verze!$E$1="CZK",AD32,IF(verze!$E$1="SK",AE32,""))</f>
        <v>1.4188000000000001</v>
      </c>
    </row>
    <row r="33" spans="1:32" ht="15">
      <c r="A33" s="137"/>
      <c r="B33" s="298">
        <v>9255081</v>
      </c>
      <c r="C33" s="216" t="s">
        <v>613</v>
      </c>
      <c r="D33" s="217">
        <v>10</v>
      </c>
      <c r="E33" s="391"/>
      <c r="F33" s="262"/>
      <c r="G33" s="272">
        <f t="shared" si="1"/>
        <v>10.49362</v>
      </c>
      <c r="H33" s="141" t="str">
        <f t="shared" si="2"/>
        <v>EUR</v>
      </c>
      <c r="I33" s="409" t="s">
        <v>47</v>
      </c>
      <c r="J33" s="467" t="s">
        <v>14885</v>
      </c>
      <c r="L33" s="86" t="e">
        <f>VLOOKUP(B33,$B$11:B32,1,FALSE)</f>
        <v>#N/A</v>
      </c>
      <c r="M33" s="256">
        <f>G33*(1-FORM!$AE$28/100)</f>
        <v>10.49362</v>
      </c>
      <c r="AA33" s="463" t="s">
        <v>1397</v>
      </c>
      <c r="AB33" s="462" t="s">
        <v>1398</v>
      </c>
      <c r="AC33" s="462" t="s">
        <v>1399</v>
      </c>
      <c r="AD33" s="464">
        <v>29.494340000000001</v>
      </c>
      <c r="AE33" s="465">
        <v>1.4188000000000001</v>
      </c>
      <c r="AF33" s="86">
        <f>IF(verze!$E$1="CZK",AD33,IF(verze!$E$1="SK",AE33,""))</f>
        <v>1.4188000000000001</v>
      </c>
    </row>
    <row r="34" spans="1:32" ht="15">
      <c r="A34" s="137"/>
      <c r="B34" s="298">
        <v>9255082</v>
      </c>
      <c r="C34" s="216" t="s">
        <v>614</v>
      </c>
      <c r="D34" s="217">
        <v>10</v>
      </c>
      <c r="E34" s="391"/>
      <c r="F34" s="262"/>
      <c r="G34" s="272">
        <f t="shared" si="1"/>
        <v>10.680099999999999</v>
      </c>
      <c r="H34" s="141" t="str">
        <f t="shared" si="2"/>
        <v>EUR</v>
      </c>
      <c r="I34" s="409" t="s">
        <v>47</v>
      </c>
      <c r="J34" s="467" t="s">
        <v>14888</v>
      </c>
      <c r="L34" s="86" t="e">
        <f>VLOOKUP(B34,$B$11:B33,1,FALSE)</f>
        <v>#N/A</v>
      </c>
      <c r="M34" s="256">
        <f>G34*(1-FORM!$AE$28/100)</f>
        <v>10.680099999999999</v>
      </c>
      <c r="AA34" s="463" t="s">
        <v>1400</v>
      </c>
      <c r="AB34" s="462" t="s">
        <v>1401</v>
      </c>
      <c r="AC34" s="462" t="s">
        <v>1402</v>
      </c>
      <c r="AD34" s="464">
        <v>30.29776</v>
      </c>
      <c r="AE34" s="465">
        <v>1.4574199999999999</v>
      </c>
      <c r="AF34" s="86">
        <f>IF(verze!$E$1="CZK",AD34,IF(verze!$E$1="SK",AE34,""))</f>
        <v>1.4574199999999999</v>
      </c>
    </row>
    <row r="35" spans="1:32" ht="15">
      <c r="A35" s="137"/>
      <c r="B35" s="298">
        <v>9255083</v>
      </c>
      <c r="C35" s="216" t="s">
        <v>615</v>
      </c>
      <c r="D35" s="217">
        <v>10</v>
      </c>
      <c r="E35" s="391"/>
      <c r="F35" s="262"/>
      <c r="G35" s="272">
        <f t="shared" si="1"/>
        <v>10.680099999999999</v>
      </c>
      <c r="H35" s="141" t="str">
        <f t="shared" si="2"/>
        <v>EUR</v>
      </c>
      <c r="I35" s="409" t="s">
        <v>47</v>
      </c>
      <c r="J35" s="467" t="s">
        <v>14891</v>
      </c>
      <c r="L35" s="86" t="e">
        <f>VLOOKUP(B35,$B$11:B34,1,FALSE)</f>
        <v>#N/A</v>
      </c>
      <c r="M35" s="256">
        <f>G35*(1-FORM!$AE$28/100)</f>
        <v>10.680099999999999</v>
      </c>
      <c r="AA35" s="463" t="s">
        <v>1403</v>
      </c>
      <c r="AB35" s="462" t="s">
        <v>1404</v>
      </c>
      <c r="AC35" s="462" t="s">
        <v>1405</v>
      </c>
      <c r="AD35" s="464">
        <v>150.76464000000001</v>
      </c>
      <c r="AE35" s="465">
        <v>6.0313499999999998</v>
      </c>
      <c r="AF35" s="86">
        <f>IF(verze!$E$1="CZK",AD35,IF(verze!$E$1="SK",AE35,""))</f>
        <v>6.0313499999999998</v>
      </c>
    </row>
    <row r="36" spans="1:32" ht="15">
      <c r="A36" s="137"/>
      <c r="B36" s="298">
        <v>9255084</v>
      </c>
      <c r="C36" s="216" t="s">
        <v>616</v>
      </c>
      <c r="D36" s="217">
        <v>10</v>
      </c>
      <c r="E36" s="391"/>
      <c r="F36" s="262"/>
      <c r="G36" s="272">
        <f t="shared" si="1"/>
        <v>10.86618</v>
      </c>
      <c r="H36" s="141" t="str">
        <f t="shared" si="2"/>
        <v>EUR</v>
      </c>
      <c r="I36" s="409" t="s">
        <v>47</v>
      </c>
      <c r="J36" s="467" t="s">
        <v>14894</v>
      </c>
      <c r="L36" s="86" t="e">
        <f>VLOOKUP(B36,$B$11:B35,1,FALSE)</f>
        <v>#N/A</v>
      </c>
      <c r="M36" s="256">
        <f>G36*(1-FORM!$AE$28/100)</f>
        <v>10.86618</v>
      </c>
      <c r="AA36" s="463" t="s">
        <v>1406</v>
      </c>
      <c r="AB36" s="462" t="s">
        <v>1407</v>
      </c>
      <c r="AC36" s="462" t="s">
        <v>1408</v>
      </c>
      <c r="AD36" s="464">
        <v>56.536110000000001</v>
      </c>
      <c r="AE36" s="465">
        <v>0</v>
      </c>
      <c r="AF36" s="86">
        <f>IF(verze!$E$1="CZK",AD36,IF(verze!$E$1="SK",AE36,""))</f>
        <v>0</v>
      </c>
    </row>
    <row r="37" spans="1:32" ht="15">
      <c r="A37" s="137"/>
      <c r="B37" s="298">
        <v>9255085</v>
      </c>
      <c r="C37" s="216" t="s">
        <v>617</v>
      </c>
      <c r="D37" s="217">
        <v>10</v>
      </c>
      <c r="E37" s="391"/>
      <c r="F37" s="262"/>
      <c r="G37" s="272">
        <f t="shared" si="1"/>
        <v>10.86618</v>
      </c>
      <c r="H37" s="141" t="str">
        <f t="shared" si="2"/>
        <v>EUR</v>
      </c>
      <c r="I37" s="409" t="s">
        <v>47</v>
      </c>
      <c r="J37" s="467" t="s">
        <v>14897</v>
      </c>
      <c r="L37" s="86" t="e">
        <f>VLOOKUP(B37,$B$11:B36,1,FALSE)</f>
        <v>#N/A</v>
      </c>
      <c r="M37" s="256">
        <f>G37*(1-FORM!$AE$28/100)</f>
        <v>10.86618</v>
      </c>
      <c r="AA37" s="463" t="s">
        <v>1409</v>
      </c>
      <c r="AB37" s="462" t="s">
        <v>1410</v>
      </c>
      <c r="AC37" s="462" t="s">
        <v>1411</v>
      </c>
      <c r="AD37" s="464">
        <v>49.693429999999999</v>
      </c>
      <c r="AE37" s="465">
        <v>1.988</v>
      </c>
      <c r="AF37" s="86">
        <f>IF(verze!$E$1="CZK",AD37,IF(verze!$E$1="SK",AE37,""))</f>
        <v>1.988</v>
      </c>
    </row>
    <row r="38" spans="1:32" ht="15">
      <c r="A38" s="137"/>
      <c r="B38" s="298">
        <v>9255086</v>
      </c>
      <c r="C38" s="216" t="s">
        <v>618</v>
      </c>
      <c r="D38" s="217">
        <v>10</v>
      </c>
      <c r="E38" s="391"/>
      <c r="F38" s="262"/>
      <c r="G38" s="272">
        <f t="shared" si="1"/>
        <v>11.052530000000001</v>
      </c>
      <c r="H38" s="141" t="str">
        <f t="shared" si="2"/>
        <v>EUR</v>
      </c>
      <c r="I38" s="409" t="s">
        <v>47</v>
      </c>
      <c r="J38" s="467" t="s">
        <v>14900</v>
      </c>
      <c r="L38" s="86" t="e">
        <f>VLOOKUP(B38,$B$11:B37,1,FALSE)</f>
        <v>#N/A</v>
      </c>
      <c r="M38" s="256">
        <f>G38*(1-FORM!$AE$28/100)</f>
        <v>11.052530000000001</v>
      </c>
      <c r="AA38" s="463" t="s">
        <v>1412</v>
      </c>
      <c r="AB38" s="462" t="s">
        <v>1413</v>
      </c>
      <c r="AC38" s="462" t="s">
        <v>1414</v>
      </c>
      <c r="AD38" s="464">
        <v>206.34026</v>
      </c>
      <c r="AE38" s="465">
        <v>8.2546400000000002</v>
      </c>
      <c r="AF38" s="86">
        <f>IF(verze!$E$1="CZK",AD38,IF(verze!$E$1="SK",AE38,""))</f>
        <v>8.2546400000000002</v>
      </c>
    </row>
    <row r="39" spans="1:32" ht="15">
      <c r="A39" s="137"/>
      <c r="B39" s="303">
        <v>9255087</v>
      </c>
      <c r="C39" s="304" t="s">
        <v>619</v>
      </c>
      <c r="D39" s="226">
        <v>10</v>
      </c>
      <c r="E39" s="396"/>
      <c r="F39" s="268"/>
      <c r="G39" s="272">
        <f t="shared" si="1"/>
        <v>11.052530000000001</v>
      </c>
      <c r="H39" s="142" t="str">
        <f t="shared" si="2"/>
        <v>EUR</v>
      </c>
      <c r="I39" s="417" t="s">
        <v>47</v>
      </c>
      <c r="J39" s="468" t="s">
        <v>14903</v>
      </c>
      <c r="L39" s="86" t="e">
        <f>VLOOKUP(B39,$B$11:B38,1,FALSE)</f>
        <v>#N/A</v>
      </c>
      <c r="M39" s="256">
        <f>G39*(1-FORM!$AE$28/100)</f>
        <v>11.052530000000001</v>
      </c>
      <c r="AA39" s="463" t="s">
        <v>1415</v>
      </c>
      <c r="AB39" s="462" t="s">
        <v>1416</v>
      </c>
      <c r="AC39" s="462" t="s">
        <v>1417</v>
      </c>
      <c r="AD39" s="464">
        <v>40.842869999999998</v>
      </c>
      <c r="AE39" s="465">
        <v>1.63392</v>
      </c>
      <c r="AF39" s="86">
        <f>IF(verze!$E$1="CZK",AD39,IF(verze!$E$1="SK",AE39,""))</f>
        <v>1.63392</v>
      </c>
    </row>
    <row r="40" spans="1:32" ht="15">
      <c r="A40" s="139"/>
      <c r="B40" s="301">
        <v>9255160</v>
      </c>
      <c r="C40" s="222" t="s">
        <v>620</v>
      </c>
      <c r="D40" s="223">
        <v>10</v>
      </c>
      <c r="E40" s="395"/>
      <c r="F40" s="266"/>
      <c r="G40" s="272">
        <f t="shared" si="1"/>
        <v>10.49362</v>
      </c>
      <c r="H40" s="211" t="str">
        <f t="shared" si="2"/>
        <v>EUR</v>
      </c>
      <c r="I40" s="416" t="s">
        <v>47</v>
      </c>
      <c r="J40" s="469" t="s">
        <v>15124</v>
      </c>
      <c r="L40" s="86" t="e">
        <f>VLOOKUP(B40,$B$11:B39,1,FALSE)</f>
        <v>#N/A</v>
      </c>
      <c r="M40" s="256">
        <f>G40*(1-FORM!$AE$28/100)</f>
        <v>10.49362</v>
      </c>
      <c r="AA40" s="463" t="s">
        <v>1418</v>
      </c>
      <c r="AB40" s="462" t="s">
        <v>1419</v>
      </c>
      <c r="AC40" s="462" t="s">
        <v>1420</v>
      </c>
      <c r="AD40" s="464">
        <v>82.538839999999993</v>
      </c>
      <c r="AE40" s="465">
        <v>3.3019799999999999</v>
      </c>
      <c r="AF40" s="86">
        <f>IF(verze!$E$1="CZK",AD40,IF(verze!$E$1="SK",AE40,""))</f>
        <v>3.3019799999999999</v>
      </c>
    </row>
    <row r="41" spans="1:32" ht="15">
      <c r="A41" s="139"/>
      <c r="B41" s="298">
        <v>9255161</v>
      </c>
      <c r="C41" s="216" t="s">
        <v>621</v>
      </c>
      <c r="D41" s="217">
        <v>10</v>
      </c>
      <c r="E41" s="391"/>
      <c r="F41" s="262"/>
      <c r="G41" s="272">
        <f t="shared" si="1"/>
        <v>10.49362</v>
      </c>
      <c r="H41" s="141" t="str">
        <f t="shared" si="2"/>
        <v>EUR</v>
      </c>
      <c r="I41" s="409" t="s">
        <v>47</v>
      </c>
      <c r="J41" s="467" t="s">
        <v>15127</v>
      </c>
      <c r="L41" s="86" t="e">
        <f>VLOOKUP(B41,$B$11:B40,1,FALSE)</f>
        <v>#N/A</v>
      </c>
      <c r="M41" s="256">
        <f>G41*(1-FORM!$AE$28/100)</f>
        <v>10.49362</v>
      </c>
      <c r="AA41" s="463" t="s">
        <v>1421</v>
      </c>
      <c r="AB41" s="462" t="s">
        <v>1422</v>
      </c>
      <c r="AC41" s="462" t="s">
        <v>1423</v>
      </c>
      <c r="AD41" s="464">
        <v>5.9841800000000003</v>
      </c>
      <c r="AE41" s="465">
        <v>0.24543999999999999</v>
      </c>
      <c r="AF41" s="86">
        <f>IF(verze!$E$1="CZK",AD41,IF(verze!$E$1="SK",AE41,""))</f>
        <v>0.24543999999999999</v>
      </c>
    </row>
    <row r="42" spans="1:32" ht="15">
      <c r="A42" s="139"/>
      <c r="B42" s="298">
        <v>9255162</v>
      </c>
      <c r="C42" s="216" t="s">
        <v>622</v>
      </c>
      <c r="D42" s="217">
        <v>10</v>
      </c>
      <c r="E42" s="391"/>
      <c r="F42" s="262"/>
      <c r="G42" s="272">
        <f t="shared" si="1"/>
        <v>10.680099999999999</v>
      </c>
      <c r="H42" s="141" t="str">
        <f t="shared" si="2"/>
        <v>EUR</v>
      </c>
      <c r="I42" s="409" t="s">
        <v>47</v>
      </c>
      <c r="J42" s="467" t="s">
        <v>15130</v>
      </c>
      <c r="L42" s="86" t="e">
        <f>VLOOKUP(B42,$B$11:B41,1,FALSE)</f>
        <v>#N/A</v>
      </c>
      <c r="M42" s="256">
        <f>G42*(1-FORM!$AE$28/100)</f>
        <v>10.680099999999999</v>
      </c>
      <c r="AA42" s="463" t="s">
        <v>1424</v>
      </c>
      <c r="AB42" s="462" t="s">
        <v>1425</v>
      </c>
      <c r="AC42" s="462" t="s">
        <v>1426</v>
      </c>
      <c r="AD42" s="464">
        <v>946.58668</v>
      </c>
      <c r="AE42" s="465">
        <v>37.868180000000002</v>
      </c>
      <c r="AF42" s="86">
        <f>IF(verze!$E$1="CZK",AD42,IF(verze!$E$1="SK",AE42,""))</f>
        <v>37.868180000000002</v>
      </c>
    </row>
    <row r="43" spans="1:32" ht="15">
      <c r="A43" s="139"/>
      <c r="B43" s="298">
        <v>9255163</v>
      </c>
      <c r="C43" s="216" t="s">
        <v>623</v>
      </c>
      <c r="D43" s="217">
        <v>10</v>
      </c>
      <c r="E43" s="391"/>
      <c r="F43" s="262"/>
      <c r="G43" s="272">
        <f t="shared" si="1"/>
        <v>10.680099999999999</v>
      </c>
      <c r="H43" s="141" t="str">
        <f t="shared" si="2"/>
        <v>EUR</v>
      </c>
      <c r="I43" s="409" t="s">
        <v>47</v>
      </c>
      <c r="J43" s="467" t="s">
        <v>15133</v>
      </c>
      <c r="L43" s="86" t="e">
        <f>VLOOKUP(B43,$B$11:B42,1,FALSE)</f>
        <v>#N/A</v>
      </c>
      <c r="M43" s="256">
        <f>G43*(1-FORM!$AE$28/100)</f>
        <v>10.680099999999999</v>
      </c>
      <c r="AA43" s="463" t="s">
        <v>1427</v>
      </c>
      <c r="AB43" s="462" t="s">
        <v>1428</v>
      </c>
      <c r="AC43" s="462" t="s">
        <v>1429</v>
      </c>
      <c r="AD43" s="464">
        <v>1198.3872100000001</v>
      </c>
      <c r="AE43" s="465">
        <v>47.941459999999999</v>
      </c>
      <c r="AF43" s="86">
        <f>IF(verze!$E$1="CZK",AD43,IF(verze!$E$1="SK",AE43,""))</f>
        <v>47.941459999999999</v>
      </c>
    </row>
    <row r="44" spans="1:32" ht="15">
      <c r="A44" s="139"/>
      <c r="B44" s="298">
        <v>9255164</v>
      </c>
      <c r="C44" s="216" t="s">
        <v>624</v>
      </c>
      <c r="D44" s="217">
        <v>10</v>
      </c>
      <c r="E44" s="391"/>
      <c r="F44" s="262"/>
      <c r="G44" s="272">
        <f t="shared" si="1"/>
        <v>10.86618</v>
      </c>
      <c r="H44" s="141" t="str">
        <f t="shared" si="2"/>
        <v>EUR</v>
      </c>
      <c r="I44" s="409" t="s">
        <v>47</v>
      </c>
      <c r="J44" s="467" t="s">
        <v>15136</v>
      </c>
      <c r="L44" s="86" t="e">
        <f>VLOOKUP(B44,$B$11:B43,1,FALSE)</f>
        <v>#N/A</v>
      </c>
      <c r="M44" s="256">
        <f>G44*(1-FORM!$AE$28/100)</f>
        <v>10.86618</v>
      </c>
      <c r="AA44" s="463" t="s">
        <v>1430</v>
      </c>
      <c r="AB44" s="462" t="s">
        <v>1431</v>
      </c>
      <c r="AC44" s="462" t="s">
        <v>1432</v>
      </c>
      <c r="AD44" s="464">
        <v>1162.18361</v>
      </c>
      <c r="AE44" s="465">
        <v>46.493130000000001</v>
      </c>
      <c r="AF44" s="86">
        <f>IF(verze!$E$1="CZK",AD44,IF(verze!$E$1="SK",AE44,""))</f>
        <v>46.493130000000001</v>
      </c>
    </row>
    <row r="45" spans="1:32" ht="15">
      <c r="A45" s="139"/>
      <c r="B45" s="298">
        <v>9255165</v>
      </c>
      <c r="C45" s="216" t="s">
        <v>625</v>
      </c>
      <c r="D45" s="217">
        <v>10</v>
      </c>
      <c r="E45" s="391"/>
      <c r="F45" s="262"/>
      <c r="G45" s="272">
        <f t="shared" si="1"/>
        <v>10.86618</v>
      </c>
      <c r="H45" s="141" t="str">
        <f t="shared" si="2"/>
        <v>EUR</v>
      </c>
      <c r="I45" s="409" t="s">
        <v>47</v>
      </c>
      <c r="J45" s="467" t="s">
        <v>15139</v>
      </c>
      <c r="L45" s="86" t="e">
        <f>VLOOKUP(B45,$B$11:B44,1,FALSE)</f>
        <v>#N/A</v>
      </c>
      <c r="M45" s="256">
        <f>G45*(1-FORM!$AE$28/100)</f>
        <v>10.86618</v>
      </c>
      <c r="AA45" s="463" t="s">
        <v>1433</v>
      </c>
      <c r="AB45" s="462" t="s">
        <v>1434</v>
      </c>
      <c r="AC45" s="462" t="s">
        <v>1435</v>
      </c>
      <c r="AD45" s="464">
        <v>1032.4890399999999</v>
      </c>
      <c r="AE45" s="465">
        <v>41.30471</v>
      </c>
      <c r="AF45" s="86">
        <f>IF(verze!$E$1="CZK",AD45,IF(verze!$E$1="SK",AE45,""))</f>
        <v>41.30471</v>
      </c>
    </row>
    <row r="46" spans="1:32" ht="15">
      <c r="A46" s="139"/>
      <c r="B46" s="298">
        <v>9255166</v>
      </c>
      <c r="C46" s="216" t="s">
        <v>626</v>
      </c>
      <c r="D46" s="217">
        <v>10</v>
      </c>
      <c r="E46" s="391"/>
      <c r="F46" s="262"/>
      <c r="G46" s="272">
        <f t="shared" si="1"/>
        <v>11.052530000000001</v>
      </c>
      <c r="H46" s="141" t="str">
        <f t="shared" si="2"/>
        <v>EUR</v>
      </c>
      <c r="I46" s="409" t="s">
        <v>47</v>
      </c>
      <c r="J46" s="467" t="s">
        <v>15142</v>
      </c>
      <c r="L46" s="86" t="e">
        <f>VLOOKUP(B46,$B$11:B45,1,FALSE)</f>
        <v>#N/A</v>
      </c>
      <c r="M46" s="256">
        <f>G46*(1-FORM!$AE$28/100)</f>
        <v>11.052530000000001</v>
      </c>
      <c r="AA46" s="463" t="s">
        <v>1436</v>
      </c>
      <c r="AB46" s="462" t="s">
        <v>1437</v>
      </c>
      <c r="AC46" s="462" t="s">
        <v>1438</v>
      </c>
      <c r="AD46" s="464">
        <v>67.275009999999995</v>
      </c>
      <c r="AE46" s="465">
        <v>0</v>
      </c>
      <c r="AF46" s="86">
        <f>IF(verze!$E$1="CZK",AD46,IF(verze!$E$1="SK",AE46,""))</f>
        <v>0</v>
      </c>
    </row>
    <row r="47" spans="1:32" ht="15">
      <c r="A47" s="139"/>
      <c r="B47" s="303">
        <v>9255167</v>
      </c>
      <c r="C47" s="304" t="s">
        <v>627</v>
      </c>
      <c r="D47" s="226">
        <v>10</v>
      </c>
      <c r="E47" s="396"/>
      <c r="F47" s="268"/>
      <c r="G47" s="272">
        <f t="shared" si="1"/>
        <v>11.052530000000001</v>
      </c>
      <c r="H47" s="142" t="str">
        <f t="shared" si="2"/>
        <v>EUR</v>
      </c>
      <c r="I47" s="417" t="s">
        <v>47</v>
      </c>
      <c r="J47" s="468" t="s">
        <v>15145</v>
      </c>
      <c r="L47" s="86" t="e">
        <f>VLOOKUP(B47,$B$11:B46,1,FALSE)</f>
        <v>#N/A</v>
      </c>
      <c r="M47" s="256">
        <f>G47*(1-FORM!$AE$28/100)</f>
        <v>11.052530000000001</v>
      </c>
      <c r="AA47" s="463" t="s">
        <v>1439</v>
      </c>
      <c r="AB47" s="462" t="s">
        <v>1440</v>
      </c>
      <c r="AC47" s="462" t="s">
        <v>1441</v>
      </c>
      <c r="AD47" s="464">
        <v>1465.35662</v>
      </c>
      <c r="AE47" s="465">
        <v>58.621560000000002</v>
      </c>
      <c r="AF47" s="86">
        <f>IF(verze!$E$1="CZK",AD47,IF(verze!$E$1="SK",AE47,""))</f>
        <v>58.621560000000002</v>
      </c>
    </row>
    <row r="48" spans="1:32" ht="15">
      <c r="B48" s="301">
        <v>9255832</v>
      </c>
      <c r="C48" s="222" t="s">
        <v>628</v>
      </c>
      <c r="D48" s="223">
        <v>100</v>
      </c>
      <c r="E48" s="395"/>
      <c r="F48" s="266"/>
      <c r="G48" s="272">
        <f t="shared" si="1"/>
        <v>0.81357999999999997</v>
      </c>
      <c r="H48" s="211" t="str">
        <f t="shared" si="2"/>
        <v>EUR</v>
      </c>
      <c r="I48" s="416" t="s">
        <v>47</v>
      </c>
      <c r="J48" s="469" t="s">
        <v>15780</v>
      </c>
      <c r="L48" s="86" t="e">
        <f>VLOOKUP(B48,$B$11:B47,1,FALSE)</f>
        <v>#N/A</v>
      </c>
      <c r="M48" s="256">
        <f>G48*(1-FORM!$AE$28/100)</f>
        <v>0.81357999999999997</v>
      </c>
      <c r="AA48" s="463" t="s">
        <v>1442</v>
      </c>
      <c r="AB48" s="462" t="s">
        <v>1443</v>
      </c>
      <c r="AC48" s="462" t="s">
        <v>1444</v>
      </c>
      <c r="AD48" s="464">
        <v>1717.1625799999999</v>
      </c>
      <c r="AE48" s="465">
        <v>68.695059999999998</v>
      </c>
      <c r="AF48" s="86">
        <f>IF(verze!$E$1="CZK",AD48,IF(verze!$E$1="SK",AE48,""))</f>
        <v>68.695059999999998</v>
      </c>
    </row>
    <row r="49" spans="1:32" ht="15">
      <c r="B49" s="303">
        <v>9255833</v>
      </c>
      <c r="C49" s="304" t="s">
        <v>629</v>
      </c>
      <c r="D49" s="226">
        <v>100</v>
      </c>
      <c r="E49" s="396"/>
      <c r="F49" s="268"/>
      <c r="G49" s="272" t="e">
        <f t="shared" si="1"/>
        <v>#N/A</v>
      </c>
      <c r="H49" s="142" t="e">
        <f t="shared" si="2"/>
        <v>#N/A</v>
      </c>
      <c r="I49" s="417" t="s">
        <v>47</v>
      </c>
      <c r="J49" s="418" t="s">
        <v>28256</v>
      </c>
      <c r="L49" s="86" t="e">
        <f>VLOOKUP(B49,$B$11:B48,1,FALSE)</f>
        <v>#N/A</v>
      </c>
      <c r="M49" s="256" t="e">
        <f>G49*(1-FORM!$AE$28/100)</f>
        <v>#N/A</v>
      </c>
      <c r="AA49" s="463" t="s">
        <v>1445</v>
      </c>
      <c r="AB49" s="462" t="s">
        <v>1446</v>
      </c>
      <c r="AC49" s="462" t="s">
        <v>1447</v>
      </c>
      <c r="AD49" s="464">
        <v>46.204389999999997</v>
      </c>
      <c r="AE49" s="465">
        <v>1.8484100000000001</v>
      </c>
      <c r="AF49" s="86">
        <f>IF(verze!$E$1="CZK",AD49,IF(verze!$E$1="SK",AE49,""))</f>
        <v>1.8484100000000001</v>
      </c>
    </row>
    <row r="50" spans="1:32" ht="15">
      <c r="B50" s="302"/>
      <c r="C50" s="15"/>
      <c r="D50" s="221"/>
      <c r="E50" s="394"/>
      <c r="F50" s="265"/>
      <c r="G50" s="272"/>
      <c r="H50" s="136"/>
      <c r="I50" s="414" t="s">
        <v>47</v>
      </c>
      <c r="J50" s="415"/>
      <c r="M50" s="256"/>
      <c r="AA50" s="463" t="s">
        <v>1448</v>
      </c>
      <c r="AB50" s="462" t="s">
        <v>1449</v>
      </c>
      <c r="AC50" s="462" t="s">
        <v>1450</v>
      </c>
      <c r="AD50" s="464">
        <v>2773.8125399999999</v>
      </c>
      <c r="AE50" s="465">
        <v>110.96630999999999</v>
      </c>
      <c r="AF50" s="86">
        <f>IF(verze!$E$1="CZK",AD50,IF(verze!$E$1="SK",AE50,""))</f>
        <v>110.96630999999999</v>
      </c>
    </row>
    <row r="51" spans="1:32" ht="15">
      <c r="A51" s="130"/>
      <c r="B51" s="424">
        <v>9353335</v>
      </c>
      <c r="C51" s="222" t="s">
        <v>1180</v>
      </c>
      <c r="D51" s="223">
        <v>1</v>
      </c>
      <c r="E51" s="395"/>
      <c r="F51" s="266"/>
      <c r="G51" s="272">
        <f t="shared" si="1"/>
        <v>26.248429999999999</v>
      </c>
      <c r="H51" s="211" t="str">
        <f t="shared" si="2"/>
        <v>EUR</v>
      </c>
      <c r="I51" s="416" t="s">
        <v>47</v>
      </c>
      <c r="J51" s="467" t="s">
        <v>20428</v>
      </c>
      <c r="L51" s="86" t="e">
        <f>VLOOKUP(B51,$B$11:B49,1,FALSE)</f>
        <v>#N/A</v>
      </c>
      <c r="M51" s="256">
        <f>G51*(1-FORM!$AE$28/100)</f>
        <v>26.248429999999999</v>
      </c>
      <c r="AA51" s="463" t="s">
        <v>1448</v>
      </c>
      <c r="AB51" s="462" t="s">
        <v>1451</v>
      </c>
      <c r="AC51" s="462" t="s">
        <v>1452</v>
      </c>
      <c r="AD51" s="464">
        <v>1048.70165</v>
      </c>
      <c r="AE51" s="465">
        <v>42.067909999999998</v>
      </c>
      <c r="AF51" s="86">
        <f>IF(verze!$E$1="CZK",AD51,IF(verze!$E$1="SK",AE51,""))</f>
        <v>42.067909999999998</v>
      </c>
    </row>
    <row r="52" spans="1:32" ht="15">
      <c r="A52" s="130"/>
      <c r="B52" s="425">
        <v>9353336</v>
      </c>
      <c r="C52" s="216" t="s">
        <v>1181</v>
      </c>
      <c r="D52" s="217">
        <v>1</v>
      </c>
      <c r="E52" s="391"/>
      <c r="F52" s="262"/>
      <c r="G52" s="272">
        <f t="shared" si="1"/>
        <v>26.467459999999999</v>
      </c>
      <c r="H52" s="141" t="str">
        <f t="shared" si="2"/>
        <v>EUR</v>
      </c>
      <c r="I52" s="409" t="s">
        <v>47</v>
      </c>
      <c r="J52" s="467" t="s">
        <v>20431</v>
      </c>
      <c r="L52" s="86" t="e">
        <f>VLOOKUP(B52,$B$11:B51,1,FALSE)</f>
        <v>#N/A</v>
      </c>
      <c r="M52" s="256">
        <f>G52*(1-FORM!$AE$28/100)</f>
        <v>26.467459999999999</v>
      </c>
      <c r="AA52" s="463" t="s">
        <v>1453</v>
      </c>
      <c r="AB52" s="462" t="s">
        <v>1454</v>
      </c>
      <c r="AC52" s="462" t="s">
        <v>1455</v>
      </c>
      <c r="AD52" s="464">
        <v>126.79478</v>
      </c>
      <c r="AE52" s="465">
        <v>6.0992800000000003</v>
      </c>
      <c r="AF52" s="86">
        <f>IF(verze!$E$1="CZK",AD52,IF(verze!$E$1="SK",AE52,""))</f>
        <v>6.0992800000000003</v>
      </c>
    </row>
    <row r="53" spans="1:32" ht="15">
      <c r="A53" s="130"/>
      <c r="B53" s="425">
        <v>9353337</v>
      </c>
      <c r="C53" s="216" t="s">
        <v>1182</v>
      </c>
      <c r="D53" s="217">
        <v>1</v>
      </c>
      <c r="E53" s="391"/>
      <c r="F53" s="262"/>
      <c r="G53" s="272">
        <f t="shared" si="1"/>
        <v>26.833570000000002</v>
      </c>
      <c r="H53" s="141" t="str">
        <f>IF(G53="","",$H$10)</f>
        <v>EUR</v>
      </c>
      <c r="I53" s="409" t="s">
        <v>47</v>
      </c>
      <c r="J53" s="467" t="s">
        <v>20434</v>
      </c>
      <c r="L53" s="86" t="e">
        <f>VLOOKUP(B53,$B$11:B52,1,FALSE)</f>
        <v>#N/A</v>
      </c>
      <c r="M53" s="256">
        <f>G53*(1-FORM!$AE$28/100)</f>
        <v>26.833570000000002</v>
      </c>
      <c r="AA53" s="463" t="s">
        <v>1456</v>
      </c>
      <c r="AB53" s="462" t="s">
        <v>1457</v>
      </c>
      <c r="AC53" s="462" t="s">
        <v>1458</v>
      </c>
      <c r="AD53" s="464">
        <v>129.60829000000001</v>
      </c>
      <c r="AE53" s="465">
        <v>6.2346300000000001</v>
      </c>
      <c r="AF53" s="86">
        <f>IF(verze!$E$1="CZK",AD53,IF(verze!$E$1="SK",AE53,""))</f>
        <v>6.2346300000000001</v>
      </c>
    </row>
    <row r="54" spans="1:32" ht="15">
      <c r="A54" s="130"/>
      <c r="B54" s="425">
        <v>9353338</v>
      </c>
      <c r="C54" s="216" t="s">
        <v>1183</v>
      </c>
      <c r="D54" s="217">
        <v>1</v>
      </c>
      <c r="E54" s="391"/>
      <c r="F54" s="262"/>
      <c r="G54" s="272">
        <f t="shared" si="1"/>
        <v>27.19903</v>
      </c>
      <c r="H54" s="141" t="str">
        <f>IF(G54="","",$H$10)</f>
        <v>EUR</v>
      </c>
      <c r="I54" s="409" t="s">
        <v>47</v>
      </c>
      <c r="J54" s="467" t="s">
        <v>20437</v>
      </c>
      <c r="L54" s="86" t="e">
        <f>VLOOKUP(B54,$B$11:B53,1,FALSE)</f>
        <v>#N/A</v>
      </c>
      <c r="M54" s="256">
        <f>G54*(1-FORM!$AE$28/100)</f>
        <v>27.19903</v>
      </c>
      <c r="AA54" s="463" t="s">
        <v>1459</v>
      </c>
      <c r="AB54" s="462" t="s">
        <v>1460</v>
      </c>
      <c r="AC54" s="462" t="s">
        <v>1461</v>
      </c>
      <c r="AD54" s="464">
        <v>135.24079</v>
      </c>
      <c r="AE54" s="465">
        <v>6.5055699999999996</v>
      </c>
      <c r="AF54" s="86">
        <f>IF(verze!$E$1="CZK",AD54,IF(verze!$E$1="SK",AE54,""))</f>
        <v>6.5055699999999996</v>
      </c>
    </row>
    <row r="55" spans="1:32" ht="15">
      <c r="A55" s="130"/>
      <c r="B55" s="425">
        <v>9353339</v>
      </c>
      <c r="C55" s="216" t="s">
        <v>1184</v>
      </c>
      <c r="D55" s="217">
        <v>1</v>
      </c>
      <c r="E55" s="391"/>
      <c r="F55" s="262"/>
      <c r="G55" s="272">
        <f t="shared" si="1"/>
        <v>26.252320000000001</v>
      </c>
      <c r="H55" s="141" t="str">
        <f>IF(G55="","",$H$10)</f>
        <v>EUR</v>
      </c>
      <c r="I55" s="409" t="s">
        <v>47</v>
      </c>
      <c r="J55" s="467" t="s">
        <v>20440</v>
      </c>
      <c r="L55" s="86" t="e">
        <f>VLOOKUP(B55,$B$11:B54,1,FALSE)</f>
        <v>#N/A</v>
      </c>
      <c r="M55" s="256">
        <f>G55*(1-FORM!$AE$28/100)</f>
        <v>26.252320000000001</v>
      </c>
      <c r="AA55" s="463" t="s">
        <v>1462</v>
      </c>
      <c r="AB55" s="462" t="s">
        <v>1463</v>
      </c>
      <c r="AC55" s="462" t="s">
        <v>1464</v>
      </c>
      <c r="AD55" s="464">
        <v>140.87331</v>
      </c>
      <c r="AE55" s="465">
        <v>6.77651</v>
      </c>
      <c r="AF55" s="86">
        <f>IF(verze!$E$1="CZK",AD55,IF(verze!$E$1="SK",AE55,""))</f>
        <v>6.77651</v>
      </c>
    </row>
    <row r="56" spans="1:32" ht="15">
      <c r="A56" s="130"/>
      <c r="B56" s="425">
        <v>9353340</v>
      </c>
      <c r="C56" s="216" t="s">
        <v>1185</v>
      </c>
      <c r="D56" s="217">
        <v>1</v>
      </c>
      <c r="E56" s="391"/>
      <c r="F56" s="262"/>
      <c r="G56" s="272">
        <f t="shared" si="1"/>
        <v>26.6005</v>
      </c>
      <c r="H56" s="141" t="str">
        <f t="shared" ref="H56:H62" si="3">IF(G56="","",$H$10)</f>
        <v>EUR</v>
      </c>
      <c r="I56" s="409" t="s">
        <v>47</v>
      </c>
      <c r="J56" s="467" t="s">
        <v>20443</v>
      </c>
      <c r="L56" s="86" t="e">
        <f>VLOOKUP(B56,$B$11:B55,1,FALSE)</f>
        <v>#N/A</v>
      </c>
      <c r="M56" s="256">
        <f>G56*(1-FORM!$AE$28/100)</f>
        <v>26.6005</v>
      </c>
      <c r="AA56" s="463" t="s">
        <v>1465</v>
      </c>
      <c r="AB56" s="462" t="s">
        <v>1466</v>
      </c>
      <c r="AC56" s="462" t="s">
        <v>1467</v>
      </c>
      <c r="AD56" s="464">
        <v>149.32470000000001</v>
      </c>
      <c r="AE56" s="465">
        <v>7.1830699999999998</v>
      </c>
      <c r="AF56" s="86">
        <f>IF(verze!$E$1="CZK",AD56,IF(verze!$E$1="SK",AE56,""))</f>
        <v>7.1830699999999998</v>
      </c>
    </row>
    <row r="57" spans="1:32" ht="15">
      <c r="A57" s="130"/>
      <c r="B57" s="425">
        <v>9353341</v>
      </c>
      <c r="C57" s="216" t="s">
        <v>1186</v>
      </c>
      <c r="D57" s="217">
        <v>1</v>
      </c>
      <c r="E57" s="391"/>
      <c r="F57" s="262"/>
      <c r="G57" s="272">
        <f t="shared" si="1"/>
        <v>28.296320000000001</v>
      </c>
      <c r="H57" s="141" t="str">
        <f t="shared" si="3"/>
        <v>EUR</v>
      </c>
      <c r="I57" s="409" t="s">
        <v>47</v>
      </c>
      <c r="J57" s="467" t="s">
        <v>20446</v>
      </c>
      <c r="L57" s="86" t="e">
        <f>VLOOKUP(B57,$B$11:B56,1,FALSE)</f>
        <v>#N/A</v>
      </c>
      <c r="M57" s="256">
        <f>G57*(1-FORM!$AE$28/100)</f>
        <v>28.296320000000001</v>
      </c>
      <c r="AA57" s="463" t="s">
        <v>1468</v>
      </c>
      <c r="AB57" s="462" t="s">
        <v>1469</v>
      </c>
      <c r="AC57" s="462" t="s">
        <v>1470</v>
      </c>
      <c r="AD57" s="464">
        <v>160.60025999999999</v>
      </c>
      <c r="AE57" s="465">
        <v>7.72546</v>
      </c>
      <c r="AF57" s="86">
        <f>IF(verze!$E$1="CZK",AD57,IF(verze!$E$1="SK",AE57,""))</f>
        <v>7.72546</v>
      </c>
    </row>
    <row r="58" spans="1:32" ht="15">
      <c r="A58" s="130"/>
      <c r="B58" s="425">
        <v>9353342</v>
      </c>
      <c r="C58" s="216" t="s">
        <v>1187</v>
      </c>
      <c r="D58" s="217">
        <v>1</v>
      </c>
      <c r="E58" s="391"/>
      <c r="F58" s="262"/>
      <c r="G58" s="272">
        <f t="shared" si="1"/>
        <v>28.89237</v>
      </c>
      <c r="H58" s="141" t="str">
        <f t="shared" si="3"/>
        <v>EUR</v>
      </c>
      <c r="I58" s="409" t="s">
        <v>47</v>
      </c>
      <c r="J58" s="467" t="s">
        <v>20449</v>
      </c>
      <c r="L58" s="86" t="e">
        <f>VLOOKUP(B58,$B$11:B57,1,FALSE)</f>
        <v>#N/A</v>
      </c>
      <c r="M58" s="256">
        <f>G58*(1-FORM!$AE$28/100)</f>
        <v>28.89237</v>
      </c>
      <c r="AA58" s="463" t="s">
        <v>1471</v>
      </c>
      <c r="AB58" s="462" t="s">
        <v>1472</v>
      </c>
      <c r="AC58" s="462" t="s">
        <v>1473</v>
      </c>
      <c r="AD58" s="464">
        <v>171.86528000000001</v>
      </c>
      <c r="AE58" s="465">
        <v>8.2673400000000008</v>
      </c>
      <c r="AF58" s="86">
        <f>IF(verze!$E$1="CZK",AD58,IF(verze!$E$1="SK",AE58,""))</f>
        <v>8.2673400000000008</v>
      </c>
    </row>
    <row r="59" spans="1:32" ht="15">
      <c r="A59" s="130"/>
      <c r="B59" s="426">
        <v>9353343</v>
      </c>
      <c r="C59" s="304" t="s">
        <v>1188</v>
      </c>
      <c r="D59" s="226">
        <v>1</v>
      </c>
      <c r="E59" s="396"/>
      <c r="F59" s="268"/>
      <c r="G59" s="272">
        <f t="shared" si="1"/>
        <v>29.75958</v>
      </c>
      <c r="H59" s="142" t="str">
        <f t="shared" si="3"/>
        <v>EUR</v>
      </c>
      <c r="I59" s="417" t="s">
        <v>47</v>
      </c>
      <c r="J59" s="468" t="s">
        <v>20452</v>
      </c>
      <c r="L59" s="86" t="e">
        <f>VLOOKUP(B59,$B$11:B58,1,FALSE)</f>
        <v>#N/A</v>
      </c>
      <c r="M59" s="256">
        <f>G59*(1-FORM!$AE$28/100)</f>
        <v>29.75958</v>
      </c>
      <c r="AA59" s="463" t="s">
        <v>1474</v>
      </c>
      <c r="AB59" s="462" t="s">
        <v>1475</v>
      </c>
      <c r="AC59" s="462" t="s">
        <v>1476</v>
      </c>
      <c r="AD59" s="464">
        <v>32.128349999999998</v>
      </c>
      <c r="AE59" s="465">
        <v>1.5455000000000001</v>
      </c>
      <c r="AF59" s="86">
        <f>IF(verze!$E$1="CZK",AD59,IF(verze!$E$1="SK",AE59,""))</f>
        <v>1.5455000000000001</v>
      </c>
    </row>
    <row r="60" spans="1:32" ht="15">
      <c r="A60" s="137"/>
      <c r="B60" s="424">
        <v>9353383</v>
      </c>
      <c r="C60" s="222" t="s">
        <v>1189</v>
      </c>
      <c r="D60" s="223">
        <v>1</v>
      </c>
      <c r="E60" s="395"/>
      <c r="F60" s="266"/>
      <c r="G60" s="272">
        <f t="shared" si="1"/>
        <v>26.248429999999999</v>
      </c>
      <c r="H60" s="211" t="str">
        <f t="shared" si="3"/>
        <v>EUR</v>
      </c>
      <c r="I60" s="416" t="s">
        <v>47</v>
      </c>
      <c r="J60" s="469" t="s">
        <v>20542</v>
      </c>
      <c r="L60" s="86" t="e">
        <f>VLOOKUP(B60,$B$11:B59,1,FALSE)</f>
        <v>#N/A</v>
      </c>
      <c r="M60" s="256">
        <f>G60*(1-FORM!$AE$28/100)</f>
        <v>26.248429999999999</v>
      </c>
      <c r="AA60" s="463" t="s">
        <v>1477</v>
      </c>
      <c r="AB60" s="462" t="s">
        <v>1478</v>
      </c>
      <c r="AC60" s="462" t="s">
        <v>1479</v>
      </c>
      <c r="AD60" s="464">
        <v>50.384450000000001</v>
      </c>
      <c r="AE60" s="465">
        <v>2.42367</v>
      </c>
      <c r="AF60" s="86">
        <f>IF(verze!$E$1="CZK",AD60,IF(verze!$E$1="SK",AE60,""))</f>
        <v>2.42367</v>
      </c>
    </row>
    <row r="61" spans="1:32" ht="15">
      <c r="A61" s="137"/>
      <c r="B61" s="425">
        <v>9353384</v>
      </c>
      <c r="C61" s="216" t="s">
        <v>1190</v>
      </c>
      <c r="D61" s="217">
        <v>1</v>
      </c>
      <c r="E61" s="391"/>
      <c r="F61" s="262"/>
      <c r="G61" s="272">
        <f t="shared" si="1"/>
        <v>26.467459999999999</v>
      </c>
      <c r="H61" s="141" t="str">
        <f t="shared" si="3"/>
        <v>EUR</v>
      </c>
      <c r="I61" s="409" t="s">
        <v>47</v>
      </c>
      <c r="J61" s="467" t="s">
        <v>20545</v>
      </c>
      <c r="L61" s="86" t="e">
        <f>VLOOKUP(B61,$B$11:B60,1,FALSE)</f>
        <v>#N/A</v>
      </c>
      <c r="M61" s="256">
        <f>G61*(1-FORM!$AE$28/100)</f>
        <v>26.467459999999999</v>
      </c>
      <c r="AA61" s="463" t="s">
        <v>1480</v>
      </c>
      <c r="AB61" s="462" t="s">
        <v>1481</v>
      </c>
      <c r="AC61" s="462" t="s">
        <v>1482</v>
      </c>
      <c r="AD61" s="464">
        <v>4.8807200000000002</v>
      </c>
      <c r="AE61" s="465">
        <v>0.23477999999999999</v>
      </c>
      <c r="AF61" s="86">
        <f>IF(verze!$E$1="CZK",AD61,IF(verze!$E$1="SK",AE61,""))</f>
        <v>0.23477999999999999</v>
      </c>
    </row>
    <row r="62" spans="1:32" ht="15">
      <c r="A62" s="137"/>
      <c r="B62" s="425">
        <v>9353385</v>
      </c>
      <c r="C62" s="216" t="s">
        <v>1191</v>
      </c>
      <c r="D62" s="217">
        <v>1</v>
      </c>
      <c r="E62" s="391"/>
      <c r="F62" s="262"/>
      <c r="G62" s="272">
        <f t="shared" si="1"/>
        <v>26.833570000000002</v>
      </c>
      <c r="H62" s="141" t="str">
        <f t="shared" si="3"/>
        <v>EUR</v>
      </c>
      <c r="I62" s="409" t="s">
        <v>47</v>
      </c>
      <c r="J62" s="467" t="s">
        <v>20548</v>
      </c>
      <c r="L62" s="86" t="e">
        <f>VLOOKUP(B62,$B$11:B61,1,FALSE)</f>
        <v>#N/A</v>
      </c>
      <c r="M62" s="256">
        <f>G62*(1-FORM!$AE$28/100)</f>
        <v>26.833570000000002</v>
      </c>
      <c r="AA62" s="463" t="s">
        <v>1480</v>
      </c>
      <c r="AB62" s="462" t="s">
        <v>1483</v>
      </c>
      <c r="AC62" s="462" t="s">
        <v>1484</v>
      </c>
      <c r="AD62" s="464">
        <v>6.7317099999999996</v>
      </c>
      <c r="AE62" s="465">
        <v>0.26929999999999998</v>
      </c>
      <c r="AF62" s="86">
        <f>IF(verze!$E$1="CZK",AD62,IF(verze!$E$1="SK",AE62,""))</f>
        <v>0.26929999999999998</v>
      </c>
    </row>
    <row r="63" spans="1:32" ht="15">
      <c r="A63" s="137"/>
      <c r="B63" s="425">
        <v>9353386</v>
      </c>
      <c r="C63" s="216" t="s">
        <v>1192</v>
      </c>
      <c r="D63" s="217">
        <v>1</v>
      </c>
      <c r="E63" s="391"/>
      <c r="F63" s="262"/>
      <c r="G63" s="272">
        <f t="shared" si="1"/>
        <v>27.19903</v>
      </c>
      <c r="H63" s="141" t="str">
        <f t="shared" ref="H63:H75" si="4">IF(G63="","",$H$10)</f>
        <v>EUR</v>
      </c>
      <c r="I63" s="409" t="s">
        <v>47</v>
      </c>
      <c r="J63" s="467" t="s">
        <v>20551</v>
      </c>
      <c r="L63" s="86" t="e">
        <f>VLOOKUP(B63,$B$11:B62,1,FALSE)</f>
        <v>#N/A</v>
      </c>
      <c r="M63" s="256">
        <f>G63*(1-FORM!$AE$28/100)</f>
        <v>27.19903</v>
      </c>
      <c r="AA63" s="463" t="s">
        <v>1480</v>
      </c>
      <c r="AB63" s="462" t="s">
        <v>1485</v>
      </c>
      <c r="AC63" s="462" t="s">
        <v>1486</v>
      </c>
      <c r="AD63" s="464">
        <v>5.3042100000000003</v>
      </c>
      <c r="AE63" s="465">
        <v>0.25514999999999999</v>
      </c>
      <c r="AF63" s="86">
        <f>IF(verze!$E$1="CZK",AD63,IF(verze!$E$1="SK",AE63,""))</f>
        <v>0.25514999999999999</v>
      </c>
    </row>
    <row r="64" spans="1:32" ht="15">
      <c r="A64" s="137"/>
      <c r="B64" s="425">
        <v>9353387</v>
      </c>
      <c r="C64" s="216" t="s">
        <v>1193</v>
      </c>
      <c r="D64" s="217">
        <v>1</v>
      </c>
      <c r="E64" s="391"/>
      <c r="F64" s="262"/>
      <c r="G64" s="272">
        <f t="shared" si="1"/>
        <v>26.252320000000001</v>
      </c>
      <c r="H64" s="141" t="str">
        <f t="shared" si="4"/>
        <v>EUR</v>
      </c>
      <c r="I64" s="409" t="s">
        <v>47</v>
      </c>
      <c r="J64" s="467" t="s">
        <v>20554</v>
      </c>
      <c r="L64" s="86" t="e">
        <f>VLOOKUP(B64,$B$11:B63,1,FALSE)</f>
        <v>#N/A</v>
      </c>
      <c r="M64" s="256">
        <f>G64*(1-FORM!$AE$28/100)</f>
        <v>26.252320000000001</v>
      </c>
      <c r="AA64" s="463" t="s">
        <v>1487</v>
      </c>
      <c r="AB64" s="462" t="s">
        <v>1488</v>
      </c>
      <c r="AC64" s="462" t="s">
        <v>1489</v>
      </c>
      <c r="AD64" s="464">
        <v>123.97589000000001</v>
      </c>
      <c r="AE64" s="465">
        <v>5.9637099999999998</v>
      </c>
      <c r="AF64" s="86">
        <f>IF(verze!$E$1="CZK",AD64,IF(verze!$E$1="SK",AE64,""))</f>
        <v>5.9637099999999998</v>
      </c>
    </row>
    <row r="65" spans="1:32" ht="15">
      <c r="A65" s="137"/>
      <c r="B65" s="425">
        <v>9353388</v>
      </c>
      <c r="C65" s="216" t="s">
        <v>1194</v>
      </c>
      <c r="D65" s="217">
        <v>1</v>
      </c>
      <c r="E65" s="391"/>
      <c r="F65" s="262"/>
      <c r="G65" s="272">
        <f t="shared" si="1"/>
        <v>5.63795</v>
      </c>
      <c r="H65" s="141" t="str">
        <f t="shared" si="4"/>
        <v>EUR</v>
      </c>
      <c r="I65" s="409" t="s">
        <v>47</v>
      </c>
      <c r="J65" s="467" t="s">
        <v>28205</v>
      </c>
      <c r="L65" s="86" t="e">
        <f>VLOOKUP(B65,$B$11:B64,1,FALSE)</f>
        <v>#N/A</v>
      </c>
      <c r="M65" s="256">
        <f>G65*(1-FORM!$AE$28/100)</f>
        <v>5.63795</v>
      </c>
      <c r="AA65" s="463" t="s">
        <v>1490</v>
      </c>
      <c r="AB65" s="462" t="s">
        <v>1491</v>
      </c>
      <c r="AC65" s="462" t="s">
        <v>1492</v>
      </c>
      <c r="AD65" s="464">
        <v>105.95616</v>
      </c>
      <c r="AE65" s="465">
        <v>5.09687</v>
      </c>
      <c r="AF65" s="86">
        <f>IF(verze!$E$1="CZK",AD65,IF(verze!$E$1="SK",AE65,""))</f>
        <v>5.09687</v>
      </c>
    </row>
    <row r="66" spans="1:32" ht="15">
      <c r="A66" s="137"/>
      <c r="B66" s="425">
        <v>9353389</v>
      </c>
      <c r="C66" s="216" t="s">
        <v>1195</v>
      </c>
      <c r="D66" s="217">
        <v>1</v>
      </c>
      <c r="E66" s="391"/>
      <c r="F66" s="262"/>
      <c r="G66" s="272">
        <f t="shared" si="1"/>
        <v>28.296320000000001</v>
      </c>
      <c r="H66" s="141" t="str">
        <f t="shared" si="4"/>
        <v>EUR</v>
      </c>
      <c r="I66" s="409" t="s">
        <v>47</v>
      </c>
      <c r="J66" s="467" t="s">
        <v>20560</v>
      </c>
      <c r="L66" s="86" t="e">
        <f>VLOOKUP(B66,$B$11:B65,1,FALSE)</f>
        <v>#N/A</v>
      </c>
      <c r="M66" s="256">
        <f>G66*(1-FORM!$AE$28/100)</f>
        <v>28.296320000000001</v>
      </c>
      <c r="AA66" s="463" t="s">
        <v>1493</v>
      </c>
      <c r="AB66" s="462" t="s">
        <v>1494</v>
      </c>
      <c r="AC66" s="462" t="s">
        <v>1495</v>
      </c>
      <c r="AD66" s="464">
        <v>111.25385</v>
      </c>
      <c r="AE66" s="465">
        <v>5.3517200000000003</v>
      </c>
      <c r="AF66" s="86">
        <f>IF(verze!$E$1="CZK",AD66,IF(verze!$E$1="SK",AE66,""))</f>
        <v>5.3517200000000003</v>
      </c>
    </row>
    <row r="67" spans="1:32" ht="15">
      <c r="A67" s="137"/>
      <c r="B67" s="425">
        <v>9353390</v>
      </c>
      <c r="C67" s="216" t="s">
        <v>1196</v>
      </c>
      <c r="D67" s="217">
        <v>1</v>
      </c>
      <c r="E67" s="391"/>
      <c r="F67" s="262"/>
      <c r="G67" s="272">
        <f t="shared" si="1"/>
        <v>28.89237</v>
      </c>
      <c r="H67" s="141" t="str">
        <f t="shared" si="4"/>
        <v>EUR</v>
      </c>
      <c r="I67" s="409" t="s">
        <v>47</v>
      </c>
      <c r="J67" s="467" t="s">
        <v>20563</v>
      </c>
      <c r="L67" s="86" t="e">
        <f>VLOOKUP(B67,$B$11:B66,1,FALSE)</f>
        <v>#N/A</v>
      </c>
      <c r="M67" s="256">
        <f>G67*(1-FORM!$AE$28/100)</f>
        <v>28.89237</v>
      </c>
      <c r="AA67" s="463" t="s">
        <v>1496</v>
      </c>
      <c r="AB67" s="462" t="s">
        <v>1497</v>
      </c>
      <c r="AC67" s="462" t="s">
        <v>1498</v>
      </c>
      <c r="AD67" s="464">
        <v>121.84914999999999</v>
      </c>
      <c r="AE67" s="465">
        <v>5.86137</v>
      </c>
      <c r="AF67" s="86">
        <f>IF(verze!$E$1="CZK",AD67,IF(verze!$E$1="SK",AE67,""))</f>
        <v>5.86137</v>
      </c>
    </row>
    <row r="68" spans="1:32" ht="15">
      <c r="A68" s="137"/>
      <c r="B68" s="426">
        <v>9353391</v>
      </c>
      <c r="C68" s="304" t="s">
        <v>1197</v>
      </c>
      <c r="D68" s="226">
        <v>1</v>
      </c>
      <c r="E68" s="396"/>
      <c r="F68" s="268"/>
      <c r="G68" s="272">
        <f t="shared" si="1"/>
        <v>29.75958</v>
      </c>
      <c r="H68" s="142" t="str">
        <f t="shared" si="4"/>
        <v>EUR</v>
      </c>
      <c r="I68" s="417" t="s">
        <v>47</v>
      </c>
      <c r="J68" s="468" t="s">
        <v>20566</v>
      </c>
      <c r="L68" s="86" t="e">
        <f>VLOOKUP(B68,$B$11:B67,1,FALSE)</f>
        <v>#N/A</v>
      </c>
      <c r="M68" s="256">
        <f>G68*(1-FORM!$AE$28/100)</f>
        <v>29.75958</v>
      </c>
      <c r="AA68" s="463" t="s">
        <v>1499</v>
      </c>
      <c r="AB68" s="462" t="s">
        <v>1500</v>
      </c>
      <c r="AC68" s="462" t="s">
        <v>1501</v>
      </c>
      <c r="AD68" s="464">
        <v>127.14684</v>
      </c>
      <c r="AE68" s="465">
        <v>6.1162299999999998</v>
      </c>
      <c r="AF68" s="86">
        <f>IF(verze!$E$1="CZK",AD68,IF(verze!$E$1="SK",AE68,""))</f>
        <v>6.1162299999999998</v>
      </c>
    </row>
    <row r="69" spans="1:32" ht="15">
      <c r="A69" s="139"/>
      <c r="B69" s="424">
        <v>9353421</v>
      </c>
      <c r="C69" s="222" t="s">
        <v>1198</v>
      </c>
      <c r="D69" s="223">
        <v>1</v>
      </c>
      <c r="E69" s="395"/>
      <c r="F69" s="266"/>
      <c r="G69" s="272">
        <f t="shared" si="1"/>
        <v>26.248429999999999</v>
      </c>
      <c r="H69" s="211" t="str">
        <f t="shared" si="4"/>
        <v>EUR</v>
      </c>
      <c r="I69" s="416" t="s">
        <v>47</v>
      </c>
      <c r="J69" s="469" t="s">
        <v>20656</v>
      </c>
      <c r="L69" s="86" t="e">
        <f>VLOOKUP(B69,$B$11:B68,1,FALSE)</f>
        <v>#N/A</v>
      </c>
      <c r="M69" s="256">
        <f>G69*(1-FORM!$AE$28/100)</f>
        <v>26.248429999999999</v>
      </c>
      <c r="AA69" s="463" t="s">
        <v>1502</v>
      </c>
      <c r="AB69" s="462" t="s">
        <v>1503</v>
      </c>
      <c r="AC69" s="462" t="s">
        <v>1504</v>
      </c>
      <c r="AD69" s="464">
        <v>2.64636</v>
      </c>
      <c r="AE69" s="465">
        <v>0.10588</v>
      </c>
      <c r="AF69" s="86">
        <f>IF(verze!$E$1="CZK",AD69,IF(verze!$E$1="SK",AE69,""))</f>
        <v>0.10588</v>
      </c>
    </row>
    <row r="70" spans="1:32" ht="15">
      <c r="A70" s="139"/>
      <c r="B70" s="425">
        <v>9353422</v>
      </c>
      <c r="C70" s="216" t="s">
        <v>1199</v>
      </c>
      <c r="D70" s="217">
        <v>1</v>
      </c>
      <c r="E70" s="391"/>
      <c r="F70" s="262"/>
      <c r="G70" s="272">
        <f t="shared" si="1"/>
        <v>26.467459999999999</v>
      </c>
      <c r="H70" s="141" t="str">
        <f t="shared" si="4"/>
        <v>EUR</v>
      </c>
      <c r="I70" s="409" t="s">
        <v>47</v>
      </c>
      <c r="J70" s="467" t="s">
        <v>20659</v>
      </c>
      <c r="L70" s="86" t="e">
        <f>VLOOKUP(B70,$B$11:B69,1,FALSE)</f>
        <v>#N/A</v>
      </c>
      <c r="M70" s="256">
        <f>G70*(1-FORM!$AE$28/100)</f>
        <v>26.467459999999999</v>
      </c>
      <c r="AA70" s="463" t="s">
        <v>1502</v>
      </c>
      <c r="AB70" s="462" t="s">
        <v>1505</v>
      </c>
      <c r="AC70" s="462" t="s">
        <v>1506</v>
      </c>
      <c r="AD70" s="464">
        <v>2.3577300000000001</v>
      </c>
      <c r="AE70" s="465">
        <v>0.11342000000000001</v>
      </c>
      <c r="AF70" s="86">
        <f>IF(verze!$E$1="CZK",AD70,IF(verze!$E$1="SK",AE70,""))</f>
        <v>0.11342000000000001</v>
      </c>
    </row>
    <row r="71" spans="1:32" ht="15">
      <c r="A71" s="139"/>
      <c r="B71" s="425">
        <v>9353423</v>
      </c>
      <c r="C71" s="216" t="s">
        <v>1200</v>
      </c>
      <c r="D71" s="217">
        <v>1</v>
      </c>
      <c r="E71" s="391"/>
      <c r="F71" s="262"/>
      <c r="G71" s="272">
        <f t="shared" si="1"/>
        <v>26.833570000000002</v>
      </c>
      <c r="H71" s="141" t="str">
        <f t="shared" si="4"/>
        <v>EUR</v>
      </c>
      <c r="I71" s="409" t="s">
        <v>47</v>
      </c>
      <c r="J71" s="467" t="s">
        <v>20662</v>
      </c>
      <c r="L71" s="86" t="e">
        <f>VLOOKUP(B71,$B$11:B70,1,FALSE)</f>
        <v>#N/A</v>
      </c>
      <c r="M71" s="256">
        <f>G71*(1-FORM!$AE$28/100)</f>
        <v>26.833570000000002</v>
      </c>
      <c r="AA71" s="463" t="s">
        <v>1502</v>
      </c>
      <c r="AB71" s="462" t="s">
        <v>1507</v>
      </c>
      <c r="AC71" s="462" t="s">
        <v>1508</v>
      </c>
      <c r="AD71" s="464">
        <v>2.17022</v>
      </c>
      <c r="AE71" s="465">
        <v>0.10439</v>
      </c>
      <c r="AF71" s="86">
        <f>IF(verze!$E$1="CZK",AD71,IF(verze!$E$1="SK",AE71,""))</f>
        <v>0.10439</v>
      </c>
    </row>
    <row r="72" spans="1:32" ht="15">
      <c r="A72" s="139"/>
      <c r="B72" s="425">
        <v>9353424</v>
      </c>
      <c r="C72" s="216" t="s">
        <v>1201</v>
      </c>
      <c r="D72" s="217">
        <v>1</v>
      </c>
      <c r="E72" s="391"/>
      <c r="F72" s="262"/>
      <c r="G72" s="272">
        <f t="shared" si="1"/>
        <v>27.19903</v>
      </c>
      <c r="H72" s="141" t="str">
        <f t="shared" si="4"/>
        <v>EUR</v>
      </c>
      <c r="I72" s="409" t="s">
        <v>47</v>
      </c>
      <c r="J72" s="467" t="s">
        <v>20665</v>
      </c>
      <c r="L72" s="86" t="e">
        <f>VLOOKUP(B72,$B$11:B71,1,FALSE)</f>
        <v>#N/A</v>
      </c>
      <c r="M72" s="256">
        <f>G72*(1-FORM!$AE$28/100)</f>
        <v>27.19903</v>
      </c>
      <c r="AA72" s="463" t="s">
        <v>1509</v>
      </c>
      <c r="AB72" s="462" t="s">
        <v>1510</v>
      </c>
      <c r="AC72" s="462" t="s">
        <v>1511</v>
      </c>
      <c r="AD72" s="464">
        <v>101.78044</v>
      </c>
      <c r="AE72" s="465">
        <v>3</v>
      </c>
      <c r="AF72" s="86">
        <f>IF(verze!$E$1="CZK",AD72,IF(verze!$E$1="SK",AE72,""))</f>
        <v>3</v>
      </c>
    </row>
    <row r="73" spans="1:32" ht="15">
      <c r="A73" s="139"/>
      <c r="B73" s="425">
        <v>9353425</v>
      </c>
      <c r="C73" s="216" t="s">
        <v>1202</v>
      </c>
      <c r="D73" s="217">
        <v>1</v>
      </c>
      <c r="E73" s="391"/>
      <c r="F73" s="262"/>
      <c r="G73" s="272">
        <f t="shared" si="1"/>
        <v>26.252320000000001</v>
      </c>
      <c r="H73" s="141" t="str">
        <f t="shared" si="4"/>
        <v>EUR</v>
      </c>
      <c r="I73" s="409" t="s">
        <v>47</v>
      </c>
      <c r="J73" s="467" t="s">
        <v>20668</v>
      </c>
      <c r="L73" s="86" t="e">
        <f>VLOOKUP(B73,$B$11:B72,1,FALSE)</f>
        <v>#N/A</v>
      </c>
      <c r="M73" s="256">
        <f>G73*(1-FORM!$AE$28/100)</f>
        <v>26.252320000000001</v>
      </c>
      <c r="AA73" s="463" t="s">
        <v>1512</v>
      </c>
      <c r="AB73" s="462" t="s">
        <v>1513</v>
      </c>
      <c r="AC73" s="462" t="s">
        <v>1514</v>
      </c>
      <c r="AD73" s="464">
        <v>101.78044</v>
      </c>
      <c r="AE73" s="465">
        <v>3</v>
      </c>
      <c r="AF73" s="86">
        <f>IF(verze!$E$1="CZK",AD73,IF(verze!$E$1="SK",AE73,""))</f>
        <v>3</v>
      </c>
    </row>
    <row r="74" spans="1:32" ht="15">
      <c r="A74" s="139"/>
      <c r="B74" s="425">
        <v>9353426</v>
      </c>
      <c r="C74" s="216" t="s">
        <v>1203</v>
      </c>
      <c r="D74" s="217">
        <v>1</v>
      </c>
      <c r="E74" s="391"/>
      <c r="F74" s="262"/>
      <c r="G74" s="272">
        <f t="shared" si="1"/>
        <v>26.6005</v>
      </c>
      <c r="H74" s="141" t="str">
        <f t="shared" si="4"/>
        <v>EUR</v>
      </c>
      <c r="I74" s="409" t="s">
        <v>47</v>
      </c>
      <c r="J74" s="467" t="s">
        <v>20671</v>
      </c>
      <c r="L74" s="86" t="e">
        <f>VLOOKUP(B74,$B$11:B73,1,FALSE)</f>
        <v>#N/A</v>
      </c>
      <c r="M74" s="256">
        <f>G74*(1-FORM!$AE$28/100)</f>
        <v>26.6005</v>
      </c>
      <c r="AA74" s="463" t="s">
        <v>1515</v>
      </c>
      <c r="AB74" s="462" t="s">
        <v>1516</v>
      </c>
      <c r="AC74" s="462" t="s">
        <v>1517</v>
      </c>
      <c r="AD74" s="464">
        <v>65.268919999999994</v>
      </c>
      <c r="AE74" s="465">
        <v>3.1328</v>
      </c>
      <c r="AF74" s="86">
        <f>IF(verze!$E$1="CZK",AD74,IF(verze!$E$1="SK",AE74,""))</f>
        <v>3.1328</v>
      </c>
    </row>
    <row r="75" spans="1:32" ht="15">
      <c r="A75" s="139"/>
      <c r="B75" s="425">
        <v>9353427</v>
      </c>
      <c r="C75" s="216" t="s">
        <v>630</v>
      </c>
      <c r="D75" s="217">
        <v>1</v>
      </c>
      <c r="E75" s="391"/>
      <c r="F75" s="262"/>
      <c r="G75" s="272">
        <f t="shared" si="1"/>
        <v>28.296320000000001</v>
      </c>
      <c r="H75" s="141" t="str">
        <f t="shared" si="4"/>
        <v>EUR</v>
      </c>
      <c r="I75" s="409" t="s">
        <v>47</v>
      </c>
      <c r="J75" s="467" t="s">
        <v>20674</v>
      </c>
      <c r="L75" s="86" t="e">
        <f>VLOOKUP(B75,$B$11:B74,1,FALSE)</f>
        <v>#N/A</v>
      </c>
      <c r="M75" s="256">
        <f>G75*(1-FORM!$AE$28/100)</f>
        <v>28.296320000000001</v>
      </c>
      <c r="AA75" s="463" t="s">
        <v>1518</v>
      </c>
      <c r="AB75" s="462" t="s">
        <v>1519</v>
      </c>
      <c r="AC75" s="462" t="s">
        <v>1520</v>
      </c>
      <c r="AD75" s="464">
        <v>23.49464</v>
      </c>
      <c r="AE75" s="465">
        <v>1.1057600000000001</v>
      </c>
      <c r="AF75" s="86">
        <f>IF(verze!$E$1="CZK",AD75,IF(verze!$E$1="SK",AE75,""))</f>
        <v>1.1057600000000001</v>
      </c>
    </row>
    <row r="76" spans="1:32" ht="15">
      <c r="A76" s="139"/>
      <c r="B76" s="425">
        <v>9353428</v>
      </c>
      <c r="C76" s="216" t="s">
        <v>631</v>
      </c>
      <c r="D76" s="217">
        <v>1</v>
      </c>
      <c r="E76" s="391"/>
      <c r="F76" s="262"/>
      <c r="G76" s="272">
        <f t="shared" si="1"/>
        <v>28.89237</v>
      </c>
      <c r="H76" s="141" t="str">
        <f>IF(G76="","",$H$10)</f>
        <v>EUR</v>
      </c>
      <c r="I76" s="409" t="s">
        <v>47</v>
      </c>
      <c r="J76" s="467" t="s">
        <v>20677</v>
      </c>
      <c r="L76" s="86" t="e">
        <f>VLOOKUP(B76,$B$11:B75,1,FALSE)</f>
        <v>#N/A</v>
      </c>
      <c r="M76" s="256">
        <f>G76*(1-FORM!$AE$28/100)</f>
        <v>28.89237</v>
      </c>
      <c r="AA76" s="463" t="s">
        <v>1518</v>
      </c>
      <c r="AB76" s="462" t="s">
        <v>1521</v>
      </c>
      <c r="AC76" s="462" t="s">
        <v>1522</v>
      </c>
      <c r="AD76" s="464">
        <v>22.69388</v>
      </c>
      <c r="AE76" s="465">
        <v>1.5693699999999999</v>
      </c>
      <c r="AF76" s="86">
        <f>IF(verze!$E$1="CZK",AD76,IF(verze!$E$1="SK",AE76,""))</f>
        <v>1.5693699999999999</v>
      </c>
    </row>
    <row r="77" spans="1:32" ht="15">
      <c r="A77" s="139"/>
      <c r="B77" s="426">
        <v>9353429</v>
      </c>
      <c r="C77" s="304" t="s">
        <v>632</v>
      </c>
      <c r="D77" s="226">
        <v>1</v>
      </c>
      <c r="E77" s="396"/>
      <c r="F77" s="268"/>
      <c r="G77" s="272">
        <f t="shared" ref="G77:G140" si="5">VLOOKUP(J77,AB:AF,5,0)</f>
        <v>29.75958</v>
      </c>
      <c r="H77" s="142" t="str">
        <f t="shared" ref="H77:H84" si="6">IF(G77="","",$H$10)</f>
        <v>EUR</v>
      </c>
      <c r="I77" s="417" t="s">
        <v>47</v>
      </c>
      <c r="J77" s="468" t="s">
        <v>20680</v>
      </c>
      <c r="L77" s="86" t="e">
        <f>VLOOKUP(B77,$B$11:B76,1,FALSE)</f>
        <v>#N/A</v>
      </c>
      <c r="M77" s="256">
        <f>G77*(1-FORM!$AE$28/100)</f>
        <v>29.75958</v>
      </c>
      <c r="AA77" s="463" t="s">
        <v>1523</v>
      </c>
      <c r="AB77" s="462" t="s">
        <v>1524</v>
      </c>
      <c r="AC77" s="462" t="s">
        <v>1525</v>
      </c>
      <c r="AD77" s="464">
        <v>23.49464</v>
      </c>
      <c r="AE77" s="465">
        <v>1.1057600000000001</v>
      </c>
      <c r="AF77" s="86">
        <f>IF(verze!$E$1="CZK",AD77,IF(verze!$E$1="SK",AE77,""))</f>
        <v>1.1057600000000001</v>
      </c>
    </row>
    <row r="78" spans="1:32" ht="15">
      <c r="B78" s="302">
        <v>9257702</v>
      </c>
      <c r="C78" s="15" t="s">
        <v>633</v>
      </c>
      <c r="D78" s="221">
        <v>200</v>
      </c>
      <c r="E78" s="394"/>
      <c r="F78" s="265"/>
      <c r="G78" s="272">
        <f t="shared" si="5"/>
        <v>0.74794000000000005</v>
      </c>
      <c r="H78" s="136" t="str">
        <f t="shared" si="6"/>
        <v>EUR</v>
      </c>
      <c r="I78" s="414" t="s">
        <v>47</v>
      </c>
      <c r="J78" s="470" t="s">
        <v>16522</v>
      </c>
      <c r="L78" s="86" t="e">
        <f>VLOOKUP(B78,$B$11:B77,1,FALSE)</f>
        <v>#N/A</v>
      </c>
      <c r="M78" s="256">
        <f>G78*(1-FORM!$AE$28/100)</f>
        <v>0.74794000000000005</v>
      </c>
      <c r="AA78" s="463" t="s">
        <v>1523</v>
      </c>
      <c r="AB78" s="462" t="s">
        <v>1526</v>
      </c>
      <c r="AC78" s="462" t="s">
        <v>1527</v>
      </c>
      <c r="AD78" s="464">
        <v>22.69388</v>
      </c>
      <c r="AE78" s="465">
        <v>1.5693699999999999</v>
      </c>
      <c r="AF78" s="86">
        <f>IF(verze!$E$1="CZK",AD78,IF(verze!$E$1="SK",AE78,""))</f>
        <v>1.5693699999999999</v>
      </c>
    </row>
    <row r="79" spans="1:32" ht="15">
      <c r="A79" s="130"/>
      <c r="B79" s="301">
        <v>9255008</v>
      </c>
      <c r="C79" s="222" t="s">
        <v>634</v>
      </c>
      <c r="D79" s="223">
        <v>20</v>
      </c>
      <c r="E79" s="395"/>
      <c r="F79" s="266"/>
      <c r="G79" s="272">
        <f t="shared" si="5"/>
        <v>10.00929</v>
      </c>
      <c r="H79" s="211" t="str">
        <f t="shared" si="6"/>
        <v>EUR</v>
      </c>
      <c r="I79" s="416" t="s">
        <v>47</v>
      </c>
      <c r="J79" s="469" t="s">
        <v>14668</v>
      </c>
      <c r="L79" s="86" t="e">
        <f>VLOOKUP(B79,$B$11:B78,1,FALSE)</f>
        <v>#N/A</v>
      </c>
      <c r="M79" s="256">
        <f>G79*(1-FORM!$AE$28/100)</f>
        <v>10.00929</v>
      </c>
      <c r="AA79" s="463" t="s">
        <v>1528</v>
      </c>
      <c r="AB79" s="462" t="s">
        <v>1529</v>
      </c>
      <c r="AC79" s="462" t="s">
        <v>1530</v>
      </c>
      <c r="AD79" s="464">
        <v>218.97411</v>
      </c>
      <c r="AE79" s="465">
        <v>10.53345</v>
      </c>
      <c r="AF79" s="86">
        <f>IF(verze!$E$1="CZK",AD79,IF(verze!$E$1="SK",AE79,""))</f>
        <v>10.53345</v>
      </c>
    </row>
    <row r="80" spans="1:32" ht="15">
      <c r="A80" s="130"/>
      <c r="B80" s="298">
        <v>9255009</v>
      </c>
      <c r="C80" s="216" t="s">
        <v>635</v>
      </c>
      <c r="D80" s="217">
        <v>20</v>
      </c>
      <c r="E80" s="391"/>
      <c r="F80" s="262"/>
      <c r="G80" s="272">
        <f t="shared" si="5"/>
        <v>10.00929</v>
      </c>
      <c r="H80" s="141" t="str">
        <f t="shared" si="6"/>
        <v>EUR</v>
      </c>
      <c r="I80" s="409" t="s">
        <v>47</v>
      </c>
      <c r="J80" s="467" t="s">
        <v>14671</v>
      </c>
      <c r="L80" s="86" t="e">
        <f>VLOOKUP(B80,$B$11:B79,1,FALSE)</f>
        <v>#N/A</v>
      </c>
      <c r="M80" s="256">
        <f>G80*(1-FORM!$AE$28/100)</f>
        <v>10.00929</v>
      </c>
      <c r="AA80" s="463" t="s">
        <v>1531</v>
      </c>
      <c r="AB80" s="462" t="s">
        <v>1532</v>
      </c>
      <c r="AC80" s="462" t="s">
        <v>1533</v>
      </c>
      <c r="AD80" s="464">
        <v>162.92563000000001</v>
      </c>
      <c r="AE80" s="465">
        <v>6.5802699999999996</v>
      </c>
      <c r="AF80" s="86">
        <f>IF(verze!$E$1="CZK",AD80,IF(verze!$E$1="SK",AE80,""))</f>
        <v>6.5802699999999996</v>
      </c>
    </row>
    <row r="81" spans="1:32" ht="15">
      <c r="A81" s="130"/>
      <c r="B81" s="298">
        <v>9255010</v>
      </c>
      <c r="C81" s="216" t="s">
        <v>636</v>
      </c>
      <c r="D81" s="217">
        <v>20</v>
      </c>
      <c r="E81" s="391"/>
      <c r="F81" s="262"/>
      <c r="G81" s="272">
        <f t="shared" si="5"/>
        <v>10.12106</v>
      </c>
      <c r="H81" s="141" t="str">
        <f t="shared" si="6"/>
        <v>EUR</v>
      </c>
      <c r="I81" s="409" t="s">
        <v>47</v>
      </c>
      <c r="J81" s="467" t="s">
        <v>14674</v>
      </c>
      <c r="L81" s="86" t="e">
        <f>VLOOKUP(B81,$B$11:B80,1,FALSE)</f>
        <v>#N/A</v>
      </c>
      <c r="M81" s="256">
        <f>G81*(1-FORM!$AE$28/100)</f>
        <v>10.12106</v>
      </c>
      <c r="AA81" s="463" t="s">
        <v>1534</v>
      </c>
      <c r="AB81" s="462" t="s">
        <v>1535</v>
      </c>
      <c r="AC81" s="462" t="s">
        <v>1536</v>
      </c>
      <c r="AD81" s="464">
        <v>312.19076999999999</v>
      </c>
      <c r="AE81" s="465">
        <v>15.017519999999999</v>
      </c>
      <c r="AF81" s="86">
        <f>IF(verze!$E$1="CZK",AD81,IF(verze!$E$1="SK",AE81,""))</f>
        <v>15.017519999999999</v>
      </c>
    </row>
    <row r="82" spans="1:32" ht="15">
      <c r="A82" s="130"/>
      <c r="B82" s="298">
        <v>9255011</v>
      </c>
      <c r="C82" s="216" t="s">
        <v>637</v>
      </c>
      <c r="D82" s="217">
        <v>20</v>
      </c>
      <c r="E82" s="391"/>
      <c r="F82" s="262"/>
      <c r="G82" s="272">
        <f t="shared" si="5"/>
        <v>10.12106</v>
      </c>
      <c r="H82" s="141" t="str">
        <f t="shared" si="6"/>
        <v>EUR</v>
      </c>
      <c r="I82" s="409" t="s">
        <v>47</v>
      </c>
      <c r="J82" s="467" t="s">
        <v>14677</v>
      </c>
      <c r="L82" s="86" t="e">
        <f>VLOOKUP(B82,$B$11:B81,1,FALSE)</f>
        <v>#N/A</v>
      </c>
      <c r="M82" s="256">
        <f>G82*(1-FORM!$AE$28/100)</f>
        <v>10.12106</v>
      </c>
      <c r="AA82" s="463" t="s">
        <v>1537</v>
      </c>
      <c r="AB82" s="462" t="s">
        <v>1538</v>
      </c>
      <c r="AC82" s="462" t="s">
        <v>1539</v>
      </c>
      <c r="AD82" s="464">
        <v>312.19076999999999</v>
      </c>
      <c r="AE82" s="465">
        <v>15.017519999999999</v>
      </c>
      <c r="AF82" s="86">
        <f>IF(verze!$E$1="CZK",AD82,IF(verze!$E$1="SK",AE82,""))</f>
        <v>15.017519999999999</v>
      </c>
    </row>
    <row r="83" spans="1:32" ht="15">
      <c r="A83" s="130"/>
      <c r="B83" s="298">
        <v>9255012</v>
      </c>
      <c r="C83" s="216" t="s">
        <v>638</v>
      </c>
      <c r="D83" s="217">
        <v>20</v>
      </c>
      <c r="E83" s="391"/>
      <c r="F83" s="262"/>
      <c r="G83" s="272">
        <f t="shared" si="5"/>
        <v>10.307510000000001</v>
      </c>
      <c r="H83" s="141" t="str">
        <f>IF(G83="","",$H$10)</f>
        <v>EUR</v>
      </c>
      <c r="I83" s="409" t="s">
        <v>47</v>
      </c>
      <c r="J83" s="467" t="s">
        <v>14680</v>
      </c>
      <c r="L83" s="86" t="e">
        <f>VLOOKUP(B83,$B$11:B82,1,FALSE)</f>
        <v>#N/A</v>
      </c>
      <c r="M83" s="256">
        <f>G83*(1-FORM!$AE$28/100)</f>
        <v>10.307510000000001</v>
      </c>
      <c r="AA83" s="463" t="s">
        <v>1540</v>
      </c>
      <c r="AB83" s="462" t="s">
        <v>1541</v>
      </c>
      <c r="AC83" s="462" t="s">
        <v>1542</v>
      </c>
      <c r="AD83" s="464">
        <v>155.39935</v>
      </c>
      <c r="AE83" s="465">
        <v>7.4752700000000001</v>
      </c>
      <c r="AF83" s="86">
        <f>IF(verze!$E$1="CZK",AD83,IF(verze!$E$1="SK",AE83,""))</f>
        <v>7.4752700000000001</v>
      </c>
    </row>
    <row r="84" spans="1:32" ht="15">
      <c r="A84" s="130"/>
      <c r="B84" s="298">
        <v>9255013</v>
      </c>
      <c r="C84" s="216" t="s">
        <v>639</v>
      </c>
      <c r="D84" s="217">
        <v>20</v>
      </c>
      <c r="E84" s="391"/>
      <c r="F84" s="262"/>
      <c r="G84" s="272">
        <f t="shared" si="5"/>
        <v>10.307510000000001</v>
      </c>
      <c r="H84" s="141" t="str">
        <f t="shared" si="6"/>
        <v>EUR</v>
      </c>
      <c r="I84" s="409" t="s">
        <v>47</v>
      </c>
      <c r="J84" s="467" t="s">
        <v>14683</v>
      </c>
      <c r="L84" s="86" t="e">
        <f>VLOOKUP(B84,$B$11:B83,1,FALSE)</f>
        <v>#N/A</v>
      </c>
      <c r="M84" s="256">
        <f>G84*(1-FORM!$AE$28/100)</f>
        <v>10.307510000000001</v>
      </c>
      <c r="AA84" s="463" t="s">
        <v>1543</v>
      </c>
      <c r="AB84" s="462" t="s">
        <v>1544</v>
      </c>
      <c r="AC84" s="462" t="s">
        <v>1545</v>
      </c>
      <c r="AD84" s="464">
        <v>1044.0681199999999</v>
      </c>
      <c r="AE84" s="465">
        <v>41.76793</v>
      </c>
      <c r="AF84" s="86">
        <f>IF(verze!$E$1="CZK",AD84,IF(verze!$E$1="SK",AE84,""))</f>
        <v>41.76793</v>
      </c>
    </row>
    <row r="85" spans="1:32" ht="15">
      <c r="A85" s="130"/>
      <c r="B85" s="298">
        <v>9255014</v>
      </c>
      <c r="C85" s="216" t="s">
        <v>640</v>
      </c>
      <c r="D85" s="217">
        <v>20</v>
      </c>
      <c r="E85" s="391"/>
      <c r="F85" s="262"/>
      <c r="G85" s="272">
        <f t="shared" si="5"/>
        <v>10.49362</v>
      </c>
      <c r="H85" s="141" t="str">
        <f>IF(G85="","",$H$10)</f>
        <v>EUR</v>
      </c>
      <c r="I85" s="409" t="s">
        <v>47</v>
      </c>
      <c r="J85" s="467" t="s">
        <v>14686</v>
      </c>
      <c r="L85" s="86" t="e">
        <f>VLOOKUP(B85,$B$11:B84,1,FALSE)</f>
        <v>#N/A</v>
      </c>
      <c r="M85" s="256">
        <f>G85*(1-FORM!$AE$28/100)</f>
        <v>10.49362</v>
      </c>
      <c r="AA85" s="463" t="s">
        <v>1546</v>
      </c>
      <c r="AB85" s="462" t="s">
        <v>1547</v>
      </c>
      <c r="AC85" s="462" t="s">
        <v>1548</v>
      </c>
      <c r="AD85" s="464">
        <v>4.7154499999999997</v>
      </c>
      <c r="AE85" s="465">
        <v>0.22681999999999999</v>
      </c>
      <c r="AF85" s="86">
        <f>IF(verze!$E$1="CZK",AD85,IF(verze!$E$1="SK",AE85,""))</f>
        <v>0.22681999999999999</v>
      </c>
    </row>
    <row r="86" spans="1:32" ht="15">
      <c r="A86" s="130"/>
      <c r="B86" s="298">
        <v>9255015</v>
      </c>
      <c r="C86" s="216" t="s">
        <v>641</v>
      </c>
      <c r="D86" s="217">
        <v>20</v>
      </c>
      <c r="E86" s="391"/>
      <c r="F86" s="262"/>
      <c r="G86" s="272">
        <f t="shared" si="5"/>
        <v>10.49362</v>
      </c>
      <c r="H86" s="141" t="str">
        <f>IF(G86="","",$H$10)</f>
        <v>EUR</v>
      </c>
      <c r="I86" s="409" t="s">
        <v>47</v>
      </c>
      <c r="J86" s="467" t="s">
        <v>14689</v>
      </c>
      <c r="L86" s="86" t="e">
        <f>VLOOKUP(B86,$B$11:B85,1,FALSE)</f>
        <v>#N/A</v>
      </c>
      <c r="M86" s="256">
        <f>G86*(1-FORM!$AE$28/100)</f>
        <v>10.49362</v>
      </c>
      <c r="AA86" s="463" t="s">
        <v>1546</v>
      </c>
      <c r="AB86" s="462" t="s">
        <v>1549</v>
      </c>
      <c r="AC86" s="462" t="s">
        <v>1550</v>
      </c>
      <c r="AD86" s="464">
        <v>0</v>
      </c>
      <c r="AE86" s="465">
        <v>0</v>
      </c>
      <c r="AF86" s="86">
        <f>IF(verze!$E$1="CZK",AD86,IF(verze!$E$1="SK",AE86,""))</f>
        <v>0</v>
      </c>
    </row>
    <row r="87" spans="1:32" ht="15">
      <c r="A87" s="130"/>
      <c r="B87" s="298">
        <v>9255016</v>
      </c>
      <c r="C87" s="216" t="s">
        <v>642</v>
      </c>
      <c r="D87" s="217">
        <v>20</v>
      </c>
      <c r="E87" s="391"/>
      <c r="F87" s="262"/>
      <c r="G87" s="272">
        <f t="shared" si="5"/>
        <v>10.680099999999999</v>
      </c>
      <c r="H87" s="141" t="str">
        <f>IF(G87="","",$H$10)</f>
        <v>EUR</v>
      </c>
      <c r="I87" s="409" t="s">
        <v>47</v>
      </c>
      <c r="J87" s="467" t="s">
        <v>14692</v>
      </c>
      <c r="L87" s="86" t="e">
        <f>VLOOKUP(B87,$B$11:B86,1,FALSE)</f>
        <v>#N/A</v>
      </c>
      <c r="M87" s="256">
        <f>G87*(1-FORM!$AE$28/100)</f>
        <v>10.680099999999999</v>
      </c>
      <c r="AA87" s="463" t="s">
        <v>1551</v>
      </c>
      <c r="AB87" s="462" t="s">
        <v>1552</v>
      </c>
      <c r="AC87" s="462" t="s">
        <v>1553</v>
      </c>
      <c r="AD87" s="464">
        <v>1465.35662</v>
      </c>
      <c r="AE87" s="465">
        <v>58.621560000000002</v>
      </c>
      <c r="AF87" s="86">
        <f>IF(verze!$E$1="CZK",AD87,IF(verze!$E$1="SK",AE87,""))</f>
        <v>58.621560000000002</v>
      </c>
    </row>
    <row r="88" spans="1:32" ht="15">
      <c r="A88" s="130"/>
      <c r="B88" s="298">
        <v>9255017</v>
      </c>
      <c r="C88" s="216" t="s">
        <v>643</v>
      </c>
      <c r="D88" s="217">
        <v>20</v>
      </c>
      <c r="E88" s="391"/>
      <c r="F88" s="262"/>
      <c r="G88" s="272">
        <f t="shared" si="5"/>
        <v>10.680099999999999</v>
      </c>
      <c r="H88" s="141" t="str">
        <f>IF(G88="","",$H$10)</f>
        <v>EUR</v>
      </c>
      <c r="I88" s="409" t="s">
        <v>47</v>
      </c>
      <c r="J88" s="467" t="s">
        <v>14697</v>
      </c>
      <c r="L88" s="86" t="e">
        <f>VLOOKUP(B88,$B$11:B87,1,FALSE)</f>
        <v>#N/A</v>
      </c>
      <c r="M88" s="256">
        <f>G88*(1-FORM!$AE$28/100)</f>
        <v>10.680099999999999</v>
      </c>
      <c r="AA88" s="463" t="s">
        <v>1554</v>
      </c>
      <c r="AB88" s="462" t="s">
        <v>1555</v>
      </c>
      <c r="AC88" s="462" t="s">
        <v>1556</v>
      </c>
      <c r="AD88" s="464">
        <v>34.72739</v>
      </c>
      <c r="AE88" s="465">
        <v>1.4242999999999999</v>
      </c>
      <c r="AF88" s="86">
        <f>IF(verze!$E$1="CZK",AD88,IF(verze!$E$1="SK",AE88,""))</f>
        <v>1.4242999999999999</v>
      </c>
    </row>
    <row r="89" spans="1:32" ht="15">
      <c r="A89" s="130"/>
      <c r="B89" s="298">
        <v>9255018</v>
      </c>
      <c r="C89" s="216" t="s">
        <v>644</v>
      </c>
      <c r="D89" s="217">
        <v>20</v>
      </c>
      <c r="E89" s="391"/>
      <c r="F89" s="262"/>
      <c r="G89" s="272">
        <f t="shared" si="5"/>
        <v>10.348739999999999</v>
      </c>
      <c r="H89" s="141" t="str">
        <f>IF(G89="","",$H$10)</f>
        <v>EUR</v>
      </c>
      <c r="I89" s="409" t="s">
        <v>47</v>
      </c>
      <c r="J89" s="467" t="s">
        <v>14702</v>
      </c>
      <c r="L89" s="86" t="e">
        <f>VLOOKUP(B89,$B$11:B88,1,FALSE)</f>
        <v>#N/A</v>
      </c>
      <c r="M89" s="256">
        <f>G89*(1-FORM!$AE$28/100)</f>
        <v>10.348739999999999</v>
      </c>
      <c r="AA89" s="463" t="s">
        <v>1557</v>
      </c>
      <c r="AB89" s="462" t="s">
        <v>1558</v>
      </c>
      <c r="AC89" s="462" t="s">
        <v>1559</v>
      </c>
      <c r="AD89" s="464">
        <v>34.72739</v>
      </c>
      <c r="AE89" s="465">
        <v>1.4242999999999999</v>
      </c>
      <c r="AF89" s="86">
        <f>IF(verze!$E$1="CZK",AD89,IF(verze!$E$1="SK",AE89,""))</f>
        <v>1.4242999999999999</v>
      </c>
    </row>
    <row r="90" spans="1:32" ht="15">
      <c r="A90" s="130"/>
      <c r="B90" s="298">
        <v>9255019</v>
      </c>
      <c r="C90" s="216" t="s">
        <v>645</v>
      </c>
      <c r="D90" s="217">
        <v>20</v>
      </c>
      <c r="E90" s="391"/>
      <c r="F90" s="262"/>
      <c r="G90" s="272">
        <f t="shared" si="5"/>
        <v>10.348739999999999</v>
      </c>
      <c r="H90" s="141" t="str">
        <f t="shared" ref="H90:H98" si="7">IF(G90="","",$H$10)</f>
        <v>EUR</v>
      </c>
      <c r="I90" s="409" t="s">
        <v>47</v>
      </c>
      <c r="J90" s="467" t="s">
        <v>14707</v>
      </c>
      <c r="L90" s="86" t="e">
        <f>VLOOKUP(B90,$B$11:B89,1,FALSE)</f>
        <v>#N/A</v>
      </c>
      <c r="M90" s="256">
        <f>G90*(1-FORM!$AE$28/100)</f>
        <v>10.348739999999999</v>
      </c>
      <c r="AA90" s="463" t="s">
        <v>1560</v>
      </c>
      <c r="AB90" s="462" t="s">
        <v>1561</v>
      </c>
      <c r="AC90" s="462" t="s">
        <v>1562</v>
      </c>
      <c r="AD90" s="464">
        <v>3.7927900000000001</v>
      </c>
      <c r="AE90" s="465">
        <v>0.15556</v>
      </c>
      <c r="AF90" s="86">
        <f>IF(verze!$E$1="CZK",AD90,IF(verze!$E$1="SK",AE90,""))</f>
        <v>0.15556</v>
      </c>
    </row>
    <row r="91" spans="1:32" ht="15">
      <c r="A91" s="130"/>
      <c r="B91" s="298">
        <v>9255020</v>
      </c>
      <c r="C91" s="216" t="s">
        <v>646</v>
      </c>
      <c r="D91" s="217">
        <v>20</v>
      </c>
      <c r="E91" s="391"/>
      <c r="F91" s="262"/>
      <c r="G91" s="272">
        <f t="shared" si="5"/>
        <v>11.052530000000001</v>
      </c>
      <c r="H91" s="141" t="str">
        <f t="shared" si="7"/>
        <v>EUR</v>
      </c>
      <c r="I91" s="409" t="s">
        <v>47</v>
      </c>
      <c r="J91" s="467" t="s">
        <v>14712</v>
      </c>
      <c r="L91" s="86" t="e">
        <f>VLOOKUP(B91,$B$11:B90,1,FALSE)</f>
        <v>#N/A</v>
      </c>
      <c r="M91" s="256">
        <f>G91*(1-FORM!$AE$28/100)</f>
        <v>11.052530000000001</v>
      </c>
      <c r="AA91" s="463" t="s">
        <v>1563</v>
      </c>
      <c r="AB91" s="462" t="s">
        <v>1564</v>
      </c>
      <c r="AC91" s="462" t="s">
        <v>1565</v>
      </c>
      <c r="AD91" s="464">
        <v>1639.3617400000001</v>
      </c>
      <c r="AE91" s="465">
        <v>60.85998</v>
      </c>
      <c r="AF91" s="86">
        <f>IF(verze!$E$1="CZK",AD91,IF(verze!$E$1="SK",AE91,""))</f>
        <v>60.85998</v>
      </c>
    </row>
    <row r="92" spans="1:32" ht="15">
      <c r="A92" s="130"/>
      <c r="B92" s="298">
        <v>9255021</v>
      </c>
      <c r="C92" s="216" t="s">
        <v>647</v>
      </c>
      <c r="D92" s="217">
        <v>20</v>
      </c>
      <c r="E92" s="391"/>
      <c r="F92" s="262"/>
      <c r="G92" s="272">
        <f t="shared" si="5"/>
        <v>11.052530000000001</v>
      </c>
      <c r="H92" s="141" t="str">
        <f t="shared" si="7"/>
        <v>EUR</v>
      </c>
      <c r="I92" s="409" t="s">
        <v>47</v>
      </c>
      <c r="J92" s="467" t="s">
        <v>14715</v>
      </c>
      <c r="L92" s="86" t="e">
        <f>VLOOKUP(B92,$B$11:B91,1,FALSE)</f>
        <v>#N/A</v>
      </c>
      <c r="M92" s="256">
        <f>G92*(1-FORM!$AE$28/100)</f>
        <v>11.052530000000001</v>
      </c>
      <c r="AA92" s="463" t="s">
        <v>1320</v>
      </c>
      <c r="AB92" s="462" t="s">
        <v>1566</v>
      </c>
      <c r="AC92" s="462" t="s">
        <v>1567</v>
      </c>
      <c r="AD92" s="464">
        <v>1684.1530499999999</v>
      </c>
      <c r="AE92" s="465">
        <v>72.617980000000003</v>
      </c>
      <c r="AF92" s="86">
        <f>IF(verze!$E$1="CZK",AD92,IF(verze!$E$1="SK",AE92,""))</f>
        <v>72.617980000000003</v>
      </c>
    </row>
    <row r="93" spans="1:32" ht="15">
      <c r="A93" s="130"/>
      <c r="B93" s="298">
        <v>9255022</v>
      </c>
      <c r="C93" s="216" t="s">
        <v>648</v>
      </c>
      <c r="D93" s="217">
        <v>20</v>
      </c>
      <c r="E93" s="391"/>
      <c r="F93" s="262"/>
      <c r="G93" s="272">
        <f t="shared" si="5"/>
        <v>11.33343</v>
      </c>
      <c r="H93" s="141" t="str">
        <f t="shared" si="7"/>
        <v>EUR</v>
      </c>
      <c r="I93" s="409" t="s">
        <v>47</v>
      </c>
      <c r="J93" s="467" t="s">
        <v>14718</v>
      </c>
      <c r="L93" s="86" t="e">
        <f>VLOOKUP(B93,$B$11:B92,1,FALSE)</f>
        <v>#N/A</v>
      </c>
      <c r="M93" s="256">
        <f>G93*(1-FORM!$AE$28/100)</f>
        <v>11.33343</v>
      </c>
      <c r="AA93" s="463" t="s">
        <v>1568</v>
      </c>
      <c r="AB93" s="462" t="s">
        <v>1569</v>
      </c>
      <c r="AC93" s="462" t="s">
        <v>1570</v>
      </c>
      <c r="AD93" s="464">
        <v>2980.6577000000002</v>
      </c>
      <c r="AE93" s="465">
        <v>118.5051</v>
      </c>
      <c r="AF93" s="86">
        <f>IF(verze!$E$1="CZK",AD93,IF(verze!$E$1="SK",AE93,""))</f>
        <v>118.5051</v>
      </c>
    </row>
    <row r="94" spans="1:32" ht="15">
      <c r="A94" s="130"/>
      <c r="B94" s="298">
        <v>9255023</v>
      </c>
      <c r="C94" s="216" t="s">
        <v>649</v>
      </c>
      <c r="D94" s="217">
        <v>20</v>
      </c>
      <c r="E94" s="391"/>
      <c r="F94" s="262"/>
      <c r="G94" s="272">
        <f t="shared" si="5"/>
        <v>11.33343</v>
      </c>
      <c r="H94" s="141" t="str">
        <f t="shared" si="7"/>
        <v>EUR</v>
      </c>
      <c r="I94" s="409" t="s">
        <v>47</v>
      </c>
      <c r="J94" s="467" t="s">
        <v>14721</v>
      </c>
      <c r="L94" s="86" t="e">
        <f>VLOOKUP(B94,$B$11:B93,1,FALSE)</f>
        <v>#N/A</v>
      </c>
      <c r="M94" s="256">
        <f>G94*(1-FORM!$AE$28/100)</f>
        <v>11.33343</v>
      </c>
      <c r="AA94" s="463" t="s">
        <v>1571</v>
      </c>
      <c r="AB94" s="462" t="s">
        <v>1572</v>
      </c>
      <c r="AC94" s="462" t="s">
        <v>1573</v>
      </c>
      <c r="AD94" s="464">
        <v>1032.4890399999999</v>
      </c>
      <c r="AE94" s="465">
        <v>41.30471</v>
      </c>
      <c r="AF94" s="86">
        <f>IF(verze!$E$1="CZK",AD94,IF(verze!$E$1="SK",AE94,""))</f>
        <v>41.30471</v>
      </c>
    </row>
    <row r="95" spans="1:32" ht="15">
      <c r="A95" s="130"/>
      <c r="B95" s="298">
        <v>9255024</v>
      </c>
      <c r="C95" s="216" t="s">
        <v>650</v>
      </c>
      <c r="D95" s="217">
        <v>20</v>
      </c>
      <c r="E95" s="391"/>
      <c r="F95" s="262"/>
      <c r="G95" s="272">
        <f t="shared" si="5"/>
        <v>11.715400000000001</v>
      </c>
      <c r="H95" s="141" t="str">
        <f t="shared" si="7"/>
        <v>EUR</v>
      </c>
      <c r="I95" s="409" t="s">
        <v>47</v>
      </c>
      <c r="J95" s="467" t="s">
        <v>14724</v>
      </c>
      <c r="L95" s="86" t="e">
        <f>VLOOKUP(B95,$B$11:B94,1,FALSE)</f>
        <v>#N/A</v>
      </c>
      <c r="M95" s="256">
        <f>G95*(1-FORM!$AE$28/100)</f>
        <v>11.715400000000001</v>
      </c>
      <c r="AA95" s="463" t="s">
        <v>1574</v>
      </c>
      <c r="AB95" s="462" t="s">
        <v>1575</v>
      </c>
      <c r="AC95" s="462" t="s">
        <v>1576</v>
      </c>
      <c r="AD95" s="464">
        <v>251.37698</v>
      </c>
      <c r="AE95" s="465">
        <v>12.092140000000001</v>
      </c>
      <c r="AF95" s="86">
        <f>IF(verze!$E$1="CZK",AD95,IF(verze!$E$1="SK",AE95,""))</f>
        <v>12.092140000000001</v>
      </c>
    </row>
    <row r="96" spans="1:32" ht="15">
      <c r="A96" s="130"/>
      <c r="B96" s="303">
        <v>9255025</v>
      </c>
      <c r="C96" s="304" t="s">
        <v>651</v>
      </c>
      <c r="D96" s="226">
        <v>20</v>
      </c>
      <c r="E96" s="396"/>
      <c r="F96" s="268"/>
      <c r="G96" s="272">
        <f t="shared" si="5"/>
        <v>11.715400000000001</v>
      </c>
      <c r="H96" s="142" t="str">
        <f t="shared" si="7"/>
        <v>EUR</v>
      </c>
      <c r="I96" s="417" t="s">
        <v>47</v>
      </c>
      <c r="J96" s="468" t="s">
        <v>14727</v>
      </c>
      <c r="L96" s="86" t="e">
        <f>VLOOKUP(B96,$B$11:B95,1,FALSE)</f>
        <v>#N/A</v>
      </c>
      <c r="M96" s="256">
        <f>G96*(1-FORM!$AE$28/100)</f>
        <v>11.715400000000001</v>
      </c>
      <c r="AA96" s="463" t="s">
        <v>1577</v>
      </c>
      <c r="AB96" s="462" t="s">
        <v>1578</v>
      </c>
      <c r="AC96" s="462" t="s">
        <v>1579</v>
      </c>
      <c r="AD96" s="464">
        <v>257.65967999999998</v>
      </c>
      <c r="AE96" s="465">
        <v>12.394349999999999</v>
      </c>
      <c r="AF96" s="86">
        <f>IF(verze!$E$1="CZK",AD96,IF(verze!$E$1="SK",AE96,""))</f>
        <v>12.394349999999999</v>
      </c>
    </row>
    <row r="97" spans="1:32" ht="15">
      <c r="A97" s="137"/>
      <c r="B97" s="301">
        <v>9255088</v>
      </c>
      <c r="C97" s="222" t="s">
        <v>652</v>
      </c>
      <c r="D97" s="223">
        <v>20</v>
      </c>
      <c r="E97" s="395"/>
      <c r="F97" s="266"/>
      <c r="G97" s="272">
        <f t="shared" si="5"/>
        <v>10.00929</v>
      </c>
      <c r="H97" s="211" t="str">
        <f t="shared" si="7"/>
        <v>EUR</v>
      </c>
      <c r="I97" s="416" t="s">
        <v>47</v>
      </c>
      <c r="J97" s="469" t="s">
        <v>14906</v>
      </c>
      <c r="L97" s="86" t="e">
        <f>VLOOKUP(B97,$B$11:B96,1,FALSE)</f>
        <v>#N/A</v>
      </c>
      <c r="M97" s="256">
        <f>G97*(1-FORM!$AE$28/100)</f>
        <v>10.00929</v>
      </c>
      <c r="AA97" s="463" t="s">
        <v>1580</v>
      </c>
      <c r="AB97" s="462" t="s">
        <v>1581</v>
      </c>
      <c r="AC97" s="462" t="s">
        <v>1582</v>
      </c>
      <c r="AD97" s="464">
        <v>281.16395</v>
      </c>
      <c r="AE97" s="465">
        <v>13.52501</v>
      </c>
      <c r="AF97" s="86">
        <f>IF(verze!$E$1="CZK",AD97,IF(verze!$E$1="SK",AE97,""))</f>
        <v>13.52501</v>
      </c>
    </row>
    <row r="98" spans="1:32" ht="15">
      <c r="A98" s="137"/>
      <c r="B98" s="298">
        <v>9255089</v>
      </c>
      <c r="C98" s="216" t="s">
        <v>653</v>
      </c>
      <c r="D98" s="217">
        <v>20</v>
      </c>
      <c r="E98" s="391"/>
      <c r="F98" s="262"/>
      <c r="G98" s="272">
        <f t="shared" si="5"/>
        <v>10.00929</v>
      </c>
      <c r="H98" s="141" t="str">
        <f t="shared" si="7"/>
        <v>EUR</v>
      </c>
      <c r="I98" s="409" t="s">
        <v>47</v>
      </c>
      <c r="J98" s="467" t="s">
        <v>14909</v>
      </c>
      <c r="L98" s="86" t="e">
        <f>VLOOKUP(B98,$B$11:B97,1,FALSE)</f>
        <v>#N/A</v>
      </c>
      <c r="M98" s="256">
        <f>G98*(1-FORM!$AE$28/100)</f>
        <v>10.00929</v>
      </c>
      <c r="AA98" s="463" t="s">
        <v>1583</v>
      </c>
      <c r="AB98" s="462" t="s">
        <v>1584</v>
      </c>
      <c r="AC98" s="462" t="s">
        <v>1585</v>
      </c>
      <c r="AD98" s="464">
        <v>201.07051000000001</v>
      </c>
      <c r="AE98" s="465">
        <v>0</v>
      </c>
      <c r="AF98" s="86">
        <f>IF(verze!$E$1="CZK",AD98,IF(verze!$E$1="SK",AE98,""))</f>
        <v>0</v>
      </c>
    </row>
    <row r="99" spans="1:32" ht="15">
      <c r="A99" s="137"/>
      <c r="B99" s="298">
        <v>9255090</v>
      </c>
      <c r="C99" s="216" t="s">
        <v>654</v>
      </c>
      <c r="D99" s="217">
        <v>20</v>
      </c>
      <c r="E99" s="391"/>
      <c r="F99" s="262"/>
      <c r="G99" s="272">
        <f t="shared" si="5"/>
        <v>10.12106</v>
      </c>
      <c r="H99" s="141" t="str">
        <f>IF(G99="","",$H$10)</f>
        <v>EUR</v>
      </c>
      <c r="I99" s="409" t="s">
        <v>47</v>
      </c>
      <c r="J99" s="467" t="s">
        <v>14912</v>
      </c>
      <c r="L99" s="86" t="e">
        <f>VLOOKUP(B99,$B$11:B98,1,FALSE)</f>
        <v>#N/A</v>
      </c>
      <c r="M99" s="256">
        <f>G99*(1-FORM!$AE$28/100)</f>
        <v>10.12106</v>
      </c>
      <c r="AA99" s="463" t="s">
        <v>1586</v>
      </c>
      <c r="AB99" s="462" t="s">
        <v>1587</v>
      </c>
      <c r="AC99" s="462" t="s">
        <v>1588</v>
      </c>
      <c r="AD99" s="464">
        <v>184.34618</v>
      </c>
      <c r="AE99" s="465">
        <v>8.8677100000000006</v>
      </c>
      <c r="AF99" s="86">
        <f>IF(verze!$E$1="CZK",AD99,IF(verze!$E$1="SK",AE99,""))</f>
        <v>8.8677100000000006</v>
      </c>
    </row>
    <row r="100" spans="1:32" ht="15">
      <c r="A100" s="137"/>
      <c r="B100" s="298">
        <v>9255091</v>
      </c>
      <c r="C100" s="216" t="s">
        <v>655</v>
      </c>
      <c r="D100" s="217">
        <v>20</v>
      </c>
      <c r="E100" s="391"/>
      <c r="F100" s="262"/>
      <c r="G100" s="272">
        <f t="shared" si="5"/>
        <v>10.12106</v>
      </c>
      <c r="H100" s="141" t="str">
        <f>IF(G100="","",$H$10)</f>
        <v>EUR</v>
      </c>
      <c r="I100" s="409" t="s">
        <v>47</v>
      </c>
      <c r="J100" s="467" t="s">
        <v>14915</v>
      </c>
      <c r="L100" s="86" t="e">
        <f>VLOOKUP(B100,$B$11:B99,1,FALSE)</f>
        <v>#N/A</v>
      </c>
      <c r="M100" s="256">
        <f>G100*(1-FORM!$AE$28/100)</f>
        <v>10.12106</v>
      </c>
      <c r="AA100" s="463" t="s">
        <v>1589</v>
      </c>
      <c r="AB100" s="462" t="s">
        <v>1590</v>
      </c>
      <c r="AC100" s="462" t="s">
        <v>1591</v>
      </c>
      <c r="AD100" s="464">
        <v>188.95141000000001</v>
      </c>
      <c r="AE100" s="465">
        <v>9.0892400000000002</v>
      </c>
      <c r="AF100" s="86">
        <f>IF(verze!$E$1="CZK",AD100,IF(verze!$E$1="SK",AE100,""))</f>
        <v>9.0892400000000002</v>
      </c>
    </row>
    <row r="101" spans="1:32" ht="15">
      <c r="A101" s="137"/>
      <c r="B101" s="298">
        <v>9255092</v>
      </c>
      <c r="C101" s="216" t="s">
        <v>656</v>
      </c>
      <c r="D101" s="217">
        <v>20</v>
      </c>
      <c r="E101" s="391"/>
      <c r="F101" s="262"/>
      <c r="G101" s="272">
        <f t="shared" si="5"/>
        <v>10.307510000000001</v>
      </c>
      <c r="H101" s="141" t="str">
        <f>IF(G101="","",$H$10)</f>
        <v>EUR</v>
      </c>
      <c r="I101" s="409" t="s">
        <v>47</v>
      </c>
      <c r="J101" s="467" t="s">
        <v>14918</v>
      </c>
      <c r="L101" s="86" t="e">
        <f>VLOOKUP(B101,$B$11:B100,1,FALSE)</f>
        <v>#N/A</v>
      </c>
      <c r="M101" s="256">
        <f>G101*(1-FORM!$AE$28/100)</f>
        <v>10.307510000000001</v>
      </c>
      <c r="AA101" s="463" t="s">
        <v>1592</v>
      </c>
      <c r="AB101" s="462" t="s">
        <v>1593</v>
      </c>
      <c r="AC101" s="462" t="s">
        <v>1594</v>
      </c>
      <c r="AD101" s="464">
        <v>211.34753000000001</v>
      </c>
      <c r="AE101" s="465">
        <v>10.16658</v>
      </c>
      <c r="AF101" s="86">
        <f>IF(verze!$E$1="CZK",AD101,IF(verze!$E$1="SK",AE101,""))</f>
        <v>10.16658</v>
      </c>
    </row>
    <row r="102" spans="1:32" ht="15">
      <c r="A102" s="137"/>
      <c r="B102" s="298">
        <v>9255093</v>
      </c>
      <c r="C102" s="216" t="s">
        <v>657</v>
      </c>
      <c r="D102" s="217">
        <v>20</v>
      </c>
      <c r="E102" s="391"/>
      <c r="F102" s="262"/>
      <c r="G102" s="272">
        <f t="shared" si="5"/>
        <v>10.307510000000001</v>
      </c>
      <c r="H102" s="141" t="str">
        <f>IF(G102="","",$H$10)</f>
        <v>EUR</v>
      </c>
      <c r="I102" s="409" t="s">
        <v>47</v>
      </c>
      <c r="J102" s="467" t="s">
        <v>14921</v>
      </c>
      <c r="L102" s="86" t="e">
        <f>VLOOKUP(B102,$B$11:B101,1,FALSE)</f>
        <v>#N/A</v>
      </c>
      <c r="M102" s="256">
        <f>G102*(1-FORM!$AE$28/100)</f>
        <v>10.307510000000001</v>
      </c>
      <c r="AA102" s="463" t="s">
        <v>1595</v>
      </c>
      <c r="AB102" s="462" t="s">
        <v>1596</v>
      </c>
      <c r="AC102" s="462" t="s">
        <v>1597</v>
      </c>
      <c r="AD102" s="464">
        <v>235.22291000000001</v>
      </c>
      <c r="AE102" s="465">
        <v>11.31507</v>
      </c>
      <c r="AF102" s="86">
        <f>IF(verze!$E$1="CZK",AD102,IF(verze!$E$1="SK",AE102,""))</f>
        <v>11.31507</v>
      </c>
    </row>
    <row r="103" spans="1:32" ht="15">
      <c r="A103" s="137"/>
      <c r="B103" s="298">
        <v>9255094</v>
      </c>
      <c r="C103" s="216" t="s">
        <v>658</v>
      </c>
      <c r="D103" s="217">
        <v>20</v>
      </c>
      <c r="E103" s="391"/>
      <c r="F103" s="262"/>
      <c r="G103" s="272">
        <f t="shared" si="5"/>
        <v>10.49362</v>
      </c>
      <c r="H103" s="141" t="str">
        <f t="shared" ref="H103:H111" si="8">IF(G103="","",$H$10)</f>
        <v>EUR</v>
      </c>
      <c r="I103" s="409" t="s">
        <v>47</v>
      </c>
      <c r="J103" s="467" t="s">
        <v>14924</v>
      </c>
      <c r="L103" s="86" t="e">
        <f>VLOOKUP(B103,$B$11:B102,1,FALSE)</f>
        <v>#N/A</v>
      </c>
      <c r="M103" s="256">
        <f>G103*(1-FORM!$AE$28/100)</f>
        <v>10.49362</v>
      </c>
      <c r="AA103" s="463" t="s">
        <v>1598</v>
      </c>
      <c r="AB103" s="462" t="s">
        <v>1599</v>
      </c>
      <c r="AC103" s="462" t="s">
        <v>1600</v>
      </c>
      <c r="AD103" s="464">
        <v>330.35815000000002</v>
      </c>
      <c r="AE103" s="465">
        <v>15.89141</v>
      </c>
      <c r="AF103" s="86">
        <f>IF(verze!$E$1="CZK",AD103,IF(verze!$E$1="SK",AE103,""))</f>
        <v>15.89141</v>
      </c>
    </row>
    <row r="104" spans="1:32" ht="15">
      <c r="A104" s="137"/>
      <c r="B104" s="298">
        <v>9255095</v>
      </c>
      <c r="C104" s="216" t="s">
        <v>659</v>
      </c>
      <c r="D104" s="217">
        <v>20</v>
      </c>
      <c r="E104" s="391"/>
      <c r="F104" s="262"/>
      <c r="G104" s="272">
        <f t="shared" si="5"/>
        <v>10.49362</v>
      </c>
      <c r="H104" s="141" t="str">
        <f t="shared" si="8"/>
        <v>EUR</v>
      </c>
      <c r="I104" s="409" t="s">
        <v>47</v>
      </c>
      <c r="J104" s="467" t="s">
        <v>14927</v>
      </c>
      <c r="L104" s="86" t="e">
        <f>VLOOKUP(B104,$B$11:B103,1,FALSE)</f>
        <v>#N/A</v>
      </c>
      <c r="M104" s="256">
        <f>G104*(1-FORM!$AE$28/100)</f>
        <v>10.49362</v>
      </c>
      <c r="AA104" s="463" t="s">
        <v>1601</v>
      </c>
      <c r="AB104" s="462" t="s">
        <v>1602</v>
      </c>
      <c r="AC104" s="462" t="s">
        <v>1603</v>
      </c>
      <c r="AD104" s="464">
        <v>10.356540000000001</v>
      </c>
      <c r="AE104" s="465">
        <v>0.43368000000000001</v>
      </c>
      <c r="AF104" s="86">
        <f>IF(verze!$E$1="CZK",AD104,IF(verze!$E$1="SK",AE104,""))</f>
        <v>0.43368000000000001</v>
      </c>
    </row>
    <row r="105" spans="1:32" ht="15">
      <c r="A105" s="137"/>
      <c r="B105" s="298">
        <v>9255096</v>
      </c>
      <c r="C105" s="216" t="s">
        <v>660</v>
      </c>
      <c r="D105" s="217">
        <v>20</v>
      </c>
      <c r="E105" s="391"/>
      <c r="F105" s="262"/>
      <c r="G105" s="272">
        <f t="shared" si="5"/>
        <v>10.680099999999999</v>
      </c>
      <c r="H105" s="141" t="str">
        <f t="shared" si="8"/>
        <v>EUR</v>
      </c>
      <c r="I105" s="409" t="s">
        <v>47</v>
      </c>
      <c r="J105" s="467" t="s">
        <v>14930</v>
      </c>
      <c r="L105" s="86" t="e">
        <f>VLOOKUP(B105,$B$11:B104,1,FALSE)</f>
        <v>#N/A</v>
      </c>
      <c r="M105" s="256">
        <f>G105*(1-FORM!$AE$28/100)</f>
        <v>10.680099999999999</v>
      </c>
      <c r="AA105" s="463" t="s">
        <v>1604</v>
      </c>
      <c r="AB105" s="462" t="s">
        <v>1605</v>
      </c>
      <c r="AC105" s="462" t="s">
        <v>1606</v>
      </c>
      <c r="AD105" s="464">
        <v>1310.00173</v>
      </c>
      <c r="AE105" s="465">
        <v>52.406599999999997</v>
      </c>
      <c r="AF105" s="86">
        <f>IF(verze!$E$1="CZK",AD105,IF(verze!$E$1="SK",AE105,""))</f>
        <v>52.406599999999997</v>
      </c>
    </row>
    <row r="106" spans="1:32" ht="15">
      <c r="A106" s="137"/>
      <c r="B106" s="298">
        <v>9255097</v>
      </c>
      <c r="C106" s="216" t="s">
        <v>661</v>
      </c>
      <c r="D106" s="217">
        <v>20</v>
      </c>
      <c r="E106" s="391"/>
      <c r="F106" s="262"/>
      <c r="G106" s="272">
        <f t="shared" si="5"/>
        <v>10.680099999999999</v>
      </c>
      <c r="H106" s="141" t="str">
        <f t="shared" si="8"/>
        <v>EUR</v>
      </c>
      <c r="I106" s="409" t="s">
        <v>47</v>
      </c>
      <c r="J106" s="467" t="s">
        <v>14935</v>
      </c>
      <c r="L106" s="86" t="e">
        <f>VLOOKUP(B106,$B$11:B105,1,FALSE)</f>
        <v>#N/A</v>
      </c>
      <c r="M106" s="256">
        <f>G106*(1-FORM!$AE$28/100)</f>
        <v>10.680099999999999</v>
      </c>
      <c r="AA106" s="463" t="s">
        <v>1607</v>
      </c>
      <c r="AB106" s="462" t="s">
        <v>1608</v>
      </c>
      <c r="AC106" s="462" t="s">
        <v>1609</v>
      </c>
      <c r="AD106" s="464">
        <v>17.0335</v>
      </c>
      <c r="AE106" s="465">
        <v>0.81938</v>
      </c>
      <c r="AF106" s="86">
        <f>IF(verze!$E$1="CZK",AD106,IF(verze!$E$1="SK",AE106,""))</f>
        <v>0.81938</v>
      </c>
    </row>
    <row r="107" spans="1:32" ht="15">
      <c r="A107" s="137"/>
      <c r="B107" s="298">
        <v>9255098</v>
      </c>
      <c r="C107" s="216" t="s">
        <v>662</v>
      </c>
      <c r="D107" s="217">
        <v>20</v>
      </c>
      <c r="E107" s="391"/>
      <c r="F107" s="262"/>
      <c r="G107" s="272">
        <f t="shared" si="5"/>
        <v>10.348739999999999</v>
      </c>
      <c r="H107" s="141" t="str">
        <f t="shared" si="8"/>
        <v>EUR</v>
      </c>
      <c r="I107" s="409" t="s">
        <v>47</v>
      </c>
      <c r="J107" s="467" t="s">
        <v>14940</v>
      </c>
      <c r="L107" s="86" t="e">
        <f>VLOOKUP(B107,$B$11:B106,1,FALSE)</f>
        <v>#N/A</v>
      </c>
      <c r="M107" s="256">
        <f>G107*(1-FORM!$AE$28/100)</f>
        <v>10.348739999999999</v>
      </c>
      <c r="AA107" s="463" t="s">
        <v>1610</v>
      </c>
      <c r="AB107" s="462" t="s">
        <v>1611</v>
      </c>
      <c r="AC107" s="462" t="s">
        <v>1612</v>
      </c>
      <c r="AD107" s="464">
        <v>19.24699</v>
      </c>
      <c r="AE107" s="465">
        <v>0.92584999999999995</v>
      </c>
      <c r="AF107" s="86">
        <f>IF(verze!$E$1="CZK",AD107,IF(verze!$E$1="SK",AE107,""))</f>
        <v>0.92584999999999995</v>
      </c>
    </row>
    <row r="108" spans="1:32" ht="15">
      <c r="A108" s="137"/>
      <c r="B108" s="298">
        <v>9255099</v>
      </c>
      <c r="C108" s="216" t="s">
        <v>663</v>
      </c>
      <c r="D108" s="217">
        <v>20</v>
      </c>
      <c r="E108" s="391"/>
      <c r="F108" s="262"/>
      <c r="G108" s="272">
        <f t="shared" si="5"/>
        <v>10.348739999999999</v>
      </c>
      <c r="H108" s="141" t="str">
        <f t="shared" si="8"/>
        <v>EUR</v>
      </c>
      <c r="I108" s="409" t="s">
        <v>47</v>
      </c>
      <c r="J108" s="467" t="s">
        <v>14945</v>
      </c>
      <c r="L108" s="86" t="e">
        <f>VLOOKUP(B108,$B$11:B107,1,FALSE)</f>
        <v>#N/A</v>
      </c>
      <c r="M108" s="256">
        <f>G108*(1-FORM!$AE$28/100)</f>
        <v>10.348739999999999</v>
      </c>
      <c r="AA108" s="463" t="s">
        <v>1613</v>
      </c>
      <c r="AB108" s="462" t="s">
        <v>1614</v>
      </c>
      <c r="AC108" s="462" t="s">
        <v>1615</v>
      </c>
      <c r="AD108" s="464">
        <v>19.759029999999999</v>
      </c>
      <c r="AE108" s="465">
        <v>0.95047999999999999</v>
      </c>
      <c r="AF108" s="86">
        <f>IF(verze!$E$1="CZK",AD108,IF(verze!$E$1="SK",AE108,""))</f>
        <v>0.95047999999999999</v>
      </c>
    </row>
    <row r="109" spans="1:32" ht="15">
      <c r="A109" s="137"/>
      <c r="B109" s="298">
        <v>9255100</v>
      </c>
      <c r="C109" s="216" t="s">
        <v>664</v>
      </c>
      <c r="D109" s="217">
        <v>20</v>
      </c>
      <c r="E109" s="391"/>
      <c r="F109" s="262"/>
      <c r="G109" s="272">
        <f t="shared" si="5"/>
        <v>11.052530000000001</v>
      </c>
      <c r="H109" s="141" t="str">
        <f t="shared" si="8"/>
        <v>EUR</v>
      </c>
      <c r="I109" s="409" t="s">
        <v>47</v>
      </c>
      <c r="J109" s="467" t="s">
        <v>14950</v>
      </c>
      <c r="L109" s="86" t="e">
        <f>VLOOKUP(B109,$B$11:B108,1,FALSE)</f>
        <v>#N/A</v>
      </c>
      <c r="M109" s="256">
        <f>G109*(1-FORM!$AE$28/100)</f>
        <v>11.052530000000001</v>
      </c>
      <c r="AA109" s="463" t="s">
        <v>1616</v>
      </c>
      <c r="AB109" s="462" t="s">
        <v>1617</v>
      </c>
      <c r="AC109" s="462" t="s">
        <v>1618</v>
      </c>
      <c r="AD109" s="464">
        <v>20.332370000000001</v>
      </c>
      <c r="AE109" s="465">
        <v>0.97804999999999997</v>
      </c>
      <c r="AF109" s="86">
        <f>IF(verze!$E$1="CZK",AD109,IF(verze!$E$1="SK",AE109,""))</f>
        <v>0.97804999999999997</v>
      </c>
    </row>
    <row r="110" spans="1:32" ht="15">
      <c r="A110" s="137"/>
      <c r="B110" s="298">
        <v>9255101</v>
      </c>
      <c r="C110" s="216" t="s">
        <v>665</v>
      </c>
      <c r="D110" s="217">
        <v>20</v>
      </c>
      <c r="E110" s="391"/>
      <c r="F110" s="262"/>
      <c r="G110" s="272">
        <f t="shared" si="5"/>
        <v>11.052530000000001</v>
      </c>
      <c r="H110" s="141" t="str">
        <f t="shared" si="8"/>
        <v>EUR</v>
      </c>
      <c r="I110" s="409" t="s">
        <v>47</v>
      </c>
      <c r="J110" s="467" t="s">
        <v>14953</v>
      </c>
      <c r="L110" s="86" t="e">
        <f>VLOOKUP(B110,$B$11:B109,1,FALSE)</f>
        <v>#N/A</v>
      </c>
      <c r="M110" s="256">
        <f>G110*(1-FORM!$AE$28/100)</f>
        <v>11.052530000000001</v>
      </c>
      <c r="AA110" s="463" t="s">
        <v>1619</v>
      </c>
      <c r="AB110" s="462" t="s">
        <v>1620</v>
      </c>
      <c r="AC110" s="462" t="s">
        <v>1621</v>
      </c>
      <c r="AD110" s="464">
        <v>22.548549999999999</v>
      </c>
      <c r="AE110" s="465">
        <v>1.08467</v>
      </c>
      <c r="AF110" s="86">
        <f>IF(verze!$E$1="CZK",AD110,IF(verze!$E$1="SK",AE110,""))</f>
        <v>1.08467</v>
      </c>
    </row>
    <row r="111" spans="1:32" ht="15">
      <c r="A111" s="137"/>
      <c r="B111" s="298">
        <v>9255102</v>
      </c>
      <c r="C111" s="216" t="s">
        <v>666</v>
      </c>
      <c r="D111" s="217">
        <v>20</v>
      </c>
      <c r="E111" s="391"/>
      <c r="F111" s="262"/>
      <c r="G111" s="272">
        <f t="shared" si="5"/>
        <v>11.33343</v>
      </c>
      <c r="H111" s="141" t="str">
        <f t="shared" si="8"/>
        <v>EUR</v>
      </c>
      <c r="I111" s="409" t="s">
        <v>47</v>
      </c>
      <c r="J111" s="467" t="s">
        <v>14956</v>
      </c>
      <c r="L111" s="86" t="e">
        <f>VLOOKUP(B111,$B$11:B110,1,FALSE)</f>
        <v>#N/A</v>
      </c>
      <c r="M111" s="256">
        <f>G111*(1-FORM!$AE$28/100)</f>
        <v>11.33343</v>
      </c>
      <c r="AA111" s="463" t="s">
        <v>1622</v>
      </c>
      <c r="AB111" s="462" t="s">
        <v>1623</v>
      </c>
      <c r="AC111" s="462" t="s">
        <v>1624</v>
      </c>
      <c r="AD111" s="464">
        <v>23.05799</v>
      </c>
      <c r="AE111" s="465">
        <v>1.1091599999999999</v>
      </c>
      <c r="AF111" s="86">
        <f>IF(verze!$E$1="CZK",AD111,IF(verze!$E$1="SK",AE111,""))</f>
        <v>1.1091599999999999</v>
      </c>
    </row>
    <row r="112" spans="1:32" ht="15">
      <c r="A112" s="137"/>
      <c r="B112" s="298">
        <v>9255103</v>
      </c>
      <c r="C112" s="216" t="s">
        <v>667</v>
      </c>
      <c r="D112" s="217">
        <v>20</v>
      </c>
      <c r="E112" s="391"/>
      <c r="F112" s="262"/>
      <c r="G112" s="272">
        <f t="shared" si="5"/>
        <v>11.33343</v>
      </c>
      <c r="H112" s="141" t="str">
        <f>IF(G112="","",$H$10)</f>
        <v>EUR</v>
      </c>
      <c r="I112" s="409" t="s">
        <v>47</v>
      </c>
      <c r="J112" s="467" t="s">
        <v>14959</v>
      </c>
      <c r="L112" s="86" t="e">
        <f>VLOOKUP(B112,$B$11:B111,1,FALSE)</f>
        <v>#N/A</v>
      </c>
      <c r="M112" s="256">
        <f>G112*(1-FORM!$AE$28/100)</f>
        <v>11.33343</v>
      </c>
      <c r="AA112" s="463" t="s">
        <v>1625</v>
      </c>
      <c r="AB112" s="462" t="s">
        <v>1626</v>
      </c>
      <c r="AC112" s="462" t="s">
        <v>1627</v>
      </c>
      <c r="AD112" s="464">
        <v>163.60033000000001</v>
      </c>
      <c r="AE112" s="465">
        <v>6.5448300000000001</v>
      </c>
      <c r="AF112" s="86">
        <f>IF(verze!$E$1="CZK",AD112,IF(verze!$E$1="SK",AE112,""))</f>
        <v>6.5448300000000001</v>
      </c>
    </row>
    <row r="113" spans="1:32" ht="15">
      <c r="A113" s="137"/>
      <c r="B113" s="298">
        <v>9255104</v>
      </c>
      <c r="C113" s="216" t="s">
        <v>668</v>
      </c>
      <c r="D113" s="217">
        <v>20</v>
      </c>
      <c r="E113" s="391"/>
      <c r="F113" s="262"/>
      <c r="G113" s="272">
        <f t="shared" si="5"/>
        <v>11.715400000000001</v>
      </c>
      <c r="H113" s="141" t="str">
        <f>IF(G113="","",$H$10)</f>
        <v>EUR</v>
      </c>
      <c r="I113" s="409" t="s">
        <v>47</v>
      </c>
      <c r="J113" s="467" t="s">
        <v>14962</v>
      </c>
      <c r="L113" s="86" t="e">
        <f>VLOOKUP(B113,$B$11:B112,1,FALSE)</f>
        <v>#N/A</v>
      </c>
      <c r="M113" s="256">
        <f>G113*(1-FORM!$AE$28/100)</f>
        <v>11.715400000000001</v>
      </c>
      <c r="AA113" s="463" t="s">
        <v>1628</v>
      </c>
      <c r="AB113" s="462" t="s">
        <v>1629</v>
      </c>
      <c r="AC113" s="462" t="s">
        <v>1630</v>
      </c>
      <c r="AD113" s="464">
        <v>368.42908999999997</v>
      </c>
      <c r="AE113" s="465">
        <v>14.82682</v>
      </c>
      <c r="AF113" s="86">
        <f>IF(verze!$E$1="CZK",AD113,IF(verze!$E$1="SK",AE113,""))</f>
        <v>14.82682</v>
      </c>
    </row>
    <row r="114" spans="1:32" ht="15">
      <c r="A114" s="137"/>
      <c r="B114" s="303">
        <v>9255105</v>
      </c>
      <c r="C114" s="304" t="s">
        <v>669</v>
      </c>
      <c r="D114" s="226">
        <v>20</v>
      </c>
      <c r="E114" s="396"/>
      <c r="F114" s="268"/>
      <c r="G114" s="272">
        <f t="shared" si="5"/>
        <v>11.715400000000001</v>
      </c>
      <c r="H114" s="142" t="str">
        <f>IF(G114="","",$H$10)</f>
        <v>EUR</v>
      </c>
      <c r="I114" s="417" t="s">
        <v>47</v>
      </c>
      <c r="J114" s="468" t="s">
        <v>14965</v>
      </c>
      <c r="L114" s="86" t="e">
        <f>VLOOKUP(B114,$B$11:B113,1,FALSE)</f>
        <v>#N/A</v>
      </c>
      <c r="M114" s="256">
        <f>G114*(1-FORM!$AE$28/100)</f>
        <v>11.715400000000001</v>
      </c>
      <c r="AA114" s="463" t="s">
        <v>1631</v>
      </c>
      <c r="AB114" s="462" t="s">
        <v>1632</v>
      </c>
      <c r="AC114" s="462" t="s">
        <v>1633</v>
      </c>
      <c r="AD114" s="464">
        <v>6.00589</v>
      </c>
      <c r="AE114" s="465">
        <v>0.28889999999999999</v>
      </c>
      <c r="AF114" s="86">
        <f>IF(verze!$E$1="CZK",AD114,IF(verze!$E$1="SK",AE114,""))</f>
        <v>0.28889999999999999</v>
      </c>
    </row>
    <row r="115" spans="1:32" ht="15">
      <c r="A115" s="139"/>
      <c r="B115" s="301">
        <v>9255168</v>
      </c>
      <c r="C115" s="222" t="s">
        <v>670</v>
      </c>
      <c r="D115" s="223">
        <v>20</v>
      </c>
      <c r="E115" s="395"/>
      <c r="F115" s="266"/>
      <c r="G115" s="272">
        <f t="shared" si="5"/>
        <v>10.00929</v>
      </c>
      <c r="H115" s="211" t="str">
        <f t="shared" ref="H115:H122" si="9">IF(G115="","",$H$10)</f>
        <v>EUR</v>
      </c>
      <c r="I115" s="416" t="s">
        <v>47</v>
      </c>
      <c r="J115" s="469" t="s">
        <v>15148</v>
      </c>
      <c r="L115" s="86" t="e">
        <f>VLOOKUP(B115,$B$11:B114,1,FALSE)</f>
        <v>#N/A</v>
      </c>
      <c r="M115" s="256">
        <f>G115*(1-FORM!$AE$28/100)</f>
        <v>10.00929</v>
      </c>
      <c r="AA115" s="463" t="s">
        <v>1634</v>
      </c>
      <c r="AB115" s="462" t="s">
        <v>1635</v>
      </c>
      <c r="AC115" s="462" t="s">
        <v>1636</v>
      </c>
      <c r="AD115" s="464">
        <v>6.0645199999999999</v>
      </c>
      <c r="AE115" s="465">
        <v>0.29171000000000002</v>
      </c>
      <c r="AF115" s="86">
        <f>IF(verze!$E$1="CZK",AD115,IF(verze!$E$1="SK",AE115,""))</f>
        <v>0.29171000000000002</v>
      </c>
    </row>
    <row r="116" spans="1:32" ht="15">
      <c r="A116" s="139"/>
      <c r="B116" s="298">
        <v>9255169</v>
      </c>
      <c r="C116" s="216" t="s">
        <v>671</v>
      </c>
      <c r="D116" s="217">
        <v>20</v>
      </c>
      <c r="E116" s="391"/>
      <c r="F116" s="262"/>
      <c r="G116" s="272">
        <f t="shared" si="5"/>
        <v>10.00929</v>
      </c>
      <c r="H116" s="141" t="str">
        <f t="shared" si="9"/>
        <v>EUR</v>
      </c>
      <c r="I116" s="409" t="s">
        <v>47</v>
      </c>
      <c r="J116" s="467" t="s">
        <v>15151</v>
      </c>
      <c r="L116" s="86" t="e">
        <f>VLOOKUP(B116,$B$11:B115,1,FALSE)</f>
        <v>#N/A</v>
      </c>
      <c r="M116" s="256">
        <f>G116*(1-FORM!$AE$28/100)</f>
        <v>10.00929</v>
      </c>
      <c r="AA116" s="463" t="s">
        <v>1637</v>
      </c>
      <c r="AB116" s="462" t="s">
        <v>1638</v>
      </c>
      <c r="AC116" s="462" t="s">
        <v>1639</v>
      </c>
      <c r="AD116" s="464">
        <v>7.8059900000000004</v>
      </c>
      <c r="AE116" s="465">
        <v>0.3755</v>
      </c>
      <c r="AF116" s="86">
        <f>IF(verze!$E$1="CZK",AD116,IF(verze!$E$1="SK",AE116,""))</f>
        <v>0.3755</v>
      </c>
    </row>
    <row r="117" spans="1:32" ht="15">
      <c r="A117" s="139"/>
      <c r="B117" s="298">
        <v>9255170</v>
      </c>
      <c r="C117" s="216" t="s">
        <v>672</v>
      </c>
      <c r="D117" s="217">
        <v>20</v>
      </c>
      <c r="E117" s="391"/>
      <c r="F117" s="262"/>
      <c r="G117" s="272">
        <f t="shared" si="5"/>
        <v>10.12106</v>
      </c>
      <c r="H117" s="141" t="str">
        <f t="shared" si="9"/>
        <v>EUR</v>
      </c>
      <c r="I117" s="409" t="s">
        <v>47</v>
      </c>
      <c r="J117" s="467" t="s">
        <v>15154</v>
      </c>
      <c r="L117" s="86" t="e">
        <f>VLOOKUP(B117,$B$11:B116,1,FALSE)</f>
        <v>#N/A</v>
      </c>
      <c r="M117" s="256">
        <f>G117*(1-FORM!$AE$28/100)</f>
        <v>10.12106</v>
      </c>
      <c r="AA117" s="463" t="s">
        <v>1640</v>
      </c>
      <c r="AB117" s="462" t="s">
        <v>1641</v>
      </c>
      <c r="AC117" s="462" t="s">
        <v>1642</v>
      </c>
      <c r="AD117" s="464">
        <v>8.5420800000000003</v>
      </c>
      <c r="AE117" s="465">
        <v>0.41091</v>
      </c>
      <c r="AF117" s="86">
        <f>IF(verze!$E$1="CZK",AD117,IF(verze!$E$1="SK",AE117,""))</f>
        <v>0.41091</v>
      </c>
    </row>
    <row r="118" spans="1:32" ht="15">
      <c r="A118" s="139"/>
      <c r="B118" s="298">
        <v>9255171</v>
      </c>
      <c r="C118" s="216" t="s">
        <v>673</v>
      </c>
      <c r="D118" s="217">
        <v>20</v>
      </c>
      <c r="E118" s="391"/>
      <c r="F118" s="262"/>
      <c r="G118" s="272">
        <f t="shared" si="5"/>
        <v>10.12106</v>
      </c>
      <c r="H118" s="141" t="str">
        <f t="shared" si="9"/>
        <v>EUR</v>
      </c>
      <c r="I118" s="409" t="s">
        <v>47</v>
      </c>
      <c r="J118" s="467" t="s">
        <v>15157</v>
      </c>
      <c r="L118" s="86" t="e">
        <f>VLOOKUP(B118,$B$11:B117,1,FALSE)</f>
        <v>#N/A</v>
      </c>
      <c r="M118" s="256">
        <f>G118*(1-FORM!$AE$28/100)</f>
        <v>10.12106</v>
      </c>
      <c r="AA118" s="463" t="s">
        <v>1643</v>
      </c>
      <c r="AB118" s="462" t="s">
        <v>1644</v>
      </c>
      <c r="AC118" s="462" t="s">
        <v>1645</v>
      </c>
      <c r="AD118" s="464">
        <v>9.0807900000000004</v>
      </c>
      <c r="AE118" s="465">
        <v>0.43681999999999999</v>
      </c>
      <c r="AF118" s="86">
        <f>IF(verze!$E$1="CZK",AD118,IF(verze!$E$1="SK",AE118,""))</f>
        <v>0.43681999999999999</v>
      </c>
    </row>
    <row r="119" spans="1:32" ht="15">
      <c r="A119" s="139"/>
      <c r="B119" s="298">
        <v>9255172</v>
      </c>
      <c r="C119" s="216" t="s">
        <v>674</v>
      </c>
      <c r="D119" s="217">
        <v>20</v>
      </c>
      <c r="E119" s="391"/>
      <c r="F119" s="262"/>
      <c r="G119" s="272">
        <f t="shared" si="5"/>
        <v>10.307510000000001</v>
      </c>
      <c r="H119" s="141" t="str">
        <f t="shared" si="9"/>
        <v>EUR</v>
      </c>
      <c r="I119" s="409" t="s">
        <v>47</v>
      </c>
      <c r="J119" s="467" t="s">
        <v>15160</v>
      </c>
      <c r="L119" s="86" t="e">
        <f>VLOOKUP(B119,$B$11:B118,1,FALSE)</f>
        <v>#N/A</v>
      </c>
      <c r="M119" s="256">
        <f>G119*(1-FORM!$AE$28/100)</f>
        <v>10.307510000000001</v>
      </c>
      <c r="AA119" s="463" t="s">
        <v>1646</v>
      </c>
      <c r="AB119" s="462" t="s">
        <v>1647</v>
      </c>
      <c r="AC119" s="462" t="s">
        <v>1648</v>
      </c>
      <c r="AD119" s="464">
        <v>10.280860000000001</v>
      </c>
      <c r="AE119" s="465">
        <v>0.49454999999999999</v>
      </c>
      <c r="AF119" s="86">
        <f>IF(verze!$E$1="CZK",AD119,IF(verze!$E$1="SK",AE119,""))</f>
        <v>0.49454999999999999</v>
      </c>
    </row>
    <row r="120" spans="1:32" ht="15">
      <c r="A120" s="139"/>
      <c r="B120" s="298">
        <v>9255173</v>
      </c>
      <c r="C120" s="216" t="s">
        <v>675</v>
      </c>
      <c r="D120" s="217">
        <v>20</v>
      </c>
      <c r="E120" s="391"/>
      <c r="F120" s="262"/>
      <c r="G120" s="272">
        <f t="shared" si="5"/>
        <v>10.307510000000001</v>
      </c>
      <c r="H120" s="141" t="str">
        <f t="shared" si="9"/>
        <v>EUR</v>
      </c>
      <c r="I120" s="409" t="s">
        <v>47</v>
      </c>
      <c r="J120" s="467" t="s">
        <v>15163</v>
      </c>
      <c r="L120" s="86" t="e">
        <f>VLOOKUP(B120,$B$11:B119,1,FALSE)</f>
        <v>#N/A</v>
      </c>
      <c r="M120" s="256">
        <f>G120*(1-FORM!$AE$28/100)</f>
        <v>10.307510000000001</v>
      </c>
      <c r="AA120" s="463" t="s">
        <v>1649</v>
      </c>
      <c r="AB120" s="462" t="s">
        <v>1650</v>
      </c>
      <c r="AC120" s="462" t="s">
        <v>1651</v>
      </c>
      <c r="AD120" s="464">
        <v>8.3630499999999994</v>
      </c>
      <c r="AE120" s="465">
        <v>0.40229999999999999</v>
      </c>
      <c r="AF120" s="86">
        <f>IF(verze!$E$1="CZK",AD120,IF(verze!$E$1="SK",AE120,""))</f>
        <v>0.40229999999999999</v>
      </c>
    </row>
    <row r="121" spans="1:32" ht="15">
      <c r="A121" s="139"/>
      <c r="B121" s="298">
        <v>9255174</v>
      </c>
      <c r="C121" s="216" t="s">
        <v>676</v>
      </c>
      <c r="D121" s="217">
        <v>20</v>
      </c>
      <c r="E121" s="391"/>
      <c r="F121" s="262"/>
      <c r="G121" s="272">
        <f t="shared" si="5"/>
        <v>10.49362</v>
      </c>
      <c r="H121" s="141" t="str">
        <f t="shared" si="9"/>
        <v>EUR</v>
      </c>
      <c r="I121" s="409" t="s">
        <v>47</v>
      </c>
      <c r="J121" s="467" t="s">
        <v>15166</v>
      </c>
      <c r="L121" s="86" t="e">
        <f>VLOOKUP(B121,$B$11:B120,1,FALSE)</f>
        <v>#N/A</v>
      </c>
      <c r="M121" s="256">
        <f>G121*(1-FORM!$AE$28/100)</f>
        <v>10.49362</v>
      </c>
      <c r="AA121" s="463" t="s">
        <v>1649</v>
      </c>
      <c r="AB121" s="462" t="s">
        <v>1652</v>
      </c>
      <c r="AC121" s="462" t="s">
        <v>1653</v>
      </c>
      <c r="AD121" s="464">
        <v>7.6539900000000003</v>
      </c>
      <c r="AE121" s="465">
        <v>0.36817</v>
      </c>
      <c r="AF121" s="86">
        <f>IF(verze!$E$1="CZK",AD121,IF(verze!$E$1="SK",AE121,""))</f>
        <v>0.36817</v>
      </c>
    </row>
    <row r="122" spans="1:32" ht="15">
      <c r="A122" s="139"/>
      <c r="B122" s="298">
        <v>9255175</v>
      </c>
      <c r="C122" s="216" t="s">
        <v>677</v>
      </c>
      <c r="D122" s="217">
        <v>20</v>
      </c>
      <c r="E122" s="391"/>
      <c r="F122" s="262"/>
      <c r="G122" s="272">
        <f t="shared" si="5"/>
        <v>10.49362</v>
      </c>
      <c r="H122" s="141" t="str">
        <f t="shared" si="9"/>
        <v>EUR</v>
      </c>
      <c r="I122" s="409" t="s">
        <v>47</v>
      </c>
      <c r="J122" s="467" t="s">
        <v>15169</v>
      </c>
      <c r="L122" s="86" t="e">
        <f>VLOOKUP(B122,$B$11:B121,1,FALSE)</f>
        <v>#N/A</v>
      </c>
      <c r="M122" s="256">
        <f>G122*(1-FORM!$AE$28/100)</f>
        <v>10.49362</v>
      </c>
      <c r="AA122" s="463" t="s">
        <v>1654</v>
      </c>
      <c r="AB122" s="462" t="s">
        <v>1655</v>
      </c>
      <c r="AC122" s="462" t="s">
        <v>1656</v>
      </c>
      <c r="AD122" s="464">
        <v>7.7126099999999997</v>
      </c>
      <c r="AE122" s="465">
        <v>0.37098999999999999</v>
      </c>
      <c r="AF122" s="86">
        <f>IF(verze!$E$1="CZK",AD122,IF(verze!$E$1="SK",AE122,""))</f>
        <v>0.37098999999999999</v>
      </c>
    </row>
    <row r="123" spans="1:32" ht="15">
      <c r="A123" s="139"/>
      <c r="B123" s="298">
        <v>9255176</v>
      </c>
      <c r="C123" s="216" t="s">
        <v>678</v>
      </c>
      <c r="D123" s="217">
        <v>20</v>
      </c>
      <c r="E123" s="391"/>
      <c r="F123" s="262"/>
      <c r="G123" s="272">
        <f t="shared" si="5"/>
        <v>10.680099999999999</v>
      </c>
      <c r="H123" s="141" t="str">
        <f t="shared" ref="H123:H133" si="10">IF(G123="","",$H$10)</f>
        <v>EUR</v>
      </c>
      <c r="I123" s="409" t="s">
        <v>47</v>
      </c>
      <c r="J123" s="467" t="s">
        <v>15172</v>
      </c>
      <c r="L123" s="86" t="e">
        <f>VLOOKUP(B123,$B$11:B122,1,FALSE)</f>
        <v>#N/A</v>
      </c>
      <c r="M123" s="256">
        <f>G123*(1-FORM!$AE$28/100)</f>
        <v>10.680099999999999</v>
      </c>
      <c r="AA123" s="463" t="s">
        <v>1654</v>
      </c>
      <c r="AB123" s="462" t="s">
        <v>1657</v>
      </c>
      <c r="AC123" s="462" t="s">
        <v>1658</v>
      </c>
      <c r="AD123" s="464">
        <v>7.7126099999999997</v>
      </c>
      <c r="AE123" s="465">
        <v>0.37098999999999999</v>
      </c>
      <c r="AF123" s="86">
        <f>IF(verze!$E$1="CZK",AD123,IF(verze!$E$1="SK",AE123,""))</f>
        <v>0.37098999999999999</v>
      </c>
    </row>
    <row r="124" spans="1:32" ht="15">
      <c r="A124" s="139"/>
      <c r="B124" s="298">
        <v>9255177</v>
      </c>
      <c r="C124" s="216" t="s">
        <v>679</v>
      </c>
      <c r="D124" s="217">
        <v>20</v>
      </c>
      <c r="E124" s="391"/>
      <c r="F124" s="262"/>
      <c r="G124" s="272">
        <f t="shared" si="5"/>
        <v>10.680099999999999</v>
      </c>
      <c r="H124" s="141" t="str">
        <f t="shared" si="10"/>
        <v>EUR</v>
      </c>
      <c r="I124" s="409" t="s">
        <v>47</v>
      </c>
      <c r="J124" s="467" t="s">
        <v>15177</v>
      </c>
      <c r="L124" s="86" t="e">
        <f>VLOOKUP(B124,$B$11:B123,1,FALSE)</f>
        <v>#N/A</v>
      </c>
      <c r="M124" s="256">
        <f>G124*(1-FORM!$AE$28/100)</f>
        <v>10.680099999999999</v>
      </c>
      <c r="AA124" s="463" t="s">
        <v>1659</v>
      </c>
      <c r="AB124" s="462" t="s">
        <v>1660</v>
      </c>
      <c r="AC124" s="462" t="s">
        <v>1661</v>
      </c>
      <c r="AD124" s="464">
        <v>8.2567000000000004</v>
      </c>
      <c r="AE124" s="465">
        <v>0.39717000000000002</v>
      </c>
      <c r="AF124" s="86">
        <f>IF(verze!$E$1="CZK",AD124,IF(verze!$E$1="SK",AE124,""))</f>
        <v>0.39717000000000002</v>
      </c>
    </row>
    <row r="125" spans="1:32" ht="15">
      <c r="A125" s="139"/>
      <c r="B125" s="298">
        <v>9255178</v>
      </c>
      <c r="C125" s="216" t="s">
        <v>680</v>
      </c>
      <c r="D125" s="217">
        <v>20</v>
      </c>
      <c r="E125" s="391"/>
      <c r="F125" s="262"/>
      <c r="G125" s="272">
        <f t="shared" si="5"/>
        <v>10.348739999999999</v>
      </c>
      <c r="H125" s="141" t="str">
        <f t="shared" si="10"/>
        <v>EUR</v>
      </c>
      <c r="I125" s="409" t="s">
        <v>47</v>
      </c>
      <c r="J125" s="467" t="s">
        <v>15182</v>
      </c>
      <c r="L125" s="86" t="e">
        <f>VLOOKUP(B125,$B$11:B124,1,FALSE)</f>
        <v>#N/A</v>
      </c>
      <c r="M125" s="256">
        <f>G125*(1-FORM!$AE$28/100)</f>
        <v>10.348739999999999</v>
      </c>
      <c r="AA125" s="463" t="s">
        <v>1662</v>
      </c>
      <c r="AB125" s="462" t="s">
        <v>1663</v>
      </c>
      <c r="AC125" s="462" t="s">
        <v>1664</v>
      </c>
      <c r="AD125" s="464">
        <v>9.4567599999999992</v>
      </c>
      <c r="AE125" s="465">
        <v>0.45490000000000003</v>
      </c>
      <c r="AF125" s="86">
        <f>IF(verze!$E$1="CZK",AD125,IF(verze!$E$1="SK",AE125,""))</f>
        <v>0.45490000000000003</v>
      </c>
    </row>
    <row r="126" spans="1:32" ht="15">
      <c r="A126" s="139"/>
      <c r="B126" s="298">
        <v>9255179</v>
      </c>
      <c r="C126" s="216" t="s">
        <v>681</v>
      </c>
      <c r="D126" s="217">
        <v>20</v>
      </c>
      <c r="E126" s="391"/>
      <c r="F126" s="262"/>
      <c r="G126" s="272">
        <f t="shared" si="5"/>
        <v>10.348739999999999</v>
      </c>
      <c r="H126" s="141" t="str">
        <f t="shared" si="10"/>
        <v>EUR</v>
      </c>
      <c r="I126" s="409" t="s">
        <v>47</v>
      </c>
      <c r="J126" s="467" t="s">
        <v>15189</v>
      </c>
      <c r="L126" s="86" t="e">
        <f>VLOOKUP(B126,$B$11:B125,1,FALSE)</f>
        <v>#N/A</v>
      </c>
      <c r="M126" s="256">
        <f>G126*(1-FORM!$AE$28/100)</f>
        <v>10.348739999999999</v>
      </c>
      <c r="AA126" s="463" t="s">
        <v>1665</v>
      </c>
      <c r="AB126" s="462" t="s">
        <v>1666</v>
      </c>
      <c r="AC126" s="462" t="s">
        <v>1667</v>
      </c>
      <c r="AD126" s="464">
        <v>140.76473999999999</v>
      </c>
      <c r="AE126" s="465">
        <v>6.7713000000000001</v>
      </c>
      <c r="AF126" s="86">
        <f>IF(verze!$E$1="CZK",AD126,IF(verze!$E$1="SK",AE126,""))</f>
        <v>6.7713000000000001</v>
      </c>
    </row>
    <row r="127" spans="1:32" ht="15">
      <c r="A127" s="139"/>
      <c r="B127" s="298">
        <v>9255180</v>
      </c>
      <c r="C127" s="216" t="s">
        <v>682</v>
      </c>
      <c r="D127" s="217">
        <v>20</v>
      </c>
      <c r="E127" s="391"/>
      <c r="F127" s="262"/>
      <c r="G127" s="272">
        <f t="shared" si="5"/>
        <v>11.052530000000001</v>
      </c>
      <c r="H127" s="141" t="str">
        <f t="shared" si="10"/>
        <v>EUR</v>
      </c>
      <c r="I127" s="409" t="s">
        <v>47</v>
      </c>
      <c r="J127" s="467" t="s">
        <v>15196</v>
      </c>
      <c r="L127" s="86" t="e">
        <f>VLOOKUP(B127,$B$11:B126,1,FALSE)</f>
        <v>#N/A</v>
      </c>
      <c r="M127" s="256">
        <f>G127*(1-FORM!$AE$28/100)</f>
        <v>11.052530000000001</v>
      </c>
      <c r="AA127" s="463" t="s">
        <v>1668</v>
      </c>
      <c r="AB127" s="462" t="s">
        <v>1669</v>
      </c>
      <c r="AC127" s="462" t="s">
        <v>1670</v>
      </c>
      <c r="AD127" s="464">
        <v>2477.8603899999998</v>
      </c>
      <c r="AE127" s="465">
        <v>99.126760000000004</v>
      </c>
      <c r="AF127" s="86">
        <f>IF(verze!$E$1="CZK",AD127,IF(verze!$E$1="SK",AE127,""))</f>
        <v>99.126760000000004</v>
      </c>
    </row>
    <row r="128" spans="1:32" ht="15">
      <c r="A128" s="139"/>
      <c r="B128" s="298">
        <v>9255181</v>
      </c>
      <c r="C128" s="216" t="s">
        <v>683</v>
      </c>
      <c r="D128" s="217">
        <v>20</v>
      </c>
      <c r="E128" s="391"/>
      <c r="F128" s="262"/>
      <c r="G128" s="272">
        <f t="shared" si="5"/>
        <v>11.052530000000001</v>
      </c>
      <c r="H128" s="141" t="str">
        <f t="shared" si="10"/>
        <v>EUR</v>
      </c>
      <c r="I128" s="409" t="s">
        <v>47</v>
      </c>
      <c r="J128" s="467" t="s">
        <v>15199</v>
      </c>
      <c r="L128" s="86" t="e">
        <f>VLOOKUP(B128,$B$11:B127,1,FALSE)</f>
        <v>#N/A</v>
      </c>
      <c r="M128" s="256">
        <f>G128*(1-FORM!$AE$28/100)</f>
        <v>11.052530000000001</v>
      </c>
      <c r="AA128" s="463" t="s">
        <v>1671</v>
      </c>
      <c r="AB128" s="462" t="s">
        <v>1672</v>
      </c>
      <c r="AC128" s="462" t="s">
        <v>1673</v>
      </c>
      <c r="AD128" s="464">
        <v>2108.8793000000001</v>
      </c>
      <c r="AE128" s="465">
        <v>84.365679999999998</v>
      </c>
      <c r="AF128" s="86">
        <f>IF(verze!$E$1="CZK",AD128,IF(verze!$E$1="SK",AE128,""))</f>
        <v>84.365679999999998</v>
      </c>
    </row>
    <row r="129" spans="1:32" ht="15">
      <c r="A129" s="139"/>
      <c r="B129" s="298">
        <v>9255182</v>
      </c>
      <c r="C129" s="216" t="s">
        <v>684</v>
      </c>
      <c r="D129" s="217">
        <v>20</v>
      </c>
      <c r="E129" s="391"/>
      <c r="F129" s="262"/>
      <c r="G129" s="272">
        <f t="shared" si="5"/>
        <v>11.33343</v>
      </c>
      <c r="H129" s="141" t="str">
        <f t="shared" si="10"/>
        <v>EUR</v>
      </c>
      <c r="I129" s="409" t="s">
        <v>47</v>
      </c>
      <c r="J129" s="467" t="s">
        <v>15202</v>
      </c>
      <c r="L129" s="86" t="e">
        <f>VLOOKUP(B129,$B$11:B128,1,FALSE)</f>
        <v>#N/A</v>
      </c>
      <c r="M129" s="256">
        <f>G129*(1-FORM!$AE$28/100)</f>
        <v>11.33343</v>
      </c>
      <c r="AA129" s="463" t="s">
        <v>1674</v>
      </c>
      <c r="AB129" s="462" t="s">
        <v>1675</v>
      </c>
      <c r="AC129" s="462" t="s">
        <v>1676</v>
      </c>
      <c r="AD129" s="464">
        <v>2477.8603899999998</v>
      </c>
      <c r="AE129" s="465">
        <v>99.126760000000004</v>
      </c>
      <c r="AF129" s="86">
        <f>IF(verze!$E$1="CZK",AD129,IF(verze!$E$1="SK",AE129,""))</f>
        <v>99.126760000000004</v>
      </c>
    </row>
    <row r="130" spans="1:32" ht="15">
      <c r="A130" s="139"/>
      <c r="B130" s="298">
        <v>9255183</v>
      </c>
      <c r="C130" s="216" t="s">
        <v>685</v>
      </c>
      <c r="D130" s="217">
        <v>20</v>
      </c>
      <c r="E130" s="391"/>
      <c r="F130" s="262"/>
      <c r="G130" s="272">
        <f t="shared" si="5"/>
        <v>11.33343</v>
      </c>
      <c r="H130" s="141" t="str">
        <f t="shared" si="10"/>
        <v>EUR</v>
      </c>
      <c r="I130" s="409" t="s">
        <v>47</v>
      </c>
      <c r="J130" s="467" t="s">
        <v>15205</v>
      </c>
      <c r="L130" s="86" t="e">
        <f>VLOOKUP(B130,$B$11:B129,1,FALSE)</f>
        <v>#N/A</v>
      </c>
      <c r="M130" s="256">
        <f>G130*(1-FORM!$AE$28/100)</f>
        <v>11.33343</v>
      </c>
      <c r="AA130" s="463" t="s">
        <v>1677</v>
      </c>
      <c r="AB130" s="462" t="s">
        <v>1678</v>
      </c>
      <c r="AC130" s="462" t="s">
        <v>1679</v>
      </c>
      <c r="AD130" s="464">
        <v>2583.95253</v>
      </c>
      <c r="AE130" s="465">
        <v>103.37097</v>
      </c>
      <c r="AF130" s="86">
        <f>IF(verze!$E$1="CZK",AD130,IF(verze!$E$1="SK",AE130,""))</f>
        <v>103.37097</v>
      </c>
    </row>
    <row r="131" spans="1:32" ht="15">
      <c r="A131" s="139"/>
      <c r="B131" s="298">
        <v>9255184</v>
      </c>
      <c r="C131" s="216" t="s">
        <v>686</v>
      </c>
      <c r="D131" s="217">
        <v>20</v>
      </c>
      <c r="E131" s="391"/>
      <c r="F131" s="262"/>
      <c r="G131" s="272">
        <f t="shared" si="5"/>
        <v>11.715400000000001</v>
      </c>
      <c r="H131" s="141" t="str">
        <f t="shared" si="10"/>
        <v>EUR</v>
      </c>
      <c r="I131" s="409" t="s">
        <v>47</v>
      </c>
      <c r="J131" s="467" t="s">
        <v>15208</v>
      </c>
      <c r="L131" s="86" t="e">
        <f>VLOOKUP(B131,$B$11:B130,1,FALSE)</f>
        <v>#N/A</v>
      </c>
      <c r="M131" s="256">
        <f>G131*(1-FORM!$AE$28/100)</f>
        <v>11.715400000000001</v>
      </c>
      <c r="AA131" s="463" t="s">
        <v>1680</v>
      </c>
      <c r="AB131" s="462" t="s">
        <v>1681</v>
      </c>
      <c r="AC131" s="462" t="s">
        <v>1682</v>
      </c>
      <c r="AD131" s="464">
        <v>2715.8875699999999</v>
      </c>
      <c r="AE131" s="465">
        <v>108.64901999999999</v>
      </c>
      <c r="AF131" s="86">
        <f>IF(verze!$E$1="CZK",AD131,IF(verze!$E$1="SK",AE131,""))</f>
        <v>108.64901999999999</v>
      </c>
    </row>
    <row r="132" spans="1:32" ht="15">
      <c r="A132" s="139"/>
      <c r="B132" s="303">
        <v>9255185</v>
      </c>
      <c r="C132" s="304" t="s">
        <v>687</v>
      </c>
      <c r="D132" s="226">
        <v>20</v>
      </c>
      <c r="E132" s="396"/>
      <c r="F132" s="268"/>
      <c r="G132" s="272">
        <f t="shared" si="5"/>
        <v>11.715400000000001</v>
      </c>
      <c r="H132" s="142" t="str">
        <f t="shared" si="10"/>
        <v>EUR</v>
      </c>
      <c r="I132" s="417" t="s">
        <v>47</v>
      </c>
      <c r="J132" s="468" t="s">
        <v>15211</v>
      </c>
      <c r="L132" s="86" t="e">
        <f>VLOOKUP(B132,$B$11:B131,1,FALSE)</f>
        <v>#N/A</v>
      </c>
      <c r="M132" s="256">
        <f>G132*(1-FORM!$AE$28/100)</f>
        <v>11.715400000000001</v>
      </c>
      <c r="AA132" s="463" t="s">
        <v>1683</v>
      </c>
      <c r="AB132" s="462" t="s">
        <v>1684</v>
      </c>
      <c r="AC132" s="462" t="s">
        <v>1685</v>
      </c>
      <c r="AD132" s="464">
        <v>2800.3208500000001</v>
      </c>
      <c r="AE132" s="465">
        <v>112.02677</v>
      </c>
      <c r="AF132" s="86">
        <f>IF(verze!$E$1="CZK",AD132,IF(verze!$E$1="SK",AE132,""))</f>
        <v>112.02677</v>
      </c>
    </row>
    <row r="133" spans="1:32" ht="15">
      <c r="A133" s="130"/>
      <c r="B133" s="424">
        <v>9347502</v>
      </c>
      <c r="C133" s="222" t="s">
        <v>1132</v>
      </c>
      <c r="D133" s="223">
        <v>200</v>
      </c>
      <c r="E133" s="395"/>
      <c r="F133" s="266"/>
      <c r="G133" s="272">
        <f t="shared" si="5"/>
        <v>0.95189000000000001</v>
      </c>
      <c r="H133" s="211" t="str">
        <f t="shared" si="10"/>
        <v>EUR</v>
      </c>
      <c r="I133" s="416" t="s">
        <v>47</v>
      </c>
      <c r="J133" s="469" t="s">
        <v>20125</v>
      </c>
      <c r="L133" s="86" t="e">
        <f>VLOOKUP(B133,$B$11:B132,1,FALSE)</f>
        <v>#N/A</v>
      </c>
      <c r="M133" s="256">
        <f>G133*(1-FORM!$AE$28/100)</f>
        <v>0.95189000000000001</v>
      </c>
      <c r="AA133" s="463" t="s">
        <v>1686</v>
      </c>
      <c r="AB133" s="462" t="s">
        <v>1687</v>
      </c>
      <c r="AC133" s="462" t="s">
        <v>1688</v>
      </c>
      <c r="AD133" s="464">
        <v>2747.78989</v>
      </c>
      <c r="AE133" s="465">
        <v>109.92528</v>
      </c>
      <c r="AF133" s="86">
        <f>IF(verze!$E$1="CZK",AD133,IF(verze!$E$1="SK",AE133,""))</f>
        <v>109.92528</v>
      </c>
    </row>
    <row r="134" spans="1:32" ht="15">
      <c r="A134" s="130"/>
      <c r="B134" s="425">
        <v>9347503</v>
      </c>
      <c r="C134" s="216" t="s">
        <v>1133</v>
      </c>
      <c r="D134" s="217">
        <v>200</v>
      </c>
      <c r="E134" s="391"/>
      <c r="F134" s="262"/>
      <c r="G134" s="272">
        <f t="shared" si="5"/>
        <v>0.96240999999999999</v>
      </c>
      <c r="H134" s="141" t="str">
        <f t="shared" ref="H134:H147" si="11">IF(G134="","",$H$10)</f>
        <v>EUR</v>
      </c>
      <c r="I134" s="409" t="s">
        <v>47</v>
      </c>
      <c r="J134" s="467" t="s">
        <v>20128</v>
      </c>
      <c r="L134" s="86" t="e">
        <f>VLOOKUP(B134,$B$11:B133,1,FALSE)</f>
        <v>#N/A</v>
      </c>
      <c r="M134" s="256">
        <f>G134*(1-FORM!$AE$28/100)</f>
        <v>0.96240999999999999</v>
      </c>
      <c r="AA134" s="463" t="s">
        <v>1689</v>
      </c>
      <c r="AB134" s="462" t="s">
        <v>1690</v>
      </c>
      <c r="AC134" s="462" t="s">
        <v>1691</v>
      </c>
      <c r="AD134" s="464">
        <v>367.89416</v>
      </c>
      <c r="AE134" s="465">
        <v>16.003080000000001</v>
      </c>
      <c r="AF134" s="86">
        <f>IF(verze!$E$1="CZK",AD134,IF(verze!$E$1="SK",AE134,""))</f>
        <v>16.003080000000001</v>
      </c>
    </row>
    <row r="135" spans="1:32" ht="15">
      <c r="A135" s="130"/>
      <c r="B135" s="425">
        <v>9347504</v>
      </c>
      <c r="C135" s="216" t="s">
        <v>1134</v>
      </c>
      <c r="D135" s="217">
        <v>200</v>
      </c>
      <c r="E135" s="391"/>
      <c r="F135" s="262"/>
      <c r="G135" s="272">
        <f t="shared" si="5"/>
        <v>0.98018000000000005</v>
      </c>
      <c r="H135" s="141" t="str">
        <f t="shared" si="11"/>
        <v>EUR</v>
      </c>
      <c r="I135" s="409" t="s">
        <v>47</v>
      </c>
      <c r="J135" s="467" t="s">
        <v>20131</v>
      </c>
      <c r="L135" s="86" t="e">
        <f>VLOOKUP(B135,$B$11:B134,1,FALSE)</f>
        <v>#N/A</v>
      </c>
      <c r="M135" s="256">
        <f>G135*(1-FORM!$AE$28/100)</f>
        <v>0.98018000000000005</v>
      </c>
      <c r="AA135" s="463" t="s">
        <v>1692</v>
      </c>
      <c r="AB135" s="462" t="s">
        <v>1693</v>
      </c>
      <c r="AC135" s="462" t="s">
        <v>1694</v>
      </c>
      <c r="AD135" s="464">
        <v>7118.9101899999996</v>
      </c>
      <c r="AE135" s="465">
        <v>284.79183999999998</v>
      </c>
      <c r="AF135" s="86">
        <f>IF(verze!$E$1="CZK",AD135,IF(verze!$E$1="SK",AE135,""))</f>
        <v>284.79183999999998</v>
      </c>
    </row>
    <row r="136" spans="1:32" ht="15">
      <c r="A136" s="130"/>
      <c r="B136" s="425">
        <v>9347505</v>
      </c>
      <c r="C136" s="216" t="s">
        <v>1135</v>
      </c>
      <c r="D136" s="217">
        <v>200</v>
      </c>
      <c r="E136" s="391"/>
      <c r="F136" s="262"/>
      <c r="G136" s="272">
        <f t="shared" si="5"/>
        <v>0.99777000000000005</v>
      </c>
      <c r="H136" s="141" t="str">
        <f t="shared" si="11"/>
        <v>EUR</v>
      </c>
      <c r="I136" s="409" t="s">
        <v>47</v>
      </c>
      <c r="J136" s="467" t="s">
        <v>20134</v>
      </c>
      <c r="L136" s="86" t="e">
        <f>VLOOKUP(B136,$B$11:B135,1,FALSE)</f>
        <v>#N/A</v>
      </c>
      <c r="M136" s="256">
        <f>G136*(1-FORM!$AE$28/100)</f>
        <v>0.99777000000000005</v>
      </c>
      <c r="AA136" s="463" t="s">
        <v>1695</v>
      </c>
      <c r="AB136" s="462" t="s">
        <v>1696</v>
      </c>
      <c r="AC136" s="462" t="s">
        <v>1697</v>
      </c>
      <c r="AD136" s="464">
        <v>583.92729999999995</v>
      </c>
      <c r="AE136" s="465">
        <v>26.751439999999999</v>
      </c>
      <c r="AF136" s="86">
        <f>IF(verze!$E$1="CZK",AD136,IF(verze!$E$1="SK",AE136,""))</f>
        <v>26.751439999999999</v>
      </c>
    </row>
    <row r="137" spans="1:32" ht="15">
      <c r="A137" s="130"/>
      <c r="B137" s="425">
        <v>9347506</v>
      </c>
      <c r="C137" s="216" t="s">
        <v>1136</v>
      </c>
      <c r="D137" s="217">
        <v>200</v>
      </c>
      <c r="E137" s="391"/>
      <c r="F137" s="262"/>
      <c r="G137" s="272">
        <f t="shared" si="5"/>
        <v>1.01556</v>
      </c>
      <c r="H137" s="141" t="str">
        <f t="shared" si="11"/>
        <v>EUR</v>
      </c>
      <c r="I137" s="409" t="s">
        <v>47</v>
      </c>
      <c r="J137" s="467" t="s">
        <v>20137</v>
      </c>
      <c r="L137" s="86" t="e">
        <f>VLOOKUP(B137,$B$11:B136,1,FALSE)</f>
        <v>#N/A</v>
      </c>
      <c r="M137" s="256">
        <f>G137*(1-FORM!$AE$28/100)</f>
        <v>1.01556</v>
      </c>
      <c r="AA137" s="463" t="s">
        <v>1698</v>
      </c>
      <c r="AB137" s="462" t="s">
        <v>1699</v>
      </c>
      <c r="AC137" s="462" t="s">
        <v>1700</v>
      </c>
      <c r="AD137" s="464">
        <v>756.98779000000002</v>
      </c>
      <c r="AE137" s="465">
        <v>34.679859999999998</v>
      </c>
      <c r="AF137" s="86">
        <f>IF(verze!$E$1="CZK",AD137,IF(verze!$E$1="SK",AE137,""))</f>
        <v>34.679859999999998</v>
      </c>
    </row>
    <row r="138" spans="1:32" ht="15">
      <c r="A138" s="130"/>
      <c r="B138" s="425">
        <v>9347507</v>
      </c>
      <c r="C138" s="216" t="s">
        <v>1137</v>
      </c>
      <c r="D138" s="217">
        <v>200</v>
      </c>
      <c r="E138" s="391"/>
      <c r="F138" s="262"/>
      <c r="G138" s="272">
        <f t="shared" si="5"/>
        <v>1.0332399999999999</v>
      </c>
      <c r="H138" s="141" t="str">
        <f t="shared" si="11"/>
        <v>EUR</v>
      </c>
      <c r="I138" s="409" t="s">
        <v>47</v>
      </c>
      <c r="J138" s="467" t="s">
        <v>20140</v>
      </c>
      <c r="L138" s="86" t="e">
        <f>VLOOKUP(B138,$B$11:B137,1,FALSE)</f>
        <v>#N/A</v>
      </c>
      <c r="M138" s="256">
        <f>G138*(1-FORM!$AE$28/100)</f>
        <v>1.0332399999999999</v>
      </c>
      <c r="AA138" s="463" t="s">
        <v>1701</v>
      </c>
      <c r="AB138" s="462" t="s">
        <v>1702</v>
      </c>
      <c r="AC138" s="462" t="s">
        <v>1703</v>
      </c>
      <c r="AD138" s="464">
        <v>932.09073000000001</v>
      </c>
      <c r="AE138" s="465">
        <v>42.701839999999997</v>
      </c>
      <c r="AF138" s="86">
        <f>IF(verze!$E$1="CZK",AD138,IF(verze!$E$1="SK",AE138,""))</f>
        <v>42.701839999999997</v>
      </c>
    </row>
    <row r="139" spans="1:32" ht="15">
      <c r="A139" s="130"/>
      <c r="B139" s="425">
        <v>9347508</v>
      </c>
      <c r="C139" s="216" t="s">
        <v>1138</v>
      </c>
      <c r="D139" s="217">
        <v>200</v>
      </c>
      <c r="E139" s="391"/>
      <c r="F139" s="262"/>
      <c r="G139" s="272">
        <f t="shared" si="5"/>
        <v>1.0508599999999999</v>
      </c>
      <c r="H139" s="141" t="str">
        <f t="shared" si="11"/>
        <v>EUR</v>
      </c>
      <c r="I139" s="409" t="s">
        <v>47</v>
      </c>
      <c r="J139" s="467" t="s">
        <v>20143</v>
      </c>
      <c r="L139" s="86" t="e">
        <f>VLOOKUP(B139,$B$11:B138,1,FALSE)</f>
        <v>#N/A</v>
      </c>
      <c r="M139" s="256">
        <f>G139*(1-FORM!$AE$28/100)</f>
        <v>1.0508599999999999</v>
      </c>
      <c r="AA139" s="463" t="s">
        <v>1704</v>
      </c>
      <c r="AB139" s="462" t="s">
        <v>1705</v>
      </c>
      <c r="AC139" s="462" t="s">
        <v>1706</v>
      </c>
      <c r="AD139" s="464">
        <v>476.73624999999998</v>
      </c>
      <c r="AE139" s="465">
        <v>21.840699999999998</v>
      </c>
      <c r="AF139" s="86">
        <f>IF(verze!$E$1="CZK",AD139,IF(verze!$E$1="SK",AE139,""))</f>
        <v>21.840699999999998</v>
      </c>
    </row>
    <row r="140" spans="1:32" ht="15">
      <c r="A140" s="130"/>
      <c r="B140" s="425">
        <v>9347509</v>
      </c>
      <c r="C140" s="216" t="s">
        <v>1139</v>
      </c>
      <c r="D140" s="217">
        <v>200</v>
      </c>
      <c r="E140" s="391"/>
      <c r="F140" s="262"/>
      <c r="G140" s="272">
        <f t="shared" si="5"/>
        <v>1.09639</v>
      </c>
      <c r="H140" s="141" t="str">
        <f t="shared" si="11"/>
        <v>EUR</v>
      </c>
      <c r="I140" s="409" t="s">
        <v>47</v>
      </c>
      <c r="J140" s="467" t="s">
        <v>20146</v>
      </c>
      <c r="L140" s="86" t="e">
        <f>VLOOKUP(B140,$B$11:B139,1,FALSE)</f>
        <v>#N/A</v>
      </c>
      <c r="M140" s="256">
        <f>G140*(1-FORM!$AE$28/100)</f>
        <v>1.09639</v>
      </c>
      <c r="AA140" s="463" t="s">
        <v>1707</v>
      </c>
      <c r="AB140" s="462" t="s">
        <v>1708</v>
      </c>
      <c r="AC140" s="462" t="s">
        <v>1709</v>
      </c>
      <c r="AD140" s="464">
        <v>162.74758</v>
      </c>
      <c r="AE140" s="465">
        <v>7.45594</v>
      </c>
      <c r="AF140" s="86">
        <f>IF(verze!$E$1="CZK",AD140,IF(verze!$E$1="SK",AE140,""))</f>
        <v>7.45594</v>
      </c>
    </row>
    <row r="141" spans="1:32" ht="15">
      <c r="A141" s="130"/>
      <c r="B141" s="426">
        <v>9347510</v>
      </c>
      <c r="C141" s="304" t="s">
        <v>1140</v>
      </c>
      <c r="D141" s="226">
        <v>200</v>
      </c>
      <c r="E141" s="396"/>
      <c r="F141" s="268"/>
      <c r="G141" s="272">
        <f t="shared" ref="G141:G204" si="12">VLOOKUP(J141,AB:AF,5,0)</f>
        <v>1.1824300000000001</v>
      </c>
      <c r="H141" s="142" t="str">
        <f t="shared" si="11"/>
        <v>EUR</v>
      </c>
      <c r="I141" s="417" t="s">
        <v>47</v>
      </c>
      <c r="J141" s="468" t="s">
        <v>20149</v>
      </c>
      <c r="L141" s="86" t="e">
        <f>VLOOKUP(B141,$B$11:B140,1,FALSE)</f>
        <v>#N/A</v>
      </c>
      <c r="M141" s="256">
        <f>G141*(1-FORM!$AE$28/100)</f>
        <v>1.1824300000000001</v>
      </c>
      <c r="AA141" s="463" t="s">
        <v>1710</v>
      </c>
      <c r="AB141" s="462" t="s">
        <v>1711</v>
      </c>
      <c r="AC141" s="462" t="s">
        <v>1712</v>
      </c>
      <c r="AD141" s="464">
        <v>170.14677</v>
      </c>
      <c r="AE141" s="465">
        <v>7.7949200000000003</v>
      </c>
      <c r="AF141" s="86">
        <f>IF(verze!$E$1="CZK",AD141,IF(verze!$E$1="SK",AE141,""))</f>
        <v>7.7949200000000003</v>
      </c>
    </row>
    <row r="142" spans="1:32" ht="15">
      <c r="A142" s="137"/>
      <c r="B142" s="424">
        <v>9347511</v>
      </c>
      <c r="C142" s="222" t="s">
        <v>1141</v>
      </c>
      <c r="D142" s="223">
        <v>200</v>
      </c>
      <c r="E142" s="395"/>
      <c r="F142" s="266"/>
      <c r="G142" s="272">
        <f t="shared" si="12"/>
        <v>0.95189000000000001</v>
      </c>
      <c r="H142" s="211" t="str">
        <f t="shared" si="11"/>
        <v>EUR</v>
      </c>
      <c r="I142" s="416" t="s">
        <v>47</v>
      </c>
      <c r="J142" s="469" t="s">
        <v>20152</v>
      </c>
      <c r="L142" s="86" t="e">
        <f>VLOOKUP(B142,$B$11:B141,1,FALSE)</f>
        <v>#N/A</v>
      </c>
      <c r="M142" s="256">
        <f>G142*(1-FORM!$AE$28/100)</f>
        <v>0.95189000000000001</v>
      </c>
      <c r="AA142" s="463" t="s">
        <v>1713</v>
      </c>
      <c r="AB142" s="462" t="s">
        <v>1714</v>
      </c>
      <c r="AC142" s="462" t="s">
        <v>1715</v>
      </c>
      <c r="AD142" s="464">
        <v>151.38567</v>
      </c>
      <c r="AE142" s="465">
        <v>6.9354199999999997</v>
      </c>
      <c r="AF142" s="86">
        <f>IF(verze!$E$1="CZK",AD142,IF(verze!$E$1="SK",AE142,""))</f>
        <v>6.9354199999999997</v>
      </c>
    </row>
    <row r="143" spans="1:32" ht="15">
      <c r="A143" s="137"/>
      <c r="B143" s="425">
        <v>9347512</v>
      </c>
      <c r="C143" s="216" t="s">
        <v>1142</v>
      </c>
      <c r="D143" s="217">
        <v>200</v>
      </c>
      <c r="E143" s="391"/>
      <c r="F143" s="262"/>
      <c r="G143" s="272">
        <f t="shared" si="12"/>
        <v>0.96240999999999999</v>
      </c>
      <c r="H143" s="141" t="str">
        <f t="shared" si="11"/>
        <v>EUR</v>
      </c>
      <c r="I143" s="409" t="s">
        <v>47</v>
      </c>
      <c r="J143" s="467" t="s">
        <v>20155</v>
      </c>
      <c r="L143" s="86" t="e">
        <f>VLOOKUP(B143,$B$11:B142,1,FALSE)</f>
        <v>#N/A</v>
      </c>
      <c r="M143" s="256">
        <f>G143*(1-FORM!$AE$28/100)</f>
        <v>0.96240999999999999</v>
      </c>
      <c r="AA143" s="463" t="s">
        <v>1716</v>
      </c>
      <c r="AB143" s="462" t="s">
        <v>1717</v>
      </c>
      <c r="AC143" s="462" t="s">
        <v>1718</v>
      </c>
      <c r="AD143" s="464">
        <v>128.93261999999999</v>
      </c>
      <c r="AE143" s="465">
        <v>5.6832200000000004</v>
      </c>
      <c r="AF143" s="86">
        <f>IF(verze!$E$1="CZK",AD143,IF(verze!$E$1="SK",AE143,""))</f>
        <v>5.6832200000000004</v>
      </c>
    </row>
    <row r="144" spans="1:32" ht="15">
      <c r="A144" s="137"/>
      <c r="B144" s="425">
        <v>9347513</v>
      </c>
      <c r="C144" s="216" t="s">
        <v>1143</v>
      </c>
      <c r="D144" s="217">
        <v>200</v>
      </c>
      <c r="E144" s="391"/>
      <c r="F144" s="262"/>
      <c r="G144" s="272">
        <f t="shared" si="12"/>
        <v>0.98018000000000005</v>
      </c>
      <c r="H144" s="141" t="str">
        <f t="shared" si="11"/>
        <v>EUR</v>
      </c>
      <c r="I144" s="409" t="s">
        <v>47</v>
      </c>
      <c r="J144" s="467" t="s">
        <v>20158</v>
      </c>
      <c r="L144" s="86" t="e">
        <f>VLOOKUP(B144,$B$11:B143,1,FALSE)</f>
        <v>#N/A</v>
      </c>
      <c r="M144" s="256">
        <f>G144*(1-FORM!$AE$28/100)</f>
        <v>0.98018000000000005</v>
      </c>
      <c r="AA144" s="463" t="s">
        <v>1719</v>
      </c>
      <c r="AB144" s="462" t="s">
        <v>1720</v>
      </c>
      <c r="AC144" s="462" t="s">
        <v>1721</v>
      </c>
      <c r="AD144" s="464">
        <v>129.86668</v>
      </c>
      <c r="AE144" s="465">
        <v>5.94956</v>
      </c>
      <c r="AF144" s="86">
        <f>IF(verze!$E$1="CZK",AD144,IF(verze!$E$1="SK",AE144,""))</f>
        <v>5.94956</v>
      </c>
    </row>
    <row r="145" spans="1:32" ht="15">
      <c r="A145" s="137"/>
      <c r="B145" s="425">
        <v>9347514</v>
      </c>
      <c r="C145" s="216" t="s">
        <v>1144</v>
      </c>
      <c r="D145" s="217">
        <v>200</v>
      </c>
      <c r="E145" s="391"/>
      <c r="F145" s="262"/>
      <c r="G145" s="272">
        <f t="shared" si="12"/>
        <v>0.99777000000000005</v>
      </c>
      <c r="H145" s="141" t="str">
        <f t="shared" si="11"/>
        <v>EUR</v>
      </c>
      <c r="I145" s="409" t="s">
        <v>47</v>
      </c>
      <c r="J145" s="467" t="s">
        <v>20161</v>
      </c>
      <c r="L145" s="86" t="e">
        <f>VLOOKUP(B145,$B$11:B144,1,FALSE)</f>
        <v>#N/A</v>
      </c>
      <c r="M145" s="256">
        <f>G145*(1-FORM!$AE$28/100)</f>
        <v>0.99777000000000005</v>
      </c>
      <c r="AA145" s="463" t="s">
        <v>1722</v>
      </c>
      <c r="AB145" s="462" t="s">
        <v>1723</v>
      </c>
      <c r="AC145" s="462" t="s">
        <v>1724</v>
      </c>
      <c r="AD145" s="464">
        <v>167.57154</v>
      </c>
      <c r="AE145" s="465">
        <v>7.3864000000000001</v>
      </c>
      <c r="AF145" s="86">
        <f>IF(verze!$E$1="CZK",AD145,IF(verze!$E$1="SK",AE145,""))</f>
        <v>7.3864000000000001</v>
      </c>
    </row>
    <row r="146" spans="1:32" ht="15">
      <c r="A146" s="137"/>
      <c r="B146" s="425">
        <v>9347515</v>
      </c>
      <c r="C146" s="216" t="s">
        <v>1145</v>
      </c>
      <c r="D146" s="217">
        <v>200</v>
      </c>
      <c r="E146" s="391"/>
      <c r="F146" s="262"/>
      <c r="G146" s="272">
        <f t="shared" si="12"/>
        <v>1.01556</v>
      </c>
      <c r="H146" s="141" t="str">
        <f t="shared" si="11"/>
        <v>EUR</v>
      </c>
      <c r="I146" s="409" t="s">
        <v>47</v>
      </c>
      <c r="J146" s="467" t="s">
        <v>20164</v>
      </c>
      <c r="L146" s="86" t="e">
        <f>VLOOKUP(B146,$B$11:B145,1,FALSE)</f>
        <v>#N/A</v>
      </c>
      <c r="M146" s="256">
        <f>G146*(1-FORM!$AE$28/100)</f>
        <v>1.01556</v>
      </c>
      <c r="AA146" s="463" t="s">
        <v>1725</v>
      </c>
      <c r="AB146" s="462" t="s">
        <v>1726</v>
      </c>
      <c r="AC146" s="462" t="s">
        <v>1727</v>
      </c>
      <c r="AD146" s="464">
        <v>109.84896000000001</v>
      </c>
      <c r="AE146" s="465">
        <v>5.0324999999999998</v>
      </c>
      <c r="AF146" s="86">
        <f>IF(verze!$E$1="CZK",AD146,IF(verze!$E$1="SK",AE146,""))</f>
        <v>5.0324999999999998</v>
      </c>
    </row>
    <row r="147" spans="1:32" ht="15">
      <c r="A147" s="137"/>
      <c r="B147" s="425">
        <v>9347516</v>
      </c>
      <c r="C147" s="216" t="s">
        <v>1146</v>
      </c>
      <c r="D147" s="217">
        <v>200</v>
      </c>
      <c r="E147" s="391"/>
      <c r="F147" s="262"/>
      <c r="G147" s="272">
        <f t="shared" si="12"/>
        <v>1.0332399999999999</v>
      </c>
      <c r="H147" s="141" t="str">
        <f t="shared" si="11"/>
        <v>EUR</v>
      </c>
      <c r="I147" s="409" t="s">
        <v>47</v>
      </c>
      <c r="J147" s="467" t="s">
        <v>20167</v>
      </c>
      <c r="L147" s="86" t="e">
        <f>VLOOKUP(B147,$B$11:B146,1,FALSE)</f>
        <v>#N/A</v>
      </c>
      <c r="M147" s="256">
        <f>G147*(1-FORM!$AE$28/100)</f>
        <v>1.0332399999999999</v>
      </c>
      <c r="AA147" s="463" t="s">
        <v>1728</v>
      </c>
      <c r="AB147" s="462" t="s">
        <v>1729</v>
      </c>
      <c r="AC147" s="462" t="s">
        <v>1730</v>
      </c>
      <c r="AD147" s="464">
        <v>120.83273</v>
      </c>
      <c r="AE147" s="465">
        <v>5.5357200000000004</v>
      </c>
      <c r="AF147" s="86">
        <f>IF(verze!$E$1="CZK",AD147,IF(verze!$E$1="SK",AE147,""))</f>
        <v>5.5357200000000004</v>
      </c>
    </row>
    <row r="148" spans="1:32" ht="15">
      <c r="A148" s="137"/>
      <c r="B148" s="425">
        <v>9347517</v>
      </c>
      <c r="C148" s="216" t="s">
        <v>1147</v>
      </c>
      <c r="D148" s="217">
        <v>200</v>
      </c>
      <c r="E148" s="391"/>
      <c r="F148" s="262"/>
      <c r="G148" s="272">
        <f t="shared" si="12"/>
        <v>1.0508599999999999</v>
      </c>
      <c r="H148" s="141" t="str">
        <f t="shared" ref="H148:H158" si="13">IF(G148="","",$H$10)</f>
        <v>EUR</v>
      </c>
      <c r="I148" s="409" t="s">
        <v>47</v>
      </c>
      <c r="J148" s="467" t="s">
        <v>20170</v>
      </c>
      <c r="L148" s="86" t="e">
        <f>VLOOKUP(B148,$B$11:B147,1,FALSE)</f>
        <v>#N/A</v>
      </c>
      <c r="M148" s="256">
        <f>G148*(1-FORM!$AE$28/100)</f>
        <v>1.0508599999999999</v>
      </c>
      <c r="AA148" s="463" t="s">
        <v>1731</v>
      </c>
      <c r="AB148" s="462" t="s">
        <v>1732</v>
      </c>
      <c r="AC148" s="462" t="s">
        <v>1733</v>
      </c>
      <c r="AD148" s="464">
        <v>397.16592000000003</v>
      </c>
      <c r="AE148" s="465">
        <v>18.195340000000002</v>
      </c>
      <c r="AF148" s="86">
        <f>IF(verze!$E$1="CZK",AD148,IF(verze!$E$1="SK",AE148,""))</f>
        <v>18.195340000000002</v>
      </c>
    </row>
    <row r="149" spans="1:32" ht="15">
      <c r="A149" s="137"/>
      <c r="B149" s="425">
        <v>9347518</v>
      </c>
      <c r="C149" s="216" t="s">
        <v>1148</v>
      </c>
      <c r="D149" s="217">
        <v>200</v>
      </c>
      <c r="E149" s="391"/>
      <c r="F149" s="262"/>
      <c r="G149" s="272">
        <f t="shared" si="12"/>
        <v>1.09639</v>
      </c>
      <c r="H149" s="141" t="str">
        <f t="shared" si="13"/>
        <v>EUR</v>
      </c>
      <c r="I149" s="409" t="s">
        <v>47</v>
      </c>
      <c r="J149" s="467" t="s">
        <v>20173</v>
      </c>
      <c r="L149" s="86" t="e">
        <f>VLOOKUP(B149,$B$11:B148,1,FALSE)</f>
        <v>#N/A</v>
      </c>
      <c r="M149" s="256">
        <f>G149*(1-FORM!$AE$28/100)</f>
        <v>1.09639</v>
      </c>
      <c r="AA149" s="463" t="s">
        <v>1734</v>
      </c>
      <c r="AB149" s="462" t="s">
        <v>1735</v>
      </c>
      <c r="AC149" s="462" t="s">
        <v>1736</v>
      </c>
      <c r="AD149" s="464">
        <v>429.49083000000002</v>
      </c>
      <c r="AE149" s="465">
        <v>19.67624</v>
      </c>
      <c r="AF149" s="86">
        <f>IF(verze!$E$1="CZK",AD149,IF(verze!$E$1="SK",AE149,""))</f>
        <v>19.67624</v>
      </c>
    </row>
    <row r="150" spans="1:32" ht="15">
      <c r="A150" s="137"/>
      <c r="B150" s="426">
        <v>9347519</v>
      </c>
      <c r="C150" s="304" t="s">
        <v>1149</v>
      </c>
      <c r="D150" s="226">
        <v>200</v>
      </c>
      <c r="E150" s="396"/>
      <c r="F150" s="268"/>
      <c r="G150" s="272">
        <f t="shared" si="12"/>
        <v>1.1824300000000001</v>
      </c>
      <c r="H150" s="142" t="str">
        <f t="shared" si="13"/>
        <v>EUR</v>
      </c>
      <c r="I150" s="417" t="s">
        <v>47</v>
      </c>
      <c r="J150" s="467" t="s">
        <v>20176</v>
      </c>
      <c r="L150" s="86" t="e">
        <f>VLOOKUP(B150,$B$11:B149,1,FALSE)</f>
        <v>#N/A</v>
      </c>
      <c r="M150" s="256">
        <f>G150*(1-FORM!$AE$28/100)</f>
        <v>1.1824300000000001</v>
      </c>
      <c r="AA150" s="463" t="s">
        <v>1737</v>
      </c>
      <c r="AB150" s="462" t="s">
        <v>1738</v>
      </c>
      <c r="AC150" s="462" t="s">
        <v>1739</v>
      </c>
      <c r="AD150" s="464">
        <v>542.16084999999998</v>
      </c>
      <c r="AE150" s="465">
        <v>24.837980000000002</v>
      </c>
      <c r="AF150" s="86">
        <f>IF(verze!$E$1="CZK",AD150,IF(verze!$E$1="SK",AE150,""))</f>
        <v>24.837980000000002</v>
      </c>
    </row>
    <row r="151" spans="1:32" ht="15">
      <c r="A151" s="139"/>
      <c r="B151" s="424">
        <v>9347520</v>
      </c>
      <c r="C151" s="222" t="s">
        <v>1150</v>
      </c>
      <c r="D151" s="223">
        <v>200</v>
      </c>
      <c r="E151" s="395"/>
      <c r="F151" s="266"/>
      <c r="G151" s="272">
        <f t="shared" si="12"/>
        <v>0.95189000000000001</v>
      </c>
      <c r="H151" s="211" t="str">
        <f t="shared" si="13"/>
        <v>EUR</v>
      </c>
      <c r="I151" s="416" t="s">
        <v>47</v>
      </c>
      <c r="J151" s="467" t="s">
        <v>20179</v>
      </c>
      <c r="L151" s="86" t="e">
        <f>VLOOKUP(B151,$B$11:B150,1,FALSE)</f>
        <v>#N/A</v>
      </c>
      <c r="M151" s="256">
        <f>G151*(1-FORM!$AE$28/100)</f>
        <v>0.95189000000000001</v>
      </c>
      <c r="AA151" s="463" t="s">
        <v>1740</v>
      </c>
      <c r="AB151" s="462" t="s">
        <v>1741</v>
      </c>
      <c r="AC151" s="462" t="s">
        <v>1742</v>
      </c>
      <c r="AD151" s="464">
        <v>759.46401000000003</v>
      </c>
      <c r="AE151" s="465">
        <v>34.793300000000002</v>
      </c>
      <c r="AF151" s="86">
        <f>IF(verze!$E$1="CZK",AD151,IF(verze!$E$1="SK",AE151,""))</f>
        <v>34.793300000000002</v>
      </c>
    </row>
    <row r="152" spans="1:32" ht="15">
      <c r="A152" s="139"/>
      <c r="B152" s="425">
        <v>9347521</v>
      </c>
      <c r="C152" s="216" t="s">
        <v>1151</v>
      </c>
      <c r="D152" s="217">
        <v>200</v>
      </c>
      <c r="E152" s="391"/>
      <c r="F152" s="262"/>
      <c r="G152" s="272">
        <f t="shared" si="12"/>
        <v>0.96240999999999999</v>
      </c>
      <c r="H152" s="141" t="str">
        <f t="shared" si="13"/>
        <v>EUR</v>
      </c>
      <c r="I152" s="409" t="s">
        <v>47</v>
      </c>
      <c r="J152" s="467" t="s">
        <v>20182</v>
      </c>
      <c r="L152" s="86" t="e">
        <f>VLOOKUP(B152,$B$11:B151,1,FALSE)</f>
        <v>#N/A</v>
      </c>
      <c r="M152" s="256">
        <f>G152*(1-FORM!$AE$28/100)</f>
        <v>0.96240999999999999</v>
      </c>
      <c r="AA152" s="463" t="s">
        <v>1743</v>
      </c>
      <c r="AB152" s="462" t="s">
        <v>1744</v>
      </c>
      <c r="AC152" s="462" t="s">
        <v>1745</v>
      </c>
      <c r="AD152" s="464">
        <v>545.46747000000005</v>
      </c>
      <c r="AE152" s="465">
        <v>24.98948</v>
      </c>
      <c r="AF152" s="86">
        <f>IF(verze!$E$1="CZK",AD152,IF(verze!$E$1="SK",AE152,""))</f>
        <v>24.98948</v>
      </c>
    </row>
    <row r="153" spans="1:32" ht="15">
      <c r="A153" s="139"/>
      <c r="B153" s="425">
        <v>9347522</v>
      </c>
      <c r="C153" s="216" t="s">
        <v>1152</v>
      </c>
      <c r="D153" s="217">
        <v>200</v>
      </c>
      <c r="E153" s="391"/>
      <c r="F153" s="262"/>
      <c r="G153" s="272">
        <f t="shared" si="12"/>
        <v>0.98018000000000005</v>
      </c>
      <c r="H153" s="141" t="str">
        <f t="shared" si="13"/>
        <v>EUR</v>
      </c>
      <c r="I153" s="409" t="s">
        <v>47</v>
      </c>
      <c r="J153" s="467" t="s">
        <v>20185</v>
      </c>
      <c r="L153" s="86" t="e">
        <f>VLOOKUP(B153,$B$11:B152,1,FALSE)</f>
        <v>#N/A</v>
      </c>
      <c r="M153" s="256">
        <f>G153*(1-FORM!$AE$28/100)</f>
        <v>0.98018000000000005</v>
      </c>
      <c r="AA153" s="463" t="s">
        <v>1746</v>
      </c>
      <c r="AB153" s="462" t="s">
        <v>1747</v>
      </c>
      <c r="AC153" s="462" t="s">
        <v>1748</v>
      </c>
      <c r="AD153" s="464">
        <v>531.68316000000004</v>
      </c>
      <c r="AE153" s="465">
        <v>23.436060000000001</v>
      </c>
      <c r="AF153" s="86">
        <f>IF(verze!$E$1="CZK",AD153,IF(verze!$E$1="SK",AE153,""))</f>
        <v>23.436060000000001</v>
      </c>
    </row>
    <row r="154" spans="1:32" ht="15">
      <c r="A154" s="139"/>
      <c r="B154" s="425">
        <v>9347523</v>
      </c>
      <c r="C154" s="216" t="s">
        <v>1153</v>
      </c>
      <c r="D154" s="217">
        <v>200</v>
      </c>
      <c r="E154" s="391"/>
      <c r="F154" s="262"/>
      <c r="G154" s="272">
        <f t="shared" si="12"/>
        <v>0.99777000000000005</v>
      </c>
      <c r="H154" s="141" t="str">
        <f t="shared" si="13"/>
        <v>EUR</v>
      </c>
      <c r="I154" s="409" t="s">
        <v>47</v>
      </c>
      <c r="J154" s="467" t="s">
        <v>20188</v>
      </c>
      <c r="L154" s="86" t="e">
        <f>VLOOKUP(B154,$B$11:B153,1,FALSE)</f>
        <v>#N/A</v>
      </c>
      <c r="M154" s="256">
        <f>G154*(1-FORM!$AE$28/100)</f>
        <v>0.99777000000000005</v>
      </c>
      <c r="AA154" s="463" t="s">
        <v>1749</v>
      </c>
      <c r="AB154" s="462" t="s">
        <v>1750</v>
      </c>
      <c r="AC154" s="462" t="s">
        <v>1751</v>
      </c>
      <c r="AD154" s="464">
        <v>1966.7313899999999</v>
      </c>
      <c r="AE154" s="465">
        <v>90.101799999999997</v>
      </c>
      <c r="AF154" s="86">
        <f>IF(verze!$E$1="CZK",AD154,IF(verze!$E$1="SK",AE154,""))</f>
        <v>90.101799999999997</v>
      </c>
    </row>
    <row r="155" spans="1:32" ht="15">
      <c r="A155" s="139"/>
      <c r="B155" s="425">
        <v>9347524</v>
      </c>
      <c r="C155" s="216" t="s">
        <v>1154</v>
      </c>
      <c r="D155" s="217">
        <v>200</v>
      </c>
      <c r="E155" s="391"/>
      <c r="F155" s="262"/>
      <c r="G155" s="272">
        <f t="shared" si="12"/>
        <v>1.01556</v>
      </c>
      <c r="H155" s="141" t="str">
        <f>IF(G155="","",$H$10)</f>
        <v>EUR</v>
      </c>
      <c r="I155" s="409" t="s">
        <v>47</v>
      </c>
      <c r="J155" s="467" t="s">
        <v>20191</v>
      </c>
      <c r="L155" s="86" t="e">
        <f>VLOOKUP(B155,$B$11:B154,1,FALSE)</f>
        <v>#N/A</v>
      </c>
      <c r="M155" s="256">
        <f>G155*(1-FORM!$AE$28/100)</f>
        <v>1.01556</v>
      </c>
      <c r="AA155" s="463" t="s">
        <v>1752</v>
      </c>
      <c r="AB155" s="462" t="s">
        <v>1753</v>
      </c>
      <c r="AC155" s="462" t="s">
        <v>1754</v>
      </c>
      <c r="AD155" s="464">
        <v>1042.7552000000001</v>
      </c>
      <c r="AE155" s="465">
        <v>47.771700000000003</v>
      </c>
      <c r="AF155" s="86">
        <f>IF(verze!$E$1="CZK",AD155,IF(verze!$E$1="SK",AE155,""))</f>
        <v>47.771700000000003</v>
      </c>
    </row>
    <row r="156" spans="1:32" ht="15">
      <c r="A156" s="139"/>
      <c r="B156" s="425">
        <v>9347525</v>
      </c>
      <c r="C156" s="216" t="s">
        <v>1155</v>
      </c>
      <c r="D156" s="217">
        <v>200</v>
      </c>
      <c r="E156" s="391"/>
      <c r="F156" s="262"/>
      <c r="G156" s="272">
        <f t="shared" si="12"/>
        <v>1.0332399999999999</v>
      </c>
      <c r="H156" s="141" t="str">
        <f t="shared" si="13"/>
        <v>EUR</v>
      </c>
      <c r="I156" s="409" t="s">
        <v>47</v>
      </c>
      <c r="J156" s="467" t="s">
        <v>20194</v>
      </c>
      <c r="L156" s="86" t="e">
        <f>VLOOKUP(B156,$B$11:B155,1,FALSE)</f>
        <v>#N/A</v>
      </c>
      <c r="M156" s="256">
        <f>G156*(1-FORM!$AE$28/100)</f>
        <v>1.0332399999999999</v>
      </c>
      <c r="AA156" s="463" t="s">
        <v>1755</v>
      </c>
      <c r="AB156" s="462" t="s">
        <v>1756</v>
      </c>
      <c r="AC156" s="462" t="s">
        <v>1757</v>
      </c>
      <c r="AD156" s="464">
        <v>1654.3700100000001</v>
      </c>
      <c r="AE156" s="465">
        <v>75.791579999999996</v>
      </c>
      <c r="AF156" s="86">
        <f>IF(verze!$E$1="CZK",AD156,IF(verze!$E$1="SK",AE156,""))</f>
        <v>75.791579999999996</v>
      </c>
    </row>
    <row r="157" spans="1:32" ht="15">
      <c r="A157" s="139"/>
      <c r="B157" s="425">
        <v>9347526</v>
      </c>
      <c r="C157" s="216" t="s">
        <v>1156</v>
      </c>
      <c r="D157" s="217">
        <v>200</v>
      </c>
      <c r="E157" s="391"/>
      <c r="F157" s="262"/>
      <c r="G157" s="272">
        <f t="shared" si="12"/>
        <v>1.0508599999999999</v>
      </c>
      <c r="H157" s="141" t="str">
        <f t="shared" si="13"/>
        <v>EUR</v>
      </c>
      <c r="I157" s="409" t="s">
        <v>47</v>
      </c>
      <c r="J157" s="467" t="s">
        <v>20197</v>
      </c>
      <c r="L157" s="86" t="e">
        <f>VLOOKUP(B157,$B$11:B156,1,FALSE)</f>
        <v>#N/A</v>
      </c>
      <c r="M157" s="256">
        <f>G157*(1-FORM!$AE$28/100)</f>
        <v>1.0508599999999999</v>
      </c>
      <c r="AA157" s="463" t="s">
        <v>1758</v>
      </c>
      <c r="AB157" s="462" t="s">
        <v>1759</v>
      </c>
      <c r="AC157" s="462" t="s">
        <v>1760</v>
      </c>
      <c r="AD157" s="464">
        <v>391.84640999999999</v>
      </c>
      <c r="AE157" s="465">
        <v>17.951640000000001</v>
      </c>
      <c r="AF157" s="86">
        <f>IF(verze!$E$1="CZK",AD157,IF(verze!$E$1="SK",AE157,""))</f>
        <v>17.951640000000001</v>
      </c>
    </row>
    <row r="158" spans="1:32" ht="15">
      <c r="A158" s="139"/>
      <c r="B158" s="425">
        <v>9347527</v>
      </c>
      <c r="C158" s="216" t="s">
        <v>1157</v>
      </c>
      <c r="D158" s="217">
        <v>200</v>
      </c>
      <c r="E158" s="391"/>
      <c r="F158" s="262"/>
      <c r="G158" s="272">
        <f t="shared" si="12"/>
        <v>1.09639</v>
      </c>
      <c r="H158" s="141" t="str">
        <f t="shared" si="13"/>
        <v>EUR</v>
      </c>
      <c r="I158" s="409" t="s">
        <v>47</v>
      </c>
      <c r="J158" s="467" t="s">
        <v>20200</v>
      </c>
      <c r="L158" s="86" t="e">
        <f>VLOOKUP(B158,$B$11:B157,1,FALSE)</f>
        <v>#N/A</v>
      </c>
      <c r="M158" s="256">
        <f>G158*(1-FORM!$AE$28/100)</f>
        <v>1.09639</v>
      </c>
      <c r="AA158" s="463" t="s">
        <v>1761</v>
      </c>
      <c r="AB158" s="462" t="s">
        <v>1762</v>
      </c>
      <c r="AC158" s="462" t="s">
        <v>1763</v>
      </c>
      <c r="AD158" s="464">
        <v>1000.26214</v>
      </c>
      <c r="AE158" s="465">
        <v>45.824979999999996</v>
      </c>
      <c r="AF158" s="86">
        <f>IF(verze!$E$1="CZK",AD158,IF(verze!$E$1="SK",AE158,""))</f>
        <v>45.824979999999996</v>
      </c>
    </row>
    <row r="159" spans="1:32" ht="15">
      <c r="A159" s="139"/>
      <c r="B159" s="426">
        <v>9347528</v>
      </c>
      <c r="C159" s="304" t="s">
        <v>1158</v>
      </c>
      <c r="D159" s="226">
        <v>200</v>
      </c>
      <c r="E159" s="396"/>
      <c r="F159" s="268"/>
      <c r="G159" s="272">
        <f t="shared" si="12"/>
        <v>1.1824300000000001</v>
      </c>
      <c r="H159" s="142" t="str">
        <f t="shared" ref="H159:H176" si="14">IF(G159="","",$H$10)</f>
        <v>EUR</v>
      </c>
      <c r="I159" s="417" t="s">
        <v>47</v>
      </c>
      <c r="J159" s="468" t="s">
        <v>20203</v>
      </c>
      <c r="L159" s="86" t="e">
        <f>VLOOKUP(B159,$B$11:B158,1,FALSE)</f>
        <v>#N/A</v>
      </c>
      <c r="M159" s="256">
        <f>G159*(1-FORM!$AE$28/100)</f>
        <v>1.1824300000000001</v>
      </c>
      <c r="AA159" s="463" t="s">
        <v>1764</v>
      </c>
      <c r="AB159" s="462" t="s">
        <v>1765</v>
      </c>
      <c r="AC159" s="462" t="s">
        <v>1766</v>
      </c>
      <c r="AD159" s="464">
        <v>175.42917</v>
      </c>
      <c r="AE159" s="465">
        <v>8.0369399999999995</v>
      </c>
      <c r="AF159" s="86">
        <f>IF(verze!$E$1="CZK",AD159,IF(verze!$E$1="SK",AE159,""))</f>
        <v>8.0369399999999995</v>
      </c>
    </row>
    <row r="160" spans="1:32" ht="15">
      <c r="B160" s="301">
        <v>9255835</v>
      </c>
      <c r="C160" s="222" t="s">
        <v>688</v>
      </c>
      <c r="D160" s="223">
        <v>200</v>
      </c>
      <c r="E160" s="395"/>
      <c r="F160" s="266"/>
      <c r="G160" s="272">
        <f t="shared" si="12"/>
        <v>1.1621999999999999</v>
      </c>
      <c r="H160" s="211" t="str">
        <f t="shared" si="14"/>
        <v>EUR</v>
      </c>
      <c r="I160" s="416" t="s">
        <v>47</v>
      </c>
      <c r="J160" s="469" t="s">
        <v>15786</v>
      </c>
      <c r="L160" s="86" t="e">
        <f>VLOOKUP(B160,$B$11:B159,1,FALSE)</f>
        <v>#N/A</v>
      </c>
      <c r="M160" s="256">
        <f>G160*(1-FORM!$AE$28/100)</f>
        <v>1.1621999999999999</v>
      </c>
      <c r="AA160" s="463" t="s">
        <v>1767</v>
      </c>
      <c r="AB160" s="462" t="s">
        <v>1768</v>
      </c>
      <c r="AC160" s="462" t="s">
        <v>1769</v>
      </c>
      <c r="AD160" s="464">
        <v>198.30869999999999</v>
      </c>
      <c r="AE160" s="465">
        <v>9.0851000000000006</v>
      </c>
      <c r="AF160" s="86">
        <f>IF(verze!$E$1="CZK",AD160,IF(verze!$E$1="SK",AE160,""))</f>
        <v>9.0851000000000006</v>
      </c>
    </row>
    <row r="161" spans="1:32" ht="15">
      <c r="B161" s="303">
        <v>9255836</v>
      </c>
      <c r="C161" s="304" t="s">
        <v>689</v>
      </c>
      <c r="D161" s="226">
        <v>200</v>
      </c>
      <c r="E161" s="396"/>
      <c r="F161" s="268"/>
      <c r="G161" s="272">
        <f t="shared" si="12"/>
        <v>1.1907000000000001</v>
      </c>
      <c r="H161" s="142" t="str">
        <f t="shared" si="14"/>
        <v>EUR</v>
      </c>
      <c r="I161" s="417" t="s">
        <v>47</v>
      </c>
      <c r="J161" s="467" t="s">
        <v>15791</v>
      </c>
      <c r="L161" s="86" t="e">
        <f>VLOOKUP(B161,$B$11:B160,1,FALSE)</f>
        <v>#N/A</v>
      </c>
      <c r="M161" s="256">
        <f>G161*(1-FORM!$AE$28/100)</f>
        <v>1.1907000000000001</v>
      </c>
      <c r="AA161" s="463" t="s">
        <v>1770</v>
      </c>
      <c r="AB161" s="462" t="s">
        <v>1771</v>
      </c>
      <c r="AC161" s="462" t="s">
        <v>1772</v>
      </c>
      <c r="AD161" s="464">
        <v>228.88387</v>
      </c>
      <c r="AE161" s="465">
        <v>10.48584</v>
      </c>
      <c r="AF161" s="86">
        <f>IF(verze!$E$1="CZK",AD161,IF(verze!$E$1="SK",AE161,""))</f>
        <v>10.48584</v>
      </c>
    </row>
    <row r="162" spans="1:32" ht="15">
      <c r="B162" s="305"/>
      <c r="C162" s="15"/>
      <c r="D162" s="221"/>
      <c r="E162" s="397"/>
      <c r="F162" s="265"/>
      <c r="G162" s="272"/>
      <c r="H162" s="136"/>
      <c r="I162" s="414" t="s">
        <v>47</v>
      </c>
      <c r="J162" s="415"/>
      <c r="L162" s="86" t="e">
        <f>VLOOKUP(B162,$B$11:B161,1,FALSE)</f>
        <v>#N/A</v>
      </c>
      <c r="M162" s="256">
        <f>G162*(1-FORM!$AE$28/100)</f>
        <v>0</v>
      </c>
      <c r="AA162" s="463" t="s">
        <v>1773</v>
      </c>
      <c r="AB162" s="462" t="s">
        <v>1774</v>
      </c>
      <c r="AC162" s="462" t="s">
        <v>1775</v>
      </c>
      <c r="AD162" s="464">
        <v>251.75967</v>
      </c>
      <c r="AE162" s="465">
        <v>11.53384</v>
      </c>
      <c r="AF162" s="86">
        <f>IF(verze!$E$1="CZK",AD162,IF(verze!$E$1="SK",AE162,""))</f>
        <v>11.53384</v>
      </c>
    </row>
    <row r="163" spans="1:32" ht="15">
      <c r="A163" s="130"/>
      <c r="B163" s="424">
        <v>9353344</v>
      </c>
      <c r="C163" s="222" t="s">
        <v>1204</v>
      </c>
      <c r="D163" s="223">
        <v>1</v>
      </c>
      <c r="E163" s="395"/>
      <c r="F163" s="266"/>
      <c r="G163" s="272">
        <f t="shared" si="12"/>
        <v>31.07366</v>
      </c>
      <c r="H163" s="211" t="str">
        <f t="shared" ref="H163" si="15">IF(G163="","",$H$10)</f>
        <v>EUR</v>
      </c>
      <c r="I163" s="416" t="s">
        <v>47</v>
      </c>
      <c r="J163" s="467" t="s">
        <v>20455</v>
      </c>
      <c r="L163" s="86" t="e">
        <f>VLOOKUP(B163,$B$11:B161,1,FALSE)</f>
        <v>#N/A</v>
      </c>
      <c r="M163" s="256">
        <f>G163*(1-FORM!$AE$28/100)</f>
        <v>31.07366</v>
      </c>
      <c r="AA163" s="463" t="s">
        <v>1776</v>
      </c>
      <c r="AB163" s="462" t="s">
        <v>1777</v>
      </c>
      <c r="AC163" s="462" t="s">
        <v>1778</v>
      </c>
      <c r="AD163" s="464">
        <v>259.41458</v>
      </c>
      <c r="AE163" s="465">
        <v>11.88456</v>
      </c>
      <c r="AF163" s="86">
        <f>IF(verze!$E$1="CZK",AD163,IF(verze!$E$1="SK",AE163,""))</f>
        <v>11.88456</v>
      </c>
    </row>
    <row r="164" spans="1:32" ht="15">
      <c r="A164" s="130"/>
      <c r="B164" s="424">
        <v>9353345</v>
      </c>
      <c r="C164" s="222" t="s">
        <v>1205</v>
      </c>
      <c r="D164" s="223">
        <v>1</v>
      </c>
      <c r="E164" s="395"/>
      <c r="F164" s="266"/>
      <c r="G164" s="272">
        <f t="shared" si="12"/>
        <v>31.29269</v>
      </c>
      <c r="H164" s="211" t="str">
        <f t="shared" si="14"/>
        <v>EUR</v>
      </c>
      <c r="I164" s="416" t="s">
        <v>47</v>
      </c>
      <c r="J164" s="467" t="s">
        <v>20458</v>
      </c>
      <c r="L164" s="86" t="e">
        <f>VLOOKUP(B164,$B$11:B162,1,FALSE)</f>
        <v>#N/A</v>
      </c>
      <c r="M164" s="256">
        <f>G164*(1-FORM!$AE$28/100)</f>
        <v>31.29269</v>
      </c>
      <c r="AA164" s="463" t="s">
        <v>1779</v>
      </c>
      <c r="AB164" s="462" t="s">
        <v>1780</v>
      </c>
      <c r="AC164" s="462" t="s">
        <v>1781</v>
      </c>
      <c r="AD164" s="464">
        <v>293.25182000000001</v>
      </c>
      <c r="AE164" s="465">
        <v>13.43474</v>
      </c>
      <c r="AF164" s="86">
        <f>IF(verze!$E$1="CZK",AD164,IF(verze!$E$1="SK",AE164,""))</f>
        <v>13.43474</v>
      </c>
    </row>
    <row r="165" spans="1:32" ht="15">
      <c r="A165" s="130"/>
      <c r="B165" s="425">
        <v>9353346</v>
      </c>
      <c r="C165" s="216" t="s">
        <v>1206</v>
      </c>
      <c r="D165" s="217">
        <v>1</v>
      </c>
      <c r="E165" s="391"/>
      <c r="F165" s="262"/>
      <c r="G165" s="272">
        <f t="shared" si="12"/>
        <v>31.74728</v>
      </c>
      <c r="H165" s="141" t="str">
        <f t="shared" si="14"/>
        <v>EUR</v>
      </c>
      <c r="I165" s="409" t="s">
        <v>47</v>
      </c>
      <c r="J165" s="467" t="s">
        <v>20461</v>
      </c>
      <c r="L165" s="86" t="e">
        <f>VLOOKUP(B165,$B$11:B164,1,FALSE)</f>
        <v>#N/A</v>
      </c>
      <c r="M165" s="256">
        <f>G165*(1-FORM!$AE$28/100)</f>
        <v>31.74728</v>
      </c>
      <c r="AA165" s="463" t="s">
        <v>1782</v>
      </c>
      <c r="AB165" s="462" t="s">
        <v>1783</v>
      </c>
      <c r="AC165" s="462" t="s">
        <v>1784</v>
      </c>
      <c r="AD165" s="464">
        <v>195.40978000000001</v>
      </c>
      <c r="AE165" s="465">
        <v>8.9522999999999993</v>
      </c>
      <c r="AF165" s="86">
        <f>IF(verze!$E$1="CZK",AD165,IF(verze!$E$1="SK",AE165,""))</f>
        <v>8.9522999999999993</v>
      </c>
    </row>
    <row r="166" spans="1:32" ht="15">
      <c r="A166" s="130"/>
      <c r="B166" s="425">
        <v>9353347</v>
      </c>
      <c r="C166" s="216" t="s">
        <v>1207</v>
      </c>
      <c r="D166" s="217">
        <v>1</v>
      </c>
      <c r="E166" s="391"/>
      <c r="F166" s="262"/>
      <c r="G166" s="272">
        <f t="shared" si="12"/>
        <v>32.201650000000001</v>
      </c>
      <c r="H166" s="141" t="str">
        <f t="shared" si="14"/>
        <v>EUR</v>
      </c>
      <c r="I166" s="409" t="s">
        <v>47</v>
      </c>
      <c r="J166" s="467" t="s">
        <v>20464</v>
      </c>
      <c r="L166" s="86" t="e">
        <f>VLOOKUP(B166,$B$11:B165,1,FALSE)</f>
        <v>#N/A</v>
      </c>
      <c r="M166" s="256">
        <f>G166*(1-FORM!$AE$28/100)</f>
        <v>32.201650000000001</v>
      </c>
      <c r="AA166" s="463" t="s">
        <v>1785</v>
      </c>
      <c r="AB166" s="462" t="s">
        <v>1786</v>
      </c>
      <c r="AC166" s="462" t="s">
        <v>1787</v>
      </c>
      <c r="AD166" s="464">
        <v>204.29172</v>
      </c>
      <c r="AE166" s="465">
        <v>9.3591999999999995</v>
      </c>
      <c r="AF166" s="86">
        <f>IF(verze!$E$1="CZK",AD166,IF(verze!$E$1="SK",AE166,""))</f>
        <v>9.3591999999999995</v>
      </c>
    </row>
    <row r="167" spans="1:32" ht="15">
      <c r="A167" s="130"/>
      <c r="B167" s="425">
        <v>9353348</v>
      </c>
      <c r="C167" s="216" t="s">
        <v>1208</v>
      </c>
      <c r="D167" s="217">
        <v>1</v>
      </c>
      <c r="E167" s="391"/>
      <c r="F167" s="262"/>
      <c r="G167" s="272">
        <f t="shared" si="12"/>
        <v>31.101500000000001</v>
      </c>
      <c r="H167" s="141" t="str">
        <f t="shared" si="14"/>
        <v>EUR</v>
      </c>
      <c r="I167" s="409" t="s">
        <v>47</v>
      </c>
      <c r="J167" s="467" t="s">
        <v>20467</v>
      </c>
      <c r="L167" s="86" t="e">
        <f>VLOOKUP(B167,$B$11:B166,1,FALSE)</f>
        <v>#N/A</v>
      </c>
      <c r="M167" s="256">
        <f>G167*(1-FORM!$AE$28/100)</f>
        <v>31.101500000000001</v>
      </c>
      <c r="AA167" s="463" t="s">
        <v>1788</v>
      </c>
      <c r="AB167" s="462" t="s">
        <v>1789</v>
      </c>
      <c r="AC167" s="462" t="s">
        <v>1790</v>
      </c>
      <c r="AD167" s="464">
        <v>298.90127999999999</v>
      </c>
      <c r="AE167" s="465">
        <v>13.69356</v>
      </c>
      <c r="AF167" s="86">
        <f>IF(verze!$E$1="CZK",AD167,IF(verze!$E$1="SK",AE167,""))</f>
        <v>13.69356</v>
      </c>
    </row>
    <row r="168" spans="1:32" ht="15">
      <c r="A168" s="130"/>
      <c r="B168" s="425">
        <v>9353349</v>
      </c>
      <c r="C168" s="216" t="s">
        <v>1209</v>
      </c>
      <c r="D168" s="217">
        <v>1</v>
      </c>
      <c r="E168" s="391"/>
      <c r="F168" s="262"/>
      <c r="G168" s="272">
        <f t="shared" si="12"/>
        <v>31.53424</v>
      </c>
      <c r="H168" s="141" t="str">
        <f t="shared" si="14"/>
        <v>EUR</v>
      </c>
      <c r="I168" s="409" t="s">
        <v>47</v>
      </c>
      <c r="J168" s="467" t="s">
        <v>20470</v>
      </c>
      <c r="L168" s="86" t="e">
        <f>VLOOKUP(B168,$B$11:B167,1,FALSE)</f>
        <v>#N/A</v>
      </c>
      <c r="M168" s="256">
        <f>G168*(1-FORM!$AE$28/100)</f>
        <v>31.53424</v>
      </c>
      <c r="AA168" s="463" t="s">
        <v>1791</v>
      </c>
      <c r="AB168" s="462" t="s">
        <v>1792</v>
      </c>
      <c r="AC168" s="462" t="s">
        <v>1793</v>
      </c>
      <c r="AD168" s="464">
        <v>752.22064</v>
      </c>
      <c r="AE168" s="465">
        <v>34.461460000000002</v>
      </c>
      <c r="AF168" s="86">
        <f>IF(verze!$E$1="CZK",AD168,IF(verze!$E$1="SK",AE168,""))</f>
        <v>34.461460000000002</v>
      </c>
    </row>
    <row r="169" spans="1:32" ht="15">
      <c r="A169" s="130"/>
      <c r="B169" s="425">
        <v>9353350</v>
      </c>
      <c r="C169" s="216" t="s">
        <v>1210</v>
      </c>
      <c r="D169" s="217">
        <v>1</v>
      </c>
      <c r="E169" s="391"/>
      <c r="F169" s="262"/>
      <c r="G169" s="272">
        <f t="shared" si="12"/>
        <v>33.565219999999997</v>
      </c>
      <c r="H169" s="141" t="str">
        <f t="shared" si="14"/>
        <v>EUR</v>
      </c>
      <c r="I169" s="409" t="s">
        <v>47</v>
      </c>
      <c r="J169" s="467" t="s">
        <v>20473</v>
      </c>
      <c r="L169" s="86" t="e">
        <f>VLOOKUP(B169,$B$11:B168,1,FALSE)</f>
        <v>#N/A</v>
      </c>
      <c r="M169" s="256">
        <f>G169*(1-FORM!$AE$28/100)</f>
        <v>33.565219999999997</v>
      </c>
      <c r="AA169" s="463" t="s">
        <v>1794</v>
      </c>
      <c r="AB169" s="462" t="s">
        <v>1795</v>
      </c>
      <c r="AC169" s="462" t="s">
        <v>1796</v>
      </c>
      <c r="AD169" s="464">
        <v>752.22064</v>
      </c>
      <c r="AE169" s="465">
        <v>34.461460000000002</v>
      </c>
      <c r="AF169" s="86">
        <f>IF(verze!$E$1="CZK",AD169,IF(verze!$E$1="SK",AE169,""))</f>
        <v>34.461460000000002</v>
      </c>
    </row>
    <row r="170" spans="1:32" ht="15">
      <c r="A170" s="130"/>
      <c r="B170" s="439">
        <v>9353351</v>
      </c>
      <c r="C170" s="218" t="s">
        <v>1211</v>
      </c>
      <c r="D170" s="219">
        <v>1</v>
      </c>
      <c r="E170" s="392"/>
      <c r="F170" s="263"/>
      <c r="G170" s="272">
        <f t="shared" si="12"/>
        <v>34.295520000000003</v>
      </c>
      <c r="H170" s="133" t="str">
        <f t="shared" si="14"/>
        <v>EUR</v>
      </c>
      <c r="I170" s="411" t="s">
        <v>47</v>
      </c>
      <c r="J170" s="467" t="s">
        <v>20476</v>
      </c>
      <c r="L170" s="86" t="e">
        <f>VLOOKUP(B170,$B$11:B169,1,FALSE)</f>
        <v>#N/A</v>
      </c>
      <c r="M170" s="256">
        <f>G170*(1-FORM!$AE$28/100)</f>
        <v>34.295520000000003</v>
      </c>
      <c r="AA170" s="463" t="s">
        <v>1797</v>
      </c>
      <c r="AB170" s="462" t="s">
        <v>1798</v>
      </c>
      <c r="AC170" s="462" t="s">
        <v>1799</v>
      </c>
      <c r="AD170" s="464">
        <v>1000.26947</v>
      </c>
      <c r="AE170" s="465">
        <v>45.825319999999998</v>
      </c>
      <c r="AF170" s="86">
        <f>IF(verze!$E$1="CZK",AD170,IF(verze!$E$1="SK",AE170,""))</f>
        <v>45.825319999999998</v>
      </c>
    </row>
    <row r="171" spans="1:32" ht="15">
      <c r="A171" s="130"/>
      <c r="B171" s="426">
        <v>9353352</v>
      </c>
      <c r="C171" s="304" t="s">
        <v>1212</v>
      </c>
      <c r="D171" s="226">
        <v>1</v>
      </c>
      <c r="E171" s="396"/>
      <c r="F171" s="268"/>
      <c r="G171" s="272">
        <f t="shared" si="12"/>
        <v>35.162860000000002</v>
      </c>
      <c r="H171" s="142" t="str">
        <f t="shared" ref="H171:H172" si="16">IF(G171="","",$H$10)</f>
        <v>EUR</v>
      </c>
      <c r="I171" s="417" t="s">
        <v>47</v>
      </c>
      <c r="J171" s="468" t="s">
        <v>20479</v>
      </c>
      <c r="L171" s="86" t="e">
        <f>VLOOKUP(B171,$B$11:B170,1,FALSE)</f>
        <v>#N/A</v>
      </c>
      <c r="M171" s="256">
        <f>G171*(1-FORM!$AE$28/100)</f>
        <v>35.162860000000002</v>
      </c>
      <c r="AA171" s="463" t="s">
        <v>1800</v>
      </c>
      <c r="AB171" s="462" t="s">
        <v>1801</v>
      </c>
      <c r="AC171" s="462" t="s">
        <v>1802</v>
      </c>
      <c r="AD171" s="464">
        <v>154.18450000000001</v>
      </c>
      <c r="AE171" s="465">
        <v>7.0636599999999996</v>
      </c>
      <c r="AF171" s="86">
        <f>IF(verze!$E$1="CZK",AD171,IF(verze!$E$1="SK",AE171,""))</f>
        <v>7.0636599999999996</v>
      </c>
    </row>
    <row r="172" spans="1:32" ht="15">
      <c r="A172" s="137"/>
      <c r="B172" s="439">
        <v>9353392</v>
      </c>
      <c r="C172" s="218" t="s">
        <v>1213</v>
      </c>
      <c r="D172" s="219">
        <v>1</v>
      </c>
      <c r="E172" s="392"/>
      <c r="F172" s="263"/>
      <c r="G172" s="272">
        <f t="shared" si="12"/>
        <v>31.07366</v>
      </c>
      <c r="H172" s="133" t="str">
        <f t="shared" si="16"/>
        <v>EUR</v>
      </c>
      <c r="I172" s="411" t="s">
        <v>47</v>
      </c>
      <c r="J172" s="469" t="s">
        <v>20569</v>
      </c>
      <c r="L172" s="86" t="e">
        <f>VLOOKUP(B172,$B$11:B171,1,FALSE)</f>
        <v>#N/A</v>
      </c>
      <c r="M172" s="256">
        <f>G172*(1-FORM!$AE$28/100)</f>
        <v>31.07366</v>
      </c>
      <c r="AA172" s="463" t="s">
        <v>1803</v>
      </c>
      <c r="AB172" s="462" t="s">
        <v>1804</v>
      </c>
      <c r="AC172" s="462" t="s">
        <v>1805</v>
      </c>
      <c r="AD172" s="464">
        <v>110.23081000000001</v>
      </c>
      <c r="AE172" s="465">
        <v>5.05</v>
      </c>
      <c r="AF172" s="86">
        <f>IF(verze!$E$1="CZK",AD172,IF(verze!$E$1="SK",AE172,""))</f>
        <v>5.05</v>
      </c>
    </row>
    <row r="173" spans="1:32" ht="15">
      <c r="A173" s="137"/>
      <c r="B173" s="439">
        <v>9353393</v>
      </c>
      <c r="C173" s="218" t="s">
        <v>1214</v>
      </c>
      <c r="D173" s="219">
        <v>1</v>
      </c>
      <c r="E173" s="392"/>
      <c r="F173" s="263"/>
      <c r="G173" s="272">
        <f t="shared" si="12"/>
        <v>31.29269</v>
      </c>
      <c r="H173" s="133" t="str">
        <f t="shared" si="14"/>
        <v>EUR</v>
      </c>
      <c r="I173" s="411" t="s">
        <v>47</v>
      </c>
      <c r="J173" s="467" t="s">
        <v>20572</v>
      </c>
      <c r="L173" s="86" t="e">
        <f>VLOOKUP(B173,$B$11:B170,1,FALSE)</f>
        <v>#N/A</v>
      </c>
      <c r="M173" s="256">
        <f>G173*(1-FORM!$AE$28/100)</f>
        <v>31.29269</v>
      </c>
      <c r="AA173" s="463" t="s">
        <v>1806</v>
      </c>
      <c r="AB173" s="462" t="s">
        <v>1807</v>
      </c>
      <c r="AC173" s="462" t="s">
        <v>1808</v>
      </c>
      <c r="AD173" s="464">
        <v>355.91469999999998</v>
      </c>
      <c r="AE173" s="465">
        <v>16.305520000000001</v>
      </c>
      <c r="AF173" s="86">
        <f>IF(verze!$E$1="CZK",AD173,IF(verze!$E$1="SK",AE173,""))</f>
        <v>16.305520000000001</v>
      </c>
    </row>
    <row r="174" spans="1:32" ht="15">
      <c r="A174" s="137"/>
      <c r="B174" s="425">
        <v>9353394</v>
      </c>
      <c r="C174" s="216" t="s">
        <v>1215</v>
      </c>
      <c r="D174" s="217">
        <v>1</v>
      </c>
      <c r="E174" s="391"/>
      <c r="F174" s="262"/>
      <c r="G174" s="272">
        <f t="shared" si="12"/>
        <v>31.74728</v>
      </c>
      <c r="H174" s="141" t="str">
        <f t="shared" si="14"/>
        <v>EUR</v>
      </c>
      <c r="I174" s="409" t="s">
        <v>47</v>
      </c>
      <c r="J174" s="467" t="s">
        <v>20575</v>
      </c>
      <c r="L174" s="86" t="e">
        <f>VLOOKUP(B174,$B$11:B173,1,FALSE)</f>
        <v>#N/A</v>
      </c>
      <c r="M174" s="256">
        <f>G174*(1-FORM!$AE$28/100)</f>
        <v>31.74728</v>
      </c>
      <c r="AA174" s="463" t="s">
        <v>1809</v>
      </c>
      <c r="AB174" s="462" t="s">
        <v>1810</v>
      </c>
      <c r="AC174" s="462" t="s">
        <v>1811</v>
      </c>
      <c r="AD174" s="464">
        <v>400.42435999999998</v>
      </c>
      <c r="AE174" s="465">
        <v>18.344619999999999</v>
      </c>
      <c r="AF174" s="86">
        <f>IF(verze!$E$1="CZK",AD174,IF(verze!$E$1="SK",AE174,""))</f>
        <v>18.344619999999999</v>
      </c>
    </row>
    <row r="175" spans="1:32" ht="15">
      <c r="A175" s="137"/>
      <c r="B175" s="425">
        <v>9353395</v>
      </c>
      <c r="C175" s="216" t="s">
        <v>1216</v>
      </c>
      <c r="D175" s="217">
        <v>1</v>
      </c>
      <c r="E175" s="391"/>
      <c r="F175" s="262"/>
      <c r="G175" s="272">
        <f t="shared" si="12"/>
        <v>32.201650000000001</v>
      </c>
      <c r="H175" s="141" t="str">
        <f t="shared" si="14"/>
        <v>EUR</v>
      </c>
      <c r="I175" s="409" t="s">
        <v>47</v>
      </c>
      <c r="J175" s="467" t="s">
        <v>20578</v>
      </c>
      <c r="L175" s="86" t="e">
        <f>VLOOKUP(B175,$B$11:B174,1,FALSE)</f>
        <v>#N/A</v>
      </c>
      <c r="M175" s="256">
        <f>G175*(1-FORM!$AE$28/100)</f>
        <v>32.201650000000001</v>
      </c>
      <c r="AA175" s="463" t="s">
        <v>1812</v>
      </c>
      <c r="AB175" s="462" t="s">
        <v>1813</v>
      </c>
      <c r="AC175" s="462" t="s">
        <v>1814</v>
      </c>
      <c r="AD175" s="464">
        <v>447.00626999999997</v>
      </c>
      <c r="AE175" s="465">
        <v>20.478680000000001</v>
      </c>
      <c r="AF175" s="86">
        <f>IF(verze!$E$1="CZK",AD175,IF(verze!$E$1="SK",AE175,""))</f>
        <v>20.478680000000001</v>
      </c>
    </row>
    <row r="176" spans="1:32" ht="15">
      <c r="A176" s="137"/>
      <c r="B176" s="425">
        <v>9353396</v>
      </c>
      <c r="C176" s="216" t="s">
        <v>1217</v>
      </c>
      <c r="D176" s="217">
        <v>1</v>
      </c>
      <c r="E176" s="391"/>
      <c r="F176" s="262"/>
      <c r="G176" s="272">
        <f t="shared" si="12"/>
        <v>31.101500000000001</v>
      </c>
      <c r="H176" s="141" t="str">
        <f t="shared" si="14"/>
        <v>EUR</v>
      </c>
      <c r="I176" s="409" t="s">
        <v>47</v>
      </c>
      <c r="J176" s="467" t="s">
        <v>20581</v>
      </c>
      <c r="L176" s="86" t="e">
        <f>VLOOKUP(B176,$B$11:B175,1,FALSE)</f>
        <v>#N/A</v>
      </c>
      <c r="M176" s="256">
        <f>G176*(1-FORM!$AE$28/100)</f>
        <v>31.101500000000001</v>
      </c>
      <c r="AA176" s="463" t="s">
        <v>1815</v>
      </c>
      <c r="AB176" s="462" t="s">
        <v>1816</v>
      </c>
      <c r="AC176" s="462" t="s">
        <v>1817</v>
      </c>
      <c r="AD176" s="464">
        <v>541.22289999999998</v>
      </c>
      <c r="AE176" s="465">
        <v>24.795020000000001</v>
      </c>
      <c r="AF176" s="86">
        <f>IF(verze!$E$1="CZK",AD176,IF(verze!$E$1="SK",AE176,""))</f>
        <v>24.795020000000001</v>
      </c>
    </row>
    <row r="177" spans="1:32" ht="15">
      <c r="A177" s="137"/>
      <c r="B177" s="425">
        <v>9353397</v>
      </c>
      <c r="C177" s="216" t="s">
        <v>1218</v>
      </c>
      <c r="D177" s="217">
        <v>1</v>
      </c>
      <c r="E177" s="391"/>
      <c r="F177" s="262"/>
      <c r="G177" s="272">
        <f t="shared" si="12"/>
        <v>31.53424</v>
      </c>
      <c r="H177" s="141" t="str">
        <f t="shared" ref="H177:H185" si="17">IF(G177="","",$H$10)</f>
        <v>EUR</v>
      </c>
      <c r="I177" s="409" t="s">
        <v>47</v>
      </c>
      <c r="J177" s="467" t="s">
        <v>20584</v>
      </c>
      <c r="L177" s="86" t="e">
        <f>VLOOKUP(B177,$B$11:B176,1,FALSE)</f>
        <v>#N/A</v>
      </c>
      <c r="M177" s="256">
        <f>G177*(1-FORM!$AE$28/100)</f>
        <v>31.53424</v>
      </c>
      <c r="AA177" s="463" t="s">
        <v>1818</v>
      </c>
      <c r="AB177" s="462" t="s">
        <v>1819</v>
      </c>
      <c r="AC177" s="462" t="s">
        <v>1820</v>
      </c>
      <c r="AD177" s="464">
        <v>918.63435000000004</v>
      </c>
      <c r="AE177" s="465">
        <v>42.085360000000001</v>
      </c>
      <c r="AF177" s="86">
        <f>IF(verze!$E$1="CZK",AD177,IF(verze!$E$1="SK",AE177,""))</f>
        <v>42.085360000000001</v>
      </c>
    </row>
    <row r="178" spans="1:32" ht="15">
      <c r="A178" s="137"/>
      <c r="B178" s="425">
        <v>9353398</v>
      </c>
      <c r="C178" s="216" t="s">
        <v>1219</v>
      </c>
      <c r="D178" s="217">
        <v>1</v>
      </c>
      <c r="E178" s="391"/>
      <c r="F178" s="262"/>
      <c r="G178" s="272">
        <f t="shared" si="12"/>
        <v>33.565219999999997</v>
      </c>
      <c r="H178" s="141" t="str">
        <f t="shared" si="17"/>
        <v>EUR</v>
      </c>
      <c r="I178" s="409" t="s">
        <v>47</v>
      </c>
      <c r="J178" s="467" t="s">
        <v>20587</v>
      </c>
      <c r="L178" s="86" t="e">
        <f>VLOOKUP(B178,$B$11:B177,1,FALSE)</f>
        <v>#N/A</v>
      </c>
      <c r="M178" s="256">
        <f>G178*(1-FORM!$AE$28/100)</f>
        <v>33.565219999999997</v>
      </c>
      <c r="AA178" s="463" t="s">
        <v>1821</v>
      </c>
      <c r="AB178" s="462" t="s">
        <v>1822</v>
      </c>
      <c r="AC178" s="462" t="s">
        <v>1823</v>
      </c>
      <c r="AD178" s="464">
        <v>1052.62689</v>
      </c>
      <c r="AE178" s="465">
        <v>48.223939999999999</v>
      </c>
      <c r="AF178" s="86">
        <f>IF(verze!$E$1="CZK",AD178,IF(verze!$E$1="SK",AE178,""))</f>
        <v>48.223939999999999</v>
      </c>
    </row>
    <row r="179" spans="1:32" ht="15">
      <c r="A179" s="137"/>
      <c r="B179" s="439">
        <v>9353399</v>
      </c>
      <c r="C179" s="218" t="s">
        <v>1220</v>
      </c>
      <c r="D179" s="219">
        <v>1</v>
      </c>
      <c r="E179" s="392"/>
      <c r="F179" s="263"/>
      <c r="G179" s="272">
        <f t="shared" si="12"/>
        <v>34.295520000000003</v>
      </c>
      <c r="H179" s="133" t="str">
        <f t="shared" si="17"/>
        <v>EUR</v>
      </c>
      <c r="I179" s="411" t="s">
        <v>47</v>
      </c>
      <c r="J179" s="467" t="s">
        <v>20590</v>
      </c>
      <c r="L179" s="86" t="e">
        <f>VLOOKUP(B179,$B$11:B178,1,FALSE)</f>
        <v>#N/A</v>
      </c>
      <c r="M179" s="256">
        <f>G179*(1-FORM!$AE$28/100)</f>
        <v>34.295520000000003</v>
      </c>
      <c r="AA179" s="463" t="s">
        <v>1824</v>
      </c>
      <c r="AB179" s="462" t="s">
        <v>1825</v>
      </c>
      <c r="AC179" s="462" t="s">
        <v>1826</v>
      </c>
      <c r="AD179" s="464">
        <v>242.23548</v>
      </c>
      <c r="AE179" s="465">
        <v>10.6775</v>
      </c>
      <c r="AF179" s="86">
        <f>IF(verze!$E$1="CZK",AD179,IF(verze!$E$1="SK",AE179,""))</f>
        <v>10.6775</v>
      </c>
    </row>
    <row r="180" spans="1:32" ht="15">
      <c r="A180" s="137"/>
      <c r="B180" s="426">
        <v>9353400</v>
      </c>
      <c r="C180" s="304" t="s">
        <v>1221</v>
      </c>
      <c r="D180" s="226">
        <v>1</v>
      </c>
      <c r="E180" s="396"/>
      <c r="F180" s="268"/>
      <c r="G180" s="272">
        <f t="shared" si="12"/>
        <v>35.162860000000002</v>
      </c>
      <c r="H180" s="142" t="str">
        <f t="shared" ref="H180:H181" si="18">IF(G180="","",$H$10)</f>
        <v>EUR</v>
      </c>
      <c r="I180" s="417" t="s">
        <v>47</v>
      </c>
      <c r="J180" s="468" t="s">
        <v>20593</v>
      </c>
      <c r="L180" s="86" t="e">
        <f>VLOOKUP(B180,$B$11:B179,1,FALSE)</f>
        <v>#N/A</v>
      </c>
      <c r="M180" s="256">
        <f>G180*(1-FORM!$AE$28/100)</f>
        <v>35.162860000000002</v>
      </c>
      <c r="AA180" s="463" t="s">
        <v>1827</v>
      </c>
      <c r="AB180" s="462" t="s">
        <v>1828</v>
      </c>
      <c r="AC180" s="462" t="s">
        <v>1829</v>
      </c>
      <c r="AD180" s="464">
        <v>251.22209000000001</v>
      </c>
      <c r="AE180" s="465">
        <v>11.509219999999999</v>
      </c>
      <c r="AF180" s="86">
        <f>IF(verze!$E$1="CZK",AD180,IF(verze!$E$1="SK",AE180,""))</f>
        <v>11.509219999999999</v>
      </c>
    </row>
    <row r="181" spans="1:32" ht="15">
      <c r="A181" s="139"/>
      <c r="B181" s="439">
        <v>9353430</v>
      </c>
      <c r="C181" s="222" t="s">
        <v>1222</v>
      </c>
      <c r="D181" s="219">
        <v>1</v>
      </c>
      <c r="E181" s="392"/>
      <c r="F181" s="263"/>
      <c r="G181" s="272">
        <f t="shared" si="12"/>
        <v>31.07366</v>
      </c>
      <c r="H181" s="133" t="str">
        <f t="shared" si="18"/>
        <v>EUR</v>
      </c>
      <c r="I181" s="411" t="s">
        <v>47</v>
      </c>
      <c r="J181" s="469" t="s">
        <v>20683</v>
      </c>
      <c r="L181" s="86" t="e">
        <f>VLOOKUP(B181,$B$11:B180,1,FALSE)</f>
        <v>#N/A</v>
      </c>
      <c r="M181" s="256">
        <f>G181*(1-FORM!$AE$28/100)</f>
        <v>31.07366</v>
      </c>
      <c r="AA181" s="463" t="s">
        <v>1830</v>
      </c>
      <c r="AB181" s="462" t="s">
        <v>1831</v>
      </c>
      <c r="AC181" s="462" t="s">
        <v>1832</v>
      </c>
      <c r="AD181" s="464">
        <v>173.95375000000001</v>
      </c>
      <c r="AE181" s="465">
        <v>7.9693399999999999</v>
      </c>
      <c r="AF181" s="86">
        <f>IF(verze!$E$1="CZK",AD181,IF(verze!$E$1="SK",AE181,""))</f>
        <v>7.9693399999999999</v>
      </c>
    </row>
    <row r="182" spans="1:32" ht="15">
      <c r="A182" s="139"/>
      <c r="B182" s="439">
        <v>9353431</v>
      </c>
      <c r="C182" s="218" t="s">
        <v>1223</v>
      </c>
      <c r="D182" s="219">
        <v>1</v>
      </c>
      <c r="E182" s="392"/>
      <c r="F182" s="263"/>
      <c r="G182" s="272">
        <f t="shared" si="12"/>
        <v>31.29269</v>
      </c>
      <c r="H182" s="133" t="str">
        <f t="shared" si="17"/>
        <v>EUR</v>
      </c>
      <c r="I182" s="411" t="s">
        <v>47</v>
      </c>
      <c r="J182" s="467" t="s">
        <v>20686</v>
      </c>
      <c r="L182" s="86" t="e">
        <f>VLOOKUP(B182,$B$11:B179,1,FALSE)</f>
        <v>#N/A</v>
      </c>
      <c r="M182" s="256">
        <f>G182*(1-FORM!$AE$28/100)</f>
        <v>31.29269</v>
      </c>
      <c r="AA182" s="463" t="s">
        <v>1833</v>
      </c>
      <c r="AB182" s="462" t="s">
        <v>1834</v>
      </c>
      <c r="AC182" s="462" t="s">
        <v>1835</v>
      </c>
      <c r="AD182" s="464">
        <v>173.95375000000001</v>
      </c>
      <c r="AE182" s="465">
        <v>7.9693399999999999</v>
      </c>
      <c r="AF182" s="86">
        <f>IF(verze!$E$1="CZK",AD182,IF(verze!$E$1="SK",AE182,""))</f>
        <v>7.9693399999999999</v>
      </c>
    </row>
    <row r="183" spans="1:32" ht="15">
      <c r="A183" s="139"/>
      <c r="B183" s="425">
        <v>9353432</v>
      </c>
      <c r="C183" s="216" t="s">
        <v>1224</v>
      </c>
      <c r="D183" s="217">
        <v>1</v>
      </c>
      <c r="E183" s="391"/>
      <c r="F183" s="262"/>
      <c r="G183" s="272">
        <f t="shared" si="12"/>
        <v>31.74728</v>
      </c>
      <c r="H183" s="141" t="str">
        <f t="shared" si="17"/>
        <v>EUR</v>
      </c>
      <c r="I183" s="409" t="s">
        <v>47</v>
      </c>
      <c r="J183" s="467" t="s">
        <v>20689</v>
      </c>
      <c r="L183" s="86" t="e">
        <f>VLOOKUP(B183,$B$11:B182,1,FALSE)</f>
        <v>#N/A</v>
      </c>
      <c r="M183" s="256">
        <f>G183*(1-FORM!$AE$28/100)</f>
        <v>31.74728</v>
      </c>
      <c r="AA183" s="463" t="s">
        <v>1836</v>
      </c>
      <c r="AB183" s="462" t="s">
        <v>1837</v>
      </c>
      <c r="AC183" s="462" t="s">
        <v>1838</v>
      </c>
      <c r="AD183" s="464">
        <v>130.33374000000001</v>
      </c>
      <c r="AE183" s="465">
        <v>5.97098</v>
      </c>
      <c r="AF183" s="86">
        <f>IF(verze!$E$1="CZK",AD183,IF(verze!$E$1="SK",AE183,""))</f>
        <v>5.97098</v>
      </c>
    </row>
    <row r="184" spans="1:32" ht="15">
      <c r="A184" s="139"/>
      <c r="B184" s="425">
        <v>9353433</v>
      </c>
      <c r="C184" s="216" t="s">
        <v>1225</v>
      </c>
      <c r="D184" s="217">
        <v>1</v>
      </c>
      <c r="E184" s="391"/>
      <c r="F184" s="262"/>
      <c r="G184" s="272">
        <f t="shared" si="12"/>
        <v>32.201650000000001</v>
      </c>
      <c r="H184" s="141" t="str">
        <f t="shared" si="17"/>
        <v>EUR</v>
      </c>
      <c r="I184" s="409" t="s">
        <v>47</v>
      </c>
      <c r="J184" s="467" t="s">
        <v>20692</v>
      </c>
      <c r="L184" s="86" t="e">
        <f>VLOOKUP(B184,$B$11:B183,1,FALSE)</f>
        <v>#N/A</v>
      </c>
      <c r="M184" s="256">
        <f>G184*(1-FORM!$AE$28/100)</f>
        <v>32.201650000000001</v>
      </c>
      <c r="AA184" s="463" t="s">
        <v>1839</v>
      </c>
      <c r="AB184" s="462" t="s">
        <v>1840</v>
      </c>
      <c r="AC184" s="462" t="s">
        <v>1841</v>
      </c>
      <c r="AD184" s="464">
        <v>121.29617</v>
      </c>
      <c r="AE184" s="465">
        <v>5.5569199999999999</v>
      </c>
      <c r="AF184" s="86">
        <f>IF(verze!$E$1="CZK",AD184,IF(verze!$E$1="SK",AE184,""))</f>
        <v>5.5569199999999999</v>
      </c>
    </row>
    <row r="185" spans="1:32" ht="15">
      <c r="A185" s="139"/>
      <c r="B185" s="425">
        <v>9353434</v>
      </c>
      <c r="C185" s="216" t="s">
        <v>1226</v>
      </c>
      <c r="D185" s="217">
        <v>1</v>
      </c>
      <c r="E185" s="391"/>
      <c r="F185" s="262"/>
      <c r="G185" s="272">
        <f t="shared" si="12"/>
        <v>31.101500000000001</v>
      </c>
      <c r="H185" s="141" t="str">
        <f t="shared" si="17"/>
        <v>EUR</v>
      </c>
      <c r="I185" s="409" t="s">
        <v>47</v>
      </c>
      <c r="J185" s="467" t="s">
        <v>20695</v>
      </c>
      <c r="L185" s="86" t="e">
        <f>VLOOKUP(B185,$B$11:B184,1,FALSE)</f>
        <v>#N/A</v>
      </c>
      <c r="M185" s="256">
        <f>G185*(1-FORM!$AE$28/100)</f>
        <v>31.101500000000001</v>
      </c>
      <c r="AA185" s="463" t="s">
        <v>1842</v>
      </c>
      <c r="AB185" s="462" t="s">
        <v>1843</v>
      </c>
      <c r="AC185" s="462" t="s">
        <v>1844</v>
      </c>
      <c r="AD185" s="464">
        <v>1740.96875</v>
      </c>
      <c r="AE185" s="465">
        <v>79.758939999999996</v>
      </c>
      <c r="AF185" s="86">
        <f>IF(verze!$E$1="CZK",AD185,IF(verze!$E$1="SK",AE185,""))</f>
        <v>79.758939999999996</v>
      </c>
    </row>
    <row r="186" spans="1:32" ht="15">
      <c r="A186" s="139"/>
      <c r="B186" s="425">
        <v>9353435</v>
      </c>
      <c r="C186" s="216" t="s">
        <v>1227</v>
      </c>
      <c r="D186" s="217">
        <v>1</v>
      </c>
      <c r="E186" s="391"/>
      <c r="F186" s="262"/>
      <c r="G186" s="272">
        <f t="shared" si="12"/>
        <v>31.53424</v>
      </c>
      <c r="H186" s="141" t="str">
        <f t="shared" ref="H186:H197" si="19">IF(G186="","",$H$10)</f>
        <v>EUR</v>
      </c>
      <c r="I186" s="409" t="s">
        <v>47</v>
      </c>
      <c r="J186" s="467" t="s">
        <v>20698</v>
      </c>
      <c r="L186" s="86" t="e">
        <f>VLOOKUP(B186,$B$11:B185,1,FALSE)</f>
        <v>#N/A</v>
      </c>
      <c r="M186" s="256">
        <f>G186*(1-FORM!$AE$28/100)</f>
        <v>31.53424</v>
      </c>
      <c r="AA186" s="463" t="s">
        <v>1845</v>
      </c>
      <c r="AB186" s="462" t="s">
        <v>1846</v>
      </c>
      <c r="AC186" s="462" t="s">
        <v>1847</v>
      </c>
      <c r="AD186" s="464">
        <v>262.24671000000001</v>
      </c>
      <c r="AE186" s="465">
        <v>12.0143</v>
      </c>
      <c r="AF186" s="86">
        <f>IF(verze!$E$1="CZK",AD186,IF(verze!$E$1="SK",AE186,""))</f>
        <v>12.0143</v>
      </c>
    </row>
    <row r="187" spans="1:32" ht="15">
      <c r="A187" s="139"/>
      <c r="B187" s="425">
        <v>9353436</v>
      </c>
      <c r="C187" s="216" t="s">
        <v>1228</v>
      </c>
      <c r="D187" s="217">
        <v>1</v>
      </c>
      <c r="E187" s="391"/>
      <c r="F187" s="262"/>
      <c r="G187" s="272">
        <f t="shared" si="12"/>
        <v>33.565219999999997</v>
      </c>
      <c r="H187" s="141" t="str">
        <f t="shared" si="19"/>
        <v>EUR</v>
      </c>
      <c r="I187" s="409" t="s">
        <v>47</v>
      </c>
      <c r="J187" s="467" t="s">
        <v>20701</v>
      </c>
      <c r="L187" s="86" t="e">
        <f>VLOOKUP(B187,$B$11:B186,1,FALSE)</f>
        <v>#N/A</v>
      </c>
      <c r="M187" s="256">
        <f>G187*(1-FORM!$AE$28/100)</f>
        <v>33.565219999999997</v>
      </c>
      <c r="AA187" s="463" t="s">
        <v>1848</v>
      </c>
      <c r="AB187" s="462" t="s">
        <v>1849</v>
      </c>
      <c r="AC187" s="462" t="s">
        <v>1850</v>
      </c>
      <c r="AD187" s="464">
        <v>286.32348999999999</v>
      </c>
      <c r="AE187" s="465">
        <v>13.11734</v>
      </c>
      <c r="AF187" s="86">
        <f>IF(verze!$E$1="CZK",AD187,IF(verze!$E$1="SK",AE187,""))</f>
        <v>13.11734</v>
      </c>
    </row>
    <row r="188" spans="1:32" ht="15">
      <c r="A188" s="139"/>
      <c r="B188" s="439">
        <v>9353437</v>
      </c>
      <c r="C188" s="218" t="s">
        <v>1229</v>
      </c>
      <c r="D188" s="219">
        <v>1</v>
      </c>
      <c r="E188" s="392"/>
      <c r="F188" s="263"/>
      <c r="G188" s="272">
        <f t="shared" si="12"/>
        <v>34.295520000000003</v>
      </c>
      <c r="H188" s="133" t="str">
        <f t="shared" si="19"/>
        <v>EUR</v>
      </c>
      <c r="I188" s="411" t="s">
        <v>47</v>
      </c>
      <c r="J188" s="467" t="s">
        <v>20704</v>
      </c>
      <c r="L188" s="86" t="e">
        <f>VLOOKUP(B188,$B$11:B187,1,FALSE)</f>
        <v>#N/A</v>
      </c>
      <c r="M188" s="256">
        <f>G188*(1-FORM!$AE$28/100)</f>
        <v>34.295520000000003</v>
      </c>
      <c r="AA188" s="463" t="s">
        <v>1851</v>
      </c>
      <c r="AB188" s="462" t="s">
        <v>1852</v>
      </c>
      <c r="AC188" s="462" t="s">
        <v>1853</v>
      </c>
      <c r="AD188" s="464">
        <v>314.55955</v>
      </c>
      <c r="AE188" s="465">
        <v>14.4109</v>
      </c>
      <c r="AF188" s="86">
        <f>IF(verze!$E$1="CZK",AD188,IF(verze!$E$1="SK",AE188,""))</f>
        <v>14.4109</v>
      </c>
    </row>
    <row r="189" spans="1:32" ht="15">
      <c r="A189" s="139"/>
      <c r="B189" s="426">
        <v>9353438</v>
      </c>
      <c r="C189" s="304" t="s">
        <v>1230</v>
      </c>
      <c r="D189" s="226">
        <v>1</v>
      </c>
      <c r="E189" s="396"/>
      <c r="F189" s="268"/>
      <c r="G189" s="272">
        <f t="shared" si="12"/>
        <v>35.162860000000002</v>
      </c>
      <c r="H189" s="142" t="str">
        <f t="shared" ref="H189:H191" si="20">IF(G189="","",$H$10)</f>
        <v>EUR</v>
      </c>
      <c r="I189" s="417" t="s">
        <v>47</v>
      </c>
      <c r="J189" s="468" t="s">
        <v>20707</v>
      </c>
      <c r="L189" s="86" t="e">
        <f>VLOOKUP(B189,$B$11:B188,1,FALSE)</f>
        <v>#N/A</v>
      </c>
      <c r="M189" s="256">
        <f>G189*(1-FORM!$AE$28/100)</f>
        <v>35.162860000000002</v>
      </c>
      <c r="AA189" s="463" t="s">
        <v>1854</v>
      </c>
      <c r="AB189" s="462" t="s">
        <v>1855</v>
      </c>
      <c r="AC189" s="462" t="s">
        <v>1856</v>
      </c>
      <c r="AD189" s="464">
        <v>387.3424</v>
      </c>
      <c r="AE189" s="465">
        <v>17.74532</v>
      </c>
      <c r="AF189" s="86">
        <f>IF(verze!$E$1="CZK",AD189,IF(verze!$E$1="SK",AE189,""))</f>
        <v>17.74532</v>
      </c>
    </row>
    <row r="190" spans="1:32" ht="15">
      <c r="A190" s="130"/>
      <c r="B190" s="301">
        <v>9255026</v>
      </c>
      <c r="C190" s="222" t="s">
        <v>1304</v>
      </c>
      <c r="D190" s="223">
        <v>20</v>
      </c>
      <c r="E190" s="395"/>
      <c r="F190" s="266"/>
      <c r="G190" s="272" t="e">
        <f t="shared" si="12"/>
        <v>#N/A</v>
      </c>
      <c r="H190" s="211" t="e">
        <f t="shared" si="20"/>
        <v>#N/A</v>
      </c>
      <c r="I190" s="416" t="s">
        <v>47</v>
      </c>
      <c r="J190" s="469"/>
      <c r="L190" s="86" t="e">
        <f>VLOOKUP(B190,$B$11:B186,1,FALSE)</f>
        <v>#N/A</v>
      </c>
      <c r="M190" s="256" t="e">
        <f>G190*(1-FORM!$AE$28/100)</f>
        <v>#N/A</v>
      </c>
      <c r="AA190" s="463" t="s">
        <v>1857</v>
      </c>
      <c r="AB190" s="462" t="s">
        <v>1858</v>
      </c>
      <c r="AC190" s="462" t="s">
        <v>1859</v>
      </c>
      <c r="AD190" s="464">
        <v>391.52409999999998</v>
      </c>
      <c r="AE190" s="465">
        <v>17.25798</v>
      </c>
      <c r="AF190" s="86">
        <f>IF(verze!$E$1="CZK",AD190,IF(verze!$E$1="SK",AE190,""))</f>
        <v>17.25798</v>
      </c>
    </row>
    <row r="191" spans="1:32" ht="15">
      <c r="A191" s="130"/>
      <c r="B191" s="298">
        <v>9255027</v>
      </c>
      <c r="C191" s="216" t="s">
        <v>1305</v>
      </c>
      <c r="D191" s="217">
        <v>20</v>
      </c>
      <c r="E191" s="391"/>
      <c r="F191" s="262"/>
      <c r="G191" s="272" t="e">
        <f t="shared" si="12"/>
        <v>#N/A</v>
      </c>
      <c r="H191" s="141" t="e">
        <f t="shared" si="20"/>
        <v>#N/A</v>
      </c>
      <c r="I191" s="409" t="s">
        <v>47</v>
      </c>
      <c r="J191" s="467"/>
      <c r="L191" s="86" t="e">
        <f>VLOOKUP(B191,$B$11:B190,1,FALSE)</f>
        <v>#N/A</v>
      </c>
      <c r="M191" s="256" t="e">
        <f>G191*(1-FORM!$AE$28/100)</f>
        <v>#N/A</v>
      </c>
      <c r="AA191" s="463" t="s">
        <v>1860</v>
      </c>
      <c r="AB191" s="462" t="s">
        <v>1861</v>
      </c>
      <c r="AC191" s="462" t="s">
        <v>1862</v>
      </c>
      <c r="AD191" s="464">
        <v>492.84307000000001</v>
      </c>
      <c r="AE191" s="465">
        <v>22.578600000000002</v>
      </c>
      <c r="AF191" s="86">
        <f>IF(verze!$E$1="CZK",AD191,IF(verze!$E$1="SK",AE191,""))</f>
        <v>22.578600000000002</v>
      </c>
    </row>
    <row r="192" spans="1:32" ht="15">
      <c r="A192" s="130"/>
      <c r="B192" s="301">
        <v>9255028</v>
      </c>
      <c r="C192" s="222" t="s">
        <v>690</v>
      </c>
      <c r="D192" s="223">
        <v>20</v>
      </c>
      <c r="E192" s="395"/>
      <c r="F192" s="266"/>
      <c r="G192" s="272">
        <f t="shared" si="12"/>
        <v>12.895490000000001</v>
      </c>
      <c r="H192" s="211" t="str">
        <f t="shared" si="19"/>
        <v>EUR</v>
      </c>
      <c r="I192" s="416" t="s">
        <v>47</v>
      </c>
      <c r="J192" s="467" t="s">
        <v>14730</v>
      </c>
      <c r="L192" s="86" t="e">
        <f>VLOOKUP(B192,$B$11:B188,1,FALSE)</f>
        <v>#N/A</v>
      </c>
      <c r="M192" s="256">
        <f>G192*(1-FORM!$AE$28/100)</f>
        <v>12.895490000000001</v>
      </c>
      <c r="AA192" s="463" t="s">
        <v>1863</v>
      </c>
      <c r="AB192" s="462" t="s">
        <v>1864</v>
      </c>
      <c r="AC192" s="462" t="s">
        <v>1865</v>
      </c>
      <c r="AD192" s="464">
        <v>679.87888999999996</v>
      </c>
      <c r="AE192" s="465">
        <v>31.147279999999999</v>
      </c>
      <c r="AF192" s="86">
        <f>IF(verze!$E$1="CZK",AD192,IF(verze!$E$1="SK",AE192,""))</f>
        <v>31.147279999999999</v>
      </c>
    </row>
    <row r="193" spans="1:32" ht="15">
      <c r="A193" s="130"/>
      <c r="B193" s="298">
        <v>9255029</v>
      </c>
      <c r="C193" s="216" t="s">
        <v>691</v>
      </c>
      <c r="D193" s="217">
        <v>20</v>
      </c>
      <c r="E193" s="391"/>
      <c r="F193" s="262"/>
      <c r="G193" s="272">
        <f t="shared" si="12"/>
        <v>12.895490000000001</v>
      </c>
      <c r="H193" s="141" t="str">
        <f t="shared" si="19"/>
        <v>EUR</v>
      </c>
      <c r="I193" s="409" t="s">
        <v>47</v>
      </c>
      <c r="J193" s="467" t="s">
        <v>14733</v>
      </c>
      <c r="L193" s="86" t="e">
        <f>VLOOKUP(B193,$B$11:B192,1,FALSE)</f>
        <v>#N/A</v>
      </c>
      <c r="M193" s="256">
        <f>G193*(1-FORM!$AE$28/100)</f>
        <v>12.895490000000001</v>
      </c>
      <c r="AA193" s="463" t="s">
        <v>1866</v>
      </c>
      <c r="AB193" s="462" t="s">
        <v>1867</v>
      </c>
      <c r="AC193" s="462" t="s">
        <v>1868</v>
      </c>
      <c r="AD193" s="464">
        <v>41.544159999999998</v>
      </c>
      <c r="AE193" s="465">
        <v>1.90326</v>
      </c>
      <c r="AF193" s="86">
        <f>IF(verze!$E$1="CZK",AD193,IF(verze!$E$1="SK",AE193,""))</f>
        <v>1.90326</v>
      </c>
    </row>
    <row r="194" spans="1:32" ht="15">
      <c r="A194" s="130"/>
      <c r="B194" s="298">
        <v>9255030</v>
      </c>
      <c r="C194" s="216" t="s">
        <v>692</v>
      </c>
      <c r="D194" s="217">
        <v>20</v>
      </c>
      <c r="E194" s="391"/>
      <c r="F194" s="262"/>
      <c r="G194" s="272">
        <f t="shared" si="12"/>
        <v>13.132899999999999</v>
      </c>
      <c r="H194" s="141" t="str">
        <f t="shared" si="19"/>
        <v>EUR</v>
      </c>
      <c r="I194" s="409" t="s">
        <v>47</v>
      </c>
      <c r="J194" s="467" t="s">
        <v>14736</v>
      </c>
      <c r="L194" s="86" t="e">
        <f>VLOOKUP(B194,$B$11:B193,1,FALSE)</f>
        <v>#N/A</v>
      </c>
      <c r="M194" s="256">
        <f>G194*(1-FORM!$AE$28/100)</f>
        <v>13.132899999999999</v>
      </c>
      <c r="AA194" s="463" t="s">
        <v>1869</v>
      </c>
      <c r="AB194" s="462" t="s">
        <v>1870</v>
      </c>
      <c r="AC194" s="462" t="s">
        <v>1871</v>
      </c>
      <c r="AD194" s="464">
        <v>42.137270000000001</v>
      </c>
      <c r="AE194" s="465">
        <v>1.93042</v>
      </c>
      <c r="AF194" s="86">
        <f>IF(verze!$E$1="CZK",AD194,IF(verze!$E$1="SK",AE194,""))</f>
        <v>1.93042</v>
      </c>
    </row>
    <row r="195" spans="1:32" ht="15">
      <c r="A195" s="130"/>
      <c r="B195" s="298">
        <v>9255031</v>
      </c>
      <c r="C195" s="216" t="s">
        <v>693</v>
      </c>
      <c r="D195" s="217">
        <v>20</v>
      </c>
      <c r="E195" s="391"/>
      <c r="F195" s="262"/>
      <c r="G195" s="272">
        <f t="shared" si="12"/>
        <v>13.132899999999999</v>
      </c>
      <c r="H195" s="141" t="str">
        <f t="shared" si="19"/>
        <v>EUR</v>
      </c>
      <c r="I195" s="409" t="s">
        <v>47</v>
      </c>
      <c r="J195" s="467" t="s">
        <v>14739</v>
      </c>
      <c r="L195" s="86" t="e">
        <f>VLOOKUP(B195,$B$11:B194,1,FALSE)</f>
        <v>#N/A</v>
      </c>
      <c r="M195" s="256">
        <f>G195*(1-FORM!$AE$28/100)</f>
        <v>13.132899999999999</v>
      </c>
      <c r="AA195" s="463" t="s">
        <v>1872</v>
      </c>
      <c r="AB195" s="462" t="s">
        <v>1873</v>
      </c>
      <c r="AC195" s="462" t="s">
        <v>1874</v>
      </c>
      <c r="AD195" s="464">
        <v>488.53066999999999</v>
      </c>
      <c r="AE195" s="465">
        <v>21.533940000000001</v>
      </c>
      <c r="AF195" s="86">
        <f>IF(verze!$E$1="CZK",AD195,IF(verze!$E$1="SK",AE195,""))</f>
        <v>21.533940000000001</v>
      </c>
    </row>
    <row r="196" spans="1:32" ht="15">
      <c r="A196" s="130"/>
      <c r="B196" s="298">
        <v>9255032</v>
      </c>
      <c r="C196" s="216" t="s">
        <v>694</v>
      </c>
      <c r="D196" s="217">
        <v>20</v>
      </c>
      <c r="E196" s="391"/>
      <c r="F196" s="262"/>
      <c r="G196" s="272">
        <f t="shared" si="12"/>
        <v>13.370430000000001</v>
      </c>
      <c r="H196" s="141" t="str">
        <f t="shared" si="19"/>
        <v>EUR</v>
      </c>
      <c r="I196" s="409" t="s">
        <v>47</v>
      </c>
      <c r="J196" s="467" t="s">
        <v>14742</v>
      </c>
      <c r="L196" s="86" t="e">
        <f>VLOOKUP(B196,$B$11:B195,1,FALSE)</f>
        <v>#N/A</v>
      </c>
      <c r="M196" s="256">
        <f>G196*(1-FORM!$AE$28/100)</f>
        <v>13.370430000000001</v>
      </c>
      <c r="AA196" s="463" t="s">
        <v>1875</v>
      </c>
      <c r="AB196" s="462" t="s">
        <v>1876</v>
      </c>
      <c r="AC196" s="462" t="s">
        <v>1877</v>
      </c>
      <c r="AD196" s="464">
        <v>369.25608</v>
      </c>
      <c r="AE196" s="465">
        <v>16.916720000000002</v>
      </c>
      <c r="AF196" s="86">
        <f>IF(verze!$E$1="CZK",AD196,IF(verze!$E$1="SK",AE196,""))</f>
        <v>16.916720000000002</v>
      </c>
    </row>
    <row r="197" spans="1:32" ht="15">
      <c r="A197" s="130"/>
      <c r="B197" s="298">
        <v>9255033</v>
      </c>
      <c r="C197" s="216" t="s">
        <v>695</v>
      </c>
      <c r="D197" s="217">
        <v>20</v>
      </c>
      <c r="E197" s="391"/>
      <c r="F197" s="262"/>
      <c r="G197" s="272">
        <f t="shared" si="12"/>
        <v>13.370430000000001</v>
      </c>
      <c r="H197" s="141" t="str">
        <f t="shared" si="19"/>
        <v>EUR</v>
      </c>
      <c r="I197" s="409" t="s">
        <v>47</v>
      </c>
      <c r="J197" s="467" t="s">
        <v>14745</v>
      </c>
      <c r="L197" s="86" t="e">
        <f>VLOOKUP(B197,$B$11:B196,1,FALSE)</f>
        <v>#N/A</v>
      </c>
      <c r="M197" s="256">
        <f>G197*(1-FORM!$AE$28/100)</f>
        <v>13.370430000000001</v>
      </c>
      <c r="AA197" s="463" t="s">
        <v>1878</v>
      </c>
      <c r="AB197" s="462" t="s">
        <v>1879</v>
      </c>
      <c r="AC197" s="462" t="s">
        <v>1880</v>
      </c>
      <c r="AD197" s="464">
        <v>538.80965000000003</v>
      </c>
      <c r="AE197" s="465">
        <v>24.684460000000001</v>
      </c>
      <c r="AF197" s="86">
        <f>IF(verze!$E$1="CZK",AD197,IF(verze!$E$1="SK",AE197,""))</f>
        <v>24.684460000000001</v>
      </c>
    </row>
    <row r="198" spans="1:32" ht="15">
      <c r="A198" s="130"/>
      <c r="B198" s="298">
        <v>9255034</v>
      </c>
      <c r="C198" s="216" t="s">
        <v>696</v>
      </c>
      <c r="D198" s="217">
        <v>20</v>
      </c>
      <c r="E198" s="391"/>
      <c r="F198" s="262"/>
      <c r="G198" s="272">
        <f t="shared" si="12"/>
        <v>13.60773</v>
      </c>
      <c r="H198" s="141" t="str">
        <f t="shared" ref="H198:H204" si="21">IF(G198="","",$H$10)</f>
        <v>EUR</v>
      </c>
      <c r="I198" s="409" t="s">
        <v>47</v>
      </c>
      <c r="J198" s="467" t="s">
        <v>14748</v>
      </c>
      <c r="L198" s="86" t="e">
        <f>VLOOKUP(B198,$B$11:B197,1,FALSE)</f>
        <v>#N/A</v>
      </c>
      <c r="M198" s="256">
        <f>G198*(1-FORM!$AE$28/100)</f>
        <v>13.60773</v>
      </c>
      <c r="AA198" s="463" t="s">
        <v>1881</v>
      </c>
      <c r="AB198" s="462" t="s">
        <v>1882</v>
      </c>
      <c r="AC198" s="462" t="s">
        <v>1883</v>
      </c>
      <c r="AD198" s="464">
        <v>258.35059999999999</v>
      </c>
      <c r="AE198" s="465">
        <v>11.835800000000001</v>
      </c>
      <c r="AF198" s="86">
        <f>IF(verze!$E$1="CZK",AD198,IF(verze!$E$1="SK",AE198,""))</f>
        <v>11.835800000000001</v>
      </c>
    </row>
    <row r="199" spans="1:32" ht="15">
      <c r="A199" s="130"/>
      <c r="B199" s="298">
        <v>9255035</v>
      </c>
      <c r="C199" s="216" t="s">
        <v>697</v>
      </c>
      <c r="D199" s="217">
        <v>20</v>
      </c>
      <c r="E199" s="391"/>
      <c r="F199" s="262"/>
      <c r="G199" s="272">
        <f t="shared" si="12"/>
        <v>13.60773</v>
      </c>
      <c r="H199" s="141" t="str">
        <f t="shared" si="21"/>
        <v>EUR</v>
      </c>
      <c r="I199" s="409" t="s">
        <v>47</v>
      </c>
      <c r="J199" s="467" t="s">
        <v>14751</v>
      </c>
      <c r="L199" s="86" t="e">
        <f>VLOOKUP(B199,$B$11:B198,1,FALSE)</f>
        <v>#N/A</v>
      </c>
      <c r="M199" s="256">
        <f>G199*(1-FORM!$AE$28/100)</f>
        <v>13.60773</v>
      </c>
      <c r="AA199" s="463" t="s">
        <v>1884</v>
      </c>
      <c r="AB199" s="462" t="s">
        <v>1885</v>
      </c>
      <c r="AC199" s="462" t="s">
        <v>1886</v>
      </c>
      <c r="AD199" s="464">
        <v>283.38754999999998</v>
      </c>
      <c r="AE199" s="465">
        <v>12.98282</v>
      </c>
      <c r="AF199" s="86">
        <f>IF(verze!$E$1="CZK",AD199,IF(verze!$E$1="SK",AE199,""))</f>
        <v>12.98282</v>
      </c>
    </row>
    <row r="200" spans="1:32" ht="15">
      <c r="A200" s="130"/>
      <c r="B200" s="298">
        <v>9255036</v>
      </c>
      <c r="C200" s="216" t="s">
        <v>698</v>
      </c>
      <c r="D200" s="217">
        <v>20</v>
      </c>
      <c r="E200" s="391"/>
      <c r="F200" s="262"/>
      <c r="G200" s="272">
        <f t="shared" si="12"/>
        <v>13.185700000000001</v>
      </c>
      <c r="H200" s="141" t="str">
        <f t="shared" si="21"/>
        <v>EUR</v>
      </c>
      <c r="I200" s="409" t="s">
        <v>47</v>
      </c>
      <c r="J200" s="467" t="s">
        <v>14754</v>
      </c>
      <c r="L200" s="86" t="e">
        <f>VLOOKUP(B200,$B$11:B199,1,FALSE)</f>
        <v>#N/A</v>
      </c>
      <c r="M200" s="256">
        <f>G200*(1-FORM!$AE$28/100)</f>
        <v>13.185700000000001</v>
      </c>
      <c r="AA200" s="463" t="s">
        <v>1887</v>
      </c>
      <c r="AB200" s="462" t="s">
        <v>1888</v>
      </c>
      <c r="AC200" s="462" t="s">
        <v>1889</v>
      </c>
      <c r="AD200" s="464">
        <v>308.42824999999999</v>
      </c>
      <c r="AE200" s="465">
        <v>14.13002</v>
      </c>
      <c r="AF200" s="86">
        <f>IF(verze!$E$1="CZK",AD200,IF(verze!$E$1="SK",AE200,""))</f>
        <v>14.13002</v>
      </c>
    </row>
    <row r="201" spans="1:32" ht="15">
      <c r="A201" s="130"/>
      <c r="B201" s="298">
        <v>9255037</v>
      </c>
      <c r="C201" s="216" t="s">
        <v>699</v>
      </c>
      <c r="D201" s="217">
        <v>20</v>
      </c>
      <c r="E201" s="391"/>
      <c r="F201" s="262"/>
      <c r="G201" s="272">
        <f t="shared" si="12"/>
        <v>13.185700000000001</v>
      </c>
      <c r="H201" s="141" t="str">
        <f t="shared" si="21"/>
        <v>EUR</v>
      </c>
      <c r="I201" s="409" t="s">
        <v>47</v>
      </c>
      <c r="J201" s="467" t="s">
        <v>14757</v>
      </c>
      <c r="L201" s="86" t="e">
        <f>VLOOKUP(B201,$B$11:B200,1,FALSE)</f>
        <v>#N/A</v>
      </c>
      <c r="M201" s="256">
        <f>G201*(1-FORM!$AE$28/100)</f>
        <v>13.185700000000001</v>
      </c>
      <c r="AA201" s="463" t="s">
        <v>1890</v>
      </c>
      <c r="AB201" s="462" t="s">
        <v>1891</v>
      </c>
      <c r="AC201" s="462" t="s">
        <v>1892</v>
      </c>
      <c r="AD201" s="464">
        <v>310.84521999999998</v>
      </c>
      <c r="AE201" s="465">
        <v>14.240740000000001</v>
      </c>
      <c r="AF201" s="86">
        <f>IF(verze!$E$1="CZK",AD201,IF(verze!$E$1="SK",AE201,""))</f>
        <v>14.240740000000001</v>
      </c>
    </row>
    <row r="202" spans="1:32" ht="15">
      <c r="A202" s="130"/>
      <c r="B202" s="298">
        <v>9255038</v>
      </c>
      <c r="C202" s="216" t="s">
        <v>700</v>
      </c>
      <c r="D202" s="217">
        <v>20</v>
      </c>
      <c r="E202" s="391"/>
      <c r="F202" s="262"/>
      <c r="G202" s="272">
        <f t="shared" si="12"/>
        <v>14.08229</v>
      </c>
      <c r="H202" s="141" t="str">
        <f t="shared" si="21"/>
        <v>EUR</v>
      </c>
      <c r="I202" s="409" t="s">
        <v>47</v>
      </c>
      <c r="J202" s="467" t="s">
        <v>14760</v>
      </c>
      <c r="L202" s="86" t="e">
        <f>VLOOKUP(B202,$B$11:B201,1,FALSE)</f>
        <v>#N/A</v>
      </c>
      <c r="M202" s="256">
        <f>G202*(1-FORM!$AE$28/100)</f>
        <v>14.08229</v>
      </c>
      <c r="AA202" s="463" t="s">
        <v>1893</v>
      </c>
      <c r="AB202" s="462" t="s">
        <v>1894</v>
      </c>
      <c r="AC202" s="462" t="s">
        <v>1895</v>
      </c>
      <c r="AD202" s="464">
        <v>333.47255999999999</v>
      </c>
      <c r="AE202" s="465">
        <v>15.277380000000001</v>
      </c>
      <c r="AF202" s="86">
        <f>IF(verze!$E$1="CZK",AD202,IF(verze!$E$1="SK",AE202,""))</f>
        <v>15.277380000000001</v>
      </c>
    </row>
    <row r="203" spans="1:32" ht="15">
      <c r="A203" s="130"/>
      <c r="B203" s="298">
        <v>9255039</v>
      </c>
      <c r="C203" s="216" t="s">
        <v>701</v>
      </c>
      <c r="D203" s="217">
        <v>20</v>
      </c>
      <c r="E203" s="391"/>
      <c r="F203" s="262"/>
      <c r="G203" s="272">
        <f t="shared" si="12"/>
        <v>14.08229</v>
      </c>
      <c r="H203" s="141" t="str">
        <f t="shared" si="21"/>
        <v>EUR</v>
      </c>
      <c r="I203" s="409" t="s">
        <v>47</v>
      </c>
      <c r="J203" s="467" t="s">
        <v>14763</v>
      </c>
      <c r="L203" s="86" t="e">
        <f>VLOOKUP(B203,$B$11:B202,1,FALSE)</f>
        <v>#N/A</v>
      </c>
      <c r="M203" s="256">
        <f>G203*(1-FORM!$AE$28/100)</f>
        <v>14.08229</v>
      </c>
      <c r="AA203" s="463" t="s">
        <v>1896</v>
      </c>
      <c r="AB203" s="462" t="s">
        <v>1897</v>
      </c>
      <c r="AC203" s="462" t="s">
        <v>1898</v>
      </c>
      <c r="AD203" s="464">
        <v>391.78715</v>
      </c>
      <c r="AE203" s="465">
        <v>17.948920000000001</v>
      </c>
      <c r="AF203" s="86">
        <f>IF(verze!$E$1="CZK",AD203,IF(verze!$E$1="SK",AE203,""))</f>
        <v>17.948920000000001</v>
      </c>
    </row>
    <row r="204" spans="1:32" ht="15">
      <c r="A204" s="130"/>
      <c r="B204" s="298">
        <v>9255040</v>
      </c>
      <c r="C204" s="216" t="s">
        <v>702</v>
      </c>
      <c r="D204" s="217">
        <v>20</v>
      </c>
      <c r="E204" s="391"/>
      <c r="F204" s="262"/>
      <c r="G204" s="272">
        <f t="shared" si="12"/>
        <v>14.44021</v>
      </c>
      <c r="H204" s="141" t="str">
        <f t="shared" si="21"/>
        <v>EUR</v>
      </c>
      <c r="I204" s="409" t="s">
        <v>47</v>
      </c>
      <c r="J204" s="467" t="s">
        <v>14766</v>
      </c>
      <c r="L204" s="86" t="e">
        <f>VLOOKUP(B204,$B$11:B203,1,FALSE)</f>
        <v>#N/A</v>
      </c>
      <c r="M204" s="256">
        <f>G204*(1-FORM!$AE$28/100)</f>
        <v>14.44021</v>
      </c>
      <c r="AA204" s="463" t="s">
        <v>1899</v>
      </c>
      <c r="AB204" s="462" t="s">
        <v>1900</v>
      </c>
      <c r="AC204" s="462" t="s">
        <v>1901</v>
      </c>
      <c r="AD204" s="464">
        <v>464.13623999999999</v>
      </c>
      <c r="AE204" s="465">
        <v>21.263459999999998</v>
      </c>
      <c r="AF204" s="86">
        <f>IF(verze!$E$1="CZK",AD204,IF(verze!$E$1="SK",AE204,""))</f>
        <v>21.263459999999998</v>
      </c>
    </row>
    <row r="205" spans="1:32" ht="15">
      <c r="A205" s="130"/>
      <c r="B205" s="447">
        <v>9255041</v>
      </c>
      <c r="C205" s="448" t="s">
        <v>703</v>
      </c>
      <c r="D205" s="449">
        <v>20</v>
      </c>
      <c r="E205" s="450"/>
      <c r="F205" s="451"/>
      <c r="G205" s="272">
        <f t="shared" ref="G205:G268" si="22">VLOOKUP(J205,AB:AF,5,0)</f>
        <v>14.44021</v>
      </c>
      <c r="H205" s="452" t="str">
        <f t="shared" ref="H205:H215" si="23">IF(G205="","",$H$10)</f>
        <v>EUR</v>
      </c>
      <c r="I205" s="453" t="s">
        <v>47</v>
      </c>
      <c r="J205" s="467" t="s">
        <v>14769</v>
      </c>
      <c r="L205" s="86" t="e">
        <f>VLOOKUP(B205,$B$11:B204,1,FALSE)</f>
        <v>#N/A</v>
      </c>
      <c r="M205" s="256">
        <f>G205*(1-FORM!$AE$28/100)</f>
        <v>14.44021</v>
      </c>
      <c r="AA205" s="463" t="s">
        <v>1902</v>
      </c>
      <c r="AB205" s="462" t="s">
        <v>1903</v>
      </c>
      <c r="AC205" s="462" t="s">
        <v>1904</v>
      </c>
      <c r="AD205" s="464">
        <v>527.94448</v>
      </c>
      <c r="AE205" s="465">
        <v>24.186699999999998</v>
      </c>
      <c r="AF205" s="86">
        <f>IF(verze!$E$1="CZK",AD205,IF(verze!$E$1="SK",AE205,""))</f>
        <v>24.186699999999998</v>
      </c>
    </row>
    <row r="206" spans="1:32" ht="15">
      <c r="A206" s="130"/>
      <c r="B206" s="298">
        <v>9255042</v>
      </c>
      <c r="C206" s="216" t="s">
        <v>1306</v>
      </c>
      <c r="D206" s="217">
        <v>20</v>
      </c>
      <c r="E206" s="391"/>
      <c r="F206" s="262"/>
      <c r="G206" s="272">
        <f t="shared" si="22"/>
        <v>14.822279999999999</v>
      </c>
      <c r="H206" s="141" t="str">
        <f t="shared" si="23"/>
        <v>EUR</v>
      </c>
      <c r="I206" s="409" t="s">
        <v>47</v>
      </c>
      <c r="J206" s="467" t="s">
        <v>14772</v>
      </c>
      <c r="L206" s="86" t="e">
        <f>VLOOKUP(B206,$B$11:B205,1,FALSE)</f>
        <v>#N/A</v>
      </c>
      <c r="M206" s="256">
        <f>G206*(1-FORM!$AE$28/100)</f>
        <v>14.822279999999999</v>
      </c>
      <c r="AA206" s="463" t="s">
        <v>1905</v>
      </c>
      <c r="AB206" s="462" t="s">
        <v>1906</v>
      </c>
      <c r="AC206" s="462" t="s">
        <v>1907</v>
      </c>
      <c r="AD206" s="464">
        <v>235.51191</v>
      </c>
      <c r="AE206" s="465">
        <v>10.7895</v>
      </c>
      <c r="AF206" s="86">
        <f>IF(verze!$E$1="CZK",AD206,IF(verze!$E$1="SK",AE206,""))</f>
        <v>10.7895</v>
      </c>
    </row>
    <row r="207" spans="1:32" ht="15">
      <c r="A207" s="130"/>
      <c r="B207" s="303">
        <v>9255043</v>
      </c>
      <c r="C207" s="304" t="s">
        <v>1307</v>
      </c>
      <c r="D207" s="226">
        <v>20</v>
      </c>
      <c r="E207" s="396"/>
      <c r="F207" s="268"/>
      <c r="G207" s="272">
        <f t="shared" si="22"/>
        <v>14.822279999999999</v>
      </c>
      <c r="H207" s="142" t="str">
        <f t="shared" ref="H207:H209" si="24">IF(G207="","",$H$10)</f>
        <v>EUR</v>
      </c>
      <c r="I207" s="417" t="s">
        <v>47</v>
      </c>
      <c r="J207" s="468" t="s">
        <v>14775</v>
      </c>
      <c r="L207" s="86" t="e">
        <f>VLOOKUP(B207,$B$11:B206,1,FALSE)</f>
        <v>#N/A</v>
      </c>
      <c r="M207" s="256">
        <f>G207*(1-FORM!$AE$28/100)</f>
        <v>14.822279999999999</v>
      </c>
      <c r="AA207" s="463" t="s">
        <v>1908</v>
      </c>
      <c r="AB207" s="462" t="s">
        <v>1909</v>
      </c>
      <c r="AC207" s="462" t="s">
        <v>1910</v>
      </c>
      <c r="AD207" s="464">
        <v>154.30682999999999</v>
      </c>
      <c r="AE207" s="465">
        <v>7.0692599999999999</v>
      </c>
      <c r="AF207" s="86">
        <f>IF(verze!$E$1="CZK",AD207,IF(verze!$E$1="SK",AE207,""))</f>
        <v>7.0692599999999999</v>
      </c>
    </row>
    <row r="208" spans="1:32" ht="15">
      <c r="A208" s="137"/>
      <c r="B208" s="301">
        <v>9255106</v>
      </c>
      <c r="C208" s="222" t="s">
        <v>1308</v>
      </c>
      <c r="D208" s="223">
        <v>20</v>
      </c>
      <c r="E208" s="395"/>
      <c r="F208" s="266"/>
      <c r="G208" s="272" t="e">
        <f t="shared" si="22"/>
        <v>#N/A</v>
      </c>
      <c r="H208" s="211" t="e">
        <f t="shared" si="24"/>
        <v>#N/A</v>
      </c>
      <c r="I208" s="416" t="s">
        <v>47</v>
      </c>
      <c r="J208" s="469">
        <v>518486</v>
      </c>
      <c r="L208" s="86" t="e">
        <f>VLOOKUP(B208,$B$11:B203,1,FALSE)</f>
        <v>#N/A</v>
      </c>
      <c r="M208" s="256" t="e">
        <f>G208*(1-FORM!$AE$28/100)</f>
        <v>#N/A</v>
      </c>
      <c r="AA208" s="463" t="s">
        <v>1911</v>
      </c>
      <c r="AB208" s="462" t="s">
        <v>1912</v>
      </c>
      <c r="AC208" s="462" t="s">
        <v>1913</v>
      </c>
      <c r="AD208" s="464">
        <v>106.59423</v>
      </c>
      <c r="AE208" s="465">
        <v>4.8834</v>
      </c>
      <c r="AF208" s="86">
        <f>IF(verze!$E$1="CZK",AD208,IF(verze!$E$1="SK",AE208,""))</f>
        <v>4.8834</v>
      </c>
    </row>
    <row r="209" spans="1:32" ht="15">
      <c r="A209" s="137"/>
      <c r="B209" s="298">
        <v>9255107</v>
      </c>
      <c r="C209" s="216" t="s">
        <v>1309</v>
      </c>
      <c r="D209" s="217">
        <v>20</v>
      </c>
      <c r="E209" s="391"/>
      <c r="F209" s="262"/>
      <c r="G209" s="272" t="e">
        <f t="shared" si="22"/>
        <v>#N/A</v>
      </c>
      <c r="H209" s="141" t="e">
        <f t="shared" si="24"/>
        <v>#N/A</v>
      </c>
      <c r="I209" s="409" t="s">
        <v>47</v>
      </c>
      <c r="J209" s="467" t="s">
        <v>28257</v>
      </c>
      <c r="L209" s="86" t="e">
        <f>VLOOKUP(B209,$B$11:B208,1,FALSE)</f>
        <v>#N/A</v>
      </c>
      <c r="M209" s="256" t="e">
        <f>G209*(1-FORM!$AE$28/100)</f>
        <v>#N/A</v>
      </c>
      <c r="AA209" s="463" t="s">
        <v>1914</v>
      </c>
      <c r="AB209" s="462" t="s">
        <v>1915</v>
      </c>
      <c r="AC209" s="462" t="s">
        <v>1916</v>
      </c>
      <c r="AD209" s="464">
        <v>13.68421</v>
      </c>
      <c r="AE209" s="465">
        <v>0.56123999999999996</v>
      </c>
      <c r="AF209" s="86">
        <f>IF(verze!$E$1="CZK",AD209,IF(verze!$E$1="SK",AE209,""))</f>
        <v>0.56123999999999996</v>
      </c>
    </row>
    <row r="210" spans="1:32" ht="15">
      <c r="A210" s="137"/>
      <c r="B210" s="301">
        <v>9255108</v>
      </c>
      <c r="C210" s="222" t="s">
        <v>704</v>
      </c>
      <c r="D210" s="223">
        <v>20</v>
      </c>
      <c r="E210" s="395"/>
      <c r="F210" s="266"/>
      <c r="G210" s="272">
        <f t="shared" si="22"/>
        <v>12.895490000000001</v>
      </c>
      <c r="H210" s="211" t="str">
        <f t="shared" si="23"/>
        <v>EUR</v>
      </c>
      <c r="I210" s="416" t="s">
        <v>47</v>
      </c>
      <c r="J210" s="467" t="s">
        <v>14968</v>
      </c>
      <c r="L210" s="86" t="e">
        <f>VLOOKUP(B210,$B$11:B205,1,FALSE)</f>
        <v>#N/A</v>
      </c>
      <c r="M210" s="256">
        <f>G210*(1-FORM!$AE$28/100)</f>
        <v>12.895490000000001</v>
      </c>
      <c r="AA210" s="463" t="s">
        <v>1917</v>
      </c>
      <c r="AB210" s="462" t="s">
        <v>1918</v>
      </c>
      <c r="AC210" s="462" t="s">
        <v>1919</v>
      </c>
      <c r="AD210" s="464">
        <v>6.51328</v>
      </c>
      <c r="AE210" s="465">
        <v>0.26713999999999999</v>
      </c>
      <c r="AF210" s="86">
        <f>IF(verze!$E$1="CZK",AD210,IF(verze!$E$1="SK",AE210,""))</f>
        <v>0.26713999999999999</v>
      </c>
    </row>
    <row r="211" spans="1:32" ht="15">
      <c r="A211" s="137"/>
      <c r="B211" s="298">
        <v>9255109</v>
      </c>
      <c r="C211" s="216" t="s">
        <v>705</v>
      </c>
      <c r="D211" s="217">
        <v>20</v>
      </c>
      <c r="E211" s="391"/>
      <c r="F211" s="262"/>
      <c r="G211" s="272">
        <f t="shared" si="22"/>
        <v>12.895490000000001</v>
      </c>
      <c r="H211" s="141" t="str">
        <f t="shared" si="23"/>
        <v>EUR</v>
      </c>
      <c r="I211" s="409" t="s">
        <v>47</v>
      </c>
      <c r="J211" s="467" t="s">
        <v>14971</v>
      </c>
      <c r="L211" s="86" t="e">
        <f>VLOOKUP(B211,$B$11:B210,1,FALSE)</f>
        <v>#N/A</v>
      </c>
      <c r="M211" s="256">
        <f>G211*(1-FORM!$AE$28/100)</f>
        <v>12.895490000000001</v>
      </c>
      <c r="AA211" s="463" t="s">
        <v>1920</v>
      </c>
      <c r="AB211" s="462" t="s">
        <v>1921</v>
      </c>
      <c r="AC211" s="462" t="s">
        <v>1922</v>
      </c>
      <c r="AD211" s="464">
        <v>1.51213</v>
      </c>
      <c r="AE211" s="465">
        <v>6.2019999999999999E-2</v>
      </c>
      <c r="AF211" s="86">
        <f>IF(verze!$E$1="CZK",AD211,IF(verze!$E$1="SK",AE211,""))</f>
        <v>6.2019999999999999E-2</v>
      </c>
    </row>
    <row r="212" spans="1:32" ht="15">
      <c r="A212" s="137"/>
      <c r="B212" s="298">
        <v>9255110</v>
      </c>
      <c r="C212" s="216" t="s">
        <v>706</v>
      </c>
      <c r="D212" s="217">
        <v>20</v>
      </c>
      <c r="E212" s="391"/>
      <c r="F212" s="262"/>
      <c r="G212" s="272">
        <f t="shared" si="22"/>
        <v>13.132899999999999</v>
      </c>
      <c r="H212" s="141" t="str">
        <f t="shared" si="23"/>
        <v>EUR</v>
      </c>
      <c r="I212" s="409" t="s">
        <v>47</v>
      </c>
      <c r="J212" s="467" t="s">
        <v>14974</v>
      </c>
      <c r="L212" s="86" t="e">
        <f>VLOOKUP(B212,$B$11:B211,1,FALSE)</f>
        <v>#N/A</v>
      </c>
      <c r="M212" s="256">
        <f>G212*(1-FORM!$AE$28/100)</f>
        <v>13.132899999999999</v>
      </c>
      <c r="AA212" s="463" t="s">
        <v>1923</v>
      </c>
      <c r="AB212" s="462" t="s">
        <v>1924</v>
      </c>
      <c r="AC212" s="462" t="s">
        <v>1925</v>
      </c>
      <c r="AD212" s="464">
        <v>2.93486</v>
      </c>
      <c r="AE212" s="465">
        <v>0.12035999999999999</v>
      </c>
      <c r="AF212" s="86">
        <f>IF(verze!$E$1="CZK",AD212,IF(verze!$E$1="SK",AE212,""))</f>
        <v>0.12035999999999999</v>
      </c>
    </row>
    <row r="213" spans="1:32" ht="15">
      <c r="A213" s="137"/>
      <c r="B213" s="298">
        <v>9255111</v>
      </c>
      <c r="C213" s="216" t="s">
        <v>707</v>
      </c>
      <c r="D213" s="217">
        <v>20</v>
      </c>
      <c r="E213" s="391"/>
      <c r="F213" s="262"/>
      <c r="G213" s="272">
        <f t="shared" si="22"/>
        <v>13.132899999999999</v>
      </c>
      <c r="H213" s="141" t="str">
        <f t="shared" si="23"/>
        <v>EUR</v>
      </c>
      <c r="I213" s="409" t="s">
        <v>47</v>
      </c>
      <c r="J213" s="467" t="s">
        <v>14977</v>
      </c>
      <c r="L213" s="86" t="e">
        <f>VLOOKUP(B213,$B$11:B212,1,FALSE)</f>
        <v>#N/A</v>
      </c>
      <c r="M213" s="256">
        <f>G213*(1-FORM!$AE$28/100)</f>
        <v>13.132899999999999</v>
      </c>
      <c r="AA213" s="463" t="s">
        <v>1926</v>
      </c>
      <c r="AB213" s="462" t="s">
        <v>1927</v>
      </c>
      <c r="AC213" s="462" t="s">
        <v>1928</v>
      </c>
      <c r="AD213" s="464">
        <v>4.4398200000000001</v>
      </c>
      <c r="AE213" s="465">
        <v>0.18210000000000001</v>
      </c>
      <c r="AF213" s="86">
        <f>IF(verze!$E$1="CZK",AD213,IF(verze!$E$1="SK",AE213,""))</f>
        <v>0.18210000000000001</v>
      </c>
    </row>
    <row r="214" spans="1:32" ht="15">
      <c r="A214" s="137"/>
      <c r="B214" s="298">
        <v>9255112</v>
      </c>
      <c r="C214" s="216" t="s">
        <v>708</v>
      </c>
      <c r="D214" s="217">
        <v>20</v>
      </c>
      <c r="E214" s="391"/>
      <c r="F214" s="262"/>
      <c r="G214" s="272">
        <f t="shared" si="22"/>
        <v>13.370430000000001</v>
      </c>
      <c r="H214" s="141" t="str">
        <f t="shared" si="23"/>
        <v>EUR</v>
      </c>
      <c r="I214" s="409" t="s">
        <v>47</v>
      </c>
      <c r="J214" s="467" t="s">
        <v>14980</v>
      </c>
      <c r="L214" s="86" t="e">
        <f>VLOOKUP(B214,$B$11:B213,1,FALSE)</f>
        <v>#N/A</v>
      </c>
      <c r="M214" s="256">
        <f>G214*(1-FORM!$AE$28/100)</f>
        <v>13.370430000000001</v>
      </c>
      <c r="AA214" s="463" t="s">
        <v>1929</v>
      </c>
      <c r="AB214" s="462" t="s">
        <v>1930</v>
      </c>
      <c r="AC214" s="462" t="s">
        <v>1931</v>
      </c>
      <c r="AD214" s="464">
        <v>9.7426300000000001</v>
      </c>
      <c r="AE214" s="465">
        <v>0.38976</v>
      </c>
      <c r="AF214" s="86">
        <f>IF(verze!$E$1="CZK",AD214,IF(verze!$E$1="SK",AE214,""))</f>
        <v>0.38976</v>
      </c>
    </row>
    <row r="215" spans="1:32" ht="15">
      <c r="A215" s="137"/>
      <c r="B215" s="298">
        <v>9255113</v>
      </c>
      <c r="C215" s="216" t="s">
        <v>709</v>
      </c>
      <c r="D215" s="217">
        <v>20</v>
      </c>
      <c r="E215" s="391"/>
      <c r="F215" s="262"/>
      <c r="G215" s="272">
        <f t="shared" si="22"/>
        <v>13.370430000000001</v>
      </c>
      <c r="H215" s="141" t="str">
        <f t="shared" si="23"/>
        <v>EUR</v>
      </c>
      <c r="I215" s="409" t="s">
        <v>47</v>
      </c>
      <c r="J215" s="467" t="s">
        <v>14983</v>
      </c>
      <c r="L215" s="86" t="e">
        <f>VLOOKUP(B215,$B$11:B214,1,FALSE)</f>
        <v>#N/A</v>
      </c>
      <c r="M215" s="256">
        <f>G215*(1-FORM!$AE$28/100)</f>
        <v>13.370430000000001</v>
      </c>
      <c r="AA215" s="463" t="s">
        <v>1932</v>
      </c>
      <c r="AB215" s="462" t="s">
        <v>1933</v>
      </c>
      <c r="AC215" s="462" t="s">
        <v>1934</v>
      </c>
      <c r="AD215" s="464">
        <v>9.7426300000000001</v>
      </c>
      <c r="AE215" s="465">
        <v>0.38976</v>
      </c>
      <c r="AF215" s="86">
        <f>IF(verze!$E$1="CZK",AD215,IF(verze!$E$1="SK",AE215,""))</f>
        <v>0.38976</v>
      </c>
    </row>
    <row r="216" spans="1:32" ht="15">
      <c r="A216" s="137"/>
      <c r="B216" s="298">
        <v>9255114</v>
      </c>
      <c r="C216" s="216" t="s">
        <v>710</v>
      </c>
      <c r="D216" s="217">
        <v>20</v>
      </c>
      <c r="E216" s="391"/>
      <c r="F216" s="262"/>
      <c r="G216" s="272">
        <f t="shared" si="22"/>
        <v>13.60773</v>
      </c>
      <c r="H216" s="141" t="str">
        <f>IF(G216="","",$H$10)</f>
        <v>EUR</v>
      </c>
      <c r="I216" s="409" t="s">
        <v>47</v>
      </c>
      <c r="J216" s="467" t="s">
        <v>14986</v>
      </c>
      <c r="L216" s="86" t="e">
        <f>VLOOKUP(B216,$B$11:B215,1,FALSE)</f>
        <v>#N/A</v>
      </c>
      <c r="M216" s="256">
        <f>G216*(1-FORM!$AE$28/100)</f>
        <v>13.60773</v>
      </c>
      <c r="AA216" s="463" t="s">
        <v>1935</v>
      </c>
      <c r="AB216" s="462" t="s">
        <v>1936</v>
      </c>
      <c r="AC216" s="462" t="s">
        <v>1937</v>
      </c>
      <c r="AD216" s="464">
        <v>12.336069999999999</v>
      </c>
      <c r="AE216" s="465">
        <v>0.49351</v>
      </c>
      <c r="AF216" s="86">
        <f>IF(verze!$E$1="CZK",AD216,IF(verze!$E$1="SK",AE216,""))</f>
        <v>0.49351</v>
      </c>
    </row>
    <row r="217" spans="1:32" ht="15">
      <c r="A217" s="137"/>
      <c r="B217" s="298">
        <v>9255115</v>
      </c>
      <c r="C217" s="216" t="s">
        <v>711</v>
      </c>
      <c r="D217" s="217">
        <v>20</v>
      </c>
      <c r="E217" s="391"/>
      <c r="F217" s="262"/>
      <c r="G217" s="272">
        <f t="shared" si="22"/>
        <v>13.60773</v>
      </c>
      <c r="H217" s="141" t="str">
        <f>IF(G217="","",$H$10)</f>
        <v>EUR</v>
      </c>
      <c r="I217" s="409" t="s">
        <v>47</v>
      </c>
      <c r="J217" s="467" t="s">
        <v>14989</v>
      </c>
      <c r="L217" s="86" t="e">
        <f>VLOOKUP(B217,$B$11:B216,1,FALSE)</f>
        <v>#N/A</v>
      </c>
      <c r="M217" s="256">
        <f>G217*(1-FORM!$AE$28/100)</f>
        <v>13.60773</v>
      </c>
      <c r="AA217" s="463" t="s">
        <v>1938</v>
      </c>
      <c r="AB217" s="462" t="s">
        <v>1939</v>
      </c>
      <c r="AC217" s="462" t="s">
        <v>1940</v>
      </c>
      <c r="AD217" s="464">
        <v>12.336069999999999</v>
      </c>
      <c r="AE217" s="465">
        <v>0.49351</v>
      </c>
      <c r="AF217" s="86">
        <f>IF(verze!$E$1="CZK",AD217,IF(verze!$E$1="SK",AE217,""))</f>
        <v>0.49351</v>
      </c>
    </row>
    <row r="218" spans="1:32" ht="15">
      <c r="A218" s="137"/>
      <c r="B218" s="298">
        <v>9255116</v>
      </c>
      <c r="C218" s="216" t="s">
        <v>712</v>
      </c>
      <c r="D218" s="217">
        <v>20</v>
      </c>
      <c r="E218" s="391"/>
      <c r="F218" s="262"/>
      <c r="G218" s="272">
        <f t="shared" si="22"/>
        <v>13.185700000000001</v>
      </c>
      <c r="H218" s="141" t="str">
        <f>IF(G218="","",$H$10)</f>
        <v>EUR</v>
      </c>
      <c r="I218" s="409" t="s">
        <v>47</v>
      </c>
      <c r="J218" s="467" t="s">
        <v>14992</v>
      </c>
      <c r="L218" s="86" t="e">
        <f>VLOOKUP(B218,$B$11:B217,1,FALSE)</f>
        <v>#N/A</v>
      </c>
      <c r="M218" s="256">
        <f>G218*(1-FORM!$AE$28/100)</f>
        <v>13.185700000000001</v>
      </c>
      <c r="AA218" s="463" t="s">
        <v>1941</v>
      </c>
      <c r="AB218" s="462" t="s">
        <v>1942</v>
      </c>
      <c r="AC218" s="462" t="s">
        <v>1943</v>
      </c>
      <c r="AD218" s="464">
        <v>11.70781</v>
      </c>
      <c r="AE218" s="465">
        <v>0.46838000000000002</v>
      </c>
      <c r="AF218" s="86">
        <f>IF(verze!$E$1="CZK",AD218,IF(verze!$E$1="SK",AE218,""))</f>
        <v>0.46838000000000002</v>
      </c>
    </row>
    <row r="219" spans="1:32" ht="15">
      <c r="A219" s="137"/>
      <c r="B219" s="298">
        <v>9255117</v>
      </c>
      <c r="C219" s="216" t="s">
        <v>713</v>
      </c>
      <c r="D219" s="217">
        <v>20</v>
      </c>
      <c r="E219" s="391"/>
      <c r="F219" s="262"/>
      <c r="G219" s="272">
        <f t="shared" si="22"/>
        <v>13.185700000000001</v>
      </c>
      <c r="H219" s="141" t="str">
        <f>IF(G219="","",$H$10)</f>
        <v>EUR</v>
      </c>
      <c r="I219" s="409" t="s">
        <v>47</v>
      </c>
      <c r="J219" s="467" t="s">
        <v>14995</v>
      </c>
      <c r="L219" s="86" t="e">
        <f>VLOOKUP(B219,$B$11:B218,1,FALSE)</f>
        <v>#N/A</v>
      </c>
      <c r="M219" s="256">
        <f>G219*(1-FORM!$AE$28/100)</f>
        <v>13.185700000000001</v>
      </c>
      <c r="AA219" s="463" t="s">
        <v>1944</v>
      </c>
      <c r="AB219" s="462" t="s">
        <v>1945</v>
      </c>
      <c r="AC219" s="462" t="s">
        <v>1946</v>
      </c>
      <c r="AD219" s="464">
        <v>11.70781</v>
      </c>
      <c r="AE219" s="465">
        <v>0.46838000000000002</v>
      </c>
      <c r="AF219" s="86">
        <f>IF(verze!$E$1="CZK",AD219,IF(verze!$E$1="SK",AE219,""))</f>
        <v>0.46838000000000002</v>
      </c>
    </row>
    <row r="220" spans="1:32" ht="15">
      <c r="A220" s="137"/>
      <c r="B220" s="298">
        <v>9255118</v>
      </c>
      <c r="C220" s="216" t="s">
        <v>714</v>
      </c>
      <c r="D220" s="217">
        <v>20</v>
      </c>
      <c r="E220" s="391"/>
      <c r="F220" s="262"/>
      <c r="G220" s="272">
        <f t="shared" si="22"/>
        <v>14.08229</v>
      </c>
      <c r="H220" s="141" t="str">
        <f t="shared" ref="H220:H256" si="25">IF(G220="","",$H$10)</f>
        <v>EUR</v>
      </c>
      <c r="I220" s="409" t="s">
        <v>47</v>
      </c>
      <c r="J220" s="467" t="s">
        <v>14998</v>
      </c>
      <c r="L220" s="86" t="e">
        <f>VLOOKUP(B220,$B$11:B219,1,FALSE)</f>
        <v>#N/A</v>
      </c>
      <c r="M220" s="256">
        <f>G220*(1-FORM!$AE$28/100)</f>
        <v>14.08229</v>
      </c>
      <c r="AA220" s="463" t="s">
        <v>1947</v>
      </c>
      <c r="AB220" s="462" t="s">
        <v>1948</v>
      </c>
      <c r="AC220" s="462" t="s">
        <v>1949</v>
      </c>
      <c r="AD220" s="464">
        <v>57.459899999999998</v>
      </c>
      <c r="AE220" s="465">
        <v>2.49946</v>
      </c>
      <c r="AF220" s="86">
        <f>IF(verze!$E$1="CZK",AD220,IF(verze!$E$1="SK",AE220,""))</f>
        <v>2.49946</v>
      </c>
    </row>
    <row r="221" spans="1:32" ht="15">
      <c r="A221" s="137"/>
      <c r="B221" s="298">
        <v>9255119</v>
      </c>
      <c r="C221" s="216" t="s">
        <v>715</v>
      </c>
      <c r="D221" s="217">
        <v>20</v>
      </c>
      <c r="E221" s="391"/>
      <c r="F221" s="262"/>
      <c r="G221" s="272">
        <f t="shared" si="22"/>
        <v>14.08229</v>
      </c>
      <c r="H221" s="141" t="str">
        <f t="shared" si="25"/>
        <v>EUR</v>
      </c>
      <c r="I221" s="409" t="s">
        <v>47</v>
      </c>
      <c r="J221" s="467" t="s">
        <v>15001</v>
      </c>
      <c r="L221" s="86" t="e">
        <f>VLOOKUP(B221,$B$11:B220,1,FALSE)</f>
        <v>#N/A</v>
      </c>
      <c r="M221" s="256">
        <f>G221*(1-FORM!$AE$28/100)</f>
        <v>14.08229</v>
      </c>
      <c r="AA221" s="463" t="s">
        <v>1950</v>
      </c>
      <c r="AB221" s="462" t="s">
        <v>1951</v>
      </c>
      <c r="AC221" s="462" t="s">
        <v>1952</v>
      </c>
      <c r="AD221" s="464">
        <v>58.829090000000001</v>
      </c>
      <c r="AE221" s="465">
        <v>2.5590199999999999</v>
      </c>
      <c r="AF221" s="86">
        <f>IF(verze!$E$1="CZK",AD221,IF(verze!$E$1="SK",AE221,""))</f>
        <v>2.5590199999999999</v>
      </c>
    </row>
    <row r="222" spans="1:32" ht="15">
      <c r="A222" s="137"/>
      <c r="B222" s="298">
        <v>9255120</v>
      </c>
      <c r="C222" s="216" t="s">
        <v>716</v>
      </c>
      <c r="D222" s="217">
        <v>20</v>
      </c>
      <c r="E222" s="391"/>
      <c r="F222" s="262"/>
      <c r="G222" s="272">
        <f t="shared" si="22"/>
        <v>14.44021</v>
      </c>
      <c r="H222" s="141" t="str">
        <f t="shared" si="25"/>
        <v>EUR</v>
      </c>
      <c r="I222" s="409" t="s">
        <v>47</v>
      </c>
      <c r="J222" s="467" t="s">
        <v>15004</v>
      </c>
      <c r="L222" s="86" t="e">
        <f>VLOOKUP(B222,$B$11:B221,1,FALSE)</f>
        <v>#N/A</v>
      </c>
      <c r="M222" s="256">
        <f>G222*(1-FORM!$AE$28/100)</f>
        <v>14.44021</v>
      </c>
      <c r="AA222" s="463" t="s">
        <v>1953</v>
      </c>
      <c r="AB222" s="462" t="s">
        <v>1954</v>
      </c>
      <c r="AC222" s="462" t="s">
        <v>1955</v>
      </c>
      <c r="AD222" s="464">
        <v>1906.2488599999999</v>
      </c>
      <c r="AE222" s="465">
        <v>78.181960000000004</v>
      </c>
      <c r="AF222" s="86">
        <f>IF(verze!$E$1="CZK",AD222,IF(verze!$E$1="SK",AE222,""))</f>
        <v>78.181960000000004</v>
      </c>
    </row>
    <row r="223" spans="1:32" ht="15">
      <c r="A223" s="137"/>
      <c r="B223" s="447">
        <v>9255121</v>
      </c>
      <c r="C223" s="448" t="s">
        <v>717</v>
      </c>
      <c r="D223" s="449">
        <v>20</v>
      </c>
      <c r="E223" s="450"/>
      <c r="F223" s="451"/>
      <c r="G223" s="272">
        <f t="shared" si="22"/>
        <v>14.44021</v>
      </c>
      <c r="H223" s="452" t="str">
        <f t="shared" si="25"/>
        <v>EUR</v>
      </c>
      <c r="I223" s="453" t="s">
        <v>47</v>
      </c>
      <c r="J223" s="467" t="s">
        <v>15007</v>
      </c>
      <c r="L223" s="86" t="e">
        <f>VLOOKUP(B223,$B$11:B222,1,FALSE)</f>
        <v>#N/A</v>
      </c>
      <c r="M223" s="256">
        <f>G223*(1-FORM!$AE$28/100)</f>
        <v>14.44021</v>
      </c>
      <c r="AA223" s="463" t="s">
        <v>1956</v>
      </c>
      <c r="AB223" s="462" t="s">
        <v>1957</v>
      </c>
      <c r="AC223" s="462" t="s">
        <v>1958</v>
      </c>
      <c r="AD223" s="464">
        <v>292.76873000000001</v>
      </c>
      <c r="AE223" s="465">
        <v>0</v>
      </c>
      <c r="AF223" s="86">
        <f>IF(verze!$E$1="CZK",AD223,IF(verze!$E$1="SK",AE223,""))</f>
        <v>0</v>
      </c>
    </row>
    <row r="224" spans="1:32" ht="15">
      <c r="A224" s="137"/>
      <c r="B224" s="298">
        <v>9255122</v>
      </c>
      <c r="C224" s="216" t="s">
        <v>1310</v>
      </c>
      <c r="D224" s="217">
        <v>20</v>
      </c>
      <c r="E224" s="391"/>
      <c r="F224" s="262"/>
      <c r="G224" s="272">
        <f t="shared" si="22"/>
        <v>14.822279999999999</v>
      </c>
      <c r="H224" s="141" t="str">
        <f t="shared" ref="H224:H227" si="26">IF(G224="","",$H$10)</f>
        <v>EUR</v>
      </c>
      <c r="I224" s="409" t="s">
        <v>47</v>
      </c>
      <c r="J224" s="467" t="s">
        <v>15010</v>
      </c>
      <c r="L224" s="86" t="e">
        <f>VLOOKUP(B224,$B$11:B223,1,FALSE)</f>
        <v>#N/A</v>
      </c>
      <c r="M224" s="256">
        <f>G224*(1-FORM!$AE$28/100)</f>
        <v>14.822279999999999</v>
      </c>
      <c r="AA224" s="463" t="s">
        <v>1959</v>
      </c>
      <c r="AB224" s="462" t="s">
        <v>1960</v>
      </c>
      <c r="AC224" s="462" t="s">
        <v>1961</v>
      </c>
      <c r="AD224" s="464">
        <v>356.34505000000001</v>
      </c>
      <c r="AE224" s="465">
        <v>0</v>
      </c>
      <c r="AF224" s="86">
        <f>IF(verze!$E$1="CZK",AD224,IF(verze!$E$1="SK",AE224,""))</f>
        <v>0</v>
      </c>
    </row>
    <row r="225" spans="1:32" ht="15">
      <c r="A225" s="137"/>
      <c r="B225" s="303">
        <v>9255123</v>
      </c>
      <c r="C225" s="304" t="s">
        <v>1311</v>
      </c>
      <c r="D225" s="226">
        <v>20</v>
      </c>
      <c r="E225" s="396"/>
      <c r="F225" s="268"/>
      <c r="G225" s="272">
        <f t="shared" si="22"/>
        <v>14.822279999999999</v>
      </c>
      <c r="H225" s="142" t="str">
        <f t="shared" si="26"/>
        <v>EUR</v>
      </c>
      <c r="I225" s="417" t="s">
        <v>47</v>
      </c>
      <c r="J225" s="468" t="s">
        <v>15013</v>
      </c>
      <c r="L225" s="86" t="e">
        <f>VLOOKUP(B225,$B$11:B224,1,FALSE)</f>
        <v>#N/A</v>
      </c>
      <c r="M225" s="256">
        <f>G225*(1-FORM!$AE$28/100)</f>
        <v>14.822279999999999</v>
      </c>
      <c r="AA225" s="463" t="s">
        <v>1962</v>
      </c>
      <c r="AB225" s="462" t="s">
        <v>1963</v>
      </c>
      <c r="AC225" s="462" t="s">
        <v>1964</v>
      </c>
      <c r="AD225" s="464">
        <v>251.64872</v>
      </c>
      <c r="AE225" s="465">
        <v>12.105219999999999</v>
      </c>
      <c r="AF225" s="86">
        <f>IF(verze!$E$1="CZK",AD225,IF(verze!$E$1="SK",AE225,""))</f>
        <v>12.105219999999999</v>
      </c>
    </row>
    <row r="226" spans="1:32" ht="15">
      <c r="A226" s="139"/>
      <c r="B226" s="301">
        <v>9255186</v>
      </c>
      <c r="C226" s="222" t="s">
        <v>1312</v>
      </c>
      <c r="D226" s="223">
        <v>20</v>
      </c>
      <c r="E226" s="395"/>
      <c r="F226" s="266"/>
      <c r="G226" s="272" t="e">
        <f t="shared" si="22"/>
        <v>#N/A</v>
      </c>
      <c r="H226" s="211" t="e">
        <f t="shared" si="26"/>
        <v>#N/A</v>
      </c>
      <c r="I226" s="416" t="s">
        <v>47</v>
      </c>
      <c r="J226" s="469" t="s">
        <v>28258</v>
      </c>
      <c r="L226" s="86" t="e">
        <f>VLOOKUP(B226,$B$11:B221,1,FALSE)</f>
        <v>#N/A</v>
      </c>
      <c r="M226" s="256" t="e">
        <f>G226*(1-FORM!$AE$28/100)</f>
        <v>#N/A</v>
      </c>
      <c r="AA226" s="463" t="s">
        <v>1965</v>
      </c>
      <c r="AB226" s="462" t="s">
        <v>1966</v>
      </c>
      <c r="AC226" s="462" t="s">
        <v>1967</v>
      </c>
      <c r="AD226" s="464">
        <v>3127.0683899999999</v>
      </c>
      <c r="AE226" s="465">
        <v>125.09831</v>
      </c>
      <c r="AF226" s="86">
        <f>IF(verze!$E$1="CZK",AD226,IF(verze!$E$1="SK",AE226,""))</f>
        <v>125.09831</v>
      </c>
    </row>
    <row r="227" spans="1:32" ht="15">
      <c r="A227" s="139"/>
      <c r="B227" s="298">
        <v>9255187</v>
      </c>
      <c r="C227" s="216" t="s">
        <v>1313</v>
      </c>
      <c r="D227" s="217">
        <v>20</v>
      </c>
      <c r="E227" s="391"/>
      <c r="F227" s="262"/>
      <c r="G227" s="272" t="e">
        <f t="shared" si="22"/>
        <v>#N/A</v>
      </c>
      <c r="H227" s="141" t="e">
        <f t="shared" si="26"/>
        <v>#N/A</v>
      </c>
      <c r="I227" s="409" t="s">
        <v>47</v>
      </c>
      <c r="J227" s="467" t="s">
        <v>28259</v>
      </c>
      <c r="L227" s="86" t="e">
        <f>VLOOKUP(B227,$B$11:B226,1,FALSE)</f>
        <v>#N/A</v>
      </c>
      <c r="M227" s="256" t="e">
        <f>G227*(1-FORM!$AE$28/100)</f>
        <v>#N/A</v>
      </c>
      <c r="AA227" s="463" t="s">
        <v>1965</v>
      </c>
      <c r="AB227" s="462" t="s">
        <v>1968</v>
      </c>
      <c r="AC227" s="462" t="s">
        <v>1969</v>
      </c>
      <c r="AD227" s="464">
        <v>1182.2581499999999</v>
      </c>
      <c r="AE227" s="465">
        <v>47.425440000000002</v>
      </c>
      <c r="AF227" s="86">
        <f>IF(verze!$E$1="CZK",AD227,IF(verze!$E$1="SK",AE227,""))</f>
        <v>47.425440000000002</v>
      </c>
    </row>
    <row r="228" spans="1:32" ht="15">
      <c r="A228" s="139"/>
      <c r="B228" s="301">
        <v>9255188</v>
      </c>
      <c r="C228" s="222" t="s">
        <v>718</v>
      </c>
      <c r="D228" s="223">
        <v>20</v>
      </c>
      <c r="E228" s="395"/>
      <c r="F228" s="266"/>
      <c r="G228" s="272">
        <f t="shared" si="22"/>
        <v>12.895490000000001</v>
      </c>
      <c r="H228" s="211" t="str">
        <f t="shared" si="25"/>
        <v>EUR</v>
      </c>
      <c r="I228" s="416" t="s">
        <v>47</v>
      </c>
      <c r="J228" s="467" t="s">
        <v>15214</v>
      </c>
      <c r="L228" s="86" t="e">
        <f>VLOOKUP(B228,$B$11:B223,1,FALSE)</f>
        <v>#N/A</v>
      </c>
      <c r="M228" s="256">
        <f>G228*(1-FORM!$AE$28/100)</f>
        <v>12.895490000000001</v>
      </c>
      <c r="AA228" s="463" t="s">
        <v>1970</v>
      </c>
      <c r="AB228" s="462" t="s">
        <v>1971</v>
      </c>
      <c r="AC228" s="462" t="s">
        <v>1972</v>
      </c>
      <c r="AD228" s="464">
        <v>1228.4913300000001</v>
      </c>
      <c r="AE228" s="465">
        <v>49.145780000000002</v>
      </c>
      <c r="AF228" s="86">
        <f>IF(verze!$E$1="CZK",AD228,IF(verze!$E$1="SK",AE228,""))</f>
        <v>49.145780000000002</v>
      </c>
    </row>
    <row r="229" spans="1:32" ht="15">
      <c r="A229" s="139"/>
      <c r="B229" s="298">
        <v>9255189</v>
      </c>
      <c r="C229" s="216" t="s">
        <v>719</v>
      </c>
      <c r="D229" s="217">
        <v>20</v>
      </c>
      <c r="E229" s="391"/>
      <c r="F229" s="262"/>
      <c r="G229" s="272">
        <f t="shared" si="22"/>
        <v>12.895490000000001</v>
      </c>
      <c r="H229" s="141" t="str">
        <f t="shared" si="25"/>
        <v>EUR</v>
      </c>
      <c r="I229" s="409" t="s">
        <v>47</v>
      </c>
      <c r="J229" s="467" t="s">
        <v>15217</v>
      </c>
      <c r="L229" s="86" t="e">
        <f>VLOOKUP(B229,$B$11:B228,1,FALSE)</f>
        <v>#N/A</v>
      </c>
      <c r="M229" s="256">
        <f>G229*(1-FORM!$AE$28/100)</f>
        <v>12.895490000000001</v>
      </c>
      <c r="AA229" s="463" t="s">
        <v>1970</v>
      </c>
      <c r="AB229" s="462" t="s">
        <v>1973</v>
      </c>
      <c r="AC229" s="462" t="s">
        <v>1974</v>
      </c>
      <c r="AD229" s="464">
        <v>464.4581</v>
      </c>
      <c r="AE229" s="465">
        <v>18.631409999999999</v>
      </c>
      <c r="AF229" s="86">
        <f>IF(verze!$E$1="CZK",AD229,IF(verze!$E$1="SK",AE229,""))</f>
        <v>18.631409999999999</v>
      </c>
    </row>
    <row r="230" spans="1:32" ht="15">
      <c r="A230" s="139"/>
      <c r="B230" s="298">
        <v>9255190</v>
      </c>
      <c r="C230" s="216" t="s">
        <v>720</v>
      </c>
      <c r="D230" s="217">
        <v>20</v>
      </c>
      <c r="E230" s="391"/>
      <c r="F230" s="262"/>
      <c r="G230" s="272">
        <f t="shared" si="22"/>
        <v>13.132899999999999</v>
      </c>
      <c r="H230" s="141" t="str">
        <f t="shared" si="25"/>
        <v>EUR</v>
      </c>
      <c r="I230" s="409" t="s">
        <v>47</v>
      </c>
      <c r="J230" s="467" t="s">
        <v>15220</v>
      </c>
      <c r="L230" s="86" t="e">
        <f>VLOOKUP(B230,$B$11:B229,1,FALSE)</f>
        <v>#N/A</v>
      </c>
      <c r="M230" s="256">
        <f>G230*(1-FORM!$AE$28/100)</f>
        <v>13.132899999999999</v>
      </c>
      <c r="AA230" s="463" t="s">
        <v>1975</v>
      </c>
      <c r="AB230" s="462" t="s">
        <v>1976</v>
      </c>
      <c r="AC230" s="462" t="s">
        <v>1977</v>
      </c>
      <c r="AD230" s="464">
        <v>1712.2040199999999</v>
      </c>
      <c r="AE230" s="465">
        <v>78.441119999999998</v>
      </c>
      <c r="AF230" s="86">
        <f>IF(verze!$E$1="CZK",AD230,IF(verze!$E$1="SK",AE230,""))</f>
        <v>78.441119999999998</v>
      </c>
    </row>
    <row r="231" spans="1:32" ht="15">
      <c r="A231" s="139"/>
      <c r="B231" s="298">
        <v>9255191</v>
      </c>
      <c r="C231" s="216" t="s">
        <v>721</v>
      </c>
      <c r="D231" s="217">
        <v>20</v>
      </c>
      <c r="E231" s="391"/>
      <c r="F231" s="262"/>
      <c r="G231" s="272">
        <f t="shared" si="22"/>
        <v>13.132899999999999</v>
      </c>
      <c r="H231" s="141" t="str">
        <f t="shared" si="25"/>
        <v>EUR</v>
      </c>
      <c r="I231" s="409" t="s">
        <v>47</v>
      </c>
      <c r="J231" s="467" t="s">
        <v>15223</v>
      </c>
      <c r="L231" s="86" t="e">
        <f>VLOOKUP(B231,$B$11:B230,1,FALSE)</f>
        <v>#N/A</v>
      </c>
      <c r="M231" s="256">
        <f>G231*(1-FORM!$AE$28/100)</f>
        <v>13.132899999999999</v>
      </c>
      <c r="AA231" s="463" t="s">
        <v>1978</v>
      </c>
      <c r="AB231" s="462" t="s">
        <v>1979</v>
      </c>
      <c r="AC231" s="462" t="s">
        <v>1980</v>
      </c>
      <c r="AD231" s="464">
        <v>1936.5303200000001</v>
      </c>
      <c r="AE231" s="465">
        <v>88.718180000000004</v>
      </c>
      <c r="AF231" s="86">
        <f>IF(verze!$E$1="CZK",AD231,IF(verze!$E$1="SK",AE231,""))</f>
        <v>88.718180000000004</v>
      </c>
    </row>
    <row r="232" spans="1:32" ht="15">
      <c r="A232" s="139"/>
      <c r="B232" s="298">
        <v>9255192</v>
      </c>
      <c r="C232" s="216" t="s">
        <v>722</v>
      </c>
      <c r="D232" s="217">
        <v>20</v>
      </c>
      <c r="E232" s="391"/>
      <c r="F232" s="262"/>
      <c r="G232" s="272">
        <f t="shared" si="22"/>
        <v>13.370430000000001</v>
      </c>
      <c r="H232" s="141" t="str">
        <f t="shared" si="25"/>
        <v>EUR</v>
      </c>
      <c r="I232" s="409" t="s">
        <v>47</v>
      </c>
      <c r="J232" s="467" t="s">
        <v>15226</v>
      </c>
      <c r="L232" s="86" t="e">
        <f>VLOOKUP(B232,$B$11:B231,1,FALSE)</f>
        <v>#N/A</v>
      </c>
      <c r="M232" s="256">
        <f>G232*(1-FORM!$AE$28/100)</f>
        <v>13.370430000000001</v>
      </c>
      <c r="AA232" s="463" t="s">
        <v>1981</v>
      </c>
      <c r="AB232" s="462" t="s">
        <v>1982</v>
      </c>
      <c r="AC232" s="462" t="s">
        <v>1983</v>
      </c>
      <c r="AD232" s="464">
        <v>902.13604999999995</v>
      </c>
      <c r="AE232" s="465">
        <v>41.329520000000002</v>
      </c>
      <c r="AF232" s="86">
        <f>IF(verze!$E$1="CZK",AD232,IF(verze!$E$1="SK",AE232,""))</f>
        <v>41.329520000000002</v>
      </c>
    </row>
    <row r="233" spans="1:32" ht="15">
      <c r="A233" s="139"/>
      <c r="B233" s="298">
        <v>9255193</v>
      </c>
      <c r="C233" s="216" t="s">
        <v>723</v>
      </c>
      <c r="D233" s="217">
        <v>20</v>
      </c>
      <c r="E233" s="391"/>
      <c r="F233" s="262"/>
      <c r="G233" s="272">
        <f t="shared" si="22"/>
        <v>13.370430000000001</v>
      </c>
      <c r="H233" s="141" t="str">
        <f t="shared" si="25"/>
        <v>EUR</v>
      </c>
      <c r="I233" s="409" t="s">
        <v>47</v>
      </c>
      <c r="J233" s="467" t="s">
        <v>15229</v>
      </c>
      <c r="L233" s="86" t="e">
        <f>VLOOKUP(B233,$B$11:B232,1,FALSE)</f>
        <v>#N/A</v>
      </c>
      <c r="M233" s="256">
        <f>G233*(1-FORM!$AE$28/100)</f>
        <v>13.370430000000001</v>
      </c>
      <c r="AA233" s="463" t="s">
        <v>1984</v>
      </c>
      <c r="AB233" s="462" t="s">
        <v>1985</v>
      </c>
      <c r="AC233" s="462" t="s">
        <v>1986</v>
      </c>
      <c r="AD233" s="464">
        <v>5996.9117200000001</v>
      </c>
      <c r="AE233" s="465">
        <v>274.73628000000002</v>
      </c>
      <c r="AF233" s="86">
        <f>IF(verze!$E$1="CZK",AD233,IF(verze!$E$1="SK",AE233,""))</f>
        <v>274.73628000000002</v>
      </c>
    </row>
    <row r="234" spans="1:32" ht="15">
      <c r="A234" s="139"/>
      <c r="B234" s="298">
        <v>9255194</v>
      </c>
      <c r="C234" s="216" t="s">
        <v>724</v>
      </c>
      <c r="D234" s="217">
        <v>20</v>
      </c>
      <c r="E234" s="391"/>
      <c r="F234" s="262"/>
      <c r="G234" s="272">
        <f t="shared" si="22"/>
        <v>13.60773</v>
      </c>
      <c r="H234" s="141" t="str">
        <f t="shared" si="25"/>
        <v>EUR</v>
      </c>
      <c r="I234" s="409" t="s">
        <v>47</v>
      </c>
      <c r="J234" s="467" t="s">
        <v>15232</v>
      </c>
      <c r="L234" s="86" t="e">
        <f>VLOOKUP(B234,$B$11:B233,1,FALSE)</f>
        <v>#N/A</v>
      </c>
      <c r="M234" s="256">
        <f>G234*(1-FORM!$AE$28/100)</f>
        <v>13.60773</v>
      </c>
      <c r="AA234" s="463" t="s">
        <v>1987</v>
      </c>
      <c r="AB234" s="462" t="s">
        <v>1988</v>
      </c>
      <c r="AC234" s="462" t="s">
        <v>1989</v>
      </c>
      <c r="AD234" s="464">
        <v>435.9282</v>
      </c>
      <c r="AE234" s="465">
        <v>20.969719999999999</v>
      </c>
      <c r="AF234" s="86">
        <f>IF(verze!$E$1="CZK",AD234,IF(verze!$E$1="SK",AE234,""))</f>
        <v>20.969719999999999</v>
      </c>
    </row>
    <row r="235" spans="1:32" ht="15">
      <c r="A235" s="139"/>
      <c r="B235" s="298">
        <v>9255195</v>
      </c>
      <c r="C235" s="216" t="s">
        <v>725</v>
      </c>
      <c r="D235" s="217">
        <v>20</v>
      </c>
      <c r="E235" s="391"/>
      <c r="F235" s="262"/>
      <c r="G235" s="272">
        <f t="shared" si="22"/>
        <v>13.60773</v>
      </c>
      <c r="H235" s="141" t="str">
        <f t="shared" si="25"/>
        <v>EUR</v>
      </c>
      <c r="I235" s="409" t="s">
        <v>47</v>
      </c>
      <c r="J235" s="467" t="s">
        <v>15235</v>
      </c>
      <c r="L235" s="86" t="e">
        <f>VLOOKUP(B235,$B$11:B234,1,FALSE)</f>
        <v>#N/A</v>
      </c>
      <c r="M235" s="256">
        <f>G235*(1-FORM!$AE$28/100)</f>
        <v>13.60773</v>
      </c>
      <c r="AA235" s="463" t="s">
        <v>1990</v>
      </c>
      <c r="AB235" s="462" t="s">
        <v>1991</v>
      </c>
      <c r="AC235" s="462" t="s">
        <v>1992</v>
      </c>
      <c r="AD235" s="464">
        <v>3.3996300000000002</v>
      </c>
      <c r="AE235" s="465">
        <v>0.13941999999999999</v>
      </c>
      <c r="AF235" s="86">
        <f>IF(verze!$E$1="CZK",AD235,IF(verze!$E$1="SK",AE235,""))</f>
        <v>0.13941999999999999</v>
      </c>
    </row>
    <row r="236" spans="1:32" ht="15">
      <c r="A236" s="139"/>
      <c r="B236" s="298">
        <v>9255196</v>
      </c>
      <c r="C236" s="216" t="s">
        <v>726</v>
      </c>
      <c r="D236" s="217">
        <v>20</v>
      </c>
      <c r="E236" s="391"/>
      <c r="F236" s="262"/>
      <c r="G236" s="272">
        <f t="shared" si="22"/>
        <v>13.185700000000001</v>
      </c>
      <c r="H236" s="141" t="str">
        <f t="shared" si="25"/>
        <v>EUR</v>
      </c>
      <c r="I236" s="409" t="s">
        <v>47</v>
      </c>
      <c r="J236" s="467" t="s">
        <v>15238</v>
      </c>
      <c r="L236" s="86" t="e">
        <f>VLOOKUP(B236,$B$11:B235,1,FALSE)</f>
        <v>#N/A</v>
      </c>
      <c r="M236" s="256">
        <f>G236*(1-FORM!$AE$28/100)</f>
        <v>13.185700000000001</v>
      </c>
      <c r="AA236" s="463" t="s">
        <v>1993</v>
      </c>
      <c r="AB236" s="462" t="s">
        <v>1994</v>
      </c>
      <c r="AC236" s="462" t="s">
        <v>1995</v>
      </c>
      <c r="AD236" s="464">
        <v>3.3566600000000002</v>
      </c>
      <c r="AE236" s="465">
        <v>0.13768</v>
      </c>
      <c r="AF236" s="86">
        <f>IF(verze!$E$1="CZK",AD236,IF(verze!$E$1="SK",AE236,""))</f>
        <v>0.13768</v>
      </c>
    </row>
    <row r="237" spans="1:32" ht="15">
      <c r="A237" s="139"/>
      <c r="B237" s="298">
        <v>9255197</v>
      </c>
      <c r="C237" s="216" t="s">
        <v>727</v>
      </c>
      <c r="D237" s="217">
        <v>20</v>
      </c>
      <c r="E237" s="391"/>
      <c r="F237" s="262"/>
      <c r="G237" s="272">
        <f t="shared" si="22"/>
        <v>13.185700000000001</v>
      </c>
      <c r="H237" s="141" t="str">
        <f t="shared" si="25"/>
        <v>EUR</v>
      </c>
      <c r="I237" s="409" t="s">
        <v>47</v>
      </c>
      <c r="J237" s="467" t="s">
        <v>15241</v>
      </c>
      <c r="L237" s="86" t="e">
        <f>VLOOKUP(B237,$B$11:B236,1,FALSE)</f>
        <v>#N/A</v>
      </c>
      <c r="M237" s="256">
        <f>G237*(1-FORM!$AE$28/100)</f>
        <v>13.185700000000001</v>
      </c>
      <c r="AA237" s="463" t="s">
        <v>1996</v>
      </c>
      <c r="AB237" s="462" t="s">
        <v>1997</v>
      </c>
      <c r="AC237" s="462" t="s">
        <v>1998</v>
      </c>
      <c r="AD237" s="464">
        <v>2.9527700000000001</v>
      </c>
      <c r="AE237" s="465">
        <v>0.1211</v>
      </c>
      <c r="AF237" s="86">
        <f>IF(verze!$E$1="CZK",AD237,IF(verze!$E$1="SK",AE237,""))</f>
        <v>0.1211</v>
      </c>
    </row>
    <row r="238" spans="1:32" ht="15">
      <c r="A238" s="139"/>
      <c r="B238" s="298">
        <v>9255198</v>
      </c>
      <c r="C238" s="216" t="s">
        <v>728</v>
      </c>
      <c r="D238" s="217">
        <v>20</v>
      </c>
      <c r="E238" s="391"/>
      <c r="F238" s="262"/>
      <c r="G238" s="272">
        <f t="shared" si="22"/>
        <v>14.08229</v>
      </c>
      <c r="H238" s="141" t="str">
        <f t="shared" si="25"/>
        <v>EUR</v>
      </c>
      <c r="I238" s="409" t="s">
        <v>47</v>
      </c>
      <c r="J238" s="467" t="s">
        <v>15244</v>
      </c>
      <c r="L238" s="86" t="e">
        <f>VLOOKUP(B238,$B$11:B237,1,FALSE)</f>
        <v>#N/A</v>
      </c>
      <c r="M238" s="256">
        <f>G238*(1-FORM!$AE$28/100)</f>
        <v>14.08229</v>
      </c>
      <c r="AA238" s="463" t="s">
        <v>1999</v>
      </c>
      <c r="AB238" s="462" t="s">
        <v>2000</v>
      </c>
      <c r="AC238" s="462" t="s">
        <v>2001</v>
      </c>
      <c r="AD238" s="464">
        <v>2.5594800000000002</v>
      </c>
      <c r="AE238" s="465">
        <v>0.10498</v>
      </c>
      <c r="AF238" s="86">
        <f>IF(verze!$E$1="CZK",AD238,IF(verze!$E$1="SK",AE238,""))</f>
        <v>0.10498</v>
      </c>
    </row>
    <row r="239" spans="1:32" ht="15">
      <c r="A239" s="139"/>
      <c r="B239" s="298">
        <v>9255199</v>
      </c>
      <c r="C239" s="216" t="s">
        <v>729</v>
      </c>
      <c r="D239" s="217">
        <v>20</v>
      </c>
      <c r="E239" s="391"/>
      <c r="F239" s="262"/>
      <c r="G239" s="272">
        <f t="shared" si="22"/>
        <v>14.08229</v>
      </c>
      <c r="H239" s="141" t="str">
        <f t="shared" si="25"/>
        <v>EUR</v>
      </c>
      <c r="I239" s="409" t="s">
        <v>47</v>
      </c>
      <c r="J239" s="467" t="s">
        <v>15247</v>
      </c>
      <c r="L239" s="86" t="e">
        <f>VLOOKUP(B239,$B$11:B238,1,FALSE)</f>
        <v>#N/A</v>
      </c>
      <c r="M239" s="256">
        <f>G239*(1-FORM!$AE$28/100)</f>
        <v>14.08229</v>
      </c>
      <c r="AA239" s="463" t="s">
        <v>2002</v>
      </c>
      <c r="AB239" s="462" t="s">
        <v>2003</v>
      </c>
      <c r="AC239" s="462" t="s">
        <v>2004</v>
      </c>
      <c r="AD239" s="464">
        <v>1030.98685</v>
      </c>
      <c r="AE239" s="465">
        <v>41.244619999999998</v>
      </c>
      <c r="AF239" s="86">
        <f>IF(verze!$E$1="CZK",AD239,IF(verze!$E$1="SK",AE239,""))</f>
        <v>41.244619999999998</v>
      </c>
    </row>
    <row r="240" spans="1:32" ht="15">
      <c r="A240" s="139"/>
      <c r="B240" s="298">
        <v>9255200</v>
      </c>
      <c r="C240" s="216" t="s">
        <v>730</v>
      </c>
      <c r="D240" s="217">
        <v>20</v>
      </c>
      <c r="E240" s="391"/>
      <c r="F240" s="262"/>
      <c r="G240" s="272">
        <f t="shared" si="22"/>
        <v>14.44021</v>
      </c>
      <c r="H240" s="141" t="str">
        <f t="shared" si="25"/>
        <v>EUR</v>
      </c>
      <c r="I240" s="409" t="s">
        <v>47</v>
      </c>
      <c r="J240" s="467" t="s">
        <v>15250</v>
      </c>
      <c r="L240" s="86" t="e">
        <f>VLOOKUP(B240,$B$11:B239,1,FALSE)</f>
        <v>#N/A</v>
      </c>
      <c r="M240" s="256">
        <f>G240*(1-FORM!$AE$28/100)</f>
        <v>14.44021</v>
      </c>
      <c r="AA240" s="463" t="s">
        <v>2005</v>
      </c>
      <c r="AB240" s="462" t="s">
        <v>2006</v>
      </c>
      <c r="AC240" s="462" t="s">
        <v>2007</v>
      </c>
      <c r="AD240" s="464">
        <v>1153.6680100000001</v>
      </c>
      <c r="AE240" s="465">
        <v>46.152470000000001</v>
      </c>
      <c r="AF240" s="86">
        <f>IF(verze!$E$1="CZK",AD240,IF(verze!$E$1="SK",AE240,""))</f>
        <v>46.152470000000001</v>
      </c>
    </row>
    <row r="241" spans="1:32" ht="15">
      <c r="A241" s="139"/>
      <c r="B241" s="447">
        <v>9255201</v>
      </c>
      <c r="C241" s="448" t="s">
        <v>731</v>
      </c>
      <c r="D241" s="449">
        <v>20</v>
      </c>
      <c r="E241" s="450"/>
      <c r="F241" s="451"/>
      <c r="G241" s="272">
        <f t="shared" si="22"/>
        <v>14.44021</v>
      </c>
      <c r="H241" s="452" t="str">
        <f t="shared" si="25"/>
        <v>EUR</v>
      </c>
      <c r="I241" s="453" t="s">
        <v>47</v>
      </c>
      <c r="J241" s="467" t="s">
        <v>15253</v>
      </c>
      <c r="L241" s="86" t="e">
        <f>VLOOKUP(B241,$B$11:B240,1,FALSE)</f>
        <v>#N/A</v>
      </c>
      <c r="M241" s="256">
        <f>G241*(1-FORM!$AE$28/100)</f>
        <v>14.44021</v>
      </c>
      <c r="AA241" s="463" t="s">
        <v>2008</v>
      </c>
      <c r="AB241" s="462" t="s">
        <v>2009</v>
      </c>
      <c r="AC241" s="462" t="s">
        <v>2010</v>
      </c>
      <c r="AD241" s="464">
        <v>1215.21037</v>
      </c>
      <c r="AE241" s="465">
        <v>48.614460000000001</v>
      </c>
      <c r="AF241" s="86">
        <f>IF(verze!$E$1="CZK",AD241,IF(verze!$E$1="SK",AE241,""))</f>
        <v>48.614460000000001</v>
      </c>
    </row>
    <row r="242" spans="1:32" ht="15">
      <c r="A242" s="139"/>
      <c r="B242" s="298">
        <v>9255202</v>
      </c>
      <c r="C242" s="216" t="s">
        <v>1314</v>
      </c>
      <c r="D242" s="217">
        <v>20</v>
      </c>
      <c r="E242" s="391"/>
      <c r="F242" s="262"/>
      <c r="G242" s="272">
        <f t="shared" si="22"/>
        <v>14.822279999999999</v>
      </c>
      <c r="H242" s="141" t="str">
        <f t="shared" ref="H242:H243" si="27">IF(G242="","",$H$10)</f>
        <v>EUR</v>
      </c>
      <c r="I242" s="409" t="s">
        <v>47</v>
      </c>
      <c r="J242" s="467" t="s">
        <v>15256</v>
      </c>
      <c r="L242" s="86" t="e">
        <f>VLOOKUP(B242,$B$11:B241,1,FALSE)</f>
        <v>#N/A</v>
      </c>
      <c r="M242" s="256">
        <f>G242*(1-FORM!$AE$28/100)</f>
        <v>14.822279999999999</v>
      </c>
      <c r="AA242" s="463" t="s">
        <v>2011</v>
      </c>
      <c r="AB242" s="462" t="s">
        <v>2012</v>
      </c>
      <c r="AC242" s="462" t="s">
        <v>2013</v>
      </c>
      <c r="AD242" s="464">
        <v>1041.86519</v>
      </c>
      <c r="AE242" s="465">
        <v>41.679780000000001</v>
      </c>
      <c r="AF242" s="86">
        <f>IF(verze!$E$1="CZK",AD242,IF(verze!$E$1="SK",AE242,""))</f>
        <v>41.679780000000001</v>
      </c>
    </row>
    <row r="243" spans="1:32" ht="15">
      <c r="A243" s="139"/>
      <c r="B243" s="303">
        <v>9255203</v>
      </c>
      <c r="C243" s="304" t="s">
        <v>1315</v>
      </c>
      <c r="D243" s="226">
        <v>20</v>
      </c>
      <c r="E243" s="396"/>
      <c r="F243" s="268"/>
      <c r="G243" s="272">
        <f t="shared" si="22"/>
        <v>14.822279999999999</v>
      </c>
      <c r="H243" s="142" t="str">
        <f t="shared" si="27"/>
        <v>EUR</v>
      </c>
      <c r="I243" s="417" t="s">
        <v>47</v>
      </c>
      <c r="J243" s="468" t="s">
        <v>15259</v>
      </c>
      <c r="L243" s="86" t="e">
        <f>VLOOKUP(B243,$B$11:B242,1,FALSE)</f>
        <v>#N/A</v>
      </c>
      <c r="M243" s="256">
        <f>G243*(1-FORM!$AE$28/100)</f>
        <v>14.822279999999999</v>
      </c>
      <c r="AA243" s="463" t="s">
        <v>2014</v>
      </c>
      <c r="AB243" s="462" t="s">
        <v>2015</v>
      </c>
      <c r="AC243" s="462" t="s">
        <v>2016</v>
      </c>
      <c r="AD243" s="464">
        <v>30.095960000000002</v>
      </c>
      <c r="AE243" s="465">
        <v>1.23434</v>
      </c>
      <c r="AF243" s="86">
        <f>IF(verze!$E$1="CZK",AD243,IF(verze!$E$1="SK",AE243,""))</f>
        <v>1.23434</v>
      </c>
    </row>
    <row r="244" spans="1:32" ht="15">
      <c r="B244" s="301">
        <v>9257884</v>
      </c>
      <c r="C244" s="222" t="s">
        <v>732</v>
      </c>
      <c r="D244" s="223">
        <v>200</v>
      </c>
      <c r="E244" s="395"/>
      <c r="F244" s="266"/>
      <c r="G244" s="272">
        <f t="shared" si="22"/>
        <v>1.5494000000000001</v>
      </c>
      <c r="H244" s="211" t="str">
        <f t="shared" si="25"/>
        <v>EUR</v>
      </c>
      <c r="I244" s="416" t="s">
        <v>47</v>
      </c>
      <c r="J244" s="469" t="s">
        <v>16571</v>
      </c>
      <c r="L244" s="86" t="e">
        <f>VLOOKUP(B244,$B$11:B241,1,FALSE)</f>
        <v>#N/A</v>
      </c>
      <c r="M244" s="256">
        <f>G244*(1-FORM!$AE$28/100)</f>
        <v>1.5494000000000001</v>
      </c>
      <c r="AA244" s="463" t="s">
        <v>2017</v>
      </c>
      <c r="AB244" s="462" t="s">
        <v>2018</v>
      </c>
      <c r="AC244" s="462" t="s">
        <v>2019</v>
      </c>
      <c r="AD244" s="464">
        <v>263.12896999999998</v>
      </c>
      <c r="AE244" s="465">
        <v>11.445880000000001</v>
      </c>
      <c r="AF244" s="86">
        <f>IF(verze!$E$1="CZK",AD244,IF(verze!$E$1="SK",AE244,""))</f>
        <v>11.445880000000001</v>
      </c>
    </row>
    <row r="245" spans="1:32" ht="15">
      <c r="B245" s="303">
        <v>9257885</v>
      </c>
      <c r="C245" s="304" t="s">
        <v>733</v>
      </c>
      <c r="D245" s="226">
        <v>200</v>
      </c>
      <c r="E245" s="396"/>
      <c r="F245" s="268"/>
      <c r="G245" s="272">
        <f t="shared" si="22"/>
        <v>1.57826</v>
      </c>
      <c r="H245" s="142" t="str">
        <f t="shared" si="25"/>
        <v>EUR</v>
      </c>
      <c r="I245" s="417" t="s">
        <v>47</v>
      </c>
      <c r="J245" s="468" t="s">
        <v>16574</v>
      </c>
      <c r="L245" s="86" t="e">
        <f>VLOOKUP(B245,$B$11:B244,1,FALSE)</f>
        <v>#N/A</v>
      </c>
      <c r="M245" s="256">
        <f>G245*(1-FORM!$AE$28/100)</f>
        <v>1.57826</v>
      </c>
      <c r="AA245" s="463" t="s">
        <v>2020</v>
      </c>
      <c r="AB245" s="462" t="s">
        <v>2021</v>
      </c>
      <c r="AC245" s="462" t="s">
        <v>2022</v>
      </c>
      <c r="AD245" s="464">
        <v>268.63887999999997</v>
      </c>
      <c r="AE245" s="465">
        <v>11.685560000000001</v>
      </c>
      <c r="AF245" s="86">
        <f>IF(verze!$E$1="CZK",AD245,IF(verze!$E$1="SK",AE245,""))</f>
        <v>11.685560000000001</v>
      </c>
    </row>
    <row r="246" spans="1:32" ht="15">
      <c r="B246" s="303"/>
      <c r="C246" s="304"/>
      <c r="D246" s="226"/>
      <c r="E246" s="396"/>
      <c r="F246" s="268"/>
      <c r="G246" s="272"/>
      <c r="H246" s="142"/>
      <c r="I246" s="417" t="s">
        <v>47</v>
      </c>
      <c r="J246" s="413"/>
      <c r="L246" s="86" t="e">
        <f>VLOOKUP(B246,$B$11:B245,1,FALSE)</f>
        <v>#N/A</v>
      </c>
      <c r="M246" s="256">
        <f>G246*(1-FORM!$AE$28/100)</f>
        <v>0</v>
      </c>
      <c r="AA246" s="463" t="s">
        <v>2023</v>
      </c>
      <c r="AB246" s="462" t="s">
        <v>2024</v>
      </c>
      <c r="AC246" s="462" t="s">
        <v>2025</v>
      </c>
      <c r="AD246" s="464">
        <v>273.61201999999997</v>
      </c>
      <c r="AE246" s="465">
        <v>11.901899999999999</v>
      </c>
      <c r="AF246" s="86">
        <f>IF(verze!$E$1="CZK",AD246,IF(verze!$E$1="SK",AE246,""))</f>
        <v>11.901899999999999</v>
      </c>
    </row>
    <row r="247" spans="1:32" ht="15">
      <c r="A247" s="130"/>
      <c r="B247" s="424">
        <v>9353353</v>
      </c>
      <c r="C247" s="222" t="s">
        <v>1231</v>
      </c>
      <c r="D247" s="223">
        <v>1</v>
      </c>
      <c r="E247" s="395"/>
      <c r="F247" s="266"/>
      <c r="G247" s="272">
        <f t="shared" si="22"/>
        <v>37.606110000000001</v>
      </c>
      <c r="H247" s="211" t="str">
        <f t="shared" si="25"/>
        <v>EUR</v>
      </c>
      <c r="I247" s="416" t="s">
        <v>47</v>
      </c>
      <c r="J247" s="467" t="s">
        <v>20482</v>
      </c>
      <c r="L247" s="86" t="e">
        <f>VLOOKUP(B247,$B$11:B246,1,FALSE)</f>
        <v>#N/A</v>
      </c>
      <c r="M247" s="256">
        <f>G247*(1-FORM!$AE$28/100)</f>
        <v>37.606110000000001</v>
      </c>
      <c r="AA247" s="463" t="s">
        <v>2026</v>
      </c>
      <c r="AB247" s="462" t="s">
        <v>2027</v>
      </c>
      <c r="AC247" s="462" t="s">
        <v>2028</v>
      </c>
      <c r="AD247" s="464">
        <v>278.58515</v>
      </c>
      <c r="AE247" s="465">
        <v>12.118220000000001</v>
      </c>
      <c r="AF247" s="86">
        <f>IF(verze!$E$1="CZK",AD247,IF(verze!$E$1="SK",AE247,""))</f>
        <v>12.118220000000001</v>
      </c>
    </row>
    <row r="248" spans="1:32" ht="15">
      <c r="A248" s="130"/>
      <c r="B248" s="425">
        <v>9353354</v>
      </c>
      <c r="C248" s="216" t="s">
        <v>1232</v>
      </c>
      <c r="D248" s="217">
        <v>1</v>
      </c>
      <c r="E248" s="391"/>
      <c r="F248" s="262"/>
      <c r="G248" s="272">
        <f t="shared" si="22"/>
        <v>37.95196</v>
      </c>
      <c r="H248" s="141" t="str">
        <f t="shared" si="25"/>
        <v>EUR</v>
      </c>
      <c r="I248" s="409" t="s">
        <v>47</v>
      </c>
      <c r="J248" s="467" t="s">
        <v>20485</v>
      </c>
      <c r="L248" s="86" t="e">
        <f>VLOOKUP(B248,$B$11:B247,1,FALSE)</f>
        <v>#N/A</v>
      </c>
      <c r="M248" s="256">
        <f>G248*(1-FORM!$AE$28/100)</f>
        <v>37.95196</v>
      </c>
      <c r="AA248" s="463" t="s">
        <v>2029</v>
      </c>
      <c r="AB248" s="462" t="s">
        <v>2030</v>
      </c>
      <c r="AC248" s="462" t="s">
        <v>2031</v>
      </c>
      <c r="AD248" s="464">
        <v>302.85406999999998</v>
      </c>
      <c r="AE248" s="465">
        <v>13.1739</v>
      </c>
      <c r="AF248" s="86">
        <f>IF(verze!$E$1="CZK",AD248,IF(verze!$E$1="SK",AE248,""))</f>
        <v>13.1739</v>
      </c>
    </row>
    <row r="249" spans="1:32" ht="15">
      <c r="A249" s="130"/>
      <c r="B249" s="425">
        <v>9353355</v>
      </c>
      <c r="C249" s="216" t="s">
        <v>1233</v>
      </c>
      <c r="D249" s="217">
        <v>1</v>
      </c>
      <c r="E249" s="391"/>
      <c r="F249" s="262"/>
      <c r="G249" s="272">
        <f t="shared" si="22"/>
        <v>38.529060000000001</v>
      </c>
      <c r="H249" s="141" t="str">
        <f t="shared" si="25"/>
        <v>EUR</v>
      </c>
      <c r="I249" s="409" t="s">
        <v>47</v>
      </c>
      <c r="J249" s="467" t="s">
        <v>20488</v>
      </c>
      <c r="L249" s="86" t="e">
        <f>VLOOKUP(B249,$B$11:B248,1,FALSE)</f>
        <v>#N/A</v>
      </c>
      <c r="M249" s="256">
        <f>G249*(1-FORM!$AE$28/100)</f>
        <v>38.529060000000001</v>
      </c>
      <c r="AA249" s="463" t="s">
        <v>2032</v>
      </c>
      <c r="AB249" s="462" t="s">
        <v>2033</v>
      </c>
      <c r="AC249" s="462" t="s">
        <v>2034</v>
      </c>
      <c r="AD249" s="464">
        <v>322.71382</v>
      </c>
      <c r="AE249" s="465">
        <v>14.037800000000001</v>
      </c>
      <c r="AF249" s="86">
        <f>IF(verze!$E$1="CZK",AD249,IF(verze!$E$1="SK",AE249,""))</f>
        <v>14.037800000000001</v>
      </c>
    </row>
    <row r="250" spans="1:32" ht="15">
      <c r="A250" s="130"/>
      <c r="B250" s="425">
        <v>9353356</v>
      </c>
      <c r="C250" s="216" t="s">
        <v>1234</v>
      </c>
      <c r="D250" s="217">
        <v>1</v>
      </c>
      <c r="E250" s="391"/>
      <c r="F250" s="262"/>
      <c r="G250" s="272">
        <f t="shared" si="22"/>
        <v>39.106140000000003</v>
      </c>
      <c r="H250" s="141" t="str">
        <f>IF(G250="","",$H$10)</f>
        <v>EUR</v>
      </c>
      <c r="I250" s="409" t="s">
        <v>47</v>
      </c>
      <c r="J250" s="467" t="s">
        <v>20491</v>
      </c>
      <c r="L250" s="86" t="e">
        <f>VLOOKUP(B250,$B$11:B249,1,FALSE)</f>
        <v>#N/A</v>
      </c>
      <c r="M250" s="256">
        <f>G250*(1-FORM!$AE$28/100)</f>
        <v>39.106140000000003</v>
      </c>
      <c r="AA250" s="463" t="s">
        <v>2035</v>
      </c>
      <c r="AB250" s="462" t="s">
        <v>2036</v>
      </c>
      <c r="AC250" s="462" t="s">
        <v>2037</v>
      </c>
      <c r="AD250" s="464">
        <v>2.3200599999999998</v>
      </c>
      <c r="AE250" s="465">
        <v>9.5159999999999995E-2</v>
      </c>
      <c r="AF250" s="86">
        <f>IF(verze!$E$1="CZK",AD250,IF(verze!$E$1="SK",AE250,""))</f>
        <v>9.5159999999999995E-2</v>
      </c>
    </row>
    <row r="251" spans="1:32" ht="15">
      <c r="A251" s="130"/>
      <c r="B251" s="425">
        <v>9353357</v>
      </c>
      <c r="C251" s="216" t="s">
        <v>1235</v>
      </c>
      <c r="D251" s="217">
        <v>1</v>
      </c>
      <c r="E251" s="391"/>
      <c r="F251" s="262"/>
      <c r="G251" s="272">
        <f t="shared" si="22"/>
        <v>37.79374</v>
      </c>
      <c r="H251" s="141" t="str">
        <f>IF(G251="","",$H$10)</f>
        <v>EUR</v>
      </c>
      <c r="I251" s="409" t="s">
        <v>47</v>
      </c>
      <c r="J251" s="467" t="s">
        <v>20494</v>
      </c>
      <c r="L251" s="86" t="e">
        <f>VLOOKUP(B251,$B$11:B250,1,FALSE)</f>
        <v>#N/A</v>
      </c>
      <c r="M251" s="256">
        <f>G251*(1-FORM!$AE$28/100)</f>
        <v>37.79374</v>
      </c>
      <c r="AA251" s="463" t="s">
        <v>2038</v>
      </c>
      <c r="AB251" s="462" t="s">
        <v>2039</v>
      </c>
      <c r="AC251" s="462" t="s">
        <v>2040</v>
      </c>
      <c r="AD251" s="464">
        <v>2.13767</v>
      </c>
      <c r="AE251" s="465">
        <v>8.7679999999999994E-2</v>
      </c>
      <c r="AF251" s="86">
        <f>IF(verze!$E$1="CZK",AD251,IF(verze!$E$1="SK",AE251,""))</f>
        <v>8.7679999999999994E-2</v>
      </c>
    </row>
    <row r="252" spans="1:32" ht="15">
      <c r="A252" s="130"/>
      <c r="B252" s="425">
        <v>9353358</v>
      </c>
      <c r="C252" s="216" t="s">
        <v>1236</v>
      </c>
      <c r="D252" s="217">
        <v>1</v>
      </c>
      <c r="E252" s="391"/>
      <c r="F252" s="262"/>
      <c r="G252" s="272">
        <f t="shared" si="22"/>
        <v>38.343159999999997</v>
      </c>
      <c r="H252" s="141" t="str">
        <f>IF(G252="","",$H$10)</f>
        <v>EUR</v>
      </c>
      <c r="I252" s="409" t="s">
        <v>47</v>
      </c>
      <c r="J252" s="467" t="s">
        <v>20497</v>
      </c>
      <c r="L252" s="86" t="e">
        <f>VLOOKUP(B252,$B$11:B251,1,FALSE)</f>
        <v>#N/A</v>
      </c>
      <c r="M252" s="256">
        <f>G252*(1-FORM!$AE$28/100)</f>
        <v>38.343159999999997</v>
      </c>
      <c r="AA252" s="463" t="s">
        <v>2041</v>
      </c>
      <c r="AB252" s="462" t="s">
        <v>2042</v>
      </c>
      <c r="AC252" s="462" t="s">
        <v>2043</v>
      </c>
      <c r="AD252" s="464">
        <v>0.74358999999999997</v>
      </c>
      <c r="AE252" s="465">
        <v>3.0499999999999999E-2</v>
      </c>
      <c r="AF252" s="86">
        <f>IF(verze!$E$1="CZK",AD252,IF(verze!$E$1="SK",AE252,""))</f>
        <v>3.0499999999999999E-2</v>
      </c>
    </row>
    <row r="253" spans="1:32" ht="15">
      <c r="A253" s="130"/>
      <c r="B253" s="425">
        <v>9353359</v>
      </c>
      <c r="C253" s="216" t="s">
        <v>1237</v>
      </c>
      <c r="D253" s="217">
        <v>1</v>
      </c>
      <c r="E253" s="391"/>
      <c r="F253" s="262"/>
      <c r="G253" s="272">
        <f t="shared" si="22"/>
        <v>40.83719</v>
      </c>
      <c r="H253" s="141" t="str">
        <f>IF(G253="","",$H$10)</f>
        <v>EUR</v>
      </c>
      <c r="I253" s="409" t="s">
        <v>47</v>
      </c>
      <c r="J253" s="467" t="s">
        <v>20500</v>
      </c>
      <c r="L253" s="86" t="e">
        <f>VLOOKUP(B253,$B$11:B252,1,FALSE)</f>
        <v>#N/A</v>
      </c>
      <c r="M253" s="256">
        <f>G253*(1-FORM!$AE$28/100)</f>
        <v>40.83719</v>
      </c>
      <c r="AA253" s="463" t="s">
        <v>2044</v>
      </c>
      <c r="AB253" s="462" t="s">
        <v>2045</v>
      </c>
      <c r="AC253" s="462" t="s">
        <v>2046</v>
      </c>
      <c r="AD253" s="464">
        <v>1201.88527</v>
      </c>
      <c r="AE253" s="465">
        <v>49.293520000000001</v>
      </c>
      <c r="AF253" s="86">
        <f>IF(verze!$E$1="CZK",AD253,IF(verze!$E$1="SK",AE253,""))</f>
        <v>49.293520000000001</v>
      </c>
    </row>
    <row r="254" spans="1:32" ht="15">
      <c r="A254" s="130"/>
      <c r="B254" s="425">
        <v>9353360</v>
      </c>
      <c r="C254" s="216" t="s">
        <v>1238</v>
      </c>
      <c r="D254" s="217">
        <v>1</v>
      </c>
      <c r="E254" s="391"/>
      <c r="F254" s="262"/>
      <c r="G254" s="272">
        <f t="shared" si="22"/>
        <v>41.752409999999998</v>
      </c>
      <c r="H254" s="141" t="str">
        <f>IF(G254="","",$H$10)</f>
        <v>EUR</v>
      </c>
      <c r="I254" s="409" t="s">
        <v>47</v>
      </c>
      <c r="J254" s="467" t="s">
        <v>20503</v>
      </c>
      <c r="L254" s="86" t="e">
        <f>VLOOKUP(B254,$B$11:B253,1,FALSE)</f>
        <v>#N/A</v>
      </c>
      <c r="M254" s="256">
        <f>G254*(1-FORM!$AE$28/100)</f>
        <v>41.752409999999998</v>
      </c>
      <c r="AA254" s="463" t="s">
        <v>2044</v>
      </c>
      <c r="AB254" s="462" t="s">
        <v>2047</v>
      </c>
      <c r="AC254" s="462" t="s">
        <v>2048</v>
      </c>
      <c r="AD254" s="464">
        <v>395.97645</v>
      </c>
      <c r="AE254" s="465">
        <v>15.884309999999999</v>
      </c>
      <c r="AF254" s="86">
        <f>IF(verze!$E$1="CZK",AD254,IF(verze!$E$1="SK",AE254,""))</f>
        <v>15.884309999999999</v>
      </c>
    </row>
    <row r="255" spans="1:32" ht="15">
      <c r="A255" s="130"/>
      <c r="B255" s="426">
        <v>9353371</v>
      </c>
      <c r="C255" s="304" t="s">
        <v>1239</v>
      </c>
      <c r="D255" s="226">
        <v>1</v>
      </c>
      <c r="E255" s="396"/>
      <c r="F255" s="268"/>
      <c r="G255" s="272">
        <f t="shared" si="22"/>
        <v>43.053130000000003</v>
      </c>
      <c r="H255" s="142" t="str">
        <f t="shared" si="25"/>
        <v>EUR</v>
      </c>
      <c r="I255" s="417" t="s">
        <v>47</v>
      </c>
      <c r="J255" s="468" t="s">
        <v>20506</v>
      </c>
      <c r="L255" s="86" t="e">
        <f>VLOOKUP(B255,$B$11:B254,1,FALSE)</f>
        <v>#N/A</v>
      </c>
      <c r="M255" s="256">
        <f>G255*(1-FORM!$AE$28/100)</f>
        <v>43.053130000000003</v>
      </c>
      <c r="AA255" s="463" t="s">
        <v>2049</v>
      </c>
      <c r="AB255" s="462" t="s">
        <v>2050</v>
      </c>
      <c r="AC255" s="462" t="s">
        <v>2051</v>
      </c>
      <c r="AD255" s="464">
        <v>107.03467000000001</v>
      </c>
      <c r="AE255" s="465">
        <v>4.3898599999999997</v>
      </c>
      <c r="AF255" s="86">
        <f>IF(verze!$E$1="CZK",AD255,IF(verze!$E$1="SK",AE255,""))</f>
        <v>4.3898599999999997</v>
      </c>
    </row>
    <row r="256" spans="1:32" ht="15">
      <c r="A256" s="137"/>
      <c r="B256" s="424">
        <v>9353401</v>
      </c>
      <c r="C256" s="222" t="s">
        <v>1240</v>
      </c>
      <c r="D256" s="223">
        <v>1</v>
      </c>
      <c r="E256" s="395"/>
      <c r="F256" s="266"/>
      <c r="G256" s="272">
        <f t="shared" si="22"/>
        <v>37.606110000000001</v>
      </c>
      <c r="H256" s="211" t="str">
        <f t="shared" si="25"/>
        <v>EUR</v>
      </c>
      <c r="I256" s="416" t="s">
        <v>47</v>
      </c>
      <c r="J256" s="469" t="s">
        <v>20596</v>
      </c>
      <c r="L256" s="86" t="e">
        <f>VLOOKUP(B256,$B$11:B255,1,FALSE)</f>
        <v>#N/A</v>
      </c>
      <c r="M256" s="256">
        <f>G256*(1-FORM!$AE$28/100)</f>
        <v>37.606110000000001</v>
      </c>
      <c r="AA256" s="463" t="s">
        <v>2052</v>
      </c>
      <c r="AB256" s="462" t="s">
        <v>2053</v>
      </c>
      <c r="AC256" s="462" t="s">
        <v>2054</v>
      </c>
      <c r="AD256" s="464">
        <v>3.6176900000000001</v>
      </c>
      <c r="AE256" s="465">
        <v>0.14835999999999999</v>
      </c>
      <c r="AF256" s="86">
        <f>IF(verze!$E$1="CZK",AD256,IF(verze!$E$1="SK",AE256,""))</f>
        <v>0.14835999999999999</v>
      </c>
    </row>
    <row r="257" spans="1:32" ht="15">
      <c r="A257" s="137"/>
      <c r="B257" s="425">
        <v>9353402</v>
      </c>
      <c r="C257" s="216" t="s">
        <v>1241</v>
      </c>
      <c r="D257" s="217">
        <v>1</v>
      </c>
      <c r="E257" s="391"/>
      <c r="F257" s="262"/>
      <c r="G257" s="272">
        <f t="shared" si="22"/>
        <v>37.95196</v>
      </c>
      <c r="H257" s="141" t="str">
        <f>IF(G257="","",$H$10)</f>
        <v>EUR</v>
      </c>
      <c r="I257" s="409" t="s">
        <v>47</v>
      </c>
      <c r="J257" s="467" t="s">
        <v>20599</v>
      </c>
      <c r="L257" s="86" t="e">
        <f>VLOOKUP(B257,$B$11:B256,1,FALSE)</f>
        <v>#N/A</v>
      </c>
      <c r="M257" s="256">
        <f>G257*(1-FORM!$AE$28/100)</f>
        <v>37.95196</v>
      </c>
      <c r="AA257" s="463" t="s">
        <v>2055</v>
      </c>
      <c r="AB257" s="462" t="s">
        <v>2056</v>
      </c>
      <c r="AC257" s="462" t="s">
        <v>2057</v>
      </c>
      <c r="AD257" s="464">
        <v>3.9108299999999998</v>
      </c>
      <c r="AE257" s="465">
        <v>0.16037999999999999</v>
      </c>
      <c r="AF257" s="86">
        <f>IF(verze!$E$1="CZK",AD257,IF(verze!$E$1="SK",AE257,""))</f>
        <v>0.16037999999999999</v>
      </c>
    </row>
    <row r="258" spans="1:32" ht="15">
      <c r="A258" s="137"/>
      <c r="B258" s="425">
        <v>9353403</v>
      </c>
      <c r="C258" s="216" t="s">
        <v>1242</v>
      </c>
      <c r="D258" s="217">
        <v>1</v>
      </c>
      <c r="E258" s="391"/>
      <c r="F258" s="262"/>
      <c r="G258" s="272">
        <f t="shared" si="22"/>
        <v>38.529060000000001</v>
      </c>
      <c r="H258" s="141" t="str">
        <f>IF(G258="","",$H$10)</f>
        <v>EUR</v>
      </c>
      <c r="I258" s="409" t="s">
        <v>47</v>
      </c>
      <c r="J258" s="467" t="s">
        <v>20602</v>
      </c>
      <c r="L258" s="86" t="e">
        <f>VLOOKUP(B258,$B$11:B257,1,FALSE)</f>
        <v>#N/A</v>
      </c>
      <c r="M258" s="256">
        <f>G258*(1-FORM!$AE$28/100)</f>
        <v>38.529060000000001</v>
      </c>
      <c r="AA258" s="463" t="s">
        <v>2058</v>
      </c>
      <c r="AB258" s="462" t="s">
        <v>2059</v>
      </c>
      <c r="AC258" s="462" t="s">
        <v>2060</v>
      </c>
      <c r="AD258" s="464">
        <v>3.3496299999999999</v>
      </c>
      <c r="AE258" s="465">
        <v>0.13738</v>
      </c>
      <c r="AF258" s="86">
        <f>IF(verze!$E$1="CZK",AD258,IF(verze!$E$1="SK",AE258,""))</f>
        <v>0.13738</v>
      </c>
    </row>
    <row r="259" spans="1:32" ht="15">
      <c r="A259" s="137"/>
      <c r="B259" s="425">
        <v>9353404</v>
      </c>
      <c r="C259" s="216" t="s">
        <v>1243</v>
      </c>
      <c r="D259" s="217">
        <v>1</v>
      </c>
      <c r="E259" s="391"/>
      <c r="F259" s="262"/>
      <c r="G259" s="272">
        <f t="shared" si="22"/>
        <v>39.106140000000003</v>
      </c>
      <c r="H259" s="141" t="str">
        <f>IF(G259="","",$H$10)</f>
        <v>EUR</v>
      </c>
      <c r="I259" s="409" t="s">
        <v>47</v>
      </c>
      <c r="J259" s="467" t="s">
        <v>20605</v>
      </c>
      <c r="L259" s="86" t="e">
        <f>VLOOKUP(B259,$B$11:B258,1,FALSE)</f>
        <v>#N/A</v>
      </c>
      <c r="M259" s="256">
        <f>G259*(1-FORM!$AE$28/100)</f>
        <v>39.106140000000003</v>
      </c>
      <c r="AA259" s="463" t="s">
        <v>2061</v>
      </c>
      <c r="AB259" s="462" t="s">
        <v>2062</v>
      </c>
      <c r="AC259" s="462" t="s">
        <v>2063</v>
      </c>
      <c r="AD259" s="464">
        <v>9.1243300000000005</v>
      </c>
      <c r="AE259" s="465">
        <v>0.36502000000000001</v>
      </c>
      <c r="AF259" s="86">
        <f>IF(verze!$E$1="CZK",AD259,IF(verze!$E$1="SK",AE259,""))</f>
        <v>0.36502000000000001</v>
      </c>
    </row>
    <row r="260" spans="1:32" ht="15">
      <c r="A260" s="137"/>
      <c r="B260" s="425">
        <v>9353405</v>
      </c>
      <c r="C260" s="216" t="s">
        <v>1244</v>
      </c>
      <c r="D260" s="217">
        <v>1</v>
      </c>
      <c r="E260" s="391"/>
      <c r="F260" s="262"/>
      <c r="G260" s="272">
        <f t="shared" si="22"/>
        <v>37.79374</v>
      </c>
      <c r="H260" s="141" t="str">
        <f t="shared" ref="H260:H269" si="28">IF(G260="","",$H$10)</f>
        <v>EUR</v>
      </c>
      <c r="I260" s="409" t="s">
        <v>47</v>
      </c>
      <c r="J260" s="467" t="s">
        <v>20608</v>
      </c>
      <c r="L260" s="86" t="e">
        <f>VLOOKUP(B260,$B$11:B259,1,FALSE)</f>
        <v>#N/A</v>
      </c>
      <c r="M260" s="256">
        <f>G260*(1-FORM!$AE$28/100)</f>
        <v>37.79374</v>
      </c>
      <c r="AA260" s="463" t="s">
        <v>2064</v>
      </c>
      <c r="AB260" s="462" t="s">
        <v>2065</v>
      </c>
      <c r="AC260" s="462" t="s">
        <v>2066</v>
      </c>
      <c r="AD260" s="464">
        <v>89.316090000000003</v>
      </c>
      <c r="AE260" s="465">
        <v>4.29643</v>
      </c>
      <c r="AF260" s="86">
        <f>IF(verze!$E$1="CZK",AD260,IF(verze!$E$1="SK",AE260,""))</f>
        <v>4.29643</v>
      </c>
    </row>
    <row r="261" spans="1:32" ht="15">
      <c r="A261" s="137"/>
      <c r="B261" s="425">
        <v>9353406</v>
      </c>
      <c r="C261" s="216" t="s">
        <v>1245</v>
      </c>
      <c r="D261" s="217">
        <v>1</v>
      </c>
      <c r="E261" s="391"/>
      <c r="F261" s="262"/>
      <c r="G261" s="272">
        <f t="shared" si="22"/>
        <v>38.343159999999997</v>
      </c>
      <c r="H261" s="141" t="str">
        <f t="shared" si="28"/>
        <v>EUR</v>
      </c>
      <c r="I261" s="409" t="s">
        <v>47</v>
      </c>
      <c r="J261" s="467" t="s">
        <v>20611</v>
      </c>
      <c r="L261" s="86" t="e">
        <f>VLOOKUP(B261,$B$11:B260,1,FALSE)</f>
        <v>#N/A</v>
      </c>
      <c r="M261" s="256">
        <f>G261*(1-FORM!$AE$28/100)</f>
        <v>38.343159999999997</v>
      </c>
      <c r="AA261" s="463" t="s">
        <v>2067</v>
      </c>
      <c r="AB261" s="462" t="s">
        <v>2068</v>
      </c>
      <c r="AC261" s="462" t="s">
        <v>2069</v>
      </c>
      <c r="AD261" s="464">
        <v>84.28125</v>
      </c>
      <c r="AE261" s="465">
        <v>4.0542199999999999</v>
      </c>
      <c r="AF261" s="86">
        <f>IF(verze!$E$1="CZK",AD261,IF(verze!$E$1="SK",AE261,""))</f>
        <v>4.0542199999999999</v>
      </c>
    </row>
    <row r="262" spans="1:32" ht="15">
      <c r="A262" s="137"/>
      <c r="B262" s="425">
        <v>9353407</v>
      </c>
      <c r="C262" s="216" t="s">
        <v>1246</v>
      </c>
      <c r="D262" s="217">
        <v>1</v>
      </c>
      <c r="E262" s="391"/>
      <c r="F262" s="262"/>
      <c r="G262" s="272">
        <f t="shared" si="22"/>
        <v>40.83719</v>
      </c>
      <c r="H262" s="141" t="str">
        <f t="shared" si="28"/>
        <v>EUR</v>
      </c>
      <c r="I262" s="409" t="s">
        <v>47</v>
      </c>
      <c r="J262" s="467" t="s">
        <v>20614</v>
      </c>
      <c r="L262" s="86" t="e">
        <f>VLOOKUP(B262,$B$11:B261,1,FALSE)</f>
        <v>#N/A</v>
      </c>
      <c r="M262" s="256">
        <f>G262*(1-FORM!$AE$28/100)</f>
        <v>40.83719</v>
      </c>
      <c r="AA262" s="463" t="s">
        <v>2070</v>
      </c>
      <c r="AB262" s="462" t="s">
        <v>2071</v>
      </c>
      <c r="AC262" s="462" t="s">
        <v>2072</v>
      </c>
      <c r="AD262" s="464">
        <v>2346.59557</v>
      </c>
      <c r="AE262" s="465">
        <v>93.875510000000006</v>
      </c>
      <c r="AF262" s="86">
        <f>IF(verze!$E$1="CZK",AD262,IF(verze!$E$1="SK",AE262,""))</f>
        <v>93.875510000000006</v>
      </c>
    </row>
    <row r="263" spans="1:32" ht="15">
      <c r="A263" s="137"/>
      <c r="B263" s="425">
        <v>9353408</v>
      </c>
      <c r="C263" s="216" t="s">
        <v>1247</v>
      </c>
      <c r="D263" s="217">
        <v>1</v>
      </c>
      <c r="E263" s="391"/>
      <c r="F263" s="262"/>
      <c r="G263" s="272">
        <f t="shared" si="22"/>
        <v>41.752409999999998</v>
      </c>
      <c r="H263" s="141" t="str">
        <f t="shared" si="28"/>
        <v>EUR</v>
      </c>
      <c r="I263" s="409" t="s">
        <v>47</v>
      </c>
      <c r="J263" s="467" t="s">
        <v>20617</v>
      </c>
      <c r="L263" s="86" t="e">
        <f>VLOOKUP(B263,$B$11:B262,1,FALSE)</f>
        <v>#N/A</v>
      </c>
      <c r="M263" s="256">
        <f>G263*(1-FORM!$AE$28/100)</f>
        <v>41.752409999999998</v>
      </c>
      <c r="AA263" s="463" t="s">
        <v>2070</v>
      </c>
      <c r="AB263" s="462" t="s">
        <v>2073</v>
      </c>
      <c r="AC263" s="462" t="s">
        <v>2074</v>
      </c>
      <c r="AD263" s="464">
        <v>887.18264999999997</v>
      </c>
      <c r="AE263" s="465">
        <v>35.588700000000003</v>
      </c>
      <c r="AF263" s="86">
        <f>IF(verze!$E$1="CZK",AD263,IF(verze!$E$1="SK",AE263,""))</f>
        <v>35.588700000000003</v>
      </c>
    </row>
    <row r="264" spans="1:32" ht="15">
      <c r="A264" s="137"/>
      <c r="B264" s="426">
        <v>9353409</v>
      </c>
      <c r="C264" s="304" t="s">
        <v>1248</v>
      </c>
      <c r="D264" s="226">
        <v>1</v>
      </c>
      <c r="E264" s="396"/>
      <c r="F264" s="268"/>
      <c r="G264" s="272">
        <f t="shared" si="22"/>
        <v>43.053130000000003</v>
      </c>
      <c r="H264" s="142" t="str">
        <f t="shared" si="28"/>
        <v>EUR</v>
      </c>
      <c r="I264" s="417" t="s">
        <v>47</v>
      </c>
      <c r="J264" s="468" t="s">
        <v>20620</v>
      </c>
      <c r="L264" s="86" t="e">
        <f>VLOOKUP(B264,$B$11:B263,1,FALSE)</f>
        <v>#N/A</v>
      </c>
      <c r="M264" s="256">
        <f>G264*(1-FORM!$AE$28/100)</f>
        <v>43.053130000000003</v>
      </c>
      <c r="AA264" s="463" t="s">
        <v>2075</v>
      </c>
      <c r="AB264" s="462" t="s">
        <v>2076</v>
      </c>
      <c r="AC264" s="462" t="s">
        <v>2077</v>
      </c>
      <c r="AD264" s="464">
        <v>2.3557399999999999</v>
      </c>
      <c r="AE264" s="465">
        <v>9.6619999999999998E-2</v>
      </c>
      <c r="AF264" s="86">
        <f>IF(verze!$E$1="CZK",AD264,IF(verze!$E$1="SK",AE264,""))</f>
        <v>9.6619999999999998E-2</v>
      </c>
    </row>
    <row r="265" spans="1:32" ht="15">
      <c r="A265" s="139"/>
      <c r="B265" s="424">
        <v>9353439</v>
      </c>
      <c r="C265" s="222" t="s">
        <v>1249</v>
      </c>
      <c r="D265" s="223">
        <v>1</v>
      </c>
      <c r="E265" s="395"/>
      <c r="F265" s="266"/>
      <c r="G265" s="272">
        <f t="shared" si="22"/>
        <v>37.606110000000001</v>
      </c>
      <c r="H265" s="211" t="str">
        <f t="shared" si="28"/>
        <v>EUR</v>
      </c>
      <c r="I265" s="416" t="s">
        <v>47</v>
      </c>
      <c r="J265" s="469" t="s">
        <v>20710</v>
      </c>
      <c r="L265" s="86" t="e">
        <f>VLOOKUP(B265,$B$11:B264,1,FALSE)</f>
        <v>#N/A</v>
      </c>
      <c r="M265" s="256">
        <f>G265*(1-FORM!$AE$28/100)</f>
        <v>37.606110000000001</v>
      </c>
      <c r="AA265" s="463" t="s">
        <v>2078</v>
      </c>
      <c r="AB265" s="462" t="s">
        <v>2079</v>
      </c>
      <c r="AC265" s="462" t="s">
        <v>2080</v>
      </c>
      <c r="AD265" s="464">
        <v>2.2342300000000002</v>
      </c>
      <c r="AE265" s="465">
        <v>9.1639999999999999E-2</v>
      </c>
      <c r="AF265" s="86">
        <f>IF(verze!$E$1="CZK",AD265,IF(verze!$E$1="SK",AE265,""))</f>
        <v>9.1639999999999999E-2</v>
      </c>
    </row>
    <row r="266" spans="1:32" ht="15">
      <c r="A266" s="139"/>
      <c r="B266" s="425">
        <v>9353440</v>
      </c>
      <c r="C266" s="216" t="s">
        <v>1250</v>
      </c>
      <c r="D266" s="217">
        <v>1</v>
      </c>
      <c r="E266" s="391"/>
      <c r="F266" s="262"/>
      <c r="G266" s="272">
        <f t="shared" si="22"/>
        <v>37.95196</v>
      </c>
      <c r="H266" s="141" t="str">
        <f t="shared" si="28"/>
        <v>EUR</v>
      </c>
      <c r="I266" s="409" t="s">
        <v>47</v>
      </c>
      <c r="J266" s="467" t="s">
        <v>20713</v>
      </c>
      <c r="L266" s="86" t="e">
        <f>VLOOKUP(B266,$B$11:B265,1,FALSE)</f>
        <v>#N/A</v>
      </c>
      <c r="M266" s="256">
        <f>G266*(1-FORM!$AE$28/100)</f>
        <v>37.95196</v>
      </c>
      <c r="AA266" s="463" t="s">
        <v>2081</v>
      </c>
      <c r="AB266" s="462" t="s">
        <v>2082</v>
      </c>
      <c r="AC266" s="462" t="s">
        <v>2083</v>
      </c>
      <c r="AD266" s="464">
        <v>2.2770899999999998</v>
      </c>
      <c r="AE266" s="465">
        <v>9.3399999999999997E-2</v>
      </c>
      <c r="AF266" s="86">
        <f>IF(verze!$E$1="CZK",AD266,IF(verze!$E$1="SK",AE266,""))</f>
        <v>9.3399999999999997E-2</v>
      </c>
    </row>
    <row r="267" spans="1:32" ht="15">
      <c r="A267" s="139"/>
      <c r="B267" s="425">
        <v>9353441</v>
      </c>
      <c r="C267" s="216" t="s">
        <v>1251</v>
      </c>
      <c r="D267" s="217">
        <v>1</v>
      </c>
      <c r="E267" s="391"/>
      <c r="F267" s="262"/>
      <c r="G267" s="272">
        <f t="shared" si="22"/>
        <v>38.529060000000001</v>
      </c>
      <c r="H267" s="141" t="str">
        <f t="shared" si="28"/>
        <v>EUR</v>
      </c>
      <c r="I267" s="409" t="s">
        <v>47</v>
      </c>
      <c r="J267" s="467" t="s">
        <v>20716</v>
      </c>
      <c r="L267" s="86" t="e">
        <f>VLOOKUP(B267,$B$11:B266,1,FALSE)</f>
        <v>#N/A</v>
      </c>
      <c r="M267" s="256">
        <f>G267*(1-FORM!$AE$28/100)</f>
        <v>38.529060000000001</v>
      </c>
      <c r="AA267" s="463" t="s">
        <v>2084</v>
      </c>
      <c r="AB267" s="462" t="s">
        <v>2085</v>
      </c>
      <c r="AC267" s="462" t="s">
        <v>2086</v>
      </c>
      <c r="AD267" s="464">
        <v>2.54169</v>
      </c>
      <c r="AE267" s="465">
        <v>0.10424</v>
      </c>
      <c r="AF267" s="86">
        <f>IF(verze!$E$1="CZK",AD267,IF(verze!$E$1="SK",AE267,""))</f>
        <v>0.10424</v>
      </c>
    </row>
    <row r="268" spans="1:32" ht="15">
      <c r="A268" s="139"/>
      <c r="B268" s="425">
        <v>9353442</v>
      </c>
      <c r="C268" s="216" t="s">
        <v>1252</v>
      </c>
      <c r="D268" s="217">
        <v>1</v>
      </c>
      <c r="E268" s="391"/>
      <c r="F268" s="262"/>
      <c r="G268" s="272">
        <f t="shared" si="22"/>
        <v>39.106140000000003</v>
      </c>
      <c r="H268" s="141" t="str">
        <f t="shared" si="28"/>
        <v>EUR</v>
      </c>
      <c r="I268" s="409" t="s">
        <v>47</v>
      </c>
      <c r="J268" s="467" t="s">
        <v>20719</v>
      </c>
      <c r="L268" s="86" t="e">
        <f>VLOOKUP(B268,$B$11:B267,1,FALSE)</f>
        <v>#N/A</v>
      </c>
      <c r="M268" s="256">
        <f>G268*(1-FORM!$AE$28/100)</f>
        <v>39.106140000000003</v>
      </c>
      <c r="AA268" s="463" t="s">
        <v>2087</v>
      </c>
      <c r="AB268" s="462" t="s">
        <v>2088</v>
      </c>
      <c r="AC268" s="462" t="s">
        <v>2089</v>
      </c>
      <c r="AD268" s="464">
        <v>74.240579999999994</v>
      </c>
      <c r="AE268" s="465">
        <v>3.57124</v>
      </c>
      <c r="AF268" s="86">
        <f>IF(verze!$E$1="CZK",AD268,IF(verze!$E$1="SK",AE268,""))</f>
        <v>3.57124</v>
      </c>
    </row>
    <row r="269" spans="1:32" ht="15">
      <c r="A269" s="139"/>
      <c r="B269" s="425">
        <v>9353443</v>
      </c>
      <c r="C269" s="216" t="s">
        <v>1253</v>
      </c>
      <c r="D269" s="217">
        <v>1</v>
      </c>
      <c r="E269" s="391"/>
      <c r="F269" s="262"/>
      <c r="G269" s="272">
        <f t="shared" ref="G269:G332" si="29">VLOOKUP(J269,AB:AF,5,0)</f>
        <v>37.79374</v>
      </c>
      <c r="H269" s="141" t="str">
        <f t="shared" si="28"/>
        <v>EUR</v>
      </c>
      <c r="I269" s="409" t="s">
        <v>47</v>
      </c>
      <c r="J269" s="467" t="s">
        <v>20722</v>
      </c>
      <c r="L269" s="86" t="e">
        <f>VLOOKUP(B269,$B$11:B268,1,FALSE)</f>
        <v>#N/A</v>
      </c>
      <c r="M269" s="256">
        <f>G269*(1-FORM!$AE$28/100)</f>
        <v>37.79374</v>
      </c>
      <c r="AA269" s="463" t="s">
        <v>2090</v>
      </c>
      <c r="AB269" s="462" t="s">
        <v>2091</v>
      </c>
      <c r="AC269" s="462" t="s">
        <v>2092</v>
      </c>
      <c r="AD269" s="464">
        <v>234.79462000000001</v>
      </c>
      <c r="AE269" s="465">
        <v>9.3929600000000004</v>
      </c>
      <c r="AF269" s="86">
        <f>IF(verze!$E$1="CZK",AD269,IF(verze!$E$1="SK",AE269,""))</f>
        <v>9.3929600000000004</v>
      </c>
    </row>
    <row r="270" spans="1:32" ht="15">
      <c r="A270" s="139"/>
      <c r="B270" s="425">
        <v>9353444</v>
      </c>
      <c r="C270" s="216" t="s">
        <v>1254</v>
      </c>
      <c r="D270" s="217">
        <v>1</v>
      </c>
      <c r="E270" s="391"/>
      <c r="F270" s="262"/>
      <c r="G270" s="272">
        <f t="shared" si="29"/>
        <v>38.343159999999997</v>
      </c>
      <c r="H270" s="141" t="str">
        <f t="shared" ref="H270:H279" si="30">IF(G270="","",$H$10)</f>
        <v>EUR</v>
      </c>
      <c r="I270" s="409" t="s">
        <v>47</v>
      </c>
      <c r="J270" s="467" t="s">
        <v>20725</v>
      </c>
      <c r="L270" s="86" t="e">
        <f>VLOOKUP(B270,$B$11:B269,1,FALSE)</f>
        <v>#N/A</v>
      </c>
      <c r="M270" s="256">
        <f>G270*(1-FORM!$AE$28/100)</f>
        <v>38.343159999999997</v>
      </c>
      <c r="AA270" s="463" t="s">
        <v>2093</v>
      </c>
      <c r="AB270" s="462" t="s">
        <v>2094</v>
      </c>
      <c r="AC270" s="462" t="s">
        <v>2095</v>
      </c>
      <c r="AD270" s="464">
        <v>855.01932999999997</v>
      </c>
      <c r="AE270" s="465">
        <v>34.205039999999997</v>
      </c>
      <c r="AF270" s="86">
        <f>IF(verze!$E$1="CZK",AD270,IF(verze!$E$1="SK",AE270,""))</f>
        <v>34.205039999999997</v>
      </c>
    </row>
    <row r="271" spans="1:32" ht="15">
      <c r="A271" s="139"/>
      <c r="B271" s="425">
        <v>9353445</v>
      </c>
      <c r="C271" s="216" t="s">
        <v>1255</v>
      </c>
      <c r="D271" s="217">
        <v>1</v>
      </c>
      <c r="E271" s="391"/>
      <c r="F271" s="262"/>
      <c r="G271" s="272">
        <f t="shared" si="29"/>
        <v>40.83719</v>
      </c>
      <c r="H271" s="141" t="str">
        <f t="shared" si="30"/>
        <v>EUR</v>
      </c>
      <c r="I271" s="409" t="s">
        <v>47</v>
      </c>
      <c r="J271" s="467" t="s">
        <v>20728</v>
      </c>
      <c r="L271" s="86" t="e">
        <f>VLOOKUP(B271,$B$11:B270,1,FALSE)</f>
        <v>#N/A</v>
      </c>
      <c r="M271" s="256">
        <f>G271*(1-FORM!$AE$28/100)</f>
        <v>40.83719</v>
      </c>
      <c r="AA271" s="463" t="s">
        <v>2096</v>
      </c>
      <c r="AB271" s="462" t="s">
        <v>2097</v>
      </c>
      <c r="AC271" s="462" t="s">
        <v>2098</v>
      </c>
      <c r="AD271" s="464">
        <v>2.30931</v>
      </c>
      <c r="AE271" s="465">
        <v>9.4719999999999999E-2</v>
      </c>
      <c r="AF271" s="86">
        <f>IF(verze!$E$1="CZK",AD271,IF(verze!$E$1="SK",AE271,""))</f>
        <v>9.4719999999999999E-2</v>
      </c>
    </row>
    <row r="272" spans="1:32" ht="15">
      <c r="A272" s="139"/>
      <c r="B272" s="425">
        <v>9353446</v>
      </c>
      <c r="C272" s="216" t="s">
        <v>1256</v>
      </c>
      <c r="D272" s="217">
        <v>1</v>
      </c>
      <c r="E272" s="391"/>
      <c r="F272" s="262"/>
      <c r="G272" s="272">
        <f t="shared" si="29"/>
        <v>41.752409999999998</v>
      </c>
      <c r="H272" s="141" t="str">
        <f t="shared" si="30"/>
        <v>EUR</v>
      </c>
      <c r="I272" s="409" t="s">
        <v>47</v>
      </c>
      <c r="J272" s="467" t="s">
        <v>20731</v>
      </c>
      <c r="L272" s="86" t="e">
        <f>VLOOKUP(B272,$B$11:B271,1,FALSE)</f>
        <v>#N/A</v>
      </c>
      <c r="M272" s="256">
        <f>G272*(1-FORM!$AE$28/100)</f>
        <v>41.752409999999998</v>
      </c>
      <c r="AA272" s="463" t="s">
        <v>2099</v>
      </c>
      <c r="AB272" s="462" t="s">
        <v>2100</v>
      </c>
      <c r="AC272" s="462" t="s">
        <v>2101</v>
      </c>
      <c r="AD272" s="464">
        <v>5298.6028999999999</v>
      </c>
      <c r="AE272" s="465">
        <v>211.97048000000001</v>
      </c>
      <c r="AF272" s="86">
        <f>IF(verze!$E$1="CZK",AD272,IF(verze!$E$1="SK",AE272,""))</f>
        <v>211.97048000000001</v>
      </c>
    </row>
    <row r="273" spans="1:32" ht="15">
      <c r="A273" s="139"/>
      <c r="B273" s="426">
        <v>9353447</v>
      </c>
      <c r="C273" s="304" t="s">
        <v>1257</v>
      </c>
      <c r="D273" s="226">
        <v>1</v>
      </c>
      <c r="E273" s="396"/>
      <c r="F273" s="268"/>
      <c r="G273" s="272">
        <f t="shared" si="29"/>
        <v>43.053130000000003</v>
      </c>
      <c r="H273" s="142" t="str">
        <f t="shared" si="30"/>
        <v>EUR</v>
      </c>
      <c r="I273" s="417" t="s">
        <v>47</v>
      </c>
      <c r="J273" s="468" t="s">
        <v>20734</v>
      </c>
      <c r="L273" s="86" t="e">
        <f>VLOOKUP(B273,$B$11:B272,1,FALSE)</f>
        <v>#N/A</v>
      </c>
      <c r="M273" s="256">
        <f>G273*(1-FORM!$AE$28/100)</f>
        <v>43.053130000000003</v>
      </c>
      <c r="AA273" s="463" t="s">
        <v>2099</v>
      </c>
      <c r="AB273" s="462" t="s">
        <v>2102</v>
      </c>
      <c r="AC273" s="462" t="s">
        <v>2103</v>
      </c>
      <c r="AD273" s="464">
        <v>2003.2547500000001</v>
      </c>
      <c r="AE273" s="465">
        <v>80.359139999999996</v>
      </c>
      <c r="AF273" s="86">
        <f>IF(verze!$E$1="CZK",AD273,IF(verze!$E$1="SK",AE273,""))</f>
        <v>80.359139999999996</v>
      </c>
    </row>
    <row r="274" spans="1:32" ht="15">
      <c r="A274" s="130"/>
      <c r="B274" s="301">
        <v>9255044</v>
      </c>
      <c r="C274" s="222" t="s">
        <v>734</v>
      </c>
      <c r="D274" s="223">
        <v>10</v>
      </c>
      <c r="E274" s="395"/>
      <c r="F274" s="266"/>
      <c r="G274" s="272">
        <f t="shared" si="29"/>
        <v>16.540590000000002</v>
      </c>
      <c r="H274" s="211" t="str">
        <f t="shared" si="30"/>
        <v>EUR</v>
      </c>
      <c r="I274" s="416" t="s">
        <v>47</v>
      </c>
      <c r="J274" s="469" t="s">
        <v>14778</v>
      </c>
      <c r="L274" s="86" t="e">
        <f>VLOOKUP(B274,$B$11:B273,1,FALSE)</f>
        <v>#N/A</v>
      </c>
      <c r="M274" s="256">
        <f>G274*(1-FORM!$AE$28/100)</f>
        <v>16.540590000000002</v>
      </c>
      <c r="AA274" s="463" t="s">
        <v>2104</v>
      </c>
      <c r="AB274" s="462" t="s">
        <v>2105</v>
      </c>
      <c r="AC274" s="462" t="s">
        <v>2106</v>
      </c>
      <c r="AD274" s="464">
        <v>6059.07726</v>
      </c>
      <c r="AE274" s="465">
        <v>242.39326</v>
      </c>
      <c r="AF274" s="86">
        <f>IF(verze!$E$1="CZK",AD274,IF(verze!$E$1="SK",AE274,""))</f>
        <v>242.39326</v>
      </c>
    </row>
    <row r="275" spans="1:32" ht="15">
      <c r="A275" s="130"/>
      <c r="B275" s="298">
        <v>9255045</v>
      </c>
      <c r="C275" s="216" t="s">
        <v>735</v>
      </c>
      <c r="D275" s="217">
        <v>10</v>
      </c>
      <c r="E275" s="391"/>
      <c r="F275" s="262"/>
      <c r="G275" s="272">
        <f t="shared" si="29"/>
        <v>16.540590000000002</v>
      </c>
      <c r="H275" s="141" t="str">
        <f t="shared" si="30"/>
        <v>EUR</v>
      </c>
      <c r="I275" s="409" t="s">
        <v>47</v>
      </c>
      <c r="J275" s="467" t="s">
        <v>14781</v>
      </c>
      <c r="L275" s="86" t="e">
        <f>VLOOKUP(B275,$B$11:B274,1,FALSE)</f>
        <v>#N/A</v>
      </c>
      <c r="M275" s="256">
        <f>G275*(1-FORM!$AE$28/100)</f>
        <v>16.540590000000002</v>
      </c>
      <c r="AA275" s="463" t="s">
        <v>2104</v>
      </c>
      <c r="AB275" s="462" t="s">
        <v>2107</v>
      </c>
      <c r="AC275" s="462" t="s">
        <v>2108</v>
      </c>
      <c r="AD275" s="464">
        <v>2290.7687000000001</v>
      </c>
      <c r="AE275" s="465">
        <v>91.892560000000003</v>
      </c>
      <c r="AF275" s="86">
        <f>IF(verze!$E$1="CZK",AD275,IF(verze!$E$1="SK",AE275,""))</f>
        <v>91.892560000000003</v>
      </c>
    </row>
    <row r="276" spans="1:32" ht="15">
      <c r="A276" s="130"/>
      <c r="B276" s="298">
        <v>9255046</v>
      </c>
      <c r="C276" s="216" t="s">
        <v>736</v>
      </c>
      <c r="D276" s="217">
        <v>10</v>
      </c>
      <c r="E276" s="391"/>
      <c r="F276" s="262"/>
      <c r="G276" s="272">
        <f t="shared" si="29"/>
        <v>16.72522</v>
      </c>
      <c r="H276" s="141" t="str">
        <f t="shared" si="30"/>
        <v>EUR</v>
      </c>
      <c r="I276" s="409" t="s">
        <v>47</v>
      </c>
      <c r="J276" s="467" t="s">
        <v>14784</v>
      </c>
      <c r="L276" s="86" t="e">
        <f>VLOOKUP(B276,$B$11:B275,1,FALSE)</f>
        <v>#N/A</v>
      </c>
      <c r="M276" s="256">
        <f>G276*(1-FORM!$AE$28/100)</f>
        <v>16.72522</v>
      </c>
      <c r="AA276" s="463" t="s">
        <v>2109</v>
      </c>
      <c r="AB276" s="462" t="s">
        <v>2110</v>
      </c>
      <c r="AC276" s="462" t="s">
        <v>2111</v>
      </c>
      <c r="AD276" s="464">
        <v>1305.69823</v>
      </c>
      <c r="AE276" s="465">
        <v>52.23442</v>
      </c>
      <c r="AF276" s="86">
        <f>IF(verze!$E$1="CZK",AD276,IF(verze!$E$1="SK",AE276,""))</f>
        <v>52.23442</v>
      </c>
    </row>
    <row r="277" spans="1:32" ht="15">
      <c r="A277" s="130"/>
      <c r="B277" s="298">
        <v>9255047</v>
      </c>
      <c r="C277" s="216" t="s">
        <v>737</v>
      </c>
      <c r="D277" s="217">
        <v>10</v>
      </c>
      <c r="E277" s="391"/>
      <c r="F277" s="262"/>
      <c r="G277" s="272">
        <f t="shared" si="29"/>
        <v>16.72522</v>
      </c>
      <c r="H277" s="141" t="str">
        <f t="shared" si="30"/>
        <v>EUR</v>
      </c>
      <c r="I277" s="409" t="s">
        <v>47</v>
      </c>
      <c r="J277" s="467" t="s">
        <v>14787</v>
      </c>
      <c r="L277" s="86" t="e">
        <f>VLOOKUP(B277,$B$11:B276,1,FALSE)</f>
        <v>#N/A</v>
      </c>
      <c r="M277" s="256">
        <f>G277*(1-FORM!$AE$28/100)</f>
        <v>16.72522</v>
      </c>
      <c r="AA277" s="463" t="s">
        <v>2112</v>
      </c>
      <c r="AB277" s="462" t="s">
        <v>2113</v>
      </c>
      <c r="AC277" s="462" t="s">
        <v>2114</v>
      </c>
      <c r="AD277" s="464">
        <v>783.41642999999999</v>
      </c>
      <c r="AE277" s="465">
        <v>31.34055</v>
      </c>
      <c r="AF277" s="86">
        <f>IF(verze!$E$1="CZK",AD277,IF(verze!$E$1="SK",AE277,""))</f>
        <v>31.34055</v>
      </c>
    </row>
    <row r="278" spans="1:32" ht="15">
      <c r="A278" s="130"/>
      <c r="B278" s="298">
        <v>9255048</v>
      </c>
      <c r="C278" s="216" t="s">
        <v>738</v>
      </c>
      <c r="D278" s="217">
        <v>10</v>
      </c>
      <c r="E278" s="391"/>
      <c r="F278" s="262"/>
      <c r="G278" s="272">
        <f t="shared" si="29"/>
        <v>17.033180000000002</v>
      </c>
      <c r="H278" s="141" t="str">
        <f t="shared" si="30"/>
        <v>EUR</v>
      </c>
      <c r="I278" s="409" t="s">
        <v>47</v>
      </c>
      <c r="J278" s="467" t="s">
        <v>14790</v>
      </c>
      <c r="L278" s="86" t="e">
        <f>VLOOKUP(B278,$B$11:B277,1,FALSE)</f>
        <v>#N/A</v>
      </c>
      <c r="M278" s="256">
        <f>G278*(1-FORM!$AE$28/100)</f>
        <v>17.033180000000002</v>
      </c>
      <c r="AA278" s="463" t="s">
        <v>2115</v>
      </c>
      <c r="AB278" s="462" t="s">
        <v>2116</v>
      </c>
      <c r="AC278" s="462" t="s">
        <v>2117</v>
      </c>
      <c r="AD278" s="464">
        <v>4053.3604500000001</v>
      </c>
      <c r="AE278" s="465">
        <v>157.12225000000001</v>
      </c>
      <c r="AF278" s="86">
        <f>IF(verze!$E$1="CZK",AD278,IF(verze!$E$1="SK",AE278,""))</f>
        <v>157.12225000000001</v>
      </c>
    </row>
    <row r="279" spans="1:32" ht="15">
      <c r="A279" s="130"/>
      <c r="B279" s="298">
        <v>9255049</v>
      </c>
      <c r="C279" s="216" t="s">
        <v>739</v>
      </c>
      <c r="D279" s="217">
        <v>10</v>
      </c>
      <c r="E279" s="391"/>
      <c r="F279" s="262"/>
      <c r="G279" s="272">
        <f t="shared" si="29"/>
        <v>17.033180000000002</v>
      </c>
      <c r="H279" s="141" t="str">
        <f t="shared" si="30"/>
        <v>EUR</v>
      </c>
      <c r="I279" s="409" t="s">
        <v>47</v>
      </c>
      <c r="J279" s="467" t="s">
        <v>14793</v>
      </c>
      <c r="L279" s="86" t="e">
        <f>VLOOKUP(B279,$B$11:B278,1,FALSE)</f>
        <v>#N/A</v>
      </c>
      <c r="M279" s="256">
        <f>G279*(1-FORM!$AE$28/100)</f>
        <v>17.033180000000002</v>
      </c>
      <c r="AA279" s="463" t="s">
        <v>2118</v>
      </c>
      <c r="AB279" s="462" t="s">
        <v>2119</v>
      </c>
      <c r="AC279" s="462" t="s">
        <v>2120</v>
      </c>
      <c r="AD279" s="464">
        <v>4343.8653400000003</v>
      </c>
      <c r="AE279" s="465">
        <v>173.21365</v>
      </c>
      <c r="AF279" s="86">
        <f>IF(verze!$E$1="CZK",AD279,IF(verze!$E$1="SK",AE279,""))</f>
        <v>173.21365</v>
      </c>
    </row>
    <row r="280" spans="1:32" ht="15">
      <c r="A280" s="130"/>
      <c r="B280" s="298">
        <v>9255050</v>
      </c>
      <c r="C280" s="216" t="s">
        <v>740</v>
      </c>
      <c r="D280" s="217">
        <v>10</v>
      </c>
      <c r="E280" s="391"/>
      <c r="F280" s="262"/>
      <c r="G280" s="272">
        <f t="shared" si="29"/>
        <v>17.340789999999998</v>
      </c>
      <c r="H280" s="141" t="str">
        <f t="shared" ref="H280:H287" si="31">IF(G280="","",$H$10)</f>
        <v>EUR</v>
      </c>
      <c r="I280" s="409" t="s">
        <v>47</v>
      </c>
      <c r="J280" s="467" t="s">
        <v>14796</v>
      </c>
      <c r="L280" s="86" t="e">
        <f>VLOOKUP(B280,$B$11:B279,1,FALSE)</f>
        <v>#N/A</v>
      </c>
      <c r="M280" s="256">
        <f>G280*(1-FORM!$AE$28/100)</f>
        <v>17.340789999999998</v>
      </c>
      <c r="AA280" s="463" t="s">
        <v>2121</v>
      </c>
      <c r="AB280" s="462" t="s">
        <v>2122</v>
      </c>
      <c r="AC280" s="462" t="s">
        <v>2123</v>
      </c>
      <c r="AD280" s="464">
        <v>4473.5342000000001</v>
      </c>
      <c r="AE280" s="465">
        <v>173.40968000000001</v>
      </c>
      <c r="AF280" s="86">
        <f>IF(verze!$E$1="CZK",AD280,IF(verze!$E$1="SK",AE280,""))</f>
        <v>173.40968000000001</v>
      </c>
    </row>
    <row r="281" spans="1:32" ht="15">
      <c r="A281" s="130"/>
      <c r="B281" s="298">
        <v>9255051</v>
      </c>
      <c r="C281" s="216" t="s">
        <v>741</v>
      </c>
      <c r="D281" s="217">
        <v>10</v>
      </c>
      <c r="E281" s="391"/>
      <c r="F281" s="262"/>
      <c r="G281" s="272">
        <f t="shared" si="29"/>
        <v>17.340789999999998</v>
      </c>
      <c r="H281" s="141" t="str">
        <f t="shared" si="31"/>
        <v>EUR</v>
      </c>
      <c r="I281" s="409" t="s">
        <v>47</v>
      </c>
      <c r="J281" s="467" t="s">
        <v>14799</v>
      </c>
      <c r="L281" s="86" t="e">
        <f>VLOOKUP(B281,$B$11:B280,1,FALSE)</f>
        <v>#N/A</v>
      </c>
      <c r="M281" s="256">
        <f>G281*(1-FORM!$AE$28/100)</f>
        <v>17.340789999999998</v>
      </c>
      <c r="AA281" s="463" t="s">
        <v>2124</v>
      </c>
      <c r="AB281" s="462" t="s">
        <v>2125</v>
      </c>
      <c r="AC281" s="462" t="s">
        <v>2126</v>
      </c>
      <c r="AD281" s="464">
        <v>4214.6150200000002</v>
      </c>
      <c r="AE281" s="465">
        <v>182.29750000000001</v>
      </c>
      <c r="AF281" s="86">
        <f>IF(verze!$E$1="CZK",AD281,IF(verze!$E$1="SK",AE281,""))</f>
        <v>182.29750000000001</v>
      </c>
    </row>
    <row r="282" spans="1:32" ht="15">
      <c r="A282" s="130"/>
      <c r="B282" s="298">
        <v>9255052</v>
      </c>
      <c r="C282" s="216" t="s">
        <v>742</v>
      </c>
      <c r="D282" s="217">
        <v>10</v>
      </c>
      <c r="E282" s="391"/>
      <c r="F282" s="262"/>
      <c r="G282" s="272">
        <f t="shared" si="29"/>
        <v>16.80836</v>
      </c>
      <c r="H282" s="141" t="str">
        <f t="shared" si="31"/>
        <v>EUR</v>
      </c>
      <c r="I282" s="409" t="s">
        <v>47</v>
      </c>
      <c r="J282" s="467" t="s">
        <v>14802</v>
      </c>
      <c r="L282" s="86" t="e">
        <f>VLOOKUP(B282,$B$11:B281,1,FALSE)</f>
        <v>#N/A</v>
      </c>
      <c r="M282" s="256">
        <f>G282*(1-FORM!$AE$28/100)</f>
        <v>16.80836</v>
      </c>
      <c r="AA282" s="463" t="s">
        <v>2127</v>
      </c>
      <c r="AB282" s="462" t="s">
        <v>2128</v>
      </c>
      <c r="AC282" s="462" t="s">
        <v>2129</v>
      </c>
      <c r="AD282" s="464">
        <v>4343.8653400000003</v>
      </c>
      <c r="AE282" s="465">
        <v>173.21365</v>
      </c>
      <c r="AF282" s="86">
        <f>IF(verze!$E$1="CZK",AD282,IF(verze!$E$1="SK",AE282,""))</f>
        <v>173.21365</v>
      </c>
    </row>
    <row r="283" spans="1:32" ht="15">
      <c r="A283" s="130"/>
      <c r="B283" s="298">
        <v>9255053</v>
      </c>
      <c r="C283" s="216" t="s">
        <v>743</v>
      </c>
      <c r="D283" s="217">
        <v>10</v>
      </c>
      <c r="E283" s="391"/>
      <c r="F283" s="262"/>
      <c r="G283" s="272">
        <f t="shared" si="29"/>
        <v>16.80836</v>
      </c>
      <c r="H283" s="141" t="str">
        <f t="shared" si="31"/>
        <v>EUR</v>
      </c>
      <c r="I283" s="409" t="s">
        <v>47</v>
      </c>
      <c r="J283" s="467" t="s">
        <v>14807</v>
      </c>
      <c r="L283" s="86" t="e">
        <f>VLOOKUP(B283,$B$11:B282,1,FALSE)</f>
        <v>#N/A</v>
      </c>
      <c r="M283" s="256">
        <f>G283*(1-FORM!$AE$28/100)</f>
        <v>16.80836</v>
      </c>
      <c r="AA283" s="463" t="s">
        <v>2130</v>
      </c>
      <c r="AB283" s="462" t="s">
        <v>2131</v>
      </c>
      <c r="AC283" s="462" t="s">
        <v>2132</v>
      </c>
      <c r="AD283" s="464">
        <v>4473.5342000000001</v>
      </c>
      <c r="AE283" s="465">
        <v>173.75567000000001</v>
      </c>
      <c r="AF283" s="86">
        <f>IF(verze!$E$1="CZK",AD283,IF(verze!$E$1="SK",AE283,""))</f>
        <v>173.75567000000001</v>
      </c>
    </row>
    <row r="284" spans="1:32" ht="15">
      <c r="A284" s="130"/>
      <c r="B284" s="298">
        <v>9255054</v>
      </c>
      <c r="C284" s="216" t="s">
        <v>744</v>
      </c>
      <c r="D284" s="217">
        <v>10</v>
      </c>
      <c r="E284" s="391"/>
      <c r="F284" s="262"/>
      <c r="G284" s="272">
        <f t="shared" si="29"/>
        <v>17.10154</v>
      </c>
      <c r="H284" s="141" t="str">
        <f t="shared" si="31"/>
        <v>EUR</v>
      </c>
      <c r="I284" s="409" t="s">
        <v>47</v>
      </c>
      <c r="J284" s="467" t="s">
        <v>14812</v>
      </c>
      <c r="L284" s="86" t="e">
        <f>VLOOKUP(B284,$B$11:B283,1,FALSE)</f>
        <v>#N/A</v>
      </c>
      <c r="M284" s="256">
        <f>G284*(1-FORM!$AE$28/100)</f>
        <v>17.10154</v>
      </c>
      <c r="AA284" s="463" t="s">
        <v>2133</v>
      </c>
      <c r="AB284" s="462" t="s">
        <v>2134</v>
      </c>
      <c r="AC284" s="462" t="s">
        <v>2135</v>
      </c>
      <c r="AD284" s="464">
        <v>464.94421</v>
      </c>
      <c r="AE284" s="465">
        <v>18.02289</v>
      </c>
      <c r="AF284" s="86">
        <f>IF(verze!$E$1="CZK",AD284,IF(verze!$E$1="SK",AE284,""))</f>
        <v>18.02289</v>
      </c>
    </row>
    <row r="285" spans="1:32" ht="15">
      <c r="A285" s="130"/>
      <c r="B285" s="298">
        <v>9255055</v>
      </c>
      <c r="C285" s="216" t="s">
        <v>745</v>
      </c>
      <c r="D285" s="217">
        <v>10</v>
      </c>
      <c r="E285" s="391"/>
      <c r="F285" s="262"/>
      <c r="G285" s="272">
        <f t="shared" si="29"/>
        <v>17.10154</v>
      </c>
      <c r="H285" s="141" t="str">
        <f t="shared" si="31"/>
        <v>EUR</v>
      </c>
      <c r="I285" s="409" t="s">
        <v>47</v>
      </c>
      <c r="J285" s="467" t="s">
        <v>14817</v>
      </c>
      <c r="L285" s="86" t="e">
        <f>VLOOKUP(B285,$B$11:B284,1,FALSE)</f>
        <v>#N/A</v>
      </c>
      <c r="M285" s="256">
        <f>G285*(1-FORM!$AE$28/100)</f>
        <v>17.10154</v>
      </c>
      <c r="AA285" s="463" t="s">
        <v>2136</v>
      </c>
      <c r="AB285" s="462" t="s">
        <v>2137</v>
      </c>
      <c r="AC285" s="462" t="s">
        <v>2138</v>
      </c>
      <c r="AD285" s="464">
        <v>539.65198999999996</v>
      </c>
      <c r="AE285" s="465">
        <v>21.588760000000001</v>
      </c>
      <c r="AF285" s="86">
        <f>IF(verze!$E$1="CZK",AD285,IF(verze!$E$1="SK",AE285,""))</f>
        <v>21.588760000000001</v>
      </c>
    </row>
    <row r="286" spans="1:32" ht="15">
      <c r="A286" s="130"/>
      <c r="B286" s="298">
        <v>9255056</v>
      </c>
      <c r="C286" s="216" t="s">
        <v>746</v>
      </c>
      <c r="D286" s="217">
        <v>10</v>
      </c>
      <c r="E286" s="391"/>
      <c r="F286" s="262"/>
      <c r="G286" s="272">
        <f t="shared" si="29"/>
        <v>18.264230000000001</v>
      </c>
      <c r="H286" s="141" t="str">
        <f t="shared" si="31"/>
        <v>EUR</v>
      </c>
      <c r="I286" s="409" t="s">
        <v>47</v>
      </c>
      <c r="J286" s="467" t="s">
        <v>14822</v>
      </c>
      <c r="L286" s="86" t="e">
        <f>VLOOKUP(B286,$B$11:B285,1,FALSE)</f>
        <v>#N/A</v>
      </c>
      <c r="M286" s="256">
        <f>G286*(1-FORM!$AE$28/100)</f>
        <v>18.264230000000001</v>
      </c>
      <c r="AA286" s="463" t="s">
        <v>2139</v>
      </c>
      <c r="AB286" s="462" t="s">
        <v>2140</v>
      </c>
      <c r="AC286" s="462" t="s">
        <v>2141</v>
      </c>
      <c r="AD286" s="464">
        <v>589.50354000000004</v>
      </c>
      <c r="AE286" s="465">
        <v>23.58306</v>
      </c>
      <c r="AF286" s="86">
        <f>IF(verze!$E$1="CZK",AD286,IF(verze!$E$1="SK",AE286,""))</f>
        <v>23.58306</v>
      </c>
    </row>
    <row r="287" spans="1:32" ht="15">
      <c r="A287" s="130"/>
      <c r="B287" s="298">
        <v>9255057</v>
      </c>
      <c r="C287" s="216" t="s">
        <v>747</v>
      </c>
      <c r="D287" s="217">
        <v>10</v>
      </c>
      <c r="E287" s="391"/>
      <c r="F287" s="262"/>
      <c r="G287" s="272">
        <f t="shared" si="29"/>
        <v>18.264230000000001</v>
      </c>
      <c r="H287" s="141" t="str">
        <f t="shared" si="31"/>
        <v>EUR</v>
      </c>
      <c r="I287" s="409" t="s">
        <v>47</v>
      </c>
      <c r="J287" s="467" t="s">
        <v>14825</v>
      </c>
      <c r="L287" s="86" t="e">
        <f>VLOOKUP(B287,$B$11:B286,1,FALSE)</f>
        <v>#N/A</v>
      </c>
      <c r="M287" s="256">
        <f>G287*(1-FORM!$AE$28/100)</f>
        <v>18.264230000000001</v>
      </c>
      <c r="AA287" s="463" t="s">
        <v>2142</v>
      </c>
      <c r="AB287" s="462" t="s">
        <v>2143</v>
      </c>
      <c r="AC287" s="462" t="s">
        <v>2144</v>
      </c>
      <c r="AD287" s="464">
        <v>130.87478999999999</v>
      </c>
      <c r="AE287" s="465">
        <v>5.2356400000000001</v>
      </c>
      <c r="AF287" s="86">
        <f>IF(verze!$E$1="CZK",AD287,IF(verze!$E$1="SK",AE287,""))</f>
        <v>5.2356400000000001</v>
      </c>
    </row>
    <row r="288" spans="1:32" ht="15">
      <c r="A288" s="130"/>
      <c r="B288" s="298">
        <v>9255058</v>
      </c>
      <c r="C288" s="216" t="s">
        <v>748</v>
      </c>
      <c r="D288" s="217">
        <v>10</v>
      </c>
      <c r="E288" s="391"/>
      <c r="F288" s="262"/>
      <c r="G288" s="272">
        <f t="shared" si="29"/>
        <v>18.728680000000001</v>
      </c>
      <c r="H288" s="141" t="str">
        <f t="shared" ref="H288:H303" si="32">IF(G288="","",$H$10)</f>
        <v>EUR</v>
      </c>
      <c r="I288" s="409" t="s">
        <v>47</v>
      </c>
      <c r="J288" s="467" t="s">
        <v>14828</v>
      </c>
      <c r="L288" s="86" t="e">
        <f>VLOOKUP(B288,$B$11:B287,1,FALSE)</f>
        <v>#N/A</v>
      </c>
      <c r="M288" s="256">
        <f>G288*(1-FORM!$AE$28/100)</f>
        <v>18.728680000000001</v>
      </c>
      <c r="AA288" s="463" t="s">
        <v>2145</v>
      </c>
      <c r="AB288" s="462" t="s">
        <v>2146</v>
      </c>
      <c r="AC288" s="462" t="s">
        <v>2147</v>
      </c>
      <c r="AD288" s="464">
        <v>870.46619999999996</v>
      </c>
      <c r="AE288" s="465">
        <v>34.822989999999997</v>
      </c>
      <c r="AF288" s="86">
        <f>IF(verze!$E$1="CZK",AD288,IF(verze!$E$1="SK",AE288,""))</f>
        <v>34.822989999999997</v>
      </c>
    </row>
    <row r="289" spans="1:32" ht="15">
      <c r="A289" s="130"/>
      <c r="B289" s="298">
        <v>9255059</v>
      </c>
      <c r="C289" s="216" t="s">
        <v>749</v>
      </c>
      <c r="D289" s="217">
        <v>10</v>
      </c>
      <c r="E289" s="391"/>
      <c r="F289" s="262"/>
      <c r="G289" s="272">
        <f t="shared" si="29"/>
        <v>18.728680000000001</v>
      </c>
      <c r="H289" s="141" t="str">
        <f t="shared" si="32"/>
        <v>EUR</v>
      </c>
      <c r="I289" s="409" t="s">
        <v>47</v>
      </c>
      <c r="J289" s="467" t="s">
        <v>14831</v>
      </c>
      <c r="L289" s="86" t="e">
        <f>VLOOKUP(B289,$B$11:B288,1,FALSE)</f>
        <v>#N/A</v>
      </c>
      <c r="M289" s="256">
        <f>G289*(1-FORM!$AE$28/100)</f>
        <v>18.728680000000001</v>
      </c>
      <c r="AA289" s="463" t="s">
        <v>2145</v>
      </c>
      <c r="AB289" s="462" t="s">
        <v>2148</v>
      </c>
      <c r="AC289" s="462" t="s">
        <v>2149</v>
      </c>
      <c r="AD289" s="464">
        <v>329.09944999999999</v>
      </c>
      <c r="AE289" s="465">
        <v>13.201589999999999</v>
      </c>
      <c r="AF289" s="86">
        <f>IF(verze!$E$1="CZK",AD289,IF(verze!$E$1="SK",AE289,""))</f>
        <v>13.201589999999999</v>
      </c>
    </row>
    <row r="290" spans="1:32" ht="15">
      <c r="A290" s="130"/>
      <c r="B290" s="298">
        <v>9255060</v>
      </c>
      <c r="C290" s="216" t="s">
        <v>750</v>
      </c>
      <c r="D290" s="217">
        <v>10</v>
      </c>
      <c r="E290" s="391"/>
      <c r="F290" s="262"/>
      <c r="G290" s="272">
        <f t="shared" si="29"/>
        <v>19.35998</v>
      </c>
      <c r="H290" s="141" t="str">
        <f t="shared" si="32"/>
        <v>EUR</v>
      </c>
      <c r="I290" s="409" t="s">
        <v>47</v>
      </c>
      <c r="J290" s="467" t="s">
        <v>14834</v>
      </c>
      <c r="L290" s="86" t="e">
        <f>VLOOKUP(B290,$B$11:B289,1,FALSE)</f>
        <v>#N/A</v>
      </c>
      <c r="M290" s="256">
        <f>G290*(1-FORM!$AE$28/100)</f>
        <v>19.35998</v>
      </c>
      <c r="AA290" s="463" t="s">
        <v>2150</v>
      </c>
      <c r="AB290" s="462" t="s">
        <v>2151</v>
      </c>
      <c r="AC290" s="462" t="s">
        <v>2152</v>
      </c>
      <c r="AD290" s="464">
        <v>435.23205000000002</v>
      </c>
      <c r="AE290" s="465">
        <v>17.411429999999999</v>
      </c>
      <c r="AF290" s="86">
        <f>IF(verze!$E$1="CZK",AD290,IF(verze!$E$1="SK",AE290,""))</f>
        <v>17.411429999999999</v>
      </c>
    </row>
    <row r="291" spans="1:32" ht="15">
      <c r="A291" s="130"/>
      <c r="B291" s="303">
        <v>9255061</v>
      </c>
      <c r="C291" s="304" t="s">
        <v>751</v>
      </c>
      <c r="D291" s="226">
        <v>10</v>
      </c>
      <c r="E291" s="396"/>
      <c r="F291" s="268"/>
      <c r="G291" s="272">
        <f t="shared" si="29"/>
        <v>19.35998</v>
      </c>
      <c r="H291" s="142" t="str">
        <f t="shared" si="32"/>
        <v>EUR</v>
      </c>
      <c r="I291" s="417" t="s">
        <v>47</v>
      </c>
      <c r="J291" s="468" t="s">
        <v>14837</v>
      </c>
      <c r="L291" s="86" t="e">
        <f>VLOOKUP(B291,$B$11:B290,1,FALSE)</f>
        <v>#N/A</v>
      </c>
      <c r="M291" s="256">
        <f>G291*(1-FORM!$AE$28/100)</f>
        <v>19.35998</v>
      </c>
      <c r="AA291" s="463" t="s">
        <v>2150</v>
      </c>
      <c r="AB291" s="462" t="s">
        <v>2153</v>
      </c>
      <c r="AC291" s="462" t="s">
        <v>2154</v>
      </c>
      <c r="AD291" s="464">
        <v>164.54900000000001</v>
      </c>
      <c r="AE291" s="465">
        <v>6.6007699999999998</v>
      </c>
      <c r="AF291" s="86">
        <f>IF(verze!$E$1="CZK",AD291,IF(verze!$E$1="SK",AE291,""))</f>
        <v>6.6007699999999998</v>
      </c>
    </row>
    <row r="292" spans="1:32" ht="15">
      <c r="A292" s="137"/>
      <c r="B292" s="301">
        <v>9255124</v>
      </c>
      <c r="C292" s="222" t="s">
        <v>752</v>
      </c>
      <c r="D292" s="223">
        <v>10</v>
      </c>
      <c r="E292" s="395"/>
      <c r="F292" s="266"/>
      <c r="G292" s="272">
        <f t="shared" si="29"/>
        <v>16.540590000000002</v>
      </c>
      <c r="H292" s="211" t="str">
        <f t="shared" si="32"/>
        <v>EUR</v>
      </c>
      <c r="I292" s="416" t="s">
        <v>47</v>
      </c>
      <c r="J292" s="469" t="s">
        <v>15016</v>
      </c>
      <c r="L292" s="86" t="e">
        <f>VLOOKUP(B292,$B$11:B291,1,FALSE)</f>
        <v>#N/A</v>
      </c>
      <c r="M292" s="256">
        <f>G292*(1-FORM!$AE$28/100)</f>
        <v>16.540590000000002</v>
      </c>
      <c r="AA292" s="463" t="s">
        <v>2155</v>
      </c>
      <c r="AB292" s="462" t="s">
        <v>2156</v>
      </c>
      <c r="AC292" s="462" t="s">
        <v>2157</v>
      </c>
      <c r="AD292" s="464">
        <v>1523.3131900000001</v>
      </c>
      <c r="AE292" s="465">
        <v>60.94012</v>
      </c>
      <c r="AF292" s="86">
        <f>IF(verze!$E$1="CZK",AD292,IF(verze!$E$1="SK",AE292,""))</f>
        <v>60.94012</v>
      </c>
    </row>
    <row r="293" spans="1:32" ht="15">
      <c r="A293" s="137"/>
      <c r="B293" s="298">
        <v>9255125</v>
      </c>
      <c r="C293" s="216" t="s">
        <v>753</v>
      </c>
      <c r="D293" s="217">
        <v>10</v>
      </c>
      <c r="E293" s="391"/>
      <c r="F293" s="262"/>
      <c r="G293" s="272">
        <f t="shared" si="29"/>
        <v>16.540590000000002</v>
      </c>
      <c r="H293" s="141" t="str">
        <f t="shared" si="32"/>
        <v>EUR</v>
      </c>
      <c r="I293" s="409" t="s">
        <v>47</v>
      </c>
      <c r="J293" s="467" t="s">
        <v>15019</v>
      </c>
      <c r="L293" s="86" t="e">
        <f>VLOOKUP(B293,$B$11:B292,1,FALSE)</f>
        <v>#N/A</v>
      </c>
      <c r="M293" s="256">
        <f>G293*(1-FORM!$AE$28/100)</f>
        <v>16.540590000000002</v>
      </c>
      <c r="AA293" s="463" t="s">
        <v>2155</v>
      </c>
      <c r="AB293" s="462" t="s">
        <v>2158</v>
      </c>
      <c r="AC293" s="462" t="s">
        <v>2159</v>
      </c>
      <c r="AD293" s="464">
        <v>575.92219999999998</v>
      </c>
      <c r="AE293" s="465">
        <v>23.102709999999998</v>
      </c>
      <c r="AF293" s="86">
        <f>IF(verze!$E$1="CZK",AD293,IF(verze!$E$1="SK",AE293,""))</f>
        <v>23.102709999999998</v>
      </c>
    </row>
    <row r="294" spans="1:32" ht="15">
      <c r="A294" s="137"/>
      <c r="B294" s="298">
        <v>9255126</v>
      </c>
      <c r="C294" s="216" t="s">
        <v>754</v>
      </c>
      <c r="D294" s="217">
        <v>10</v>
      </c>
      <c r="E294" s="391"/>
      <c r="F294" s="262"/>
      <c r="G294" s="272">
        <f t="shared" si="29"/>
        <v>16.72522</v>
      </c>
      <c r="H294" s="141" t="str">
        <f t="shared" si="32"/>
        <v>EUR</v>
      </c>
      <c r="I294" s="409" t="s">
        <v>47</v>
      </c>
      <c r="J294" s="467" t="s">
        <v>15022</v>
      </c>
      <c r="L294" s="86" t="e">
        <f>VLOOKUP(B294,$B$11:B293,1,FALSE)</f>
        <v>#N/A</v>
      </c>
      <c r="M294" s="256">
        <f>G294*(1-FORM!$AE$28/100)</f>
        <v>16.72522</v>
      </c>
      <c r="AA294" s="463" t="s">
        <v>2160</v>
      </c>
      <c r="AB294" s="462" t="s">
        <v>2161</v>
      </c>
      <c r="AC294" s="462" t="s">
        <v>2162</v>
      </c>
      <c r="AD294" s="464">
        <v>24.305070000000001</v>
      </c>
      <c r="AE294" s="465">
        <v>0.97233000000000003</v>
      </c>
      <c r="AF294" s="86">
        <f>IF(verze!$E$1="CZK",AD294,IF(verze!$E$1="SK",AE294,""))</f>
        <v>0.97233000000000003</v>
      </c>
    </row>
    <row r="295" spans="1:32" ht="15">
      <c r="A295" s="137"/>
      <c r="B295" s="298">
        <v>9255127</v>
      </c>
      <c r="C295" s="216" t="s">
        <v>755</v>
      </c>
      <c r="D295" s="217">
        <v>10</v>
      </c>
      <c r="E295" s="391"/>
      <c r="F295" s="262"/>
      <c r="G295" s="272">
        <f t="shared" si="29"/>
        <v>16.72522</v>
      </c>
      <c r="H295" s="141" t="str">
        <f t="shared" si="32"/>
        <v>EUR</v>
      </c>
      <c r="I295" s="409" t="s">
        <v>47</v>
      </c>
      <c r="J295" s="467" t="s">
        <v>15025</v>
      </c>
      <c r="L295" s="86" t="e">
        <f>VLOOKUP(B295,$B$11:B294,1,FALSE)</f>
        <v>#N/A</v>
      </c>
      <c r="M295" s="256">
        <f>G295*(1-FORM!$AE$28/100)</f>
        <v>16.72522</v>
      </c>
      <c r="AA295" s="463" t="s">
        <v>2160</v>
      </c>
      <c r="AB295" s="462" t="s">
        <v>2163</v>
      </c>
      <c r="AC295" s="462" t="s">
        <v>2164</v>
      </c>
      <c r="AD295" s="464">
        <v>9.1887000000000008</v>
      </c>
      <c r="AE295" s="465">
        <v>0.36858999999999997</v>
      </c>
      <c r="AF295" s="86">
        <f>IF(verze!$E$1="CZK",AD295,IF(verze!$E$1="SK",AE295,""))</f>
        <v>0.36858999999999997</v>
      </c>
    </row>
    <row r="296" spans="1:32" ht="15">
      <c r="A296" s="137"/>
      <c r="B296" s="298">
        <v>9255128</v>
      </c>
      <c r="C296" s="216" t="s">
        <v>756</v>
      </c>
      <c r="D296" s="217">
        <v>10</v>
      </c>
      <c r="E296" s="391"/>
      <c r="F296" s="262"/>
      <c r="G296" s="272">
        <f t="shared" si="29"/>
        <v>17.033180000000002</v>
      </c>
      <c r="H296" s="141" t="str">
        <f t="shared" si="32"/>
        <v>EUR</v>
      </c>
      <c r="I296" s="409" t="s">
        <v>47</v>
      </c>
      <c r="J296" s="467" t="s">
        <v>15028</v>
      </c>
      <c r="L296" s="86" t="e">
        <f>VLOOKUP(B296,$B$11:B295,1,FALSE)</f>
        <v>#N/A</v>
      </c>
      <c r="M296" s="256">
        <f>G296*(1-FORM!$AE$28/100)</f>
        <v>17.033180000000002</v>
      </c>
      <c r="AA296" s="463" t="s">
        <v>2165</v>
      </c>
      <c r="AB296" s="462" t="s">
        <v>2166</v>
      </c>
      <c r="AC296" s="462" t="s">
        <v>2167</v>
      </c>
      <c r="AD296" s="464">
        <v>73.517380000000003</v>
      </c>
      <c r="AE296" s="465">
        <v>2.9410699999999999</v>
      </c>
      <c r="AF296" s="86">
        <f>IF(verze!$E$1="CZK",AD296,IF(verze!$E$1="SK",AE296,""))</f>
        <v>2.9410699999999999</v>
      </c>
    </row>
    <row r="297" spans="1:32" ht="15">
      <c r="A297" s="137"/>
      <c r="B297" s="298">
        <v>9255129</v>
      </c>
      <c r="C297" s="216" t="s">
        <v>757</v>
      </c>
      <c r="D297" s="217">
        <v>10</v>
      </c>
      <c r="E297" s="391"/>
      <c r="F297" s="262"/>
      <c r="G297" s="272">
        <f t="shared" si="29"/>
        <v>17.033180000000002</v>
      </c>
      <c r="H297" s="141" t="str">
        <f t="shared" si="32"/>
        <v>EUR</v>
      </c>
      <c r="I297" s="409" t="s">
        <v>47</v>
      </c>
      <c r="J297" s="467" t="s">
        <v>15031</v>
      </c>
      <c r="L297" s="86" t="e">
        <f>VLOOKUP(B297,$B$11:B296,1,FALSE)</f>
        <v>#N/A</v>
      </c>
      <c r="M297" s="256">
        <f>G297*(1-FORM!$AE$28/100)</f>
        <v>17.033180000000002</v>
      </c>
      <c r="AA297" s="463" t="s">
        <v>2165</v>
      </c>
      <c r="AB297" s="462" t="s">
        <v>2168</v>
      </c>
      <c r="AC297" s="462" t="s">
        <v>2169</v>
      </c>
      <c r="AD297" s="464">
        <v>27.795000000000002</v>
      </c>
      <c r="AE297" s="465">
        <v>1.11497</v>
      </c>
      <c r="AF297" s="86">
        <f>IF(verze!$E$1="CZK",AD297,IF(verze!$E$1="SK",AE297,""))</f>
        <v>1.11497</v>
      </c>
    </row>
    <row r="298" spans="1:32" ht="15">
      <c r="A298" s="137"/>
      <c r="B298" s="298">
        <v>9255130</v>
      </c>
      <c r="C298" s="216" t="s">
        <v>758</v>
      </c>
      <c r="D298" s="217">
        <v>10</v>
      </c>
      <c r="E298" s="391"/>
      <c r="F298" s="262"/>
      <c r="G298" s="272">
        <f t="shared" si="29"/>
        <v>17.340789999999998</v>
      </c>
      <c r="H298" s="141" t="str">
        <f t="shared" si="32"/>
        <v>EUR</v>
      </c>
      <c r="I298" s="409" t="s">
        <v>47</v>
      </c>
      <c r="J298" s="467" t="s">
        <v>15034</v>
      </c>
      <c r="L298" s="86" t="e">
        <f>VLOOKUP(B298,$B$11:B297,1,FALSE)</f>
        <v>#N/A</v>
      </c>
      <c r="M298" s="256">
        <f>G298*(1-FORM!$AE$28/100)</f>
        <v>17.340789999999998</v>
      </c>
      <c r="AA298" s="463" t="s">
        <v>2170</v>
      </c>
      <c r="AB298" s="462" t="s">
        <v>2171</v>
      </c>
      <c r="AC298" s="462" t="s">
        <v>2172</v>
      </c>
      <c r="AD298" s="464">
        <v>4215.7680399999999</v>
      </c>
      <c r="AE298" s="465">
        <v>168.65171000000001</v>
      </c>
      <c r="AF298" s="86">
        <f>IF(verze!$E$1="CZK",AD298,IF(verze!$E$1="SK",AE298,""))</f>
        <v>168.65171000000001</v>
      </c>
    </row>
    <row r="299" spans="1:32" ht="15">
      <c r="A299" s="137"/>
      <c r="B299" s="298">
        <v>9255131</v>
      </c>
      <c r="C299" s="216" t="s">
        <v>759</v>
      </c>
      <c r="D299" s="217">
        <v>10</v>
      </c>
      <c r="E299" s="391"/>
      <c r="F299" s="262"/>
      <c r="G299" s="272">
        <f t="shared" si="29"/>
        <v>17.340789999999998</v>
      </c>
      <c r="H299" s="141" t="str">
        <f t="shared" si="32"/>
        <v>EUR</v>
      </c>
      <c r="I299" s="409" t="s">
        <v>47</v>
      </c>
      <c r="J299" s="467" t="s">
        <v>15037</v>
      </c>
      <c r="L299" s="86" t="e">
        <f>VLOOKUP(B299,$B$11:B298,1,FALSE)</f>
        <v>#N/A</v>
      </c>
      <c r="M299" s="256">
        <f>G299*(1-FORM!$AE$28/100)</f>
        <v>17.340789999999998</v>
      </c>
      <c r="AA299" s="463" t="s">
        <v>2173</v>
      </c>
      <c r="AB299" s="462" t="s">
        <v>2174</v>
      </c>
      <c r="AC299" s="462" t="s">
        <v>2175</v>
      </c>
      <c r="AD299" s="464">
        <v>4564.0601100000003</v>
      </c>
      <c r="AE299" s="465">
        <v>182.58512999999999</v>
      </c>
      <c r="AF299" s="86">
        <f>IF(verze!$E$1="CZK",AD299,IF(verze!$E$1="SK",AE299,""))</f>
        <v>182.58512999999999</v>
      </c>
    </row>
    <row r="300" spans="1:32" ht="15">
      <c r="A300" s="137"/>
      <c r="B300" s="298">
        <v>9255132</v>
      </c>
      <c r="C300" s="216" t="s">
        <v>760</v>
      </c>
      <c r="D300" s="217">
        <v>10</v>
      </c>
      <c r="E300" s="391"/>
      <c r="F300" s="262"/>
      <c r="G300" s="272">
        <f t="shared" si="29"/>
        <v>17.648779999999999</v>
      </c>
      <c r="H300" s="141" t="str">
        <f t="shared" si="32"/>
        <v>EUR</v>
      </c>
      <c r="I300" s="409" t="s">
        <v>47</v>
      </c>
      <c r="J300" s="467" t="s">
        <v>15040</v>
      </c>
      <c r="L300" s="86" t="e">
        <f>VLOOKUP(B300,$B$11:B299,1,FALSE)</f>
        <v>#N/A</v>
      </c>
      <c r="M300" s="256">
        <f>G300*(1-FORM!$AE$28/100)</f>
        <v>17.648779999999999</v>
      </c>
      <c r="AA300" s="463" t="s">
        <v>2176</v>
      </c>
      <c r="AB300" s="462" t="s">
        <v>2177</v>
      </c>
      <c r="AC300" s="462" t="s">
        <v>2178</v>
      </c>
      <c r="AD300" s="464">
        <v>513.14128000000005</v>
      </c>
      <c r="AE300" s="465">
        <v>20.528210000000001</v>
      </c>
      <c r="AF300" s="86">
        <f>IF(verze!$E$1="CZK",AD300,IF(verze!$E$1="SK",AE300,""))</f>
        <v>20.528210000000001</v>
      </c>
    </row>
    <row r="301" spans="1:32" ht="15">
      <c r="A301" s="137"/>
      <c r="B301" s="298">
        <v>9255133</v>
      </c>
      <c r="C301" s="216" t="s">
        <v>761</v>
      </c>
      <c r="D301" s="217">
        <v>10</v>
      </c>
      <c r="E301" s="391"/>
      <c r="F301" s="262"/>
      <c r="G301" s="272">
        <f t="shared" si="29"/>
        <v>17.648779999999999</v>
      </c>
      <c r="H301" s="141" t="str">
        <f t="shared" si="32"/>
        <v>EUR</v>
      </c>
      <c r="I301" s="409" t="s">
        <v>47</v>
      </c>
      <c r="J301" s="467" t="s">
        <v>15045</v>
      </c>
      <c r="L301" s="86" t="e">
        <f>VLOOKUP(B301,$B$11:B300,1,FALSE)</f>
        <v>#N/A</v>
      </c>
      <c r="M301" s="256">
        <f>G301*(1-FORM!$AE$28/100)</f>
        <v>17.648779999999999</v>
      </c>
      <c r="AA301" s="463" t="s">
        <v>2179</v>
      </c>
      <c r="AB301" s="462" t="s">
        <v>2180</v>
      </c>
      <c r="AC301" s="462" t="s">
        <v>2181</v>
      </c>
      <c r="AD301" s="464">
        <v>0.91512000000000004</v>
      </c>
      <c r="AE301" s="465">
        <v>3.7519999999999998E-2</v>
      </c>
      <c r="AF301" s="86">
        <f>IF(verze!$E$1="CZK",AD301,IF(verze!$E$1="SK",AE301,""))</f>
        <v>3.7519999999999998E-2</v>
      </c>
    </row>
    <row r="302" spans="1:32" ht="15">
      <c r="A302" s="137"/>
      <c r="B302" s="298">
        <v>9255134</v>
      </c>
      <c r="C302" s="216" t="s">
        <v>762</v>
      </c>
      <c r="D302" s="217">
        <v>10</v>
      </c>
      <c r="E302" s="391"/>
      <c r="F302" s="262"/>
      <c r="G302" s="272">
        <f t="shared" si="29"/>
        <v>17.10154</v>
      </c>
      <c r="H302" s="141" t="str">
        <f t="shared" si="32"/>
        <v>EUR</v>
      </c>
      <c r="I302" s="409" t="s">
        <v>47</v>
      </c>
      <c r="J302" s="467" t="s">
        <v>15050</v>
      </c>
      <c r="L302" s="86" t="e">
        <f>VLOOKUP(B302,$B$11:B301,1,FALSE)</f>
        <v>#N/A</v>
      </c>
      <c r="M302" s="256">
        <f>G302*(1-FORM!$AE$28/100)</f>
        <v>17.10154</v>
      </c>
      <c r="AA302" s="463" t="s">
        <v>2182</v>
      </c>
      <c r="AB302" s="462" t="s">
        <v>2183</v>
      </c>
      <c r="AC302" s="462" t="s">
        <v>2184</v>
      </c>
      <c r="AD302" s="464">
        <v>27.625879999999999</v>
      </c>
      <c r="AE302" s="465">
        <v>1.13304</v>
      </c>
      <c r="AF302" s="86">
        <f>IF(verze!$E$1="CZK",AD302,IF(verze!$E$1="SK",AE302,""))</f>
        <v>1.13304</v>
      </c>
    </row>
    <row r="303" spans="1:32" ht="15">
      <c r="A303" s="137"/>
      <c r="B303" s="298">
        <v>9255135</v>
      </c>
      <c r="C303" s="216" t="s">
        <v>763</v>
      </c>
      <c r="D303" s="217">
        <v>10</v>
      </c>
      <c r="E303" s="391"/>
      <c r="F303" s="262"/>
      <c r="G303" s="272">
        <f t="shared" si="29"/>
        <v>17.10154</v>
      </c>
      <c r="H303" s="141" t="str">
        <f t="shared" si="32"/>
        <v>EUR</v>
      </c>
      <c r="I303" s="409" t="s">
        <v>47</v>
      </c>
      <c r="J303" s="467" t="s">
        <v>15057</v>
      </c>
      <c r="L303" s="86" t="e">
        <f>VLOOKUP(B303,$B$11:B302,1,FALSE)</f>
        <v>#N/A</v>
      </c>
      <c r="M303" s="256">
        <f>G303*(1-FORM!$AE$28/100)</f>
        <v>17.10154</v>
      </c>
      <c r="AA303" s="463" t="s">
        <v>2185</v>
      </c>
      <c r="AB303" s="462" t="s">
        <v>2186</v>
      </c>
      <c r="AC303" s="462" t="s">
        <v>2187</v>
      </c>
      <c r="AD303" s="464">
        <v>39.149740000000001</v>
      </c>
      <c r="AE303" s="465">
        <v>1.4596199999999999</v>
      </c>
      <c r="AF303" s="86">
        <f>IF(verze!$E$1="CZK",AD303,IF(verze!$E$1="SK",AE303,""))</f>
        <v>1.4596199999999999</v>
      </c>
    </row>
    <row r="304" spans="1:32" ht="15">
      <c r="A304" s="137"/>
      <c r="B304" s="298">
        <v>9255136</v>
      </c>
      <c r="C304" s="216" t="s">
        <v>764</v>
      </c>
      <c r="D304" s="217">
        <v>10</v>
      </c>
      <c r="E304" s="391"/>
      <c r="F304" s="262"/>
      <c r="G304" s="272">
        <f t="shared" si="29"/>
        <v>18.264230000000001</v>
      </c>
      <c r="H304" s="141" t="str">
        <f t="shared" ref="H304:H310" si="33">IF(G304="","",$H$10)</f>
        <v>EUR</v>
      </c>
      <c r="I304" s="409" t="s">
        <v>47</v>
      </c>
      <c r="J304" s="467" t="s">
        <v>15064</v>
      </c>
      <c r="L304" s="86" t="e">
        <f>VLOOKUP(B304,$B$11:B303,1,FALSE)</f>
        <v>#N/A</v>
      </c>
      <c r="M304" s="256">
        <f>G304*(1-FORM!$AE$28/100)</f>
        <v>18.264230000000001</v>
      </c>
      <c r="AA304" s="463" t="s">
        <v>2188</v>
      </c>
      <c r="AB304" s="462" t="s">
        <v>2189</v>
      </c>
      <c r="AC304" s="462" t="s">
        <v>2190</v>
      </c>
      <c r="AD304" s="464">
        <v>34.42501</v>
      </c>
      <c r="AE304" s="465">
        <v>1.41188</v>
      </c>
      <c r="AF304" s="86">
        <f>IF(verze!$E$1="CZK",AD304,IF(verze!$E$1="SK",AE304,""))</f>
        <v>1.41188</v>
      </c>
    </row>
    <row r="305" spans="1:32" ht="15">
      <c r="A305" s="137"/>
      <c r="B305" s="298">
        <v>9255137</v>
      </c>
      <c r="C305" s="216" t="s">
        <v>765</v>
      </c>
      <c r="D305" s="217">
        <v>10</v>
      </c>
      <c r="E305" s="391"/>
      <c r="F305" s="262"/>
      <c r="G305" s="272">
        <f t="shared" si="29"/>
        <v>18.264230000000001</v>
      </c>
      <c r="H305" s="141" t="str">
        <f t="shared" si="33"/>
        <v>EUR</v>
      </c>
      <c r="I305" s="409" t="s">
        <v>47</v>
      </c>
      <c r="J305" s="467" t="s">
        <v>15067</v>
      </c>
      <c r="L305" s="86" t="e">
        <f>VLOOKUP(B305,$B$11:B304,1,FALSE)</f>
        <v>#N/A</v>
      </c>
      <c r="M305" s="256">
        <f>G305*(1-FORM!$AE$28/100)</f>
        <v>18.264230000000001</v>
      </c>
      <c r="AA305" s="463" t="s">
        <v>2191</v>
      </c>
      <c r="AB305" s="462" t="s">
        <v>2192</v>
      </c>
      <c r="AC305" s="462" t="s">
        <v>2193</v>
      </c>
      <c r="AD305" s="464">
        <v>284.10876999999999</v>
      </c>
      <c r="AE305" s="465">
        <v>12.358499999999999</v>
      </c>
      <c r="AF305" s="86">
        <f>IF(verze!$E$1="CZK",AD305,IF(verze!$E$1="SK",AE305,""))</f>
        <v>12.358499999999999</v>
      </c>
    </row>
    <row r="306" spans="1:32" ht="15">
      <c r="A306" s="137"/>
      <c r="B306" s="298">
        <v>9255138</v>
      </c>
      <c r="C306" s="216" t="s">
        <v>766</v>
      </c>
      <c r="D306" s="217">
        <v>10</v>
      </c>
      <c r="E306" s="391"/>
      <c r="F306" s="262"/>
      <c r="G306" s="272">
        <f t="shared" si="29"/>
        <v>18.728680000000001</v>
      </c>
      <c r="H306" s="141" t="str">
        <f t="shared" si="33"/>
        <v>EUR</v>
      </c>
      <c r="I306" s="409" t="s">
        <v>47</v>
      </c>
      <c r="J306" s="467" t="s">
        <v>15070</v>
      </c>
      <c r="L306" s="86" t="e">
        <f>VLOOKUP(B306,$B$11:B305,1,FALSE)</f>
        <v>#N/A</v>
      </c>
      <c r="M306" s="256">
        <f>G306*(1-FORM!$AE$28/100)</f>
        <v>18.728680000000001</v>
      </c>
      <c r="AA306" s="463" t="s">
        <v>2194</v>
      </c>
      <c r="AB306" s="462" t="s">
        <v>2195</v>
      </c>
      <c r="AC306" s="462" t="s">
        <v>2196</v>
      </c>
      <c r="AD306" s="464">
        <v>290.15816999999998</v>
      </c>
      <c r="AE306" s="465">
        <v>12.621639999999999</v>
      </c>
      <c r="AF306" s="86">
        <f>IF(verze!$E$1="CZK",AD306,IF(verze!$E$1="SK",AE306,""))</f>
        <v>12.621639999999999</v>
      </c>
    </row>
    <row r="307" spans="1:32" ht="15">
      <c r="A307" s="137"/>
      <c r="B307" s="298">
        <v>9255139</v>
      </c>
      <c r="C307" s="216" t="s">
        <v>767</v>
      </c>
      <c r="D307" s="217">
        <v>10</v>
      </c>
      <c r="E307" s="391"/>
      <c r="F307" s="262"/>
      <c r="G307" s="272">
        <f t="shared" si="29"/>
        <v>18.728680000000001</v>
      </c>
      <c r="H307" s="141" t="str">
        <f t="shared" si="33"/>
        <v>EUR</v>
      </c>
      <c r="I307" s="409" t="s">
        <v>47</v>
      </c>
      <c r="J307" s="467" t="s">
        <v>15073</v>
      </c>
      <c r="L307" s="86" t="e">
        <f>VLOOKUP(B307,$B$11:B306,1,FALSE)</f>
        <v>#N/A</v>
      </c>
      <c r="M307" s="256">
        <f>G307*(1-FORM!$AE$28/100)</f>
        <v>18.728680000000001</v>
      </c>
      <c r="AA307" s="463" t="s">
        <v>2197</v>
      </c>
      <c r="AB307" s="462" t="s">
        <v>2198</v>
      </c>
      <c r="AC307" s="462" t="s">
        <v>2199</v>
      </c>
      <c r="AD307" s="464">
        <v>294.57819999999998</v>
      </c>
      <c r="AE307" s="465">
        <v>12.8139</v>
      </c>
      <c r="AF307" s="86">
        <f>IF(verze!$E$1="CZK",AD307,IF(verze!$E$1="SK",AE307,""))</f>
        <v>12.8139</v>
      </c>
    </row>
    <row r="308" spans="1:32" ht="15">
      <c r="A308" s="137"/>
      <c r="B308" s="298">
        <v>9255140</v>
      </c>
      <c r="C308" s="216" t="s">
        <v>768</v>
      </c>
      <c r="D308" s="217">
        <v>10</v>
      </c>
      <c r="E308" s="391"/>
      <c r="F308" s="262"/>
      <c r="G308" s="272">
        <f t="shared" si="29"/>
        <v>19.35998</v>
      </c>
      <c r="H308" s="141" t="str">
        <f t="shared" si="33"/>
        <v>EUR</v>
      </c>
      <c r="I308" s="409" t="s">
        <v>47</v>
      </c>
      <c r="J308" s="467" t="s">
        <v>15076</v>
      </c>
      <c r="L308" s="86" t="e">
        <f>VLOOKUP(B308,$B$11:B307,1,FALSE)</f>
        <v>#N/A</v>
      </c>
      <c r="M308" s="256">
        <f>G308*(1-FORM!$AE$28/100)</f>
        <v>19.35998</v>
      </c>
      <c r="AA308" s="463" t="s">
        <v>2200</v>
      </c>
      <c r="AB308" s="462" t="s">
        <v>2201</v>
      </c>
      <c r="AC308" s="462" t="s">
        <v>2202</v>
      </c>
      <c r="AD308" s="464">
        <v>300.09638000000001</v>
      </c>
      <c r="AE308" s="465">
        <v>13.05396</v>
      </c>
      <c r="AF308" s="86">
        <f>IF(verze!$E$1="CZK",AD308,IF(verze!$E$1="SK",AE308,""))</f>
        <v>13.05396</v>
      </c>
    </row>
    <row r="309" spans="1:32" ht="15">
      <c r="A309" s="137"/>
      <c r="B309" s="303">
        <v>9255141</v>
      </c>
      <c r="C309" s="304" t="s">
        <v>769</v>
      </c>
      <c r="D309" s="226">
        <v>10</v>
      </c>
      <c r="E309" s="396"/>
      <c r="F309" s="268"/>
      <c r="G309" s="272">
        <f t="shared" si="29"/>
        <v>19.35998</v>
      </c>
      <c r="H309" s="142" t="str">
        <f t="shared" si="33"/>
        <v>EUR</v>
      </c>
      <c r="I309" s="417" t="s">
        <v>47</v>
      </c>
      <c r="J309" s="468" t="s">
        <v>15079</v>
      </c>
      <c r="L309" s="86" t="e">
        <f>VLOOKUP(B309,$B$11:B308,1,FALSE)</f>
        <v>#N/A</v>
      </c>
      <c r="M309" s="256">
        <f>G309*(1-FORM!$AE$28/100)</f>
        <v>19.35998</v>
      </c>
      <c r="AA309" s="463" t="s">
        <v>2203</v>
      </c>
      <c r="AB309" s="462" t="s">
        <v>2204</v>
      </c>
      <c r="AC309" s="462" t="s">
        <v>2205</v>
      </c>
      <c r="AD309" s="464">
        <v>394.88377000000003</v>
      </c>
      <c r="AE309" s="465">
        <v>18.995339999999999</v>
      </c>
      <c r="AF309" s="86">
        <f>IF(verze!$E$1="CZK",AD309,IF(verze!$E$1="SK",AE309,""))</f>
        <v>18.995339999999999</v>
      </c>
    </row>
    <row r="310" spans="1:32" ht="15">
      <c r="A310" s="139"/>
      <c r="B310" s="301">
        <v>9255204</v>
      </c>
      <c r="C310" s="222" t="s">
        <v>770</v>
      </c>
      <c r="D310" s="223">
        <v>10</v>
      </c>
      <c r="E310" s="395"/>
      <c r="F310" s="266"/>
      <c r="G310" s="272">
        <f t="shared" si="29"/>
        <v>16.540590000000002</v>
      </c>
      <c r="H310" s="211" t="str">
        <f t="shared" si="33"/>
        <v>EUR</v>
      </c>
      <c r="I310" s="416" t="s">
        <v>47</v>
      </c>
      <c r="J310" s="469" t="s">
        <v>15262</v>
      </c>
      <c r="L310" s="86" t="e">
        <f>VLOOKUP(B310,$B$11:B309,1,FALSE)</f>
        <v>#N/A</v>
      </c>
      <c r="M310" s="256">
        <f>G310*(1-FORM!$AE$28/100)</f>
        <v>16.540590000000002</v>
      </c>
      <c r="AA310" s="463" t="s">
        <v>2206</v>
      </c>
      <c r="AB310" s="462" t="s">
        <v>2207</v>
      </c>
      <c r="AC310" s="462" t="s">
        <v>2208</v>
      </c>
      <c r="AD310" s="464">
        <v>201.95735999999999</v>
      </c>
      <c r="AE310" s="465">
        <v>9.7148699999999995</v>
      </c>
      <c r="AF310" s="86">
        <f>IF(verze!$E$1="CZK",AD310,IF(verze!$E$1="SK",AE310,""))</f>
        <v>9.7148699999999995</v>
      </c>
    </row>
    <row r="311" spans="1:32" ht="15">
      <c r="A311" s="139"/>
      <c r="B311" s="298">
        <v>9255205</v>
      </c>
      <c r="C311" s="216" t="s">
        <v>771</v>
      </c>
      <c r="D311" s="217">
        <v>10</v>
      </c>
      <c r="E311" s="391"/>
      <c r="F311" s="262"/>
      <c r="G311" s="272">
        <f t="shared" si="29"/>
        <v>16.540590000000002</v>
      </c>
      <c r="H311" s="141" t="str">
        <f t="shared" ref="H311:H316" si="34">IF(G311="","",$H$10)</f>
        <v>EUR</v>
      </c>
      <c r="I311" s="409" t="s">
        <v>47</v>
      </c>
      <c r="J311" s="467" t="s">
        <v>15265</v>
      </c>
      <c r="L311" s="86" t="e">
        <f>VLOOKUP(B311,$B$11:B310,1,FALSE)</f>
        <v>#N/A</v>
      </c>
      <c r="M311" s="256">
        <f>G311*(1-FORM!$AE$28/100)</f>
        <v>16.540590000000002</v>
      </c>
      <c r="AA311" s="463" t="s">
        <v>2209</v>
      </c>
      <c r="AB311" s="462" t="s">
        <v>2210</v>
      </c>
      <c r="AC311" s="462" t="s">
        <v>2211</v>
      </c>
      <c r="AD311" s="464">
        <v>201.95735999999999</v>
      </c>
      <c r="AE311" s="465">
        <v>9.7148699999999995</v>
      </c>
      <c r="AF311" s="86">
        <f>IF(verze!$E$1="CZK",AD311,IF(verze!$E$1="SK",AE311,""))</f>
        <v>9.7148699999999995</v>
      </c>
    </row>
    <row r="312" spans="1:32" ht="15">
      <c r="A312" s="139"/>
      <c r="B312" s="298">
        <v>9255206</v>
      </c>
      <c r="C312" s="216" t="s">
        <v>772</v>
      </c>
      <c r="D312" s="217">
        <v>10</v>
      </c>
      <c r="E312" s="391"/>
      <c r="F312" s="262"/>
      <c r="G312" s="272">
        <f t="shared" si="29"/>
        <v>16.72522</v>
      </c>
      <c r="H312" s="141" t="str">
        <f t="shared" si="34"/>
        <v>EUR</v>
      </c>
      <c r="I312" s="409" t="s">
        <v>47</v>
      </c>
      <c r="J312" s="467" t="s">
        <v>15268</v>
      </c>
      <c r="L312" s="86" t="e">
        <f>VLOOKUP(B312,$B$11:B311,1,FALSE)</f>
        <v>#N/A</v>
      </c>
      <c r="M312" s="256">
        <f>G312*(1-FORM!$AE$28/100)</f>
        <v>16.72522</v>
      </c>
      <c r="AA312" s="463" t="s">
        <v>2212</v>
      </c>
      <c r="AB312" s="462" t="s">
        <v>2213</v>
      </c>
      <c r="AC312" s="462" t="s">
        <v>2214</v>
      </c>
      <c r="AD312" s="464">
        <v>44.089840000000002</v>
      </c>
      <c r="AE312" s="465">
        <v>1.7638199999999999</v>
      </c>
      <c r="AF312" s="86">
        <f>IF(verze!$E$1="CZK",AD312,IF(verze!$E$1="SK",AE312,""))</f>
        <v>1.7638199999999999</v>
      </c>
    </row>
    <row r="313" spans="1:32" ht="15">
      <c r="A313" s="139"/>
      <c r="B313" s="298">
        <v>9255207</v>
      </c>
      <c r="C313" s="216" t="s">
        <v>773</v>
      </c>
      <c r="D313" s="217">
        <v>10</v>
      </c>
      <c r="E313" s="391"/>
      <c r="F313" s="262"/>
      <c r="G313" s="272">
        <f t="shared" si="29"/>
        <v>16.72522</v>
      </c>
      <c r="H313" s="141" t="str">
        <f t="shared" si="34"/>
        <v>EUR</v>
      </c>
      <c r="I313" s="409" t="s">
        <v>47</v>
      </c>
      <c r="J313" s="467" t="s">
        <v>15271</v>
      </c>
      <c r="L313" s="86" t="e">
        <f>VLOOKUP(B313,$B$11:B312,1,FALSE)</f>
        <v>#N/A</v>
      </c>
      <c r="M313" s="256">
        <f>G313*(1-FORM!$AE$28/100)</f>
        <v>16.72522</v>
      </c>
      <c r="AA313" s="463" t="s">
        <v>2215</v>
      </c>
      <c r="AB313" s="462" t="s">
        <v>2216</v>
      </c>
      <c r="AC313" s="462" t="s">
        <v>2217</v>
      </c>
      <c r="AD313" s="464">
        <v>29.998930000000001</v>
      </c>
      <c r="AE313" s="465">
        <v>1.2000999999999999</v>
      </c>
      <c r="AF313" s="86">
        <f>IF(verze!$E$1="CZK",AD313,IF(verze!$E$1="SK",AE313,""))</f>
        <v>1.2000999999999999</v>
      </c>
    </row>
    <row r="314" spans="1:32" ht="15">
      <c r="A314" s="139"/>
      <c r="B314" s="298">
        <v>9255208</v>
      </c>
      <c r="C314" s="216" t="s">
        <v>774</v>
      </c>
      <c r="D314" s="217">
        <v>10</v>
      </c>
      <c r="E314" s="391"/>
      <c r="F314" s="262"/>
      <c r="G314" s="272">
        <f t="shared" si="29"/>
        <v>17.033180000000002</v>
      </c>
      <c r="H314" s="141" t="str">
        <f t="shared" si="34"/>
        <v>EUR</v>
      </c>
      <c r="I314" s="409" t="s">
        <v>47</v>
      </c>
      <c r="J314" s="467" t="s">
        <v>15274</v>
      </c>
      <c r="L314" s="86" t="e">
        <f>VLOOKUP(B314,$B$11:B313,1,FALSE)</f>
        <v>#N/A</v>
      </c>
      <c r="M314" s="256">
        <f>G314*(1-FORM!$AE$28/100)</f>
        <v>17.033180000000002</v>
      </c>
      <c r="AA314" s="463" t="s">
        <v>2218</v>
      </c>
      <c r="AB314" s="462" t="s">
        <v>2219</v>
      </c>
      <c r="AC314" s="462" t="s">
        <v>2220</v>
      </c>
      <c r="AD314" s="464">
        <v>2.9420199999999999</v>
      </c>
      <c r="AE314" s="465">
        <v>0.12066</v>
      </c>
      <c r="AF314" s="86">
        <f>IF(verze!$E$1="CZK",AD314,IF(verze!$E$1="SK",AE314,""))</f>
        <v>0.12066</v>
      </c>
    </row>
    <row r="315" spans="1:32" ht="15">
      <c r="A315" s="139"/>
      <c r="B315" s="298">
        <v>9255209</v>
      </c>
      <c r="C315" s="216" t="s">
        <v>775</v>
      </c>
      <c r="D315" s="217">
        <v>10</v>
      </c>
      <c r="E315" s="391"/>
      <c r="F315" s="262"/>
      <c r="G315" s="272">
        <f t="shared" si="29"/>
        <v>17.033180000000002</v>
      </c>
      <c r="H315" s="141" t="str">
        <f t="shared" si="34"/>
        <v>EUR</v>
      </c>
      <c r="I315" s="409" t="s">
        <v>47</v>
      </c>
      <c r="J315" s="467" t="s">
        <v>15277</v>
      </c>
      <c r="L315" s="86" t="e">
        <f>VLOOKUP(B315,$B$11:B314,1,FALSE)</f>
        <v>#N/A</v>
      </c>
      <c r="M315" s="256">
        <f>G315*(1-FORM!$AE$28/100)</f>
        <v>17.033180000000002</v>
      </c>
      <c r="AA315" s="463" t="s">
        <v>2221</v>
      </c>
      <c r="AB315" s="462" t="s">
        <v>2222</v>
      </c>
      <c r="AC315" s="462" t="s">
        <v>2223</v>
      </c>
      <c r="AD315" s="464">
        <v>327.87601999999998</v>
      </c>
      <c r="AE315" s="465">
        <v>14.26234</v>
      </c>
      <c r="AF315" s="86">
        <f>IF(verze!$E$1="CZK",AD315,IF(verze!$E$1="SK",AE315,""))</f>
        <v>14.26234</v>
      </c>
    </row>
    <row r="316" spans="1:32" ht="15">
      <c r="A316" s="139"/>
      <c r="B316" s="298">
        <v>9255210</v>
      </c>
      <c r="C316" s="216" t="s">
        <v>776</v>
      </c>
      <c r="D316" s="217">
        <v>10</v>
      </c>
      <c r="E316" s="391"/>
      <c r="F316" s="262"/>
      <c r="G316" s="272">
        <f t="shared" si="29"/>
        <v>17.340789999999998</v>
      </c>
      <c r="H316" s="141" t="str">
        <f t="shared" si="34"/>
        <v>EUR</v>
      </c>
      <c r="I316" s="409" t="s">
        <v>47</v>
      </c>
      <c r="J316" s="467" t="s">
        <v>15280</v>
      </c>
      <c r="L316" s="86" t="e">
        <f>VLOOKUP(B316,$B$11:B315,1,FALSE)</f>
        <v>#N/A</v>
      </c>
      <c r="M316" s="256">
        <f>G316*(1-FORM!$AE$28/100)</f>
        <v>17.340789999999998</v>
      </c>
      <c r="AA316" s="463" t="s">
        <v>2224</v>
      </c>
      <c r="AB316" s="462" t="s">
        <v>2225</v>
      </c>
      <c r="AC316" s="462" t="s">
        <v>2226</v>
      </c>
      <c r="AD316" s="464">
        <v>341.84528</v>
      </c>
      <c r="AE316" s="465">
        <v>14.86998</v>
      </c>
      <c r="AF316" s="86">
        <f>IF(verze!$E$1="CZK",AD316,IF(verze!$E$1="SK",AE316,""))</f>
        <v>14.86998</v>
      </c>
    </row>
    <row r="317" spans="1:32" ht="15">
      <c r="A317" s="139"/>
      <c r="B317" s="298">
        <v>9255211</v>
      </c>
      <c r="C317" s="216" t="s">
        <v>777</v>
      </c>
      <c r="D317" s="217">
        <v>10</v>
      </c>
      <c r="E317" s="391"/>
      <c r="F317" s="262"/>
      <c r="G317" s="272">
        <f t="shared" si="29"/>
        <v>17.340789999999998</v>
      </c>
      <c r="H317" s="141" t="str">
        <f t="shared" ref="H317:H359" si="35">IF(G317="","",$H$10)</f>
        <v>EUR</v>
      </c>
      <c r="I317" s="409" t="s">
        <v>47</v>
      </c>
      <c r="J317" s="467" t="s">
        <v>15283</v>
      </c>
      <c r="L317" s="86" t="e">
        <f>VLOOKUP(B317,$B$11:B316,1,FALSE)</f>
        <v>#N/A</v>
      </c>
      <c r="M317" s="256">
        <f>G317*(1-FORM!$AE$28/100)</f>
        <v>17.340789999999998</v>
      </c>
      <c r="AA317" s="463" t="s">
        <v>2227</v>
      </c>
      <c r="AB317" s="462" t="s">
        <v>2228</v>
      </c>
      <c r="AC317" s="462" t="s">
        <v>2229</v>
      </c>
      <c r="AD317" s="464">
        <v>356.32657999999998</v>
      </c>
      <c r="AE317" s="465">
        <v>15.499919999999999</v>
      </c>
      <c r="AF317" s="86">
        <f>IF(verze!$E$1="CZK",AD317,IF(verze!$E$1="SK",AE317,""))</f>
        <v>15.499919999999999</v>
      </c>
    </row>
    <row r="318" spans="1:32" ht="15">
      <c r="A318" s="139"/>
      <c r="B318" s="298">
        <v>9255212</v>
      </c>
      <c r="C318" s="216" t="s">
        <v>778</v>
      </c>
      <c r="D318" s="217">
        <v>10</v>
      </c>
      <c r="E318" s="391"/>
      <c r="F318" s="262"/>
      <c r="G318" s="272">
        <f t="shared" si="29"/>
        <v>16.80836</v>
      </c>
      <c r="H318" s="141" t="str">
        <f t="shared" si="35"/>
        <v>EUR</v>
      </c>
      <c r="I318" s="409" t="s">
        <v>47</v>
      </c>
      <c r="J318" s="467" t="s">
        <v>15286</v>
      </c>
      <c r="L318" s="86" t="e">
        <f>VLOOKUP(B318,$B$11:B317,1,FALSE)</f>
        <v>#N/A</v>
      </c>
      <c r="M318" s="256">
        <f>G318*(1-FORM!$AE$28/100)</f>
        <v>16.80836</v>
      </c>
      <c r="AA318" s="463" t="s">
        <v>2230</v>
      </c>
      <c r="AB318" s="462" t="s">
        <v>2231</v>
      </c>
      <c r="AC318" s="462" t="s">
        <v>2232</v>
      </c>
      <c r="AD318" s="464">
        <v>359.43207000000001</v>
      </c>
      <c r="AE318" s="465">
        <v>15.635</v>
      </c>
      <c r="AF318" s="86">
        <f>IF(verze!$E$1="CZK",AD318,IF(verze!$E$1="SK",AE318,""))</f>
        <v>15.635</v>
      </c>
    </row>
    <row r="319" spans="1:32" ht="15">
      <c r="A319" s="139"/>
      <c r="B319" s="298">
        <v>9255213</v>
      </c>
      <c r="C319" s="216" t="s">
        <v>779</v>
      </c>
      <c r="D319" s="217">
        <v>10</v>
      </c>
      <c r="E319" s="391"/>
      <c r="F319" s="262"/>
      <c r="G319" s="272">
        <f t="shared" si="29"/>
        <v>16.80836</v>
      </c>
      <c r="H319" s="141" t="str">
        <f t="shared" si="35"/>
        <v>EUR</v>
      </c>
      <c r="I319" s="409" t="s">
        <v>47</v>
      </c>
      <c r="J319" s="467" t="s">
        <v>15291</v>
      </c>
      <c r="L319" s="86" t="e">
        <f>VLOOKUP(B319,$B$11:B318,1,FALSE)</f>
        <v>#N/A</v>
      </c>
      <c r="M319" s="256">
        <f>G319*(1-FORM!$AE$28/100)</f>
        <v>16.80836</v>
      </c>
      <c r="AA319" s="463" t="s">
        <v>2233</v>
      </c>
      <c r="AB319" s="462" t="s">
        <v>2234</v>
      </c>
      <c r="AC319" s="462" t="s">
        <v>2235</v>
      </c>
      <c r="AD319" s="464">
        <v>327.87601999999998</v>
      </c>
      <c r="AE319" s="465">
        <v>14.26234</v>
      </c>
      <c r="AF319" s="86">
        <f>IF(verze!$E$1="CZK",AD319,IF(verze!$E$1="SK",AE319,""))</f>
        <v>14.26234</v>
      </c>
    </row>
    <row r="320" spans="1:32" ht="15">
      <c r="A320" s="139"/>
      <c r="B320" s="298">
        <v>9255214</v>
      </c>
      <c r="C320" s="216" t="s">
        <v>780</v>
      </c>
      <c r="D320" s="217">
        <v>10</v>
      </c>
      <c r="E320" s="391"/>
      <c r="F320" s="262"/>
      <c r="G320" s="272">
        <f t="shared" si="29"/>
        <v>17.10154</v>
      </c>
      <c r="H320" s="141" t="str">
        <f t="shared" si="35"/>
        <v>EUR</v>
      </c>
      <c r="I320" s="409" t="s">
        <v>47</v>
      </c>
      <c r="J320" s="467" t="s">
        <v>15296</v>
      </c>
      <c r="L320" s="86" t="e">
        <f>VLOOKUP(B320,$B$11:B319,1,FALSE)</f>
        <v>#N/A</v>
      </c>
      <c r="M320" s="256">
        <f>G320*(1-FORM!$AE$28/100)</f>
        <v>17.10154</v>
      </c>
      <c r="AA320" s="463" t="s">
        <v>2236</v>
      </c>
      <c r="AB320" s="462" t="s">
        <v>2237</v>
      </c>
      <c r="AC320" s="462" t="s">
        <v>2238</v>
      </c>
      <c r="AD320" s="464">
        <v>341.84528</v>
      </c>
      <c r="AE320" s="465">
        <v>14.86998</v>
      </c>
      <c r="AF320" s="86">
        <f>IF(verze!$E$1="CZK",AD320,IF(verze!$E$1="SK",AE320,""))</f>
        <v>14.86998</v>
      </c>
    </row>
    <row r="321" spans="1:32" ht="15">
      <c r="A321" s="139"/>
      <c r="B321" s="298">
        <v>9255215</v>
      </c>
      <c r="C321" s="216" t="s">
        <v>781</v>
      </c>
      <c r="D321" s="217">
        <v>10</v>
      </c>
      <c r="E321" s="391"/>
      <c r="F321" s="262"/>
      <c r="G321" s="272">
        <f t="shared" si="29"/>
        <v>17.10154</v>
      </c>
      <c r="H321" s="141" t="str">
        <f t="shared" si="35"/>
        <v>EUR</v>
      </c>
      <c r="I321" s="409" t="s">
        <v>47</v>
      </c>
      <c r="J321" s="467" t="s">
        <v>15303</v>
      </c>
      <c r="L321" s="86" t="e">
        <f>VLOOKUP(B321,$B$11:B320,1,FALSE)</f>
        <v>#N/A</v>
      </c>
      <c r="M321" s="256">
        <f>G321*(1-FORM!$AE$28/100)</f>
        <v>17.10154</v>
      </c>
      <c r="AA321" s="463" t="s">
        <v>2239</v>
      </c>
      <c r="AB321" s="462" t="s">
        <v>2240</v>
      </c>
      <c r="AC321" s="462" t="s">
        <v>2241</v>
      </c>
      <c r="AD321" s="464">
        <v>356.32657999999998</v>
      </c>
      <c r="AE321" s="465">
        <v>15.499919999999999</v>
      </c>
      <c r="AF321" s="86">
        <f>IF(verze!$E$1="CZK",AD321,IF(verze!$E$1="SK",AE321,""))</f>
        <v>15.499919999999999</v>
      </c>
    </row>
    <row r="322" spans="1:32" ht="15">
      <c r="A322" s="139"/>
      <c r="B322" s="298">
        <v>9255216</v>
      </c>
      <c r="C322" s="216" t="s">
        <v>782</v>
      </c>
      <c r="D322" s="217">
        <v>10</v>
      </c>
      <c r="E322" s="391"/>
      <c r="F322" s="262"/>
      <c r="G322" s="272">
        <f t="shared" si="29"/>
        <v>18.264230000000001</v>
      </c>
      <c r="H322" s="141" t="str">
        <f t="shared" si="35"/>
        <v>EUR</v>
      </c>
      <c r="I322" s="409" t="s">
        <v>47</v>
      </c>
      <c r="J322" s="467" t="s">
        <v>15310</v>
      </c>
      <c r="L322" s="86" t="e">
        <f>VLOOKUP(B322,$B$11:B321,1,FALSE)</f>
        <v>#N/A</v>
      </c>
      <c r="M322" s="256">
        <f>G322*(1-FORM!$AE$28/100)</f>
        <v>18.264230000000001</v>
      </c>
      <c r="AA322" s="463" t="s">
        <v>2242</v>
      </c>
      <c r="AB322" s="462" t="s">
        <v>2243</v>
      </c>
      <c r="AC322" s="462" t="s">
        <v>2244</v>
      </c>
      <c r="AD322" s="464">
        <v>359.43207000000001</v>
      </c>
      <c r="AE322" s="465">
        <v>15.635</v>
      </c>
      <c r="AF322" s="86">
        <f>IF(verze!$E$1="CZK",AD322,IF(verze!$E$1="SK",AE322,""))</f>
        <v>15.635</v>
      </c>
    </row>
    <row r="323" spans="1:32" ht="15">
      <c r="A323" s="139"/>
      <c r="B323" s="298">
        <v>9255217</v>
      </c>
      <c r="C323" s="216" t="s">
        <v>783</v>
      </c>
      <c r="D323" s="217">
        <v>10</v>
      </c>
      <c r="E323" s="391"/>
      <c r="F323" s="262"/>
      <c r="G323" s="272">
        <f t="shared" si="29"/>
        <v>18.264230000000001</v>
      </c>
      <c r="H323" s="141" t="str">
        <f t="shared" si="35"/>
        <v>EUR</v>
      </c>
      <c r="I323" s="409" t="s">
        <v>47</v>
      </c>
      <c r="J323" s="467" t="s">
        <v>15313</v>
      </c>
      <c r="L323" s="86" t="e">
        <f>VLOOKUP(B323,$B$11:B322,1,FALSE)</f>
        <v>#N/A</v>
      </c>
      <c r="M323" s="256">
        <f>G323*(1-FORM!$AE$28/100)</f>
        <v>18.264230000000001</v>
      </c>
      <c r="AA323" s="463" t="s">
        <v>2245</v>
      </c>
      <c r="AB323" s="462" t="s">
        <v>2246</v>
      </c>
      <c r="AC323" s="462" t="s">
        <v>2247</v>
      </c>
      <c r="AD323" s="464">
        <v>46.908140000000003</v>
      </c>
      <c r="AE323" s="465">
        <v>1.92388</v>
      </c>
      <c r="AF323" s="86">
        <f>IF(verze!$E$1="CZK",AD323,IF(verze!$E$1="SK",AE323,""))</f>
        <v>1.92388</v>
      </c>
    </row>
    <row r="324" spans="1:32" ht="15">
      <c r="A324" s="139"/>
      <c r="B324" s="298">
        <v>9255218</v>
      </c>
      <c r="C324" s="216" t="s">
        <v>784</v>
      </c>
      <c r="D324" s="217">
        <v>10</v>
      </c>
      <c r="E324" s="391"/>
      <c r="F324" s="262"/>
      <c r="G324" s="272">
        <f t="shared" si="29"/>
        <v>18.728680000000001</v>
      </c>
      <c r="H324" s="141" t="str">
        <f t="shared" si="35"/>
        <v>EUR</v>
      </c>
      <c r="I324" s="409" t="s">
        <v>47</v>
      </c>
      <c r="J324" s="467" t="s">
        <v>15316</v>
      </c>
      <c r="L324" s="86" t="e">
        <f>VLOOKUP(B324,$B$11:B323,1,FALSE)</f>
        <v>#N/A</v>
      </c>
      <c r="M324" s="256">
        <f>G324*(1-FORM!$AE$28/100)</f>
        <v>18.728680000000001</v>
      </c>
      <c r="AA324" s="463" t="s">
        <v>2248</v>
      </c>
      <c r="AB324" s="462" t="s">
        <v>2249</v>
      </c>
      <c r="AC324" s="462" t="s">
        <v>2250</v>
      </c>
      <c r="AD324" s="464">
        <v>2.8812600000000002</v>
      </c>
      <c r="AE324" s="465">
        <v>0.11816</v>
      </c>
      <c r="AF324" s="86">
        <f>IF(verze!$E$1="CZK",AD324,IF(verze!$E$1="SK",AE324,""))</f>
        <v>0.11816</v>
      </c>
    </row>
    <row r="325" spans="1:32" ht="15">
      <c r="A325" s="139"/>
      <c r="B325" s="298">
        <v>9255219</v>
      </c>
      <c r="C325" s="216" t="s">
        <v>785</v>
      </c>
      <c r="D325" s="217">
        <v>10</v>
      </c>
      <c r="E325" s="391"/>
      <c r="F325" s="262"/>
      <c r="G325" s="272">
        <f t="shared" si="29"/>
        <v>18.728680000000001</v>
      </c>
      <c r="H325" s="141" t="str">
        <f t="shared" si="35"/>
        <v>EUR</v>
      </c>
      <c r="I325" s="409" t="s">
        <v>47</v>
      </c>
      <c r="J325" s="467" t="s">
        <v>15319</v>
      </c>
      <c r="L325" s="86" t="e">
        <f>VLOOKUP(B325,$B$11:B324,1,FALSE)</f>
        <v>#N/A</v>
      </c>
      <c r="M325" s="256">
        <f>G325*(1-FORM!$AE$28/100)</f>
        <v>18.728680000000001</v>
      </c>
      <c r="AA325" s="463" t="s">
        <v>2251</v>
      </c>
      <c r="AB325" s="462" t="s">
        <v>2252</v>
      </c>
      <c r="AC325" s="462" t="s">
        <v>2253</v>
      </c>
      <c r="AD325" s="464">
        <v>2.13767</v>
      </c>
      <c r="AE325" s="465">
        <v>8.7679999999999994E-2</v>
      </c>
      <c r="AF325" s="86">
        <f>IF(verze!$E$1="CZK",AD325,IF(verze!$E$1="SK",AE325,""))</f>
        <v>8.7679999999999994E-2</v>
      </c>
    </row>
    <row r="326" spans="1:32" ht="15">
      <c r="A326" s="139"/>
      <c r="B326" s="298">
        <v>9255220</v>
      </c>
      <c r="C326" s="216" t="s">
        <v>786</v>
      </c>
      <c r="D326" s="217">
        <v>10</v>
      </c>
      <c r="E326" s="391"/>
      <c r="F326" s="262"/>
      <c r="G326" s="272">
        <f t="shared" si="29"/>
        <v>19.35998</v>
      </c>
      <c r="H326" s="141" t="str">
        <f t="shared" si="35"/>
        <v>EUR</v>
      </c>
      <c r="I326" s="409" t="s">
        <v>47</v>
      </c>
      <c r="J326" s="467" t="s">
        <v>15322</v>
      </c>
      <c r="L326" s="86" t="e">
        <f>VLOOKUP(B326,$B$11:B325,1,FALSE)</f>
        <v>#N/A</v>
      </c>
      <c r="M326" s="256">
        <f>G326*(1-FORM!$AE$28/100)</f>
        <v>19.35998</v>
      </c>
      <c r="AA326" s="463" t="s">
        <v>2254</v>
      </c>
      <c r="AB326" s="462" t="s">
        <v>2255</v>
      </c>
      <c r="AC326" s="462" t="s">
        <v>2256</v>
      </c>
      <c r="AD326" s="464">
        <v>228.50810999999999</v>
      </c>
      <c r="AE326" s="465">
        <v>9.1414600000000004</v>
      </c>
      <c r="AF326" s="86">
        <f>IF(verze!$E$1="CZK",AD326,IF(verze!$E$1="SK",AE326,""))</f>
        <v>9.1414600000000004</v>
      </c>
    </row>
    <row r="327" spans="1:32" ht="15">
      <c r="A327" s="139"/>
      <c r="B327" s="303">
        <v>9255221</v>
      </c>
      <c r="C327" s="304" t="s">
        <v>787</v>
      </c>
      <c r="D327" s="226">
        <v>10</v>
      </c>
      <c r="E327" s="396"/>
      <c r="F327" s="268"/>
      <c r="G327" s="272">
        <f t="shared" si="29"/>
        <v>19.35998</v>
      </c>
      <c r="H327" s="142" t="str">
        <f t="shared" si="35"/>
        <v>EUR</v>
      </c>
      <c r="I327" s="417" t="s">
        <v>47</v>
      </c>
      <c r="J327" s="467" t="s">
        <v>15325</v>
      </c>
      <c r="L327" s="86" t="e">
        <f>VLOOKUP(B327,$B$11:B326,1,FALSE)</f>
        <v>#N/A</v>
      </c>
      <c r="M327" s="256">
        <f>G327*(1-FORM!$AE$28/100)</f>
        <v>19.35998</v>
      </c>
      <c r="AA327" s="463" t="s">
        <v>2254</v>
      </c>
      <c r="AB327" s="462" t="s">
        <v>2257</v>
      </c>
      <c r="AC327" s="462" t="s">
        <v>2258</v>
      </c>
      <c r="AD327" s="464">
        <v>86.392499999999998</v>
      </c>
      <c r="AE327" s="465">
        <v>3.46557</v>
      </c>
      <c r="AF327" s="86">
        <f>IF(verze!$E$1="CZK",AD327,IF(verze!$E$1="SK",AE327,""))</f>
        <v>3.46557</v>
      </c>
    </row>
    <row r="328" spans="1:32" ht="15">
      <c r="B328" s="301">
        <v>9255838</v>
      </c>
      <c r="C328" s="222" t="s">
        <v>788</v>
      </c>
      <c r="D328" s="223">
        <v>200</v>
      </c>
      <c r="E328" s="395"/>
      <c r="F328" s="266"/>
      <c r="G328" s="272">
        <f t="shared" si="29"/>
        <v>2.32422</v>
      </c>
      <c r="H328" s="211" t="str">
        <f t="shared" si="35"/>
        <v>EUR</v>
      </c>
      <c r="I328" s="416" t="s">
        <v>47</v>
      </c>
      <c r="J328" s="467" t="s">
        <v>15794</v>
      </c>
      <c r="L328" s="86" t="e">
        <f>VLOOKUP(B328,$B$11:B327,1,FALSE)</f>
        <v>#N/A</v>
      </c>
      <c r="M328" s="256">
        <f>G328*(1-FORM!$AE$28/100)</f>
        <v>2.32422</v>
      </c>
      <c r="AA328" s="463" t="s">
        <v>2259</v>
      </c>
      <c r="AB328" s="462" t="s">
        <v>2260</v>
      </c>
      <c r="AC328" s="462" t="s">
        <v>2261</v>
      </c>
      <c r="AD328" s="464">
        <v>2.6132</v>
      </c>
      <c r="AE328" s="465">
        <v>0.10718</v>
      </c>
      <c r="AF328" s="86">
        <f>IF(verze!$E$1="CZK",AD328,IF(verze!$E$1="SK",AE328,""))</f>
        <v>0.10718</v>
      </c>
    </row>
    <row r="329" spans="1:32" ht="15">
      <c r="B329" s="303">
        <v>9255839</v>
      </c>
      <c r="C329" s="304" t="s">
        <v>789</v>
      </c>
      <c r="D329" s="226">
        <v>200</v>
      </c>
      <c r="E329" s="396"/>
      <c r="F329" s="268"/>
      <c r="G329" s="272">
        <f t="shared" si="29"/>
        <v>2.3528199999999999</v>
      </c>
      <c r="H329" s="142" t="str">
        <f t="shared" si="35"/>
        <v>EUR</v>
      </c>
      <c r="I329" s="417" t="s">
        <v>47</v>
      </c>
      <c r="J329" s="468" t="s">
        <v>15799</v>
      </c>
      <c r="L329" s="86" t="e">
        <f>VLOOKUP(B329,$B$11:B328,1,FALSE)</f>
        <v>#N/A</v>
      </c>
      <c r="M329" s="256">
        <f>G329*(1-FORM!$AE$28/100)</f>
        <v>2.3528199999999999</v>
      </c>
      <c r="AA329" s="463" t="s">
        <v>2262</v>
      </c>
      <c r="AB329" s="462" t="s">
        <v>2263</v>
      </c>
      <c r="AC329" s="462" t="s">
        <v>2264</v>
      </c>
      <c r="AD329" s="464">
        <v>40.438659999999999</v>
      </c>
      <c r="AE329" s="465">
        <v>1.61775</v>
      </c>
      <c r="AF329" s="86">
        <f>IF(verze!$E$1="CZK",AD329,IF(verze!$E$1="SK",AE329,""))</f>
        <v>1.61775</v>
      </c>
    </row>
    <row r="330" spans="1:32" ht="15">
      <c r="B330" s="303"/>
      <c r="C330" s="304"/>
      <c r="D330" s="226"/>
      <c r="E330" s="396"/>
      <c r="F330" s="268"/>
      <c r="G330" s="272"/>
      <c r="H330" s="142"/>
      <c r="I330" s="417" t="s">
        <v>47</v>
      </c>
      <c r="J330" s="470"/>
      <c r="L330" s="86" t="e">
        <f>VLOOKUP(B330,$B$11:B329,1,FALSE)</f>
        <v>#N/A</v>
      </c>
      <c r="M330" s="256">
        <f>G330*(1-FORM!$AE$28/100)</f>
        <v>0</v>
      </c>
      <c r="AA330" s="463" t="s">
        <v>2262</v>
      </c>
      <c r="AB330" s="462" t="s">
        <v>2265</v>
      </c>
      <c r="AC330" s="462" t="s">
        <v>2266</v>
      </c>
      <c r="AD330" s="464">
        <v>15.289099999999999</v>
      </c>
      <c r="AE330" s="465">
        <v>0.61331999999999998</v>
      </c>
      <c r="AF330" s="86">
        <f>IF(verze!$E$1="CZK",AD330,IF(verze!$E$1="SK",AE330,""))</f>
        <v>0.61331999999999998</v>
      </c>
    </row>
    <row r="331" spans="1:32" ht="15">
      <c r="A331" s="130"/>
      <c r="B331" s="424">
        <v>9353372</v>
      </c>
      <c r="C331" s="222" t="s">
        <v>1258</v>
      </c>
      <c r="D331" s="223">
        <v>1</v>
      </c>
      <c r="E331" s="395"/>
      <c r="F331" s="266"/>
      <c r="G331" s="272">
        <f t="shared" si="29"/>
        <v>55.514530000000001</v>
      </c>
      <c r="H331" s="211" t="str">
        <f t="shared" si="35"/>
        <v>EUR</v>
      </c>
      <c r="I331" s="416" t="s">
        <v>47</v>
      </c>
      <c r="J331" s="469" t="s">
        <v>20509</v>
      </c>
      <c r="L331" s="86" t="e">
        <f>VLOOKUP(B331,$B$11:B330,1,FALSE)</f>
        <v>#N/A</v>
      </c>
      <c r="M331" s="256">
        <f>G331*(1-FORM!$AE$28/100)</f>
        <v>55.514530000000001</v>
      </c>
      <c r="AA331" s="463" t="s">
        <v>2267</v>
      </c>
      <c r="AB331" s="462" t="s">
        <v>2268</v>
      </c>
      <c r="AC331" s="462" t="s">
        <v>2269</v>
      </c>
      <c r="AD331" s="464">
        <v>125.76429</v>
      </c>
      <c r="AE331" s="465">
        <v>3.9804400000000002</v>
      </c>
      <c r="AF331" s="86">
        <f>IF(verze!$E$1="CZK",AD331,IF(verze!$E$1="SK",AE331,""))</f>
        <v>3.9804400000000002</v>
      </c>
    </row>
    <row r="332" spans="1:32" ht="15">
      <c r="A332" s="130"/>
      <c r="B332" s="425">
        <v>9353373</v>
      </c>
      <c r="C332" s="216" t="s">
        <v>1259</v>
      </c>
      <c r="D332" s="217">
        <v>1</v>
      </c>
      <c r="E332" s="391"/>
      <c r="F332" s="262"/>
      <c r="G332" s="272">
        <f t="shared" si="29"/>
        <v>56.399320000000003</v>
      </c>
      <c r="H332" s="141" t="str">
        <f t="shared" si="35"/>
        <v>EUR</v>
      </c>
      <c r="I332" s="409" t="s">
        <v>47</v>
      </c>
      <c r="J332" s="467" t="s">
        <v>20512</v>
      </c>
      <c r="L332" s="86" t="e">
        <f>VLOOKUP(B332,$B$11:B331,1,FALSE)</f>
        <v>#N/A</v>
      </c>
      <c r="M332" s="256">
        <f>G332*(1-FORM!$AE$28/100)</f>
        <v>56.399320000000003</v>
      </c>
      <c r="AA332" s="463" t="s">
        <v>2270</v>
      </c>
      <c r="AB332" s="462" t="s">
        <v>2271</v>
      </c>
      <c r="AC332" s="462" t="s">
        <v>2272</v>
      </c>
      <c r="AD332" s="464">
        <v>19.83286</v>
      </c>
      <c r="AE332" s="465">
        <v>0.81342000000000003</v>
      </c>
      <c r="AF332" s="86">
        <f>IF(verze!$E$1="CZK",AD332,IF(verze!$E$1="SK",AE332,""))</f>
        <v>0.81342000000000003</v>
      </c>
    </row>
    <row r="333" spans="1:32" ht="15">
      <c r="A333" s="130"/>
      <c r="B333" s="425">
        <v>9353374</v>
      </c>
      <c r="C333" s="216" t="s">
        <v>1260</v>
      </c>
      <c r="D333" s="217">
        <v>1</v>
      </c>
      <c r="E333" s="391"/>
      <c r="F333" s="262"/>
      <c r="G333" s="272">
        <f t="shared" ref="G333:G396" si="36">VLOOKUP(J333,AB:AF,5,0)</f>
        <v>54.555819999999997</v>
      </c>
      <c r="H333" s="141" t="str">
        <f t="shared" si="35"/>
        <v>EUR</v>
      </c>
      <c r="I333" s="409" t="s">
        <v>47</v>
      </c>
      <c r="J333" s="467" t="s">
        <v>20515</v>
      </c>
      <c r="L333" s="86" t="e">
        <f>VLOOKUP(B333,$B$11:B332,1,FALSE)</f>
        <v>#N/A</v>
      </c>
      <c r="M333" s="256">
        <f>G333*(1-FORM!$AE$28/100)</f>
        <v>54.555819999999997</v>
      </c>
      <c r="AA333" s="463" t="s">
        <v>2273</v>
      </c>
      <c r="AB333" s="462" t="s">
        <v>2274</v>
      </c>
      <c r="AC333" s="462" t="s">
        <v>2275</v>
      </c>
      <c r="AD333" s="464">
        <v>122.21425000000001</v>
      </c>
      <c r="AE333" s="465">
        <v>5.0124199999999997</v>
      </c>
      <c r="AF333" s="86">
        <f>IF(verze!$E$1="CZK",AD333,IF(verze!$E$1="SK",AE333,""))</f>
        <v>5.0124199999999997</v>
      </c>
    </row>
    <row r="334" spans="1:32" ht="15">
      <c r="A334" s="130"/>
      <c r="B334" s="425">
        <v>9353375</v>
      </c>
      <c r="C334" s="216" t="s">
        <v>1261</v>
      </c>
      <c r="D334" s="217">
        <v>1</v>
      </c>
      <c r="E334" s="391"/>
      <c r="F334" s="262"/>
      <c r="G334" s="272">
        <f t="shared" si="36"/>
        <v>55.398299999999999</v>
      </c>
      <c r="H334" s="141" t="str">
        <f t="shared" si="35"/>
        <v>EUR</v>
      </c>
      <c r="I334" s="409" t="s">
        <v>47</v>
      </c>
      <c r="J334" s="467" t="s">
        <v>20518</v>
      </c>
      <c r="L334" s="86" t="e">
        <f>VLOOKUP(B334,$B$11:B333,1,FALSE)</f>
        <v>#N/A</v>
      </c>
      <c r="M334" s="256">
        <f>G334*(1-FORM!$AE$28/100)</f>
        <v>55.398299999999999</v>
      </c>
      <c r="AA334" s="463" t="s">
        <v>2273</v>
      </c>
      <c r="AB334" s="462" t="s">
        <v>2276</v>
      </c>
      <c r="AC334" s="462" t="s">
        <v>2277</v>
      </c>
      <c r="AD334" s="464">
        <v>40.264949999999999</v>
      </c>
      <c r="AE334" s="465">
        <v>1.6151899999999999</v>
      </c>
      <c r="AF334" s="86">
        <f>IF(verze!$E$1="CZK",AD334,IF(verze!$E$1="SK",AE334,""))</f>
        <v>1.6151899999999999</v>
      </c>
    </row>
    <row r="335" spans="1:32" ht="15">
      <c r="A335" s="130"/>
      <c r="B335" s="425">
        <v>9353376</v>
      </c>
      <c r="C335" s="216" t="s">
        <v>1262</v>
      </c>
      <c r="D335" s="217">
        <v>1</v>
      </c>
      <c r="E335" s="391"/>
      <c r="F335" s="262"/>
      <c r="G335" s="272">
        <f t="shared" si="36"/>
        <v>59.052610000000001</v>
      </c>
      <c r="H335" s="141" t="str">
        <f t="shared" si="35"/>
        <v>EUR</v>
      </c>
      <c r="I335" s="409" t="s">
        <v>47</v>
      </c>
      <c r="J335" s="467" t="s">
        <v>20521</v>
      </c>
      <c r="L335" s="86" t="e">
        <f>VLOOKUP(B335,$B$11:B334,1,FALSE)</f>
        <v>#N/A</v>
      </c>
      <c r="M335" s="256">
        <f>G335*(1-FORM!$AE$28/100)</f>
        <v>59.052610000000001</v>
      </c>
      <c r="AA335" s="463" t="s">
        <v>2278</v>
      </c>
      <c r="AB335" s="462" t="s">
        <v>2279</v>
      </c>
      <c r="AC335" s="462" t="s">
        <v>2280</v>
      </c>
      <c r="AD335" s="464">
        <v>437.11554999999998</v>
      </c>
      <c r="AE335" s="465">
        <v>21.02684</v>
      </c>
      <c r="AF335" s="86">
        <f>IF(verze!$E$1="CZK",AD335,IF(verze!$E$1="SK",AE335,""))</f>
        <v>21.02684</v>
      </c>
    </row>
    <row r="336" spans="1:32" ht="15">
      <c r="A336" s="130"/>
      <c r="B336" s="425">
        <v>9353377</v>
      </c>
      <c r="C336" s="216" t="s">
        <v>1263</v>
      </c>
      <c r="D336" s="217">
        <v>1</v>
      </c>
      <c r="E336" s="391"/>
      <c r="F336" s="262"/>
      <c r="G336" s="272">
        <f t="shared" si="36"/>
        <v>60.374200000000002</v>
      </c>
      <c r="H336" s="141" t="str">
        <f t="shared" si="35"/>
        <v>EUR</v>
      </c>
      <c r="I336" s="409" t="s">
        <v>47</v>
      </c>
      <c r="J336" s="467" t="s">
        <v>20524</v>
      </c>
      <c r="L336" s="86" t="e">
        <f>VLOOKUP(B336,$B$11:B335,1,FALSE)</f>
        <v>#N/A</v>
      </c>
      <c r="M336" s="256">
        <f>G336*(1-FORM!$AE$28/100)</f>
        <v>60.374200000000002</v>
      </c>
      <c r="AA336" s="463" t="s">
        <v>2281</v>
      </c>
      <c r="AB336" s="462" t="s">
        <v>2282</v>
      </c>
      <c r="AC336" s="462" t="s">
        <v>2283</v>
      </c>
      <c r="AD336" s="464">
        <v>2.58263</v>
      </c>
      <c r="AE336" s="465">
        <v>0.12424</v>
      </c>
      <c r="AF336" s="86">
        <f>IF(verze!$E$1="CZK",AD336,IF(verze!$E$1="SK",AE336,""))</f>
        <v>0.12424</v>
      </c>
    </row>
    <row r="337" spans="1:32" ht="15">
      <c r="A337" s="130"/>
      <c r="B337" s="426">
        <v>9353378</v>
      </c>
      <c r="C337" s="304" t="s">
        <v>1264</v>
      </c>
      <c r="D337" s="226">
        <v>1</v>
      </c>
      <c r="E337" s="396"/>
      <c r="F337" s="268"/>
      <c r="G337" s="272">
        <f t="shared" si="36"/>
        <v>62.219180000000001</v>
      </c>
      <c r="H337" s="142" t="str">
        <f t="shared" si="35"/>
        <v>EUR</v>
      </c>
      <c r="I337" s="417" t="s">
        <v>47</v>
      </c>
      <c r="J337" s="468" t="s">
        <v>20527</v>
      </c>
      <c r="L337" s="86" t="e">
        <f>VLOOKUP(B337,$B$11:B336,1,FALSE)</f>
        <v>#N/A</v>
      </c>
      <c r="M337" s="256">
        <f>G337*(1-FORM!$AE$28/100)</f>
        <v>62.219180000000001</v>
      </c>
      <c r="AA337" s="463" t="s">
        <v>2284</v>
      </c>
      <c r="AB337" s="462" t="s">
        <v>2285</v>
      </c>
      <c r="AC337" s="462" t="s">
        <v>2286</v>
      </c>
      <c r="AD337" s="464">
        <v>31.983460000000001</v>
      </c>
      <c r="AE337" s="465">
        <v>1.31176</v>
      </c>
      <c r="AF337" s="86">
        <f>IF(verze!$E$1="CZK",AD337,IF(verze!$E$1="SK",AE337,""))</f>
        <v>1.31176</v>
      </c>
    </row>
    <row r="338" spans="1:32" ht="15">
      <c r="A338" s="137"/>
      <c r="B338" s="424">
        <v>9353410</v>
      </c>
      <c r="C338" s="222" t="s">
        <v>1265</v>
      </c>
      <c r="D338" s="223">
        <v>1</v>
      </c>
      <c r="E338" s="395"/>
      <c r="F338" s="266"/>
      <c r="G338" s="272">
        <f t="shared" si="36"/>
        <v>55.514530000000001</v>
      </c>
      <c r="H338" s="211" t="str">
        <f t="shared" si="35"/>
        <v>EUR</v>
      </c>
      <c r="I338" s="416" t="s">
        <v>47</v>
      </c>
      <c r="J338" s="469" t="s">
        <v>20623</v>
      </c>
      <c r="L338" s="86" t="e">
        <f>VLOOKUP(B338,$B$11:B337,1,FALSE)</f>
        <v>#N/A</v>
      </c>
      <c r="M338" s="256">
        <f>G338*(1-FORM!$AE$28/100)</f>
        <v>55.514530000000001</v>
      </c>
      <c r="AA338" s="463" t="s">
        <v>2287</v>
      </c>
      <c r="AB338" s="462" t="s">
        <v>2288</v>
      </c>
      <c r="AC338" s="462" t="s">
        <v>2289</v>
      </c>
      <c r="AD338" s="464">
        <v>5.5516199999999998</v>
      </c>
      <c r="AE338" s="465">
        <v>0.22770000000000001</v>
      </c>
      <c r="AF338" s="86">
        <f>IF(verze!$E$1="CZK",AD338,IF(verze!$E$1="SK",AE338,""))</f>
        <v>0.22770000000000001</v>
      </c>
    </row>
    <row r="339" spans="1:32" ht="15">
      <c r="A339" s="137"/>
      <c r="B339" s="425">
        <v>9353411</v>
      </c>
      <c r="C339" s="216" t="s">
        <v>1266</v>
      </c>
      <c r="D339" s="217">
        <v>1</v>
      </c>
      <c r="E339" s="391"/>
      <c r="F339" s="262"/>
      <c r="G339" s="272">
        <f t="shared" si="36"/>
        <v>56.399320000000003</v>
      </c>
      <c r="H339" s="141" t="str">
        <f t="shared" si="35"/>
        <v>EUR</v>
      </c>
      <c r="I339" s="409" t="s">
        <v>47</v>
      </c>
      <c r="J339" s="467" t="s">
        <v>20626</v>
      </c>
      <c r="L339" s="86" t="e">
        <f>VLOOKUP(B339,$B$11:B338,1,FALSE)</f>
        <v>#N/A</v>
      </c>
      <c r="M339" s="256">
        <f>G339*(1-FORM!$AE$28/100)</f>
        <v>56.399320000000003</v>
      </c>
      <c r="AA339" s="463" t="s">
        <v>2290</v>
      </c>
      <c r="AB339" s="462" t="s">
        <v>2291</v>
      </c>
      <c r="AC339" s="462" t="s">
        <v>2292</v>
      </c>
      <c r="AD339" s="464">
        <v>1.51213</v>
      </c>
      <c r="AE339" s="465">
        <v>6.2019999999999999E-2</v>
      </c>
      <c r="AF339" s="86">
        <f>IF(verze!$E$1="CZK",AD339,IF(verze!$E$1="SK",AE339,""))</f>
        <v>6.2019999999999999E-2</v>
      </c>
    </row>
    <row r="340" spans="1:32" ht="15">
      <c r="A340" s="137"/>
      <c r="B340" s="425">
        <v>9353412</v>
      </c>
      <c r="C340" s="216" t="s">
        <v>1267</v>
      </c>
      <c r="D340" s="217">
        <v>1</v>
      </c>
      <c r="E340" s="391"/>
      <c r="F340" s="262"/>
      <c r="G340" s="272">
        <f t="shared" si="36"/>
        <v>54.555819999999997</v>
      </c>
      <c r="H340" s="141" t="str">
        <f t="shared" si="35"/>
        <v>EUR</v>
      </c>
      <c r="I340" s="409" t="s">
        <v>47</v>
      </c>
      <c r="J340" s="467" t="s">
        <v>20629</v>
      </c>
      <c r="L340" s="86" t="e">
        <f>VLOOKUP(B340,$B$11:B339,1,FALSE)</f>
        <v>#N/A</v>
      </c>
      <c r="M340" s="256">
        <f>G340*(1-FORM!$AE$28/100)</f>
        <v>54.555819999999997</v>
      </c>
      <c r="AA340" s="463" t="s">
        <v>2293</v>
      </c>
      <c r="AB340" s="462" t="s">
        <v>2294</v>
      </c>
      <c r="AC340" s="462" t="s">
        <v>2295</v>
      </c>
      <c r="AD340" s="464">
        <v>3.4675400000000001</v>
      </c>
      <c r="AE340" s="465">
        <v>0.14219999999999999</v>
      </c>
      <c r="AF340" s="86">
        <f>IF(verze!$E$1="CZK",AD340,IF(verze!$E$1="SK",AE340,""))</f>
        <v>0.14219999999999999</v>
      </c>
    </row>
    <row r="341" spans="1:32" ht="15">
      <c r="A341" s="137"/>
      <c r="B341" s="425">
        <v>9353413</v>
      </c>
      <c r="C341" s="216" t="s">
        <v>1268</v>
      </c>
      <c r="D341" s="217">
        <v>1</v>
      </c>
      <c r="E341" s="391"/>
      <c r="F341" s="262"/>
      <c r="G341" s="272">
        <f t="shared" si="36"/>
        <v>55.398299999999999</v>
      </c>
      <c r="H341" s="141" t="str">
        <f t="shared" si="35"/>
        <v>EUR</v>
      </c>
      <c r="I341" s="409" t="s">
        <v>47</v>
      </c>
      <c r="J341" s="467" t="s">
        <v>20632</v>
      </c>
      <c r="L341" s="86" t="e">
        <f>VLOOKUP(B341,$B$11:B340,1,FALSE)</f>
        <v>#N/A</v>
      </c>
      <c r="M341" s="256">
        <f>G341*(1-FORM!$AE$28/100)</f>
        <v>55.398299999999999</v>
      </c>
      <c r="AA341" s="463" t="s">
        <v>2296</v>
      </c>
      <c r="AB341" s="462" t="s">
        <v>2297</v>
      </c>
      <c r="AC341" s="462" t="s">
        <v>2298</v>
      </c>
      <c r="AD341" s="464">
        <v>25.870609999999999</v>
      </c>
      <c r="AE341" s="465">
        <v>1.06104</v>
      </c>
      <c r="AF341" s="86">
        <f>IF(verze!$E$1="CZK",AD341,IF(verze!$E$1="SK",AE341,""))</f>
        <v>1.06104</v>
      </c>
    </row>
    <row r="342" spans="1:32" ht="15">
      <c r="A342" s="137"/>
      <c r="B342" s="425">
        <v>9353414</v>
      </c>
      <c r="C342" s="216" t="s">
        <v>1269</v>
      </c>
      <c r="D342" s="217">
        <v>1</v>
      </c>
      <c r="E342" s="391"/>
      <c r="F342" s="262"/>
      <c r="G342" s="272">
        <f t="shared" si="36"/>
        <v>59.052610000000001</v>
      </c>
      <c r="H342" s="141" t="str">
        <f t="shared" si="35"/>
        <v>EUR</v>
      </c>
      <c r="I342" s="409" t="s">
        <v>47</v>
      </c>
      <c r="J342" s="467" t="s">
        <v>20635</v>
      </c>
      <c r="L342" s="86" t="e">
        <f>VLOOKUP(B342,$B$11:B341,1,FALSE)</f>
        <v>#N/A</v>
      </c>
      <c r="M342" s="256">
        <f>G342*(1-FORM!$AE$28/100)</f>
        <v>59.052610000000001</v>
      </c>
      <c r="AA342" s="463" t="s">
        <v>2299</v>
      </c>
      <c r="AB342" s="462" t="s">
        <v>2300</v>
      </c>
      <c r="AC342" s="462" t="s">
        <v>2301</v>
      </c>
      <c r="AD342" s="464">
        <v>1.3834599999999999</v>
      </c>
      <c r="AE342" s="465">
        <v>5.6739999999999999E-2</v>
      </c>
      <c r="AF342" s="86">
        <f>IF(verze!$E$1="CZK",AD342,IF(verze!$E$1="SK",AE342,""))</f>
        <v>5.6739999999999999E-2</v>
      </c>
    </row>
    <row r="343" spans="1:32" ht="15">
      <c r="A343" s="137"/>
      <c r="B343" s="425">
        <v>9353415</v>
      </c>
      <c r="C343" s="216" t="s">
        <v>1270</v>
      </c>
      <c r="D343" s="217">
        <v>1</v>
      </c>
      <c r="E343" s="391"/>
      <c r="F343" s="262"/>
      <c r="G343" s="272">
        <f t="shared" si="36"/>
        <v>60.374200000000002</v>
      </c>
      <c r="H343" s="141" t="str">
        <f t="shared" si="35"/>
        <v>EUR</v>
      </c>
      <c r="I343" s="409" t="s">
        <v>47</v>
      </c>
      <c r="J343" s="467" t="s">
        <v>20638</v>
      </c>
      <c r="L343" s="86" t="e">
        <f>VLOOKUP(B343,$B$11:B342,1,FALSE)</f>
        <v>#N/A</v>
      </c>
      <c r="M343" s="256">
        <f>G343*(1-FORM!$AE$28/100)</f>
        <v>60.374200000000002</v>
      </c>
      <c r="AA343" s="463" t="s">
        <v>2302</v>
      </c>
      <c r="AB343" s="462" t="s">
        <v>2303</v>
      </c>
      <c r="AC343" s="462" t="s">
        <v>2304</v>
      </c>
      <c r="AD343" s="464">
        <v>4.2289199999999996</v>
      </c>
      <c r="AE343" s="465">
        <v>0.17346</v>
      </c>
      <c r="AF343" s="86">
        <f>IF(verze!$E$1="CZK",AD343,IF(verze!$E$1="SK",AE343,""))</f>
        <v>0.17346</v>
      </c>
    </row>
    <row r="344" spans="1:32" ht="15">
      <c r="A344" s="137"/>
      <c r="B344" s="426">
        <v>9353416</v>
      </c>
      <c r="C344" s="304" t="s">
        <v>1271</v>
      </c>
      <c r="D344" s="226">
        <v>1</v>
      </c>
      <c r="E344" s="396"/>
      <c r="F344" s="268"/>
      <c r="G344" s="272">
        <f t="shared" si="36"/>
        <v>62.219180000000001</v>
      </c>
      <c r="H344" s="142" t="str">
        <f t="shared" si="35"/>
        <v>EUR</v>
      </c>
      <c r="I344" s="417" t="s">
        <v>47</v>
      </c>
      <c r="J344" s="468" t="s">
        <v>20641</v>
      </c>
      <c r="L344" s="86" t="e">
        <f>VLOOKUP(B344,$B$11:B343,1,FALSE)</f>
        <v>#N/A</v>
      </c>
      <c r="M344" s="256">
        <f>G344*(1-FORM!$AE$28/100)</f>
        <v>62.219180000000001</v>
      </c>
      <c r="AA344" s="463" t="s">
        <v>2305</v>
      </c>
      <c r="AB344" s="462" t="s">
        <v>2306</v>
      </c>
      <c r="AC344" s="462" t="s">
        <v>2307</v>
      </c>
      <c r="AD344" s="464">
        <v>10.67306</v>
      </c>
      <c r="AE344" s="465">
        <v>0.42975999999999998</v>
      </c>
      <c r="AF344" s="86">
        <f>IF(verze!$E$1="CZK",AD344,IF(verze!$E$1="SK",AE344,""))</f>
        <v>0.42975999999999998</v>
      </c>
    </row>
    <row r="345" spans="1:32" ht="15">
      <c r="A345" s="139"/>
      <c r="B345" s="424">
        <v>9353448</v>
      </c>
      <c r="C345" s="222" t="s">
        <v>1272</v>
      </c>
      <c r="D345" s="223">
        <v>1</v>
      </c>
      <c r="E345" s="395"/>
      <c r="F345" s="266"/>
      <c r="G345" s="272">
        <f t="shared" si="36"/>
        <v>55.514530000000001</v>
      </c>
      <c r="H345" s="211" t="str">
        <f t="shared" si="35"/>
        <v>EUR</v>
      </c>
      <c r="I345" s="416" t="s">
        <v>47</v>
      </c>
      <c r="J345" s="469" t="s">
        <v>20737</v>
      </c>
      <c r="L345" s="86" t="e">
        <f>VLOOKUP(B345,$B$11:B344,1,FALSE)</f>
        <v>#N/A</v>
      </c>
      <c r="M345" s="256">
        <f>G345*(1-FORM!$AE$28/100)</f>
        <v>55.514530000000001</v>
      </c>
      <c r="AA345" s="463" t="s">
        <v>2308</v>
      </c>
      <c r="AB345" s="462" t="s">
        <v>2309</v>
      </c>
      <c r="AC345" s="462" t="s">
        <v>2310</v>
      </c>
      <c r="AD345" s="464">
        <v>95.075590000000005</v>
      </c>
      <c r="AE345" s="465">
        <v>3.8261099999999999</v>
      </c>
      <c r="AF345" s="86">
        <f>IF(verze!$E$1="CZK",AD345,IF(verze!$E$1="SK",AE345,""))</f>
        <v>3.8261099999999999</v>
      </c>
    </row>
    <row r="346" spans="1:32" ht="15">
      <c r="A346" s="139"/>
      <c r="B346" s="425">
        <v>9353449</v>
      </c>
      <c r="C346" s="216" t="s">
        <v>1273</v>
      </c>
      <c r="D346" s="217">
        <v>1</v>
      </c>
      <c r="E346" s="391"/>
      <c r="F346" s="262"/>
      <c r="G346" s="272">
        <f t="shared" si="36"/>
        <v>56.399320000000003</v>
      </c>
      <c r="H346" s="141" t="str">
        <f t="shared" si="35"/>
        <v>EUR</v>
      </c>
      <c r="I346" s="409" t="s">
        <v>47</v>
      </c>
      <c r="J346" s="467" t="s">
        <v>20740</v>
      </c>
      <c r="L346" s="86" t="e">
        <f>VLOOKUP(B346,$B$11:B345,1,FALSE)</f>
        <v>#N/A</v>
      </c>
      <c r="M346" s="256">
        <f>G346*(1-FORM!$AE$28/100)</f>
        <v>56.399320000000003</v>
      </c>
      <c r="AA346" s="463" t="s">
        <v>2311</v>
      </c>
      <c r="AB346" s="462" t="s">
        <v>2312</v>
      </c>
      <c r="AC346" s="462" t="s">
        <v>2313</v>
      </c>
      <c r="AD346" s="464">
        <v>95.075590000000005</v>
      </c>
      <c r="AE346" s="465">
        <v>3.8261099999999999</v>
      </c>
      <c r="AF346" s="86">
        <f>IF(verze!$E$1="CZK",AD346,IF(verze!$E$1="SK",AE346,""))</f>
        <v>3.8261099999999999</v>
      </c>
    </row>
    <row r="347" spans="1:32" ht="15">
      <c r="A347" s="139"/>
      <c r="B347" s="425">
        <v>9353450</v>
      </c>
      <c r="C347" s="216" t="s">
        <v>1274</v>
      </c>
      <c r="D347" s="217">
        <v>1</v>
      </c>
      <c r="E347" s="391"/>
      <c r="F347" s="262"/>
      <c r="G347" s="272">
        <f t="shared" si="36"/>
        <v>54.555819999999997</v>
      </c>
      <c r="H347" s="141" t="str">
        <f t="shared" si="35"/>
        <v>EUR</v>
      </c>
      <c r="I347" s="409" t="s">
        <v>47</v>
      </c>
      <c r="J347" s="467" t="s">
        <v>20743</v>
      </c>
      <c r="L347" s="86" t="e">
        <f>VLOOKUP(B347,$B$11:B346,1,FALSE)</f>
        <v>#N/A</v>
      </c>
      <c r="M347" s="256">
        <f>G347*(1-FORM!$AE$28/100)</f>
        <v>54.555819999999997</v>
      </c>
      <c r="AA347" s="463" t="s">
        <v>2314</v>
      </c>
      <c r="AB347" s="462" t="s">
        <v>2315</v>
      </c>
      <c r="AC347" s="462" t="s">
        <v>2316</v>
      </c>
      <c r="AD347" s="464">
        <v>21.036729999999999</v>
      </c>
      <c r="AE347" s="465">
        <v>0.84662000000000004</v>
      </c>
      <c r="AF347" s="86">
        <f>IF(verze!$E$1="CZK",AD347,IF(verze!$E$1="SK",AE347,""))</f>
        <v>0.84662000000000004</v>
      </c>
    </row>
    <row r="348" spans="1:32" ht="15">
      <c r="A348" s="139"/>
      <c r="B348" s="425">
        <v>9353451</v>
      </c>
      <c r="C348" s="216" t="s">
        <v>1275</v>
      </c>
      <c r="D348" s="217">
        <v>1</v>
      </c>
      <c r="E348" s="391"/>
      <c r="F348" s="262"/>
      <c r="G348" s="272">
        <f t="shared" si="36"/>
        <v>55.398299999999999</v>
      </c>
      <c r="H348" s="141" t="str">
        <f t="shared" si="35"/>
        <v>EUR</v>
      </c>
      <c r="I348" s="409" t="s">
        <v>47</v>
      </c>
      <c r="J348" s="467" t="s">
        <v>20746</v>
      </c>
      <c r="L348" s="86" t="e">
        <f>VLOOKUP(B348,$B$11:B347,1,FALSE)</f>
        <v>#N/A</v>
      </c>
      <c r="M348" s="256">
        <f>G348*(1-FORM!$AE$28/100)</f>
        <v>55.398299999999999</v>
      </c>
      <c r="AA348" s="463" t="s">
        <v>2317</v>
      </c>
      <c r="AB348" s="462" t="s">
        <v>2318</v>
      </c>
      <c r="AC348" s="462" t="s">
        <v>2319</v>
      </c>
      <c r="AD348" s="464">
        <v>19.64517</v>
      </c>
      <c r="AE348" s="465">
        <v>0.79056999999999999</v>
      </c>
      <c r="AF348" s="86">
        <f>IF(verze!$E$1="CZK",AD348,IF(verze!$E$1="SK",AE348,""))</f>
        <v>0.79056999999999999</v>
      </c>
    </row>
    <row r="349" spans="1:32" ht="15">
      <c r="A349" s="139"/>
      <c r="B349" s="425">
        <v>9353452</v>
      </c>
      <c r="C349" s="216" t="s">
        <v>1276</v>
      </c>
      <c r="D349" s="217">
        <v>1</v>
      </c>
      <c r="E349" s="391"/>
      <c r="F349" s="262"/>
      <c r="G349" s="272">
        <f t="shared" si="36"/>
        <v>59.052610000000001</v>
      </c>
      <c r="H349" s="141" t="str">
        <f t="shared" si="35"/>
        <v>EUR</v>
      </c>
      <c r="I349" s="409" t="s">
        <v>47</v>
      </c>
      <c r="J349" s="467" t="s">
        <v>20749</v>
      </c>
      <c r="L349" s="86" t="e">
        <f>VLOOKUP(B349,$B$11:B348,1,FALSE)</f>
        <v>#N/A</v>
      </c>
      <c r="M349" s="256">
        <f>G349*(1-FORM!$AE$28/100)</f>
        <v>59.052610000000001</v>
      </c>
      <c r="AA349" s="463" t="s">
        <v>2320</v>
      </c>
      <c r="AB349" s="462" t="s">
        <v>2321</v>
      </c>
      <c r="AC349" s="462" t="s">
        <v>2322</v>
      </c>
      <c r="AD349" s="464">
        <v>1.1367499999999999</v>
      </c>
      <c r="AE349" s="465">
        <v>4.6620000000000002E-2</v>
      </c>
      <c r="AF349" s="86">
        <f>IF(verze!$E$1="CZK",AD349,IF(verze!$E$1="SK",AE349,""))</f>
        <v>4.6620000000000002E-2</v>
      </c>
    </row>
    <row r="350" spans="1:32" ht="15">
      <c r="A350" s="139"/>
      <c r="B350" s="425">
        <v>9353453</v>
      </c>
      <c r="C350" s="216" t="s">
        <v>1277</v>
      </c>
      <c r="D350" s="217">
        <v>1</v>
      </c>
      <c r="E350" s="391"/>
      <c r="F350" s="262"/>
      <c r="G350" s="272">
        <f t="shared" si="36"/>
        <v>60.374200000000002</v>
      </c>
      <c r="H350" s="141" t="str">
        <f t="shared" si="35"/>
        <v>EUR</v>
      </c>
      <c r="I350" s="409" t="s">
        <v>47</v>
      </c>
      <c r="J350" s="467" t="s">
        <v>20752</v>
      </c>
      <c r="L350" s="86" t="e">
        <f>VLOOKUP(B350,$B$11:B349,1,FALSE)</f>
        <v>#N/A</v>
      </c>
      <c r="M350" s="256">
        <f>G350*(1-FORM!$AE$28/100)</f>
        <v>60.374200000000002</v>
      </c>
      <c r="AA350" s="463" t="s">
        <v>2323</v>
      </c>
      <c r="AB350" s="462" t="s">
        <v>2324</v>
      </c>
      <c r="AC350" s="462" t="s">
        <v>2325</v>
      </c>
      <c r="AD350" s="464">
        <v>113.15508</v>
      </c>
      <c r="AE350" s="465">
        <v>5.4431599999999998</v>
      </c>
      <c r="AF350" s="86">
        <f>IF(verze!$E$1="CZK",AD350,IF(verze!$E$1="SK",AE350,""))</f>
        <v>5.4431599999999998</v>
      </c>
    </row>
    <row r="351" spans="1:32" ht="15">
      <c r="A351" s="139"/>
      <c r="B351" s="426">
        <v>9353454</v>
      </c>
      <c r="C351" s="304" t="s">
        <v>1278</v>
      </c>
      <c r="D351" s="226">
        <v>1</v>
      </c>
      <c r="E351" s="396"/>
      <c r="F351" s="268"/>
      <c r="G351" s="272">
        <f t="shared" si="36"/>
        <v>62.219180000000001</v>
      </c>
      <c r="H351" s="142" t="str">
        <f t="shared" si="35"/>
        <v>EUR</v>
      </c>
      <c r="I351" s="417" t="s">
        <v>47</v>
      </c>
      <c r="J351" s="468" t="s">
        <v>20755</v>
      </c>
      <c r="L351" s="86" t="e">
        <f>VLOOKUP(B351,$B$11:B350,1,FALSE)</f>
        <v>#N/A</v>
      </c>
      <c r="M351" s="256">
        <f>G351*(1-FORM!$AE$28/100)</f>
        <v>62.219180000000001</v>
      </c>
      <c r="AA351" s="463" t="s">
        <v>2326</v>
      </c>
      <c r="AB351" s="462" t="s">
        <v>2327</v>
      </c>
      <c r="AC351" s="462" t="s">
        <v>2328</v>
      </c>
      <c r="AD351" s="464">
        <v>214.18205</v>
      </c>
      <c r="AE351" s="465">
        <v>10.30294</v>
      </c>
      <c r="AF351" s="86">
        <f>IF(verze!$E$1="CZK",AD351,IF(verze!$E$1="SK",AE351,""))</f>
        <v>10.30294</v>
      </c>
    </row>
    <row r="352" spans="1:32" ht="15">
      <c r="A352" s="130"/>
      <c r="B352" s="298">
        <v>9255066</v>
      </c>
      <c r="C352" s="216" t="s">
        <v>790</v>
      </c>
      <c r="D352" s="217">
        <v>10</v>
      </c>
      <c r="E352" s="391"/>
      <c r="F352" s="262"/>
      <c r="G352" s="272">
        <f t="shared" si="36"/>
        <v>26.814820000000001</v>
      </c>
      <c r="H352" s="141" t="str">
        <f>IF(G352="","",$H$10)</f>
        <v>EUR</v>
      </c>
      <c r="I352" s="409" t="s">
        <v>47</v>
      </c>
      <c r="J352" s="469" t="s">
        <v>14840</v>
      </c>
      <c r="L352" s="86" t="e">
        <f>VLOOKUP(B352,$B$11:B351,1,FALSE)</f>
        <v>#N/A</v>
      </c>
      <c r="M352" s="256">
        <f>G352*(1-FORM!$AE$28/100)</f>
        <v>26.814820000000001</v>
      </c>
      <c r="AA352" s="463" t="s">
        <v>2329</v>
      </c>
      <c r="AB352" s="462" t="s">
        <v>2330</v>
      </c>
      <c r="AC352" s="462" t="s">
        <v>2331</v>
      </c>
      <c r="AD352" s="464">
        <v>96.111710000000002</v>
      </c>
      <c r="AE352" s="465">
        <v>3.9418799999999998</v>
      </c>
      <c r="AF352" s="86">
        <f>IF(verze!$E$1="CZK",AD352,IF(verze!$E$1="SK",AE352,""))</f>
        <v>3.9418799999999998</v>
      </c>
    </row>
    <row r="353" spans="1:32" ht="15">
      <c r="A353" s="130"/>
      <c r="B353" s="298">
        <v>9255067</v>
      </c>
      <c r="C353" s="216" t="s">
        <v>791</v>
      </c>
      <c r="D353" s="217">
        <v>10</v>
      </c>
      <c r="E353" s="391"/>
      <c r="F353" s="262"/>
      <c r="G353" s="272">
        <f t="shared" si="36"/>
        <v>26.814820000000001</v>
      </c>
      <c r="H353" s="141" t="str">
        <f>IF(G353="","",$H$10)</f>
        <v>EUR</v>
      </c>
      <c r="I353" s="409" t="s">
        <v>47</v>
      </c>
      <c r="J353" s="467" t="s">
        <v>14843</v>
      </c>
      <c r="L353" s="86" t="e">
        <f>VLOOKUP(B353,$B$11:B352,1,FALSE)</f>
        <v>#N/A</v>
      </c>
      <c r="M353" s="256">
        <f>G353*(1-FORM!$AE$28/100)</f>
        <v>26.814820000000001</v>
      </c>
      <c r="AA353" s="463" t="s">
        <v>2332</v>
      </c>
      <c r="AB353" s="462" t="s">
        <v>2333</v>
      </c>
      <c r="AC353" s="462" t="s">
        <v>2334</v>
      </c>
      <c r="AD353" s="464">
        <v>96.111710000000002</v>
      </c>
      <c r="AE353" s="465">
        <v>3.9418799999999998</v>
      </c>
      <c r="AF353" s="86">
        <f>IF(verze!$E$1="CZK",AD353,IF(verze!$E$1="SK",AE353,""))</f>
        <v>3.9418799999999998</v>
      </c>
    </row>
    <row r="354" spans="1:32" ht="15">
      <c r="A354" s="130"/>
      <c r="B354" s="298">
        <v>9255068</v>
      </c>
      <c r="C354" s="216" t="s">
        <v>792</v>
      </c>
      <c r="D354" s="217">
        <v>10</v>
      </c>
      <c r="E354" s="391"/>
      <c r="F354" s="262"/>
      <c r="G354" s="272">
        <f t="shared" si="36"/>
        <v>27.299520000000001</v>
      </c>
      <c r="H354" s="141" t="str">
        <f>IF(G354="","",$H$10)</f>
        <v>EUR</v>
      </c>
      <c r="I354" s="409" t="s">
        <v>47</v>
      </c>
      <c r="J354" s="467" t="s">
        <v>14846</v>
      </c>
      <c r="L354" s="86" t="e">
        <f>VLOOKUP(B354,$B$11:B353,1,FALSE)</f>
        <v>#N/A</v>
      </c>
      <c r="M354" s="256">
        <f>G354*(1-FORM!$AE$28/100)</f>
        <v>27.299520000000001</v>
      </c>
      <c r="AA354" s="463" t="s">
        <v>2335</v>
      </c>
      <c r="AB354" s="462" t="s">
        <v>2336</v>
      </c>
      <c r="AC354" s="462" t="s">
        <v>2337</v>
      </c>
      <c r="AD354" s="464">
        <v>161.63799</v>
      </c>
      <c r="AE354" s="465">
        <v>6.62934</v>
      </c>
      <c r="AF354" s="86">
        <f>IF(verze!$E$1="CZK",AD354,IF(verze!$E$1="SK",AE354,""))</f>
        <v>6.62934</v>
      </c>
    </row>
    <row r="355" spans="1:32" ht="15">
      <c r="A355" s="130"/>
      <c r="B355" s="298">
        <v>9255069</v>
      </c>
      <c r="C355" s="216" t="s">
        <v>793</v>
      </c>
      <c r="D355" s="217">
        <v>10</v>
      </c>
      <c r="E355" s="391"/>
      <c r="F355" s="262"/>
      <c r="G355" s="272">
        <f t="shared" si="36"/>
        <v>27.299520000000001</v>
      </c>
      <c r="H355" s="141" t="str">
        <f t="shared" si="35"/>
        <v>EUR</v>
      </c>
      <c r="I355" s="409" t="s">
        <v>47</v>
      </c>
      <c r="J355" s="467" t="s">
        <v>14849</v>
      </c>
      <c r="L355" s="86" t="e">
        <f>VLOOKUP(B355,$B$11:B354,1,FALSE)</f>
        <v>#N/A</v>
      </c>
      <c r="M355" s="256">
        <f>G355*(1-FORM!$AE$28/100)</f>
        <v>27.299520000000001</v>
      </c>
      <c r="AA355" s="463" t="s">
        <v>2338</v>
      </c>
      <c r="AB355" s="462" t="s">
        <v>2339</v>
      </c>
      <c r="AC355" s="462" t="s">
        <v>2340</v>
      </c>
      <c r="AD355" s="464">
        <v>218.40900999999999</v>
      </c>
      <c r="AE355" s="465">
        <v>8.9577200000000001</v>
      </c>
      <c r="AF355" s="86">
        <f>IF(verze!$E$1="CZK",AD355,IF(verze!$E$1="SK",AE355,""))</f>
        <v>8.9577200000000001</v>
      </c>
    </row>
    <row r="356" spans="1:32" ht="15">
      <c r="A356" s="130"/>
      <c r="B356" s="298">
        <v>9255070</v>
      </c>
      <c r="C356" s="216" t="s">
        <v>794</v>
      </c>
      <c r="D356" s="217">
        <v>10</v>
      </c>
      <c r="E356" s="391"/>
      <c r="F356" s="262"/>
      <c r="G356" s="272">
        <f t="shared" si="36"/>
        <v>27.784199999999998</v>
      </c>
      <c r="H356" s="141" t="str">
        <f t="shared" si="35"/>
        <v>EUR</v>
      </c>
      <c r="I356" s="409" t="s">
        <v>47</v>
      </c>
      <c r="J356" s="467" t="s">
        <v>14852</v>
      </c>
      <c r="L356" s="86" t="e">
        <f>VLOOKUP(B356,$B$11:B355,1,FALSE)</f>
        <v>#N/A</v>
      </c>
      <c r="M356" s="256">
        <f>G356*(1-FORM!$AE$28/100)</f>
        <v>27.784199999999998</v>
      </c>
      <c r="AA356" s="463" t="s">
        <v>2341</v>
      </c>
      <c r="AB356" s="462" t="s">
        <v>2342</v>
      </c>
      <c r="AC356" s="462" t="s">
        <v>2343</v>
      </c>
      <c r="AD356" s="464">
        <v>184.56913</v>
      </c>
      <c r="AE356" s="465">
        <v>7.56982</v>
      </c>
      <c r="AF356" s="86">
        <f>IF(verze!$E$1="CZK",AD356,IF(verze!$E$1="SK",AE356,""))</f>
        <v>7.56982</v>
      </c>
    </row>
    <row r="357" spans="1:32" ht="15">
      <c r="A357" s="130"/>
      <c r="B357" s="298">
        <v>9255071</v>
      </c>
      <c r="C357" s="216" t="s">
        <v>795</v>
      </c>
      <c r="D357" s="217">
        <v>10</v>
      </c>
      <c r="E357" s="391"/>
      <c r="F357" s="262"/>
      <c r="G357" s="272">
        <f t="shared" si="36"/>
        <v>27.784199999999998</v>
      </c>
      <c r="H357" s="141" t="str">
        <f t="shared" si="35"/>
        <v>EUR</v>
      </c>
      <c r="I357" s="409" t="s">
        <v>47</v>
      </c>
      <c r="J357" s="467" t="s">
        <v>14855</v>
      </c>
      <c r="L357" s="86" t="e">
        <f>VLOOKUP(B357,$B$11:B356,1,FALSE)</f>
        <v>#N/A</v>
      </c>
      <c r="M357" s="256">
        <f>G357*(1-FORM!$AE$28/100)</f>
        <v>27.784199999999998</v>
      </c>
      <c r="AA357" s="463" t="s">
        <v>2344</v>
      </c>
      <c r="AB357" s="462" t="s">
        <v>2345</v>
      </c>
      <c r="AC357" s="462" t="s">
        <v>2346</v>
      </c>
      <c r="AD357" s="464">
        <v>35.141570000000002</v>
      </c>
      <c r="AE357" s="465">
        <v>1.4412799999999999</v>
      </c>
      <c r="AF357" s="86">
        <f>IF(verze!$E$1="CZK",AD357,IF(verze!$E$1="SK",AE357,""))</f>
        <v>1.4412799999999999</v>
      </c>
    </row>
    <row r="358" spans="1:32" ht="15">
      <c r="A358" s="130"/>
      <c r="B358" s="298">
        <v>9255072</v>
      </c>
      <c r="C358" s="216" t="s">
        <v>796</v>
      </c>
      <c r="D358" s="217">
        <v>10</v>
      </c>
      <c r="E358" s="391"/>
      <c r="F358" s="262"/>
      <c r="G358" s="272">
        <f t="shared" si="36"/>
        <v>26.922619999999998</v>
      </c>
      <c r="H358" s="141" t="str">
        <f t="shared" si="35"/>
        <v>EUR</v>
      </c>
      <c r="I358" s="409" t="s">
        <v>47</v>
      </c>
      <c r="J358" s="467" t="s">
        <v>14858</v>
      </c>
      <c r="L358" s="86" t="e">
        <f>VLOOKUP(B358,$B$11:B357,1,FALSE)</f>
        <v>#N/A</v>
      </c>
      <c r="M358" s="256">
        <f>G358*(1-FORM!$AE$28/100)</f>
        <v>26.922619999999998</v>
      </c>
      <c r="AA358" s="463" t="s">
        <v>2347</v>
      </c>
      <c r="AB358" s="462" t="s">
        <v>2348</v>
      </c>
      <c r="AC358" s="462" t="s">
        <v>2349</v>
      </c>
      <c r="AD358" s="464">
        <v>117.59599</v>
      </c>
      <c r="AE358" s="465">
        <v>4.8230199999999996</v>
      </c>
      <c r="AF358" s="86">
        <f>IF(verze!$E$1="CZK",AD358,IF(verze!$E$1="SK",AE358,""))</f>
        <v>4.8230199999999996</v>
      </c>
    </row>
    <row r="359" spans="1:32" ht="15">
      <c r="A359" s="130"/>
      <c r="B359" s="298">
        <v>9255073</v>
      </c>
      <c r="C359" s="216" t="s">
        <v>797</v>
      </c>
      <c r="D359" s="217">
        <v>10</v>
      </c>
      <c r="E359" s="391"/>
      <c r="F359" s="262"/>
      <c r="G359" s="272">
        <f t="shared" si="36"/>
        <v>26.922619999999998</v>
      </c>
      <c r="H359" s="141" t="str">
        <f t="shared" si="35"/>
        <v>EUR</v>
      </c>
      <c r="I359" s="409" t="s">
        <v>47</v>
      </c>
      <c r="J359" s="467" t="s">
        <v>14861</v>
      </c>
      <c r="L359" s="86" t="e">
        <f>VLOOKUP(B359,$B$11:B358,1,FALSE)</f>
        <v>#N/A</v>
      </c>
      <c r="M359" s="256">
        <f>G359*(1-FORM!$AE$28/100)</f>
        <v>26.922619999999998</v>
      </c>
      <c r="AA359" s="463" t="s">
        <v>2350</v>
      </c>
      <c r="AB359" s="462" t="s">
        <v>2351</v>
      </c>
      <c r="AC359" s="462" t="s">
        <v>2352</v>
      </c>
      <c r="AD359" s="464">
        <v>102.12626</v>
      </c>
      <c r="AE359" s="465">
        <v>4.1885599999999998</v>
      </c>
      <c r="AF359" s="86">
        <f>IF(verze!$E$1="CZK",AD359,IF(verze!$E$1="SK",AE359,""))</f>
        <v>4.1885599999999998</v>
      </c>
    </row>
    <row r="360" spans="1:32" ht="15">
      <c r="A360" s="130"/>
      <c r="B360" s="298">
        <v>9255074</v>
      </c>
      <c r="C360" s="216" t="s">
        <v>798</v>
      </c>
      <c r="D360" s="217">
        <v>10</v>
      </c>
      <c r="E360" s="391"/>
      <c r="F360" s="262"/>
      <c r="G360" s="272">
        <f t="shared" si="36"/>
        <v>28.753450000000001</v>
      </c>
      <c r="H360" s="141" t="str">
        <f t="shared" ref="H360:H378" si="37">IF(G360="","",$H$10)</f>
        <v>EUR</v>
      </c>
      <c r="I360" s="409" t="s">
        <v>47</v>
      </c>
      <c r="J360" s="467" t="s">
        <v>14864</v>
      </c>
      <c r="L360" s="86" t="e">
        <f>VLOOKUP(B360,$B$11:B359,1,FALSE)</f>
        <v>#N/A</v>
      </c>
      <c r="M360" s="256">
        <f>G360*(1-FORM!$AE$28/100)</f>
        <v>28.753450000000001</v>
      </c>
      <c r="AA360" s="463" t="s">
        <v>2353</v>
      </c>
      <c r="AB360" s="462" t="s">
        <v>2354</v>
      </c>
      <c r="AC360" s="462" t="s">
        <v>2355</v>
      </c>
      <c r="AD360" s="464">
        <v>29.939109999999999</v>
      </c>
      <c r="AE360" s="465">
        <v>1.2279</v>
      </c>
      <c r="AF360" s="86">
        <f>IF(verze!$E$1="CZK",AD360,IF(verze!$E$1="SK",AE360,""))</f>
        <v>1.2279</v>
      </c>
    </row>
    <row r="361" spans="1:32" ht="15">
      <c r="A361" s="130"/>
      <c r="B361" s="298">
        <v>9255075</v>
      </c>
      <c r="C361" s="216" t="s">
        <v>799</v>
      </c>
      <c r="D361" s="217">
        <v>10</v>
      </c>
      <c r="E361" s="391"/>
      <c r="F361" s="262"/>
      <c r="G361" s="272">
        <f t="shared" si="36"/>
        <v>28.753450000000001</v>
      </c>
      <c r="H361" s="141" t="str">
        <f>IF(G361="","",$H$10)</f>
        <v>EUR</v>
      </c>
      <c r="I361" s="409" t="s">
        <v>47</v>
      </c>
      <c r="J361" s="467" t="s">
        <v>14867</v>
      </c>
      <c r="L361" s="86" t="e">
        <f>VLOOKUP(B361,$B$11:B360,1,FALSE)</f>
        <v>#N/A</v>
      </c>
      <c r="M361" s="256">
        <f>G361*(1-FORM!$AE$28/100)</f>
        <v>28.753450000000001</v>
      </c>
      <c r="AA361" s="463" t="s">
        <v>2356</v>
      </c>
      <c r="AB361" s="462" t="s">
        <v>2357</v>
      </c>
      <c r="AC361" s="462" t="s">
        <v>2358</v>
      </c>
      <c r="AD361" s="464">
        <v>6.8456900000000003</v>
      </c>
      <c r="AE361" s="465">
        <v>0.28076000000000001</v>
      </c>
      <c r="AF361" s="86">
        <f>IF(verze!$E$1="CZK",AD361,IF(verze!$E$1="SK",AE361,""))</f>
        <v>0.28076000000000001</v>
      </c>
    </row>
    <row r="362" spans="1:32" ht="15">
      <c r="A362" s="130"/>
      <c r="B362" s="298">
        <v>9255076</v>
      </c>
      <c r="C362" s="216" t="s">
        <v>800</v>
      </c>
      <c r="D362" s="217">
        <v>10</v>
      </c>
      <c r="E362" s="391"/>
      <c r="F362" s="262"/>
      <c r="G362" s="272">
        <f t="shared" si="36"/>
        <v>29.484570000000001</v>
      </c>
      <c r="H362" s="141" t="str">
        <f>IF(G362="","",$H$10)</f>
        <v>EUR</v>
      </c>
      <c r="I362" s="409" t="s">
        <v>47</v>
      </c>
      <c r="J362" s="467" t="s">
        <v>14870</v>
      </c>
      <c r="L362" s="86" t="e">
        <f>VLOOKUP(B362,$B$11:B361,1,FALSE)</f>
        <v>#N/A</v>
      </c>
      <c r="M362" s="256">
        <f>G362*(1-FORM!$AE$28/100)</f>
        <v>29.484570000000001</v>
      </c>
      <c r="AA362" s="463" t="s">
        <v>2359</v>
      </c>
      <c r="AB362" s="462" t="s">
        <v>2360</v>
      </c>
      <c r="AC362" s="462" t="s">
        <v>2361</v>
      </c>
      <c r="AD362" s="464">
        <v>9.1157199999999996</v>
      </c>
      <c r="AE362" s="465">
        <v>0.37386000000000003</v>
      </c>
      <c r="AF362" s="86">
        <f>IF(verze!$E$1="CZK",AD362,IF(verze!$E$1="SK",AE362,""))</f>
        <v>0.37386000000000003</v>
      </c>
    </row>
    <row r="363" spans="1:32" ht="15">
      <c r="A363" s="130"/>
      <c r="B363" s="298">
        <v>9255077</v>
      </c>
      <c r="C363" s="216" t="s">
        <v>801</v>
      </c>
      <c r="D363" s="217">
        <v>10</v>
      </c>
      <c r="E363" s="391"/>
      <c r="F363" s="262"/>
      <c r="G363" s="272">
        <f t="shared" si="36"/>
        <v>29.484570000000001</v>
      </c>
      <c r="H363" s="141" t="str">
        <f t="shared" si="37"/>
        <v>EUR</v>
      </c>
      <c r="I363" s="409" t="s">
        <v>47</v>
      </c>
      <c r="J363" s="467" t="s">
        <v>14873</v>
      </c>
      <c r="L363" s="86" t="e">
        <f>VLOOKUP(B363,$B$11:B362,1,FALSE)</f>
        <v>#N/A</v>
      </c>
      <c r="M363" s="256">
        <f>G363*(1-FORM!$AE$28/100)</f>
        <v>29.484570000000001</v>
      </c>
      <c r="AA363" s="463" t="s">
        <v>2362</v>
      </c>
      <c r="AB363" s="462" t="s">
        <v>2363</v>
      </c>
      <c r="AC363" s="462" t="s">
        <v>2364</v>
      </c>
      <c r="AD363" s="464">
        <v>8.3434899999999992</v>
      </c>
      <c r="AE363" s="465">
        <v>0.3422</v>
      </c>
      <c r="AF363" s="86">
        <f>IF(verze!$E$1="CZK",AD363,IF(verze!$E$1="SK",AE363,""))</f>
        <v>0.3422</v>
      </c>
    </row>
    <row r="364" spans="1:32" ht="15">
      <c r="A364" s="130"/>
      <c r="B364" s="298">
        <v>9255078</v>
      </c>
      <c r="C364" s="216" t="s">
        <v>802</v>
      </c>
      <c r="D364" s="217">
        <v>10</v>
      </c>
      <c r="E364" s="391"/>
      <c r="F364" s="262"/>
      <c r="G364" s="272">
        <f t="shared" si="36"/>
        <v>30.47831</v>
      </c>
      <c r="H364" s="141" t="str">
        <f t="shared" si="37"/>
        <v>EUR</v>
      </c>
      <c r="I364" s="409" t="s">
        <v>47</v>
      </c>
      <c r="J364" s="467" t="s">
        <v>14876</v>
      </c>
      <c r="L364" s="86" t="e">
        <f>VLOOKUP(B364,$B$11:B363,1,FALSE)</f>
        <v>#N/A</v>
      </c>
      <c r="M364" s="256">
        <f>G364*(1-FORM!$AE$28/100)</f>
        <v>30.47831</v>
      </c>
      <c r="AA364" s="463" t="s">
        <v>2365</v>
      </c>
      <c r="AB364" s="462" t="s">
        <v>2366</v>
      </c>
      <c r="AC364" s="462" t="s">
        <v>2367</v>
      </c>
      <c r="AD364" s="464">
        <v>4.3894399999999996</v>
      </c>
      <c r="AE364" s="465">
        <v>0.21115999999999999</v>
      </c>
      <c r="AF364" s="86">
        <f>IF(verze!$E$1="CZK",AD364,IF(verze!$E$1="SK",AE364,""))</f>
        <v>0.21115999999999999</v>
      </c>
    </row>
    <row r="365" spans="1:32" ht="15">
      <c r="A365" s="130"/>
      <c r="B365" s="303">
        <v>9255079</v>
      </c>
      <c r="C365" s="304" t="s">
        <v>803</v>
      </c>
      <c r="D365" s="226">
        <v>10</v>
      </c>
      <c r="E365" s="396"/>
      <c r="F365" s="268"/>
      <c r="G365" s="272">
        <f t="shared" si="36"/>
        <v>30.47831</v>
      </c>
      <c r="H365" s="142" t="str">
        <f t="shared" si="37"/>
        <v>EUR</v>
      </c>
      <c r="I365" s="417" t="s">
        <v>47</v>
      </c>
      <c r="J365" s="468" t="s">
        <v>14879</v>
      </c>
      <c r="L365" s="86" t="e">
        <f>VLOOKUP(B365,$B$11:B364,1,FALSE)</f>
        <v>#N/A</v>
      </c>
      <c r="M365" s="256">
        <f>G365*(1-FORM!$AE$28/100)</f>
        <v>30.47831</v>
      </c>
      <c r="AA365" s="463" t="s">
        <v>2368</v>
      </c>
      <c r="AB365" s="462" t="s">
        <v>2369</v>
      </c>
      <c r="AC365" s="462" t="s">
        <v>2370</v>
      </c>
      <c r="AD365" s="464">
        <v>3.83717</v>
      </c>
      <c r="AE365" s="465">
        <v>0.18459</v>
      </c>
      <c r="AF365" s="86">
        <f>IF(verze!$E$1="CZK",AD365,IF(verze!$E$1="SK",AE365,""))</f>
        <v>0.18459</v>
      </c>
    </row>
    <row r="366" spans="1:32" ht="15">
      <c r="A366" s="137"/>
      <c r="B366" s="301">
        <v>9255146</v>
      </c>
      <c r="C366" s="222" t="s">
        <v>804</v>
      </c>
      <c r="D366" s="223">
        <v>10</v>
      </c>
      <c r="E366" s="395"/>
      <c r="F366" s="266"/>
      <c r="G366" s="272">
        <f t="shared" si="36"/>
        <v>26.814820000000001</v>
      </c>
      <c r="H366" s="211" t="str">
        <f t="shared" si="37"/>
        <v>EUR</v>
      </c>
      <c r="I366" s="416" t="s">
        <v>47</v>
      </c>
      <c r="J366" s="469" t="s">
        <v>15082</v>
      </c>
      <c r="L366" s="86" t="e">
        <f>VLOOKUP(B366,$B$11:B365,1,FALSE)</f>
        <v>#N/A</v>
      </c>
      <c r="M366" s="256">
        <f>G366*(1-FORM!$AE$28/100)</f>
        <v>26.814820000000001</v>
      </c>
      <c r="AA366" s="463" t="s">
        <v>2371</v>
      </c>
      <c r="AB366" s="462" t="s">
        <v>2372</v>
      </c>
      <c r="AC366" s="462" t="s">
        <v>2373</v>
      </c>
      <c r="AD366" s="464">
        <v>185.09356</v>
      </c>
      <c r="AE366" s="465">
        <v>8.9036600000000004</v>
      </c>
      <c r="AF366" s="86">
        <f>IF(verze!$E$1="CZK",AD366,IF(verze!$E$1="SK",AE366,""))</f>
        <v>8.9036600000000004</v>
      </c>
    </row>
    <row r="367" spans="1:32" ht="15">
      <c r="A367" s="137"/>
      <c r="B367" s="298">
        <v>9255147</v>
      </c>
      <c r="C367" s="216" t="s">
        <v>805</v>
      </c>
      <c r="D367" s="217">
        <v>10</v>
      </c>
      <c r="E367" s="391"/>
      <c r="F367" s="262"/>
      <c r="G367" s="272">
        <f t="shared" si="36"/>
        <v>26.814820000000001</v>
      </c>
      <c r="H367" s="141" t="str">
        <f t="shared" si="37"/>
        <v>EUR</v>
      </c>
      <c r="I367" s="409" t="s">
        <v>47</v>
      </c>
      <c r="J367" s="467" t="s">
        <v>15085</v>
      </c>
      <c r="L367" s="86" t="e">
        <f>VLOOKUP(B367,$B$11:B366,1,FALSE)</f>
        <v>#N/A</v>
      </c>
      <c r="M367" s="256">
        <f>G367*(1-FORM!$AE$28/100)</f>
        <v>26.814820000000001</v>
      </c>
      <c r="AA367" s="463" t="s">
        <v>2374</v>
      </c>
      <c r="AB367" s="462" t="s">
        <v>2375</v>
      </c>
      <c r="AC367" s="462" t="s">
        <v>2376</v>
      </c>
      <c r="AD367" s="464">
        <v>95.075590000000005</v>
      </c>
      <c r="AE367" s="465">
        <v>3.8261099999999999</v>
      </c>
      <c r="AF367" s="86">
        <f>IF(verze!$E$1="CZK",AD367,IF(verze!$E$1="SK",AE367,""))</f>
        <v>3.8261099999999999</v>
      </c>
    </row>
    <row r="368" spans="1:32" ht="15">
      <c r="A368" s="137"/>
      <c r="B368" s="298">
        <v>9255148</v>
      </c>
      <c r="C368" s="216" t="s">
        <v>806</v>
      </c>
      <c r="D368" s="217">
        <v>10</v>
      </c>
      <c r="E368" s="391"/>
      <c r="F368" s="262"/>
      <c r="G368" s="272">
        <f t="shared" si="36"/>
        <v>27.299520000000001</v>
      </c>
      <c r="H368" s="141" t="str">
        <f t="shared" si="37"/>
        <v>EUR</v>
      </c>
      <c r="I368" s="409" t="s">
        <v>47</v>
      </c>
      <c r="J368" s="467" t="s">
        <v>15088</v>
      </c>
      <c r="L368" s="86" t="e">
        <f>VLOOKUP(B368,$B$11:B367,1,FALSE)</f>
        <v>#N/A</v>
      </c>
      <c r="M368" s="256">
        <f>G368*(1-FORM!$AE$28/100)</f>
        <v>27.299520000000001</v>
      </c>
      <c r="AA368" s="463" t="s">
        <v>2377</v>
      </c>
      <c r="AB368" s="462" t="s">
        <v>2378</v>
      </c>
      <c r="AC368" s="462" t="s">
        <v>2379</v>
      </c>
      <c r="AD368" s="464">
        <v>249.17178000000001</v>
      </c>
      <c r="AE368" s="465">
        <v>10.03253</v>
      </c>
      <c r="AF368" s="86">
        <f>IF(verze!$E$1="CZK",AD368,IF(verze!$E$1="SK",AE368,""))</f>
        <v>10.03253</v>
      </c>
    </row>
    <row r="369" spans="1:32" ht="15">
      <c r="A369" s="137"/>
      <c r="B369" s="298">
        <v>9255149</v>
      </c>
      <c r="C369" s="216" t="s">
        <v>807</v>
      </c>
      <c r="D369" s="217">
        <v>10</v>
      </c>
      <c r="E369" s="391"/>
      <c r="F369" s="262"/>
      <c r="G369" s="272">
        <f t="shared" si="36"/>
        <v>27.299520000000001</v>
      </c>
      <c r="H369" s="141" t="str">
        <f t="shared" si="37"/>
        <v>EUR</v>
      </c>
      <c r="I369" s="409" t="s">
        <v>47</v>
      </c>
      <c r="J369" s="467" t="s">
        <v>15091</v>
      </c>
      <c r="L369" s="86" t="e">
        <f>VLOOKUP(B369,$B$11:B368,1,FALSE)</f>
        <v>#N/A</v>
      </c>
      <c r="M369" s="256">
        <f>G369*(1-FORM!$AE$28/100)</f>
        <v>27.299520000000001</v>
      </c>
      <c r="AA369" s="463" t="s">
        <v>2380</v>
      </c>
      <c r="AB369" s="462" t="s">
        <v>2381</v>
      </c>
      <c r="AC369" s="462" t="s">
        <v>2382</v>
      </c>
      <c r="AD369" s="464">
        <v>445.60768000000002</v>
      </c>
      <c r="AE369" s="465">
        <v>17.94181</v>
      </c>
      <c r="AF369" s="86">
        <f>IF(verze!$E$1="CZK",AD369,IF(verze!$E$1="SK",AE369,""))</f>
        <v>17.94181</v>
      </c>
    </row>
    <row r="370" spans="1:32" ht="15">
      <c r="A370" s="137"/>
      <c r="B370" s="298">
        <v>9255150</v>
      </c>
      <c r="C370" s="216" t="s">
        <v>808</v>
      </c>
      <c r="D370" s="217">
        <v>10</v>
      </c>
      <c r="E370" s="391"/>
      <c r="F370" s="262"/>
      <c r="G370" s="272">
        <f t="shared" si="36"/>
        <v>27.784199999999998</v>
      </c>
      <c r="H370" s="141" t="str">
        <f t="shared" si="37"/>
        <v>EUR</v>
      </c>
      <c r="I370" s="409" t="s">
        <v>47</v>
      </c>
      <c r="J370" s="467" t="s">
        <v>15094</v>
      </c>
      <c r="L370" s="86" t="e">
        <f>VLOOKUP(B370,$B$11:B369,1,FALSE)</f>
        <v>#N/A</v>
      </c>
      <c r="M370" s="256">
        <f>G370*(1-FORM!$AE$28/100)</f>
        <v>27.784199999999998</v>
      </c>
      <c r="AA370" s="463" t="s">
        <v>2383</v>
      </c>
      <c r="AB370" s="462" t="s">
        <v>2384</v>
      </c>
      <c r="AC370" s="462" t="s">
        <v>2385</v>
      </c>
      <c r="AD370" s="464">
        <v>701.65772000000004</v>
      </c>
      <c r="AE370" s="465">
        <v>28.25131</v>
      </c>
      <c r="AF370" s="86">
        <f>IF(verze!$E$1="CZK",AD370,IF(verze!$E$1="SK",AE370,""))</f>
        <v>28.25131</v>
      </c>
    </row>
    <row r="371" spans="1:32" ht="15">
      <c r="A371" s="137"/>
      <c r="B371" s="298">
        <v>9255151</v>
      </c>
      <c r="C371" s="216" t="s">
        <v>809</v>
      </c>
      <c r="D371" s="217">
        <v>10</v>
      </c>
      <c r="E371" s="391"/>
      <c r="F371" s="262"/>
      <c r="G371" s="272">
        <f t="shared" si="36"/>
        <v>27.784199999999998</v>
      </c>
      <c r="H371" s="141" t="str">
        <f t="shared" si="37"/>
        <v>EUR</v>
      </c>
      <c r="I371" s="409" t="s">
        <v>47</v>
      </c>
      <c r="J371" s="467" t="s">
        <v>15097</v>
      </c>
      <c r="L371" s="86" t="e">
        <f>VLOOKUP(B371,$B$11:B370,1,FALSE)</f>
        <v>#N/A</v>
      </c>
      <c r="M371" s="256">
        <f>G371*(1-FORM!$AE$28/100)</f>
        <v>27.784199999999998</v>
      </c>
      <c r="AA371" s="463" t="s">
        <v>2386</v>
      </c>
      <c r="AB371" s="462" t="s">
        <v>2387</v>
      </c>
      <c r="AC371" s="462" t="s">
        <v>2388</v>
      </c>
      <c r="AD371" s="464">
        <v>204.7167</v>
      </c>
      <c r="AE371" s="465">
        <v>9.8476099999999995</v>
      </c>
      <c r="AF371" s="86">
        <f>IF(verze!$E$1="CZK",AD371,IF(verze!$E$1="SK",AE371,""))</f>
        <v>9.8476099999999995</v>
      </c>
    </row>
    <row r="372" spans="1:32" ht="15">
      <c r="A372" s="137"/>
      <c r="B372" s="298">
        <v>9255152</v>
      </c>
      <c r="C372" s="216" t="s">
        <v>810</v>
      </c>
      <c r="D372" s="217">
        <v>10</v>
      </c>
      <c r="E372" s="391"/>
      <c r="F372" s="262"/>
      <c r="G372" s="272">
        <f t="shared" si="36"/>
        <v>26.922619999999998</v>
      </c>
      <c r="H372" s="141" t="str">
        <f t="shared" si="37"/>
        <v>EUR</v>
      </c>
      <c r="I372" s="409" t="s">
        <v>47</v>
      </c>
      <c r="J372" s="467" t="s">
        <v>15100</v>
      </c>
      <c r="L372" s="86" t="e">
        <f>VLOOKUP(B372,$B$11:B371,1,FALSE)</f>
        <v>#N/A</v>
      </c>
      <c r="M372" s="256">
        <f>G372*(1-FORM!$AE$28/100)</f>
        <v>26.922619999999998</v>
      </c>
      <c r="AA372" s="463" t="s">
        <v>2389</v>
      </c>
      <c r="AB372" s="462" t="s">
        <v>2390</v>
      </c>
      <c r="AC372" s="462" t="s">
        <v>2391</v>
      </c>
      <c r="AD372" s="464">
        <v>221.31809000000001</v>
      </c>
      <c r="AE372" s="465">
        <v>10.6462</v>
      </c>
      <c r="AF372" s="86">
        <f>IF(verze!$E$1="CZK",AD372,IF(verze!$E$1="SK",AE372,""))</f>
        <v>10.6462</v>
      </c>
    </row>
    <row r="373" spans="1:32" ht="15">
      <c r="A373" s="137"/>
      <c r="B373" s="298">
        <v>9255153</v>
      </c>
      <c r="C373" s="216" t="s">
        <v>811</v>
      </c>
      <c r="D373" s="217">
        <v>10</v>
      </c>
      <c r="E373" s="391"/>
      <c r="F373" s="262"/>
      <c r="G373" s="272">
        <f t="shared" si="36"/>
        <v>26.922619999999998</v>
      </c>
      <c r="H373" s="141" t="str">
        <f t="shared" si="37"/>
        <v>EUR</v>
      </c>
      <c r="I373" s="409" t="s">
        <v>47</v>
      </c>
      <c r="J373" s="467" t="s">
        <v>15103</v>
      </c>
      <c r="L373" s="86" t="e">
        <f>VLOOKUP(B373,$B$11:B372,1,FALSE)</f>
        <v>#N/A</v>
      </c>
      <c r="M373" s="256">
        <f>G373*(1-FORM!$AE$28/100)</f>
        <v>26.922619999999998</v>
      </c>
      <c r="AA373" s="463" t="s">
        <v>2392</v>
      </c>
      <c r="AB373" s="462" t="s">
        <v>2393</v>
      </c>
      <c r="AC373" s="462" t="s">
        <v>2394</v>
      </c>
      <c r="AD373" s="464">
        <v>265.57918000000001</v>
      </c>
      <c r="AE373" s="465">
        <v>12.775309999999999</v>
      </c>
      <c r="AF373" s="86">
        <f>IF(verze!$E$1="CZK",AD373,IF(verze!$E$1="SK",AE373,""))</f>
        <v>12.775309999999999</v>
      </c>
    </row>
    <row r="374" spans="1:32" ht="15">
      <c r="A374" s="137"/>
      <c r="B374" s="298">
        <v>9255154</v>
      </c>
      <c r="C374" s="216" t="s">
        <v>812</v>
      </c>
      <c r="D374" s="217">
        <v>10</v>
      </c>
      <c r="E374" s="391"/>
      <c r="F374" s="262"/>
      <c r="G374" s="272">
        <f t="shared" si="36"/>
        <v>28.753450000000001</v>
      </c>
      <c r="H374" s="141" t="str">
        <f t="shared" si="37"/>
        <v>EUR</v>
      </c>
      <c r="I374" s="409" t="s">
        <v>47</v>
      </c>
      <c r="J374" s="467" t="s">
        <v>15106</v>
      </c>
      <c r="L374" s="86" t="e">
        <f>VLOOKUP(B374,$B$11:B373,1,FALSE)</f>
        <v>#N/A</v>
      </c>
      <c r="M374" s="256">
        <f>G374*(1-FORM!$AE$28/100)</f>
        <v>28.753450000000001</v>
      </c>
      <c r="AA374" s="463" t="s">
        <v>2395</v>
      </c>
      <c r="AB374" s="462" t="s">
        <v>2396</v>
      </c>
      <c r="AC374" s="462" t="s">
        <v>2397</v>
      </c>
      <c r="AD374" s="464">
        <v>57.198720000000002</v>
      </c>
      <c r="AE374" s="465">
        <v>2.3601200000000002</v>
      </c>
      <c r="AF374" s="86">
        <f>IF(verze!$E$1="CZK",AD374,IF(verze!$E$1="SK",AE374,""))</f>
        <v>2.3601200000000002</v>
      </c>
    </row>
    <row r="375" spans="1:32" ht="15">
      <c r="A375" s="137"/>
      <c r="B375" s="298">
        <v>9255155</v>
      </c>
      <c r="C375" s="216" t="s">
        <v>813</v>
      </c>
      <c r="D375" s="217">
        <v>10</v>
      </c>
      <c r="E375" s="391"/>
      <c r="F375" s="262"/>
      <c r="G375" s="272">
        <f t="shared" si="36"/>
        <v>28.753450000000001</v>
      </c>
      <c r="H375" s="141" t="str">
        <f t="shared" si="37"/>
        <v>EUR</v>
      </c>
      <c r="I375" s="409" t="s">
        <v>47</v>
      </c>
      <c r="J375" s="467" t="s">
        <v>15109</v>
      </c>
      <c r="L375" s="86" t="e">
        <f>VLOOKUP(B375,$B$11:B374,1,FALSE)</f>
        <v>#N/A</v>
      </c>
      <c r="M375" s="256">
        <f>G375*(1-FORM!$AE$28/100)</f>
        <v>28.753450000000001</v>
      </c>
      <c r="AA375" s="463" t="s">
        <v>2398</v>
      </c>
      <c r="AB375" s="462" t="s">
        <v>2399</v>
      </c>
      <c r="AC375" s="462" t="s">
        <v>2400</v>
      </c>
      <c r="AD375" s="464">
        <v>62.463450000000002</v>
      </c>
      <c r="AE375" s="465">
        <v>2.5618599999999998</v>
      </c>
      <c r="AF375" s="86">
        <f>IF(verze!$E$1="CZK",AD375,IF(verze!$E$1="SK",AE375,""))</f>
        <v>2.5618599999999998</v>
      </c>
    </row>
    <row r="376" spans="1:32" ht="15">
      <c r="A376" s="137"/>
      <c r="B376" s="298">
        <v>9255156</v>
      </c>
      <c r="C376" s="216" t="s">
        <v>814</v>
      </c>
      <c r="D376" s="217">
        <v>10</v>
      </c>
      <c r="E376" s="391"/>
      <c r="F376" s="262"/>
      <c r="G376" s="272">
        <f t="shared" si="36"/>
        <v>29.484570000000001</v>
      </c>
      <c r="H376" s="141" t="str">
        <f t="shared" si="37"/>
        <v>EUR</v>
      </c>
      <c r="I376" s="409" t="s">
        <v>47</v>
      </c>
      <c r="J376" s="467" t="s">
        <v>15112</v>
      </c>
      <c r="L376" s="86" t="e">
        <f>VLOOKUP(B376,$B$11:B375,1,FALSE)</f>
        <v>#N/A</v>
      </c>
      <c r="M376" s="256">
        <f>G376*(1-FORM!$AE$28/100)</f>
        <v>29.484570000000001</v>
      </c>
      <c r="AA376" s="463" t="s">
        <v>2401</v>
      </c>
      <c r="AB376" s="462" t="s">
        <v>2402</v>
      </c>
      <c r="AC376" s="462" t="s">
        <v>2403</v>
      </c>
      <c r="AD376" s="464">
        <v>46.225999999999999</v>
      </c>
      <c r="AE376" s="465">
        <v>1.8958999999999999</v>
      </c>
      <c r="AF376" s="86">
        <f>IF(verze!$E$1="CZK",AD376,IF(verze!$E$1="SK",AE376,""))</f>
        <v>1.8958999999999999</v>
      </c>
    </row>
    <row r="377" spans="1:32" ht="15">
      <c r="A377" s="137"/>
      <c r="B377" s="298">
        <v>9255157</v>
      </c>
      <c r="C377" s="216" t="s">
        <v>815</v>
      </c>
      <c r="D377" s="217">
        <v>10</v>
      </c>
      <c r="E377" s="391"/>
      <c r="F377" s="262"/>
      <c r="G377" s="272">
        <f t="shared" si="36"/>
        <v>29.484570000000001</v>
      </c>
      <c r="H377" s="141" t="str">
        <f t="shared" si="37"/>
        <v>EUR</v>
      </c>
      <c r="I377" s="409" t="s">
        <v>47</v>
      </c>
      <c r="J377" s="467" t="s">
        <v>15115</v>
      </c>
      <c r="L377" s="86" t="e">
        <f>VLOOKUP(B377,$B$11:B376,1,FALSE)</f>
        <v>#N/A</v>
      </c>
      <c r="M377" s="256">
        <f>G377*(1-FORM!$AE$28/100)</f>
        <v>29.484570000000001</v>
      </c>
      <c r="AA377" s="463" t="s">
        <v>2404</v>
      </c>
      <c r="AB377" s="462" t="s">
        <v>2405</v>
      </c>
      <c r="AC377" s="462" t="s">
        <v>2406</v>
      </c>
      <c r="AD377" s="464">
        <v>63.98366</v>
      </c>
      <c r="AE377" s="465">
        <v>2.6242000000000001</v>
      </c>
      <c r="AF377" s="86">
        <f>IF(verze!$E$1="CZK",AD377,IF(verze!$E$1="SK",AE377,""))</f>
        <v>2.6242000000000001</v>
      </c>
    </row>
    <row r="378" spans="1:32" ht="15">
      <c r="A378" s="137"/>
      <c r="B378" s="298">
        <v>9255158</v>
      </c>
      <c r="C378" s="216" t="s">
        <v>816</v>
      </c>
      <c r="D378" s="217">
        <v>10</v>
      </c>
      <c r="E378" s="391"/>
      <c r="F378" s="262"/>
      <c r="G378" s="272">
        <f t="shared" si="36"/>
        <v>30.47831</v>
      </c>
      <c r="H378" s="141" t="str">
        <f t="shared" si="37"/>
        <v>EUR</v>
      </c>
      <c r="I378" s="409" t="s">
        <v>47</v>
      </c>
      <c r="J378" s="467" t="s">
        <v>15118</v>
      </c>
      <c r="L378" s="86" t="e">
        <f>VLOOKUP(B378,$B$11:B377,1,FALSE)</f>
        <v>#N/A</v>
      </c>
      <c r="M378" s="256">
        <f>G378*(1-FORM!$AE$28/100)</f>
        <v>30.47831</v>
      </c>
      <c r="AA378" s="463" t="s">
        <v>2407</v>
      </c>
      <c r="AB378" s="462" t="s">
        <v>2408</v>
      </c>
      <c r="AC378" s="462" t="s">
        <v>2409</v>
      </c>
      <c r="AD378" s="464">
        <v>101.88417</v>
      </c>
      <c r="AE378" s="465">
        <v>4.0758700000000001</v>
      </c>
      <c r="AF378" s="86">
        <f>IF(verze!$E$1="CZK",AD378,IF(verze!$E$1="SK",AE378,""))</f>
        <v>4.0758700000000001</v>
      </c>
    </row>
    <row r="379" spans="1:32" ht="15">
      <c r="A379" s="137"/>
      <c r="B379" s="303">
        <v>9255159</v>
      </c>
      <c r="C379" s="304" t="s">
        <v>817</v>
      </c>
      <c r="D379" s="226">
        <v>10</v>
      </c>
      <c r="E379" s="396"/>
      <c r="F379" s="268"/>
      <c r="G379" s="272">
        <f t="shared" si="36"/>
        <v>30.47831</v>
      </c>
      <c r="H379" s="142" t="str">
        <f t="shared" ref="H379:H396" si="38">IF(G379="","",$H$10)</f>
        <v>EUR</v>
      </c>
      <c r="I379" s="417" t="s">
        <v>47</v>
      </c>
      <c r="J379" s="468" t="s">
        <v>15121</v>
      </c>
      <c r="L379" s="86" t="e">
        <f>VLOOKUP(B379,$B$11:B378,1,FALSE)</f>
        <v>#N/A</v>
      </c>
      <c r="M379" s="256">
        <f>G379*(1-FORM!$AE$28/100)</f>
        <v>30.47831</v>
      </c>
      <c r="AA379" s="463" t="s">
        <v>2410</v>
      </c>
      <c r="AB379" s="462" t="s">
        <v>2411</v>
      </c>
      <c r="AC379" s="462" t="s">
        <v>2412</v>
      </c>
      <c r="AD379" s="464">
        <v>630.37163999999996</v>
      </c>
      <c r="AE379" s="465">
        <v>25.853760000000001</v>
      </c>
      <c r="AF379" s="86">
        <f>IF(verze!$E$1="CZK",AD379,IF(verze!$E$1="SK",AE379,""))</f>
        <v>25.853760000000001</v>
      </c>
    </row>
    <row r="380" spans="1:32" ht="15">
      <c r="A380" s="139"/>
      <c r="B380" s="301">
        <v>9255226</v>
      </c>
      <c r="C380" s="222" t="s">
        <v>818</v>
      </c>
      <c r="D380" s="223">
        <v>10</v>
      </c>
      <c r="E380" s="395"/>
      <c r="F380" s="266"/>
      <c r="G380" s="272">
        <f t="shared" si="36"/>
        <v>26.814820000000001</v>
      </c>
      <c r="H380" s="211" t="str">
        <f t="shared" si="38"/>
        <v>EUR</v>
      </c>
      <c r="I380" s="416" t="s">
        <v>47</v>
      </c>
      <c r="J380" s="469" t="s">
        <v>15328</v>
      </c>
      <c r="L380" s="86" t="e">
        <f>VLOOKUP(B380,$B$11:B379,1,FALSE)</f>
        <v>#N/A</v>
      </c>
      <c r="M380" s="256">
        <f>G380*(1-FORM!$AE$28/100)</f>
        <v>26.814820000000001</v>
      </c>
      <c r="AA380" s="463" t="s">
        <v>2413</v>
      </c>
      <c r="AB380" s="462" t="s">
        <v>2414</v>
      </c>
      <c r="AC380" s="462" t="s">
        <v>2415</v>
      </c>
      <c r="AD380" s="464">
        <v>12.8406</v>
      </c>
      <c r="AE380" s="465">
        <v>0.52664</v>
      </c>
      <c r="AF380" s="86">
        <f>IF(verze!$E$1="CZK",AD380,IF(verze!$E$1="SK",AE380,""))</f>
        <v>0.52664</v>
      </c>
    </row>
    <row r="381" spans="1:32" ht="15">
      <c r="A381" s="139"/>
      <c r="B381" s="298">
        <v>9255227</v>
      </c>
      <c r="C381" s="216" t="s">
        <v>819</v>
      </c>
      <c r="D381" s="217">
        <v>10</v>
      </c>
      <c r="E381" s="391"/>
      <c r="F381" s="262"/>
      <c r="G381" s="272">
        <f t="shared" si="36"/>
        <v>26.814820000000001</v>
      </c>
      <c r="H381" s="141" t="str">
        <f t="shared" si="38"/>
        <v>EUR</v>
      </c>
      <c r="I381" s="409" t="s">
        <v>47</v>
      </c>
      <c r="J381" s="467" t="s">
        <v>15331</v>
      </c>
      <c r="L381" s="86" t="e">
        <f>VLOOKUP(B381,$B$11:B380,1,FALSE)</f>
        <v>#N/A</v>
      </c>
      <c r="M381" s="256">
        <f>G381*(1-FORM!$AE$28/100)</f>
        <v>26.814820000000001</v>
      </c>
      <c r="AA381" s="463" t="s">
        <v>2416</v>
      </c>
      <c r="AB381" s="462" t="s">
        <v>2417</v>
      </c>
      <c r="AC381" s="462" t="s">
        <v>2418</v>
      </c>
      <c r="AD381" s="464">
        <v>7.4896799999999999</v>
      </c>
      <c r="AE381" s="465">
        <v>0.29963000000000001</v>
      </c>
      <c r="AF381" s="86">
        <f>IF(verze!$E$1="CZK",AD381,IF(verze!$E$1="SK",AE381,""))</f>
        <v>0.29963000000000001</v>
      </c>
    </row>
    <row r="382" spans="1:32" ht="15">
      <c r="A382" s="139"/>
      <c r="B382" s="298">
        <v>9255228</v>
      </c>
      <c r="C382" s="216" t="s">
        <v>820</v>
      </c>
      <c r="D382" s="217">
        <v>10</v>
      </c>
      <c r="E382" s="391"/>
      <c r="F382" s="262"/>
      <c r="G382" s="272">
        <f t="shared" si="36"/>
        <v>27.299520000000001</v>
      </c>
      <c r="H382" s="141" t="str">
        <f t="shared" si="38"/>
        <v>EUR</v>
      </c>
      <c r="I382" s="409" t="s">
        <v>47</v>
      </c>
      <c r="J382" s="467" t="s">
        <v>15334</v>
      </c>
      <c r="L382" s="86" t="e">
        <f>VLOOKUP(B382,$B$11:B381,1,FALSE)</f>
        <v>#N/A</v>
      </c>
      <c r="M382" s="256">
        <f>G382*(1-FORM!$AE$28/100)</f>
        <v>27.299520000000001</v>
      </c>
      <c r="AA382" s="463" t="s">
        <v>2419</v>
      </c>
      <c r="AB382" s="462" t="s">
        <v>2420</v>
      </c>
      <c r="AC382" s="462" t="s">
        <v>2421</v>
      </c>
      <c r="AD382" s="464">
        <v>7.4896799999999999</v>
      </c>
      <c r="AE382" s="465">
        <v>0.29963000000000001</v>
      </c>
      <c r="AF382" s="86">
        <f>IF(verze!$E$1="CZK",AD382,IF(verze!$E$1="SK",AE382,""))</f>
        <v>0.29963000000000001</v>
      </c>
    </row>
    <row r="383" spans="1:32" ht="15">
      <c r="A383" s="139"/>
      <c r="B383" s="298">
        <v>9255229</v>
      </c>
      <c r="C383" s="216" t="s">
        <v>821</v>
      </c>
      <c r="D383" s="217">
        <v>10</v>
      </c>
      <c r="E383" s="391"/>
      <c r="F383" s="262"/>
      <c r="G383" s="272">
        <f t="shared" si="36"/>
        <v>27.299520000000001</v>
      </c>
      <c r="H383" s="141" t="str">
        <f t="shared" si="38"/>
        <v>EUR</v>
      </c>
      <c r="I383" s="409" t="s">
        <v>47</v>
      </c>
      <c r="J383" s="467" t="s">
        <v>15337</v>
      </c>
      <c r="L383" s="86" t="e">
        <f>VLOOKUP(B383,$B$11:B382,1,FALSE)</f>
        <v>#N/A</v>
      </c>
      <c r="M383" s="256">
        <f>G383*(1-FORM!$AE$28/100)</f>
        <v>27.299520000000001</v>
      </c>
      <c r="AA383" s="463" t="s">
        <v>2422</v>
      </c>
      <c r="AB383" s="462" t="s">
        <v>2423</v>
      </c>
      <c r="AC383" s="462" t="s">
        <v>2424</v>
      </c>
      <c r="AD383" s="464">
        <v>8.80748</v>
      </c>
      <c r="AE383" s="465">
        <v>0.35233999999999999</v>
      </c>
      <c r="AF383" s="86">
        <f>IF(verze!$E$1="CZK",AD383,IF(verze!$E$1="SK",AE383,""))</f>
        <v>0.35233999999999999</v>
      </c>
    </row>
    <row r="384" spans="1:32" ht="15">
      <c r="A384" s="139"/>
      <c r="B384" s="298">
        <v>9255230</v>
      </c>
      <c r="C384" s="216" t="s">
        <v>822</v>
      </c>
      <c r="D384" s="217">
        <v>10</v>
      </c>
      <c r="E384" s="391"/>
      <c r="F384" s="262"/>
      <c r="G384" s="272">
        <f t="shared" si="36"/>
        <v>27.784199999999998</v>
      </c>
      <c r="H384" s="141" t="str">
        <f t="shared" si="38"/>
        <v>EUR</v>
      </c>
      <c r="I384" s="409" t="s">
        <v>47</v>
      </c>
      <c r="J384" s="467" t="s">
        <v>15340</v>
      </c>
      <c r="L384" s="86" t="e">
        <f>VLOOKUP(B384,$B$11:B383,1,FALSE)</f>
        <v>#N/A</v>
      </c>
      <c r="M384" s="256">
        <f>G384*(1-FORM!$AE$28/100)</f>
        <v>27.784199999999998</v>
      </c>
      <c r="AA384" s="463" t="s">
        <v>2425</v>
      </c>
      <c r="AB384" s="462" t="s">
        <v>2426</v>
      </c>
      <c r="AC384" s="462" t="s">
        <v>2427</v>
      </c>
      <c r="AD384" s="464">
        <v>8.7979099999999999</v>
      </c>
      <c r="AE384" s="465">
        <v>0</v>
      </c>
      <c r="AF384" s="86">
        <f>IF(verze!$E$1="CZK",AD384,IF(verze!$E$1="SK",AE384,""))</f>
        <v>0</v>
      </c>
    </row>
    <row r="385" spans="1:32" ht="15">
      <c r="A385" s="139"/>
      <c r="B385" s="298">
        <v>9255231</v>
      </c>
      <c r="C385" s="216" t="s">
        <v>823</v>
      </c>
      <c r="D385" s="217">
        <v>10</v>
      </c>
      <c r="E385" s="391"/>
      <c r="F385" s="262"/>
      <c r="G385" s="272">
        <f t="shared" si="36"/>
        <v>27.784199999999998</v>
      </c>
      <c r="H385" s="141" t="str">
        <f t="shared" si="38"/>
        <v>EUR</v>
      </c>
      <c r="I385" s="409" t="s">
        <v>47</v>
      </c>
      <c r="J385" s="467" t="s">
        <v>15343</v>
      </c>
      <c r="L385" s="86" t="e">
        <f>VLOOKUP(B385,$B$11:B384,1,FALSE)</f>
        <v>#N/A</v>
      </c>
      <c r="M385" s="256">
        <f>G385*(1-FORM!$AE$28/100)</f>
        <v>27.784199999999998</v>
      </c>
      <c r="AA385" s="463" t="s">
        <v>2428</v>
      </c>
      <c r="AB385" s="462" t="s">
        <v>2429</v>
      </c>
      <c r="AC385" s="462" t="s">
        <v>2430</v>
      </c>
      <c r="AD385" s="464">
        <v>8.5250599999999999</v>
      </c>
      <c r="AE385" s="465">
        <v>0.34105000000000002</v>
      </c>
      <c r="AF385" s="86">
        <f>IF(verze!$E$1="CZK",AD385,IF(verze!$E$1="SK",AE385,""))</f>
        <v>0.34105000000000002</v>
      </c>
    </row>
    <row r="386" spans="1:32" ht="15">
      <c r="A386" s="139"/>
      <c r="B386" s="298">
        <v>9255232</v>
      </c>
      <c r="C386" s="216" t="s">
        <v>824</v>
      </c>
      <c r="D386" s="217">
        <v>10</v>
      </c>
      <c r="E386" s="391"/>
      <c r="F386" s="262"/>
      <c r="G386" s="272">
        <f t="shared" si="36"/>
        <v>26.922619999999998</v>
      </c>
      <c r="H386" s="141" t="str">
        <f t="shared" si="38"/>
        <v>EUR</v>
      </c>
      <c r="I386" s="409" t="s">
        <v>47</v>
      </c>
      <c r="J386" s="467" t="s">
        <v>15346</v>
      </c>
      <c r="L386" s="86" t="e">
        <f>VLOOKUP(B386,$B$11:B385,1,FALSE)</f>
        <v>#N/A</v>
      </c>
      <c r="M386" s="256">
        <f>G386*(1-FORM!$AE$28/100)</f>
        <v>26.922619999999998</v>
      </c>
      <c r="AA386" s="463" t="s">
        <v>2431</v>
      </c>
      <c r="AB386" s="462" t="s">
        <v>2432</v>
      </c>
      <c r="AC386" s="462" t="s">
        <v>2433</v>
      </c>
      <c r="AD386" s="464">
        <v>48.137360000000001</v>
      </c>
      <c r="AE386" s="465">
        <v>2.3155899999999998</v>
      </c>
      <c r="AF386" s="86">
        <f>IF(verze!$E$1="CZK",AD386,IF(verze!$E$1="SK",AE386,""))</f>
        <v>2.3155899999999998</v>
      </c>
    </row>
    <row r="387" spans="1:32" ht="15">
      <c r="A387" s="139"/>
      <c r="B387" s="298">
        <v>9255233</v>
      </c>
      <c r="C387" s="216" t="s">
        <v>825</v>
      </c>
      <c r="D387" s="217">
        <v>10</v>
      </c>
      <c r="E387" s="391"/>
      <c r="F387" s="262"/>
      <c r="G387" s="272">
        <f t="shared" si="36"/>
        <v>26.922619999999998</v>
      </c>
      <c r="H387" s="141" t="str">
        <f t="shared" si="38"/>
        <v>EUR</v>
      </c>
      <c r="I387" s="409" t="s">
        <v>47</v>
      </c>
      <c r="J387" s="467" t="s">
        <v>15349</v>
      </c>
      <c r="L387" s="86" t="e">
        <f>VLOOKUP(B387,$B$11:B386,1,FALSE)</f>
        <v>#N/A</v>
      </c>
      <c r="M387" s="256">
        <f>G387*(1-FORM!$AE$28/100)</f>
        <v>26.922619999999998</v>
      </c>
      <c r="AA387" s="463" t="s">
        <v>2434</v>
      </c>
      <c r="AB387" s="462" t="s">
        <v>2435</v>
      </c>
      <c r="AC387" s="462" t="s">
        <v>2436</v>
      </c>
      <c r="AD387" s="464">
        <v>56.988399999999999</v>
      </c>
      <c r="AE387" s="465">
        <v>2.7413599999999998</v>
      </c>
      <c r="AF387" s="86">
        <f>IF(verze!$E$1="CZK",AD387,IF(verze!$E$1="SK",AE387,""))</f>
        <v>2.7413599999999998</v>
      </c>
    </row>
    <row r="388" spans="1:32" ht="15">
      <c r="A388" s="139"/>
      <c r="B388" s="298">
        <v>9255234</v>
      </c>
      <c r="C388" s="216" t="s">
        <v>826</v>
      </c>
      <c r="D388" s="217">
        <v>10</v>
      </c>
      <c r="E388" s="391"/>
      <c r="F388" s="262"/>
      <c r="G388" s="272">
        <f t="shared" si="36"/>
        <v>28.753450000000001</v>
      </c>
      <c r="H388" s="141" t="str">
        <f t="shared" si="38"/>
        <v>EUR</v>
      </c>
      <c r="I388" s="409" t="s">
        <v>47</v>
      </c>
      <c r="J388" s="467" t="s">
        <v>15352</v>
      </c>
      <c r="L388" s="86" t="e">
        <f>VLOOKUP(B388,$B$11:B387,1,FALSE)</f>
        <v>#N/A</v>
      </c>
      <c r="M388" s="256">
        <f>G388*(1-FORM!$AE$28/100)</f>
        <v>28.753450000000001</v>
      </c>
      <c r="AA388" s="463" t="s">
        <v>2437</v>
      </c>
      <c r="AB388" s="462" t="s">
        <v>2438</v>
      </c>
      <c r="AC388" s="462" t="s">
        <v>2439</v>
      </c>
      <c r="AD388" s="464">
        <v>66.937020000000004</v>
      </c>
      <c r="AE388" s="465">
        <v>3.21991</v>
      </c>
      <c r="AF388" s="86">
        <f>IF(verze!$E$1="CZK",AD388,IF(verze!$E$1="SK",AE388,""))</f>
        <v>3.21991</v>
      </c>
    </row>
    <row r="389" spans="1:32" ht="15">
      <c r="A389" s="139"/>
      <c r="B389" s="298">
        <v>9255235</v>
      </c>
      <c r="C389" s="216" t="s">
        <v>827</v>
      </c>
      <c r="D389" s="217">
        <v>10</v>
      </c>
      <c r="E389" s="391"/>
      <c r="F389" s="262"/>
      <c r="G389" s="272">
        <f t="shared" si="36"/>
        <v>28.753450000000001</v>
      </c>
      <c r="H389" s="141" t="str">
        <f t="shared" si="38"/>
        <v>EUR</v>
      </c>
      <c r="I389" s="409" t="s">
        <v>47</v>
      </c>
      <c r="J389" s="467" t="s">
        <v>15355</v>
      </c>
      <c r="L389" s="86" t="e">
        <f>VLOOKUP(B389,$B$11:B388,1,FALSE)</f>
        <v>#N/A</v>
      </c>
      <c r="M389" s="256">
        <f>G389*(1-FORM!$AE$28/100)</f>
        <v>28.753450000000001</v>
      </c>
      <c r="AA389" s="463" t="s">
        <v>2440</v>
      </c>
      <c r="AB389" s="462" t="s">
        <v>2441</v>
      </c>
      <c r="AC389" s="462" t="s">
        <v>2442</v>
      </c>
      <c r="AD389" s="464">
        <v>79.83587</v>
      </c>
      <c r="AE389" s="465">
        <v>3.8403999999999998</v>
      </c>
      <c r="AF389" s="86">
        <f>IF(verze!$E$1="CZK",AD389,IF(verze!$E$1="SK",AE389,""))</f>
        <v>3.8403999999999998</v>
      </c>
    </row>
    <row r="390" spans="1:32" ht="15">
      <c r="A390" s="139"/>
      <c r="B390" s="298">
        <v>9255236</v>
      </c>
      <c r="C390" s="216" t="s">
        <v>828</v>
      </c>
      <c r="D390" s="217">
        <v>10</v>
      </c>
      <c r="E390" s="391"/>
      <c r="F390" s="262"/>
      <c r="G390" s="272">
        <f t="shared" si="36"/>
        <v>29.484570000000001</v>
      </c>
      <c r="H390" s="141" t="str">
        <f t="shared" si="38"/>
        <v>EUR</v>
      </c>
      <c r="I390" s="409" t="s">
        <v>47</v>
      </c>
      <c r="J390" s="467" t="s">
        <v>15358</v>
      </c>
      <c r="L390" s="86" t="e">
        <f>VLOOKUP(B390,$B$11:B389,1,FALSE)</f>
        <v>#N/A</v>
      </c>
      <c r="M390" s="256">
        <f>G390*(1-FORM!$AE$28/100)</f>
        <v>29.484570000000001</v>
      </c>
      <c r="AA390" s="463" t="s">
        <v>2443</v>
      </c>
      <c r="AB390" s="462" t="s">
        <v>2444</v>
      </c>
      <c r="AC390" s="462" t="s">
        <v>2445</v>
      </c>
      <c r="AD390" s="464">
        <v>107.44832</v>
      </c>
      <c r="AE390" s="465">
        <v>5.1686500000000004</v>
      </c>
      <c r="AF390" s="86">
        <f>IF(verze!$E$1="CZK",AD390,IF(verze!$E$1="SK",AE390,""))</f>
        <v>5.1686500000000004</v>
      </c>
    </row>
    <row r="391" spans="1:32" ht="15">
      <c r="A391" s="139"/>
      <c r="B391" s="298">
        <v>9255237</v>
      </c>
      <c r="C391" s="216" t="s">
        <v>829</v>
      </c>
      <c r="D391" s="217">
        <v>10</v>
      </c>
      <c r="E391" s="391"/>
      <c r="F391" s="262"/>
      <c r="G391" s="272">
        <f t="shared" si="36"/>
        <v>29.484570000000001</v>
      </c>
      <c r="H391" s="141" t="str">
        <f t="shared" si="38"/>
        <v>EUR</v>
      </c>
      <c r="I391" s="409" t="s">
        <v>47</v>
      </c>
      <c r="J391" s="467" t="s">
        <v>15361</v>
      </c>
      <c r="L391" s="86" t="e">
        <f>VLOOKUP(B391,$B$11:B390,1,FALSE)</f>
        <v>#N/A</v>
      </c>
      <c r="M391" s="256">
        <f>G391*(1-FORM!$AE$28/100)</f>
        <v>29.484570000000001</v>
      </c>
      <c r="AA391" s="463" t="s">
        <v>2446</v>
      </c>
      <c r="AB391" s="462" t="s">
        <v>2447</v>
      </c>
      <c r="AC391" s="462" t="s">
        <v>2448</v>
      </c>
      <c r="AD391" s="464">
        <v>57.376249999999999</v>
      </c>
      <c r="AE391" s="465">
        <v>2.2953399999999999</v>
      </c>
      <c r="AF391" s="86">
        <f>IF(verze!$E$1="CZK",AD391,IF(verze!$E$1="SK",AE391,""))</f>
        <v>2.2953399999999999</v>
      </c>
    </row>
    <row r="392" spans="1:32" ht="15">
      <c r="A392" s="139"/>
      <c r="B392" s="298">
        <v>9255238</v>
      </c>
      <c r="C392" s="216" t="s">
        <v>830</v>
      </c>
      <c r="D392" s="217">
        <v>10</v>
      </c>
      <c r="E392" s="391"/>
      <c r="F392" s="262"/>
      <c r="G392" s="272">
        <f t="shared" si="36"/>
        <v>30.47831</v>
      </c>
      <c r="H392" s="141" t="str">
        <f t="shared" si="38"/>
        <v>EUR</v>
      </c>
      <c r="I392" s="409" t="s">
        <v>47</v>
      </c>
      <c r="J392" s="467" t="s">
        <v>15364</v>
      </c>
      <c r="L392" s="86" t="e">
        <f>VLOOKUP(B392,$B$11:B391,1,FALSE)</f>
        <v>#N/A</v>
      </c>
      <c r="M392" s="256">
        <f>G392*(1-FORM!$AE$28/100)</f>
        <v>30.47831</v>
      </c>
      <c r="AA392" s="463" t="s">
        <v>2449</v>
      </c>
      <c r="AB392" s="462" t="s">
        <v>2450</v>
      </c>
      <c r="AC392" s="462" t="s">
        <v>2451</v>
      </c>
      <c r="AD392" s="464">
        <v>398.73671999999999</v>
      </c>
      <c r="AE392" s="465">
        <v>16.353580000000001</v>
      </c>
      <c r="AF392" s="86">
        <f>IF(verze!$E$1="CZK",AD392,IF(verze!$E$1="SK",AE392,""))</f>
        <v>16.353580000000001</v>
      </c>
    </row>
    <row r="393" spans="1:32" ht="15">
      <c r="A393" s="139"/>
      <c r="B393" s="303">
        <v>9255239</v>
      </c>
      <c r="C393" s="304" t="s">
        <v>831</v>
      </c>
      <c r="D393" s="226">
        <v>10</v>
      </c>
      <c r="E393" s="396"/>
      <c r="F393" s="268"/>
      <c r="G393" s="272">
        <f t="shared" si="36"/>
        <v>30.47831</v>
      </c>
      <c r="H393" s="142" t="str">
        <f t="shared" si="38"/>
        <v>EUR</v>
      </c>
      <c r="I393" s="417" t="s">
        <v>47</v>
      </c>
      <c r="J393" s="468" t="s">
        <v>15367</v>
      </c>
      <c r="L393" s="86" t="e">
        <f>VLOOKUP(B393,$B$11:B392,1,FALSE)</f>
        <v>#N/A</v>
      </c>
      <c r="M393" s="256">
        <f>G393*(1-FORM!$AE$28/100)</f>
        <v>30.47831</v>
      </c>
      <c r="AA393" s="463" t="s">
        <v>2452</v>
      </c>
      <c r="AB393" s="462" t="s">
        <v>2453</v>
      </c>
      <c r="AC393" s="462" t="s">
        <v>2454</v>
      </c>
      <c r="AD393" s="464">
        <v>433.63458000000003</v>
      </c>
      <c r="AE393" s="465">
        <v>20.859380000000002</v>
      </c>
      <c r="AF393" s="86">
        <f>IF(verze!$E$1="CZK",AD393,IF(verze!$E$1="SK",AE393,""))</f>
        <v>20.859380000000002</v>
      </c>
    </row>
    <row r="394" spans="1:32" ht="15">
      <c r="B394" s="446">
        <v>9359507</v>
      </c>
      <c r="C394" s="357" t="s">
        <v>1302</v>
      </c>
      <c r="D394" s="358">
        <v>1</v>
      </c>
      <c r="E394" s="398"/>
      <c r="F394" s="359"/>
      <c r="G394" s="272">
        <f t="shared" si="36"/>
        <v>1.1493500000000001</v>
      </c>
      <c r="H394" s="444" t="str">
        <f t="shared" ref="H394:H395" si="39">IF(G394="","",$H$10)</f>
        <v>EUR</v>
      </c>
      <c r="I394" s="445" t="s">
        <v>47</v>
      </c>
      <c r="J394" s="469" t="s">
        <v>28244</v>
      </c>
      <c r="L394" s="86" t="e">
        <f>VLOOKUP(B394,$B$11:B391,1,FALSE)</f>
        <v>#N/A</v>
      </c>
      <c r="M394" s="256">
        <f>G394*(1-FORM!$AE$28/100)</f>
        <v>1.1493500000000001</v>
      </c>
      <c r="AA394" s="463" t="s">
        <v>2455</v>
      </c>
      <c r="AB394" s="462" t="s">
        <v>2456</v>
      </c>
      <c r="AC394" s="462" t="s">
        <v>2457</v>
      </c>
      <c r="AD394" s="464">
        <v>133.93958000000001</v>
      </c>
      <c r="AE394" s="465">
        <v>5.4933399999999999</v>
      </c>
      <c r="AF394" s="86">
        <f>IF(verze!$E$1="CZK",AD394,IF(verze!$E$1="SK",AE394,""))</f>
        <v>5.4933399999999999</v>
      </c>
    </row>
    <row r="395" spans="1:32" ht="15">
      <c r="B395" s="439">
        <v>9359508</v>
      </c>
      <c r="C395" s="218" t="s">
        <v>1303</v>
      </c>
      <c r="D395" s="219">
        <v>1</v>
      </c>
      <c r="E395" s="392"/>
      <c r="F395" s="263"/>
      <c r="G395" s="272">
        <f t="shared" si="36"/>
        <v>1.1493500000000001</v>
      </c>
      <c r="H395" s="133" t="str">
        <f t="shared" si="39"/>
        <v>EUR</v>
      </c>
      <c r="I395" s="411" t="s">
        <v>47</v>
      </c>
      <c r="J395" s="467" t="s">
        <v>28247</v>
      </c>
      <c r="L395" s="86" t="e">
        <f>VLOOKUP(B395,$B$11:B394,1,FALSE)</f>
        <v>#N/A</v>
      </c>
      <c r="M395" s="256">
        <f>G395*(1-FORM!$AE$28/100)</f>
        <v>1.1493500000000001</v>
      </c>
      <c r="AA395" s="463" t="s">
        <v>2458</v>
      </c>
      <c r="AB395" s="462" t="s">
        <v>2459</v>
      </c>
      <c r="AC395" s="462" t="s">
        <v>2460</v>
      </c>
      <c r="AD395" s="464">
        <v>37.960920000000002</v>
      </c>
      <c r="AE395" s="465">
        <v>1.5569200000000001</v>
      </c>
      <c r="AF395" s="86">
        <f>IF(verze!$E$1="CZK",AD395,IF(verze!$E$1="SK",AE395,""))</f>
        <v>1.5569200000000001</v>
      </c>
    </row>
    <row r="396" spans="1:32" ht="15">
      <c r="B396" s="299">
        <v>9257887</v>
      </c>
      <c r="C396" s="218" t="s">
        <v>832</v>
      </c>
      <c r="D396" s="219">
        <v>200</v>
      </c>
      <c r="E396" s="392"/>
      <c r="F396" s="263"/>
      <c r="G396" s="272">
        <f t="shared" si="36"/>
        <v>0.49959999999999999</v>
      </c>
      <c r="H396" s="133" t="str">
        <f t="shared" si="38"/>
        <v>EUR</v>
      </c>
      <c r="I396" s="411" t="s">
        <v>47</v>
      </c>
      <c r="J396" s="467" t="s">
        <v>16577</v>
      </c>
      <c r="L396" s="86" t="e">
        <f>VLOOKUP(B396,$B$11:B393,1,FALSE)</f>
        <v>#N/A</v>
      </c>
      <c r="M396" s="256">
        <f>G396*(1-FORM!$AE$28/100)</f>
        <v>0.49959999999999999</v>
      </c>
      <c r="AA396" s="463" t="s">
        <v>2461</v>
      </c>
      <c r="AB396" s="462" t="s">
        <v>2462</v>
      </c>
      <c r="AC396" s="462" t="s">
        <v>2463</v>
      </c>
      <c r="AD396" s="464">
        <v>4.4537599999999999</v>
      </c>
      <c r="AE396" s="465">
        <v>0.21424000000000001</v>
      </c>
      <c r="AF396" s="86">
        <f>IF(verze!$E$1="CZK",AD396,IF(verze!$E$1="SK",AE396,""))</f>
        <v>0.21424000000000001</v>
      </c>
    </row>
    <row r="397" spans="1:32" ht="15">
      <c r="B397" s="303">
        <v>9257888</v>
      </c>
      <c r="C397" s="304" t="s">
        <v>833</v>
      </c>
      <c r="D397" s="226">
        <v>200</v>
      </c>
      <c r="E397" s="396"/>
      <c r="F397" s="268"/>
      <c r="G397" s="272">
        <f t="shared" ref="G397:G460" si="40">VLOOKUP(J397,AB:AF,5,0)</f>
        <v>0.53683999999999998</v>
      </c>
      <c r="H397" s="142" t="str">
        <f t="shared" ref="H397:H410" si="41">IF(G397="","",$H$10)</f>
        <v>EUR</v>
      </c>
      <c r="I397" s="417" t="s">
        <v>47</v>
      </c>
      <c r="J397" s="468" t="s">
        <v>16580</v>
      </c>
      <c r="L397" s="86" t="e">
        <f>VLOOKUP(B397,$B$11:B396,1,FALSE)</f>
        <v>#N/A</v>
      </c>
      <c r="M397" s="256">
        <f>G397*(1-FORM!$AE$28/100)</f>
        <v>0.53683999999999998</v>
      </c>
      <c r="AA397" s="463" t="s">
        <v>2464</v>
      </c>
      <c r="AB397" s="462" t="s">
        <v>2465</v>
      </c>
      <c r="AC397" s="462" t="s">
        <v>2466</v>
      </c>
      <c r="AD397" s="464">
        <v>5.5658200000000004</v>
      </c>
      <c r="AE397" s="465">
        <v>0.26773000000000002</v>
      </c>
      <c r="AF397" s="86">
        <f>IF(verze!$E$1="CZK",AD397,IF(verze!$E$1="SK",AE397,""))</f>
        <v>0.26773000000000002</v>
      </c>
    </row>
    <row r="398" spans="1:32" ht="15">
      <c r="B398" s="302"/>
      <c r="C398" s="15"/>
      <c r="D398" s="221"/>
      <c r="E398" s="394"/>
      <c r="F398" s="265"/>
      <c r="G398" s="272"/>
      <c r="H398" s="136"/>
      <c r="I398" s="414" t="s">
        <v>47</v>
      </c>
      <c r="J398" s="470"/>
      <c r="L398" s="86" t="e">
        <f>VLOOKUP(B398,$B$11:B397,1,FALSE)</f>
        <v>#N/A</v>
      </c>
      <c r="M398" s="256">
        <f>G398*(1-FORM!$AE$28/100)</f>
        <v>0</v>
      </c>
      <c r="AA398" s="463" t="s">
        <v>2467</v>
      </c>
      <c r="AB398" s="462" t="s">
        <v>2468</v>
      </c>
      <c r="AC398" s="462" t="s">
        <v>2469</v>
      </c>
      <c r="AD398" s="464">
        <v>6.68058</v>
      </c>
      <c r="AE398" s="465">
        <v>0.32135999999999998</v>
      </c>
      <c r="AF398" s="86">
        <f>IF(verze!$E$1="CZK",AD398,IF(verze!$E$1="SK",AE398,""))</f>
        <v>0.32135999999999998</v>
      </c>
    </row>
    <row r="399" spans="1:32" ht="15">
      <c r="A399" s="130"/>
      <c r="B399" s="424">
        <v>9353283</v>
      </c>
      <c r="C399" s="222" t="s">
        <v>1279</v>
      </c>
      <c r="D399" s="223">
        <v>1</v>
      </c>
      <c r="E399" s="395"/>
      <c r="F399" s="266"/>
      <c r="G399" s="272">
        <f t="shared" si="40"/>
        <v>40.415970000000002</v>
      </c>
      <c r="H399" s="211" t="str">
        <f t="shared" si="41"/>
        <v>EUR</v>
      </c>
      <c r="I399" s="416" t="s">
        <v>47</v>
      </c>
      <c r="J399" s="469" t="s">
        <v>20353</v>
      </c>
      <c r="L399" s="86" t="e">
        <f>VLOOKUP(B399,$B$11:B398,1,FALSE)</f>
        <v>#N/A</v>
      </c>
      <c r="M399" s="256">
        <f>G399*(1-FORM!$AE$28/100)</f>
        <v>40.415970000000002</v>
      </c>
      <c r="AA399" s="463" t="s">
        <v>2470</v>
      </c>
      <c r="AB399" s="462" t="s">
        <v>2471</v>
      </c>
      <c r="AC399" s="462" t="s">
        <v>2472</v>
      </c>
      <c r="AD399" s="464">
        <v>27.07264</v>
      </c>
      <c r="AE399" s="465">
        <v>1.08304</v>
      </c>
      <c r="AF399" s="86">
        <f>IF(verze!$E$1="CZK",AD399,IF(verze!$E$1="SK",AE399,""))</f>
        <v>1.08304</v>
      </c>
    </row>
    <row r="400" spans="1:32" ht="15">
      <c r="A400" s="130"/>
      <c r="B400" s="425">
        <v>9353284</v>
      </c>
      <c r="C400" s="216" t="s">
        <v>1280</v>
      </c>
      <c r="D400" s="217">
        <v>1</v>
      </c>
      <c r="E400" s="391"/>
      <c r="F400" s="262"/>
      <c r="G400" s="272">
        <f t="shared" si="40"/>
        <v>40.990609999999997</v>
      </c>
      <c r="H400" s="141" t="str">
        <f t="shared" si="41"/>
        <v>EUR</v>
      </c>
      <c r="I400" s="409" t="s">
        <v>47</v>
      </c>
      <c r="J400" s="467" t="s">
        <v>20356</v>
      </c>
      <c r="L400" s="86" t="e">
        <f>VLOOKUP(B400,$B$11:B399,1,FALSE)</f>
        <v>#N/A</v>
      </c>
      <c r="M400" s="256">
        <f>G400*(1-FORM!$AE$28/100)</f>
        <v>40.990609999999997</v>
      </c>
      <c r="AA400" s="463" t="s">
        <v>2470</v>
      </c>
      <c r="AB400" s="462" t="s">
        <v>2473</v>
      </c>
      <c r="AC400" s="462" t="s">
        <v>2474</v>
      </c>
      <c r="AD400" s="464">
        <v>10.261049999999999</v>
      </c>
      <c r="AE400" s="465">
        <v>0.41161999999999999</v>
      </c>
      <c r="AF400" s="86">
        <f>IF(verze!$E$1="CZK",AD400,IF(verze!$E$1="SK",AE400,""))</f>
        <v>0.41161999999999999</v>
      </c>
    </row>
    <row r="401" spans="1:32" ht="15">
      <c r="A401" s="130"/>
      <c r="B401" s="425">
        <v>9353285</v>
      </c>
      <c r="C401" s="216" t="s">
        <v>1281</v>
      </c>
      <c r="D401" s="217">
        <v>1</v>
      </c>
      <c r="E401" s="391"/>
      <c r="F401" s="262"/>
      <c r="G401" s="272">
        <f t="shared" si="40"/>
        <v>39.585979999999999</v>
      </c>
      <c r="H401" s="141" t="str">
        <f t="shared" si="41"/>
        <v>EUR</v>
      </c>
      <c r="I401" s="409" t="s">
        <v>47</v>
      </c>
      <c r="J401" s="467" t="s">
        <v>20359</v>
      </c>
      <c r="L401" s="86" t="e">
        <f>VLOOKUP(B401,$B$11:B400,1,FALSE)</f>
        <v>#N/A</v>
      </c>
      <c r="M401" s="256">
        <f>G401*(1-FORM!$AE$28/100)</f>
        <v>39.585979999999999</v>
      </c>
      <c r="AA401" s="463" t="s">
        <v>2475</v>
      </c>
      <c r="AB401" s="462" t="s">
        <v>2476</v>
      </c>
      <c r="AC401" s="462" t="s">
        <v>2477</v>
      </c>
      <c r="AD401" s="464">
        <v>1.09032</v>
      </c>
      <c r="AE401" s="465">
        <v>4.4720000000000003E-2</v>
      </c>
      <c r="AF401" s="86">
        <f>IF(verze!$E$1="CZK",AD401,IF(verze!$E$1="SK",AE401,""))</f>
        <v>4.4720000000000003E-2</v>
      </c>
    </row>
    <row r="402" spans="1:32" ht="15">
      <c r="A402" s="130"/>
      <c r="B402" s="425">
        <v>9353286</v>
      </c>
      <c r="C402" s="216" t="s">
        <v>1282</v>
      </c>
      <c r="D402" s="217">
        <v>1</v>
      </c>
      <c r="E402" s="391"/>
      <c r="F402" s="262"/>
      <c r="G402" s="272">
        <f t="shared" si="40"/>
        <v>40.13326</v>
      </c>
      <c r="H402" s="141" t="str">
        <f t="shared" si="41"/>
        <v>EUR</v>
      </c>
      <c r="I402" s="409" t="s">
        <v>47</v>
      </c>
      <c r="J402" s="467" t="s">
        <v>20362</v>
      </c>
      <c r="L402" s="86" t="e">
        <f>VLOOKUP(B402,$B$11:B401,1,FALSE)</f>
        <v>#N/A</v>
      </c>
      <c r="M402" s="256">
        <f>G402*(1-FORM!$AE$28/100)</f>
        <v>40.13326</v>
      </c>
      <c r="AA402" s="463" t="s">
        <v>2478</v>
      </c>
      <c r="AB402" s="462" t="s">
        <v>2479</v>
      </c>
      <c r="AC402" s="462" t="s">
        <v>2480</v>
      </c>
      <c r="AD402" s="464">
        <v>1.25776</v>
      </c>
      <c r="AE402" s="465">
        <v>6.0499999999999998E-2</v>
      </c>
      <c r="AF402" s="86">
        <f>IF(verze!$E$1="CZK",AD402,IF(verze!$E$1="SK",AE402,""))</f>
        <v>6.0499999999999998E-2</v>
      </c>
    </row>
    <row r="403" spans="1:32" ht="15">
      <c r="A403" s="130"/>
      <c r="B403" s="425">
        <v>9353287</v>
      </c>
      <c r="C403" s="216" t="s">
        <v>1283</v>
      </c>
      <c r="D403" s="217">
        <v>1</v>
      </c>
      <c r="E403" s="391"/>
      <c r="F403" s="262"/>
      <c r="G403" s="272">
        <f t="shared" si="40"/>
        <v>42.714669999999998</v>
      </c>
      <c r="H403" s="141" t="str">
        <f t="shared" si="41"/>
        <v>EUR</v>
      </c>
      <c r="I403" s="409" t="s">
        <v>47</v>
      </c>
      <c r="J403" s="467" t="s">
        <v>20365</v>
      </c>
      <c r="L403" s="86" t="e">
        <f>VLOOKUP(B403,$B$11:B402,1,FALSE)</f>
        <v>#N/A</v>
      </c>
      <c r="M403" s="256">
        <f>G403*(1-FORM!$AE$28/100)</f>
        <v>42.714669999999998</v>
      </c>
      <c r="AA403" s="463" t="s">
        <v>2481</v>
      </c>
      <c r="AB403" s="462" t="s">
        <v>2482</v>
      </c>
      <c r="AC403" s="462" t="s">
        <v>2483</v>
      </c>
      <c r="AD403" s="464">
        <v>1.1792899999999999</v>
      </c>
      <c r="AE403" s="465">
        <v>5.672E-2</v>
      </c>
      <c r="AF403" s="86">
        <f>IF(verze!$E$1="CZK",AD403,IF(verze!$E$1="SK",AE403,""))</f>
        <v>5.672E-2</v>
      </c>
    </row>
    <row r="404" spans="1:32" ht="15">
      <c r="A404" s="130"/>
      <c r="B404" s="425">
        <v>9353288</v>
      </c>
      <c r="C404" s="216" t="s">
        <v>1284</v>
      </c>
      <c r="D404" s="217">
        <v>1</v>
      </c>
      <c r="E404" s="391"/>
      <c r="F404" s="262"/>
      <c r="G404" s="272">
        <f t="shared" si="40"/>
        <v>43.581359999999997</v>
      </c>
      <c r="H404" s="141" t="str">
        <f t="shared" si="41"/>
        <v>EUR</v>
      </c>
      <c r="I404" s="409" t="s">
        <v>47</v>
      </c>
      <c r="J404" s="467" t="s">
        <v>20368</v>
      </c>
      <c r="L404" s="86" t="e">
        <f>VLOOKUP(B404,$B$11:B403,1,FALSE)</f>
        <v>#N/A</v>
      </c>
      <c r="M404" s="256">
        <f>G404*(1-FORM!$AE$28/100)</f>
        <v>43.581359999999997</v>
      </c>
      <c r="AA404" s="463" t="s">
        <v>2484</v>
      </c>
      <c r="AB404" s="462" t="s">
        <v>2485</v>
      </c>
      <c r="AC404" s="462" t="s">
        <v>2486</v>
      </c>
      <c r="AD404" s="464">
        <v>1.49135</v>
      </c>
      <c r="AE404" s="465">
        <v>7.1739999999999998E-2</v>
      </c>
      <c r="AF404" s="86">
        <f>IF(verze!$E$1="CZK",AD404,IF(verze!$E$1="SK",AE404,""))</f>
        <v>7.1739999999999998E-2</v>
      </c>
    </row>
    <row r="405" spans="1:32" ht="15">
      <c r="A405" s="130"/>
      <c r="B405" s="426">
        <v>9353289</v>
      </c>
      <c r="C405" s="304" t="s">
        <v>1285</v>
      </c>
      <c r="D405" s="226">
        <v>1</v>
      </c>
      <c r="E405" s="396"/>
      <c r="F405" s="268"/>
      <c r="G405" s="272">
        <f t="shared" si="40"/>
        <v>44.76003</v>
      </c>
      <c r="H405" s="142" t="str">
        <f t="shared" si="41"/>
        <v>EUR</v>
      </c>
      <c r="I405" s="417" t="s">
        <v>47</v>
      </c>
      <c r="J405" s="468" t="s">
        <v>20371</v>
      </c>
      <c r="L405" s="86" t="e">
        <f>VLOOKUP(B405,$B$11:B404,1,FALSE)</f>
        <v>#N/A</v>
      </c>
      <c r="M405" s="256">
        <f>G405*(1-FORM!$AE$28/100)</f>
        <v>44.76003</v>
      </c>
      <c r="AA405" s="463" t="s">
        <v>2487</v>
      </c>
      <c r="AB405" s="462" t="s">
        <v>2488</v>
      </c>
      <c r="AC405" s="462" t="s">
        <v>2489</v>
      </c>
      <c r="AD405" s="464">
        <v>123.63611</v>
      </c>
      <c r="AE405" s="465">
        <v>5.9473500000000001</v>
      </c>
      <c r="AF405" s="86">
        <f>IF(verze!$E$1="CZK",AD405,IF(verze!$E$1="SK",AE405,""))</f>
        <v>5.9473500000000001</v>
      </c>
    </row>
    <row r="406" spans="1:32" ht="15">
      <c r="A406" s="137"/>
      <c r="B406" s="424">
        <v>9353290</v>
      </c>
      <c r="C406" s="222" t="s">
        <v>1286</v>
      </c>
      <c r="D406" s="223">
        <v>1</v>
      </c>
      <c r="E406" s="395"/>
      <c r="F406" s="266"/>
      <c r="G406" s="272">
        <f t="shared" si="40"/>
        <v>40.415970000000002</v>
      </c>
      <c r="H406" s="211" t="str">
        <f t="shared" si="41"/>
        <v>EUR</v>
      </c>
      <c r="I406" s="416" t="s">
        <v>47</v>
      </c>
      <c r="J406" s="469" t="s">
        <v>20374</v>
      </c>
      <c r="L406" s="86" t="e">
        <f>VLOOKUP(B406,$B$11:B405,1,FALSE)</f>
        <v>#N/A</v>
      </c>
      <c r="M406" s="256">
        <f>G406*(1-FORM!$AE$28/100)</f>
        <v>40.415970000000002</v>
      </c>
      <c r="AA406" s="463" t="s">
        <v>2490</v>
      </c>
      <c r="AB406" s="462" t="s">
        <v>2491</v>
      </c>
      <c r="AC406" s="462" t="s">
        <v>2492</v>
      </c>
      <c r="AD406" s="464">
        <v>20.103439999999999</v>
      </c>
      <c r="AE406" s="465">
        <v>0.96704999999999997</v>
      </c>
      <c r="AF406" s="86">
        <f>IF(verze!$E$1="CZK",AD406,IF(verze!$E$1="SK",AE406,""))</f>
        <v>0.96704999999999997</v>
      </c>
    </row>
    <row r="407" spans="1:32" ht="15">
      <c r="A407" s="137"/>
      <c r="B407" s="425">
        <v>9353291</v>
      </c>
      <c r="C407" s="216" t="s">
        <v>1287</v>
      </c>
      <c r="D407" s="217">
        <v>1</v>
      </c>
      <c r="E407" s="391"/>
      <c r="F407" s="262"/>
      <c r="G407" s="272">
        <f t="shared" si="40"/>
        <v>40.990609999999997</v>
      </c>
      <c r="H407" s="141" t="str">
        <f t="shared" si="41"/>
        <v>EUR</v>
      </c>
      <c r="I407" s="409" t="s">
        <v>47</v>
      </c>
      <c r="J407" s="467" t="s">
        <v>20377</v>
      </c>
      <c r="L407" s="86" t="e">
        <f>VLOOKUP(B407,$B$11:B406,1,FALSE)</f>
        <v>#N/A</v>
      </c>
      <c r="M407" s="256">
        <f>G407*(1-FORM!$AE$28/100)</f>
        <v>40.990609999999997</v>
      </c>
      <c r="AA407" s="463" t="s">
        <v>2493</v>
      </c>
      <c r="AB407" s="462" t="s">
        <v>2494</v>
      </c>
      <c r="AC407" s="462" t="s">
        <v>2495</v>
      </c>
      <c r="AD407" s="464">
        <v>118.43994000000001</v>
      </c>
      <c r="AE407" s="465">
        <v>5.6973799999999999</v>
      </c>
      <c r="AF407" s="86">
        <f>IF(verze!$E$1="CZK",AD407,IF(verze!$E$1="SK",AE407,""))</f>
        <v>5.6973799999999999</v>
      </c>
    </row>
    <row r="408" spans="1:32" ht="15">
      <c r="A408" s="137"/>
      <c r="B408" s="425">
        <v>9353292</v>
      </c>
      <c r="C408" s="216" t="s">
        <v>1288</v>
      </c>
      <c r="D408" s="217">
        <v>1</v>
      </c>
      <c r="E408" s="391"/>
      <c r="F408" s="262"/>
      <c r="G408" s="272">
        <f t="shared" si="40"/>
        <v>39.585979999999999</v>
      </c>
      <c r="H408" s="141" t="str">
        <f t="shared" si="41"/>
        <v>EUR</v>
      </c>
      <c r="I408" s="409" t="s">
        <v>47</v>
      </c>
      <c r="J408" s="467" t="s">
        <v>20380</v>
      </c>
      <c r="L408" s="86" t="e">
        <f>VLOOKUP(B408,$B$11:B407,1,FALSE)</f>
        <v>#N/A</v>
      </c>
      <c r="M408" s="256">
        <f>G408*(1-FORM!$AE$28/100)</f>
        <v>39.585979999999999</v>
      </c>
      <c r="AA408" s="463" t="s">
        <v>2496</v>
      </c>
      <c r="AB408" s="462" t="s">
        <v>2497</v>
      </c>
      <c r="AC408" s="462" t="s">
        <v>2498</v>
      </c>
      <c r="AD408" s="464">
        <v>210.21943999999999</v>
      </c>
      <c r="AE408" s="465">
        <v>9.6307799999999997</v>
      </c>
      <c r="AF408" s="86">
        <f>IF(verze!$E$1="CZK",AD408,IF(verze!$E$1="SK",AE408,""))</f>
        <v>9.6307799999999997</v>
      </c>
    </row>
    <row r="409" spans="1:32" ht="15">
      <c r="A409" s="137"/>
      <c r="B409" s="425">
        <v>9353293</v>
      </c>
      <c r="C409" s="216" t="s">
        <v>1289</v>
      </c>
      <c r="D409" s="217">
        <v>1</v>
      </c>
      <c r="E409" s="391"/>
      <c r="F409" s="262"/>
      <c r="G409" s="272">
        <f t="shared" si="40"/>
        <v>40.13326</v>
      </c>
      <c r="H409" s="141" t="str">
        <f t="shared" si="41"/>
        <v>EUR</v>
      </c>
      <c r="I409" s="409" t="s">
        <v>47</v>
      </c>
      <c r="J409" s="467" t="s">
        <v>20383</v>
      </c>
      <c r="L409" s="86" t="e">
        <f>VLOOKUP(B409,$B$11:B408,1,FALSE)</f>
        <v>#N/A</v>
      </c>
      <c r="M409" s="256">
        <f>G409*(1-FORM!$AE$28/100)</f>
        <v>40.13326</v>
      </c>
      <c r="AA409" s="463" t="s">
        <v>2499</v>
      </c>
      <c r="AB409" s="462" t="s">
        <v>2500</v>
      </c>
      <c r="AC409" s="462" t="s">
        <v>2501</v>
      </c>
      <c r="AD409" s="464">
        <v>66.338660000000004</v>
      </c>
      <c r="AE409" s="465">
        <v>3.1911399999999999</v>
      </c>
      <c r="AF409" s="86">
        <f>IF(verze!$E$1="CZK",AD409,IF(verze!$E$1="SK",AE409,""))</f>
        <v>3.1911399999999999</v>
      </c>
    </row>
    <row r="410" spans="1:32" ht="15">
      <c r="A410" s="137"/>
      <c r="B410" s="425">
        <v>9353294</v>
      </c>
      <c r="C410" s="216" t="s">
        <v>1290</v>
      </c>
      <c r="D410" s="217">
        <v>1</v>
      </c>
      <c r="E410" s="391"/>
      <c r="F410" s="262"/>
      <c r="G410" s="272">
        <f t="shared" si="40"/>
        <v>42.714669999999998</v>
      </c>
      <c r="H410" s="141" t="str">
        <f t="shared" si="41"/>
        <v>EUR</v>
      </c>
      <c r="I410" s="409" t="s">
        <v>47</v>
      </c>
      <c r="J410" s="467" t="s">
        <v>20386</v>
      </c>
      <c r="L410" s="86" t="e">
        <f>VLOOKUP(B410,$B$11:B409,1,FALSE)</f>
        <v>#N/A</v>
      </c>
      <c r="M410" s="256">
        <f>G410*(1-FORM!$AE$28/100)</f>
        <v>42.714669999999998</v>
      </c>
      <c r="AA410" s="463" t="s">
        <v>2502</v>
      </c>
      <c r="AB410" s="462" t="s">
        <v>2503</v>
      </c>
      <c r="AC410" s="462" t="s">
        <v>2504</v>
      </c>
      <c r="AD410" s="464">
        <v>41.176470000000002</v>
      </c>
      <c r="AE410" s="465">
        <v>1.9807399999999999</v>
      </c>
      <c r="AF410" s="86">
        <f>IF(verze!$E$1="CZK",AD410,IF(verze!$E$1="SK",AE410,""))</f>
        <v>1.9807399999999999</v>
      </c>
    </row>
    <row r="411" spans="1:32" ht="15">
      <c r="A411" s="137"/>
      <c r="B411" s="425">
        <v>9353295</v>
      </c>
      <c r="C411" s="216" t="s">
        <v>1291</v>
      </c>
      <c r="D411" s="217">
        <v>1</v>
      </c>
      <c r="E411" s="391"/>
      <c r="F411" s="262"/>
      <c r="G411" s="272">
        <f t="shared" si="40"/>
        <v>43.581359999999997</v>
      </c>
      <c r="H411" s="141" t="str">
        <f>IF(G411="","",$H$10)</f>
        <v>EUR</v>
      </c>
      <c r="I411" s="409" t="s">
        <v>47</v>
      </c>
      <c r="J411" s="467" t="s">
        <v>20389</v>
      </c>
      <c r="L411" s="86" t="e">
        <f>VLOOKUP(B411,$B$11:B410,1,FALSE)</f>
        <v>#N/A</v>
      </c>
      <c r="M411" s="256">
        <f>G411*(1-FORM!$AE$28/100)</f>
        <v>43.581359999999997</v>
      </c>
      <c r="AA411" s="463" t="s">
        <v>2505</v>
      </c>
      <c r="AB411" s="462" t="s">
        <v>2506</v>
      </c>
      <c r="AC411" s="462" t="s">
        <v>2507</v>
      </c>
      <c r="AD411" s="464">
        <v>1372.95598</v>
      </c>
      <c r="AE411" s="465">
        <v>54.925080000000001</v>
      </c>
      <c r="AF411" s="86">
        <f>IF(verze!$E$1="CZK",AD411,IF(verze!$E$1="SK",AE411,""))</f>
        <v>54.925080000000001</v>
      </c>
    </row>
    <row r="412" spans="1:32" ht="15">
      <c r="A412" s="137"/>
      <c r="B412" s="426">
        <v>9353296</v>
      </c>
      <c r="C412" s="304" t="s">
        <v>1292</v>
      </c>
      <c r="D412" s="226">
        <v>1</v>
      </c>
      <c r="E412" s="396"/>
      <c r="F412" s="268"/>
      <c r="G412" s="272">
        <f t="shared" si="40"/>
        <v>44.76003</v>
      </c>
      <c r="H412" s="142" t="str">
        <f t="shared" ref="H412:H419" si="42">IF(G412="","",$H$10)</f>
        <v>EUR</v>
      </c>
      <c r="I412" s="417" t="s">
        <v>47</v>
      </c>
      <c r="J412" s="468" t="s">
        <v>20392</v>
      </c>
      <c r="L412" s="86" t="e">
        <f>VLOOKUP(B412,$B$11:B411,1,FALSE)</f>
        <v>#N/A</v>
      </c>
      <c r="M412" s="256">
        <f>G412*(1-FORM!$AE$28/100)</f>
        <v>44.76003</v>
      </c>
      <c r="AA412" s="463" t="s">
        <v>2508</v>
      </c>
      <c r="AB412" s="462" t="s">
        <v>2509</v>
      </c>
      <c r="AC412" s="462" t="s">
        <v>2510</v>
      </c>
      <c r="AD412" s="464">
        <v>90.075620000000001</v>
      </c>
      <c r="AE412" s="465">
        <v>3.6034700000000002</v>
      </c>
      <c r="AF412" s="86">
        <f>IF(verze!$E$1="CZK",AD412,IF(verze!$E$1="SK",AE412,""))</f>
        <v>3.6034700000000002</v>
      </c>
    </row>
    <row r="413" spans="1:32" ht="15">
      <c r="A413" s="139"/>
      <c r="B413" s="424">
        <v>9353297</v>
      </c>
      <c r="C413" s="222" t="s">
        <v>1293</v>
      </c>
      <c r="D413" s="223">
        <v>1</v>
      </c>
      <c r="E413" s="395"/>
      <c r="F413" s="266"/>
      <c r="G413" s="272">
        <f t="shared" si="40"/>
        <v>40.415970000000002</v>
      </c>
      <c r="H413" s="211" t="str">
        <f t="shared" si="42"/>
        <v>EUR</v>
      </c>
      <c r="I413" s="416" t="s">
        <v>47</v>
      </c>
      <c r="J413" s="469" t="s">
        <v>20395</v>
      </c>
      <c r="L413" s="86" t="e">
        <f>VLOOKUP(B413,$B$11:B412,1,FALSE)</f>
        <v>#N/A</v>
      </c>
      <c r="M413" s="256">
        <f>G413*(1-FORM!$AE$28/100)</f>
        <v>40.415970000000002</v>
      </c>
      <c r="AA413" s="463" t="s">
        <v>2511</v>
      </c>
      <c r="AB413" s="462" t="s">
        <v>2512</v>
      </c>
      <c r="AC413" s="462" t="s">
        <v>2513</v>
      </c>
      <c r="AD413" s="464">
        <v>127.42006000000001</v>
      </c>
      <c r="AE413" s="465">
        <v>5.2259399999999996</v>
      </c>
      <c r="AF413" s="86">
        <f>IF(verze!$E$1="CZK",AD413,IF(verze!$E$1="SK",AE413,""))</f>
        <v>5.2259399999999996</v>
      </c>
    </row>
    <row r="414" spans="1:32" ht="15">
      <c r="A414" s="139"/>
      <c r="B414" s="425">
        <v>9353298</v>
      </c>
      <c r="C414" s="216" t="s">
        <v>1294</v>
      </c>
      <c r="D414" s="217">
        <v>1</v>
      </c>
      <c r="E414" s="391"/>
      <c r="F414" s="262"/>
      <c r="G414" s="272">
        <f t="shared" si="40"/>
        <v>40.990609999999997</v>
      </c>
      <c r="H414" s="141" t="str">
        <f t="shared" si="42"/>
        <v>EUR</v>
      </c>
      <c r="I414" s="409" t="s">
        <v>47</v>
      </c>
      <c r="J414" s="467" t="s">
        <v>20398</v>
      </c>
      <c r="L414" s="86" t="e">
        <f>VLOOKUP(B414,$B$11:B413,1,FALSE)</f>
        <v>#N/A</v>
      </c>
      <c r="M414" s="256">
        <f>G414*(1-FORM!$AE$28/100)</f>
        <v>40.990609999999997</v>
      </c>
      <c r="AA414" s="463" t="s">
        <v>2514</v>
      </c>
      <c r="AB414" s="462" t="s">
        <v>2515</v>
      </c>
      <c r="AC414" s="462" t="s">
        <v>2516</v>
      </c>
      <c r="AD414" s="464">
        <v>127.42006000000001</v>
      </c>
      <c r="AE414" s="465">
        <v>5.2259399999999996</v>
      </c>
      <c r="AF414" s="86">
        <f>IF(verze!$E$1="CZK",AD414,IF(verze!$E$1="SK",AE414,""))</f>
        <v>5.2259399999999996</v>
      </c>
    </row>
    <row r="415" spans="1:32" ht="15">
      <c r="A415" s="139"/>
      <c r="B415" s="425">
        <v>9353299</v>
      </c>
      <c r="C415" s="216" t="s">
        <v>1295</v>
      </c>
      <c r="D415" s="217">
        <v>1</v>
      </c>
      <c r="E415" s="391"/>
      <c r="F415" s="262"/>
      <c r="G415" s="272">
        <f t="shared" si="40"/>
        <v>39.585979999999999</v>
      </c>
      <c r="H415" s="141" t="str">
        <f t="shared" si="42"/>
        <v>EUR</v>
      </c>
      <c r="I415" s="409" t="s">
        <v>47</v>
      </c>
      <c r="J415" s="467" t="s">
        <v>20401</v>
      </c>
      <c r="L415" s="86" t="e">
        <f>VLOOKUP(B415,$B$11:B414,1,FALSE)</f>
        <v>#N/A</v>
      </c>
      <c r="M415" s="256">
        <f>G415*(1-FORM!$AE$28/100)</f>
        <v>39.585979999999999</v>
      </c>
      <c r="AA415" s="463" t="s">
        <v>2517</v>
      </c>
      <c r="AB415" s="462" t="s">
        <v>2518</v>
      </c>
      <c r="AC415" s="462" t="s">
        <v>2519</v>
      </c>
      <c r="AD415" s="464">
        <v>84.63476</v>
      </c>
      <c r="AE415" s="465">
        <v>4.0712299999999999</v>
      </c>
      <c r="AF415" s="86">
        <f>IF(verze!$E$1="CZK",AD415,IF(verze!$E$1="SK",AE415,""))</f>
        <v>4.0712299999999999</v>
      </c>
    </row>
    <row r="416" spans="1:32" ht="15">
      <c r="A416" s="139"/>
      <c r="B416" s="425">
        <v>9353300</v>
      </c>
      <c r="C416" s="216" t="s">
        <v>1296</v>
      </c>
      <c r="D416" s="217">
        <v>1</v>
      </c>
      <c r="E416" s="391"/>
      <c r="F416" s="262"/>
      <c r="G416" s="272">
        <f t="shared" si="40"/>
        <v>40.13326</v>
      </c>
      <c r="H416" s="141" t="str">
        <f t="shared" si="42"/>
        <v>EUR</v>
      </c>
      <c r="I416" s="409" t="s">
        <v>47</v>
      </c>
      <c r="J416" s="467" t="s">
        <v>20404</v>
      </c>
      <c r="L416" s="86" t="e">
        <f>VLOOKUP(B416,$B$11:B415,1,FALSE)</f>
        <v>#N/A</v>
      </c>
      <c r="M416" s="256">
        <f>G416*(1-FORM!$AE$28/100)</f>
        <v>40.13326</v>
      </c>
      <c r="AA416" s="463" t="s">
        <v>2520</v>
      </c>
      <c r="AB416" s="462" t="s">
        <v>2521</v>
      </c>
      <c r="AC416" s="462" t="s">
        <v>2522</v>
      </c>
      <c r="AD416" s="464">
        <v>50.327370000000002</v>
      </c>
      <c r="AE416" s="465">
        <v>2.4209200000000002</v>
      </c>
      <c r="AF416" s="86">
        <f>IF(verze!$E$1="CZK",AD416,IF(verze!$E$1="SK",AE416,""))</f>
        <v>2.4209200000000002</v>
      </c>
    </row>
    <row r="417" spans="1:32" ht="15">
      <c r="A417" s="139"/>
      <c r="B417" s="425">
        <v>9353301</v>
      </c>
      <c r="C417" s="216" t="s">
        <v>1297</v>
      </c>
      <c r="D417" s="217">
        <v>1</v>
      </c>
      <c r="E417" s="391"/>
      <c r="F417" s="262"/>
      <c r="G417" s="272">
        <f t="shared" si="40"/>
        <v>42.714669999999998</v>
      </c>
      <c r="H417" s="141" t="str">
        <f t="shared" si="42"/>
        <v>EUR</v>
      </c>
      <c r="I417" s="409" t="s">
        <v>47</v>
      </c>
      <c r="J417" s="467" t="s">
        <v>20407</v>
      </c>
      <c r="L417" s="86" t="e">
        <f>VLOOKUP(B417,$B$11:B416,1,FALSE)</f>
        <v>#N/A</v>
      </c>
      <c r="M417" s="256">
        <f>G417*(1-FORM!$AE$28/100)</f>
        <v>42.714669999999998</v>
      </c>
      <c r="AA417" s="463" t="s">
        <v>2523</v>
      </c>
      <c r="AB417" s="462" t="s">
        <v>2524</v>
      </c>
      <c r="AC417" s="462" t="s">
        <v>2525</v>
      </c>
      <c r="AD417" s="464">
        <v>158.82389000000001</v>
      </c>
      <c r="AE417" s="465">
        <v>6.3537499999999998</v>
      </c>
      <c r="AF417" s="86">
        <f>IF(verze!$E$1="CZK",AD417,IF(verze!$E$1="SK",AE417,""))</f>
        <v>6.3537499999999998</v>
      </c>
    </row>
    <row r="418" spans="1:32" ht="15">
      <c r="A418" s="139"/>
      <c r="B418" s="425">
        <v>9353302</v>
      </c>
      <c r="C418" s="216" t="s">
        <v>1298</v>
      </c>
      <c r="D418" s="217">
        <v>1</v>
      </c>
      <c r="E418" s="391"/>
      <c r="F418" s="262"/>
      <c r="G418" s="272">
        <f t="shared" si="40"/>
        <v>43.581359999999997</v>
      </c>
      <c r="H418" s="141" t="str">
        <f t="shared" si="42"/>
        <v>EUR</v>
      </c>
      <c r="I418" s="409" t="s">
        <v>47</v>
      </c>
      <c r="J418" s="467" t="s">
        <v>20410</v>
      </c>
      <c r="L418" s="86" t="e">
        <f>VLOOKUP(B418,$B$11:B417,1,FALSE)</f>
        <v>#N/A</v>
      </c>
      <c r="M418" s="256">
        <f>G418*(1-FORM!$AE$28/100)</f>
        <v>43.581359999999997</v>
      </c>
      <c r="AA418" s="463" t="s">
        <v>2526</v>
      </c>
      <c r="AB418" s="462" t="s">
        <v>2527</v>
      </c>
      <c r="AC418" s="462" t="s">
        <v>2528</v>
      </c>
      <c r="AD418" s="464">
        <v>17.30791</v>
      </c>
      <c r="AE418" s="465">
        <v>0.70986000000000005</v>
      </c>
      <c r="AF418" s="86">
        <f>IF(verze!$E$1="CZK",AD418,IF(verze!$E$1="SK",AE418,""))</f>
        <v>0.70986000000000005</v>
      </c>
    </row>
    <row r="419" spans="1:32" ht="15">
      <c r="A419" s="139"/>
      <c r="B419" s="426">
        <v>9353303</v>
      </c>
      <c r="C419" s="304" t="s">
        <v>1299</v>
      </c>
      <c r="D419" s="226">
        <v>1</v>
      </c>
      <c r="E419" s="396"/>
      <c r="F419" s="268"/>
      <c r="G419" s="272">
        <f t="shared" si="40"/>
        <v>44.76003</v>
      </c>
      <c r="H419" s="142" t="str">
        <f t="shared" si="42"/>
        <v>EUR</v>
      </c>
      <c r="I419" s="417" t="s">
        <v>47</v>
      </c>
      <c r="J419" s="468" t="s">
        <v>20413</v>
      </c>
      <c r="L419" s="86" t="e">
        <f>VLOOKUP(B419,$B$11:B418,1,FALSE)</f>
        <v>#N/A</v>
      </c>
      <c r="M419" s="256">
        <f>G419*(1-FORM!$AE$28/100)</f>
        <v>44.76003</v>
      </c>
      <c r="AA419" s="463" t="s">
        <v>2529</v>
      </c>
      <c r="AB419" s="462" t="s">
        <v>2530</v>
      </c>
      <c r="AC419" s="462" t="s">
        <v>2531</v>
      </c>
      <c r="AD419" s="464">
        <v>362.56220000000002</v>
      </c>
      <c r="AE419" s="465">
        <v>15.77116</v>
      </c>
      <c r="AF419" s="86">
        <f>IF(verze!$E$1="CZK",AD419,IF(verze!$E$1="SK",AE419,""))</f>
        <v>15.77116</v>
      </c>
    </row>
    <row r="420" spans="1:32" ht="15">
      <c r="A420" s="130"/>
      <c r="B420" s="301">
        <v>9257131</v>
      </c>
      <c r="C420" s="222" t="s">
        <v>834</v>
      </c>
      <c r="D420" s="223">
        <v>10</v>
      </c>
      <c r="E420" s="395"/>
      <c r="F420" s="266"/>
      <c r="G420" s="272">
        <f t="shared" si="40"/>
        <v>18.284949999999998</v>
      </c>
      <c r="H420" s="211" t="str">
        <f>IF(G420="","",$H$10)</f>
        <v>EUR</v>
      </c>
      <c r="I420" s="416" t="s">
        <v>47</v>
      </c>
      <c r="J420" s="469" t="s">
        <v>16038</v>
      </c>
      <c r="L420" s="86" t="e">
        <f>VLOOKUP(B420,$B$11:B419,1,FALSE)</f>
        <v>#N/A</v>
      </c>
      <c r="M420" s="256">
        <f>G420*(1-FORM!$AE$28/100)</f>
        <v>18.284949999999998</v>
      </c>
      <c r="AA420" s="463" t="s">
        <v>2532</v>
      </c>
      <c r="AB420" s="462" t="s">
        <v>2533</v>
      </c>
      <c r="AC420" s="462" t="s">
        <v>2534</v>
      </c>
      <c r="AD420" s="464">
        <v>207.2465</v>
      </c>
      <c r="AE420" s="465">
        <v>9.0150600000000001</v>
      </c>
      <c r="AF420" s="86">
        <f>IF(verze!$E$1="CZK",AD420,IF(verze!$E$1="SK",AE420,""))</f>
        <v>9.0150600000000001</v>
      </c>
    </row>
    <row r="421" spans="1:32" ht="15">
      <c r="A421" s="130"/>
      <c r="B421" s="298">
        <v>9257132</v>
      </c>
      <c r="C421" s="216" t="s">
        <v>835</v>
      </c>
      <c r="D421" s="217">
        <v>10</v>
      </c>
      <c r="E421" s="391"/>
      <c r="F421" s="262"/>
      <c r="G421" s="272">
        <f t="shared" si="40"/>
        <v>18.284949999999998</v>
      </c>
      <c r="H421" s="141" t="str">
        <f>IF(G421="","",$H$10)</f>
        <v>EUR</v>
      </c>
      <c r="I421" s="409" t="s">
        <v>47</v>
      </c>
      <c r="J421" s="467" t="s">
        <v>16041</v>
      </c>
      <c r="L421" s="86" t="e">
        <f>VLOOKUP(B421,$B$11:B420,1,FALSE)</f>
        <v>#N/A</v>
      </c>
      <c r="M421" s="256">
        <f>G421*(1-FORM!$AE$28/100)</f>
        <v>18.284949999999998</v>
      </c>
      <c r="AA421" s="463" t="s">
        <v>2535</v>
      </c>
      <c r="AB421" s="462" t="s">
        <v>2536</v>
      </c>
      <c r="AC421" s="462" t="s">
        <v>2537</v>
      </c>
      <c r="AD421" s="464">
        <v>4890.8449000000001</v>
      </c>
      <c r="AE421" s="465">
        <v>195.65813</v>
      </c>
      <c r="AF421" s="86">
        <f>IF(verze!$E$1="CZK",AD421,IF(verze!$E$1="SK",AE421,""))</f>
        <v>195.65813</v>
      </c>
    </row>
    <row r="422" spans="1:32" ht="15">
      <c r="A422" s="130"/>
      <c r="B422" s="298">
        <v>9257133</v>
      </c>
      <c r="C422" s="216" t="s">
        <v>836</v>
      </c>
      <c r="D422" s="217">
        <v>10</v>
      </c>
      <c r="E422" s="391"/>
      <c r="F422" s="262"/>
      <c r="G422" s="272">
        <f t="shared" si="40"/>
        <v>18.615220000000001</v>
      </c>
      <c r="H422" s="141" t="str">
        <f t="shared" ref="H422:H448" si="43">IF(G422="","",$H$10)</f>
        <v>EUR</v>
      </c>
      <c r="I422" s="409" t="s">
        <v>47</v>
      </c>
      <c r="J422" s="467" t="s">
        <v>16044</v>
      </c>
      <c r="L422" s="86" t="e">
        <f>VLOOKUP(B422,$B$11:B421,1,FALSE)</f>
        <v>#N/A</v>
      </c>
      <c r="M422" s="256">
        <f>G422*(1-FORM!$AE$28/100)</f>
        <v>18.615220000000001</v>
      </c>
      <c r="AA422" s="463" t="s">
        <v>2535</v>
      </c>
      <c r="AB422" s="462" t="s">
        <v>2538</v>
      </c>
      <c r="AC422" s="462" t="s">
        <v>2539</v>
      </c>
      <c r="AD422" s="464">
        <v>4890.8449000000001</v>
      </c>
      <c r="AE422" s="465">
        <v>195.65813</v>
      </c>
      <c r="AF422" s="86">
        <f>IF(verze!$E$1="CZK",AD422,IF(verze!$E$1="SK",AE422,""))</f>
        <v>195.65813</v>
      </c>
    </row>
    <row r="423" spans="1:32" ht="15">
      <c r="A423" s="130"/>
      <c r="B423" s="298">
        <v>9257134</v>
      </c>
      <c r="C423" s="216" t="s">
        <v>837</v>
      </c>
      <c r="D423" s="217">
        <v>10</v>
      </c>
      <c r="E423" s="391"/>
      <c r="F423" s="262"/>
      <c r="G423" s="272">
        <f t="shared" si="40"/>
        <v>18.615220000000001</v>
      </c>
      <c r="H423" s="141" t="str">
        <f t="shared" si="43"/>
        <v>EUR</v>
      </c>
      <c r="I423" s="409" t="s">
        <v>47</v>
      </c>
      <c r="J423" s="467" t="s">
        <v>16047</v>
      </c>
      <c r="L423" s="86" t="e">
        <f>VLOOKUP(B423,$B$11:B422,1,FALSE)</f>
        <v>#N/A</v>
      </c>
      <c r="M423" s="256">
        <f>G423*(1-FORM!$AE$28/100)</f>
        <v>18.615220000000001</v>
      </c>
      <c r="AA423" s="463" t="s">
        <v>2540</v>
      </c>
      <c r="AB423" s="462" t="s">
        <v>2541</v>
      </c>
      <c r="AC423" s="462" t="s">
        <v>2542</v>
      </c>
      <c r="AD423" s="464">
        <v>5291.9909100000004</v>
      </c>
      <c r="AE423" s="465">
        <v>211.70598000000001</v>
      </c>
      <c r="AF423" s="86">
        <f>IF(verze!$E$1="CZK",AD423,IF(verze!$E$1="SK",AE423,""))</f>
        <v>211.70598000000001</v>
      </c>
    </row>
    <row r="424" spans="1:32" ht="15">
      <c r="A424" s="130"/>
      <c r="B424" s="298">
        <v>9257135</v>
      </c>
      <c r="C424" s="216" t="s">
        <v>838</v>
      </c>
      <c r="D424" s="217">
        <v>10</v>
      </c>
      <c r="E424" s="391"/>
      <c r="F424" s="262"/>
      <c r="G424" s="272">
        <f t="shared" si="40"/>
        <v>18.945989999999998</v>
      </c>
      <c r="H424" s="141" t="str">
        <f t="shared" si="43"/>
        <v>EUR</v>
      </c>
      <c r="I424" s="409" t="s">
        <v>47</v>
      </c>
      <c r="J424" s="467" t="s">
        <v>16050</v>
      </c>
      <c r="L424" s="86" t="e">
        <f>VLOOKUP(B424,$B$11:B423,1,FALSE)</f>
        <v>#N/A</v>
      </c>
      <c r="M424" s="256">
        <f>G424*(1-FORM!$AE$28/100)</f>
        <v>18.945989999999998</v>
      </c>
      <c r="AA424" s="463" t="s">
        <v>2543</v>
      </c>
      <c r="AB424" s="462" t="s">
        <v>2544</v>
      </c>
      <c r="AC424" s="462" t="s">
        <v>2545</v>
      </c>
      <c r="AD424" s="464">
        <v>5010.6841100000001</v>
      </c>
      <c r="AE424" s="465">
        <v>200.45230000000001</v>
      </c>
      <c r="AF424" s="86">
        <f>IF(verze!$E$1="CZK",AD424,IF(verze!$E$1="SK",AE424,""))</f>
        <v>200.45230000000001</v>
      </c>
    </row>
    <row r="425" spans="1:32" ht="15">
      <c r="A425" s="130"/>
      <c r="B425" s="298">
        <v>9257136</v>
      </c>
      <c r="C425" s="216" t="s">
        <v>839</v>
      </c>
      <c r="D425" s="217">
        <v>10</v>
      </c>
      <c r="E425" s="391"/>
      <c r="F425" s="262"/>
      <c r="G425" s="272">
        <f t="shared" si="40"/>
        <v>18.945989999999998</v>
      </c>
      <c r="H425" s="141" t="str">
        <f t="shared" si="43"/>
        <v>EUR</v>
      </c>
      <c r="I425" s="409" t="s">
        <v>47</v>
      </c>
      <c r="J425" s="467" t="s">
        <v>16053</v>
      </c>
      <c r="L425" s="86" t="e">
        <f>VLOOKUP(B425,$B$11:B424,1,FALSE)</f>
        <v>#N/A</v>
      </c>
      <c r="M425" s="256">
        <f>G425*(1-FORM!$AE$28/100)</f>
        <v>18.945989999999998</v>
      </c>
      <c r="AA425" s="463" t="s">
        <v>2546</v>
      </c>
      <c r="AB425" s="462" t="s">
        <v>2547</v>
      </c>
      <c r="AC425" s="462" t="s">
        <v>2548</v>
      </c>
      <c r="AD425" s="464">
        <v>5420.4379099999996</v>
      </c>
      <c r="AE425" s="465">
        <v>216.84449000000001</v>
      </c>
      <c r="AF425" s="86">
        <f>IF(verze!$E$1="CZK",AD425,IF(verze!$E$1="SK",AE425,""))</f>
        <v>216.84449000000001</v>
      </c>
    </row>
    <row r="426" spans="1:32" ht="15">
      <c r="A426" s="130"/>
      <c r="B426" s="298">
        <v>9257137</v>
      </c>
      <c r="C426" s="216" t="s">
        <v>840</v>
      </c>
      <c r="D426" s="217">
        <v>10</v>
      </c>
      <c r="E426" s="391"/>
      <c r="F426" s="262"/>
      <c r="G426" s="272">
        <f t="shared" si="40"/>
        <v>18.358360000000001</v>
      </c>
      <c r="H426" s="141" t="str">
        <f t="shared" si="43"/>
        <v>EUR</v>
      </c>
      <c r="I426" s="409" t="s">
        <v>47</v>
      </c>
      <c r="J426" s="467" t="s">
        <v>16056</v>
      </c>
      <c r="L426" s="86" t="e">
        <f>VLOOKUP(B426,$B$11:B425,1,FALSE)</f>
        <v>#N/A</v>
      </c>
      <c r="M426" s="256">
        <f>G426*(1-FORM!$AE$28/100)</f>
        <v>18.358360000000001</v>
      </c>
      <c r="AA426" s="463" t="s">
        <v>2549</v>
      </c>
      <c r="AB426" s="462" t="s">
        <v>2550</v>
      </c>
      <c r="AC426" s="462" t="s">
        <v>2551</v>
      </c>
      <c r="AD426" s="464">
        <v>898.59414000000004</v>
      </c>
      <c r="AE426" s="465">
        <v>35.948230000000002</v>
      </c>
      <c r="AF426" s="86">
        <f>IF(verze!$E$1="CZK",AD426,IF(verze!$E$1="SK",AE426,""))</f>
        <v>35.948230000000002</v>
      </c>
    </row>
    <row r="427" spans="1:32" ht="15">
      <c r="A427" s="130"/>
      <c r="B427" s="298">
        <v>9257138</v>
      </c>
      <c r="C427" s="216" t="s">
        <v>841</v>
      </c>
      <c r="D427" s="217">
        <v>10</v>
      </c>
      <c r="E427" s="391"/>
      <c r="F427" s="262"/>
      <c r="G427" s="272">
        <f t="shared" si="40"/>
        <v>18.358360000000001</v>
      </c>
      <c r="H427" s="141" t="str">
        <f t="shared" si="43"/>
        <v>EUR</v>
      </c>
      <c r="I427" s="409" t="s">
        <v>47</v>
      </c>
      <c r="J427" s="467" t="s">
        <v>16059</v>
      </c>
      <c r="L427" s="86" t="e">
        <f>VLOOKUP(B427,$B$11:B426,1,FALSE)</f>
        <v>#N/A</v>
      </c>
      <c r="M427" s="256">
        <f>G427*(1-FORM!$AE$28/100)</f>
        <v>18.358360000000001</v>
      </c>
      <c r="AA427" s="463" t="s">
        <v>2552</v>
      </c>
      <c r="AB427" s="462" t="s">
        <v>2553</v>
      </c>
      <c r="AC427" s="462" t="s">
        <v>2554</v>
      </c>
      <c r="AD427" s="464">
        <v>2336.7767199999998</v>
      </c>
      <c r="AE427" s="465">
        <v>107.05466</v>
      </c>
      <c r="AF427" s="86">
        <f>IF(verze!$E$1="CZK",AD427,IF(verze!$E$1="SK",AE427,""))</f>
        <v>107.05466</v>
      </c>
    </row>
    <row r="428" spans="1:32" ht="15">
      <c r="A428" s="130"/>
      <c r="B428" s="298">
        <v>9257139</v>
      </c>
      <c r="C428" s="216" t="s">
        <v>842</v>
      </c>
      <c r="D428" s="217">
        <v>10</v>
      </c>
      <c r="E428" s="391"/>
      <c r="F428" s="262"/>
      <c r="G428" s="272">
        <f t="shared" si="40"/>
        <v>19.60652</v>
      </c>
      <c r="H428" s="141" t="str">
        <f>IF(G428="","",$H$10)</f>
        <v>EUR</v>
      </c>
      <c r="I428" s="409" t="s">
        <v>47</v>
      </c>
      <c r="J428" s="467" t="s">
        <v>16062</v>
      </c>
      <c r="L428" s="86" t="e">
        <f>VLOOKUP(B428,$B$11:B427,1,FALSE)</f>
        <v>#N/A</v>
      </c>
      <c r="M428" s="256">
        <f>G428*(1-FORM!$AE$28/100)</f>
        <v>19.60652</v>
      </c>
      <c r="AA428" s="463" t="s">
        <v>2555</v>
      </c>
      <c r="AB428" s="462" t="s">
        <v>2556</v>
      </c>
      <c r="AC428" s="462" t="s">
        <v>2557</v>
      </c>
      <c r="AD428" s="464">
        <v>1489.2675099999999</v>
      </c>
      <c r="AE428" s="465">
        <v>60.148910000000001</v>
      </c>
      <c r="AF428" s="86">
        <f>IF(verze!$E$1="CZK",AD428,IF(verze!$E$1="SK",AE428,""))</f>
        <v>60.148910000000001</v>
      </c>
    </row>
    <row r="429" spans="1:32" ht="15">
      <c r="A429" s="130"/>
      <c r="B429" s="298">
        <v>9257140</v>
      </c>
      <c r="C429" s="216" t="s">
        <v>843</v>
      </c>
      <c r="D429" s="217">
        <v>10</v>
      </c>
      <c r="E429" s="391"/>
      <c r="F429" s="262"/>
      <c r="G429" s="272">
        <f t="shared" si="40"/>
        <v>19.60652</v>
      </c>
      <c r="H429" s="141" t="str">
        <f>IF(G429="","",$H$10)</f>
        <v>EUR</v>
      </c>
      <c r="I429" s="409" t="s">
        <v>47</v>
      </c>
      <c r="J429" s="467" t="s">
        <v>16065</v>
      </c>
      <c r="L429" s="86" t="e">
        <f>VLOOKUP(B429,$B$11:B428,1,FALSE)</f>
        <v>#N/A</v>
      </c>
      <c r="M429" s="256">
        <f>G429*(1-FORM!$AE$28/100)</f>
        <v>19.60652</v>
      </c>
      <c r="AA429" s="463" t="s">
        <v>2558</v>
      </c>
      <c r="AB429" s="462" t="s">
        <v>2559</v>
      </c>
      <c r="AC429" s="462" t="s">
        <v>2560</v>
      </c>
      <c r="AD429" s="464">
        <v>1489.2675099999999</v>
      </c>
      <c r="AE429" s="465">
        <v>60.148910000000001</v>
      </c>
      <c r="AF429" s="86">
        <f>IF(verze!$E$1="CZK",AD429,IF(verze!$E$1="SK",AE429,""))</f>
        <v>60.148910000000001</v>
      </c>
    </row>
    <row r="430" spans="1:32" ht="15">
      <c r="A430" s="130"/>
      <c r="B430" s="298">
        <v>9257141</v>
      </c>
      <c r="C430" s="216" t="s">
        <v>844</v>
      </c>
      <c r="D430" s="217">
        <v>10</v>
      </c>
      <c r="E430" s="391"/>
      <c r="F430" s="262"/>
      <c r="G430" s="272">
        <f t="shared" si="40"/>
        <v>20.105229999999999</v>
      </c>
      <c r="H430" s="141" t="str">
        <f t="shared" si="43"/>
        <v>EUR</v>
      </c>
      <c r="I430" s="409" t="s">
        <v>47</v>
      </c>
      <c r="J430" s="467" t="s">
        <v>16068</v>
      </c>
      <c r="L430" s="86" t="e">
        <f>VLOOKUP(B430,$B$11:B429,1,FALSE)</f>
        <v>#N/A</v>
      </c>
      <c r="M430" s="256">
        <f>G430*(1-FORM!$AE$28/100)</f>
        <v>20.105229999999999</v>
      </c>
      <c r="AA430" s="463" t="s">
        <v>2561</v>
      </c>
      <c r="AB430" s="462" t="s">
        <v>2562</v>
      </c>
      <c r="AC430" s="462" t="s">
        <v>2563</v>
      </c>
      <c r="AD430" s="464">
        <v>504.79250000000002</v>
      </c>
      <c r="AE430" s="465">
        <v>20.38767</v>
      </c>
      <c r="AF430" s="86">
        <f>IF(verze!$E$1="CZK",AD430,IF(verze!$E$1="SK",AE430,""))</f>
        <v>20.38767</v>
      </c>
    </row>
    <row r="431" spans="1:32" ht="15">
      <c r="A431" s="130"/>
      <c r="B431" s="298">
        <v>9257142</v>
      </c>
      <c r="C431" s="216" t="s">
        <v>845</v>
      </c>
      <c r="D431" s="217">
        <v>10</v>
      </c>
      <c r="E431" s="391"/>
      <c r="F431" s="262"/>
      <c r="G431" s="272">
        <f t="shared" si="40"/>
        <v>20.105229999999999</v>
      </c>
      <c r="H431" s="141" t="str">
        <f t="shared" si="43"/>
        <v>EUR</v>
      </c>
      <c r="I431" s="409" t="s">
        <v>47</v>
      </c>
      <c r="J431" s="467" t="s">
        <v>16071</v>
      </c>
      <c r="L431" s="86" t="e">
        <f>VLOOKUP(B431,$B$11:B430,1,FALSE)</f>
        <v>#N/A</v>
      </c>
      <c r="M431" s="256">
        <f>G431*(1-FORM!$AE$28/100)</f>
        <v>20.105229999999999</v>
      </c>
      <c r="AA431" s="463" t="s">
        <v>2564</v>
      </c>
      <c r="AB431" s="462" t="s">
        <v>2565</v>
      </c>
      <c r="AC431" s="462" t="s">
        <v>2566</v>
      </c>
      <c r="AD431" s="464">
        <v>352.25071000000003</v>
      </c>
      <c r="AE431" s="465">
        <v>14.22678</v>
      </c>
      <c r="AF431" s="86">
        <f>IF(verze!$E$1="CZK",AD431,IF(verze!$E$1="SK",AE431,""))</f>
        <v>14.22678</v>
      </c>
    </row>
    <row r="432" spans="1:32" ht="15">
      <c r="A432" s="130"/>
      <c r="B432" s="298">
        <v>9257143</v>
      </c>
      <c r="C432" s="216" t="s">
        <v>846</v>
      </c>
      <c r="D432" s="217">
        <v>10</v>
      </c>
      <c r="E432" s="391"/>
      <c r="F432" s="262"/>
      <c r="G432" s="272">
        <f t="shared" si="40"/>
        <v>20.782730000000001</v>
      </c>
      <c r="H432" s="141" t="str">
        <f t="shared" si="43"/>
        <v>EUR</v>
      </c>
      <c r="I432" s="409" t="s">
        <v>47</v>
      </c>
      <c r="J432" s="467" t="s">
        <v>16074</v>
      </c>
      <c r="L432" s="86" t="e">
        <f>VLOOKUP(B432,$B$11:B431,1,FALSE)</f>
        <v>#N/A</v>
      </c>
      <c r="M432" s="256">
        <f>G432*(1-FORM!$AE$28/100)</f>
        <v>20.782730000000001</v>
      </c>
      <c r="AA432" s="463" t="s">
        <v>2567</v>
      </c>
      <c r="AB432" s="462" t="s">
        <v>2568</v>
      </c>
      <c r="AC432" s="462" t="s">
        <v>2569</v>
      </c>
      <c r="AD432" s="464">
        <v>2.3681800000000002</v>
      </c>
      <c r="AE432" s="465">
        <v>0.11393</v>
      </c>
      <c r="AF432" s="86">
        <f>IF(verze!$E$1="CZK",AD432,IF(verze!$E$1="SK",AE432,""))</f>
        <v>0.11393</v>
      </c>
    </row>
    <row r="433" spans="1:32" ht="15">
      <c r="A433" s="130"/>
      <c r="B433" s="303">
        <v>9257144</v>
      </c>
      <c r="C433" s="304" t="s">
        <v>847</v>
      </c>
      <c r="D433" s="226">
        <v>10</v>
      </c>
      <c r="E433" s="396"/>
      <c r="F433" s="268"/>
      <c r="G433" s="272">
        <f t="shared" si="40"/>
        <v>20.782730000000001</v>
      </c>
      <c r="H433" s="142" t="str">
        <f t="shared" si="43"/>
        <v>EUR</v>
      </c>
      <c r="I433" s="417" t="s">
        <v>47</v>
      </c>
      <c r="J433" s="468" t="s">
        <v>16077</v>
      </c>
      <c r="L433" s="86" t="e">
        <f>VLOOKUP(B433,$B$11:B432,1,FALSE)</f>
        <v>#N/A</v>
      </c>
      <c r="M433" s="256">
        <f>G433*(1-FORM!$AE$28/100)</f>
        <v>20.782730000000001</v>
      </c>
      <c r="AA433" s="463" t="s">
        <v>2570</v>
      </c>
      <c r="AB433" s="462" t="s">
        <v>2571</v>
      </c>
      <c r="AC433" s="462" t="s">
        <v>2572</v>
      </c>
      <c r="AD433" s="464">
        <v>137.21625</v>
      </c>
      <c r="AE433" s="465">
        <v>5.4893299999999998</v>
      </c>
      <c r="AF433" s="86">
        <f>IF(verze!$E$1="CZK",AD433,IF(verze!$E$1="SK",AE433,""))</f>
        <v>5.4893299999999998</v>
      </c>
    </row>
    <row r="434" spans="1:32" ht="15">
      <c r="A434" s="137"/>
      <c r="B434" s="301">
        <v>9257145</v>
      </c>
      <c r="C434" s="222" t="s">
        <v>848</v>
      </c>
      <c r="D434" s="223">
        <v>10</v>
      </c>
      <c r="E434" s="395"/>
      <c r="F434" s="266"/>
      <c r="G434" s="272">
        <f t="shared" si="40"/>
        <v>18.284949999999998</v>
      </c>
      <c r="H434" s="211" t="str">
        <f t="shared" si="43"/>
        <v>EUR</v>
      </c>
      <c r="I434" s="416" t="s">
        <v>47</v>
      </c>
      <c r="J434" s="469" t="s">
        <v>16080</v>
      </c>
      <c r="L434" s="86" t="e">
        <f>VLOOKUP(B434,$B$11:B433,1,FALSE)</f>
        <v>#N/A</v>
      </c>
      <c r="M434" s="256">
        <f>G434*(1-FORM!$AE$28/100)</f>
        <v>18.284949999999998</v>
      </c>
      <c r="AA434" s="463" t="s">
        <v>2573</v>
      </c>
      <c r="AB434" s="462" t="s">
        <v>2574</v>
      </c>
      <c r="AC434" s="462" t="s">
        <v>2575</v>
      </c>
      <c r="AD434" s="464">
        <v>482.61216999999999</v>
      </c>
      <c r="AE434" s="465">
        <v>23.215399999999999</v>
      </c>
      <c r="AF434" s="86">
        <f>IF(verze!$E$1="CZK",AD434,IF(verze!$E$1="SK",AE434,""))</f>
        <v>23.215399999999999</v>
      </c>
    </row>
    <row r="435" spans="1:32" ht="15">
      <c r="A435" s="137"/>
      <c r="B435" s="298">
        <v>9257146</v>
      </c>
      <c r="C435" s="216" t="s">
        <v>849</v>
      </c>
      <c r="D435" s="217">
        <v>10</v>
      </c>
      <c r="E435" s="391"/>
      <c r="F435" s="262"/>
      <c r="G435" s="272">
        <f t="shared" si="40"/>
        <v>18.284949999999998</v>
      </c>
      <c r="H435" s="141" t="str">
        <f t="shared" si="43"/>
        <v>EUR</v>
      </c>
      <c r="I435" s="409" t="s">
        <v>47</v>
      </c>
      <c r="J435" s="467" t="s">
        <v>16083</v>
      </c>
      <c r="L435" s="86" t="e">
        <f>VLOOKUP(B435,$B$11:B434,1,FALSE)</f>
        <v>#N/A</v>
      </c>
      <c r="M435" s="256">
        <f>G435*(1-FORM!$AE$28/100)</f>
        <v>18.284949999999998</v>
      </c>
      <c r="AA435" s="463" t="s">
        <v>2576</v>
      </c>
      <c r="AB435" s="462" t="s">
        <v>2577</v>
      </c>
      <c r="AC435" s="462" t="s">
        <v>2578</v>
      </c>
      <c r="AD435" s="464">
        <v>742.38130000000001</v>
      </c>
      <c r="AE435" s="465">
        <v>35.711210000000001</v>
      </c>
      <c r="AF435" s="86">
        <f>IF(verze!$E$1="CZK",AD435,IF(verze!$E$1="SK",AE435,""))</f>
        <v>35.711210000000001</v>
      </c>
    </row>
    <row r="436" spans="1:32" ht="15">
      <c r="A436" s="137"/>
      <c r="B436" s="298">
        <v>9257147</v>
      </c>
      <c r="C436" s="216" t="s">
        <v>850</v>
      </c>
      <c r="D436" s="217">
        <v>10</v>
      </c>
      <c r="E436" s="391"/>
      <c r="F436" s="262"/>
      <c r="G436" s="272">
        <f t="shared" si="40"/>
        <v>18.615220000000001</v>
      </c>
      <c r="H436" s="141" t="str">
        <f t="shared" si="43"/>
        <v>EUR</v>
      </c>
      <c r="I436" s="409" t="s">
        <v>47</v>
      </c>
      <c r="J436" s="467" t="s">
        <v>16086</v>
      </c>
      <c r="L436" s="86" t="e">
        <f>VLOOKUP(B436,$B$11:B435,1,FALSE)</f>
        <v>#N/A</v>
      </c>
      <c r="M436" s="256">
        <f>G436*(1-FORM!$AE$28/100)</f>
        <v>18.615220000000001</v>
      </c>
      <c r="AA436" s="463" t="s">
        <v>2579</v>
      </c>
      <c r="AB436" s="462" t="s">
        <v>2580</v>
      </c>
      <c r="AC436" s="462" t="s">
        <v>2581</v>
      </c>
      <c r="AD436" s="464">
        <v>802.56775000000005</v>
      </c>
      <c r="AE436" s="465">
        <v>38.60642</v>
      </c>
      <c r="AF436" s="86">
        <f>IF(verze!$E$1="CZK",AD436,IF(verze!$E$1="SK",AE436,""))</f>
        <v>38.60642</v>
      </c>
    </row>
    <row r="437" spans="1:32" ht="15">
      <c r="A437" s="137"/>
      <c r="B437" s="298">
        <v>9257148</v>
      </c>
      <c r="C437" s="216" t="s">
        <v>851</v>
      </c>
      <c r="D437" s="217">
        <v>10</v>
      </c>
      <c r="E437" s="391"/>
      <c r="F437" s="262"/>
      <c r="G437" s="272">
        <f t="shared" si="40"/>
        <v>18.615220000000001</v>
      </c>
      <c r="H437" s="141" t="str">
        <f t="shared" si="43"/>
        <v>EUR</v>
      </c>
      <c r="I437" s="409" t="s">
        <v>47</v>
      </c>
      <c r="J437" s="467" t="s">
        <v>16089</v>
      </c>
      <c r="L437" s="86" t="e">
        <f>VLOOKUP(B437,$B$11:B436,1,FALSE)</f>
        <v>#N/A</v>
      </c>
      <c r="M437" s="256">
        <f>G437*(1-FORM!$AE$28/100)</f>
        <v>18.615220000000001</v>
      </c>
      <c r="AA437" s="463" t="s">
        <v>2582</v>
      </c>
      <c r="AB437" s="462" t="s">
        <v>2583</v>
      </c>
      <c r="AC437" s="462" t="s">
        <v>2584</v>
      </c>
      <c r="AD437" s="464">
        <v>882.82982000000004</v>
      </c>
      <c r="AE437" s="465">
        <v>42.467289999999998</v>
      </c>
      <c r="AF437" s="86">
        <f>IF(verze!$E$1="CZK",AD437,IF(verze!$E$1="SK",AE437,""))</f>
        <v>42.467289999999998</v>
      </c>
    </row>
    <row r="438" spans="1:32" ht="15">
      <c r="A438" s="137"/>
      <c r="B438" s="298">
        <v>9257149</v>
      </c>
      <c r="C438" s="216" t="s">
        <v>852</v>
      </c>
      <c r="D438" s="217">
        <v>10</v>
      </c>
      <c r="E438" s="391"/>
      <c r="F438" s="262"/>
      <c r="G438" s="272">
        <f t="shared" si="40"/>
        <v>18.945989999999998</v>
      </c>
      <c r="H438" s="141" t="str">
        <f t="shared" si="43"/>
        <v>EUR</v>
      </c>
      <c r="I438" s="409" t="s">
        <v>47</v>
      </c>
      <c r="J438" s="467" t="s">
        <v>16092</v>
      </c>
      <c r="L438" s="86" t="e">
        <f>VLOOKUP(B438,$B$11:B437,1,FALSE)</f>
        <v>#N/A</v>
      </c>
      <c r="M438" s="256">
        <f>G438*(1-FORM!$AE$28/100)</f>
        <v>18.945989999999998</v>
      </c>
      <c r="AA438" s="463" t="s">
        <v>2585</v>
      </c>
      <c r="AB438" s="462" t="s">
        <v>2586</v>
      </c>
      <c r="AC438" s="462" t="s">
        <v>2587</v>
      </c>
      <c r="AD438" s="464">
        <v>963.09199999999998</v>
      </c>
      <c r="AE438" s="465">
        <v>46.328209999999999</v>
      </c>
      <c r="AF438" s="86">
        <f>IF(verze!$E$1="CZK",AD438,IF(verze!$E$1="SK",AE438,""))</f>
        <v>46.328209999999999</v>
      </c>
    </row>
    <row r="439" spans="1:32" ht="15">
      <c r="A439" s="137"/>
      <c r="B439" s="298">
        <v>9257150</v>
      </c>
      <c r="C439" s="216" t="s">
        <v>853</v>
      </c>
      <c r="D439" s="217">
        <v>10</v>
      </c>
      <c r="E439" s="391"/>
      <c r="F439" s="262"/>
      <c r="G439" s="272">
        <f t="shared" si="40"/>
        <v>18.945989999999998</v>
      </c>
      <c r="H439" s="141" t="str">
        <f t="shared" si="43"/>
        <v>EUR</v>
      </c>
      <c r="I439" s="409" t="s">
        <v>47</v>
      </c>
      <c r="J439" s="467" t="s">
        <v>16095</v>
      </c>
      <c r="L439" s="86" t="e">
        <f>VLOOKUP(B439,$B$11:B438,1,FALSE)</f>
        <v>#N/A</v>
      </c>
      <c r="M439" s="256">
        <f>G439*(1-FORM!$AE$28/100)</f>
        <v>18.945989999999998</v>
      </c>
      <c r="AA439" s="463" t="s">
        <v>2588</v>
      </c>
      <c r="AB439" s="462" t="s">
        <v>2589</v>
      </c>
      <c r="AC439" s="462" t="s">
        <v>2590</v>
      </c>
      <c r="AD439" s="464">
        <v>1043.3490099999999</v>
      </c>
      <c r="AE439" s="465">
        <v>50.188850000000002</v>
      </c>
      <c r="AF439" s="86">
        <f>IF(verze!$E$1="CZK",AD439,IF(verze!$E$1="SK",AE439,""))</f>
        <v>50.188850000000002</v>
      </c>
    </row>
    <row r="440" spans="1:32" ht="15">
      <c r="A440" s="137"/>
      <c r="B440" s="298">
        <v>9257151</v>
      </c>
      <c r="C440" s="216" t="s">
        <v>854</v>
      </c>
      <c r="D440" s="217">
        <v>10</v>
      </c>
      <c r="E440" s="391"/>
      <c r="F440" s="262"/>
      <c r="G440" s="272">
        <f t="shared" si="40"/>
        <v>18.358360000000001</v>
      </c>
      <c r="H440" s="141" t="str">
        <f t="shared" si="43"/>
        <v>EUR</v>
      </c>
      <c r="I440" s="409" t="s">
        <v>47</v>
      </c>
      <c r="J440" s="467" t="s">
        <v>16098</v>
      </c>
      <c r="L440" s="86" t="e">
        <f>VLOOKUP(B440,$B$11:B439,1,FALSE)</f>
        <v>#N/A</v>
      </c>
      <c r="M440" s="256">
        <f>G440*(1-FORM!$AE$28/100)</f>
        <v>18.358360000000001</v>
      </c>
      <c r="AA440" s="463" t="s">
        <v>2591</v>
      </c>
      <c r="AB440" s="462" t="s">
        <v>2592</v>
      </c>
      <c r="AC440" s="462" t="s">
        <v>2593</v>
      </c>
      <c r="AD440" s="464">
        <v>1123.60097</v>
      </c>
      <c r="AE440" s="465">
        <v>54.049250000000001</v>
      </c>
      <c r="AF440" s="86">
        <f>IF(verze!$E$1="CZK",AD440,IF(verze!$E$1="SK",AE440,""))</f>
        <v>54.049250000000001</v>
      </c>
    </row>
    <row r="441" spans="1:32" ht="15">
      <c r="A441" s="137"/>
      <c r="B441" s="298">
        <v>9257152</v>
      </c>
      <c r="C441" s="216" t="s">
        <v>855</v>
      </c>
      <c r="D441" s="217">
        <v>10</v>
      </c>
      <c r="E441" s="391"/>
      <c r="F441" s="262"/>
      <c r="G441" s="272">
        <f t="shared" si="40"/>
        <v>18.358360000000001</v>
      </c>
      <c r="H441" s="141" t="str">
        <f t="shared" si="43"/>
        <v>EUR</v>
      </c>
      <c r="I441" s="409" t="s">
        <v>47</v>
      </c>
      <c r="J441" s="467" t="s">
        <v>16101</v>
      </c>
      <c r="L441" s="86" t="e">
        <f>VLOOKUP(B441,$B$11:B440,1,FALSE)</f>
        <v>#N/A</v>
      </c>
      <c r="M441" s="256">
        <f>G441*(1-FORM!$AE$28/100)</f>
        <v>18.358360000000001</v>
      </c>
      <c r="AA441" s="463" t="s">
        <v>2594</v>
      </c>
      <c r="AB441" s="462" t="s">
        <v>2595</v>
      </c>
      <c r="AC441" s="462" t="s">
        <v>2596</v>
      </c>
      <c r="AD441" s="464">
        <v>1223.92347</v>
      </c>
      <c r="AE441" s="465">
        <v>58.875140000000002</v>
      </c>
      <c r="AF441" s="86">
        <f>IF(verze!$E$1="CZK",AD441,IF(verze!$E$1="SK",AE441,""))</f>
        <v>58.875140000000002</v>
      </c>
    </row>
    <row r="442" spans="1:32" ht="15">
      <c r="A442" s="137"/>
      <c r="B442" s="298">
        <v>9257153</v>
      </c>
      <c r="C442" s="216" t="s">
        <v>856</v>
      </c>
      <c r="D442" s="217">
        <v>10</v>
      </c>
      <c r="E442" s="391"/>
      <c r="F442" s="262"/>
      <c r="G442" s="272">
        <f t="shared" si="40"/>
        <v>19.60652</v>
      </c>
      <c r="H442" s="141" t="str">
        <f t="shared" si="43"/>
        <v>EUR</v>
      </c>
      <c r="I442" s="409" t="s">
        <v>47</v>
      </c>
      <c r="J442" s="467" t="s">
        <v>16104</v>
      </c>
      <c r="L442" s="86" t="e">
        <f>VLOOKUP(B442,$B$11:B441,1,FALSE)</f>
        <v>#N/A</v>
      </c>
      <c r="M442" s="256">
        <f>G442*(1-FORM!$AE$28/100)</f>
        <v>19.60652</v>
      </c>
      <c r="AA442" s="463" t="s">
        <v>2597</v>
      </c>
      <c r="AB442" s="462" t="s">
        <v>2598</v>
      </c>
      <c r="AC442" s="462" t="s">
        <v>2599</v>
      </c>
      <c r="AD442" s="464">
        <v>1324.2410199999999</v>
      </c>
      <c r="AE442" s="465">
        <v>63.700769999999999</v>
      </c>
      <c r="AF442" s="86">
        <f>IF(verze!$E$1="CZK",AD442,IF(verze!$E$1="SK",AE442,""))</f>
        <v>63.700769999999999</v>
      </c>
    </row>
    <row r="443" spans="1:32" ht="15">
      <c r="A443" s="137"/>
      <c r="B443" s="298">
        <v>9257154</v>
      </c>
      <c r="C443" s="216" t="s">
        <v>857</v>
      </c>
      <c r="D443" s="217">
        <v>10</v>
      </c>
      <c r="E443" s="391"/>
      <c r="F443" s="262"/>
      <c r="G443" s="272">
        <f t="shared" si="40"/>
        <v>19.60652</v>
      </c>
      <c r="H443" s="141" t="str">
        <f t="shared" si="43"/>
        <v>EUR</v>
      </c>
      <c r="I443" s="409" t="s">
        <v>47</v>
      </c>
      <c r="J443" s="467" t="s">
        <v>16107</v>
      </c>
      <c r="L443" s="86" t="e">
        <f>VLOOKUP(B443,$B$11:B442,1,FALSE)</f>
        <v>#N/A</v>
      </c>
      <c r="M443" s="256">
        <f>G443*(1-FORM!$AE$28/100)</f>
        <v>19.60652</v>
      </c>
      <c r="AA443" s="463" t="s">
        <v>2600</v>
      </c>
      <c r="AB443" s="462" t="s">
        <v>2601</v>
      </c>
      <c r="AC443" s="462" t="s">
        <v>2602</v>
      </c>
      <c r="AD443" s="464">
        <v>1424.5685900000001</v>
      </c>
      <c r="AE443" s="465">
        <v>68.526889999999995</v>
      </c>
      <c r="AF443" s="86">
        <f>IF(verze!$E$1="CZK",AD443,IF(verze!$E$1="SK",AE443,""))</f>
        <v>68.526889999999995</v>
      </c>
    </row>
    <row r="444" spans="1:32" ht="15">
      <c r="A444" s="137"/>
      <c r="B444" s="298">
        <v>9257155</v>
      </c>
      <c r="C444" s="216" t="s">
        <v>858</v>
      </c>
      <c r="D444" s="217">
        <v>10</v>
      </c>
      <c r="E444" s="391"/>
      <c r="F444" s="262"/>
      <c r="G444" s="272">
        <f t="shared" si="40"/>
        <v>20.105229999999999</v>
      </c>
      <c r="H444" s="141" t="str">
        <f t="shared" si="43"/>
        <v>EUR</v>
      </c>
      <c r="I444" s="409" t="s">
        <v>47</v>
      </c>
      <c r="J444" s="467" t="s">
        <v>16110</v>
      </c>
      <c r="L444" s="86" t="e">
        <f>VLOOKUP(B444,$B$11:B443,1,FALSE)</f>
        <v>#N/A</v>
      </c>
      <c r="M444" s="256">
        <f>G444*(1-FORM!$AE$28/100)</f>
        <v>20.105229999999999</v>
      </c>
      <c r="AA444" s="463" t="s">
        <v>2603</v>
      </c>
      <c r="AB444" s="462" t="s">
        <v>2604</v>
      </c>
      <c r="AC444" s="462" t="s">
        <v>2605</v>
      </c>
      <c r="AD444" s="464">
        <v>1544.9541999999999</v>
      </c>
      <c r="AE444" s="465">
        <v>74.317869999999999</v>
      </c>
      <c r="AF444" s="86">
        <f>IF(verze!$E$1="CZK",AD444,IF(verze!$E$1="SK",AE444,""))</f>
        <v>74.317869999999999</v>
      </c>
    </row>
    <row r="445" spans="1:32" ht="15">
      <c r="A445" s="137"/>
      <c r="B445" s="298">
        <v>9257156</v>
      </c>
      <c r="C445" s="216" t="s">
        <v>859</v>
      </c>
      <c r="D445" s="217">
        <v>10</v>
      </c>
      <c r="E445" s="391"/>
      <c r="F445" s="262"/>
      <c r="G445" s="272">
        <f t="shared" si="40"/>
        <v>20.105229999999999</v>
      </c>
      <c r="H445" s="141" t="str">
        <f t="shared" si="43"/>
        <v>EUR</v>
      </c>
      <c r="I445" s="409" t="s">
        <v>47</v>
      </c>
      <c r="J445" s="467" t="s">
        <v>16113</v>
      </c>
      <c r="L445" s="86" t="e">
        <f>VLOOKUP(B445,$B$11:B444,1,FALSE)</f>
        <v>#N/A</v>
      </c>
      <c r="M445" s="256">
        <f>G445*(1-FORM!$AE$28/100)</f>
        <v>20.105229999999999</v>
      </c>
      <c r="AA445" s="463" t="s">
        <v>2606</v>
      </c>
      <c r="AB445" s="462" t="s">
        <v>2607</v>
      </c>
      <c r="AC445" s="462" t="s">
        <v>2608</v>
      </c>
      <c r="AD445" s="464">
        <v>396.57105000000001</v>
      </c>
      <c r="AE445" s="465">
        <v>15.95768</v>
      </c>
      <c r="AF445" s="86">
        <f>IF(verze!$E$1="CZK",AD445,IF(verze!$E$1="SK",AE445,""))</f>
        <v>15.95768</v>
      </c>
    </row>
    <row r="446" spans="1:32" ht="15">
      <c r="A446" s="137"/>
      <c r="B446" s="298">
        <v>9257157</v>
      </c>
      <c r="C446" s="216" t="s">
        <v>860</v>
      </c>
      <c r="D446" s="217">
        <v>10</v>
      </c>
      <c r="E446" s="391"/>
      <c r="F446" s="262"/>
      <c r="G446" s="272">
        <f t="shared" si="40"/>
        <v>20.782730000000001</v>
      </c>
      <c r="H446" s="141" t="str">
        <f t="shared" si="43"/>
        <v>EUR</v>
      </c>
      <c r="I446" s="409" t="s">
        <v>47</v>
      </c>
      <c r="J446" s="467" t="s">
        <v>16116</v>
      </c>
      <c r="L446" s="86" t="e">
        <f>VLOOKUP(B446,$B$11:B445,1,FALSE)</f>
        <v>#N/A</v>
      </c>
      <c r="M446" s="256">
        <f>G446*(1-FORM!$AE$28/100)</f>
        <v>20.782730000000001</v>
      </c>
      <c r="AA446" s="463" t="s">
        <v>2609</v>
      </c>
      <c r="AB446" s="462" t="s">
        <v>2610</v>
      </c>
      <c r="AC446" s="462" t="s">
        <v>2611</v>
      </c>
      <c r="AD446" s="464">
        <v>410.14055999999999</v>
      </c>
      <c r="AE446" s="465">
        <v>16.50367</v>
      </c>
      <c r="AF446" s="86">
        <f>IF(verze!$E$1="CZK",AD446,IF(verze!$E$1="SK",AE446,""))</f>
        <v>16.50367</v>
      </c>
    </row>
    <row r="447" spans="1:32" ht="15">
      <c r="A447" s="137"/>
      <c r="B447" s="303">
        <v>9257158</v>
      </c>
      <c r="C447" s="304" t="s">
        <v>861</v>
      </c>
      <c r="D447" s="226">
        <v>10</v>
      </c>
      <c r="E447" s="396"/>
      <c r="F447" s="268"/>
      <c r="G447" s="272">
        <f t="shared" si="40"/>
        <v>20.782730000000001</v>
      </c>
      <c r="H447" s="142" t="str">
        <f t="shared" si="43"/>
        <v>EUR</v>
      </c>
      <c r="I447" s="417" t="s">
        <v>47</v>
      </c>
      <c r="J447" s="468" t="s">
        <v>16119</v>
      </c>
      <c r="L447" s="86" t="e">
        <f>VLOOKUP(B447,$B$11:B446,1,FALSE)</f>
        <v>#N/A</v>
      </c>
      <c r="M447" s="256">
        <f>G447*(1-FORM!$AE$28/100)</f>
        <v>20.782730000000001</v>
      </c>
      <c r="AA447" s="463" t="s">
        <v>2612</v>
      </c>
      <c r="AB447" s="462" t="s">
        <v>2613</v>
      </c>
      <c r="AC447" s="462" t="s">
        <v>2614</v>
      </c>
      <c r="AD447" s="464">
        <v>423.68905999999998</v>
      </c>
      <c r="AE447" s="465">
        <v>17.048870000000001</v>
      </c>
      <c r="AF447" s="86">
        <f>IF(verze!$E$1="CZK",AD447,IF(verze!$E$1="SK",AE447,""))</f>
        <v>17.048870000000001</v>
      </c>
    </row>
    <row r="448" spans="1:32" ht="15">
      <c r="A448" s="139"/>
      <c r="B448" s="301">
        <v>9257159</v>
      </c>
      <c r="C448" s="222" t="s">
        <v>862</v>
      </c>
      <c r="D448" s="223">
        <v>10</v>
      </c>
      <c r="E448" s="395"/>
      <c r="F448" s="266"/>
      <c r="G448" s="272">
        <f t="shared" si="40"/>
        <v>18.284949999999998</v>
      </c>
      <c r="H448" s="211" t="str">
        <f t="shared" si="43"/>
        <v>EUR</v>
      </c>
      <c r="I448" s="416" t="s">
        <v>47</v>
      </c>
      <c r="J448" s="469" t="s">
        <v>16122</v>
      </c>
      <c r="L448" s="86" t="e">
        <f>VLOOKUP(B448,$B$11:B447,1,FALSE)</f>
        <v>#N/A</v>
      </c>
      <c r="M448" s="256">
        <f>G448*(1-FORM!$AE$28/100)</f>
        <v>18.284949999999998</v>
      </c>
      <c r="AA448" s="463" t="s">
        <v>2615</v>
      </c>
      <c r="AB448" s="462" t="s">
        <v>2616</v>
      </c>
      <c r="AC448" s="462" t="s">
        <v>2617</v>
      </c>
      <c r="AD448" s="464">
        <v>437.25389999999999</v>
      </c>
      <c r="AE448" s="465">
        <v>17.594740000000002</v>
      </c>
      <c r="AF448" s="86">
        <f>IF(verze!$E$1="CZK",AD448,IF(verze!$E$1="SK",AE448,""))</f>
        <v>17.594740000000002</v>
      </c>
    </row>
    <row r="449" spans="1:32" ht="15">
      <c r="A449" s="139"/>
      <c r="B449" s="298">
        <v>9257160</v>
      </c>
      <c r="C449" s="216" t="s">
        <v>863</v>
      </c>
      <c r="D449" s="217">
        <v>10</v>
      </c>
      <c r="E449" s="391"/>
      <c r="F449" s="262"/>
      <c r="G449" s="272">
        <f t="shared" si="40"/>
        <v>18.284949999999998</v>
      </c>
      <c r="H449" s="141" t="str">
        <f t="shared" ref="H449:H463" si="44">IF(G449="","",$H$10)</f>
        <v>EUR</v>
      </c>
      <c r="I449" s="409" t="s">
        <v>47</v>
      </c>
      <c r="J449" s="467" t="s">
        <v>16125</v>
      </c>
      <c r="L449" s="86" t="e">
        <f>VLOOKUP(B449,$B$11:B448,1,FALSE)</f>
        <v>#N/A</v>
      </c>
      <c r="M449" s="256">
        <f>G449*(1-FORM!$AE$28/100)</f>
        <v>18.284949999999998</v>
      </c>
      <c r="AA449" s="463" t="s">
        <v>2618</v>
      </c>
      <c r="AB449" s="462" t="s">
        <v>2619</v>
      </c>
      <c r="AC449" s="462" t="s">
        <v>2620</v>
      </c>
      <c r="AD449" s="464">
        <v>455.49851000000001</v>
      </c>
      <c r="AE449" s="465">
        <v>18.328859999999999</v>
      </c>
      <c r="AF449" s="86">
        <f>IF(verze!$E$1="CZK",AD449,IF(verze!$E$1="SK",AE449,""))</f>
        <v>18.328859999999999</v>
      </c>
    </row>
    <row r="450" spans="1:32" ht="15">
      <c r="A450" s="139"/>
      <c r="B450" s="298">
        <v>9257161</v>
      </c>
      <c r="C450" s="216" t="s">
        <v>864</v>
      </c>
      <c r="D450" s="217">
        <v>10</v>
      </c>
      <c r="E450" s="391"/>
      <c r="F450" s="262"/>
      <c r="G450" s="272">
        <f t="shared" si="40"/>
        <v>18.615220000000001</v>
      </c>
      <c r="H450" s="141" t="str">
        <f t="shared" si="44"/>
        <v>EUR</v>
      </c>
      <c r="I450" s="409" t="s">
        <v>47</v>
      </c>
      <c r="J450" s="467" t="s">
        <v>16128</v>
      </c>
      <c r="L450" s="86" t="e">
        <f>VLOOKUP(B450,$B$11:B449,1,FALSE)</f>
        <v>#N/A</v>
      </c>
      <c r="M450" s="256">
        <f>G450*(1-FORM!$AE$28/100)</f>
        <v>18.615220000000001</v>
      </c>
      <c r="AA450" s="463" t="s">
        <v>2621</v>
      </c>
      <c r="AB450" s="462" t="s">
        <v>2622</v>
      </c>
      <c r="AC450" s="462" t="s">
        <v>2623</v>
      </c>
      <c r="AD450" s="464">
        <v>469.06335000000001</v>
      </c>
      <c r="AE450" s="465">
        <v>18.87473</v>
      </c>
      <c r="AF450" s="86">
        <f>IF(verze!$E$1="CZK",AD450,IF(verze!$E$1="SK",AE450,""))</f>
        <v>18.87473</v>
      </c>
    </row>
    <row r="451" spans="1:32" ht="15">
      <c r="A451" s="139"/>
      <c r="B451" s="298">
        <v>9257162</v>
      </c>
      <c r="C451" s="216" t="s">
        <v>865</v>
      </c>
      <c r="D451" s="217">
        <v>10</v>
      </c>
      <c r="E451" s="391"/>
      <c r="F451" s="262"/>
      <c r="G451" s="272">
        <f t="shared" si="40"/>
        <v>18.615220000000001</v>
      </c>
      <c r="H451" s="141" t="str">
        <f t="shared" si="44"/>
        <v>EUR</v>
      </c>
      <c r="I451" s="409" t="s">
        <v>47</v>
      </c>
      <c r="J451" s="467" t="s">
        <v>16131</v>
      </c>
      <c r="L451" s="86" t="e">
        <f>VLOOKUP(B451,$B$11:B450,1,FALSE)</f>
        <v>#N/A</v>
      </c>
      <c r="M451" s="256">
        <f>G451*(1-FORM!$AE$28/100)</f>
        <v>18.615220000000001</v>
      </c>
      <c r="AA451" s="463" t="s">
        <v>2624</v>
      </c>
      <c r="AB451" s="462" t="s">
        <v>2625</v>
      </c>
      <c r="AC451" s="462" t="s">
        <v>2626</v>
      </c>
      <c r="AD451" s="464">
        <v>524.89997000000005</v>
      </c>
      <c r="AE451" s="465">
        <v>21.121459999999999</v>
      </c>
      <c r="AF451" s="86">
        <f>IF(verze!$E$1="CZK",AD451,IF(verze!$E$1="SK",AE451,""))</f>
        <v>21.121459999999999</v>
      </c>
    </row>
    <row r="452" spans="1:32" ht="15">
      <c r="A452" s="139"/>
      <c r="B452" s="298">
        <v>9257163</v>
      </c>
      <c r="C452" s="216" t="s">
        <v>866</v>
      </c>
      <c r="D452" s="217">
        <v>10</v>
      </c>
      <c r="E452" s="391"/>
      <c r="F452" s="262"/>
      <c r="G452" s="272">
        <f t="shared" si="40"/>
        <v>18.945989999999998</v>
      </c>
      <c r="H452" s="141" t="str">
        <f t="shared" si="44"/>
        <v>EUR</v>
      </c>
      <c r="I452" s="409" t="s">
        <v>47</v>
      </c>
      <c r="J452" s="467" t="s">
        <v>16134</v>
      </c>
      <c r="L452" s="86" t="e">
        <f>VLOOKUP(B452,$B$11:B451,1,FALSE)</f>
        <v>#N/A</v>
      </c>
      <c r="M452" s="256">
        <f>G452*(1-FORM!$AE$28/100)</f>
        <v>18.945989999999998</v>
      </c>
      <c r="AA452" s="463" t="s">
        <v>2627</v>
      </c>
      <c r="AB452" s="462" t="s">
        <v>2628</v>
      </c>
      <c r="AC452" s="462" t="s">
        <v>2629</v>
      </c>
      <c r="AD452" s="464">
        <v>538.45074</v>
      </c>
      <c r="AE452" s="465">
        <v>21.666779999999999</v>
      </c>
      <c r="AF452" s="86">
        <f>IF(verze!$E$1="CZK",AD452,IF(verze!$E$1="SK",AE452,""))</f>
        <v>21.666779999999999</v>
      </c>
    </row>
    <row r="453" spans="1:32" ht="15">
      <c r="A453" s="139"/>
      <c r="B453" s="298">
        <v>9257164</v>
      </c>
      <c r="C453" s="216" t="s">
        <v>867</v>
      </c>
      <c r="D453" s="217">
        <v>10</v>
      </c>
      <c r="E453" s="391"/>
      <c r="F453" s="262"/>
      <c r="G453" s="272">
        <f t="shared" si="40"/>
        <v>18.945989999999998</v>
      </c>
      <c r="H453" s="141" t="str">
        <f t="shared" si="44"/>
        <v>EUR</v>
      </c>
      <c r="I453" s="409" t="s">
        <v>47</v>
      </c>
      <c r="J453" s="467" t="s">
        <v>16137</v>
      </c>
      <c r="L453" s="86" t="e">
        <f>VLOOKUP(B453,$B$11:B452,1,FALSE)</f>
        <v>#N/A</v>
      </c>
      <c r="M453" s="256">
        <f>G453*(1-FORM!$AE$28/100)</f>
        <v>18.945989999999998</v>
      </c>
      <c r="AA453" s="463" t="s">
        <v>2630</v>
      </c>
      <c r="AB453" s="462" t="s">
        <v>2631</v>
      </c>
      <c r="AC453" s="462" t="s">
        <v>2632</v>
      </c>
      <c r="AD453" s="464">
        <v>552.00865999999996</v>
      </c>
      <c r="AE453" s="465">
        <v>22.212309999999999</v>
      </c>
      <c r="AF453" s="86">
        <f>IF(verze!$E$1="CZK",AD453,IF(verze!$E$1="SK",AE453,""))</f>
        <v>22.212309999999999</v>
      </c>
    </row>
    <row r="454" spans="1:32" ht="15">
      <c r="A454" s="139"/>
      <c r="B454" s="298">
        <v>9257165</v>
      </c>
      <c r="C454" s="216" t="s">
        <v>868</v>
      </c>
      <c r="D454" s="217">
        <v>10</v>
      </c>
      <c r="E454" s="391"/>
      <c r="F454" s="262"/>
      <c r="G454" s="272">
        <f t="shared" si="40"/>
        <v>18.358360000000001</v>
      </c>
      <c r="H454" s="141" t="str">
        <f t="shared" si="44"/>
        <v>EUR</v>
      </c>
      <c r="I454" s="409" t="s">
        <v>47</v>
      </c>
      <c r="J454" s="467" t="s">
        <v>16140</v>
      </c>
      <c r="L454" s="86" t="e">
        <f>VLOOKUP(B454,$B$11:B453,1,FALSE)</f>
        <v>#N/A</v>
      </c>
      <c r="M454" s="256">
        <f>G454*(1-FORM!$AE$28/100)</f>
        <v>18.358360000000001</v>
      </c>
      <c r="AA454" s="463" t="s">
        <v>2633</v>
      </c>
      <c r="AB454" s="462" t="s">
        <v>2634</v>
      </c>
      <c r="AC454" s="462" t="s">
        <v>2635</v>
      </c>
      <c r="AD454" s="464">
        <v>1106.5751299999999</v>
      </c>
      <c r="AE454" s="465">
        <v>53.230249999999998</v>
      </c>
      <c r="AF454" s="86">
        <f>IF(verze!$E$1="CZK",AD454,IF(verze!$E$1="SK",AE454,""))</f>
        <v>53.230249999999998</v>
      </c>
    </row>
    <row r="455" spans="1:32" ht="15">
      <c r="A455" s="139"/>
      <c r="B455" s="298">
        <v>9257166</v>
      </c>
      <c r="C455" s="216" t="s">
        <v>869</v>
      </c>
      <c r="D455" s="217">
        <v>10</v>
      </c>
      <c r="E455" s="391"/>
      <c r="F455" s="262"/>
      <c r="G455" s="272">
        <f t="shared" si="40"/>
        <v>18.358360000000001</v>
      </c>
      <c r="H455" s="141" t="str">
        <f t="shared" si="44"/>
        <v>EUR</v>
      </c>
      <c r="I455" s="409" t="s">
        <v>47</v>
      </c>
      <c r="J455" s="467" t="s">
        <v>16143</v>
      </c>
      <c r="L455" s="86" t="e">
        <f>VLOOKUP(B455,$B$11:B454,1,FALSE)</f>
        <v>#N/A</v>
      </c>
      <c r="M455" s="256">
        <f>G455*(1-FORM!$AE$28/100)</f>
        <v>18.358360000000001</v>
      </c>
      <c r="AA455" s="463" t="s">
        <v>2636</v>
      </c>
      <c r="AB455" s="462" t="s">
        <v>2637</v>
      </c>
      <c r="AC455" s="462" t="s">
        <v>2638</v>
      </c>
      <c r="AD455" s="464">
        <v>1217.2366999999999</v>
      </c>
      <c r="AE455" s="465">
        <v>58.55348</v>
      </c>
      <c r="AF455" s="86">
        <f>IF(verze!$E$1="CZK",AD455,IF(verze!$E$1="SK",AE455,""))</f>
        <v>58.55348</v>
      </c>
    </row>
    <row r="456" spans="1:32" ht="15">
      <c r="A456" s="139"/>
      <c r="B456" s="298">
        <v>9257167</v>
      </c>
      <c r="C456" s="216" t="s">
        <v>870</v>
      </c>
      <c r="D456" s="217">
        <v>10</v>
      </c>
      <c r="E456" s="391"/>
      <c r="F456" s="262"/>
      <c r="G456" s="272">
        <f t="shared" si="40"/>
        <v>19.60652</v>
      </c>
      <c r="H456" s="141" t="str">
        <f t="shared" si="44"/>
        <v>EUR</v>
      </c>
      <c r="I456" s="409" t="s">
        <v>47</v>
      </c>
      <c r="J456" s="467" t="s">
        <v>16146</v>
      </c>
      <c r="L456" s="86" t="e">
        <f>VLOOKUP(B456,$B$11:B455,1,FALSE)</f>
        <v>#N/A</v>
      </c>
      <c r="M456" s="256">
        <f>G456*(1-FORM!$AE$28/100)</f>
        <v>19.60652</v>
      </c>
      <c r="AA456" s="463" t="s">
        <v>2639</v>
      </c>
      <c r="AB456" s="462" t="s">
        <v>2640</v>
      </c>
      <c r="AC456" s="462" t="s">
        <v>2641</v>
      </c>
      <c r="AD456" s="464">
        <v>1327.8932</v>
      </c>
      <c r="AE456" s="465">
        <v>63.876460000000002</v>
      </c>
      <c r="AF456" s="86">
        <f>IF(verze!$E$1="CZK",AD456,IF(verze!$E$1="SK",AE456,""))</f>
        <v>63.876460000000002</v>
      </c>
    </row>
    <row r="457" spans="1:32" ht="15">
      <c r="A457" s="139"/>
      <c r="B457" s="298">
        <v>9257168</v>
      </c>
      <c r="C457" s="216" t="s">
        <v>871</v>
      </c>
      <c r="D457" s="217">
        <v>10</v>
      </c>
      <c r="E457" s="391"/>
      <c r="F457" s="262"/>
      <c r="G457" s="272">
        <f t="shared" si="40"/>
        <v>19.60652</v>
      </c>
      <c r="H457" s="141" t="str">
        <f t="shared" si="44"/>
        <v>EUR</v>
      </c>
      <c r="I457" s="409" t="s">
        <v>47</v>
      </c>
      <c r="J457" s="467" t="s">
        <v>16149</v>
      </c>
      <c r="L457" s="86" t="e">
        <f>VLOOKUP(B457,$B$11:B456,1,FALSE)</f>
        <v>#N/A</v>
      </c>
      <c r="M457" s="256">
        <f>G457*(1-FORM!$AE$28/100)</f>
        <v>19.60652</v>
      </c>
      <c r="AA457" s="463" t="s">
        <v>2642</v>
      </c>
      <c r="AB457" s="462" t="s">
        <v>2643</v>
      </c>
      <c r="AC457" s="462" t="s">
        <v>2644</v>
      </c>
      <c r="AD457" s="464">
        <v>1438.5522000000001</v>
      </c>
      <c r="AE457" s="465">
        <v>69.199560000000005</v>
      </c>
      <c r="AF457" s="86">
        <f>IF(verze!$E$1="CZK",AD457,IF(verze!$E$1="SK",AE457,""))</f>
        <v>69.199560000000005</v>
      </c>
    </row>
    <row r="458" spans="1:32" ht="15">
      <c r="A458" s="139"/>
      <c r="B458" s="298">
        <v>9257169</v>
      </c>
      <c r="C458" s="216" t="s">
        <v>872</v>
      </c>
      <c r="D458" s="217">
        <v>10</v>
      </c>
      <c r="E458" s="391"/>
      <c r="F458" s="262"/>
      <c r="G458" s="272">
        <f t="shared" si="40"/>
        <v>20.105229999999999</v>
      </c>
      <c r="H458" s="141" t="str">
        <f t="shared" si="44"/>
        <v>EUR</v>
      </c>
      <c r="I458" s="409" t="s">
        <v>47</v>
      </c>
      <c r="J458" s="467" t="s">
        <v>16152</v>
      </c>
      <c r="L458" s="86" t="e">
        <f>VLOOKUP(B458,$B$11:B457,1,FALSE)</f>
        <v>#N/A</v>
      </c>
      <c r="M458" s="256">
        <f>G458*(1-FORM!$AE$28/100)</f>
        <v>20.105229999999999</v>
      </c>
      <c r="AA458" s="463" t="s">
        <v>2645</v>
      </c>
      <c r="AB458" s="462" t="s">
        <v>2646</v>
      </c>
      <c r="AC458" s="462" t="s">
        <v>2647</v>
      </c>
      <c r="AD458" s="464">
        <v>1632.2030299999999</v>
      </c>
      <c r="AE458" s="465">
        <v>78.514859999999999</v>
      </c>
      <c r="AF458" s="86">
        <f>IF(verze!$E$1="CZK",AD458,IF(verze!$E$1="SK",AE458,""))</f>
        <v>78.514859999999999</v>
      </c>
    </row>
    <row r="459" spans="1:32" ht="15">
      <c r="A459" s="139"/>
      <c r="B459" s="298">
        <v>9257170</v>
      </c>
      <c r="C459" s="216" t="s">
        <v>873</v>
      </c>
      <c r="D459" s="217">
        <v>10</v>
      </c>
      <c r="E459" s="391"/>
      <c r="F459" s="262"/>
      <c r="G459" s="272">
        <f t="shared" si="40"/>
        <v>20.105229999999999</v>
      </c>
      <c r="H459" s="141" t="str">
        <f t="shared" si="44"/>
        <v>EUR</v>
      </c>
      <c r="I459" s="409" t="s">
        <v>47</v>
      </c>
      <c r="J459" s="467" t="s">
        <v>16155</v>
      </c>
      <c r="L459" s="86" t="e">
        <f>VLOOKUP(B459,$B$11:B458,1,FALSE)</f>
        <v>#N/A</v>
      </c>
      <c r="M459" s="256">
        <f>G459*(1-FORM!$AE$28/100)</f>
        <v>20.105229999999999</v>
      </c>
      <c r="AA459" s="463" t="s">
        <v>2648</v>
      </c>
      <c r="AB459" s="462" t="s">
        <v>2649</v>
      </c>
      <c r="AC459" s="462" t="s">
        <v>2650</v>
      </c>
      <c r="AD459" s="464">
        <v>1687.5350599999999</v>
      </c>
      <c r="AE459" s="465">
        <v>81.17653</v>
      </c>
      <c r="AF459" s="86">
        <f>IF(verze!$E$1="CZK",AD459,IF(verze!$E$1="SK",AE459,""))</f>
        <v>81.17653</v>
      </c>
    </row>
    <row r="460" spans="1:32" ht="15">
      <c r="A460" s="139"/>
      <c r="B460" s="298">
        <v>9257171</v>
      </c>
      <c r="C460" s="216" t="s">
        <v>874</v>
      </c>
      <c r="D460" s="217">
        <v>10</v>
      </c>
      <c r="E460" s="391"/>
      <c r="F460" s="262"/>
      <c r="G460" s="272">
        <f t="shared" si="40"/>
        <v>20.782730000000001</v>
      </c>
      <c r="H460" s="141" t="str">
        <f t="shared" si="44"/>
        <v>EUR</v>
      </c>
      <c r="I460" s="409" t="s">
        <v>47</v>
      </c>
      <c r="J460" s="467" t="s">
        <v>16158</v>
      </c>
      <c r="L460" s="86" t="e">
        <f>VLOOKUP(B460,$B$11:B459,1,FALSE)</f>
        <v>#N/A</v>
      </c>
      <c r="M460" s="256">
        <f>G460*(1-FORM!$AE$28/100)</f>
        <v>20.782730000000001</v>
      </c>
      <c r="AA460" s="463" t="s">
        <v>2651</v>
      </c>
      <c r="AB460" s="462" t="s">
        <v>2652</v>
      </c>
      <c r="AC460" s="462" t="s">
        <v>2653</v>
      </c>
      <c r="AD460" s="464">
        <v>1825.85374</v>
      </c>
      <c r="AE460" s="465">
        <v>87.830150000000003</v>
      </c>
      <c r="AF460" s="86">
        <f>IF(verze!$E$1="CZK",AD460,IF(verze!$E$1="SK",AE460,""))</f>
        <v>87.830150000000003</v>
      </c>
    </row>
    <row r="461" spans="1:32" ht="15">
      <c r="A461" s="139"/>
      <c r="B461" s="303">
        <v>9257172</v>
      </c>
      <c r="C461" s="304" t="s">
        <v>875</v>
      </c>
      <c r="D461" s="226">
        <v>10</v>
      </c>
      <c r="E461" s="396"/>
      <c r="F461" s="268"/>
      <c r="G461" s="272">
        <f t="shared" ref="G461:G524" si="45">VLOOKUP(J461,AB:AF,5,0)</f>
        <v>20.782730000000001</v>
      </c>
      <c r="H461" s="142" t="str">
        <f t="shared" si="44"/>
        <v>EUR</v>
      </c>
      <c r="I461" s="417" t="s">
        <v>47</v>
      </c>
      <c r="J461" s="467" t="s">
        <v>16161</v>
      </c>
      <c r="L461" s="86" t="e">
        <f>VLOOKUP(B461,$B$11:B460,1,FALSE)</f>
        <v>#N/A</v>
      </c>
      <c r="M461" s="256">
        <f>G461*(1-FORM!$AE$28/100)</f>
        <v>20.782730000000001</v>
      </c>
      <c r="AA461" s="463" t="s">
        <v>2654</v>
      </c>
      <c r="AB461" s="462" t="s">
        <v>2655</v>
      </c>
      <c r="AC461" s="462" t="s">
        <v>2656</v>
      </c>
      <c r="AD461" s="464">
        <v>1964.17245</v>
      </c>
      <c r="AE461" s="465">
        <v>94.483789999999999</v>
      </c>
      <c r="AF461" s="86">
        <f>IF(verze!$E$1="CZK",AD461,IF(verze!$E$1="SK",AE461,""))</f>
        <v>94.483789999999999</v>
      </c>
    </row>
    <row r="462" spans="1:32" ht="15">
      <c r="B462" s="301">
        <v>9257257</v>
      </c>
      <c r="C462" s="222" t="s">
        <v>876</v>
      </c>
      <c r="D462" s="223">
        <v>100</v>
      </c>
      <c r="E462" s="395"/>
      <c r="F462" s="266"/>
      <c r="G462" s="272">
        <f t="shared" si="45"/>
        <v>2.4404300000000001</v>
      </c>
      <c r="H462" s="211" t="str">
        <f t="shared" si="44"/>
        <v>EUR</v>
      </c>
      <c r="I462" s="416" t="s">
        <v>47</v>
      </c>
      <c r="J462" s="467" t="s">
        <v>16218</v>
      </c>
      <c r="L462" s="86" t="e">
        <f>VLOOKUP(B462,$B$11:B461,1,FALSE)</f>
        <v>#N/A</v>
      </c>
      <c r="M462" s="256">
        <f>G462*(1-FORM!$AE$28/100)</f>
        <v>2.4404300000000001</v>
      </c>
      <c r="AA462" s="463" t="s">
        <v>2657</v>
      </c>
      <c r="AB462" s="462" t="s">
        <v>2658</v>
      </c>
      <c r="AC462" s="462" t="s">
        <v>2659</v>
      </c>
      <c r="AD462" s="464">
        <v>2130.1585</v>
      </c>
      <c r="AE462" s="465">
        <v>102.4683</v>
      </c>
      <c r="AF462" s="86">
        <f>IF(verze!$E$1="CZK",AD462,IF(verze!$E$1="SK",AE462,""))</f>
        <v>102.4683</v>
      </c>
    </row>
    <row r="463" spans="1:32" ht="15">
      <c r="B463" s="298">
        <v>9257258</v>
      </c>
      <c r="C463" s="216" t="s">
        <v>877</v>
      </c>
      <c r="D463" s="217">
        <v>100</v>
      </c>
      <c r="E463" s="391"/>
      <c r="F463" s="262"/>
      <c r="G463" s="272">
        <f t="shared" si="45"/>
        <v>2.4704600000000001</v>
      </c>
      <c r="H463" s="141" t="str">
        <f t="shared" si="44"/>
        <v>EUR</v>
      </c>
      <c r="I463" s="409" t="s">
        <v>47</v>
      </c>
      <c r="J463" s="467" t="s">
        <v>16221</v>
      </c>
      <c r="L463" s="86" t="e">
        <f>VLOOKUP(B463,$B$11:B462,1,FALSE)</f>
        <v>#N/A</v>
      </c>
      <c r="M463" s="256">
        <f>G463*(1-FORM!$AE$28/100)</f>
        <v>2.4704600000000001</v>
      </c>
      <c r="AA463" s="463" t="s">
        <v>2660</v>
      </c>
      <c r="AB463" s="462" t="s">
        <v>2661</v>
      </c>
      <c r="AC463" s="462" t="s">
        <v>2662</v>
      </c>
      <c r="AD463" s="464">
        <v>273.04221999999999</v>
      </c>
      <c r="AE463" s="465">
        <v>10.92306</v>
      </c>
      <c r="AF463" s="86">
        <f>IF(verze!$E$1="CZK",AD463,IF(verze!$E$1="SK",AE463,""))</f>
        <v>10.92306</v>
      </c>
    </row>
    <row r="464" spans="1:32" ht="15">
      <c r="B464" s="303">
        <v>9268677</v>
      </c>
      <c r="C464" s="304" t="s">
        <v>878</v>
      </c>
      <c r="D464" s="226">
        <v>1</v>
      </c>
      <c r="E464" s="396"/>
      <c r="F464" s="268"/>
      <c r="G464" s="272">
        <f t="shared" si="45"/>
        <v>1.5746</v>
      </c>
      <c r="H464" s="142" t="str">
        <f t="shared" ref="H464:H477" si="46">IF(G464="","",$H$10)</f>
        <v>EUR</v>
      </c>
      <c r="I464" s="417" t="s">
        <v>47</v>
      </c>
      <c r="J464" s="468" t="s">
        <v>16862</v>
      </c>
      <c r="L464" s="86" t="e">
        <f>VLOOKUP(B464,$B$11:B463,1,FALSE)</f>
        <v>#N/A</v>
      </c>
      <c r="M464" s="256">
        <f>G464*(1-FORM!$AE$28/100)</f>
        <v>1.5746</v>
      </c>
      <c r="AA464" s="463" t="s">
        <v>2663</v>
      </c>
      <c r="AB464" s="462" t="s">
        <v>2664</v>
      </c>
      <c r="AC464" s="462" t="s">
        <v>2665</v>
      </c>
      <c r="AD464" s="464">
        <v>588.10188000000005</v>
      </c>
      <c r="AE464" s="465">
        <v>23.527010000000001</v>
      </c>
      <c r="AF464" s="86">
        <f>IF(verze!$E$1="CZK",AD464,IF(verze!$E$1="SK",AE464,""))</f>
        <v>23.527010000000001</v>
      </c>
    </row>
    <row r="465" spans="1:32" ht="15">
      <c r="B465" s="303"/>
      <c r="C465" s="304"/>
      <c r="D465" s="226"/>
      <c r="E465" s="396"/>
      <c r="F465" s="268"/>
      <c r="G465" s="272"/>
      <c r="H465" s="142"/>
      <c r="I465" s="417" t="s">
        <v>47</v>
      </c>
      <c r="J465" s="470"/>
      <c r="L465" s="86" t="e">
        <f>VLOOKUP(B465,$B$11:B464,1,FALSE)</f>
        <v>#N/A</v>
      </c>
      <c r="M465" s="256">
        <f>G465*(1-FORM!$AE$28/100)</f>
        <v>0</v>
      </c>
      <c r="AA465" s="463" t="s">
        <v>2666</v>
      </c>
      <c r="AB465" s="462" t="s">
        <v>2667</v>
      </c>
      <c r="AC465" s="462" t="s">
        <v>2668</v>
      </c>
      <c r="AD465" s="464">
        <v>803.01928999999996</v>
      </c>
      <c r="AE465" s="465">
        <v>0</v>
      </c>
      <c r="AF465" s="86">
        <f>IF(verze!$E$1="CZK",AD465,IF(verze!$E$1="SK",AE465,""))</f>
        <v>0</v>
      </c>
    </row>
    <row r="466" spans="1:32" ht="15">
      <c r="A466" s="130"/>
      <c r="B466" s="301">
        <v>9257269</v>
      </c>
      <c r="C466" s="222" t="s">
        <v>879</v>
      </c>
      <c r="D466" s="223">
        <v>1</v>
      </c>
      <c r="E466" s="395"/>
      <c r="F466" s="266"/>
      <c r="G466" s="272">
        <f t="shared" si="45"/>
        <v>71.34393</v>
      </c>
      <c r="H466" s="211" t="str">
        <f t="shared" si="46"/>
        <v>EUR</v>
      </c>
      <c r="I466" s="416" t="s">
        <v>47</v>
      </c>
      <c r="J466" s="469" t="s">
        <v>16239</v>
      </c>
      <c r="L466" s="86" t="e">
        <f>VLOOKUP(B466,$B$11:B465,1,FALSE)</f>
        <v>#N/A</v>
      </c>
      <c r="M466" s="256">
        <f>G466*(1-FORM!$AE$28/100)</f>
        <v>71.34393</v>
      </c>
      <c r="AA466" s="463" t="s">
        <v>2669</v>
      </c>
      <c r="AB466" s="462" t="s">
        <v>2670</v>
      </c>
      <c r="AC466" s="462" t="s">
        <v>2671</v>
      </c>
      <c r="AD466" s="464">
        <v>948.33371999999997</v>
      </c>
      <c r="AE466" s="465">
        <v>45.618279999999999</v>
      </c>
      <c r="AF466" s="86">
        <f>IF(verze!$E$1="CZK",AD466,IF(verze!$E$1="SK",AE466,""))</f>
        <v>45.618279999999999</v>
      </c>
    </row>
    <row r="467" spans="1:32" ht="15">
      <c r="A467" s="130"/>
      <c r="B467" s="298">
        <v>9257270</v>
      </c>
      <c r="C467" s="216" t="s">
        <v>880</v>
      </c>
      <c r="D467" s="217">
        <v>1</v>
      </c>
      <c r="E467" s="391"/>
      <c r="F467" s="262"/>
      <c r="G467" s="272">
        <f t="shared" si="45"/>
        <v>85.345950000000002</v>
      </c>
      <c r="H467" s="141" t="str">
        <f t="shared" si="46"/>
        <v>EUR</v>
      </c>
      <c r="I467" s="409" t="s">
        <v>47</v>
      </c>
      <c r="J467" s="467" t="s">
        <v>16242</v>
      </c>
      <c r="L467" s="86" t="e">
        <f>VLOOKUP(B467,$B$11:B466,1,FALSE)</f>
        <v>#N/A</v>
      </c>
      <c r="M467" s="256">
        <f>G467*(1-FORM!$AE$28/100)</f>
        <v>85.345950000000002</v>
      </c>
      <c r="AA467" s="463" t="s">
        <v>2672</v>
      </c>
      <c r="AB467" s="462" t="s">
        <v>2673</v>
      </c>
      <c r="AC467" s="462" t="s">
        <v>2674</v>
      </c>
      <c r="AD467" s="464">
        <v>1064.88041</v>
      </c>
      <c r="AE467" s="465">
        <v>0</v>
      </c>
      <c r="AF467" s="86">
        <f>IF(verze!$E$1="CZK",AD467,IF(verze!$E$1="SK",AE467,""))</f>
        <v>0</v>
      </c>
    </row>
    <row r="468" spans="1:32" ht="15">
      <c r="A468" s="130"/>
      <c r="B468" s="303">
        <v>9257271</v>
      </c>
      <c r="C468" s="304" t="s">
        <v>881</v>
      </c>
      <c r="D468" s="226">
        <v>1</v>
      </c>
      <c r="E468" s="396"/>
      <c r="F468" s="268"/>
      <c r="G468" s="272">
        <f t="shared" si="45"/>
        <v>106.6825</v>
      </c>
      <c r="H468" s="142" t="str">
        <f t="shared" si="46"/>
        <v>EUR</v>
      </c>
      <c r="I468" s="417" t="s">
        <v>47</v>
      </c>
      <c r="J468" s="467" t="s">
        <v>16245</v>
      </c>
      <c r="L468" s="86" t="e">
        <f>VLOOKUP(B468,$B$11:B467,1,FALSE)</f>
        <v>#N/A</v>
      </c>
      <c r="M468" s="256">
        <f>G468*(1-FORM!$AE$28/100)</f>
        <v>106.6825</v>
      </c>
      <c r="AA468" s="463" t="s">
        <v>2675</v>
      </c>
      <c r="AB468" s="462" t="s">
        <v>2676</v>
      </c>
      <c r="AC468" s="462" t="s">
        <v>2677</v>
      </c>
      <c r="AD468" s="464">
        <v>1239.4468099999999</v>
      </c>
      <c r="AE468" s="465">
        <v>0</v>
      </c>
      <c r="AF468" s="86">
        <f>IF(verze!$E$1="CZK",AD468,IF(verze!$E$1="SK",AE468,""))</f>
        <v>0</v>
      </c>
    </row>
    <row r="469" spans="1:32" ht="15">
      <c r="A469" s="137"/>
      <c r="B469" s="301">
        <v>9257273</v>
      </c>
      <c r="C469" s="222" t="s">
        <v>882</v>
      </c>
      <c r="D469" s="223">
        <v>1</v>
      </c>
      <c r="E469" s="395"/>
      <c r="F469" s="266"/>
      <c r="G469" s="272">
        <f t="shared" si="45"/>
        <v>71.34393</v>
      </c>
      <c r="H469" s="211" t="str">
        <f t="shared" si="46"/>
        <v>EUR</v>
      </c>
      <c r="I469" s="416" t="s">
        <v>47</v>
      </c>
      <c r="J469" s="467" t="s">
        <v>16248</v>
      </c>
      <c r="L469" s="86" t="e">
        <f>VLOOKUP(B469,$B$11:B468,1,FALSE)</f>
        <v>#N/A</v>
      </c>
      <c r="M469" s="256">
        <f>G469*(1-FORM!$AE$28/100)</f>
        <v>71.34393</v>
      </c>
      <c r="AA469" s="463" t="s">
        <v>2678</v>
      </c>
      <c r="AB469" s="462" t="s">
        <v>2679</v>
      </c>
      <c r="AC469" s="462" t="s">
        <v>2680</v>
      </c>
      <c r="AD469" s="464">
        <v>1388.62634</v>
      </c>
      <c r="AE469" s="465">
        <v>0</v>
      </c>
      <c r="AF469" s="86">
        <f>IF(verze!$E$1="CZK",AD469,IF(verze!$E$1="SK",AE469,""))</f>
        <v>0</v>
      </c>
    </row>
    <row r="470" spans="1:32" ht="15">
      <c r="A470" s="137"/>
      <c r="B470" s="298">
        <v>9257274</v>
      </c>
      <c r="C470" s="216" t="s">
        <v>883</v>
      </c>
      <c r="D470" s="217">
        <v>1</v>
      </c>
      <c r="E470" s="391"/>
      <c r="F470" s="262"/>
      <c r="G470" s="272">
        <f t="shared" si="45"/>
        <v>85.345950000000002</v>
      </c>
      <c r="H470" s="141" t="str">
        <f t="shared" si="46"/>
        <v>EUR</v>
      </c>
      <c r="I470" s="409" t="s">
        <v>47</v>
      </c>
      <c r="J470" s="467" t="s">
        <v>16251</v>
      </c>
      <c r="L470" s="86" t="e">
        <f>VLOOKUP(B470,$B$11:B469,1,FALSE)</f>
        <v>#N/A</v>
      </c>
      <c r="M470" s="256">
        <f>G470*(1-FORM!$AE$28/100)</f>
        <v>85.345950000000002</v>
      </c>
      <c r="AA470" s="463" t="s">
        <v>2681</v>
      </c>
      <c r="AB470" s="462" t="s">
        <v>2682</v>
      </c>
      <c r="AC470" s="462" t="s">
        <v>2683</v>
      </c>
      <c r="AD470" s="464">
        <v>1574.2348099999999</v>
      </c>
      <c r="AE470" s="465">
        <v>75.726380000000006</v>
      </c>
      <c r="AF470" s="86">
        <f>IF(verze!$E$1="CZK",AD470,IF(verze!$E$1="SK",AE470,""))</f>
        <v>75.726380000000006</v>
      </c>
    </row>
    <row r="471" spans="1:32" ht="15">
      <c r="A471" s="137"/>
      <c r="B471" s="303">
        <v>9257275</v>
      </c>
      <c r="C471" s="304" t="s">
        <v>884</v>
      </c>
      <c r="D471" s="226">
        <v>1</v>
      </c>
      <c r="E471" s="396"/>
      <c r="F471" s="268"/>
      <c r="G471" s="272">
        <f t="shared" si="45"/>
        <v>106.6825</v>
      </c>
      <c r="H471" s="142" t="str">
        <f t="shared" si="46"/>
        <v>EUR</v>
      </c>
      <c r="I471" s="417" t="s">
        <v>47</v>
      </c>
      <c r="J471" s="468" t="s">
        <v>16254</v>
      </c>
      <c r="L471" s="86" t="e">
        <f>VLOOKUP(B471,$B$11:B470,1,FALSE)</f>
        <v>#N/A</v>
      </c>
      <c r="M471" s="256">
        <f>G471*(1-FORM!$AE$28/100)</f>
        <v>106.6825</v>
      </c>
      <c r="AA471" s="463" t="s">
        <v>2684</v>
      </c>
      <c r="AB471" s="462" t="s">
        <v>2685</v>
      </c>
      <c r="AC471" s="462" t="s">
        <v>2686</v>
      </c>
      <c r="AD471" s="464">
        <v>16.49756</v>
      </c>
      <c r="AE471" s="465">
        <v>0.67662</v>
      </c>
      <c r="AF471" s="86">
        <f>IF(verze!$E$1="CZK",AD471,IF(verze!$E$1="SK",AE471,""))</f>
        <v>0.67662</v>
      </c>
    </row>
    <row r="472" spans="1:32" ht="15">
      <c r="A472" s="139"/>
      <c r="B472" s="301">
        <v>9257277</v>
      </c>
      <c r="C472" s="222" t="s">
        <v>885</v>
      </c>
      <c r="D472" s="223">
        <v>1</v>
      </c>
      <c r="E472" s="395"/>
      <c r="F472" s="266"/>
      <c r="G472" s="272">
        <f t="shared" si="45"/>
        <v>71.34393</v>
      </c>
      <c r="H472" s="211" t="str">
        <f t="shared" si="46"/>
        <v>EUR</v>
      </c>
      <c r="I472" s="416" t="s">
        <v>47</v>
      </c>
      <c r="J472" s="469" t="s">
        <v>16257</v>
      </c>
      <c r="L472" s="86" t="e">
        <f>VLOOKUP(B472,$B$11:B471,1,FALSE)</f>
        <v>#N/A</v>
      </c>
      <c r="M472" s="256">
        <f>G472*(1-FORM!$AE$28/100)</f>
        <v>71.34393</v>
      </c>
      <c r="AA472" s="463" t="s">
        <v>2687</v>
      </c>
      <c r="AB472" s="462" t="s">
        <v>2688</v>
      </c>
      <c r="AC472" s="462" t="s">
        <v>2689</v>
      </c>
      <c r="AD472" s="464">
        <v>7.5857000000000001</v>
      </c>
      <c r="AE472" s="465">
        <v>0.31112000000000001</v>
      </c>
      <c r="AF472" s="86">
        <f>IF(verze!$E$1="CZK",AD472,IF(verze!$E$1="SK",AE472,""))</f>
        <v>0.31112000000000001</v>
      </c>
    </row>
    <row r="473" spans="1:32" ht="15">
      <c r="A473" s="139"/>
      <c r="B473" s="298">
        <v>9257278</v>
      </c>
      <c r="C473" s="216" t="s">
        <v>886</v>
      </c>
      <c r="D473" s="217">
        <v>1</v>
      </c>
      <c r="E473" s="391"/>
      <c r="F473" s="262"/>
      <c r="G473" s="272">
        <f t="shared" si="45"/>
        <v>85.345950000000002</v>
      </c>
      <c r="H473" s="141" t="str">
        <f t="shared" si="46"/>
        <v>EUR</v>
      </c>
      <c r="I473" s="409" t="s">
        <v>47</v>
      </c>
      <c r="J473" s="467" t="s">
        <v>16260</v>
      </c>
      <c r="L473" s="86" t="e">
        <f>VLOOKUP(B473,$B$11:B472,1,FALSE)</f>
        <v>#N/A</v>
      </c>
      <c r="M473" s="256">
        <f>G473*(1-FORM!$AE$28/100)</f>
        <v>85.345950000000002</v>
      </c>
      <c r="AA473" s="463" t="s">
        <v>2690</v>
      </c>
      <c r="AB473" s="462" t="s">
        <v>2691</v>
      </c>
      <c r="AC473" s="462" t="s">
        <v>2692</v>
      </c>
      <c r="AD473" s="464">
        <v>709.82637999999997</v>
      </c>
      <c r="AE473" s="465">
        <v>0</v>
      </c>
      <c r="AF473" s="86">
        <f>IF(verze!$E$1="CZK",AD473,IF(verze!$E$1="SK",AE473,""))</f>
        <v>0</v>
      </c>
    </row>
    <row r="474" spans="1:32" ht="15">
      <c r="A474" s="139"/>
      <c r="B474" s="303">
        <v>9257279</v>
      </c>
      <c r="C474" s="304" t="s">
        <v>887</v>
      </c>
      <c r="D474" s="226">
        <v>1</v>
      </c>
      <c r="E474" s="396"/>
      <c r="F474" s="268"/>
      <c r="G474" s="272">
        <f t="shared" si="45"/>
        <v>106.6825</v>
      </c>
      <c r="H474" s="142" t="str">
        <f t="shared" si="46"/>
        <v>EUR</v>
      </c>
      <c r="I474" s="417" t="s">
        <v>47</v>
      </c>
      <c r="J474" s="468" t="s">
        <v>16263</v>
      </c>
      <c r="L474" s="86" t="e">
        <f>VLOOKUP(B474,$B$11:B473,1,FALSE)</f>
        <v>#N/A</v>
      </c>
      <c r="M474" s="256">
        <f>G474*(1-FORM!$AE$28/100)</f>
        <v>106.6825</v>
      </c>
      <c r="AA474" s="463" t="s">
        <v>2693</v>
      </c>
      <c r="AB474" s="462" t="s">
        <v>2694</v>
      </c>
      <c r="AC474" s="462" t="s">
        <v>2695</v>
      </c>
      <c r="AD474" s="464">
        <v>1444.2340899999999</v>
      </c>
      <c r="AE474" s="465">
        <v>0</v>
      </c>
      <c r="AF474" s="86">
        <f>IF(verze!$E$1="CZK",AD474,IF(verze!$E$1="SK",AE474,""))</f>
        <v>0</v>
      </c>
    </row>
    <row r="475" spans="1:32" ht="15">
      <c r="A475" s="130"/>
      <c r="B475" s="301">
        <v>9257611</v>
      </c>
      <c r="C475" s="222" t="s">
        <v>888</v>
      </c>
      <c r="D475" s="223">
        <v>1</v>
      </c>
      <c r="E475" s="395"/>
      <c r="F475" s="266"/>
      <c r="G475" s="272">
        <f t="shared" si="45"/>
        <v>4.6785699999999997</v>
      </c>
      <c r="H475" s="211" t="str">
        <f t="shared" si="46"/>
        <v>EUR</v>
      </c>
      <c r="I475" s="416" t="s">
        <v>47</v>
      </c>
      <c r="J475" s="469" t="s">
        <v>16339</v>
      </c>
      <c r="L475" s="86" t="e">
        <f>VLOOKUP(B475,$B$11:B474,1,FALSE)</f>
        <v>#N/A</v>
      </c>
      <c r="M475" s="256">
        <f>G475*(1-FORM!$AE$28/100)</f>
        <v>4.6785699999999997</v>
      </c>
      <c r="AA475" s="463" t="s">
        <v>2696</v>
      </c>
      <c r="AB475" s="462" t="s">
        <v>2697</v>
      </c>
      <c r="AC475" s="462" t="s">
        <v>2698</v>
      </c>
      <c r="AD475" s="464">
        <v>277.54545000000002</v>
      </c>
      <c r="AE475" s="465">
        <v>12.71518</v>
      </c>
      <c r="AF475" s="86">
        <f>IF(verze!$E$1="CZK",AD475,IF(verze!$E$1="SK",AE475,""))</f>
        <v>12.71518</v>
      </c>
    </row>
    <row r="476" spans="1:32" ht="15">
      <c r="A476" s="130"/>
      <c r="B476" s="298">
        <v>9257612</v>
      </c>
      <c r="C476" s="216" t="s">
        <v>889</v>
      </c>
      <c r="D476" s="217">
        <v>1</v>
      </c>
      <c r="E476" s="391"/>
      <c r="F476" s="262"/>
      <c r="G476" s="272">
        <f t="shared" si="45"/>
        <v>5.9231600000000002</v>
      </c>
      <c r="H476" s="141" t="str">
        <f t="shared" si="46"/>
        <v>EUR</v>
      </c>
      <c r="I476" s="409" t="s">
        <v>47</v>
      </c>
      <c r="J476" s="467" t="s">
        <v>16342</v>
      </c>
      <c r="L476" s="86" t="e">
        <f>VLOOKUP(B476,$B$11:B475,1,FALSE)</f>
        <v>#N/A</v>
      </c>
      <c r="M476" s="256">
        <f>G476*(1-FORM!$AE$28/100)</f>
        <v>5.9231600000000002</v>
      </c>
      <c r="AA476" s="463" t="s">
        <v>2699</v>
      </c>
      <c r="AB476" s="462" t="s">
        <v>2700</v>
      </c>
      <c r="AC476" s="462" t="s">
        <v>2701</v>
      </c>
      <c r="AD476" s="464">
        <v>317.02915999999999</v>
      </c>
      <c r="AE476" s="465">
        <v>14.524039999999999</v>
      </c>
      <c r="AF476" s="86">
        <f>IF(verze!$E$1="CZK",AD476,IF(verze!$E$1="SK",AE476,""))</f>
        <v>14.524039999999999</v>
      </c>
    </row>
    <row r="477" spans="1:32" ht="15">
      <c r="A477" s="130"/>
      <c r="B477" s="303">
        <v>9257613</v>
      </c>
      <c r="C477" s="304" t="s">
        <v>890</v>
      </c>
      <c r="D477" s="226">
        <v>1</v>
      </c>
      <c r="E477" s="396"/>
      <c r="F477" s="268"/>
      <c r="G477" s="272">
        <f t="shared" si="45"/>
        <v>8.1442599999999992</v>
      </c>
      <c r="H477" s="142" t="str">
        <f t="shared" si="46"/>
        <v>EUR</v>
      </c>
      <c r="I477" s="417" t="s">
        <v>47</v>
      </c>
      <c r="J477" s="468" t="s">
        <v>16345</v>
      </c>
      <c r="L477" s="86" t="e">
        <f>VLOOKUP(B477,$B$11:B476,1,FALSE)</f>
        <v>#N/A</v>
      </c>
      <c r="M477" s="256">
        <f>G477*(1-FORM!$AE$28/100)</f>
        <v>8.1442599999999992</v>
      </c>
      <c r="AA477" s="463" t="s">
        <v>2702</v>
      </c>
      <c r="AB477" s="462" t="s">
        <v>2703</v>
      </c>
      <c r="AC477" s="462" t="s">
        <v>2704</v>
      </c>
      <c r="AD477" s="464">
        <v>336.24356</v>
      </c>
      <c r="AE477" s="465">
        <v>15.40432</v>
      </c>
      <c r="AF477" s="86">
        <f>IF(verze!$E$1="CZK",AD477,IF(verze!$E$1="SK",AE477,""))</f>
        <v>15.40432</v>
      </c>
    </row>
    <row r="478" spans="1:32" ht="15">
      <c r="A478" s="137"/>
      <c r="B478" s="301">
        <v>9257615</v>
      </c>
      <c r="C478" s="222" t="s">
        <v>891</v>
      </c>
      <c r="D478" s="223">
        <v>1</v>
      </c>
      <c r="E478" s="395"/>
      <c r="F478" s="266"/>
      <c r="G478" s="272">
        <f t="shared" si="45"/>
        <v>4.6785699999999997</v>
      </c>
      <c r="H478" s="211" t="str">
        <f>IF(G478="","",$H$10)</f>
        <v>EUR</v>
      </c>
      <c r="I478" s="416" t="s">
        <v>47</v>
      </c>
      <c r="J478" s="469" t="s">
        <v>16348</v>
      </c>
      <c r="L478" s="86" t="e">
        <f>VLOOKUP(B478,$B$11:B477,1,FALSE)</f>
        <v>#N/A</v>
      </c>
      <c r="M478" s="256">
        <f>G478*(1-FORM!$AE$28/100)</f>
        <v>4.6785699999999997</v>
      </c>
      <c r="AA478" s="463" t="s">
        <v>2705</v>
      </c>
      <c r="AB478" s="462" t="s">
        <v>2706</v>
      </c>
      <c r="AC478" s="462" t="s">
        <v>2707</v>
      </c>
      <c r="AD478" s="464">
        <v>3623.26784</v>
      </c>
      <c r="AE478" s="465">
        <v>165.99263999999999</v>
      </c>
      <c r="AF478" s="86">
        <f>IF(verze!$E$1="CZK",AD478,IF(verze!$E$1="SK",AE478,""))</f>
        <v>165.99263999999999</v>
      </c>
    </row>
    <row r="479" spans="1:32" ht="15">
      <c r="A479" s="137"/>
      <c r="B479" s="298">
        <v>9257616</v>
      </c>
      <c r="C479" s="216" t="s">
        <v>892</v>
      </c>
      <c r="D479" s="217">
        <v>1</v>
      </c>
      <c r="E479" s="391"/>
      <c r="F479" s="262"/>
      <c r="G479" s="272">
        <f t="shared" si="45"/>
        <v>5.9231600000000002</v>
      </c>
      <c r="H479" s="141" t="str">
        <f>IF(G479="","",$H$10)</f>
        <v>EUR</v>
      </c>
      <c r="I479" s="409" t="s">
        <v>47</v>
      </c>
      <c r="J479" s="467" t="s">
        <v>16351</v>
      </c>
      <c r="L479" s="86" t="e">
        <f>VLOOKUP(B479,$B$11:B478,1,FALSE)</f>
        <v>#N/A</v>
      </c>
      <c r="M479" s="256">
        <f>G479*(1-FORM!$AE$28/100)</f>
        <v>5.9231600000000002</v>
      </c>
      <c r="AA479" s="463" t="s">
        <v>2708</v>
      </c>
      <c r="AB479" s="462" t="s">
        <v>2709</v>
      </c>
      <c r="AC479" s="462" t="s">
        <v>2710</v>
      </c>
      <c r="AD479" s="464">
        <v>333.96751999999998</v>
      </c>
      <c r="AE479" s="465">
        <v>15.300039999999999</v>
      </c>
      <c r="AF479" s="86">
        <f>IF(verze!$E$1="CZK",AD479,IF(verze!$E$1="SK",AE479,""))</f>
        <v>15.300039999999999</v>
      </c>
    </row>
    <row r="480" spans="1:32" ht="15">
      <c r="A480" s="137"/>
      <c r="B480" s="303">
        <v>9257617</v>
      </c>
      <c r="C480" s="304" t="s">
        <v>893</v>
      </c>
      <c r="D480" s="226">
        <v>1</v>
      </c>
      <c r="E480" s="396"/>
      <c r="F480" s="268"/>
      <c r="G480" s="272">
        <f t="shared" si="45"/>
        <v>8.1442599999999992</v>
      </c>
      <c r="H480" s="142" t="str">
        <f t="shared" ref="H480:H487" si="47">IF(G480="","",$H$10)</f>
        <v>EUR</v>
      </c>
      <c r="I480" s="417" t="s">
        <v>47</v>
      </c>
      <c r="J480" s="468" t="s">
        <v>16354</v>
      </c>
      <c r="L480" s="86" t="e">
        <f>VLOOKUP(B480,$B$11:B479,1,FALSE)</f>
        <v>#N/A</v>
      </c>
      <c r="M480" s="256">
        <f>G480*(1-FORM!$AE$28/100)</f>
        <v>8.1442599999999992</v>
      </c>
      <c r="AA480" s="463" t="s">
        <v>2711</v>
      </c>
      <c r="AB480" s="462" t="s">
        <v>2712</v>
      </c>
      <c r="AC480" s="462" t="s">
        <v>2713</v>
      </c>
      <c r="AD480" s="464">
        <v>29.67633</v>
      </c>
      <c r="AE480" s="465">
        <v>1.4275599999999999</v>
      </c>
      <c r="AF480" s="86">
        <f>IF(verze!$E$1="CZK",AD480,IF(verze!$E$1="SK",AE480,""))</f>
        <v>1.4275599999999999</v>
      </c>
    </row>
    <row r="481" spans="1:32" ht="15">
      <c r="A481" s="139"/>
      <c r="B481" s="301">
        <v>9257619</v>
      </c>
      <c r="C481" s="222" t="s">
        <v>894</v>
      </c>
      <c r="D481" s="223">
        <v>1</v>
      </c>
      <c r="E481" s="395"/>
      <c r="F481" s="266"/>
      <c r="G481" s="272">
        <f t="shared" si="45"/>
        <v>4.6785699999999997</v>
      </c>
      <c r="H481" s="211" t="str">
        <f t="shared" si="47"/>
        <v>EUR</v>
      </c>
      <c r="I481" s="416" t="s">
        <v>47</v>
      </c>
      <c r="J481" s="469" t="s">
        <v>16357</v>
      </c>
      <c r="L481" s="86" t="e">
        <f>VLOOKUP(B481,$B$11:B480,1,FALSE)</f>
        <v>#N/A</v>
      </c>
      <c r="M481" s="256">
        <f>G481*(1-FORM!$AE$28/100)</f>
        <v>4.6785699999999997</v>
      </c>
      <c r="AA481" s="463" t="s">
        <v>2714</v>
      </c>
      <c r="AB481" s="462" t="s">
        <v>2715</v>
      </c>
      <c r="AC481" s="462" t="s">
        <v>2716</v>
      </c>
      <c r="AD481" s="464">
        <v>103.72778</v>
      </c>
      <c r="AE481" s="465">
        <v>4.9896799999999999</v>
      </c>
      <c r="AF481" s="86">
        <f>IF(verze!$E$1="CZK",AD481,IF(verze!$E$1="SK",AE481,""))</f>
        <v>4.9896799999999999</v>
      </c>
    </row>
    <row r="482" spans="1:32" ht="15">
      <c r="A482" s="139"/>
      <c r="B482" s="298">
        <v>9257620</v>
      </c>
      <c r="C482" s="216" t="s">
        <v>895</v>
      </c>
      <c r="D482" s="217">
        <v>1</v>
      </c>
      <c r="E482" s="391"/>
      <c r="F482" s="262"/>
      <c r="G482" s="272">
        <f t="shared" si="45"/>
        <v>5.9231600000000002</v>
      </c>
      <c r="H482" s="141" t="str">
        <f t="shared" si="47"/>
        <v>EUR</v>
      </c>
      <c r="I482" s="409" t="s">
        <v>47</v>
      </c>
      <c r="J482" s="467" t="s">
        <v>16360</v>
      </c>
      <c r="L482" s="86" t="e">
        <f>VLOOKUP(B482,$B$11:B481,1,FALSE)</f>
        <v>#N/A</v>
      </c>
      <c r="M482" s="256">
        <f>G482*(1-FORM!$AE$28/100)</f>
        <v>5.9231600000000002</v>
      </c>
      <c r="AA482" s="463" t="s">
        <v>2717</v>
      </c>
      <c r="AB482" s="462" t="s">
        <v>2718</v>
      </c>
      <c r="AC482" s="462" t="s">
        <v>2719</v>
      </c>
      <c r="AD482" s="464">
        <v>113.60330999999999</v>
      </c>
      <c r="AE482" s="465">
        <v>5.4647500000000004</v>
      </c>
      <c r="AF482" s="86">
        <f>IF(verze!$E$1="CZK",AD482,IF(verze!$E$1="SK",AE482,""))</f>
        <v>5.4647500000000004</v>
      </c>
    </row>
    <row r="483" spans="1:32" ht="15">
      <c r="A483" s="139"/>
      <c r="B483" s="303">
        <v>9257621</v>
      </c>
      <c r="C483" s="304" t="s">
        <v>896</v>
      </c>
      <c r="D483" s="226">
        <v>1</v>
      </c>
      <c r="E483" s="396"/>
      <c r="F483" s="268"/>
      <c r="G483" s="272">
        <f t="shared" si="45"/>
        <v>8.1442599999999992</v>
      </c>
      <c r="H483" s="142" t="str">
        <f t="shared" si="47"/>
        <v>EUR</v>
      </c>
      <c r="I483" s="417" t="s">
        <v>47</v>
      </c>
      <c r="J483" s="468" t="s">
        <v>16363</v>
      </c>
      <c r="L483" s="86" t="e">
        <f>VLOOKUP(B483,$B$11:B482,1,FALSE)</f>
        <v>#N/A</v>
      </c>
      <c r="M483" s="256">
        <f>G483*(1-FORM!$AE$28/100)</f>
        <v>8.1442599999999992</v>
      </c>
      <c r="AA483" s="463" t="s">
        <v>2720</v>
      </c>
      <c r="AB483" s="462" t="s">
        <v>2721</v>
      </c>
      <c r="AC483" s="462" t="s">
        <v>2722</v>
      </c>
      <c r="AD483" s="464">
        <v>275.37698999999998</v>
      </c>
      <c r="AE483" s="465">
        <v>11.016439999999999</v>
      </c>
      <c r="AF483" s="86">
        <f>IF(verze!$E$1="CZK",AD483,IF(verze!$E$1="SK",AE483,""))</f>
        <v>11.016439999999999</v>
      </c>
    </row>
    <row r="484" spans="1:32" ht="15">
      <c r="A484" s="130"/>
      <c r="B484" s="301">
        <v>9257623</v>
      </c>
      <c r="C484" s="222" t="s">
        <v>897</v>
      </c>
      <c r="D484" s="223">
        <v>1</v>
      </c>
      <c r="E484" s="395"/>
      <c r="F484" s="266"/>
      <c r="G484" s="272">
        <f t="shared" si="45"/>
        <v>7.2178100000000001</v>
      </c>
      <c r="H484" s="211" t="str">
        <f t="shared" si="47"/>
        <v>EUR</v>
      </c>
      <c r="I484" s="416" t="s">
        <v>47</v>
      </c>
      <c r="J484" s="469" t="s">
        <v>16366</v>
      </c>
      <c r="L484" s="86" t="e">
        <f>VLOOKUP(B484,$B$11:B483,1,FALSE)</f>
        <v>#N/A</v>
      </c>
      <c r="M484" s="256">
        <f>G484*(1-FORM!$AE$28/100)</f>
        <v>7.2178100000000001</v>
      </c>
      <c r="AA484" s="463" t="s">
        <v>2723</v>
      </c>
      <c r="AB484" s="462" t="s">
        <v>2724</v>
      </c>
      <c r="AC484" s="462" t="s">
        <v>2725</v>
      </c>
      <c r="AD484" s="464">
        <v>167.59258</v>
      </c>
      <c r="AE484" s="465">
        <v>7.6779000000000002</v>
      </c>
      <c r="AF484" s="86">
        <f>IF(verze!$E$1="CZK",AD484,IF(verze!$E$1="SK",AE484,""))</f>
        <v>7.6779000000000002</v>
      </c>
    </row>
    <row r="485" spans="1:32" ht="15">
      <c r="A485" s="137"/>
      <c r="B485" s="298">
        <v>9257625</v>
      </c>
      <c r="C485" s="216" t="s">
        <v>898</v>
      </c>
      <c r="D485" s="217">
        <v>1</v>
      </c>
      <c r="E485" s="391"/>
      <c r="F485" s="262"/>
      <c r="G485" s="272">
        <f t="shared" si="45"/>
        <v>7.2178100000000001</v>
      </c>
      <c r="H485" s="141" t="str">
        <f t="shared" si="47"/>
        <v>EUR</v>
      </c>
      <c r="I485" s="409" t="s">
        <v>47</v>
      </c>
      <c r="J485" s="467" t="s">
        <v>16369</v>
      </c>
      <c r="L485" s="86" t="e">
        <f>VLOOKUP(B485,$B$11:B484,1,FALSE)</f>
        <v>#N/A</v>
      </c>
      <c r="M485" s="256">
        <f>G485*(1-FORM!$AE$28/100)</f>
        <v>7.2178100000000001</v>
      </c>
      <c r="AA485" s="463" t="s">
        <v>2726</v>
      </c>
      <c r="AB485" s="462" t="s">
        <v>2727</v>
      </c>
      <c r="AC485" s="462" t="s">
        <v>2728</v>
      </c>
      <c r="AD485" s="464">
        <v>291.23892000000001</v>
      </c>
      <c r="AE485" s="465">
        <v>13.34252</v>
      </c>
      <c r="AF485" s="86">
        <f>IF(verze!$E$1="CZK",AD485,IF(verze!$E$1="SK",AE485,""))</f>
        <v>13.34252</v>
      </c>
    </row>
    <row r="486" spans="1:32" ht="15">
      <c r="A486" s="139"/>
      <c r="B486" s="303">
        <v>9257627</v>
      </c>
      <c r="C486" s="304" t="s">
        <v>899</v>
      </c>
      <c r="D486" s="226">
        <v>1</v>
      </c>
      <c r="E486" s="396"/>
      <c r="F486" s="268"/>
      <c r="G486" s="272">
        <f t="shared" si="45"/>
        <v>7.2178100000000001</v>
      </c>
      <c r="H486" s="142" t="str">
        <f t="shared" si="47"/>
        <v>EUR</v>
      </c>
      <c r="I486" s="417" t="s">
        <v>47</v>
      </c>
      <c r="J486" s="468" t="s">
        <v>16372</v>
      </c>
      <c r="L486" s="86" t="e">
        <f>VLOOKUP(B486,$B$11:B485,1,FALSE)</f>
        <v>#N/A</v>
      </c>
      <c r="M486" s="256">
        <f>G486*(1-FORM!$AE$28/100)</f>
        <v>7.2178100000000001</v>
      </c>
      <c r="AA486" s="463" t="s">
        <v>2729</v>
      </c>
      <c r="AB486" s="462" t="s">
        <v>2730</v>
      </c>
      <c r="AC486" s="462" t="s">
        <v>2731</v>
      </c>
      <c r="AD486" s="464">
        <v>304.47660000000002</v>
      </c>
      <c r="AE486" s="465">
        <v>13.948980000000001</v>
      </c>
      <c r="AF486" s="86">
        <f>IF(verze!$E$1="CZK",AD486,IF(verze!$E$1="SK",AE486,""))</f>
        <v>13.948980000000001</v>
      </c>
    </row>
    <row r="487" spans="1:32" ht="15">
      <c r="B487" s="303">
        <v>9257641</v>
      </c>
      <c r="C487" s="304" t="s">
        <v>900</v>
      </c>
      <c r="D487" s="226">
        <v>100</v>
      </c>
      <c r="E487" s="396"/>
      <c r="F487" s="268"/>
      <c r="G487" s="272">
        <f t="shared" si="45"/>
        <v>0.52149000000000001</v>
      </c>
      <c r="H487" s="142" t="str">
        <f t="shared" si="47"/>
        <v>EUR</v>
      </c>
      <c r="I487" s="417" t="s">
        <v>47</v>
      </c>
      <c r="J487" s="470" t="s">
        <v>16402</v>
      </c>
      <c r="L487" s="86" t="e">
        <f>VLOOKUP(B487,$B$11:B486,1,FALSE)</f>
        <v>#N/A</v>
      </c>
      <c r="M487" s="256">
        <f>G487*(1-FORM!$AE$28/100)</f>
        <v>0.52149000000000001</v>
      </c>
      <c r="AA487" s="463" t="s">
        <v>2732</v>
      </c>
      <c r="AB487" s="462" t="s">
        <v>2733</v>
      </c>
      <c r="AC487" s="462" t="s">
        <v>2734</v>
      </c>
      <c r="AD487" s="464">
        <v>355.27701999999999</v>
      </c>
      <c r="AE487" s="465">
        <v>16.276299999999999</v>
      </c>
      <c r="AF487" s="86">
        <f>IF(verze!$E$1="CZK",AD487,IF(verze!$E$1="SK",AE487,""))</f>
        <v>16.276299999999999</v>
      </c>
    </row>
    <row r="488" spans="1:32" ht="15">
      <c r="A488" s="130"/>
      <c r="B488" s="301">
        <v>9257734</v>
      </c>
      <c r="C488" s="222" t="s">
        <v>901</v>
      </c>
      <c r="D488" s="223">
        <v>1</v>
      </c>
      <c r="E488" s="395"/>
      <c r="F488" s="266"/>
      <c r="G488" s="272">
        <f t="shared" si="45"/>
        <v>8.2656799999999997</v>
      </c>
      <c r="H488" s="211" t="str">
        <f t="shared" ref="H488:H501" si="48">IF(G488="","",$H$10)</f>
        <v>EUR</v>
      </c>
      <c r="I488" s="416" t="s">
        <v>47</v>
      </c>
      <c r="J488" s="469" t="s">
        <v>16557</v>
      </c>
      <c r="L488" s="86" t="e">
        <f>VLOOKUP(B488,$B$11:B487,1,FALSE)</f>
        <v>#N/A</v>
      </c>
      <c r="M488" s="256">
        <f>G488*(1-FORM!$AE$28/100)</f>
        <v>8.2656799999999997</v>
      </c>
      <c r="AA488" s="463" t="s">
        <v>2735</v>
      </c>
      <c r="AB488" s="462" t="s">
        <v>2736</v>
      </c>
      <c r="AC488" s="462" t="s">
        <v>2737</v>
      </c>
      <c r="AD488" s="464">
        <v>371.42842000000002</v>
      </c>
      <c r="AE488" s="465">
        <v>17.01624</v>
      </c>
      <c r="AF488" s="86">
        <f>IF(verze!$E$1="CZK",AD488,IF(verze!$E$1="SK",AE488,""))</f>
        <v>17.01624</v>
      </c>
    </row>
    <row r="489" spans="1:32" ht="15">
      <c r="A489" s="137"/>
      <c r="B489" s="298">
        <v>9257735</v>
      </c>
      <c r="C489" s="216" t="s">
        <v>902</v>
      </c>
      <c r="D489" s="217">
        <v>1</v>
      </c>
      <c r="E489" s="391"/>
      <c r="F489" s="262"/>
      <c r="G489" s="272">
        <f t="shared" si="45"/>
        <v>8.2656799999999997</v>
      </c>
      <c r="H489" s="141" t="str">
        <f t="shared" si="48"/>
        <v>EUR</v>
      </c>
      <c r="I489" s="409" t="s">
        <v>47</v>
      </c>
      <c r="J489" s="467" t="s">
        <v>16560</v>
      </c>
      <c r="L489" s="86" t="e">
        <f>VLOOKUP(B489,$B$11:B488,1,FALSE)</f>
        <v>#N/A</v>
      </c>
      <c r="M489" s="256">
        <f>G489*(1-FORM!$AE$28/100)</f>
        <v>8.2656799999999997</v>
      </c>
      <c r="AA489" s="463" t="s">
        <v>2738</v>
      </c>
      <c r="AB489" s="462" t="s">
        <v>2739</v>
      </c>
      <c r="AC489" s="462" t="s">
        <v>2740</v>
      </c>
      <c r="AD489" s="464">
        <v>219.71652</v>
      </c>
      <c r="AE489" s="465">
        <v>10.065860000000001</v>
      </c>
      <c r="AF489" s="86">
        <f>IF(verze!$E$1="CZK",AD489,IF(verze!$E$1="SK",AE489,""))</f>
        <v>10.065860000000001</v>
      </c>
    </row>
    <row r="490" spans="1:32" ht="15">
      <c r="A490" s="139"/>
      <c r="B490" s="303">
        <v>9257736</v>
      </c>
      <c r="C490" s="304" t="s">
        <v>903</v>
      </c>
      <c r="D490" s="226">
        <v>1</v>
      </c>
      <c r="E490" s="396"/>
      <c r="F490" s="268"/>
      <c r="G490" s="272">
        <f t="shared" si="45"/>
        <v>8.2656799999999997</v>
      </c>
      <c r="H490" s="142" t="str">
        <f t="shared" si="48"/>
        <v>EUR</v>
      </c>
      <c r="I490" s="417" t="s">
        <v>47</v>
      </c>
      <c r="J490" s="468" t="s">
        <v>16563</v>
      </c>
      <c r="L490" s="86" t="e">
        <f>VLOOKUP(B490,$B$11:B489,1,FALSE)</f>
        <v>#N/A</v>
      </c>
      <c r="M490" s="256">
        <f>G490*(1-FORM!$AE$28/100)</f>
        <v>8.2656799999999997</v>
      </c>
      <c r="AA490" s="463" t="s">
        <v>2741</v>
      </c>
      <c r="AB490" s="462" t="s">
        <v>2742</v>
      </c>
      <c r="AC490" s="462" t="s">
        <v>2743</v>
      </c>
      <c r="AD490" s="464">
        <v>229.70310000000001</v>
      </c>
      <c r="AE490" s="465">
        <v>10.52338</v>
      </c>
      <c r="AF490" s="86">
        <f>IF(verze!$E$1="CZK",AD490,IF(verze!$E$1="SK",AE490,""))</f>
        <v>10.52338</v>
      </c>
    </row>
    <row r="491" spans="1:32" ht="15">
      <c r="A491" s="130"/>
      <c r="B491" s="301">
        <v>9257629</v>
      </c>
      <c r="C491" s="222" t="s">
        <v>904</v>
      </c>
      <c r="D491" s="223">
        <v>200</v>
      </c>
      <c r="E491" s="395"/>
      <c r="F491" s="266"/>
      <c r="G491" s="272">
        <f t="shared" si="45"/>
        <v>0.21284</v>
      </c>
      <c r="H491" s="211" t="str">
        <f t="shared" si="48"/>
        <v>EUR</v>
      </c>
      <c r="I491" s="416" t="s">
        <v>47</v>
      </c>
      <c r="J491" s="469" t="s">
        <v>16375</v>
      </c>
      <c r="L491" s="86" t="e">
        <f>VLOOKUP(B491,$B$11:B490,1,FALSE)</f>
        <v>#N/A</v>
      </c>
      <c r="M491" s="256">
        <f>G491*(1-FORM!$AE$28/100)</f>
        <v>0.21284</v>
      </c>
      <c r="AA491" s="463" t="s">
        <v>2744</v>
      </c>
      <c r="AB491" s="462" t="s">
        <v>2745</v>
      </c>
      <c r="AC491" s="462" t="s">
        <v>2746</v>
      </c>
      <c r="AD491" s="464">
        <v>23.167090000000002</v>
      </c>
      <c r="AE491" s="465">
        <v>0.93228999999999995</v>
      </c>
      <c r="AF491" s="86">
        <f>IF(verze!$E$1="CZK",AD491,IF(verze!$E$1="SK",AE491,""))</f>
        <v>0.93228999999999995</v>
      </c>
    </row>
    <row r="492" spans="1:32" ht="15">
      <c r="A492" s="130"/>
      <c r="B492" s="298">
        <v>9257630</v>
      </c>
      <c r="C492" s="216" t="s">
        <v>905</v>
      </c>
      <c r="D492" s="217">
        <v>200</v>
      </c>
      <c r="E492" s="391"/>
      <c r="F492" s="262"/>
      <c r="G492" s="272">
        <f t="shared" si="45"/>
        <v>0.29314000000000001</v>
      </c>
      <c r="H492" s="141" t="str">
        <f t="shared" si="48"/>
        <v>EUR</v>
      </c>
      <c r="I492" s="409" t="s">
        <v>47</v>
      </c>
      <c r="J492" s="467" t="s">
        <v>16378</v>
      </c>
      <c r="L492" s="86" t="e">
        <f>VLOOKUP(B492,$B$11:B491,1,FALSE)</f>
        <v>#N/A</v>
      </c>
      <c r="M492" s="256">
        <f>G492*(1-FORM!$AE$28/100)</f>
        <v>0.29314000000000001</v>
      </c>
      <c r="AA492" s="463" t="s">
        <v>2747</v>
      </c>
      <c r="AB492" s="462" t="s">
        <v>2748</v>
      </c>
      <c r="AC492" s="462" t="s">
        <v>2749</v>
      </c>
      <c r="AD492" s="464">
        <v>151.81956</v>
      </c>
      <c r="AE492" s="465">
        <v>6.0735400000000004</v>
      </c>
      <c r="AF492" s="86">
        <f>IF(verze!$E$1="CZK",AD492,IF(verze!$E$1="SK",AE492,""))</f>
        <v>6.0735400000000004</v>
      </c>
    </row>
    <row r="493" spans="1:32" ht="15">
      <c r="A493" s="130"/>
      <c r="B493" s="298">
        <v>9257631</v>
      </c>
      <c r="C493" s="216" t="s">
        <v>906</v>
      </c>
      <c r="D493" s="217">
        <v>200</v>
      </c>
      <c r="E493" s="391"/>
      <c r="F493" s="262"/>
      <c r="G493" s="272">
        <f t="shared" si="45"/>
        <v>0.38140000000000002</v>
      </c>
      <c r="H493" s="141" t="str">
        <f t="shared" si="48"/>
        <v>EUR</v>
      </c>
      <c r="I493" s="409" t="s">
        <v>47</v>
      </c>
      <c r="J493" s="467" t="s">
        <v>16381</v>
      </c>
      <c r="L493" s="86" t="e">
        <f>VLOOKUP(B493,$B$11:B492,1,FALSE)</f>
        <v>#N/A</v>
      </c>
      <c r="M493" s="256">
        <f>G493*(1-FORM!$AE$28/100)</f>
        <v>0.38140000000000002</v>
      </c>
      <c r="AA493" s="463" t="s">
        <v>2750</v>
      </c>
      <c r="AB493" s="462" t="s">
        <v>2751</v>
      </c>
      <c r="AC493" s="462" t="s">
        <v>2752</v>
      </c>
      <c r="AD493" s="464">
        <v>53.49145</v>
      </c>
      <c r="AE493" s="465">
        <v>0</v>
      </c>
      <c r="AF493" s="86">
        <f>IF(verze!$E$1="CZK",AD493,IF(verze!$E$1="SK",AE493,""))</f>
        <v>0</v>
      </c>
    </row>
    <row r="494" spans="1:32" ht="15">
      <c r="A494" s="137"/>
      <c r="B494" s="298">
        <v>9257633</v>
      </c>
      <c r="C494" s="216" t="s">
        <v>907</v>
      </c>
      <c r="D494" s="217">
        <v>200</v>
      </c>
      <c r="E494" s="391"/>
      <c r="F494" s="262"/>
      <c r="G494" s="272">
        <f t="shared" si="45"/>
        <v>0.21284</v>
      </c>
      <c r="H494" s="141" t="str">
        <f t="shared" si="48"/>
        <v>EUR</v>
      </c>
      <c r="I494" s="409" t="s">
        <v>47</v>
      </c>
      <c r="J494" s="467" t="s">
        <v>16384</v>
      </c>
      <c r="L494" s="86" t="e">
        <f>VLOOKUP(B494,$B$11:B493,1,FALSE)</f>
        <v>#N/A</v>
      </c>
      <c r="M494" s="256">
        <f>G494*(1-FORM!$AE$28/100)</f>
        <v>0.21284</v>
      </c>
      <c r="AA494" s="463" t="s">
        <v>2753</v>
      </c>
      <c r="AB494" s="462" t="s">
        <v>2754</v>
      </c>
      <c r="AC494" s="462" t="s">
        <v>2755</v>
      </c>
      <c r="AD494" s="464">
        <v>50.685029999999998</v>
      </c>
      <c r="AE494" s="465">
        <v>2.0276399999999999</v>
      </c>
      <c r="AF494" s="86">
        <f>IF(verze!$E$1="CZK",AD494,IF(verze!$E$1="SK",AE494,""))</f>
        <v>2.0276399999999999</v>
      </c>
    </row>
    <row r="495" spans="1:32" ht="15">
      <c r="A495" s="137"/>
      <c r="B495" s="298">
        <v>9257634</v>
      </c>
      <c r="C495" s="216" t="s">
        <v>908</v>
      </c>
      <c r="D495" s="217">
        <v>200</v>
      </c>
      <c r="E495" s="391"/>
      <c r="F495" s="262"/>
      <c r="G495" s="272">
        <f t="shared" si="45"/>
        <v>0.29314000000000001</v>
      </c>
      <c r="H495" s="141" t="str">
        <f t="shared" si="48"/>
        <v>EUR</v>
      </c>
      <c r="I495" s="409" t="s">
        <v>47</v>
      </c>
      <c r="J495" s="467" t="s">
        <v>16387</v>
      </c>
      <c r="L495" s="86" t="e">
        <f>VLOOKUP(B495,$B$11:B494,1,FALSE)</f>
        <v>#N/A</v>
      </c>
      <c r="M495" s="256">
        <f>G495*(1-FORM!$AE$28/100)</f>
        <v>0.29314000000000001</v>
      </c>
      <c r="AA495" s="463" t="s">
        <v>2756</v>
      </c>
      <c r="AB495" s="462" t="s">
        <v>2757</v>
      </c>
      <c r="AC495" s="462" t="s">
        <v>2758</v>
      </c>
      <c r="AD495" s="464">
        <v>16.790700000000001</v>
      </c>
      <c r="AE495" s="465">
        <v>0.68864000000000003</v>
      </c>
      <c r="AF495" s="86">
        <f>IF(verze!$E$1="CZK",AD495,IF(verze!$E$1="SK",AE495,""))</f>
        <v>0.68864000000000003</v>
      </c>
    </row>
    <row r="496" spans="1:32" ht="15">
      <c r="A496" s="137"/>
      <c r="B496" s="298">
        <v>9257635</v>
      </c>
      <c r="C496" s="216" t="s">
        <v>909</v>
      </c>
      <c r="D496" s="217">
        <v>200</v>
      </c>
      <c r="E496" s="391"/>
      <c r="F496" s="262"/>
      <c r="G496" s="272">
        <f t="shared" si="45"/>
        <v>0.38140000000000002</v>
      </c>
      <c r="H496" s="141" t="str">
        <f t="shared" si="48"/>
        <v>EUR</v>
      </c>
      <c r="I496" s="409" t="s">
        <v>47</v>
      </c>
      <c r="J496" s="467" t="s">
        <v>16390</v>
      </c>
      <c r="L496" s="86" t="e">
        <f>VLOOKUP(B496,$B$11:B495,1,FALSE)</f>
        <v>#N/A</v>
      </c>
      <c r="M496" s="256">
        <f>G496*(1-FORM!$AE$28/100)</f>
        <v>0.38140000000000002</v>
      </c>
      <c r="AA496" s="463" t="s">
        <v>2759</v>
      </c>
      <c r="AB496" s="462" t="s">
        <v>2760</v>
      </c>
      <c r="AC496" s="462" t="s">
        <v>2761</v>
      </c>
      <c r="AD496" s="464">
        <v>28.036930000000002</v>
      </c>
      <c r="AE496" s="465">
        <v>1.14988</v>
      </c>
      <c r="AF496" s="86">
        <f>IF(verze!$E$1="CZK",AD496,IF(verze!$E$1="SK",AE496,""))</f>
        <v>1.14988</v>
      </c>
    </row>
    <row r="497" spans="1:32" ht="15">
      <c r="A497" s="139"/>
      <c r="B497" s="298">
        <v>9257637</v>
      </c>
      <c r="C497" s="216" t="s">
        <v>910</v>
      </c>
      <c r="D497" s="217">
        <v>200</v>
      </c>
      <c r="E497" s="391"/>
      <c r="F497" s="262"/>
      <c r="G497" s="272">
        <f t="shared" si="45"/>
        <v>0.21284</v>
      </c>
      <c r="H497" s="141" t="str">
        <f t="shared" si="48"/>
        <v>EUR</v>
      </c>
      <c r="I497" s="409" t="s">
        <v>47</v>
      </c>
      <c r="J497" s="467" t="s">
        <v>16393</v>
      </c>
      <c r="L497" s="86" t="e">
        <f>VLOOKUP(B497,$B$11:B496,1,FALSE)</f>
        <v>#N/A</v>
      </c>
      <c r="M497" s="256">
        <f>G497*(1-FORM!$AE$28/100)</f>
        <v>0.21284</v>
      </c>
      <c r="AA497" s="463" t="s">
        <v>2762</v>
      </c>
      <c r="AB497" s="462" t="s">
        <v>2763</v>
      </c>
      <c r="AC497" s="462" t="s">
        <v>2764</v>
      </c>
      <c r="AD497" s="464">
        <v>439.38395000000003</v>
      </c>
      <c r="AE497" s="465">
        <v>18.020679999999999</v>
      </c>
      <c r="AF497" s="86">
        <f>IF(verze!$E$1="CZK",AD497,IF(verze!$E$1="SK",AE497,""))</f>
        <v>18.020679999999999</v>
      </c>
    </row>
    <row r="498" spans="1:32" ht="15">
      <c r="A498" s="139"/>
      <c r="B498" s="298">
        <v>9257638</v>
      </c>
      <c r="C498" s="216" t="s">
        <v>911</v>
      </c>
      <c r="D498" s="217">
        <v>200</v>
      </c>
      <c r="E498" s="391"/>
      <c r="F498" s="262"/>
      <c r="G498" s="272">
        <f t="shared" si="45"/>
        <v>0.29314000000000001</v>
      </c>
      <c r="H498" s="141" t="str">
        <f t="shared" si="48"/>
        <v>EUR</v>
      </c>
      <c r="I498" s="409" t="s">
        <v>47</v>
      </c>
      <c r="J498" s="467" t="s">
        <v>16396</v>
      </c>
      <c r="L498" s="86" t="e">
        <f>VLOOKUP(B498,$B$11:B497,1,FALSE)</f>
        <v>#N/A</v>
      </c>
      <c r="M498" s="256">
        <f>G498*(1-FORM!$AE$28/100)</f>
        <v>0.29314000000000001</v>
      </c>
      <c r="AA498" s="463" t="s">
        <v>2765</v>
      </c>
      <c r="AB498" s="462" t="s">
        <v>2766</v>
      </c>
      <c r="AC498" s="462" t="s">
        <v>2767</v>
      </c>
      <c r="AD498" s="464">
        <v>14.36992</v>
      </c>
      <c r="AE498" s="465">
        <v>0.58935999999999999</v>
      </c>
      <c r="AF498" s="86">
        <f>IF(verze!$E$1="CZK",AD498,IF(verze!$E$1="SK",AE498,""))</f>
        <v>0.58935999999999999</v>
      </c>
    </row>
    <row r="499" spans="1:32" ht="15">
      <c r="A499" s="139"/>
      <c r="B499" s="303">
        <v>9257639</v>
      </c>
      <c r="C499" s="304" t="s">
        <v>912</v>
      </c>
      <c r="D499" s="226">
        <v>200</v>
      </c>
      <c r="E499" s="396"/>
      <c r="F499" s="268"/>
      <c r="G499" s="272">
        <f t="shared" si="45"/>
        <v>0.38140000000000002</v>
      </c>
      <c r="H499" s="142" t="str">
        <f t="shared" si="48"/>
        <v>EUR</v>
      </c>
      <c r="I499" s="417" t="s">
        <v>47</v>
      </c>
      <c r="J499" s="467" t="s">
        <v>16399</v>
      </c>
      <c r="L499" s="86" t="e">
        <f>VLOOKUP(B499,$B$11:B498,1,FALSE)</f>
        <v>#N/A</v>
      </c>
      <c r="M499" s="256">
        <f>G499*(1-FORM!$AE$28/100)</f>
        <v>0.38140000000000002</v>
      </c>
      <c r="AA499" s="463" t="s">
        <v>2768</v>
      </c>
      <c r="AB499" s="462" t="s">
        <v>2769</v>
      </c>
      <c r="AC499" s="462" t="s">
        <v>2770</v>
      </c>
      <c r="AD499" s="464">
        <v>1.9339299999999999</v>
      </c>
      <c r="AE499" s="465">
        <v>7.9320000000000002E-2</v>
      </c>
      <c r="AF499" s="86">
        <f>IF(verze!$E$1="CZK",AD499,IF(verze!$E$1="SK",AE499,""))</f>
        <v>7.9320000000000002E-2</v>
      </c>
    </row>
    <row r="500" spans="1:32" ht="15">
      <c r="A500" s="130"/>
      <c r="B500" s="301">
        <v>9257663</v>
      </c>
      <c r="C500" s="222" t="s">
        <v>913</v>
      </c>
      <c r="D500" s="223">
        <v>1</v>
      </c>
      <c r="E500" s="395"/>
      <c r="F500" s="266"/>
      <c r="G500" s="272">
        <f t="shared" si="45"/>
        <v>35.672049999999999</v>
      </c>
      <c r="H500" s="211" t="str">
        <f t="shared" si="48"/>
        <v>EUR</v>
      </c>
      <c r="I500" s="416" t="s">
        <v>47</v>
      </c>
      <c r="J500" s="467" t="s">
        <v>16441</v>
      </c>
      <c r="L500" s="86" t="e">
        <f>VLOOKUP(B500,$B$11:B499,1,FALSE)</f>
        <v>#N/A</v>
      </c>
      <c r="M500" s="256">
        <f>G500*(1-FORM!$AE$28/100)</f>
        <v>35.672049999999999</v>
      </c>
      <c r="AA500" s="463" t="s">
        <v>2771</v>
      </c>
      <c r="AB500" s="462" t="s">
        <v>2772</v>
      </c>
      <c r="AC500" s="462" t="s">
        <v>2773</v>
      </c>
      <c r="AD500" s="464">
        <v>694.14359999999999</v>
      </c>
      <c r="AE500" s="465">
        <v>27.769189999999998</v>
      </c>
      <c r="AF500" s="86">
        <f>IF(verze!$E$1="CZK",AD500,IF(verze!$E$1="SK",AE500,""))</f>
        <v>27.769189999999998</v>
      </c>
    </row>
    <row r="501" spans="1:32" ht="15">
      <c r="A501" s="137"/>
      <c r="B501" s="298">
        <v>9257664</v>
      </c>
      <c r="C501" s="216" t="s">
        <v>914</v>
      </c>
      <c r="D501" s="217">
        <v>1</v>
      </c>
      <c r="E501" s="391"/>
      <c r="F501" s="262"/>
      <c r="G501" s="272">
        <f t="shared" si="45"/>
        <v>35.672049999999999</v>
      </c>
      <c r="H501" s="141" t="str">
        <f t="shared" si="48"/>
        <v>EUR</v>
      </c>
      <c r="I501" s="409" t="s">
        <v>47</v>
      </c>
      <c r="J501" s="467" t="s">
        <v>16444</v>
      </c>
      <c r="L501" s="86" t="e">
        <f>VLOOKUP(B501,$B$11:B500,1,FALSE)</f>
        <v>#N/A</v>
      </c>
      <c r="M501" s="256">
        <f>G501*(1-FORM!$AE$28/100)</f>
        <v>35.672049999999999</v>
      </c>
      <c r="AA501" s="463" t="s">
        <v>2774</v>
      </c>
      <c r="AB501" s="462" t="s">
        <v>2775</v>
      </c>
      <c r="AC501" s="462" t="s">
        <v>2776</v>
      </c>
      <c r="AD501" s="464">
        <v>1.9946900000000001</v>
      </c>
      <c r="AE501" s="465">
        <v>8.1799999999999998E-2</v>
      </c>
      <c r="AF501" s="86">
        <f>IF(verze!$E$1="CZK",AD501,IF(verze!$E$1="SK",AE501,""))</f>
        <v>8.1799999999999998E-2</v>
      </c>
    </row>
    <row r="502" spans="1:32" ht="15">
      <c r="A502" s="139"/>
      <c r="B502" s="303">
        <v>9257665</v>
      </c>
      <c r="C502" s="304" t="s">
        <v>915</v>
      </c>
      <c r="D502" s="226">
        <v>1</v>
      </c>
      <c r="E502" s="396"/>
      <c r="F502" s="268"/>
      <c r="G502" s="272">
        <f t="shared" si="45"/>
        <v>35.672049999999999</v>
      </c>
      <c r="H502" s="142" t="str">
        <f t="shared" ref="H502:H515" si="49">IF(G502="","",$H$10)</f>
        <v>EUR</v>
      </c>
      <c r="I502" s="417" t="s">
        <v>47</v>
      </c>
      <c r="J502" s="467" t="s">
        <v>16447</v>
      </c>
      <c r="L502" s="86" t="e">
        <f>VLOOKUP(B502,$B$11:B501,1,FALSE)</f>
        <v>#N/A</v>
      </c>
      <c r="M502" s="256">
        <f>G502*(1-FORM!$AE$28/100)</f>
        <v>35.672049999999999</v>
      </c>
      <c r="AA502" s="463" t="s">
        <v>2777</v>
      </c>
      <c r="AB502" s="462" t="s">
        <v>2778</v>
      </c>
      <c r="AC502" s="462" t="s">
        <v>2779</v>
      </c>
      <c r="AD502" s="464">
        <v>2.4022999999999999</v>
      </c>
      <c r="AE502" s="465">
        <v>9.8519999999999996E-2</v>
      </c>
      <c r="AF502" s="86">
        <f>IF(verze!$E$1="CZK",AD502,IF(verze!$E$1="SK",AE502,""))</f>
        <v>9.8519999999999996E-2</v>
      </c>
    </row>
    <row r="503" spans="1:32" ht="15">
      <c r="A503" s="130"/>
      <c r="B503" s="301">
        <v>9257651</v>
      </c>
      <c r="C503" s="222" t="s">
        <v>916</v>
      </c>
      <c r="D503" s="223">
        <v>1</v>
      </c>
      <c r="E503" s="395"/>
      <c r="F503" s="266"/>
      <c r="G503" s="272">
        <f t="shared" si="45"/>
        <v>26.795850000000002</v>
      </c>
      <c r="H503" s="211" t="str">
        <f t="shared" si="49"/>
        <v>EUR</v>
      </c>
      <c r="I503" s="416" t="s">
        <v>47</v>
      </c>
      <c r="J503" s="467" t="s">
        <v>16423</v>
      </c>
      <c r="L503" s="86" t="e">
        <f>VLOOKUP(B503,$B$11:B502,1,FALSE)</f>
        <v>#N/A</v>
      </c>
      <c r="M503" s="256">
        <f>G503*(1-FORM!$AE$28/100)</f>
        <v>26.795850000000002</v>
      </c>
      <c r="AA503" s="463" t="s">
        <v>2780</v>
      </c>
      <c r="AB503" s="462" t="s">
        <v>2781</v>
      </c>
      <c r="AC503" s="462" t="s">
        <v>2782</v>
      </c>
      <c r="AD503" s="464">
        <v>4475.4578099999999</v>
      </c>
      <c r="AE503" s="465">
        <v>179.04058000000001</v>
      </c>
      <c r="AF503" s="86">
        <f>IF(verze!$E$1="CZK",AD503,IF(verze!$E$1="SK",AE503,""))</f>
        <v>179.04058000000001</v>
      </c>
    </row>
    <row r="504" spans="1:32" ht="15">
      <c r="A504" s="137"/>
      <c r="B504" s="298">
        <v>9257652</v>
      </c>
      <c r="C504" s="216" t="s">
        <v>917</v>
      </c>
      <c r="D504" s="217">
        <v>1</v>
      </c>
      <c r="E504" s="391"/>
      <c r="F504" s="262"/>
      <c r="G504" s="272">
        <f t="shared" si="45"/>
        <v>26.795850000000002</v>
      </c>
      <c r="H504" s="141" t="str">
        <f t="shared" si="49"/>
        <v>EUR</v>
      </c>
      <c r="I504" s="409" t="s">
        <v>47</v>
      </c>
      <c r="J504" s="467" t="s">
        <v>16426</v>
      </c>
      <c r="L504" s="86" t="e">
        <f>VLOOKUP(B504,$B$11:B503,1,FALSE)</f>
        <v>#N/A</v>
      </c>
      <c r="M504" s="256">
        <f>G504*(1-FORM!$AE$28/100)</f>
        <v>26.795850000000002</v>
      </c>
      <c r="AA504" s="463" t="s">
        <v>2780</v>
      </c>
      <c r="AB504" s="462" t="s">
        <v>2783</v>
      </c>
      <c r="AC504" s="462" t="s">
        <v>2784</v>
      </c>
      <c r="AD504" s="464">
        <v>1692.04665</v>
      </c>
      <c r="AE504" s="465">
        <v>67.875240000000005</v>
      </c>
      <c r="AF504" s="86">
        <f>IF(verze!$E$1="CZK",AD504,IF(verze!$E$1="SK",AE504,""))</f>
        <v>67.875240000000005</v>
      </c>
    </row>
    <row r="505" spans="1:32" ht="15">
      <c r="A505" s="139"/>
      <c r="B505" s="298">
        <v>9257653</v>
      </c>
      <c r="C505" s="216" t="s">
        <v>918</v>
      </c>
      <c r="D505" s="217">
        <v>1</v>
      </c>
      <c r="E505" s="391"/>
      <c r="F505" s="262"/>
      <c r="G505" s="272">
        <f t="shared" si="45"/>
        <v>26.795850000000002</v>
      </c>
      <c r="H505" s="141" t="str">
        <f t="shared" si="49"/>
        <v>EUR</v>
      </c>
      <c r="I505" s="409" t="s">
        <v>47</v>
      </c>
      <c r="J505" s="467" t="s">
        <v>16429</v>
      </c>
      <c r="L505" s="86" t="e">
        <f>VLOOKUP(B505,$B$11:B504,1,FALSE)</f>
        <v>#N/A</v>
      </c>
      <c r="M505" s="256">
        <f>G505*(1-FORM!$AE$28/100)</f>
        <v>26.795850000000002</v>
      </c>
      <c r="AA505" s="463" t="s">
        <v>2785</v>
      </c>
      <c r="AB505" s="462" t="s">
        <v>2786</v>
      </c>
      <c r="AC505" s="462" t="s">
        <v>2787</v>
      </c>
      <c r="AD505" s="464">
        <v>656.08218999999997</v>
      </c>
      <c r="AE505" s="465">
        <v>26.246559999999999</v>
      </c>
      <c r="AF505" s="86">
        <f>IF(verze!$E$1="CZK",AD505,IF(verze!$E$1="SK",AE505,""))</f>
        <v>26.246559999999999</v>
      </c>
    </row>
    <row r="506" spans="1:32" ht="15">
      <c r="A506" s="130"/>
      <c r="B506" s="298">
        <v>9257657</v>
      </c>
      <c r="C506" s="216" t="s">
        <v>919</v>
      </c>
      <c r="D506" s="217">
        <v>1</v>
      </c>
      <c r="E506" s="391"/>
      <c r="F506" s="262"/>
      <c r="G506" s="272">
        <f t="shared" si="45"/>
        <v>26.795850000000002</v>
      </c>
      <c r="H506" s="141" t="str">
        <f t="shared" si="49"/>
        <v>EUR</v>
      </c>
      <c r="I506" s="409" t="s">
        <v>47</v>
      </c>
      <c r="J506" s="467" t="s">
        <v>16432</v>
      </c>
      <c r="L506" s="86" t="e">
        <f>VLOOKUP(B506,$B$11:B505,1,FALSE)</f>
        <v>#N/A</v>
      </c>
      <c r="M506" s="256">
        <f>G506*(1-FORM!$AE$28/100)</f>
        <v>26.795850000000002</v>
      </c>
      <c r="AA506" s="463" t="s">
        <v>2785</v>
      </c>
      <c r="AB506" s="462" t="s">
        <v>2788</v>
      </c>
      <c r="AC506" s="462" t="s">
        <v>2789</v>
      </c>
      <c r="AD506" s="464">
        <v>248.0461</v>
      </c>
      <c r="AE506" s="465">
        <v>9.9502000000000006</v>
      </c>
      <c r="AF506" s="86">
        <f>IF(verze!$E$1="CZK",AD506,IF(verze!$E$1="SK",AE506,""))</f>
        <v>9.9502000000000006</v>
      </c>
    </row>
    <row r="507" spans="1:32" ht="15">
      <c r="A507" s="137"/>
      <c r="B507" s="298">
        <v>9257658</v>
      </c>
      <c r="C507" s="216" t="s">
        <v>920</v>
      </c>
      <c r="D507" s="217">
        <v>1</v>
      </c>
      <c r="E507" s="391"/>
      <c r="F507" s="262"/>
      <c r="G507" s="272">
        <f t="shared" si="45"/>
        <v>26.795850000000002</v>
      </c>
      <c r="H507" s="141" t="str">
        <f t="shared" si="49"/>
        <v>EUR</v>
      </c>
      <c r="I507" s="409" t="s">
        <v>47</v>
      </c>
      <c r="J507" s="467" t="s">
        <v>16435</v>
      </c>
      <c r="L507" s="86" t="e">
        <f>VLOOKUP(B507,$B$11:B506,1,FALSE)</f>
        <v>#N/A</v>
      </c>
      <c r="M507" s="256">
        <f>G507*(1-FORM!$AE$28/100)</f>
        <v>26.795850000000002</v>
      </c>
      <c r="AA507" s="463" t="s">
        <v>2790</v>
      </c>
      <c r="AB507" s="462" t="s">
        <v>2791</v>
      </c>
      <c r="AC507" s="462" t="s">
        <v>2792</v>
      </c>
      <c r="AD507" s="464">
        <v>2462.00126</v>
      </c>
      <c r="AE507" s="465">
        <v>98.492310000000003</v>
      </c>
      <c r="AF507" s="86">
        <f>IF(verze!$E$1="CZK",AD507,IF(verze!$E$1="SK",AE507,""))</f>
        <v>98.492310000000003</v>
      </c>
    </row>
    <row r="508" spans="1:32" ht="15">
      <c r="A508" s="139"/>
      <c r="B508" s="303">
        <v>9257659</v>
      </c>
      <c r="C508" s="304" t="s">
        <v>921</v>
      </c>
      <c r="D508" s="226">
        <v>1</v>
      </c>
      <c r="E508" s="396"/>
      <c r="F508" s="268"/>
      <c r="G508" s="272">
        <f t="shared" si="45"/>
        <v>26.795850000000002</v>
      </c>
      <c r="H508" s="142" t="str">
        <f t="shared" si="49"/>
        <v>EUR</v>
      </c>
      <c r="I508" s="417" t="s">
        <v>47</v>
      </c>
      <c r="J508" s="468" t="s">
        <v>16438</v>
      </c>
      <c r="L508" s="86" t="e">
        <f>VLOOKUP(B508,$B$11:B507,1,FALSE)</f>
        <v>#N/A</v>
      </c>
      <c r="M508" s="256">
        <f>G508*(1-FORM!$AE$28/100)</f>
        <v>26.795850000000002</v>
      </c>
      <c r="AA508" s="463" t="s">
        <v>2790</v>
      </c>
      <c r="AB508" s="462" t="s">
        <v>2793</v>
      </c>
      <c r="AC508" s="462" t="s">
        <v>2794</v>
      </c>
      <c r="AD508" s="464">
        <v>930.81410000000005</v>
      </c>
      <c r="AE508" s="465">
        <v>37.338949999999997</v>
      </c>
      <c r="AF508" s="86">
        <f>IF(verze!$E$1="CZK",AD508,IF(verze!$E$1="SK",AE508,""))</f>
        <v>37.338949999999997</v>
      </c>
    </row>
    <row r="509" spans="1:32" ht="15">
      <c r="B509" s="301"/>
      <c r="C509" s="222"/>
      <c r="D509" s="223"/>
      <c r="E509" s="395"/>
      <c r="F509" s="266"/>
      <c r="G509" s="272"/>
      <c r="H509" s="211"/>
      <c r="I509" s="416" t="s">
        <v>47</v>
      </c>
      <c r="J509" s="469"/>
      <c r="L509" s="86" t="e">
        <f>VLOOKUP(B509,$B$11:B508,1,FALSE)</f>
        <v>#N/A</v>
      </c>
      <c r="M509" s="256">
        <f>G509*(1-FORM!$AE$28/100)</f>
        <v>0</v>
      </c>
      <c r="AA509" s="463" t="s">
        <v>2795</v>
      </c>
      <c r="AB509" s="462" t="s">
        <v>2796</v>
      </c>
      <c r="AC509" s="462" t="s">
        <v>2797</v>
      </c>
      <c r="AD509" s="464">
        <v>161.9365</v>
      </c>
      <c r="AE509" s="465">
        <v>6.4782799999999998</v>
      </c>
      <c r="AF509" s="86">
        <f>IF(verze!$E$1="CZK",AD509,IF(verze!$E$1="SK",AE509,""))</f>
        <v>6.4782799999999998</v>
      </c>
    </row>
    <row r="510" spans="1:32" ht="15">
      <c r="B510" s="424">
        <v>9347484</v>
      </c>
      <c r="C510" s="222" t="s">
        <v>1159</v>
      </c>
      <c r="D510" s="217">
        <v>100</v>
      </c>
      <c r="E510" s="391"/>
      <c r="F510" s="262"/>
      <c r="G510" s="272">
        <f t="shared" si="45"/>
        <v>1.3598600000000001</v>
      </c>
      <c r="H510" s="141" t="str">
        <f t="shared" si="49"/>
        <v>EUR</v>
      </c>
      <c r="I510" s="409" t="s">
        <v>47</v>
      </c>
      <c r="J510" s="467" t="s">
        <v>20098</v>
      </c>
      <c r="L510" s="86" t="e">
        <f>VLOOKUP(B510,$B$11:B509,1,FALSE)</f>
        <v>#N/A</v>
      </c>
      <c r="M510" s="256">
        <f>G510*(1-FORM!$AE$28/100)</f>
        <v>1.3598600000000001</v>
      </c>
      <c r="AA510" s="463" t="s">
        <v>2795</v>
      </c>
      <c r="AB510" s="462" t="s">
        <v>2798</v>
      </c>
      <c r="AC510" s="462" t="s">
        <v>2799</v>
      </c>
      <c r="AD510" s="464">
        <v>61.223750000000003</v>
      </c>
      <c r="AE510" s="465">
        <v>2.4559500000000001</v>
      </c>
      <c r="AF510" s="86">
        <f>IF(verze!$E$1="CZK",AD510,IF(verze!$E$1="SK",AE510,""))</f>
        <v>2.4559500000000001</v>
      </c>
    </row>
    <row r="511" spans="1:32" ht="15">
      <c r="B511" s="425">
        <v>9347485</v>
      </c>
      <c r="C511" s="216" t="s">
        <v>1160</v>
      </c>
      <c r="D511" s="217">
        <v>100</v>
      </c>
      <c r="E511" s="391"/>
      <c r="F511" s="262"/>
      <c r="G511" s="272">
        <f t="shared" si="45"/>
        <v>1.3748499999999999</v>
      </c>
      <c r="H511" s="141" t="str">
        <f t="shared" si="49"/>
        <v>EUR</v>
      </c>
      <c r="I511" s="409" t="s">
        <v>47</v>
      </c>
      <c r="J511" s="467" t="s">
        <v>20101</v>
      </c>
      <c r="L511" s="86" t="e">
        <f>VLOOKUP(B511,$B$11:B510,1,FALSE)</f>
        <v>#N/A</v>
      </c>
      <c r="M511" s="256">
        <f>G511*(1-FORM!$AE$28/100)</f>
        <v>1.3748499999999999</v>
      </c>
      <c r="AA511" s="463" t="s">
        <v>2800</v>
      </c>
      <c r="AB511" s="462" t="s">
        <v>2801</v>
      </c>
      <c r="AC511" s="462" t="s">
        <v>2802</v>
      </c>
      <c r="AD511" s="464">
        <v>753.09108000000003</v>
      </c>
      <c r="AE511" s="465">
        <v>30.127400000000002</v>
      </c>
      <c r="AF511" s="86">
        <f>IF(verze!$E$1="CZK",AD511,IF(verze!$E$1="SK",AE511,""))</f>
        <v>30.127400000000002</v>
      </c>
    </row>
    <row r="512" spans="1:32" ht="15">
      <c r="B512" s="425">
        <v>9347486</v>
      </c>
      <c r="C512" s="216" t="s">
        <v>1161</v>
      </c>
      <c r="D512" s="217">
        <v>100</v>
      </c>
      <c r="E512" s="391"/>
      <c r="F512" s="262"/>
      <c r="G512" s="272">
        <f t="shared" si="45"/>
        <v>1.4002600000000001</v>
      </c>
      <c r="H512" s="141" t="str">
        <f t="shared" si="49"/>
        <v>EUR</v>
      </c>
      <c r="I512" s="409" t="s">
        <v>47</v>
      </c>
      <c r="J512" s="467" t="s">
        <v>20104</v>
      </c>
      <c r="L512" s="86" t="e">
        <f>VLOOKUP(B512,$B$11:B511,1,FALSE)</f>
        <v>#N/A</v>
      </c>
      <c r="M512" s="256">
        <f>G512*(1-FORM!$AE$28/100)</f>
        <v>1.4002600000000001</v>
      </c>
      <c r="AA512" s="463" t="s">
        <v>2800</v>
      </c>
      <c r="AB512" s="462" t="s">
        <v>2803</v>
      </c>
      <c r="AC512" s="462" t="s">
        <v>2804</v>
      </c>
      <c r="AD512" s="464">
        <v>284.72320000000002</v>
      </c>
      <c r="AE512" s="465">
        <v>11.421469999999999</v>
      </c>
      <c r="AF512" s="86">
        <f>IF(verze!$E$1="CZK",AD512,IF(verze!$E$1="SK",AE512,""))</f>
        <v>11.421469999999999</v>
      </c>
    </row>
    <row r="513" spans="2:32" ht="15">
      <c r="B513" s="425">
        <v>9347487</v>
      </c>
      <c r="C513" s="216" t="s">
        <v>1162</v>
      </c>
      <c r="D513" s="217">
        <v>100</v>
      </c>
      <c r="E513" s="391"/>
      <c r="F513" s="262"/>
      <c r="G513" s="272">
        <f t="shared" si="45"/>
        <v>1.4254199999999999</v>
      </c>
      <c r="H513" s="141" t="str">
        <f t="shared" si="49"/>
        <v>EUR</v>
      </c>
      <c r="I513" s="409" t="s">
        <v>47</v>
      </c>
      <c r="J513" s="467" t="s">
        <v>20107</v>
      </c>
      <c r="L513" s="86" t="e">
        <f>VLOOKUP(B513,$B$11:B512,1,FALSE)</f>
        <v>#N/A</v>
      </c>
      <c r="M513" s="256">
        <f>G513*(1-FORM!$AE$28/100)</f>
        <v>1.4254199999999999</v>
      </c>
      <c r="AA513" s="463" t="s">
        <v>2805</v>
      </c>
      <c r="AB513" s="462" t="s">
        <v>2806</v>
      </c>
      <c r="AC513" s="462" t="s">
        <v>2807</v>
      </c>
      <c r="AD513" s="464">
        <v>3100.13042</v>
      </c>
      <c r="AE513" s="465">
        <v>124.02066000000001</v>
      </c>
      <c r="AF513" s="86">
        <f>IF(verze!$E$1="CZK",AD513,IF(verze!$E$1="SK",AE513,""))</f>
        <v>124.02066000000001</v>
      </c>
    </row>
    <row r="514" spans="2:32" ht="15">
      <c r="B514" s="425">
        <v>9347488</v>
      </c>
      <c r="C514" s="216" t="s">
        <v>1163</v>
      </c>
      <c r="D514" s="217">
        <v>100</v>
      </c>
      <c r="E514" s="391"/>
      <c r="F514" s="262"/>
      <c r="G514" s="272">
        <f t="shared" si="45"/>
        <v>1.4508099999999999</v>
      </c>
      <c r="H514" s="141" t="str">
        <f t="shared" si="49"/>
        <v>EUR</v>
      </c>
      <c r="I514" s="409" t="s">
        <v>47</v>
      </c>
      <c r="J514" s="467" t="s">
        <v>20110</v>
      </c>
      <c r="L514" s="86" t="e">
        <f>VLOOKUP(B514,$B$11:B513,1,FALSE)</f>
        <v>#N/A</v>
      </c>
      <c r="M514" s="256">
        <f>G514*(1-FORM!$AE$28/100)</f>
        <v>1.4508099999999999</v>
      </c>
      <c r="AA514" s="463" t="s">
        <v>2805</v>
      </c>
      <c r="AB514" s="462" t="s">
        <v>2808</v>
      </c>
      <c r="AC514" s="462" t="s">
        <v>2809</v>
      </c>
      <c r="AD514" s="464">
        <v>1172.0733499999999</v>
      </c>
      <c r="AE514" s="465">
        <v>47.016889999999997</v>
      </c>
      <c r="AF514" s="86">
        <f>IF(verze!$E$1="CZK",AD514,IF(verze!$E$1="SK",AE514,""))</f>
        <v>47.016889999999997</v>
      </c>
    </row>
    <row r="515" spans="2:32" ht="15">
      <c r="B515" s="425">
        <v>9347489</v>
      </c>
      <c r="C515" s="216" t="s">
        <v>1164</v>
      </c>
      <c r="D515" s="217">
        <v>100</v>
      </c>
      <c r="E515" s="391"/>
      <c r="F515" s="262"/>
      <c r="G515" s="272">
        <f t="shared" si="45"/>
        <v>1.47607</v>
      </c>
      <c r="H515" s="141" t="str">
        <f t="shared" si="49"/>
        <v>EUR</v>
      </c>
      <c r="I515" s="409" t="s">
        <v>47</v>
      </c>
      <c r="J515" s="467" t="s">
        <v>20113</v>
      </c>
      <c r="L515" s="86" t="e">
        <f>VLOOKUP(B515,$B$11:B514,1,FALSE)</f>
        <v>#N/A</v>
      </c>
      <c r="M515" s="256">
        <f>G515*(1-FORM!$AE$28/100)</f>
        <v>1.47607</v>
      </c>
      <c r="AA515" s="463" t="s">
        <v>2810</v>
      </c>
      <c r="AB515" s="462" t="s">
        <v>2811</v>
      </c>
      <c r="AC515" s="462" t="s">
        <v>2812</v>
      </c>
      <c r="AD515" s="464">
        <v>1651.6331700000001</v>
      </c>
      <c r="AE515" s="465">
        <v>74.890940000000001</v>
      </c>
      <c r="AF515" s="86">
        <f>IF(verze!$E$1="CZK",AD515,IF(verze!$E$1="SK",AE515,""))</f>
        <v>74.890940000000001</v>
      </c>
    </row>
    <row r="516" spans="2:32" ht="15">
      <c r="B516" s="425">
        <v>9347490</v>
      </c>
      <c r="C516" s="216" t="s">
        <v>1165</v>
      </c>
      <c r="D516" s="217">
        <v>100</v>
      </c>
      <c r="E516" s="391"/>
      <c r="F516" s="262"/>
      <c r="G516" s="272">
        <f t="shared" si="45"/>
        <v>1.5012099999999999</v>
      </c>
      <c r="H516" s="141" t="str">
        <f>IF(G516="","",$H$10)</f>
        <v>EUR</v>
      </c>
      <c r="I516" s="409" t="s">
        <v>47</v>
      </c>
      <c r="J516" s="467" t="s">
        <v>20116</v>
      </c>
      <c r="L516" s="86" t="e">
        <f>VLOOKUP(B516,$B$11:B515,1,FALSE)</f>
        <v>#N/A</v>
      </c>
      <c r="M516" s="256">
        <f>G516*(1-FORM!$AE$28/100)</f>
        <v>1.5012099999999999</v>
      </c>
      <c r="AA516" s="463" t="s">
        <v>2813</v>
      </c>
      <c r="AB516" s="462" t="s">
        <v>2814</v>
      </c>
      <c r="AC516" s="462" t="s">
        <v>2815</v>
      </c>
      <c r="AD516" s="464">
        <v>910.09163999999998</v>
      </c>
      <c r="AE516" s="465">
        <v>43.778700000000001</v>
      </c>
      <c r="AF516" s="86">
        <f>IF(verze!$E$1="CZK",AD516,IF(verze!$E$1="SK",AE516,""))</f>
        <v>43.778700000000001</v>
      </c>
    </row>
    <row r="517" spans="2:32" ht="15">
      <c r="B517" s="425">
        <v>9347491</v>
      </c>
      <c r="C517" s="216" t="s">
        <v>1166</v>
      </c>
      <c r="D517" s="217">
        <v>100</v>
      </c>
      <c r="E517" s="391"/>
      <c r="F517" s="262"/>
      <c r="G517" s="272">
        <f t="shared" si="45"/>
        <v>1.56626</v>
      </c>
      <c r="H517" s="141" t="str">
        <f>IF(G517="","",$H$10)</f>
        <v>EUR</v>
      </c>
      <c r="I517" s="409" t="s">
        <v>47</v>
      </c>
      <c r="J517" s="467" t="s">
        <v>20119</v>
      </c>
      <c r="L517" s="86" t="e">
        <f>VLOOKUP(B517,$B$11:B516,1,FALSE)</f>
        <v>#N/A</v>
      </c>
      <c r="M517" s="256">
        <f>G517*(1-FORM!$AE$28/100)</f>
        <v>1.56626</v>
      </c>
      <c r="AA517" s="463" t="s">
        <v>2816</v>
      </c>
      <c r="AB517" s="462" t="s">
        <v>2817</v>
      </c>
      <c r="AC517" s="462" t="s">
        <v>2818</v>
      </c>
      <c r="AD517" s="464">
        <v>443.68299000000002</v>
      </c>
      <c r="AE517" s="465">
        <v>19.29984</v>
      </c>
      <c r="AF517" s="86">
        <f>IF(verze!$E$1="CZK",AD517,IF(verze!$E$1="SK",AE517,""))</f>
        <v>19.29984</v>
      </c>
    </row>
    <row r="518" spans="2:32" ht="15">
      <c r="B518" s="426">
        <v>9347492</v>
      </c>
      <c r="C518" s="304" t="s">
        <v>1167</v>
      </c>
      <c r="D518" s="226">
        <v>100</v>
      </c>
      <c r="E518" s="396"/>
      <c r="F518" s="268"/>
      <c r="G518" s="272">
        <f t="shared" si="45"/>
        <v>1.68916</v>
      </c>
      <c r="H518" s="142" t="str">
        <f t="shared" ref="H518:H525" si="50">IF(G518="","",$H$10)</f>
        <v>EUR</v>
      </c>
      <c r="I518" s="417" t="s">
        <v>47</v>
      </c>
      <c r="J518" s="468" t="s">
        <v>20122</v>
      </c>
      <c r="L518" s="86" t="e">
        <f>VLOOKUP(B518,$B$11:B517,1,FALSE)</f>
        <v>#N/A</v>
      </c>
      <c r="M518" s="256">
        <f>G518*(1-FORM!$AE$28/100)</f>
        <v>1.68916</v>
      </c>
      <c r="AA518" s="463" t="s">
        <v>2819</v>
      </c>
      <c r="AB518" s="462" t="s">
        <v>2820</v>
      </c>
      <c r="AC518" s="462" t="s">
        <v>2821</v>
      </c>
      <c r="AD518" s="464">
        <v>443.68299000000002</v>
      </c>
      <c r="AE518" s="465">
        <v>19.29984</v>
      </c>
      <c r="AF518" s="86">
        <f>IF(verze!$E$1="CZK",AD518,IF(verze!$E$1="SK",AE518,""))</f>
        <v>19.29984</v>
      </c>
    </row>
    <row r="519" spans="2:32" ht="15">
      <c r="B519" s="427">
        <v>9255759</v>
      </c>
      <c r="C519" s="428" t="s">
        <v>922</v>
      </c>
      <c r="D519" s="223">
        <v>100</v>
      </c>
      <c r="E519" s="395"/>
      <c r="F519" s="266"/>
      <c r="G519" s="272">
        <f t="shared" si="45"/>
        <v>0</v>
      </c>
      <c r="H519" s="211" t="str">
        <f t="shared" si="50"/>
        <v>EUR</v>
      </c>
      <c r="I519" s="416" t="s">
        <v>47</v>
      </c>
      <c r="J519" s="469" t="s">
        <v>15567</v>
      </c>
      <c r="L519" s="86" t="e">
        <f>VLOOKUP(B519,$B$11:B518,1,FALSE)</f>
        <v>#N/A</v>
      </c>
      <c r="M519" s="256">
        <f>G519*(1-FORM!$AE$28/100)</f>
        <v>0</v>
      </c>
      <c r="AA519" s="463" t="s">
        <v>2822</v>
      </c>
      <c r="AB519" s="462" t="s">
        <v>2823</v>
      </c>
      <c r="AC519" s="462" t="s">
        <v>2824</v>
      </c>
      <c r="AD519" s="464">
        <v>94.424369999999996</v>
      </c>
      <c r="AE519" s="465">
        <v>4.5421500000000004</v>
      </c>
      <c r="AF519" s="86">
        <f>IF(verze!$E$1="CZK",AD519,IF(verze!$E$1="SK",AE519,""))</f>
        <v>4.5421500000000004</v>
      </c>
    </row>
    <row r="520" spans="2:32" ht="15">
      <c r="B520" s="427">
        <v>9255760</v>
      </c>
      <c r="C520" s="428" t="s">
        <v>923</v>
      </c>
      <c r="D520" s="217">
        <v>100</v>
      </c>
      <c r="E520" s="391"/>
      <c r="F520" s="262"/>
      <c r="G520" s="272">
        <f t="shared" si="45"/>
        <v>0</v>
      </c>
      <c r="H520" s="141" t="str">
        <f t="shared" si="50"/>
        <v>EUR</v>
      </c>
      <c r="I520" s="409" t="s">
        <v>47</v>
      </c>
      <c r="J520" s="467" t="s">
        <v>15570</v>
      </c>
      <c r="L520" s="86" t="e">
        <f>VLOOKUP(B520,$B$11:B519,1,FALSE)</f>
        <v>#N/A</v>
      </c>
      <c r="M520" s="256">
        <f>G520*(1-FORM!$AE$28/100)</f>
        <v>0</v>
      </c>
      <c r="AA520" s="463" t="s">
        <v>2825</v>
      </c>
      <c r="AB520" s="462" t="s">
        <v>2826</v>
      </c>
      <c r="AC520" s="462" t="s">
        <v>2827</v>
      </c>
      <c r="AD520" s="464">
        <v>97.58623</v>
      </c>
      <c r="AE520" s="465">
        <v>4.6942599999999999</v>
      </c>
      <c r="AF520" s="86">
        <f>IF(verze!$E$1="CZK",AD520,IF(verze!$E$1="SK",AE520,""))</f>
        <v>4.6942599999999999</v>
      </c>
    </row>
    <row r="521" spans="2:32" ht="15">
      <c r="B521" s="427">
        <v>9255761</v>
      </c>
      <c r="C521" s="428" t="s">
        <v>924</v>
      </c>
      <c r="D521" s="217">
        <v>100</v>
      </c>
      <c r="E521" s="391"/>
      <c r="F521" s="262"/>
      <c r="G521" s="272">
        <f t="shared" si="45"/>
        <v>0</v>
      </c>
      <c r="H521" s="141" t="str">
        <f t="shared" si="50"/>
        <v>EUR</v>
      </c>
      <c r="I521" s="409" t="s">
        <v>47</v>
      </c>
      <c r="J521" s="467" t="s">
        <v>15573</v>
      </c>
      <c r="L521" s="86" t="e">
        <f>VLOOKUP(B521,$B$11:B520,1,FALSE)</f>
        <v>#N/A</v>
      </c>
      <c r="M521" s="256">
        <f>G521*(1-FORM!$AE$28/100)</f>
        <v>0</v>
      </c>
      <c r="AA521" s="463" t="s">
        <v>2828</v>
      </c>
      <c r="AB521" s="462" t="s">
        <v>2829</v>
      </c>
      <c r="AC521" s="462" t="s">
        <v>2830</v>
      </c>
      <c r="AD521" s="464">
        <v>154.88947999999999</v>
      </c>
      <c r="AE521" s="465">
        <v>7.4507399999999997</v>
      </c>
      <c r="AF521" s="86">
        <f>IF(verze!$E$1="CZK",AD521,IF(verze!$E$1="SK",AE521,""))</f>
        <v>7.4507399999999997</v>
      </c>
    </row>
    <row r="522" spans="2:32" ht="15">
      <c r="B522" s="427">
        <v>9255762</v>
      </c>
      <c r="C522" s="428" t="s">
        <v>925</v>
      </c>
      <c r="D522" s="217">
        <v>100</v>
      </c>
      <c r="E522" s="391"/>
      <c r="F522" s="262"/>
      <c r="G522" s="272">
        <f t="shared" si="45"/>
        <v>0</v>
      </c>
      <c r="H522" s="141" t="str">
        <f t="shared" si="50"/>
        <v>EUR</v>
      </c>
      <c r="I522" s="409" t="s">
        <v>47</v>
      </c>
      <c r="J522" s="467" t="s">
        <v>15576</v>
      </c>
      <c r="L522" s="86" t="e">
        <f>VLOOKUP(B522,$B$11:B521,1,FALSE)</f>
        <v>#N/A</v>
      </c>
      <c r="M522" s="256">
        <f>G522*(1-FORM!$AE$28/100)</f>
        <v>0</v>
      </c>
      <c r="AA522" s="463" t="s">
        <v>2831</v>
      </c>
      <c r="AB522" s="462" t="s">
        <v>2832</v>
      </c>
      <c r="AC522" s="462" t="s">
        <v>2833</v>
      </c>
      <c r="AD522" s="464">
        <v>154.88947999999999</v>
      </c>
      <c r="AE522" s="465">
        <v>7.4507399999999997</v>
      </c>
      <c r="AF522" s="86">
        <f>IF(verze!$E$1="CZK",AD522,IF(verze!$E$1="SK",AE522,""))</f>
        <v>7.4507399999999997</v>
      </c>
    </row>
    <row r="523" spans="2:32" ht="15">
      <c r="B523" s="427">
        <v>9255763</v>
      </c>
      <c r="C523" s="428" t="s">
        <v>926</v>
      </c>
      <c r="D523" s="217">
        <v>100</v>
      </c>
      <c r="E523" s="391"/>
      <c r="F523" s="262"/>
      <c r="G523" s="272">
        <f t="shared" si="45"/>
        <v>0</v>
      </c>
      <c r="H523" s="141" t="str">
        <f t="shared" si="50"/>
        <v>EUR</v>
      </c>
      <c r="I523" s="409" t="s">
        <v>47</v>
      </c>
      <c r="J523" s="467" t="s">
        <v>15579</v>
      </c>
      <c r="L523" s="86" t="e">
        <f>VLOOKUP(B523,$B$11:B522,1,FALSE)</f>
        <v>#N/A</v>
      </c>
      <c r="M523" s="256">
        <f>G523*(1-FORM!$AE$28/100)</f>
        <v>0</v>
      </c>
      <c r="AA523" s="463" t="s">
        <v>2831</v>
      </c>
      <c r="AB523" s="462" t="s">
        <v>2834</v>
      </c>
      <c r="AC523" s="462" t="s">
        <v>2835</v>
      </c>
      <c r="AD523" s="464">
        <v>154.88947999999999</v>
      </c>
      <c r="AE523" s="465">
        <v>7.4507399999999997</v>
      </c>
      <c r="AF523" s="86">
        <f>IF(verze!$E$1="CZK",AD523,IF(verze!$E$1="SK",AE523,""))</f>
        <v>7.4507399999999997</v>
      </c>
    </row>
    <row r="524" spans="2:32" ht="15">
      <c r="B524" s="427">
        <v>9255764</v>
      </c>
      <c r="C524" s="428" t="s">
        <v>927</v>
      </c>
      <c r="D524" s="217">
        <v>100</v>
      </c>
      <c r="E524" s="391"/>
      <c r="F524" s="262"/>
      <c r="G524" s="272">
        <f t="shared" si="45"/>
        <v>0</v>
      </c>
      <c r="H524" s="141" t="str">
        <f t="shared" si="50"/>
        <v>EUR</v>
      </c>
      <c r="I524" s="409" t="s">
        <v>47</v>
      </c>
      <c r="J524" s="467" t="s">
        <v>15582</v>
      </c>
      <c r="L524" s="86" t="e">
        <f>VLOOKUP(B524,$B$11:B523,1,FALSE)</f>
        <v>#N/A</v>
      </c>
      <c r="M524" s="256">
        <f>G524*(1-FORM!$AE$28/100)</f>
        <v>0</v>
      </c>
      <c r="AA524" s="463" t="s">
        <v>2836</v>
      </c>
      <c r="AB524" s="462" t="s">
        <v>2837</v>
      </c>
      <c r="AC524" s="462" t="s">
        <v>2838</v>
      </c>
      <c r="AD524" s="464">
        <v>169.26124999999999</v>
      </c>
      <c r="AE524" s="465">
        <v>8.14208</v>
      </c>
      <c r="AF524" s="86">
        <f>IF(verze!$E$1="CZK",AD524,IF(verze!$E$1="SK",AE524,""))</f>
        <v>8.14208</v>
      </c>
    </row>
    <row r="525" spans="2:32" ht="15">
      <c r="B525" s="427">
        <v>9255765</v>
      </c>
      <c r="C525" s="428" t="s">
        <v>928</v>
      </c>
      <c r="D525" s="217">
        <v>100</v>
      </c>
      <c r="E525" s="391"/>
      <c r="F525" s="262"/>
      <c r="G525" s="272">
        <f t="shared" ref="G525:G588" si="51">VLOOKUP(J525,AB:AF,5,0)</f>
        <v>0</v>
      </c>
      <c r="H525" s="141" t="str">
        <f t="shared" si="50"/>
        <v>EUR</v>
      </c>
      <c r="I525" s="409" t="s">
        <v>47</v>
      </c>
      <c r="J525" s="467" t="s">
        <v>15585</v>
      </c>
      <c r="L525" s="86" t="e">
        <f>VLOOKUP(B525,$B$11:B524,1,FALSE)</f>
        <v>#N/A</v>
      </c>
      <c r="M525" s="256">
        <f>G525*(1-FORM!$AE$28/100)</f>
        <v>0</v>
      </c>
      <c r="AA525" s="463" t="s">
        <v>2839</v>
      </c>
      <c r="AB525" s="462" t="s">
        <v>2840</v>
      </c>
      <c r="AC525" s="462" t="s">
        <v>2841</v>
      </c>
      <c r="AD525" s="464">
        <v>154.88947999999999</v>
      </c>
      <c r="AE525" s="465">
        <v>7.4507399999999997</v>
      </c>
      <c r="AF525" s="86">
        <f>IF(verze!$E$1="CZK",AD525,IF(verze!$E$1="SK",AE525,""))</f>
        <v>7.4507399999999997</v>
      </c>
    </row>
    <row r="526" spans="2:32" ht="15">
      <c r="B526" s="427">
        <v>9255766</v>
      </c>
      <c r="C526" s="428" t="s">
        <v>929</v>
      </c>
      <c r="D526" s="217">
        <v>100</v>
      </c>
      <c r="E526" s="391"/>
      <c r="F526" s="262"/>
      <c r="G526" s="272">
        <f t="shared" si="51"/>
        <v>0</v>
      </c>
      <c r="H526" s="141" t="str">
        <f t="shared" ref="H526:H539" si="52">IF(G526="","",$H$10)</f>
        <v>EUR</v>
      </c>
      <c r="I526" s="409" t="s">
        <v>47</v>
      </c>
      <c r="J526" s="467" t="s">
        <v>15588</v>
      </c>
      <c r="L526" s="86" t="e">
        <f>VLOOKUP(B526,$B$11:B525,1,FALSE)</f>
        <v>#N/A</v>
      </c>
      <c r="M526" s="256">
        <f>G526*(1-FORM!$AE$28/100)</f>
        <v>0</v>
      </c>
      <c r="AA526" s="463" t="s">
        <v>2842</v>
      </c>
      <c r="AB526" s="462" t="s">
        <v>2843</v>
      </c>
      <c r="AC526" s="462" t="s">
        <v>2844</v>
      </c>
      <c r="AD526" s="464">
        <v>176.45169000000001</v>
      </c>
      <c r="AE526" s="465">
        <v>8.4879700000000007</v>
      </c>
      <c r="AF526" s="86">
        <f>IF(verze!$E$1="CZK",AD526,IF(verze!$E$1="SK",AE526,""))</f>
        <v>8.4879700000000007</v>
      </c>
    </row>
    <row r="527" spans="2:32" ht="15">
      <c r="B527" s="429">
        <v>9255767</v>
      </c>
      <c r="C527" s="430" t="s">
        <v>930</v>
      </c>
      <c r="D527" s="226">
        <v>100</v>
      </c>
      <c r="E527" s="396"/>
      <c r="F527" s="268"/>
      <c r="G527" s="272">
        <f t="shared" si="51"/>
        <v>0</v>
      </c>
      <c r="H527" s="142" t="str">
        <f t="shared" si="52"/>
        <v>EUR</v>
      </c>
      <c r="I527" s="417" t="s">
        <v>47</v>
      </c>
      <c r="J527" s="468" t="s">
        <v>15591</v>
      </c>
      <c r="L527" s="86" t="e">
        <f>VLOOKUP(B527,$B$11:B526,1,FALSE)</f>
        <v>#N/A</v>
      </c>
      <c r="M527" s="256">
        <f>G527*(1-FORM!$AE$28/100)</f>
        <v>0</v>
      </c>
      <c r="AA527" s="463" t="s">
        <v>2845</v>
      </c>
      <c r="AB527" s="462" t="s">
        <v>2846</v>
      </c>
      <c r="AC527" s="462" t="s">
        <v>2847</v>
      </c>
      <c r="AD527" s="464">
        <v>162.07680999999999</v>
      </c>
      <c r="AE527" s="465">
        <v>7.7964799999999999</v>
      </c>
      <c r="AF527" s="86">
        <f>IF(verze!$E$1="CZK",AD527,IF(verze!$E$1="SK",AE527,""))</f>
        <v>7.7964799999999999</v>
      </c>
    </row>
    <row r="528" spans="2:32" ht="15">
      <c r="B528" s="431">
        <v>9255777</v>
      </c>
      <c r="C528" s="432" t="s">
        <v>931</v>
      </c>
      <c r="D528" s="223">
        <v>100</v>
      </c>
      <c r="E528" s="395"/>
      <c r="F528" s="266"/>
      <c r="G528" s="272">
        <f t="shared" si="51"/>
        <v>0</v>
      </c>
      <c r="H528" s="211" t="str">
        <f t="shared" si="52"/>
        <v>EUR</v>
      </c>
      <c r="I528" s="416" t="s">
        <v>47</v>
      </c>
      <c r="J528" s="469" t="s">
        <v>15621</v>
      </c>
      <c r="L528" s="86" t="e">
        <f>VLOOKUP(B528,$B$11:B527,1,FALSE)</f>
        <v>#N/A</v>
      </c>
      <c r="M528" s="256">
        <f>G528*(1-FORM!$AE$28/100)</f>
        <v>0</v>
      </c>
      <c r="AA528" s="463" t="s">
        <v>2848</v>
      </c>
      <c r="AB528" s="462" t="s">
        <v>2849</v>
      </c>
      <c r="AC528" s="462" t="s">
        <v>2850</v>
      </c>
      <c r="AD528" s="464">
        <v>162.07680999999999</v>
      </c>
      <c r="AE528" s="465">
        <v>7.7964799999999999</v>
      </c>
      <c r="AF528" s="86">
        <f>IF(verze!$E$1="CZK",AD528,IF(verze!$E$1="SK",AE528,""))</f>
        <v>7.7964799999999999</v>
      </c>
    </row>
    <row r="529" spans="2:32" ht="15">
      <c r="B529" s="427">
        <v>9255778</v>
      </c>
      <c r="C529" s="428" t="s">
        <v>932</v>
      </c>
      <c r="D529" s="217">
        <v>100</v>
      </c>
      <c r="E529" s="391"/>
      <c r="F529" s="262"/>
      <c r="G529" s="272">
        <f t="shared" si="51"/>
        <v>0</v>
      </c>
      <c r="H529" s="141" t="str">
        <f t="shared" si="52"/>
        <v>EUR</v>
      </c>
      <c r="I529" s="409" t="s">
        <v>47</v>
      </c>
      <c r="J529" s="467" t="s">
        <v>15624</v>
      </c>
      <c r="L529" s="86" t="e">
        <f>VLOOKUP(B529,$B$11:B528,1,FALSE)</f>
        <v>#N/A</v>
      </c>
      <c r="M529" s="256">
        <f>G529*(1-FORM!$AE$28/100)</f>
        <v>0</v>
      </c>
      <c r="AA529" s="463" t="s">
        <v>2851</v>
      </c>
      <c r="AB529" s="462" t="s">
        <v>2852</v>
      </c>
      <c r="AC529" s="462" t="s">
        <v>2853</v>
      </c>
      <c r="AD529" s="464">
        <v>176.45169000000001</v>
      </c>
      <c r="AE529" s="465">
        <v>8.4879700000000007</v>
      </c>
      <c r="AF529" s="86">
        <f>IF(verze!$E$1="CZK",AD529,IF(verze!$E$1="SK",AE529,""))</f>
        <v>8.4879700000000007</v>
      </c>
    </row>
    <row r="530" spans="2:32" ht="15">
      <c r="B530" s="427">
        <v>9255779</v>
      </c>
      <c r="C530" s="428" t="s">
        <v>933</v>
      </c>
      <c r="D530" s="217">
        <v>100</v>
      </c>
      <c r="E530" s="391"/>
      <c r="F530" s="262"/>
      <c r="G530" s="272">
        <f t="shared" si="51"/>
        <v>0</v>
      </c>
      <c r="H530" s="141" t="str">
        <f t="shared" si="52"/>
        <v>EUR</v>
      </c>
      <c r="I530" s="409" t="s">
        <v>47</v>
      </c>
      <c r="J530" s="467" t="s">
        <v>15627</v>
      </c>
      <c r="L530" s="86" t="e">
        <f>VLOOKUP(B530,$B$11:B529,1,FALSE)</f>
        <v>#N/A</v>
      </c>
      <c r="M530" s="256">
        <f>G530*(1-FORM!$AE$28/100)</f>
        <v>0</v>
      </c>
      <c r="AA530" s="463" t="s">
        <v>2854</v>
      </c>
      <c r="AB530" s="462" t="s">
        <v>2855</v>
      </c>
      <c r="AC530" s="462" t="s">
        <v>2856</v>
      </c>
      <c r="AD530" s="464">
        <v>162.07680999999999</v>
      </c>
      <c r="AE530" s="465">
        <v>7.7964799999999999</v>
      </c>
      <c r="AF530" s="86">
        <f>IF(verze!$E$1="CZK",AD530,IF(verze!$E$1="SK",AE530,""))</f>
        <v>7.7964799999999999</v>
      </c>
    </row>
    <row r="531" spans="2:32" ht="15">
      <c r="B531" s="427">
        <v>9255780</v>
      </c>
      <c r="C531" s="428" t="s">
        <v>934</v>
      </c>
      <c r="D531" s="217">
        <v>100</v>
      </c>
      <c r="E531" s="391"/>
      <c r="F531" s="262"/>
      <c r="G531" s="272">
        <f t="shared" si="51"/>
        <v>0</v>
      </c>
      <c r="H531" s="141" t="str">
        <f t="shared" si="52"/>
        <v>EUR</v>
      </c>
      <c r="I531" s="409" t="s">
        <v>47</v>
      </c>
      <c r="J531" s="467" t="s">
        <v>15630</v>
      </c>
      <c r="L531" s="86" t="e">
        <f>VLOOKUP(B531,$B$11:B530,1,FALSE)</f>
        <v>#N/A</v>
      </c>
      <c r="M531" s="256">
        <f>G531*(1-FORM!$AE$28/100)</f>
        <v>0</v>
      </c>
      <c r="AA531" s="463" t="s">
        <v>2857</v>
      </c>
      <c r="AB531" s="462" t="s">
        <v>2858</v>
      </c>
      <c r="AC531" s="462" t="s">
        <v>2859</v>
      </c>
      <c r="AD531" s="464">
        <v>305.81294000000003</v>
      </c>
      <c r="AE531" s="465">
        <v>14.710710000000001</v>
      </c>
      <c r="AF531" s="86">
        <f>IF(verze!$E$1="CZK",AD531,IF(verze!$E$1="SK",AE531,""))</f>
        <v>14.710710000000001</v>
      </c>
    </row>
    <row r="532" spans="2:32" ht="15">
      <c r="B532" s="427">
        <v>9255781</v>
      </c>
      <c r="C532" s="428" t="s">
        <v>935</v>
      </c>
      <c r="D532" s="217">
        <v>100</v>
      </c>
      <c r="E532" s="391"/>
      <c r="F532" s="262"/>
      <c r="G532" s="272">
        <f t="shared" si="51"/>
        <v>0</v>
      </c>
      <c r="H532" s="141" t="str">
        <f t="shared" si="52"/>
        <v>EUR</v>
      </c>
      <c r="I532" s="409" t="s">
        <v>47</v>
      </c>
      <c r="J532" s="467" t="s">
        <v>15633</v>
      </c>
      <c r="L532" s="86" t="e">
        <f>VLOOKUP(B532,$B$11:B531,1,FALSE)</f>
        <v>#N/A</v>
      </c>
      <c r="M532" s="256">
        <f>G532*(1-FORM!$AE$28/100)</f>
        <v>0</v>
      </c>
      <c r="AA532" s="463" t="s">
        <v>2860</v>
      </c>
      <c r="AB532" s="462" t="s">
        <v>2861</v>
      </c>
      <c r="AC532" s="462" t="s">
        <v>2862</v>
      </c>
      <c r="AD532" s="464">
        <v>205.19824</v>
      </c>
      <c r="AE532" s="465">
        <v>9.8707799999999999</v>
      </c>
      <c r="AF532" s="86">
        <f>IF(verze!$E$1="CZK",AD532,IF(verze!$E$1="SK",AE532,""))</f>
        <v>9.8707799999999999</v>
      </c>
    </row>
    <row r="533" spans="2:32" ht="15">
      <c r="B533" s="427">
        <v>9255782</v>
      </c>
      <c r="C533" s="428" t="s">
        <v>936</v>
      </c>
      <c r="D533" s="217">
        <v>100</v>
      </c>
      <c r="E533" s="391"/>
      <c r="F533" s="262"/>
      <c r="G533" s="272">
        <f t="shared" si="51"/>
        <v>0</v>
      </c>
      <c r="H533" s="141" t="str">
        <f t="shared" si="52"/>
        <v>EUR</v>
      </c>
      <c r="I533" s="409" t="s">
        <v>47</v>
      </c>
      <c r="J533" s="467" t="s">
        <v>15636</v>
      </c>
      <c r="L533" s="86" t="e">
        <f>VLOOKUP(B533,$B$11:B532,1,FALSE)</f>
        <v>#N/A</v>
      </c>
      <c r="M533" s="256">
        <f>G533*(1-FORM!$AE$28/100)</f>
        <v>0</v>
      </c>
      <c r="AA533" s="463" t="s">
        <v>2863</v>
      </c>
      <c r="AB533" s="462" t="s">
        <v>2864</v>
      </c>
      <c r="AC533" s="462" t="s">
        <v>2865</v>
      </c>
      <c r="AD533" s="464">
        <v>162.07680999999999</v>
      </c>
      <c r="AE533" s="465">
        <v>7.7964799999999999</v>
      </c>
      <c r="AF533" s="86">
        <f>IF(verze!$E$1="CZK",AD533,IF(verze!$E$1="SK",AE533,""))</f>
        <v>7.7964799999999999</v>
      </c>
    </row>
    <row r="534" spans="2:32" ht="15">
      <c r="B534" s="427">
        <v>9255783</v>
      </c>
      <c r="C534" s="428" t="s">
        <v>937</v>
      </c>
      <c r="D534" s="217">
        <v>100</v>
      </c>
      <c r="E534" s="391"/>
      <c r="F534" s="262"/>
      <c r="G534" s="272">
        <f t="shared" si="51"/>
        <v>0</v>
      </c>
      <c r="H534" s="141" t="str">
        <f t="shared" si="52"/>
        <v>EUR</v>
      </c>
      <c r="I534" s="409" t="s">
        <v>47</v>
      </c>
      <c r="J534" s="467" t="s">
        <v>15639</v>
      </c>
      <c r="L534" s="86" t="e">
        <f>VLOOKUP(B534,$B$11:B533,1,FALSE)</f>
        <v>#N/A</v>
      </c>
      <c r="M534" s="256">
        <f>G534*(1-FORM!$AE$28/100)</f>
        <v>0</v>
      </c>
      <c r="AA534" s="463" t="s">
        <v>2866</v>
      </c>
      <c r="AB534" s="462" t="s">
        <v>2867</v>
      </c>
      <c r="AC534" s="462" t="s">
        <v>2868</v>
      </c>
      <c r="AD534" s="464">
        <v>183.63603000000001</v>
      </c>
      <c r="AE534" s="465">
        <v>8.8335699999999999</v>
      </c>
      <c r="AF534" s="86">
        <f>IF(verze!$E$1="CZK",AD534,IF(verze!$E$1="SK",AE534,""))</f>
        <v>8.8335699999999999</v>
      </c>
    </row>
    <row r="535" spans="2:32" ht="15">
      <c r="B535" s="427">
        <v>9255784</v>
      </c>
      <c r="C535" s="428" t="s">
        <v>938</v>
      </c>
      <c r="D535" s="217">
        <v>100</v>
      </c>
      <c r="E535" s="391"/>
      <c r="F535" s="262"/>
      <c r="G535" s="272">
        <f t="shared" si="51"/>
        <v>0</v>
      </c>
      <c r="H535" s="141" t="str">
        <f t="shared" si="52"/>
        <v>EUR</v>
      </c>
      <c r="I535" s="409" t="s">
        <v>47</v>
      </c>
      <c r="J535" s="467" t="s">
        <v>15642</v>
      </c>
      <c r="L535" s="86" t="e">
        <f>VLOOKUP(B535,$B$11:B534,1,FALSE)</f>
        <v>#N/A</v>
      </c>
      <c r="M535" s="256">
        <f>G535*(1-FORM!$AE$28/100)</f>
        <v>0</v>
      </c>
      <c r="AA535" s="463" t="s">
        <v>2869</v>
      </c>
      <c r="AB535" s="462" t="s">
        <v>2870</v>
      </c>
      <c r="AC535" s="462" t="s">
        <v>2871</v>
      </c>
      <c r="AD535" s="464">
        <v>298.62250999999998</v>
      </c>
      <c r="AE535" s="465">
        <v>14.36482</v>
      </c>
      <c r="AF535" s="86">
        <f>IF(verze!$E$1="CZK",AD535,IF(verze!$E$1="SK",AE535,""))</f>
        <v>14.36482</v>
      </c>
    </row>
    <row r="536" spans="2:32" ht="15">
      <c r="B536" s="429">
        <v>9255785</v>
      </c>
      <c r="C536" s="430" t="s">
        <v>939</v>
      </c>
      <c r="D536" s="226">
        <v>100</v>
      </c>
      <c r="E536" s="396"/>
      <c r="F536" s="268"/>
      <c r="G536" s="272">
        <f t="shared" si="51"/>
        <v>0</v>
      </c>
      <c r="H536" s="142" t="str">
        <f t="shared" si="52"/>
        <v>EUR</v>
      </c>
      <c r="I536" s="417" t="s">
        <v>47</v>
      </c>
      <c r="J536" s="468" t="s">
        <v>15645</v>
      </c>
      <c r="L536" s="86" t="e">
        <f>VLOOKUP(B536,$B$11:B535,1,FALSE)</f>
        <v>#N/A</v>
      </c>
      <c r="M536" s="256">
        <f>G536*(1-FORM!$AE$28/100)</f>
        <v>0</v>
      </c>
      <c r="AA536" s="463" t="s">
        <v>2872</v>
      </c>
      <c r="AB536" s="462" t="s">
        <v>2873</v>
      </c>
      <c r="AC536" s="462" t="s">
        <v>2874</v>
      </c>
      <c r="AD536" s="464">
        <v>198.01091</v>
      </c>
      <c r="AE536" s="465">
        <v>9.5250299999999992</v>
      </c>
      <c r="AF536" s="86">
        <f>IF(verze!$E$1="CZK",AD536,IF(verze!$E$1="SK",AE536,""))</f>
        <v>9.5250299999999992</v>
      </c>
    </row>
    <row r="537" spans="2:32" ht="15">
      <c r="B537" s="431">
        <v>9255786</v>
      </c>
      <c r="C537" s="432" t="s">
        <v>940</v>
      </c>
      <c r="D537" s="223">
        <v>100</v>
      </c>
      <c r="E537" s="395"/>
      <c r="F537" s="266"/>
      <c r="G537" s="272">
        <f t="shared" si="51"/>
        <v>0</v>
      </c>
      <c r="H537" s="211" t="str">
        <f t="shared" si="52"/>
        <v>EUR</v>
      </c>
      <c r="I537" s="416" t="s">
        <v>47</v>
      </c>
      <c r="J537" s="469" t="s">
        <v>15648</v>
      </c>
      <c r="L537" s="86" t="e">
        <f>VLOOKUP(B537,$B$11:B536,1,FALSE)</f>
        <v>#N/A</v>
      </c>
      <c r="M537" s="256">
        <f>G537*(1-FORM!$AE$28/100)</f>
        <v>0</v>
      </c>
      <c r="AA537" s="463" t="s">
        <v>2872</v>
      </c>
      <c r="AB537" s="462" t="s">
        <v>2875</v>
      </c>
      <c r="AC537" s="462" t="s">
        <v>2876</v>
      </c>
      <c r="AD537" s="464">
        <v>198.01091</v>
      </c>
      <c r="AE537" s="465">
        <v>9.5250299999999992</v>
      </c>
      <c r="AF537" s="86">
        <f>IF(verze!$E$1="CZK",AD537,IF(verze!$E$1="SK",AE537,""))</f>
        <v>9.5250299999999992</v>
      </c>
    </row>
    <row r="538" spans="2:32" ht="15">
      <c r="B538" s="427">
        <v>9255787</v>
      </c>
      <c r="C538" s="428" t="s">
        <v>941</v>
      </c>
      <c r="D538" s="217">
        <v>100</v>
      </c>
      <c r="E538" s="391"/>
      <c r="F538" s="262"/>
      <c r="G538" s="272">
        <f t="shared" si="51"/>
        <v>0</v>
      </c>
      <c r="H538" s="141" t="str">
        <f t="shared" si="52"/>
        <v>EUR</v>
      </c>
      <c r="I538" s="409" t="s">
        <v>47</v>
      </c>
      <c r="J538" s="467" t="s">
        <v>15651</v>
      </c>
      <c r="L538" s="86" t="e">
        <f>VLOOKUP(B538,$B$11:B537,1,FALSE)</f>
        <v>#N/A</v>
      </c>
      <c r="M538" s="256">
        <f>G538*(1-FORM!$AE$28/100)</f>
        <v>0</v>
      </c>
      <c r="AA538" s="463" t="s">
        <v>2877</v>
      </c>
      <c r="AB538" s="462" t="s">
        <v>2878</v>
      </c>
      <c r="AC538" s="462" t="s">
        <v>2879</v>
      </c>
      <c r="AD538" s="464">
        <v>154.88947999999999</v>
      </c>
      <c r="AE538" s="465">
        <v>7.4507399999999997</v>
      </c>
      <c r="AF538" s="86">
        <f>IF(verze!$E$1="CZK",AD538,IF(verze!$E$1="SK",AE538,""))</f>
        <v>7.4507399999999997</v>
      </c>
    </row>
    <row r="539" spans="2:32" ht="15">
      <c r="B539" s="427">
        <v>9255788</v>
      </c>
      <c r="C539" s="428" t="s">
        <v>942</v>
      </c>
      <c r="D539" s="217">
        <v>100</v>
      </c>
      <c r="E539" s="391"/>
      <c r="F539" s="262"/>
      <c r="G539" s="272">
        <f t="shared" si="51"/>
        <v>0</v>
      </c>
      <c r="H539" s="141" t="str">
        <f t="shared" si="52"/>
        <v>EUR</v>
      </c>
      <c r="I539" s="409" t="s">
        <v>47</v>
      </c>
      <c r="J539" s="467" t="s">
        <v>15654</v>
      </c>
      <c r="L539" s="86" t="e">
        <f>VLOOKUP(B539,$B$11:B538,1,FALSE)</f>
        <v>#N/A</v>
      </c>
      <c r="M539" s="256">
        <f>G539*(1-FORM!$AE$28/100)</f>
        <v>0</v>
      </c>
      <c r="AA539" s="463" t="s">
        <v>2880</v>
      </c>
      <c r="AB539" s="462" t="s">
        <v>2881</v>
      </c>
      <c r="AC539" s="462" t="s">
        <v>2882</v>
      </c>
      <c r="AD539" s="464">
        <v>176.45169000000001</v>
      </c>
      <c r="AE539" s="465">
        <v>8.4879700000000007</v>
      </c>
      <c r="AF539" s="86">
        <f>IF(verze!$E$1="CZK",AD539,IF(verze!$E$1="SK",AE539,""))</f>
        <v>8.4879700000000007</v>
      </c>
    </row>
    <row r="540" spans="2:32" ht="15">
      <c r="B540" s="427">
        <v>9255789</v>
      </c>
      <c r="C540" s="428" t="s">
        <v>943</v>
      </c>
      <c r="D540" s="217">
        <v>100</v>
      </c>
      <c r="E540" s="391"/>
      <c r="F540" s="262"/>
      <c r="G540" s="272">
        <f t="shared" si="51"/>
        <v>0</v>
      </c>
      <c r="H540" s="141" t="str">
        <f t="shared" ref="H540:H553" si="53">IF(G540="","",$H$10)</f>
        <v>EUR</v>
      </c>
      <c r="I540" s="409" t="s">
        <v>47</v>
      </c>
      <c r="J540" s="467" t="s">
        <v>15657</v>
      </c>
      <c r="L540" s="86" t="e">
        <f>VLOOKUP(B540,$B$11:B539,1,FALSE)</f>
        <v>#N/A</v>
      </c>
      <c r="M540" s="256">
        <f>G540*(1-FORM!$AE$28/100)</f>
        <v>0</v>
      </c>
      <c r="AA540" s="463" t="s">
        <v>2883</v>
      </c>
      <c r="AB540" s="462" t="s">
        <v>2884</v>
      </c>
      <c r="AC540" s="462" t="s">
        <v>2885</v>
      </c>
      <c r="AD540" s="464">
        <v>1087.16642</v>
      </c>
      <c r="AE540" s="465">
        <v>43.773299999999999</v>
      </c>
      <c r="AF540" s="86">
        <f>IF(verze!$E$1="CZK",AD540,IF(verze!$E$1="SK",AE540,""))</f>
        <v>43.773299999999999</v>
      </c>
    </row>
    <row r="541" spans="2:32" ht="15">
      <c r="B541" s="427">
        <v>9255790</v>
      </c>
      <c r="C541" s="428" t="s">
        <v>944</v>
      </c>
      <c r="D541" s="217">
        <v>100</v>
      </c>
      <c r="E541" s="391"/>
      <c r="F541" s="262"/>
      <c r="G541" s="272">
        <f t="shared" si="51"/>
        <v>0</v>
      </c>
      <c r="H541" s="141" t="str">
        <f t="shared" si="53"/>
        <v>EUR</v>
      </c>
      <c r="I541" s="409" t="s">
        <v>47</v>
      </c>
      <c r="J541" s="467" t="s">
        <v>15660</v>
      </c>
      <c r="L541" s="86" t="e">
        <f>VLOOKUP(B541,$B$11:B540,1,FALSE)</f>
        <v>#N/A</v>
      </c>
      <c r="M541" s="256">
        <f>G541*(1-FORM!$AE$28/100)</f>
        <v>0</v>
      </c>
      <c r="AA541" s="463" t="s">
        <v>2886</v>
      </c>
      <c r="AB541" s="462" t="s">
        <v>2887</v>
      </c>
      <c r="AC541" s="462" t="s">
        <v>2888</v>
      </c>
      <c r="AD541" s="464">
        <v>1540.14652</v>
      </c>
      <c r="AE541" s="465">
        <v>62.012030000000003</v>
      </c>
      <c r="AF541" s="86">
        <f>IF(verze!$E$1="CZK",AD541,IF(verze!$E$1="SK",AE541,""))</f>
        <v>62.012030000000003</v>
      </c>
    </row>
    <row r="542" spans="2:32" ht="15">
      <c r="B542" s="427">
        <v>9255791</v>
      </c>
      <c r="C542" s="428" t="s">
        <v>945</v>
      </c>
      <c r="D542" s="217">
        <v>100</v>
      </c>
      <c r="E542" s="391"/>
      <c r="F542" s="262"/>
      <c r="G542" s="272">
        <f t="shared" si="51"/>
        <v>0</v>
      </c>
      <c r="H542" s="141" t="str">
        <f t="shared" si="53"/>
        <v>EUR</v>
      </c>
      <c r="I542" s="409" t="s">
        <v>47</v>
      </c>
      <c r="J542" s="467" t="s">
        <v>15663</v>
      </c>
      <c r="L542" s="86" t="e">
        <f>VLOOKUP(B542,$B$11:B541,1,FALSE)</f>
        <v>#N/A</v>
      </c>
      <c r="M542" s="256">
        <f>G542*(1-FORM!$AE$28/100)</f>
        <v>0</v>
      </c>
      <c r="AA542" s="463" t="s">
        <v>2889</v>
      </c>
      <c r="AB542" s="462" t="s">
        <v>2890</v>
      </c>
      <c r="AC542" s="462" t="s">
        <v>2891</v>
      </c>
      <c r="AD542" s="464">
        <v>1902.53539</v>
      </c>
      <c r="AE542" s="465">
        <v>76.603059999999999</v>
      </c>
      <c r="AF542" s="86">
        <f>IF(verze!$E$1="CZK",AD542,IF(verze!$E$1="SK",AE542,""))</f>
        <v>76.603059999999999</v>
      </c>
    </row>
    <row r="543" spans="2:32" ht="15">
      <c r="B543" s="427">
        <v>9255792</v>
      </c>
      <c r="C543" s="428" t="s">
        <v>946</v>
      </c>
      <c r="D543" s="217">
        <v>100</v>
      </c>
      <c r="E543" s="391"/>
      <c r="F543" s="262"/>
      <c r="G543" s="272">
        <f t="shared" si="51"/>
        <v>0</v>
      </c>
      <c r="H543" s="141" t="str">
        <f t="shared" si="53"/>
        <v>EUR</v>
      </c>
      <c r="I543" s="409" t="s">
        <v>47</v>
      </c>
      <c r="J543" s="467" t="s">
        <v>15666</v>
      </c>
      <c r="L543" s="86" t="e">
        <f>VLOOKUP(B543,$B$11:B542,1,FALSE)</f>
        <v>#N/A</v>
      </c>
      <c r="M543" s="256">
        <f>G543*(1-FORM!$AE$28/100)</f>
        <v>0</v>
      </c>
      <c r="AA543" s="463" t="s">
        <v>2892</v>
      </c>
      <c r="AB543" s="462" t="s">
        <v>2893</v>
      </c>
      <c r="AC543" s="462" t="s">
        <v>2894</v>
      </c>
      <c r="AD543" s="464">
        <v>2536.71459</v>
      </c>
      <c r="AE543" s="465">
        <v>102.13751999999999</v>
      </c>
      <c r="AF543" s="86">
        <f>IF(verze!$E$1="CZK",AD543,IF(verze!$E$1="SK",AE543,""))</f>
        <v>102.13751999999999</v>
      </c>
    </row>
    <row r="544" spans="2:32" ht="15">
      <c r="B544" s="427">
        <v>9255793</v>
      </c>
      <c r="C544" s="428" t="s">
        <v>947</v>
      </c>
      <c r="D544" s="217">
        <v>100</v>
      </c>
      <c r="E544" s="391"/>
      <c r="F544" s="262"/>
      <c r="G544" s="272">
        <f t="shared" si="51"/>
        <v>0</v>
      </c>
      <c r="H544" s="141" t="str">
        <f t="shared" si="53"/>
        <v>EUR</v>
      </c>
      <c r="I544" s="409" t="s">
        <v>47</v>
      </c>
      <c r="J544" s="467" t="s">
        <v>15669</v>
      </c>
      <c r="L544" s="86" t="e">
        <f>VLOOKUP(B544,$B$11:B543,1,FALSE)</f>
        <v>#N/A</v>
      </c>
      <c r="M544" s="256">
        <f>G544*(1-FORM!$AE$28/100)</f>
        <v>0</v>
      </c>
      <c r="AA544" s="463" t="s">
        <v>2895</v>
      </c>
      <c r="AB544" s="462" t="s">
        <v>2896</v>
      </c>
      <c r="AC544" s="462" t="s">
        <v>2897</v>
      </c>
      <c r="AD544" s="464">
        <v>458.64879999999999</v>
      </c>
      <c r="AE544" s="465">
        <v>18.46688</v>
      </c>
      <c r="AF544" s="86">
        <f>IF(verze!$E$1="CZK",AD544,IF(verze!$E$1="SK",AE544,""))</f>
        <v>18.46688</v>
      </c>
    </row>
    <row r="545" spans="2:32" ht="15">
      <c r="B545" s="429">
        <v>9255794</v>
      </c>
      <c r="C545" s="430" t="s">
        <v>948</v>
      </c>
      <c r="D545" s="226">
        <v>100</v>
      </c>
      <c r="E545" s="396"/>
      <c r="F545" s="268"/>
      <c r="G545" s="272">
        <f t="shared" si="51"/>
        <v>0</v>
      </c>
      <c r="H545" s="142" t="str">
        <f t="shared" si="53"/>
        <v>EUR</v>
      </c>
      <c r="I545" s="417" t="s">
        <v>47</v>
      </c>
      <c r="J545" s="468" t="s">
        <v>15672</v>
      </c>
      <c r="L545" s="86" t="e">
        <f>VLOOKUP(B545,$B$11:B544,1,FALSE)</f>
        <v>#N/A</v>
      </c>
      <c r="M545" s="256">
        <f>G545*(1-FORM!$AE$28/100)</f>
        <v>0</v>
      </c>
      <c r="AA545" s="463" t="s">
        <v>2898</v>
      </c>
      <c r="AB545" s="462" t="s">
        <v>2899</v>
      </c>
      <c r="AC545" s="462" t="s">
        <v>2900</v>
      </c>
      <c r="AD545" s="464">
        <v>554.45438000000001</v>
      </c>
      <c r="AE545" s="465">
        <v>22.324390000000001</v>
      </c>
      <c r="AF545" s="86">
        <f>IF(verze!$E$1="CZK",AD545,IF(verze!$E$1="SK",AE545,""))</f>
        <v>22.324390000000001</v>
      </c>
    </row>
    <row r="546" spans="2:32" ht="15">
      <c r="B546" s="431">
        <v>9255795</v>
      </c>
      <c r="C546" s="432" t="s">
        <v>949</v>
      </c>
      <c r="D546" s="223">
        <v>100</v>
      </c>
      <c r="E546" s="395"/>
      <c r="F546" s="266"/>
      <c r="G546" s="272">
        <f t="shared" si="51"/>
        <v>0</v>
      </c>
      <c r="H546" s="211" t="str">
        <f t="shared" si="53"/>
        <v>EUR</v>
      </c>
      <c r="I546" s="416" t="s">
        <v>47</v>
      </c>
      <c r="J546" s="469" t="s">
        <v>15675</v>
      </c>
      <c r="L546" s="86" t="e">
        <f>VLOOKUP(B546,$B$11:B545,1,FALSE)</f>
        <v>#N/A</v>
      </c>
      <c r="M546" s="256">
        <f>G546*(1-FORM!$AE$28/100)</f>
        <v>0</v>
      </c>
      <c r="AA546" s="463" t="s">
        <v>2901</v>
      </c>
      <c r="AB546" s="462" t="s">
        <v>2902</v>
      </c>
      <c r="AC546" s="462" t="s">
        <v>2903</v>
      </c>
      <c r="AD546" s="464">
        <v>534.52547000000004</v>
      </c>
      <c r="AE546" s="465">
        <v>21.52197</v>
      </c>
      <c r="AF546" s="86">
        <f>IF(verze!$E$1="CZK",AD546,IF(verze!$E$1="SK",AE546,""))</f>
        <v>21.52197</v>
      </c>
    </row>
    <row r="547" spans="2:32" ht="15">
      <c r="B547" s="427">
        <v>9255796</v>
      </c>
      <c r="C547" s="428" t="s">
        <v>950</v>
      </c>
      <c r="D547" s="217">
        <v>100</v>
      </c>
      <c r="E547" s="391"/>
      <c r="F547" s="262"/>
      <c r="G547" s="272">
        <f t="shared" si="51"/>
        <v>0</v>
      </c>
      <c r="H547" s="141" t="str">
        <f t="shared" si="53"/>
        <v>EUR</v>
      </c>
      <c r="I547" s="409" t="s">
        <v>47</v>
      </c>
      <c r="J547" s="467" t="s">
        <v>15678</v>
      </c>
      <c r="L547" s="86" t="e">
        <f>VLOOKUP(B547,$B$11:B546,1,FALSE)</f>
        <v>#N/A</v>
      </c>
      <c r="M547" s="256">
        <f>G547*(1-FORM!$AE$28/100)</f>
        <v>0</v>
      </c>
      <c r="AA547" s="463" t="s">
        <v>2904</v>
      </c>
      <c r="AB547" s="462" t="s">
        <v>2905</v>
      </c>
      <c r="AC547" s="462" t="s">
        <v>2906</v>
      </c>
      <c r="AD547" s="464">
        <v>656.82822999999996</v>
      </c>
      <c r="AE547" s="465">
        <v>26.44633</v>
      </c>
      <c r="AF547" s="86">
        <f>IF(verze!$E$1="CZK",AD547,IF(verze!$E$1="SK",AE547,""))</f>
        <v>26.44633</v>
      </c>
    </row>
    <row r="548" spans="2:32" ht="15">
      <c r="B548" s="427">
        <v>9255797</v>
      </c>
      <c r="C548" s="428" t="s">
        <v>951</v>
      </c>
      <c r="D548" s="217">
        <v>100</v>
      </c>
      <c r="E548" s="391"/>
      <c r="F548" s="262"/>
      <c r="G548" s="272" t="e">
        <f t="shared" si="51"/>
        <v>#N/A</v>
      </c>
      <c r="H548" s="141" t="e">
        <f t="shared" si="53"/>
        <v>#N/A</v>
      </c>
      <c r="I548" s="409" t="s">
        <v>47</v>
      </c>
      <c r="J548" s="467">
        <v>396624</v>
      </c>
      <c r="L548" s="86" t="e">
        <f>VLOOKUP(B548,$B$11:B547,1,FALSE)</f>
        <v>#N/A</v>
      </c>
      <c r="M548" s="256" t="e">
        <f>G548*(1-FORM!$AE$28/100)</f>
        <v>#N/A</v>
      </c>
      <c r="AA548" s="463" t="s">
        <v>2907</v>
      </c>
      <c r="AB548" s="462" t="s">
        <v>2908</v>
      </c>
      <c r="AC548" s="462" t="s">
        <v>2909</v>
      </c>
      <c r="AD548" s="464">
        <v>2723.5636500000001</v>
      </c>
      <c r="AE548" s="465">
        <v>109.66076</v>
      </c>
      <c r="AF548" s="86">
        <f>IF(verze!$E$1="CZK",AD548,IF(verze!$E$1="SK",AE548,""))</f>
        <v>109.66076</v>
      </c>
    </row>
    <row r="549" spans="2:32" ht="15">
      <c r="B549" s="427">
        <v>9255798</v>
      </c>
      <c r="C549" s="428" t="s">
        <v>952</v>
      </c>
      <c r="D549" s="217">
        <v>100</v>
      </c>
      <c r="E549" s="391"/>
      <c r="F549" s="262"/>
      <c r="G549" s="272">
        <f t="shared" si="51"/>
        <v>0</v>
      </c>
      <c r="H549" s="141" t="str">
        <f t="shared" si="53"/>
        <v>EUR</v>
      </c>
      <c r="I549" s="409" t="s">
        <v>47</v>
      </c>
      <c r="J549" s="467" t="s">
        <v>15681</v>
      </c>
      <c r="L549" s="86" t="e">
        <f>VLOOKUP(B549,$B$11:B548,1,FALSE)</f>
        <v>#N/A</v>
      </c>
      <c r="M549" s="256">
        <f>G549*(1-FORM!$AE$28/100)</f>
        <v>0</v>
      </c>
      <c r="AA549" s="463" t="s">
        <v>2910</v>
      </c>
      <c r="AB549" s="462" t="s">
        <v>2911</v>
      </c>
      <c r="AC549" s="462" t="s">
        <v>2912</v>
      </c>
      <c r="AD549" s="464">
        <v>47.855759999999997</v>
      </c>
      <c r="AE549" s="465">
        <v>1.9144600000000001</v>
      </c>
      <c r="AF549" s="86">
        <f>IF(verze!$E$1="CZK",AD549,IF(verze!$E$1="SK",AE549,""))</f>
        <v>1.9144600000000001</v>
      </c>
    </row>
    <row r="550" spans="2:32" ht="15">
      <c r="B550" s="427">
        <v>9255799</v>
      </c>
      <c r="C550" s="428" t="s">
        <v>953</v>
      </c>
      <c r="D550" s="217">
        <v>100</v>
      </c>
      <c r="E550" s="391"/>
      <c r="F550" s="262"/>
      <c r="G550" s="272">
        <f t="shared" si="51"/>
        <v>0</v>
      </c>
      <c r="H550" s="141" t="str">
        <f t="shared" si="53"/>
        <v>EUR</v>
      </c>
      <c r="I550" s="409" t="s">
        <v>47</v>
      </c>
      <c r="J550" s="467" t="s">
        <v>15684</v>
      </c>
      <c r="L550" s="86" t="e">
        <f>VLOOKUP(B550,$B$11:B549,1,FALSE)</f>
        <v>#N/A</v>
      </c>
      <c r="M550" s="256">
        <f>G550*(1-FORM!$AE$28/100)</f>
        <v>0</v>
      </c>
      <c r="AA550" s="463" t="s">
        <v>2913</v>
      </c>
      <c r="AB550" s="462" t="s">
        <v>2914</v>
      </c>
      <c r="AC550" s="462" t="s">
        <v>2915</v>
      </c>
      <c r="AD550" s="464">
        <v>0.84719999999999995</v>
      </c>
      <c r="AE550" s="465">
        <v>3.4759999999999999E-2</v>
      </c>
      <c r="AF550" s="86">
        <f>IF(verze!$E$1="CZK",AD550,IF(verze!$E$1="SK",AE550,""))</f>
        <v>3.4759999999999999E-2</v>
      </c>
    </row>
    <row r="551" spans="2:32" ht="15">
      <c r="B551" s="427">
        <v>9255800</v>
      </c>
      <c r="C551" s="428" t="s">
        <v>954</v>
      </c>
      <c r="D551" s="217">
        <v>100</v>
      </c>
      <c r="E551" s="391"/>
      <c r="F551" s="262"/>
      <c r="G551" s="272">
        <f t="shared" si="51"/>
        <v>0</v>
      </c>
      <c r="H551" s="141" t="str">
        <f t="shared" si="53"/>
        <v>EUR</v>
      </c>
      <c r="I551" s="409" t="s">
        <v>47</v>
      </c>
      <c r="J551" s="467" t="s">
        <v>15687</v>
      </c>
      <c r="L551" s="86" t="e">
        <f>VLOOKUP(B551,$B$11:B550,1,FALSE)</f>
        <v>#N/A</v>
      </c>
      <c r="M551" s="256">
        <f>G551*(1-FORM!$AE$28/100)</f>
        <v>0</v>
      </c>
      <c r="AA551" s="463" t="s">
        <v>2916</v>
      </c>
      <c r="AB551" s="462" t="s">
        <v>2917</v>
      </c>
      <c r="AC551" s="462" t="s">
        <v>2918</v>
      </c>
      <c r="AD551" s="464">
        <v>1.2154199999999999</v>
      </c>
      <c r="AE551" s="465">
        <v>4.9860000000000002E-2</v>
      </c>
      <c r="AF551" s="86">
        <f>IF(verze!$E$1="CZK",AD551,IF(verze!$E$1="SK",AE551,""))</f>
        <v>4.9860000000000002E-2</v>
      </c>
    </row>
    <row r="552" spans="2:32" ht="15">
      <c r="B552" s="427">
        <v>9255801</v>
      </c>
      <c r="C552" s="428" t="s">
        <v>955</v>
      </c>
      <c r="D552" s="217">
        <v>100</v>
      </c>
      <c r="E552" s="391"/>
      <c r="F552" s="262"/>
      <c r="G552" s="272" t="e">
        <f t="shared" si="51"/>
        <v>#N/A</v>
      </c>
      <c r="H552" s="141" t="e">
        <f t="shared" si="53"/>
        <v>#N/A</v>
      </c>
      <c r="I552" s="409" t="s">
        <v>47</v>
      </c>
      <c r="J552" s="467" t="s">
        <v>28260</v>
      </c>
      <c r="L552" s="86" t="e">
        <f>VLOOKUP(B552,$B$11:B551,1,FALSE)</f>
        <v>#N/A</v>
      </c>
      <c r="M552" s="256" t="e">
        <f>G552*(1-FORM!$AE$28/100)</f>
        <v>#N/A</v>
      </c>
      <c r="AA552" s="463" t="s">
        <v>2919</v>
      </c>
      <c r="AB552" s="462" t="s">
        <v>2920</v>
      </c>
      <c r="AC552" s="462" t="s">
        <v>2921</v>
      </c>
      <c r="AD552" s="464">
        <v>1.8785700000000001</v>
      </c>
      <c r="AE552" s="465">
        <v>9.0380000000000002E-2</v>
      </c>
      <c r="AF552" s="86">
        <f>IF(verze!$E$1="CZK",AD552,IF(verze!$E$1="SK",AE552,""))</f>
        <v>9.0380000000000002E-2</v>
      </c>
    </row>
    <row r="553" spans="2:32" ht="15">
      <c r="B553" s="427">
        <v>9255802</v>
      </c>
      <c r="C553" s="428" t="s">
        <v>956</v>
      </c>
      <c r="D553" s="217">
        <v>100</v>
      </c>
      <c r="E553" s="391"/>
      <c r="F553" s="262"/>
      <c r="G553" s="272" t="e">
        <f t="shared" si="51"/>
        <v>#N/A</v>
      </c>
      <c r="H553" s="141" t="e">
        <f t="shared" si="53"/>
        <v>#N/A</v>
      </c>
      <c r="I553" s="409" t="s">
        <v>47</v>
      </c>
      <c r="J553" s="467" t="s">
        <v>28261</v>
      </c>
      <c r="L553" s="86" t="e">
        <f>VLOOKUP(B553,$B$11:B552,1,FALSE)</f>
        <v>#N/A</v>
      </c>
      <c r="M553" s="256" t="e">
        <f>G553*(1-FORM!$AE$28/100)</f>
        <v>#N/A</v>
      </c>
      <c r="AA553" s="463" t="s">
        <v>2922</v>
      </c>
      <c r="AB553" s="462" t="s">
        <v>2923</v>
      </c>
      <c r="AC553" s="462" t="s">
        <v>2924</v>
      </c>
      <c r="AD553" s="464">
        <v>438.25842</v>
      </c>
      <c r="AE553" s="465">
        <v>17.645890000000001</v>
      </c>
      <c r="AF553" s="86">
        <f>IF(verze!$E$1="CZK",AD553,IF(verze!$E$1="SK",AE553,""))</f>
        <v>17.645890000000001</v>
      </c>
    </row>
    <row r="554" spans="2:32" ht="15">
      <c r="B554" s="429">
        <v>9255803</v>
      </c>
      <c r="C554" s="430" t="s">
        <v>957</v>
      </c>
      <c r="D554" s="226">
        <v>100</v>
      </c>
      <c r="E554" s="396"/>
      <c r="F554" s="268"/>
      <c r="G554" s="272">
        <f t="shared" si="51"/>
        <v>0</v>
      </c>
      <c r="H554" s="142" t="str">
        <f>IF(G554="","",$H$10)</f>
        <v>EUR</v>
      </c>
      <c r="I554" s="417" t="s">
        <v>47</v>
      </c>
      <c r="J554" s="468" t="s">
        <v>15690</v>
      </c>
      <c r="L554" s="86" t="e">
        <f>VLOOKUP(B554,$B$11:B553,1,FALSE)</f>
        <v>#N/A</v>
      </c>
      <c r="M554" s="256">
        <f>G554*(1-FORM!$AE$28/100)</f>
        <v>0</v>
      </c>
      <c r="AA554" s="463" t="s">
        <v>2925</v>
      </c>
      <c r="AB554" s="462" t="s">
        <v>2926</v>
      </c>
      <c r="AC554" s="462" t="s">
        <v>2927</v>
      </c>
      <c r="AD554" s="464">
        <v>536.10573999999997</v>
      </c>
      <c r="AE554" s="465">
        <v>21.585650000000001</v>
      </c>
      <c r="AF554" s="86">
        <f>IF(verze!$E$1="CZK",AD554,IF(verze!$E$1="SK",AE554,""))</f>
        <v>21.585650000000001</v>
      </c>
    </row>
    <row r="555" spans="2:32" ht="15">
      <c r="B555" s="300">
        <v>9255831</v>
      </c>
      <c r="C555" s="164" t="s">
        <v>958</v>
      </c>
      <c r="D555" s="220">
        <v>50</v>
      </c>
      <c r="E555" s="393"/>
      <c r="F555" s="264"/>
      <c r="G555" s="272">
        <f t="shared" si="51"/>
        <v>2.9520300000000002</v>
      </c>
      <c r="H555" s="134" t="str">
        <f>IF(G555="","",$H$10)</f>
        <v>EUR</v>
      </c>
      <c r="I555" s="412" t="s">
        <v>47</v>
      </c>
      <c r="J555" s="470" t="s">
        <v>15777</v>
      </c>
      <c r="L555" s="86" t="e">
        <f>VLOOKUP(B555,$B$11:B554,1,FALSE)</f>
        <v>#N/A</v>
      </c>
      <c r="M555" s="256">
        <f>G555*(1-FORM!$AE$28/100)</f>
        <v>2.9520300000000002</v>
      </c>
      <c r="AA555" s="463" t="s">
        <v>2928</v>
      </c>
      <c r="AB555" s="462" t="s">
        <v>2929</v>
      </c>
      <c r="AC555" s="462" t="s">
        <v>2930</v>
      </c>
      <c r="AD555" s="464">
        <v>1021.73294</v>
      </c>
      <c r="AE555" s="465">
        <v>41.49503</v>
      </c>
      <c r="AF555" s="86">
        <f>IF(verze!$E$1="CZK",AD555,IF(verze!$E$1="SK",AE555,""))</f>
        <v>41.49503</v>
      </c>
    </row>
    <row r="556" spans="2:32" ht="15">
      <c r="B556" s="300"/>
      <c r="C556" s="164"/>
      <c r="D556" s="220"/>
      <c r="E556" s="393"/>
      <c r="F556" s="264"/>
      <c r="G556" s="272"/>
      <c r="H556" s="134"/>
      <c r="I556" s="412" t="s">
        <v>47</v>
      </c>
      <c r="J556" s="470"/>
      <c r="L556" s="86" t="e">
        <f>VLOOKUP(B556,$B$11:B555,1,FALSE)</f>
        <v>#N/A</v>
      </c>
      <c r="M556" s="256">
        <f>G556*(1-FORM!$AE$28/100)</f>
        <v>0</v>
      </c>
      <c r="AA556" s="463" t="s">
        <v>2931</v>
      </c>
      <c r="AB556" s="462" t="s">
        <v>2932</v>
      </c>
      <c r="AC556" s="462" t="s">
        <v>2933</v>
      </c>
      <c r="AD556" s="464">
        <v>263.57085000000001</v>
      </c>
      <c r="AE556" s="465">
        <v>10.60694</v>
      </c>
      <c r="AF556" s="86">
        <f>IF(verze!$E$1="CZK",AD556,IF(verze!$E$1="SK",AE556,""))</f>
        <v>10.60694</v>
      </c>
    </row>
    <row r="557" spans="2:32" ht="15">
      <c r="B557" s="301">
        <v>9257643</v>
      </c>
      <c r="C557" s="222" t="s">
        <v>959</v>
      </c>
      <c r="D557" s="223">
        <v>1</v>
      </c>
      <c r="E557" s="395"/>
      <c r="F557" s="266"/>
      <c r="G557" s="272">
        <f t="shared" si="51"/>
        <v>85.10378</v>
      </c>
      <c r="H557" s="211" t="str">
        <f t="shared" ref="H557:H562" si="54">IF(G557="","",$H$10)</f>
        <v>EUR</v>
      </c>
      <c r="I557" s="416" t="s">
        <v>47</v>
      </c>
      <c r="J557" s="469" t="s">
        <v>16405</v>
      </c>
      <c r="L557" s="86" t="e">
        <f>VLOOKUP(B557,$B$11:B556,1,FALSE)</f>
        <v>#N/A</v>
      </c>
      <c r="M557" s="256">
        <f>G557*(1-FORM!$AE$28/100)</f>
        <v>85.10378</v>
      </c>
      <c r="AA557" s="463" t="s">
        <v>2934</v>
      </c>
      <c r="AB557" s="462" t="s">
        <v>2935</v>
      </c>
      <c r="AC557" s="462" t="s">
        <v>2936</v>
      </c>
      <c r="AD557" s="464">
        <v>390.20037000000002</v>
      </c>
      <c r="AE557" s="465">
        <v>15.702970000000001</v>
      </c>
      <c r="AF557" s="86">
        <f>IF(verze!$E$1="CZK",AD557,IF(verze!$E$1="SK",AE557,""))</f>
        <v>15.702970000000001</v>
      </c>
    </row>
    <row r="558" spans="2:32" ht="15">
      <c r="B558" s="298">
        <v>9257645</v>
      </c>
      <c r="C558" s="216" t="s">
        <v>960</v>
      </c>
      <c r="D558" s="217">
        <v>1</v>
      </c>
      <c r="E558" s="391"/>
      <c r="F558" s="262"/>
      <c r="G558" s="272">
        <f t="shared" si="51"/>
        <v>140.42095</v>
      </c>
      <c r="H558" s="141" t="str">
        <f t="shared" si="54"/>
        <v>EUR</v>
      </c>
      <c r="I558" s="409" t="s">
        <v>47</v>
      </c>
      <c r="J558" s="467" t="s">
        <v>16411</v>
      </c>
      <c r="L558" s="86" t="e">
        <f>VLOOKUP(B558,$B$11:B557,1,FALSE)</f>
        <v>#N/A</v>
      </c>
      <c r="M558" s="256">
        <f>G558*(1-FORM!$AE$28/100)</f>
        <v>140.42095</v>
      </c>
      <c r="AA558" s="463" t="s">
        <v>2937</v>
      </c>
      <c r="AB558" s="462" t="s">
        <v>2938</v>
      </c>
      <c r="AC558" s="462" t="s">
        <v>2939</v>
      </c>
      <c r="AD558" s="464">
        <v>520.53929000000005</v>
      </c>
      <c r="AE558" s="465">
        <v>0</v>
      </c>
      <c r="AF558" s="86">
        <f>IF(verze!$E$1="CZK",AD558,IF(verze!$E$1="SK",AE558,""))</f>
        <v>0</v>
      </c>
    </row>
    <row r="559" spans="2:32" ht="15">
      <c r="B559" s="298">
        <v>9257647</v>
      </c>
      <c r="C559" s="216" t="s">
        <v>961</v>
      </c>
      <c r="D559" s="217">
        <v>1</v>
      </c>
      <c r="E559" s="391"/>
      <c r="F559" s="262"/>
      <c r="G559" s="272">
        <f t="shared" si="51"/>
        <v>121.01739000000001</v>
      </c>
      <c r="H559" s="141" t="str">
        <f t="shared" si="54"/>
        <v>EUR</v>
      </c>
      <c r="I559" s="409" t="s">
        <v>47</v>
      </c>
      <c r="J559" s="467" t="s">
        <v>16414</v>
      </c>
      <c r="L559" s="86" t="e">
        <f>VLOOKUP(B559,$B$11:B558,1,FALSE)</f>
        <v>#N/A</v>
      </c>
      <c r="M559" s="256">
        <f>G559*(1-FORM!$AE$28/100)</f>
        <v>121.01739000000001</v>
      </c>
      <c r="AA559" s="463" t="s">
        <v>2940</v>
      </c>
      <c r="AB559" s="462" t="s">
        <v>2941</v>
      </c>
      <c r="AC559" s="462" t="s">
        <v>2942</v>
      </c>
      <c r="AD559" s="464">
        <v>569.01155000000006</v>
      </c>
      <c r="AE559" s="465">
        <v>0</v>
      </c>
      <c r="AF559" s="86">
        <f>IF(verze!$E$1="CZK",AD559,IF(verze!$E$1="SK",AE559,""))</f>
        <v>0</v>
      </c>
    </row>
    <row r="560" spans="2:32" ht="15">
      <c r="B560" s="303">
        <v>9257649</v>
      </c>
      <c r="C560" s="304" t="s">
        <v>962</v>
      </c>
      <c r="D560" s="226">
        <v>1</v>
      </c>
      <c r="E560" s="396"/>
      <c r="F560" s="268"/>
      <c r="G560" s="272">
        <f t="shared" si="51"/>
        <v>188.16405</v>
      </c>
      <c r="H560" s="142" t="str">
        <f t="shared" si="54"/>
        <v>EUR</v>
      </c>
      <c r="I560" s="417" t="s">
        <v>47</v>
      </c>
      <c r="J560" s="468" t="s">
        <v>16420</v>
      </c>
      <c r="L560" s="86" t="e">
        <f>VLOOKUP(B560,$B$11:B559,1,FALSE)</f>
        <v>#N/A</v>
      </c>
      <c r="M560" s="256">
        <f>G560*(1-FORM!$AE$28/100)</f>
        <v>188.16405</v>
      </c>
      <c r="AA560" s="463" t="s">
        <v>2943</v>
      </c>
      <c r="AB560" s="462" t="s">
        <v>2944</v>
      </c>
      <c r="AC560" s="462" t="s">
        <v>2945</v>
      </c>
      <c r="AD560" s="464">
        <v>587.41375000000005</v>
      </c>
      <c r="AE560" s="465">
        <v>0</v>
      </c>
      <c r="AF560" s="86">
        <f>IF(verze!$E$1="CZK",AD560,IF(verze!$E$1="SK",AE560,""))</f>
        <v>0</v>
      </c>
    </row>
    <row r="561" spans="2:32" ht="15">
      <c r="B561" s="301">
        <v>9257703</v>
      </c>
      <c r="C561" s="222" t="s">
        <v>963</v>
      </c>
      <c r="D561" s="223">
        <v>200</v>
      </c>
      <c r="E561" s="395"/>
      <c r="F561" s="266"/>
      <c r="G561" s="272">
        <f t="shared" si="51"/>
        <v>0.29480000000000001</v>
      </c>
      <c r="H561" s="211" t="str">
        <f t="shared" si="54"/>
        <v>EUR</v>
      </c>
      <c r="I561" s="416" t="s">
        <v>47</v>
      </c>
      <c r="J561" s="469" t="s">
        <v>16527</v>
      </c>
      <c r="L561" s="86" t="e">
        <f>VLOOKUP(B561,$B$11:B560,1,FALSE)</f>
        <v>#N/A</v>
      </c>
      <c r="M561" s="256">
        <f>G561*(1-FORM!$AE$28/100)</f>
        <v>0.29480000000000001</v>
      </c>
      <c r="AA561" s="463" t="s">
        <v>2946</v>
      </c>
      <c r="AB561" s="462" t="s">
        <v>2947</v>
      </c>
      <c r="AC561" s="462" t="s">
        <v>2948</v>
      </c>
      <c r="AD561" s="464">
        <v>4111.1310599999997</v>
      </c>
      <c r="AE561" s="465">
        <v>159.36161000000001</v>
      </c>
      <c r="AF561" s="86">
        <f>IF(verze!$E$1="CZK",AD561,IF(verze!$E$1="SK",AE561,""))</f>
        <v>159.36161000000001</v>
      </c>
    </row>
    <row r="562" spans="2:32" ht="15">
      <c r="B562" s="298">
        <v>9257704</v>
      </c>
      <c r="C562" s="216" t="s">
        <v>964</v>
      </c>
      <c r="D562" s="217">
        <v>200</v>
      </c>
      <c r="E562" s="391"/>
      <c r="F562" s="262"/>
      <c r="G562" s="272">
        <f t="shared" si="51"/>
        <v>0.29480000000000001</v>
      </c>
      <c r="H562" s="141" t="str">
        <f t="shared" si="54"/>
        <v>EUR</v>
      </c>
      <c r="I562" s="409" t="s">
        <v>47</v>
      </c>
      <c r="J562" s="467" t="s">
        <v>16532</v>
      </c>
      <c r="L562" s="86" t="e">
        <f>VLOOKUP(B562,$B$11:B561,1,FALSE)</f>
        <v>#N/A</v>
      </c>
      <c r="M562" s="256">
        <f>G562*(1-FORM!$AE$28/100)</f>
        <v>0.29480000000000001</v>
      </c>
      <c r="AA562" s="463" t="s">
        <v>2949</v>
      </c>
      <c r="AB562" s="462" t="s">
        <v>2950</v>
      </c>
      <c r="AC562" s="462" t="s">
        <v>2951</v>
      </c>
      <c r="AD562" s="464">
        <v>108.68498</v>
      </c>
      <c r="AE562" s="465">
        <v>4.2130200000000002</v>
      </c>
      <c r="AF562" s="86">
        <f>IF(verze!$E$1="CZK",AD562,IF(verze!$E$1="SK",AE562,""))</f>
        <v>4.2130200000000002</v>
      </c>
    </row>
    <row r="563" spans="2:32" ht="15">
      <c r="B563" s="298">
        <v>9257705</v>
      </c>
      <c r="C563" s="216" t="s">
        <v>965</v>
      </c>
      <c r="D563" s="217">
        <v>200</v>
      </c>
      <c r="E563" s="391"/>
      <c r="F563" s="262"/>
      <c r="G563" s="272">
        <f t="shared" si="51"/>
        <v>0.29480000000000001</v>
      </c>
      <c r="H563" s="141" t="str">
        <f>IF(G563="","",$H$10)</f>
        <v>EUR</v>
      </c>
      <c r="I563" s="409" t="s">
        <v>47</v>
      </c>
      <c r="J563" s="467" t="s">
        <v>16537</v>
      </c>
      <c r="L563" s="86" t="e">
        <f>VLOOKUP(B563,$B$11:B562,1,FALSE)</f>
        <v>#N/A</v>
      </c>
      <c r="M563" s="256">
        <f>G563*(1-FORM!$AE$28/100)</f>
        <v>0.29480000000000001</v>
      </c>
      <c r="AA563" s="463" t="s">
        <v>2952</v>
      </c>
      <c r="AB563" s="462" t="s">
        <v>2953</v>
      </c>
      <c r="AC563" s="462" t="s">
        <v>2954</v>
      </c>
      <c r="AD563" s="464">
        <v>1033.71039</v>
      </c>
      <c r="AE563" s="465">
        <v>41.621020000000001</v>
      </c>
      <c r="AF563" s="86">
        <f>IF(verze!$E$1="CZK",AD563,IF(verze!$E$1="SK",AE563,""))</f>
        <v>41.621020000000001</v>
      </c>
    </row>
    <row r="564" spans="2:32" ht="15">
      <c r="B564" s="298">
        <v>9270185</v>
      </c>
      <c r="C564" s="216" t="s">
        <v>966</v>
      </c>
      <c r="D564" s="217">
        <v>200</v>
      </c>
      <c r="E564" s="391"/>
      <c r="F564" s="262"/>
      <c r="G564" s="272">
        <f t="shared" si="51"/>
        <v>0.13098000000000001</v>
      </c>
      <c r="H564" s="141" t="str">
        <f>IF(G564="","",$H$10)</f>
        <v>EUR</v>
      </c>
      <c r="I564" s="409" t="s">
        <v>47</v>
      </c>
      <c r="J564" s="467" t="s">
        <v>16892</v>
      </c>
      <c r="L564" s="86" t="e">
        <f>VLOOKUP(B564,$B$11:B563,1,FALSE)</f>
        <v>#N/A</v>
      </c>
      <c r="M564" s="256">
        <f>G564*(1-FORM!$AE$28/100)</f>
        <v>0.13098000000000001</v>
      </c>
      <c r="AA564" s="463" t="s">
        <v>2955</v>
      </c>
      <c r="AB564" s="462" t="s">
        <v>2956</v>
      </c>
      <c r="AC564" s="462" t="s">
        <v>2957</v>
      </c>
      <c r="AD564" s="464">
        <v>286.33094</v>
      </c>
      <c r="AE564" s="465">
        <v>11.53196</v>
      </c>
      <c r="AF564" s="86">
        <f>IF(verze!$E$1="CZK",AD564,IF(verze!$E$1="SK",AE564,""))</f>
        <v>11.53196</v>
      </c>
    </row>
    <row r="565" spans="2:32" ht="15">
      <c r="B565" s="298">
        <v>9270186</v>
      </c>
      <c r="C565" s="216" t="s">
        <v>967</v>
      </c>
      <c r="D565" s="217">
        <v>200</v>
      </c>
      <c r="E565" s="391"/>
      <c r="F565" s="262"/>
      <c r="G565" s="272">
        <f t="shared" si="51"/>
        <v>0.13098000000000001</v>
      </c>
      <c r="H565" s="141" t="str">
        <f t="shared" ref="H565:H611" si="55">IF(G565="","",$H$10)</f>
        <v>EUR</v>
      </c>
      <c r="I565" s="409" t="s">
        <v>47</v>
      </c>
      <c r="J565" s="467" t="s">
        <v>16895</v>
      </c>
      <c r="L565" s="86" t="e">
        <f>VLOOKUP(B565,$B$11:B564,1,FALSE)</f>
        <v>#N/A</v>
      </c>
      <c r="M565" s="256">
        <f>G565*(1-FORM!$AE$28/100)</f>
        <v>0.13098000000000001</v>
      </c>
      <c r="AA565" s="463" t="s">
        <v>2958</v>
      </c>
      <c r="AB565" s="462" t="s">
        <v>2959</v>
      </c>
      <c r="AC565" s="462" t="s">
        <v>2960</v>
      </c>
      <c r="AD565" s="464">
        <v>1078.14741</v>
      </c>
      <c r="AE565" s="465">
        <v>43.131259999999997</v>
      </c>
      <c r="AF565" s="86">
        <f>IF(verze!$E$1="CZK",AD565,IF(verze!$E$1="SK",AE565,""))</f>
        <v>43.131259999999997</v>
      </c>
    </row>
    <row r="566" spans="2:32" ht="15">
      <c r="B566" s="303">
        <v>9270187</v>
      </c>
      <c r="C566" s="304" t="s">
        <v>968</v>
      </c>
      <c r="D566" s="226">
        <v>200</v>
      </c>
      <c r="E566" s="396"/>
      <c r="F566" s="268"/>
      <c r="G566" s="272">
        <f t="shared" si="51"/>
        <v>0.13098000000000001</v>
      </c>
      <c r="H566" s="142" t="str">
        <f t="shared" si="55"/>
        <v>EUR</v>
      </c>
      <c r="I566" s="417" t="s">
        <v>47</v>
      </c>
      <c r="J566" s="468" t="s">
        <v>16898</v>
      </c>
      <c r="L566" s="86" t="e">
        <f>VLOOKUP(B566,$B$11:B565,1,FALSE)</f>
        <v>#N/A</v>
      </c>
      <c r="M566" s="256">
        <f>G566*(1-FORM!$AE$28/100)</f>
        <v>0.13098000000000001</v>
      </c>
      <c r="AA566" s="463" t="s">
        <v>2958</v>
      </c>
      <c r="AB566" s="462" t="s">
        <v>2961</v>
      </c>
      <c r="AC566" s="462" t="s">
        <v>2962</v>
      </c>
      <c r="AD566" s="464">
        <v>407.61784999999998</v>
      </c>
      <c r="AE566" s="465">
        <v>16.351299999999998</v>
      </c>
      <c r="AF566" s="86">
        <f>IF(verze!$E$1="CZK",AD566,IF(verze!$E$1="SK",AE566,""))</f>
        <v>16.351299999999998</v>
      </c>
    </row>
    <row r="567" spans="2:32" ht="15">
      <c r="B567" s="440">
        <v>9321561</v>
      </c>
      <c r="C567" s="164" t="s">
        <v>1300</v>
      </c>
      <c r="D567" s="220">
        <v>150</v>
      </c>
      <c r="E567" s="393"/>
      <c r="F567" s="264"/>
      <c r="G567" s="272">
        <f t="shared" si="51"/>
        <v>1.33144</v>
      </c>
      <c r="H567" s="134" t="str">
        <f t="shared" si="55"/>
        <v>EUR</v>
      </c>
      <c r="I567" s="412" t="s">
        <v>47</v>
      </c>
      <c r="J567" s="470" t="s">
        <v>19186</v>
      </c>
      <c r="L567" s="86" t="e">
        <f>VLOOKUP(B567,$B$11:B566,1,FALSE)</f>
        <v>#N/A</v>
      </c>
      <c r="M567" s="256">
        <f>G567*(1-FORM!$AE$28/100)</f>
        <v>1.33144</v>
      </c>
      <c r="AA567" s="463" t="s">
        <v>2963</v>
      </c>
      <c r="AB567" s="462" t="s">
        <v>2964</v>
      </c>
      <c r="AC567" s="462" t="s">
        <v>2965</v>
      </c>
      <c r="AD567" s="464">
        <v>297.62538000000001</v>
      </c>
      <c r="AE567" s="465">
        <v>11.90649</v>
      </c>
      <c r="AF567" s="86">
        <f>IF(verze!$E$1="CZK",AD567,IF(verze!$E$1="SK",AE567,""))</f>
        <v>11.90649</v>
      </c>
    </row>
    <row r="568" spans="2:32" ht="15">
      <c r="B568" s="300"/>
      <c r="C568" s="164"/>
      <c r="D568" s="220"/>
      <c r="E568" s="393"/>
      <c r="F568" s="264"/>
      <c r="G568" s="272"/>
      <c r="H568" s="134"/>
      <c r="I568" s="412" t="s">
        <v>47</v>
      </c>
      <c r="J568" s="470"/>
      <c r="L568" s="86" t="e">
        <f>VLOOKUP(B568,$B$11:B567,1,FALSE)</f>
        <v>#N/A</v>
      </c>
      <c r="M568" s="256">
        <f>G568*(1-FORM!$AE$28/100)</f>
        <v>0</v>
      </c>
      <c r="AA568" s="463" t="s">
        <v>2966</v>
      </c>
      <c r="AB568" s="462" t="s">
        <v>2967</v>
      </c>
      <c r="AC568" s="462" t="s">
        <v>2968</v>
      </c>
      <c r="AD568" s="464">
        <v>405.22063000000003</v>
      </c>
      <c r="AE568" s="465">
        <v>16.210840000000001</v>
      </c>
      <c r="AF568" s="86">
        <f>IF(verze!$E$1="CZK",AD568,IF(verze!$E$1="SK",AE568,""))</f>
        <v>16.210840000000001</v>
      </c>
    </row>
    <row r="569" spans="2:32" ht="15">
      <c r="B569" s="301">
        <v>9283178</v>
      </c>
      <c r="C569" s="222" t="s">
        <v>969</v>
      </c>
      <c r="D569" s="223">
        <v>1</v>
      </c>
      <c r="E569" s="395"/>
      <c r="F569" s="266"/>
      <c r="G569" s="272">
        <f t="shared" si="51"/>
        <v>39.701169999999998</v>
      </c>
      <c r="H569" s="211" t="str">
        <f t="shared" si="55"/>
        <v>EUR</v>
      </c>
      <c r="I569" s="416" t="s">
        <v>47</v>
      </c>
      <c r="J569" s="469" t="s">
        <v>17366</v>
      </c>
      <c r="L569" s="86" t="e">
        <f>VLOOKUP(B569,$B$11:B568,1,FALSE)</f>
        <v>#N/A</v>
      </c>
      <c r="M569" s="256">
        <f>G569*(1-FORM!$AE$28/100)</f>
        <v>39.701169999999998</v>
      </c>
      <c r="AA569" s="463" t="s">
        <v>2969</v>
      </c>
      <c r="AB569" s="462" t="s">
        <v>2970</v>
      </c>
      <c r="AC569" s="462" t="s">
        <v>2971</v>
      </c>
      <c r="AD569" s="464">
        <v>163.82892000000001</v>
      </c>
      <c r="AE569" s="465">
        <v>6.5539800000000001</v>
      </c>
      <c r="AF569" s="86">
        <f>IF(verze!$E$1="CZK",AD569,IF(verze!$E$1="SK",AE569,""))</f>
        <v>6.5539800000000001</v>
      </c>
    </row>
    <row r="570" spans="2:32" ht="15">
      <c r="B570" s="298">
        <v>9283179</v>
      </c>
      <c r="C570" s="216" t="s">
        <v>970</v>
      </c>
      <c r="D570" s="217">
        <v>1</v>
      </c>
      <c r="E570" s="391"/>
      <c r="F570" s="262"/>
      <c r="G570" s="272">
        <f t="shared" si="51"/>
        <v>41.949010000000001</v>
      </c>
      <c r="H570" s="141" t="str">
        <f t="shared" si="55"/>
        <v>EUR</v>
      </c>
      <c r="I570" s="409" t="s">
        <v>47</v>
      </c>
      <c r="J570" s="467" t="s">
        <v>17369</v>
      </c>
      <c r="L570" s="86" t="e">
        <f>VLOOKUP(B570,$B$11:B569,1,FALSE)</f>
        <v>#N/A</v>
      </c>
      <c r="M570" s="256">
        <f>G570*(1-FORM!$AE$28/100)</f>
        <v>41.949010000000001</v>
      </c>
      <c r="AA570" s="463" t="s">
        <v>2972</v>
      </c>
      <c r="AB570" s="462" t="s">
        <v>2973</v>
      </c>
      <c r="AC570" s="462" t="s">
        <v>2974</v>
      </c>
      <c r="AD570" s="464">
        <v>232.63145</v>
      </c>
      <c r="AE570" s="465">
        <v>9.3064099999999996</v>
      </c>
      <c r="AF570" s="86">
        <f>IF(verze!$E$1="CZK",AD570,IF(verze!$E$1="SK",AE570,""))</f>
        <v>9.3064099999999996</v>
      </c>
    </row>
    <row r="571" spans="2:32" ht="15">
      <c r="B571" s="298">
        <v>9283180</v>
      </c>
      <c r="C571" s="216" t="s">
        <v>971</v>
      </c>
      <c r="D571" s="217">
        <v>1</v>
      </c>
      <c r="E571" s="391"/>
      <c r="F571" s="262"/>
      <c r="G571" s="272">
        <f t="shared" si="51"/>
        <v>44.197099999999999</v>
      </c>
      <c r="H571" s="141" t="str">
        <f t="shared" si="55"/>
        <v>EUR</v>
      </c>
      <c r="I571" s="409" t="s">
        <v>47</v>
      </c>
      <c r="J571" s="467" t="s">
        <v>17372</v>
      </c>
      <c r="L571" s="86" t="e">
        <f>VLOOKUP(B571,$B$11:B570,1,FALSE)</f>
        <v>#N/A</v>
      </c>
      <c r="M571" s="256">
        <f>G571*(1-FORM!$AE$28/100)</f>
        <v>44.197099999999999</v>
      </c>
      <c r="AA571" s="463" t="s">
        <v>2975</v>
      </c>
      <c r="AB571" s="462" t="s">
        <v>2976</v>
      </c>
      <c r="AC571" s="462" t="s">
        <v>2977</v>
      </c>
      <c r="AD571" s="464">
        <v>522.75427000000002</v>
      </c>
      <c r="AE571" s="465">
        <v>20.912769999999998</v>
      </c>
      <c r="AF571" s="86">
        <f>IF(verze!$E$1="CZK",AD571,IF(verze!$E$1="SK",AE571,""))</f>
        <v>20.912769999999998</v>
      </c>
    </row>
    <row r="572" spans="2:32" ht="15">
      <c r="B572" s="298">
        <v>9283181</v>
      </c>
      <c r="C572" s="216" t="s">
        <v>972</v>
      </c>
      <c r="D572" s="217">
        <v>1</v>
      </c>
      <c r="E572" s="391"/>
      <c r="F572" s="262"/>
      <c r="G572" s="272">
        <f t="shared" si="51"/>
        <v>46.445340000000002</v>
      </c>
      <c r="H572" s="141" t="str">
        <f t="shared" si="55"/>
        <v>EUR</v>
      </c>
      <c r="I572" s="409" t="s">
        <v>47</v>
      </c>
      <c r="J572" s="467" t="s">
        <v>17375</v>
      </c>
      <c r="L572" s="86" t="e">
        <f>VLOOKUP(B572,$B$11:B571,1,FALSE)</f>
        <v>#N/A</v>
      </c>
      <c r="M572" s="256">
        <f>G572*(1-FORM!$AE$28/100)</f>
        <v>46.445340000000002</v>
      </c>
      <c r="AA572" s="463" t="s">
        <v>2978</v>
      </c>
      <c r="AB572" s="462" t="s">
        <v>2979</v>
      </c>
      <c r="AC572" s="462" t="s">
        <v>2980</v>
      </c>
      <c r="AD572" s="464">
        <v>560.48844999999994</v>
      </c>
      <c r="AE572" s="465">
        <v>22.422319999999999</v>
      </c>
      <c r="AF572" s="86">
        <f>IF(verze!$E$1="CZK",AD572,IF(verze!$E$1="SK",AE572,""))</f>
        <v>22.422319999999999</v>
      </c>
    </row>
    <row r="573" spans="2:32" ht="15">
      <c r="B573" s="298">
        <v>9283182</v>
      </c>
      <c r="C573" s="216" t="s">
        <v>973</v>
      </c>
      <c r="D573" s="217">
        <v>1</v>
      </c>
      <c r="E573" s="391"/>
      <c r="F573" s="262"/>
      <c r="G573" s="272">
        <f t="shared" si="51"/>
        <v>50.939869999999999</v>
      </c>
      <c r="H573" s="141" t="str">
        <f t="shared" si="55"/>
        <v>EUR</v>
      </c>
      <c r="I573" s="409" t="s">
        <v>47</v>
      </c>
      <c r="J573" s="467" t="s">
        <v>17378</v>
      </c>
      <c r="L573" s="86" t="e">
        <f>VLOOKUP(B573,$B$11:B572,1,FALSE)</f>
        <v>#N/A</v>
      </c>
      <c r="M573" s="256">
        <f>G573*(1-FORM!$AE$28/100)</f>
        <v>50.939869999999999</v>
      </c>
      <c r="AA573" s="463" t="s">
        <v>2981</v>
      </c>
      <c r="AB573" s="462" t="s">
        <v>2982</v>
      </c>
      <c r="AC573" s="462" t="s">
        <v>2983</v>
      </c>
      <c r="AD573" s="464">
        <v>1690.41695</v>
      </c>
      <c r="AE573" s="465">
        <v>67.625100000000003</v>
      </c>
      <c r="AF573" s="86">
        <f>IF(verze!$E$1="CZK",AD573,IF(verze!$E$1="SK",AE573,""))</f>
        <v>67.625100000000003</v>
      </c>
    </row>
    <row r="574" spans="2:32" ht="15">
      <c r="B574" s="298">
        <v>9283183</v>
      </c>
      <c r="C574" s="216" t="s">
        <v>974</v>
      </c>
      <c r="D574" s="217">
        <v>1</v>
      </c>
      <c r="E574" s="391"/>
      <c r="F574" s="262"/>
      <c r="G574" s="272">
        <f t="shared" si="51"/>
        <v>55.43441</v>
      </c>
      <c r="H574" s="141" t="str">
        <f t="shared" si="55"/>
        <v>EUR</v>
      </c>
      <c r="I574" s="409" t="s">
        <v>47</v>
      </c>
      <c r="J574" s="467" t="s">
        <v>17381</v>
      </c>
      <c r="L574" s="86" t="e">
        <f>VLOOKUP(B574,$B$11:B573,1,FALSE)</f>
        <v>#N/A</v>
      </c>
      <c r="M574" s="256">
        <f>G574*(1-FORM!$AE$28/100)</f>
        <v>55.43441</v>
      </c>
      <c r="AA574" s="463" t="s">
        <v>2984</v>
      </c>
      <c r="AB574" s="462" t="s">
        <v>2985</v>
      </c>
      <c r="AC574" s="462" t="s">
        <v>2986</v>
      </c>
      <c r="AD574" s="464">
        <v>1690.41695</v>
      </c>
      <c r="AE574" s="465">
        <v>67.625100000000003</v>
      </c>
      <c r="AF574" s="86">
        <f>IF(verze!$E$1="CZK",AD574,IF(verze!$E$1="SK",AE574,""))</f>
        <v>67.625100000000003</v>
      </c>
    </row>
    <row r="575" spans="2:32" ht="15">
      <c r="B575" s="303">
        <v>9283184</v>
      </c>
      <c r="C575" s="304" t="s">
        <v>975</v>
      </c>
      <c r="D575" s="226">
        <v>1</v>
      </c>
      <c r="E575" s="396"/>
      <c r="F575" s="268"/>
      <c r="G575" s="272">
        <f t="shared" si="51"/>
        <v>59.929090000000002</v>
      </c>
      <c r="H575" s="142" t="str">
        <f t="shared" si="55"/>
        <v>EUR</v>
      </c>
      <c r="I575" s="417" t="s">
        <v>47</v>
      </c>
      <c r="J575" s="468" t="s">
        <v>17384</v>
      </c>
      <c r="L575" s="86" t="e">
        <f>VLOOKUP(B575,$B$11:B574,1,FALSE)</f>
        <v>#N/A</v>
      </c>
      <c r="M575" s="256">
        <f>G575*(1-FORM!$AE$28/100)</f>
        <v>59.929090000000002</v>
      </c>
      <c r="AA575" s="463" t="s">
        <v>2987</v>
      </c>
      <c r="AB575" s="462" t="s">
        <v>2988</v>
      </c>
      <c r="AC575" s="462" t="s">
        <v>2989</v>
      </c>
      <c r="AD575" s="464">
        <v>322.06743</v>
      </c>
      <c r="AE575" s="465">
        <v>12.8843</v>
      </c>
      <c r="AF575" s="86">
        <f>IF(verze!$E$1="CZK",AD575,IF(verze!$E$1="SK",AE575,""))</f>
        <v>12.8843</v>
      </c>
    </row>
    <row r="576" spans="2:32" ht="15">
      <c r="B576" s="303"/>
      <c r="C576" s="304"/>
      <c r="D576" s="226"/>
      <c r="E576" s="396"/>
      <c r="F576" s="268"/>
      <c r="G576" s="272"/>
      <c r="H576" s="142"/>
      <c r="I576" s="417" t="s">
        <v>47</v>
      </c>
      <c r="J576" s="470"/>
      <c r="L576" s="86" t="e">
        <f>VLOOKUP(B576,$B$11:B575,1,FALSE)</f>
        <v>#N/A</v>
      </c>
      <c r="M576" s="256">
        <f>G576*(1-FORM!$AE$28/100)</f>
        <v>0</v>
      </c>
      <c r="AA576" s="463" t="s">
        <v>2990</v>
      </c>
      <c r="AB576" s="462" t="s">
        <v>2991</v>
      </c>
      <c r="AC576" s="462" t="s">
        <v>2992</v>
      </c>
      <c r="AD576" s="464">
        <v>322.06743</v>
      </c>
      <c r="AE576" s="465">
        <v>12.8843</v>
      </c>
      <c r="AF576" s="86">
        <f>IF(verze!$E$1="CZK",AD576,IF(verze!$E$1="SK",AE576,""))</f>
        <v>12.8843</v>
      </c>
    </row>
    <row r="577" spans="2:32" ht="15">
      <c r="B577" s="431">
        <v>9283185</v>
      </c>
      <c r="C577" s="432" t="s">
        <v>976</v>
      </c>
      <c r="D577" s="223">
        <v>1</v>
      </c>
      <c r="E577" s="395"/>
      <c r="F577" s="266"/>
      <c r="G577" s="272" t="e">
        <f t="shared" si="51"/>
        <v>#N/A</v>
      </c>
      <c r="H577" s="211" t="e">
        <f t="shared" si="55"/>
        <v>#N/A</v>
      </c>
      <c r="I577" s="416" t="s">
        <v>47</v>
      </c>
      <c r="J577" s="469" t="s">
        <v>28262</v>
      </c>
      <c r="L577" s="86" t="e">
        <f>VLOOKUP(B577,$B$11:B576,1,FALSE)</f>
        <v>#N/A</v>
      </c>
      <c r="M577" s="256" t="e">
        <f>G577*(1-FORM!$AE$28/100)</f>
        <v>#N/A</v>
      </c>
      <c r="AA577" s="463" t="s">
        <v>2993</v>
      </c>
      <c r="AB577" s="462" t="s">
        <v>2994</v>
      </c>
      <c r="AC577" s="462" t="s">
        <v>2995</v>
      </c>
      <c r="AD577" s="464">
        <v>460.10135000000002</v>
      </c>
      <c r="AE577" s="465">
        <v>18.40634</v>
      </c>
      <c r="AF577" s="86">
        <f>IF(verze!$E$1="CZK",AD577,IF(verze!$E$1="SK",AE577,""))</f>
        <v>18.40634</v>
      </c>
    </row>
    <row r="578" spans="2:32" ht="15">
      <c r="B578" s="427">
        <v>9283186</v>
      </c>
      <c r="C578" s="428" t="s">
        <v>977</v>
      </c>
      <c r="D578" s="217">
        <v>1</v>
      </c>
      <c r="E578" s="391"/>
      <c r="F578" s="262"/>
      <c r="G578" s="272" t="e">
        <f t="shared" si="51"/>
        <v>#N/A</v>
      </c>
      <c r="H578" s="141" t="e">
        <f t="shared" si="55"/>
        <v>#N/A</v>
      </c>
      <c r="I578" s="409" t="s">
        <v>47</v>
      </c>
      <c r="J578" s="467" t="s">
        <v>28263</v>
      </c>
      <c r="L578" s="86" t="e">
        <f>VLOOKUP(B578,$B$11:B577,1,FALSE)</f>
        <v>#N/A</v>
      </c>
      <c r="M578" s="256" t="e">
        <f>G578*(1-FORM!$AE$28/100)</f>
        <v>#N/A</v>
      </c>
      <c r="AA578" s="463" t="s">
        <v>2996</v>
      </c>
      <c r="AB578" s="462" t="s">
        <v>2997</v>
      </c>
      <c r="AC578" s="462" t="s">
        <v>2998</v>
      </c>
      <c r="AD578" s="464">
        <v>581.50025000000005</v>
      </c>
      <c r="AE578" s="465">
        <v>23.262899999999998</v>
      </c>
      <c r="AF578" s="86">
        <f>IF(verze!$E$1="CZK",AD578,IF(verze!$E$1="SK",AE578,""))</f>
        <v>23.262899999999998</v>
      </c>
    </row>
    <row r="579" spans="2:32" ht="15">
      <c r="B579" s="427">
        <v>9283187</v>
      </c>
      <c r="C579" s="428" t="s">
        <v>978</v>
      </c>
      <c r="D579" s="217">
        <v>1</v>
      </c>
      <c r="E579" s="391"/>
      <c r="F579" s="262"/>
      <c r="G579" s="272" t="e">
        <f t="shared" si="51"/>
        <v>#N/A</v>
      </c>
      <c r="H579" s="141" t="e">
        <f t="shared" si="55"/>
        <v>#N/A</v>
      </c>
      <c r="I579" s="409" t="s">
        <v>47</v>
      </c>
      <c r="J579" s="467" t="s">
        <v>28264</v>
      </c>
      <c r="L579" s="86" t="e">
        <f>VLOOKUP(B579,$B$11:B578,1,FALSE)</f>
        <v>#N/A</v>
      </c>
      <c r="M579" s="256" t="e">
        <f>G579*(1-FORM!$AE$28/100)</f>
        <v>#N/A</v>
      </c>
      <c r="AA579" s="463" t="s">
        <v>2999</v>
      </c>
      <c r="AB579" s="462" t="s">
        <v>3000</v>
      </c>
      <c r="AC579" s="462" t="s">
        <v>3001</v>
      </c>
      <c r="AD579" s="464">
        <v>504.92723000000001</v>
      </c>
      <c r="AE579" s="465">
        <v>20.1996</v>
      </c>
      <c r="AF579" s="86">
        <f>IF(verze!$E$1="CZK",AD579,IF(verze!$E$1="SK",AE579,""))</f>
        <v>20.1996</v>
      </c>
    </row>
    <row r="580" spans="2:32" ht="15">
      <c r="B580" s="427">
        <v>9283188</v>
      </c>
      <c r="C580" s="428" t="s">
        <v>979</v>
      </c>
      <c r="D580" s="217">
        <v>1</v>
      </c>
      <c r="E580" s="391"/>
      <c r="F580" s="262"/>
      <c r="G580" s="272" t="e">
        <f t="shared" si="51"/>
        <v>#N/A</v>
      </c>
      <c r="H580" s="141" t="e">
        <f t="shared" si="55"/>
        <v>#N/A</v>
      </c>
      <c r="I580" s="409" t="s">
        <v>47</v>
      </c>
      <c r="J580" s="467" t="s">
        <v>28265</v>
      </c>
      <c r="L580" s="86" t="e">
        <f>VLOOKUP(B580,$B$11:B579,1,FALSE)</f>
        <v>#N/A</v>
      </c>
      <c r="M580" s="256" t="e">
        <f>G580*(1-FORM!$AE$28/100)</f>
        <v>#N/A</v>
      </c>
      <c r="AA580" s="463" t="s">
        <v>3002</v>
      </c>
      <c r="AB580" s="462" t="s">
        <v>3003</v>
      </c>
      <c r="AC580" s="462" t="s">
        <v>3004</v>
      </c>
      <c r="AD580" s="464">
        <v>504.92723000000001</v>
      </c>
      <c r="AE580" s="465">
        <v>20.1996</v>
      </c>
      <c r="AF580" s="86">
        <f>IF(verze!$E$1="CZK",AD580,IF(verze!$E$1="SK",AE580,""))</f>
        <v>20.1996</v>
      </c>
    </row>
    <row r="581" spans="2:32" ht="15">
      <c r="B581" s="441">
        <v>9283228</v>
      </c>
      <c r="C581" s="216" t="s">
        <v>980</v>
      </c>
      <c r="D581" s="217">
        <v>1</v>
      </c>
      <c r="E581" s="391"/>
      <c r="F581" s="262"/>
      <c r="G581" s="272" t="e">
        <f t="shared" si="51"/>
        <v>#N/A</v>
      </c>
      <c r="H581" s="141" t="e">
        <f t="shared" si="55"/>
        <v>#N/A</v>
      </c>
      <c r="I581" s="409" t="s">
        <v>47</v>
      </c>
      <c r="J581" s="467" t="s">
        <v>28266</v>
      </c>
      <c r="L581" s="86" t="e">
        <f>VLOOKUP(B581,$B$11:B580,1,FALSE)</f>
        <v>#N/A</v>
      </c>
      <c r="M581" s="256" t="e">
        <f>G581*(1-FORM!$AE$28/100)</f>
        <v>#N/A</v>
      </c>
      <c r="AA581" s="463" t="s">
        <v>3005</v>
      </c>
      <c r="AB581" s="462" t="s">
        <v>3006</v>
      </c>
      <c r="AC581" s="462" t="s">
        <v>3007</v>
      </c>
      <c r="AD581" s="464">
        <v>591.07005000000004</v>
      </c>
      <c r="AE581" s="465">
        <v>23.64574</v>
      </c>
      <c r="AF581" s="86">
        <f>IF(verze!$E$1="CZK",AD581,IF(verze!$E$1="SK",AE581,""))</f>
        <v>23.64574</v>
      </c>
    </row>
    <row r="582" spans="2:32" ht="15">
      <c r="B582" s="441">
        <v>9283229</v>
      </c>
      <c r="C582" s="216" t="s">
        <v>981</v>
      </c>
      <c r="D582" s="217">
        <v>1</v>
      </c>
      <c r="E582" s="391"/>
      <c r="F582" s="262"/>
      <c r="G582" s="272">
        <f t="shared" si="51"/>
        <v>19.680150000000001</v>
      </c>
      <c r="H582" s="141" t="str">
        <f t="shared" si="55"/>
        <v>EUR</v>
      </c>
      <c r="I582" s="409" t="s">
        <v>47</v>
      </c>
      <c r="J582" s="467" t="s">
        <v>17405</v>
      </c>
      <c r="L582" s="86" t="e">
        <f>VLOOKUP(B582,$B$11:B581,1,FALSE)</f>
        <v>#N/A</v>
      </c>
      <c r="M582" s="256">
        <f>G582*(1-FORM!$AE$28/100)</f>
        <v>19.680150000000001</v>
      </c>
      <c r="AA582" s="463" t="s">
        <v>3008</v>
      </c>
      <c r="AB582" s="462" t="s">
        <v>3009</v>
      </c>
      <c r="AC582" s="462" t="s">
        <v>3010</v>
      </c>
      <c r="AD582" s="464">
        <v>638.93385000000001</v>
      </c>
      <c r="AE582" s="465">
        <v>25.56054</v>
      </c>
      <c r="AF582" s="86">
        <f>IF(verze!$E$1="CZK",AD582,IF(verze!$E$1="SK",AE582,""))</f>
        <v>25.56054</v>
      </c>
    </row>
    <row r="583" spans="2:32" ht="15">
      <c r="B583" s="441">
        <v>9283231</v>
      </c>
      <c r="C583" s="216" t="s">
        <v>982</v>
      </c>
      <c r="D583" s="217">
        <v>1</v>
      </c>
      <c r="E583" s="391"/>
      <c r="F583" s="262"/>
      <c r="G583" s="272">
        <f t="shared" si="51"/>
        <v>34.754010000000001</v>
      </c>
      <c r="H583" s="141" t="str">
        <f t="shared" si="55"/>
        <v>EUR</v>
      </c>
      <c r="I583" s="409" t="s">
        <v>47</v>
      </c>
      <c r="J583" s="467" t="s">
        <v>17411</v>
      </c>
      <c r="L583" s="86" t="e">
        <f>VLOOKUP(B583,$B$11:B582,1,FALSE)</f>
        <v>#N/A</v>
      </c>
      <c r="M583" s="256">
        <f>G583*(1-FORM!$AE$28/100)</f>
        <v>34.754010000000001</v>
      </c>
      <c r="AA583" s="463" t="s">
        <v>3011</v>
      </c>
      <c r="AB583" s="462" t="s">
        <v>3012</v>
      </c>
      <c r="AC583" s="462" t="s">
        <v>3013</v>
      </c>
      <c r="AD583" s="464">
        <v>25.422180000000001</v>
      </c>
      <c r="AE583" s="465">
        <v>1.01701</v>
      </c>
      <c r="AF583" s="86">
        <f>IF(verze!$E$1="CZK",AD583,IF(verze!$E$1="SK",AE583,""))</f>
        <v>1.01701</v>
      </c>
    </row>
    <row r="584" spans="2:32" ht="15">
      <c r="B584" s="441">
        <v>9283232</v>
      </c>
      <c r="C584" s="216" t="s">
        <v>983</v>
      </c>
      <c r="D584" s="217">
        <v>1</v>
      </c>
      <c r="E584" s="391"/>
      <c r="F584" s="262"/>
      <c r="G584" s="272">
        <f t="shared" si="51"/>
        <v>44.803019999999997</v>
      </c>
      <c r="H584" s="141" t="str">
        <f t="shared" si="55"/>
        <v>EUR</v>
      </c>
      <c r="I584" s="409" t="s">
        <v>47</v>
      </c>
      <c r="J584" s="467" t="s">
        <v>17414</v>
      </c>
      <c r="L584" s="86" t="e">
        <f>VLOOKUP(B584,$B$11:B583,1,FALSE)</f>
        <v>#N/A</v>
      </c>
      <c r="M584" s="256">
        <f>G584*(1-FORM!$AE$28/100)</f>
        <v>44.803019999999997</v>
      </c>
      <c r="AA584" s="463" t="s">
        <v>3014</v>
      </c>
      <c r="AB584" s="462" t="s">
        <v>3015</v>
      </c>
      <c r="AC584" s="462" t="s">
        <v>3016</v>
      </c>
      <c r="AD584" s="464">
        <v>34.112209999999997</v>
      </c>
      <c r="AE584" s="465">
        <v>1.36466</v>
      </c>
      <c r="AF584" s="86">
        <f>IF(verze!$E$1="CZK",AD584,IF(verze!$E$1="SK",AE584,""))</f>
        <v>1.36466</v>
      </c>
    </row>
    <row r="585" spans="2:32" ht="15">
      <c r="B585" s="427">
        <v>9283241</v>
      </c>
      <c r="C585" s="428" t="s">
        <v>984</v>
      </c>
      <c r="D585" s="217">
        <v>1</v>
      </c>
      <c r="E585" s="391"/>
      <c r="F585" s="262"/>
      <c r="G585" s="272" t="e">
        <f t="shared" si="51"/>
        <v>#N/A</v>
      </c>
      <c r="H585" s="141" t="e">
        <f t="shared" si="55"/>
        <v>#N/A</v>
      </c>
      <c r="I585" s="409" t="s">
        <v>47</v>
      </c>
      <c r="J585" s="467" t="s">
        <v>28267</v>
      </c>
      <c r="L585" s="86" t="e">
        <f>VLOOKUP(B585,$B$11:B584,1,FALSE)</f>
        <v>#N/A</v>
      </c>
      <c r="M585" s="256" t="e">
        <f>G585*(1-FORM!$AE$28/100)</f>
        <v>#N/A</v>
      </c>
      <c r="AA585" s="463" t="s">
        <v>3017</v>
      </c>
      <c r="AB585" s="462" t="s">
        <v>3018</v>
      </c>
      <c r="AC585" s="462" t="s">
        <v>3019</v>
      </c>
      <c r="AD585" s="464">
        <v>1278.1284900000001</v>
      </c>
      <c r="AE585" s="465">
        <v>51.131500000000003</v>
      </c>
      <c r="AF585" s="86">
        <f>IF(verze!$E$1="CZK",AD585,IF(verze!$E$1="SK",AE585,""))</f>
        <v>51.131500000000003</v>
      </c>
    </row>
    <row r="586" spans="2:32" ht="15">
      <c r="B586" s="427">
        <v>9283242</v>
      </c>
      <c r="C586" s="428" t="s">
        <v>985</v>
      </c>
      <c r="D586" s="217">
        <v>1</v>
      </c>
      <c r="E586" s="391"/>
      <c r="F586" s="262"/>
      <c r="G586" s="272" t="e">
        <f t="shared" si="51"/>
        <v>#N/A</v>
      </c>
      <c r="H586" s="141" t="e">
        <f t="shared" si="55"/>
        <v>#N/A</v>
      </c>
      <c r="I586" s="409" t="s">
        <v>47</v>
      </c>
      <c r="J586" s="467" t="s">
        <v>28268</v>
      </c>
      <c r="L586" s="86" t="e">
        <f>VLOOKUP(B586,$B$11:B585,1,FALSE)</f>
        <v>#N/A</v>
      </c>
      <c r="M586" s="256" t="e">
        <f>G586*(1-FORM!$AE$28/100)</f>
        <v>#N/A</v>
      </c>
      <c r="AA586" s="463" t="s">
        <v>3020</v>
      </c>
      <c r="AB586" s="462" t="s">
        <v>3021</v>
      </c>
      <c r="AC586" s="462" t="s">
        <v>3022</v>
      </c>
      <c r="AD586" s="464">
        <v>1786.9920400000001</v>
      </c>
      <c r="AE586" s="465">
        <v>71.488590000000002</v>
      </c>
      <c r="AF586" s="86">
        <f>IF(verze!$E$1="CZK",AD586,IF(verze!$E$1="SK",AE586,""))</f>
        <v>71.488590000000002</v>
      </c>
    </row>
    <row r="587" spans="2:32" ht="15">
      <c r="B587" s="427">
        <v>9283244</v>
      </c>
      <c r="C587" s="428" t="s">
        <v>986</v>
      </c>
      <c r="D587" s="217">
        <v>1</v>
      </c>
      <c r="E587" s="391"/>
      <c r="F587" s="262"/>
      <c r="G587" s="272" t="e">
        <f t="shared" si="51"/>
        <v>#N/A</v>
      </c>
      <c r="H587" s="141" t="e">
        <f t="shared" si="55"/>
        <v>#N/A</v>
      </c>
      <c r="I587" s="409" t="s">
        <v>47</v>
      </c>
      <c r="J587" s="467" t="s">
        <v>28269</v>
      </c>
      <c r="L587" s="86" t="e">
        <f>VLOOKUP(B587,$B$11:B586,1,FALSE)</f>
        <v>#N/A</v>
      </c>
      <c r="M587" s="256" t="e">
        <f>G587*(1-FORM!$AE$28/100)</f>
        <v>#N/A</v>
      </c>
      <c r="AA587" s="463" t="s">
        <v>3023</v>
      </c>
      <c r="AB587" s="462" t="s">
        <v>3024</v>
      </c>
      <c r="AC587" s="462" t="s">
        <v>3025</v>
      </c>
      <c r="AD587" s="464">
        <v>561.02952000000005</v>
      </c>
      <c r="AE587" s="465">
        <v>0</v>
      </c>
      <c r="AF587" s="86">
        <f>IF(verze!$E$1="CZK",AD587,IF(verze!$E$1="SK",AE587,""))</f>
        <v>0</v>
      </c>
    </row>
    <row r="588" spans="2:32" ht="15">
      <c r="B588" s="429">
        <v>9283245</v>
      </c>
      <c r="C588" s="430" t="s">
        <v>987</v>
      </c>
      <c r="D588" s="226">
        <v>1</v>
      </c>
      <c r="E588" s="396"/>
      <c r="F588" s="268"/>
      <c r="G588" s="272" t="e">
        <f t="shared" si="51"/>
        <v>#N/A</v>
      </c>
      <c r="H588" s="142" t="e">
        <f t="shared" si="55"/>
        <v>#N/A</v>
      </c>
      <c r="I588" s="417" t="s">
        <v>47</v>
      </c>
      <c r="J588" s="468" t="s">
        <v>28270</v>
      </c>
      <c r="L588" s="86" t="e">
        <f>VLOOKUP(B588,$B$11:B587,1,FALSE)</f>
        <v>#N/A</v>
      </c>
      <c r="M588" s="256" t="e">
        <f>G588*(1-FORM!$AE$28/100)</f>
        <v>#N/A</v>
      </c>
      <c r="AA588" s="463" t="s">
        <v>3026</v>
      </c>
      <c r="AB588" s="462" t="s">
        <v>3027</v>
      </c>
      <c r="AC588" s="462" t="s">
        <v>3028</v>
      </c>
      <c r="AD588" s="464">
        <v>731.76120000000003</v>
      </c>
      <c r="AE588" s="465">
        <v>0</v>
      </c>
      <c r="AF588" s="86">
        <f>IF(verze!$E$1="CZK",AD588,IF(verze!$E$1="SK",AE588,""))</f>
        <v>0</v>
      </c>
    </row>
    <row r="589" spans="2:32" ht="15">
      <c r="B589" s="431">
        <v>9283189</v>
      </c>
      <c r="C589" s="432" t="s">
        <v>988</v>
      </c>
      <c r="D589" s="223">
        <v>1</v>
      </c>
      <c r="E589" s="395"/>
      <c r="F589" s="266"/>
      <c r="G589" s="272" t="e">
        <f t="shared" ref="G589:G652" si="56">VLOOKUP(J589,AB:AF,5,0)</f>
        <v>#N/A</v>
      </c>
      <c r="H589" s="211" t="e">
        <f t="shared" si="55"/>
        <v>#N/A</v>
      </c>
      <c r="I589" s="416" t="s">
        <v>47</v>
      </c>
      <c r="J589" s="469" t="s">
        <v>28271</v>
      </c>
      <c r="L589" s="86" t="e">
        <f>VLOOKUP(B589,$B$11:B588,1,FALSE)</f>
        <v>#N/A</v>
      </c>
      <c r="M589" s="256" t="e">
        <f>G589*(1-FORM!$AE$28/100)</f>
        <v>#N/A</v>
      </c>
      <c r="AA589" s="463" t="s">
        <v>3029</v>
      </c>
      <c r="AB589" s="462" t="s">
        <v>3030</v>
      </c>
      <c r="AC589" s="462" t="s">
        <v>3031</v>
      </c>
      <c r="AD589" s="464">
        <v>881.83623</v>
      </c>
      <c r="AE589" s="465">
        <v>35.277839999999998</v>
      </c>
      <c r="AF589" s="86">
        <f>IF(verze!$E$1="CZK",AD589,IF(verze!$E$1="SK",AE589,""))</f>
        <v>35.277839999999998</v>
      </c>
    </row>
    <row r="590" spans="2:32" ht="15">
      <c r="B590" s="427">
        <v>9283190</v>
      </c>
      <c r="C590" s="428" t="s">
        <v>989</v>
      </c>
      <c r="D590" s="217">
        <v>1</v>
      </c>
      <c r="E590" s="391"/>
      <c r="F590" s="262"/>
      <c r="G590" s="272" t="e">
        <f t="shared" si="56"/>
        <v>#N/A</v>
      </c>
      <c r="H590" s="141" t="e">
        <f t="shared" si="55"/>
        <v>#N/A</v>
      </c>
      <c r="I590" s="409" t="s">
        <v>47</v>
      </c>
      <c r="J590" s="467" t="s">
        <v>28272</v>
      </c>
      <c r="L590" s="86" t="e">
        <f>VLOOKUP(B590,$B$11:B589,1,FALSE)</f>
        <v>#N/A</v>
      </c>
      <c r="M590" s="256" t="e">
        <f>G590*(1-FORM!$AE$28/100)</f>
        <v>#N/A</v>
      </c>
      <c r="AA590" s="463" t="s">
        <v>3032</v>
      </c>
      <c r="AB590" s="462" t="s">
        <v>3033</v>
      </c>
      <c r="AC590" s="462" t="s">
        <v>3034</v>
      </c>
      <c r="AD590" s="464">
        <v>1058.20874</v>
      </c>
      <c r="AE590" s="465">
        <v>42.333599999999997</v>
      </c>
      <c r="AF590" s="86">
        <f>IF(verze!$E$1="CZK",AD590,IF(verze!$E$1="SK",AE590,""))</f>
        <v>42.333599999999997</v>
      </c>
    </row>
    <row r="591" spans="2:32" ht="15">
      <c r="B591" s="427">
        <v>9283191</v>
      </c>
      <c r="C591" s="428" t="s">
        <v>990</v>
      </c>
      <c r="D591" s="217">
        <v>1</v>
      </c>
      <c r="E591" s="391"/>
      <c r="F591" s="262"/>
      <c r="G591" s="272" t="e">
        <f t="shared" si="56"/>
        <v>#N/A</v>
      </c>
      <c r="H591" s="141" t="e">
        <f t="shared" si="55"/>
        <v>#N/A</v>
      </c>
      <c r="I591" s="409" t="s">
        <v>47</v>
      </c>
      <c r="J591" s="467" t="s">
        <v>28273</v>
      </c>
      <c r="L591" s="86" t="e">
        <f>VLOOKUP(B591,$B$11:B590,1,FALSE)</f>
        <v>#N/A</v>
      </c>
      <c r="M591" s="256" t="e">
        <f>G591*(1-FORM!$AE$28/100)</f>
        <v>#N/A</v>
      </c>
      <c r="AA591" s="463" t="s">
        <v>3035</v>
      </c>
      <c r="AB591" s="462" t="s">
        <v>3036</v>
      </c>
      <c r="AC591" s="462" t="s">
        <v>3037</v>
      </c>
      <c r="AD591" s="464">
        <v>891.12725</v>
      </c>
      <c r="AE591" s="465">
        <v>0</v>
      </c>
      <c r="AF591" s="86">
        <f>IF(verze!$E$1="CZK",AD591,IF(verze!$E$1="SK",AE591,""))</f>
        <v>0</v>
      </c>
    </row>
    <row r="592" spans="2:32" ht="15">
      <c r="B592" s="427">
        <v>9283192</v>
      </c>
      <c r="C592" s="428" t="s">
        <v>991</v>
      </c>
      <c r="D592" s="217">
        <v>1</v>
      </c>
      <c r="E592" s="391"/>
      <c r="F592" s="262"/>
      <c r="G592" s="272" t="e">
        <f t="shared" si="56"/>
        <v>#N/A</v>
      </c>
      <c r="H592" s="141" t="e">
        <f t="shared" si="55"/>
        <v>#N/A</v>
      </c>
      <c r="I592" s="409" t="s">
        <v>47</v>
      </c>
      <c r="J592" s="467" t="s">
        <v>28274</v>
      </c>
      <c r="L592" s="86" t="e">
        <f>VLOOKUP(B592,$B$11:B591,1,FALSE)</f>
        <v>#N/A</v>
      </c>
      <c r="M592" s="256" t="e">
        <f>G592*(1-FORM!$AE$28/100)</f>
        <v>#N/A</v>
      </c>
      <c r="AA592" s="463" t="s">
        <v>3038</v>
      </c>
      <c r="AB592" s="462" t="s">
        <v>3039</v>
      </c>
      <c r="AC592" s="462" t="s">
        <v>3040</v>
      </c>
      <c r="AD592" s="464">
        <v>1284.9688699999999</v>
      </c>
      <c r="AE592" s="465">
        <v>51.405140000000003</v>
      </c>
      <c r="AF592" s="86">
        <f>IF(verze!$E$1="CZK",AD592,IF(verze!$E$1="SK",AE592,""))</f>
        <v>51.405140000000003</v>
      </c>
    </row>
    <row r="593" spans="2:32" ht="15">
      <c r="B593" s="441">
        <v>9283233</v>
      </c>
      <c r="C593" s="216" t="s">
        <v>992</v>
      </c>
      <c r="D593" s="217">
        <v>1</v>
      </c>
      <c r="E593" s="391"/>
      <c r="F593" s="262"/>
      <c r="G593" s="272">
        <f t="shared" si="56"/>
        <v>27.140440000000002</v>
      </c>
      <c r="H593" s="141" t="str">
        <f t="shared" si="55"/>
        <v>EUR</v>
      </c>
      <c r="I593" s="409" t="s">
        <v>47</v>
      </c>
      <c r="J593" s="467" t="s">
        <v>17417</v>
      </c>
      <c r="L593" s="86" t="e">
        <f>VLOOKUP(B593,$B$11:B592,1,FALSE)</f>
        <v>#N/A</v>
      </c>
      <c r="M593" s="256">
        <f>G593*(1-FORM!$AE$28/100)</f>
        <v>27.140440000000002</v>
      </c>
      <c r="AA593" s="463" t="s">
        <v>3041</v>
      </c>
      <c r="AB593" s="462" t="s">
        <v>3042</v>
      </c>
      <c r="AC593" s="462" t="s">
        <v>3043</v>
      </c>
      <c r="AD593" s="464">
        <v>1437.1234899999999</v>
      </c>
      <c r="AE593" s="465">
        <v>57.492100000000001</v>
      </c>
      <c r="AF593" s="86">
        <f>IF(verze!$E$1="CZK",AD593,IF(verze!$E$1="SK",AE593,""))</f>
        <v>57.492100000000001</v>
      </c>
    </row>
    <row r="594" spans="2:32" ht="15">
      <c r="B594" s="441">
        <v>9283235</v>
      </c>
      <c r="C594" s="216" t="s">
        <v>993</v>
      </c>
      <c r="D594" s="217">
        <v>1</v>
      </c>
      <c r="E594" s="391"/>
      <c r="F594" s="262"/>
      <c r="G594" s="272">
        <f t="shared" si="56"/>
        <v>30.842929999999999</v>
      </c>
      <c r="H594" s="141" t="str">
        <f t="shared" si="55"/>
        <v>EUR</v>
      </c>
      <c r="I594" s="409" t="s">
        <v>47</v>
      </c>
      <c r="J594" s="467" t="s">
        <v>17420</v>
      </c>
      <c r="L594" s="86" t="e">
        <f>VLOOKUP(B594,$B$11:B593,1,FALSE)</f>
        <v>#N/A</v>
      </c>
      <c r="M594" s="256">
        <f>G594*(1-FORM!$AE$28/100)</f>
        <v>30.842929999999999</v>
      </c>
      <c r="AA594" s="463" t="s">
        <v>3044</v>
      </c>
      <c r="AB594" s="462" t="s">
        <v>3045</v>
      </c>
      <c r="AC594" s="462" t="s">
        <v>3046</v>
      </c>
      <c r="AD594" s="464">
        <v>1437.1234899999999</v>
      </c>
      <c r="AE594" s="465">
        <v>57.492100000000001</v>
      </c>
      <c r="AF594" s="86">
        <f>IF(verze!$E$1="CZK",AD594,IF(verze!$E$1="SK",AE594,""))</f>
        <v>57.492100000000001</v>
      </c>
    </row>
    <row r="595" spans="2:32" ht="15">
      <c r="B595" s="441">
        <v>9283237</v>
      </c>
      <c r="C595" s="216" t="s">
        <v>994</v>
      </c>
      <c r="D595" s="217">
        <v>1</v>
      </c>
      <c r="E595" s="391"/>
      <c r="F595" s="262"/>
      <c r="G595" s="272">
        <f t="shared" si="56"/>
        <v>51.404679999999999</v>
      </c>
      <c r="H595" s="141" t="str">
        <f t="shared" si="55"/>
        <v>EUR</v>
      </c>
      <c r="I595" s="409" t="s">
        <v>47</v>
      </c>
      <c r="J595" s="467" t="s">
        <v>17423</v>
      </c>
      <c r="L595" s="86" t="e">
        <f>VLOOKUP(B595,$B$11:B594,1,FALSE)</f>
        <v>#N/A</v>
      </c>
      <c r="M595" s="256">
        <f>G595*(1-FORM!$AE$28/100)</f>
        <v>51.404679999999999</v>
      </c>
      <c r="AA595" s="463" t="s">
        <v>3047</v>
      </c>
      <c r="AB595" s="462" t="s">
        <v>3048</v>
      </c>
      <c r="AC595" s="462" t="s">
        <v>3049</v>
      </c>
      <c r="AD595" s="464">
        <v>1328.40708</v>
      </c>
      <c r="AE595" s="465">
        <v>53.142899999999997</v>
      </c>
      <c r="AF595" s="86">
        <f>IF(verze!$E$1="CZK",AD595,IF(verze!$E$1="SK",AE595,""))</f>
        <v>53.142899999999997</v>
      </c>
    </row>
    <row r="596" spans="2:32" ht="15">
      <c r="B596" s="441">
        <v>9283238</v>
      </c>
      <c r="C596" s="216" t="s">
        <v>995</v>
      </c>
      <c r="D596" s="217">
        <v>1</v>
      </c>
      <c r="E596" s="391"/>
      <c r="F596" s="262"/>
      <c r="G596" s="272">
        <f t="shared" si="56"/>
        <v>66.209140000000005</v>
      </c>
      <c r="H596" s="141" t="str">
        <f t="shared" si="55"/>
        <v>EUR</v>
      </c>
      <c r="I596" s="409" t="s">
        <v>47</v>
      </c>
      <c r="J596" s="467" t="s">
        <v>17426</v>
      </c>
      <c r="L596" s="86" t="e">
        <f>VLOOKUP(B596,$B$11:B595,1,FALSE)</f>
        <v>#N/A</v>
      </c>
      <c r="M596" s="256">
        <f>G596*(1-FORM!$AE$28/100)</f>
        <v>66.209140000000005</v>
      </c>
      <c r="AA596" s="463" t="s">
        <v>3050</v>
      </c>
      <c r="AB596" s="462" t="s">
        <v>3051</v>
      </c>
      <c r="AC596" s="462" t="s">
        <v>3052</v>
      </c>
      <c r="AD596" s="464">
        <v>2113.2088600000002</v>
      </c>
      <c r="AE596" s="465">
        <v>84.538880000000006</v>
      </c>
      <c r="AF596" s="86">
        <f>IF(verze!$E$1="CZK",AD596,IF(verze!$E$1="SK",AE596,""))</f>
        <v>84.538880000000006</v>
      </c>
    </row>
    <row r="597" spans="2:32" ht="15">
      <c r="B597" s="427">
        <v>9283246</v>
      </c>
      <c r="C597" s="428" t="s">
        <v>996</v>
      </c>
      <c r="D597" s="217">
        <v>1</v>
      </c>
      <c r="E597" s="391"/>
      <c r="F597" s="262"/>
      <c r="G597" s="272" t="e">
        <f t="shared" si="56"/>
        <v>#N/A</v>
      </c>
      <c r="H597" s="141" t="e">
        <f t="shared" si="55"/>
        <v>#N/A</v>
      </c>
      <c r="I597" s="409" t="s">
        <v>47</v>
      </c>
      <c r="J597" s="467" t="s">
        <v>28275</v>
      </c>
      <c r="L597" s="86" t="e">
        <f>VLOOKUP(B597,$B$11:B596,1,FALSE)</f>
        <v>#N/A</v>
      </c>
      <c r="M597" s="256" t="e">
        <f>G597*(1-FORM!$AE$28/100)</f>
        <v>#N/A</v>
      </c>
      <c r="AA597" s="463" t="s">
        <v>3053</v>
      </c>
      <c r="AB597" s="462" t="s">
        <v>3054</v>
      </c>
      <c r="AC597" s="462" t="s">
        <v>3055</v>
      </c>
      <c r="AD597" s="464">
        <v>1956.93433</v>
      </c>
      <c r="AE597" s="465">
        <v>78.287109999999998</v>
      </c>
      <c r="AF597" s="86">
        <f>IF(verze!$E$1="CZK",AD597,IF(verze!$E$1="SK",AE597,""))</f>
        <v>78.287109999999998</v>
      </c>
    </row>
    <row r="598" spans="2:32" ht="15">
      <c r="B598" s="427">
        <v>9283247</v>
      </c>
      <c r="C598" s="428" t="s">
        <v>997</v>
      </c>
      <c r="D598" s="217">
        <v>1</v>
      </c>
      <c r="E598" s="391"/>
      <c r="F598" s="262"/>
      <c r="G598" s="272" t="e">
        <f t="shared" si="56"/>
        <v>#N/A</v>
      </c>
      <c r="H598" s="141" t="e">
        <f t="shared" si="55"/>
        <v>#N/A</v>
      </c>
      <c r="I598" s="409" t="s">
        <v>47</v>
      </c>
      <c r="J598" s="467" t="s">
        <v>28276</v>
      </c>
      <c r="L598" s="86" t="e">
        <f>VLOOKUP(B598,$B$11:B597,1,FALSE)</f>
        <v>#N/A</v>
      </c>
      <c r="M598" s="256" t="e">
        <f>G598*(1-FORM!$AE$28/100)</f>
        <v>#N/A</v>
      </c>
      <c r="AA598" s="463" t="s">
        <v>3056</v>
      </c>
      <c r="AB598" s="462" t="s">
        <v>3057</v>
      </c>
      <c r="AC598" s="462" t="s">
        <v>3058</v>
      </c>
      <c r="AD598" s="464">
        <v>5641.4520300000004</v>
      </c>
      <c r="AE598" s="465">
        <v>225.68617</v>
      </c>
      <c r="AF598" s="86">
        <f>IF(verze!$E$1="CZK",AD598,IF(verze!$E$1="SK",AE598,""))</f>
        <v>225.68617</v>
      </c>
    </row>
    <row r="599" spans="2:32" ht="15">
      <c r="B599" s="427">
        <v>9283259</v>
      </c>
      <c r="C599" s="428" t="s">
        <v>998</v>
      </c>
      <c r="D599" s="217">
        <v>1</v>
      </c>
      <c r="E599" s="391"/>
      <c r="F599" s="262"/>
      <c r="G599" s="272" t="e">
        <f t="shared" si="56"/>
        <v>#N/A</v>
      </c>
      <c r="H599" s="141" t="e">
        <f t="shared" si="55"/>
        <v>#N/A</v>
      </c>
      <c r="I599" s="409" t="s">
        <v>47</v>
      </c>
      <c r="J599" s="467" t="s">
        <v>28277</v>
      </c>
      <c r="L599" s="86" t="e">
        <f>VLOOKUP(B599,$B$11:B598,1,FALSE)</f>
        <v>#N/A</v>
      </c>
      <c r="M599" s="256" t="e">
        <f>G599*(1-FORM!$AE$28/100)</f>
        <v>#N/A</v>
      </c>
      <c r="AA599" s="463" t="s">
        <v>3059</v>
      </c>
      <c r="AB599" s="462" t="s">
        <v>3060</v>
      </c>
      <c r="AC599" s="462" t="s">
        <v>3061</v>
      </c>
      <c r="AD599" s="464">
        <v>1619.66696</v>
      </c>
      <c r="AE599" s="465">
        <v>64.794740000000004</v>
      </c>
      <c r="AF599" s="86">
        <f>IF(verze!$E$1="CZK",AD599,IF(verze!$E$1="SK",AE599,""))</f>
        <v>64.794740000000004</v>
      </c>
    </row>
    <row r="600" spans="2:32" ht="15">
      <c r="B600" s="429">
        <v>9283260</v>
      </c>
      <c r="C600" s="430" t="s">
        <v>999</v>
      </c>
      <c r="D600" s="226">
        <v>1</v>
      </c>
      <c r="E600" s="396"/>
      <c r="F600" s="268"/>
      <c r="G600" s="272" t="e">
        <f t="shared" si="56"/>
        <v>#N/A</v>
      </c>
      <c r="H600" s="142" t="e">
        <f t="shared" si="55"/>
        <v>#N/A</v>
      </c>
      <c r="I600" s="417" t="s">
        <v>47</v>
      </c>
      <c r="J600" s="468" t="s">
        <v>28278</v>
      </c>
      <c r="L600" s="86" t="e">
        <f>VLOOKUP(B600,$B$11:B599,1,FALSE)</f>
        <v>#N/A</v>
      </c>
      <c r="M600" s="256" t="e">
        <f>G600*(1-FORM!$AE$28/100)</f>
        <v>#N/A</v>
      </c>
      <c r="AA600" s="463" t="s">
        <v>3062</v>
      </c>
      <c r="AB600" s="462" t="s">
        <v>3063</v>
      </c>
      <c r="AC600" s="462" t="s">
        <v>3064</v>
      </c>
      <c r="AD600" s="464">
        <v>1132.0709400000001</v>
      </c>
      <c r="AE600" s="465">
        <v>0</v>
      </c>
      <c r="AF600" s="86">
        <f>IF(verze!$E$1="CZK",AD600,IF(verze!$E$1="SK",AE600,""))</f>
        <v>0</v>
      </c>
    </row>
    <row r="601" spans="2:32" ht="15">
      <c r="B601" s="303"/>
      <c r="C601" s="304"/>
      <c r="D601" s="226"/>
      <c r="E601" s="396"/>
      <c r="F601" s="268"/>
      <c r="G601" s="272"/>
      <c r="H601" s="142"/>
      <c r="I601" s="417" t="s">
        <v>47</v>
      </c>
      <c r="J601" s="470"/>
      <c r="M601" s="256">
        <f>G601*(1-FORM!$AE$28/100)</f>
        <v>0</v>
      </c>
      <c r="AA601" s="463" t="s">
        <v>3065</v>
      </c>
      <c r="AB601" s="462" t="s">
        <v>3066</v>
      </c>
      <c r="AC601" s="462" t="s">
        <v>3067</v>
      </c>
      <c r="AD601" s="464">
        <v>1156.9032199999999</v>
      </c>
      <c r="AE601" s="465">
        <v>46.281889999999997</v>
      </c>
      <c r="AF601" s="86">
        <f>IF(verze!$E$1="CZK",AD601,IF(verze!$E$1="SK",AE601,""))</f>
        <v>46.281889999999997</v>
      </c>
    </row>
    <row r="602" spans="2:32" ht="15">
      <c r="B602" s="356">
        <v>9278225</v>
      </c>
      <c r="C602" s="357" t="s">
        <v>1000</v>
      </c>
      <c r="D602" s="358">
        <v>200</v>
      </c>
      <c r="E602" s="398"/>
      <c r="F602" s="359"/>
      <c r="G602" s="272" t="e">
        <f t="shared" si="56"/>
        <v>#N/A</v>
      </c>
      <c r="H602" s="133" t="e">
        <f t="shared" ref="H602:H607" si="57">IF(G602="","",$H$10)</f>
        <v>#N/A</v>
      </c>
      <c r="I602" s="409" t="s">
        <v>47</v>
      </c>
      <c r="J602" s="469" t="s">
        <v>28279</v>
      </c>
      <c r="M602" s="256" t="e">
        <f>G602*(1-FORM!$AE$28/100)</f>
        <v>#N/A</v>
      </c>
      <c r="AA602" s="463" t="s">
        <v>3068</v>
      </c>
      <c r="AB602" s="462" t="s">
        <v>3069</v>
      </c>
      <c r="AC602" s="462" t="s">
        <v>3070</v>
      </c>
      <c r="AD602" s="464">
        <v>1044.98856</v>
      </c>
      <c r="AE602" s="465">
        <v>0</v>
      </c>
      <c r="AF602" s="86">
        <f>IF(verze!$E$1="CZK",AD602,IF(verze!$E$1="SK",AE602,""))</f>
        <v>0</v>
      </c>
    </row>
    <row r="603" spans="2:32" ht="15">
      <c r="B603" s="299">
        <v>45167</v>
      </c>
      <c r="C603" s="218" t="s">
        <v>1001</v>
      </c>
      <c r="D603" s="219">
        <v>200</v>
      </c>
      <c r="E603" s="392"/>
      <c r="F603" s="263"/>
      <c r="G603" s="272">
        <f t="shared" si="56"/>
        <v>3.4759999999999999E-2</v>
      </c>
      <c r="H603" s="133" t="str">
        <f t="shared" si="57"/>
        <v>EUR</v>
      </c>
      <c r="I603" s="409" t="s">
        <v>47</v>
      </c>
      <c r="J603" s="467" t="s">
        <v>2914</v>
      </c>
      <c r="L603" s="86" t="e">
        <f>VLOOKUP(B603,$B$11:B601,1,FALSE)</f>
        <v>#N/A</v>
      </c>
      <c r="M603" s="256">
        <f>G603*(1-FORM!$AE$28/100)</f>
        <v>3.4759999999999999E-2</v>
      </c>
      <c r="AA603" s="463" t="s">
        <v>3071</v>
      </c>
      <c r="AB603" s="462" t="s">
        <v>3072</v>
      </c>
      <c r="AC603" s="462" t="s">
        <v>3073</v>
      </c>
      <c r="AD603" s="464">
        <v>1031.9567999999999</v>
      </c>
      <c r="AE603" s="465">
        <v>41.283410000000003</v>
      </c>
      <c r="AF603" s="86">
        <f>IF(verze!$E$1="CZK",AD603,IF(verze!$E$1="SK",AE603,""))</f>
        <v>41.283410000000003</v>
      </c>
    </row>
    <row r="604" spans="2:32" ht="15">
      <c r="B604" s="298">
        <v>45168</v>
      </c>
      <c r="C604" s="216" t="s">
        <v>1002</v>
      </c>
      <c r="D604" s="217">
        <v>200</v>
      </c>
      <c r="E604" s="391"/>
      <c r="F604" s="262"/>
      <c r="G604" s="272">
        <f t="shared" si="56"/>
        <v>4.9860000000000002E-2</v>
      </c>
      <c r="H604" s="141" t="str">
        <f t="shared" si="57"/>
        <v>EUR</v>
      </c>
      <c r="I604" s="409" t="s">
        <v>47</v>
      </c>
      <c r="J604" s="467" t="s">
        <v>2917</v>
      </c>
      <c r="L604" s="86" t="e">
        <f>VLOOKUP(B604,$B$11:B603,1,FALSE)</f>
        <v>#N/A</v>
      </c>
      <c r="M604" s="256">
        <f>G604*(1-FORM!$AE$28/100)</f>
        <v>4.9860000000000002E-2</v>
      </c>
      <c r="AA604" s="463" t="s">
        <v>3074</v>
      </c>
      <c r="AB604" s="462" t="s">
        <v>3075</v>
      </c>
      <c r="AC604" s="462" t="s">
        <v>3076</v>
      </c>
      <c r="AD604" s="464">
        <v>925.52336000000003</v>
      </c>
      <c r="AE604" s="465">
        <v>37.025539999999999</v>
      </c>
      <c r="AF604" s="86">
        <f>IF(verze!$E$1="CZK",AD604,IF(verze!$E$1="SK",AE604,""))</f>
        <v>37.025539999999999</v>
      </c>
    </row>
    <row r="605" spans="2:32" ht="15">
      <c r="B605" s="298">
        <v>9278224</v>
      </c>
      <c r="C605" s="216" t="s">
        <v>1003</v>
      </c>
      <c r="D605" s="217">
        <v>200</v>
      </c>
      <c r="E605" s="391"/>
      <c r="F605" s="262"/>
      <c r="G605" s="272">
        <f t="shared" si="56"/>
        <v>4.299E-2</v>
      </c>
      <c r="H605" s="141" t="str">
        <f t="shared" si="57"/>
        <v>EUR</v>
      </c>
      <c r="I605" s="409" t="s">
        <v>47</v>
      </c>
      <c r="J605" s="467" t="s">
        <v>17058</v>
      </c>
      <c r="L605" s="86" t="e">
        <f>VLOOKUP(B605,$B$11:B604,1,FALSE)</f>
        <v>#N/A</v>
      </c>
      <c r="M605" s="256">
        <f>G605*(1-FORM!$AE$28/100)</f>
        <v>4.299E-2</v>
      </c>
      <c r="AA605" s="463" t="s">
        <v>3077</v>
      </c>
      <c r="AB605" s="462" t="s">
        <v>3078</v>
      </c>
      <c r="AC605" s="462" t="s">
        <v>3079</v>
      </c>
      <c r="AD605" s="464">
        <v>851.65902000000006</v>
      </c>
      <c r="AE605" s="465">
        <v>0</v>
      </c>
      <c r="AF605" s="86">
        <f>IF(verze!$E$1="CZK",AD605,IF(verze!$E$1="SK",AE605,""))</f>
        <v>0</v>
      </c>
    </row>
    <row r="606" spans="2:32" ht="15">
      <c r="B606" s="298">
        <v>9279197</v>
      </c>
      <c r="C606" s="216" t="s">
        <v>1004</v>
      </c>
      <c r="D606" s="217">
        <v>1000</v>
      </c>
      <c r="E606" s="391"/>
      <c r="F606" s="262"/>
      <c r="G606" s="272" t="e">
        <f t="shared" si="56"/>
        <v>#N/A</v>
      </c>
      <c r="H606" s="141" t="e">
        <f t="shared" si="57"/>
        <v>#N/A</v>
      </c>
      <c r="I606" s="409" t="s">
        <v>47</v>
      </c>
      <c r="J606" s="467" t="s">
        <v>28280</v>
      </c>
      <c r="L606" s="86" t="e">
        <f>VLOOKUP(B606,$B$11:B605,1,FALSE)</f>
        <v>#N/A</v>
      </c>
      <c r="M606" s="256" t="e">
        <f>G606*(1-FORM!$AE$28/100)</f>
        <v>#N/A</v>
      </c>
      <c r="AA606" s="463" t="s">
        <v>3080</v>
      </c>
      <c r="AB606" s="462" t="s">
        <v>3081</v>
      </c>
      <c r="AC606" s="462" t="s">
        <v>3082</v>
      </c>
      <c r="AD606" s="464">
        <v>462.76384999999999</v>
      </c>
      <c r="AE606" s="465">
        <v>18.51285</v>
      </c>
      <c r="AF606" s="86">
        <f>IF(verze!$E$1="CZK",AD606,IF(verze!$E$1="SK",AE606,""))</f>
        <v>18.51285</v>
      </c>
    </row>
    <row r="607" spans="2:32" ht="15">
      <c r="B607" s="297">
        <v>9137114</v>
      </c>
      <c r="C607" s="14" t="s">
        <v>1005</v>
      </c>
      <c r="D607" s="162">
        <v>200</v>
      </c>
      <c r="E607" s="388"/>
      <c r="F607" s="259"/>
      <c r="G607" s="272">
        <f t="shared" si="56"/>
        <v>7.7280000000000001E-2</v>
      </c>
      <c r="H607" s="132" t="str">
        <f t="shared" si="57"/>
        <v>EUR</v>
      </c>
      <c r="I607" s="405" t="s">
        <v>47</v>
      </c>
      <c r="J607" s="468" t="s">
        <v>10668</v>
      </c>
      <c r="L607" s="86" t="e">
        <f>VLOOKUP(B607,$B$11:B606,1,FALSE)</f>
        <v>#N/A</v>
      </c>
      <c r="M607" s="256">
        <f>G607*(1-FORM!$AE$28/100)</f>
        <v>7.7280000000000001E-2</v>
      </c>
      <c r="AA607" s="463" t="s">
        <v>3083</v>
      </c>
      <c r="AB607" s="462" t="s">
        <v>3084</v>
      </c>
      <c r="AC607" s="462" t="s">
        <v>3085</v>
      </c>
      <c r="AD607" s="464">
        <v>8.2612500000000004</v>
      </c>
      <c r="AE607" s="465">
        <v>0.33883999999999997</v>
      </c>
      <c r="AF607" s="86">
        <f>IF(verze!$E$1="CZK",AD607,IF(verze!$E$1="SK",AE607,""))</f>
        <v>0.33883999999999997</v>
      </c>
    </row>
    <row r="608" spans="2:32" ht="15">
      <c r="B608" s="300"/>
      <c r="C608" s="164"/>
      <c r="D608" s="220"/>
      <c r="E608" s="393"/>
      <c r="F608" s="264"/>
      <c r="G608" s="272"/>
      <c r="H608" s="134"/>
      <c r="I608" s="412" t="s">
        <v>47</v>
      </c>
      <c r="J608" s="470"/>
      <c r="L608" s="86" t="e">
        <f>VLOOKUP(B608,$B$11:B600,1,FALSE)</f>
        <v>#N/A</v>
      </c>
      <c r="M608" s="256">
        <f>G608*(1-FORM!$AE$28/100)</f>
        <v>0</v>
      </c>
      <c r="AA608" s="463" t="s">
        <v>3086</v>
      </c>
      <c r="AB608" s="462" t="s">
        <v>3087</v>
      </c>
      <c r="AC608" s="462" t="s">
        <v>3088</v>
      </c>
      <c r="AD608" s="464">
        <v>348.32952</v>
      </c>
      <c r="AE608" s="465">
        <v>0</v>
      </c>
      <c r="AF608" s="86">
        <f>IF(verze!$E$1="CZK",AD608,IF(verze!$E$1="SK",AE608,""))</f>
        <v>0</v>
      </c>
    </row>
    <row r="609" spans="2:32" ht="15">
      <c r="B609" s="301">
        <v>9318154</v>
      </c>
      <c r="C609" s="222" t="s">
        <v>1006</v>
      </c>
      <c r="D609" s="223">
        <v>1</v>
      </c>
      <c r="E609" s="395"/>
      <c r="F609" s="266"/>
      <c r="G609" s="272">
        <f t="shared" si="56"/>
        <v>31.62575</v>
      </c>
      <c r="H609" s="211" t="str">
        <f t="shared" si="55"/>
        <v>EUR</v>
      </c>
      <c r="I609" s="416" t="s">
        <v>47</v>
      </c>
      <c r="J609" s="469" t="s">
        <v>18370</v>
      </c>
      <c r="L609" s="86" t="e">
        <f>VLOOKUP(B609,$B$11:B608,1,FALSE)</f>
        <v>#N/A</v>
      </c>
      <c r="M609" s="256">
        <f>G609*(1-FORM!$AE$28/100)</f>
        <v>31.62575</v>
      </c>
      <c r="AA609" s="463" t="s">
        <v>3089</v>
      </c>
      <c r="AB609" s="462" t="s">
        <v>3090</v>
      </c>
      <c r="AC609" s="462" t="s">
        <v>3091</v>
      </c>
      <c r="AD609" s="464">
        <v>664.01694999999995</v>
      </c>
      <c r="AE609" s="465">
        <v>26.564</v>
      </c>
      <c r="AF609" s="86">
        <f>IF(verze!$E$1="CZK",AD609,IF(verze!$E$1="SK",AE609,""))</f>
        <v>26.564</v>
      </c>
    </row>
    <row r="610" spans="2:32" ht="15">
      <c r="B610" s="298">
        <v>9318156</v>
      </c>
      <c r="C610" s="216" t="s">
        <v>1007</v>
      </c>
      <c r="D610" s="217">
        <v>1</v>
      </c>
      <c r="E610" s="391"/>
      <c r="F610" s="262"/>
      <c r="G610" s="272">
        <f t="shared" si="56"/>
        <v>31.62575</v>
      </c>
      <c r="H610" s="141" t="str">
        <f t="shared" si="55"/>
        <v>EUR</v>
      </c>
      <c r="I610" s="409" t="s">
        <v>47</v>
      </c>
      <c r="J610" s="467" t="s">
        <v>18373</v>
      </c>
      <c r="L610" s="86" t="e">
        <f>VLOOKUP(B610,$B$11:B609,1,FALSE)</f>
        <v>#N/A</v>
      </c>
      <c r="M610" s="256">
        <f>G610*(1-FORM!$AE$28/100)</f>
        <v>31.62575</v>
      </c>
      <c r="AA610" s="463" t="s">
        <v>3092</v>
      </c>
      <c r="AB610" s="462" t="s">
        <v>3093</v>
      </c>
      <c r="AC610" s="462" t="s">
        <v>3094</v>
      </c>
      <c r="AD610" s="464">
        <v>231.37976</v>
      </c>
      <c r="AE610" s="465">
        <v>9.2563499999999994</v>
      </c>
      <c r="AF610" s="86">
        <f>IF(verze!$E$1="CZK",AD610,IF(verze!$E$1="SK",AE610,""))</f>
        <v>9.2563499999999994</v>
      </c>
    </row>
    <row r="611" spans="2:32" ht="15">
      <c r="B611" s="298">
        <v>9318160</v>
      </c>
      <c r="C611" s="216" t="s">
        <v>1008</v>
      </c>
      <c r="D611" s="217">
        <v>1</v>
      </c>
      <c r="E611" s="391"/>
      <c r="F611" s="262"/>
      <c r="G611" s="272">
        <f t="shared" si="56"/>
        <v>31.62575</v>
      </c>
      <c r="H611" s="141" t="str">
        <f t="shared" si="55"/>
        <v>EUR</v>
      </c>
      <c r="I611" s="409" t="s">
        <v>47</v>
      </c>
      <c r="J611" s="467" t="s">
        <v>18379</v>
      </c>
      <c r="L611" s="86" t="e">
        <f>VLOOKUP(B611,$B$11:B610,1,FALSE)</f>
        <v>#N/A</v>
      </c>
      <c r="M611" s="256">
        <f>G611*(1-FORM!$AE$28/100)</f>
        <v>31.62575</v>
      </c>
      <c r="AA611" s="463" t="s">
        <v>3095</v>
      </c>
      <c r="AB611" s="462" t="s">
        <v>3096</v>
      </c>
      <c r="AC611" s="462" t="s">
        <v>3097</v>
      </c>
      <c r="AD611" s="464">
        <v>1839.6549299999999</v>
      </c>
      <c r="AE611" s="465">
        <v>73.595349999999996</v>
      </c>
      <c r="AF611" s="86">
        <f>IF(verze!$E$1="CZK",AD611,IF(verze!$E$1="SK",AE611,""))</f>
        <v>73.595349999999996</v>
      </c>
    </row>
    <row r="612" spans="2:32" ht="15">
      <c r="B612" s="298">
        <v>9318145</v>
      </c>
      <c r="C612" s="216" t="s">
        <v>1009</v>
      </c>
      <c r="D612" s="217">
        <v>10</v>
      </c>
      <c r="E612" s="391"/>
      <c r="F612" s="262"/>
      <c r="G612" s="272" t="e">
        <f t="shared" si="56"/>
        <v>#N/A</v>
      </c>
      <c r="H612" s="141" t="e">
        <f>IF(G612="","",$H$10)</f>
        <v>#N/A</v>
      </c>
      <c r="I612" s="409" t="s">
        <v>47</v>
      </c>
      <c r="J612" s="467">
        <v>397769</v>
      </c>
      <c r="L612" s="86" t="e">
        <f>VLOOKUP(B612,$B$11:B611,1,FALSE)</f>
        <v>#N/A</v>
      </c>
      <c r="M612" s="256" t="e">
        <f>G612*(1-FORM!$AE$28/100)</f>
        <v>#N/A</v>
      </c>
      <c r="AA612" s="463" t="s">
        <v>3095</v>
      </c>
      <c r="AB612" s="462" t="s">
        <v>3098</v>
      </c>
      <c r="AC612" s="462" t="s">
        <v>3099</v>
      </c>
      <c r="AD612" s="464">
        <v>695.52215000000001</v>
      </c>
      <c r="AE612" s="465">
        <v>27.900369999999999</v>
      </c>
      <c r="AF612" s="86">
        <f>IF(verze!$E$1="CZK",AD612,IF(verze!$E$1="SK",AE612,""))</f>
        <v>27.900369999999999</v>
      </c>
    </row>
    <row r="613" spans="2:32" ht="15">
      <c r="B613" s="298">
        <v>9318146</v>
      </c>
      <c r="C613" s="216" t="s">
        <v>1010</v>
      </c>
      <c r="D613" s="217">
        <v>10</v>
      </c>
      <c r="E613" s="391"/>
      <c r="F613" s="262"/>
      <c r="G613" s="272" t="e">
        <f t="shared" si="56"/>
        <v>#N/A</v>
      </c>
      <c r="H613" s="141" t="e">
        <f t="shared" ref="H613:H622" si="58">IF(G613="","",$H$10)</f>
        <v>#N/A</v>
      </c>
      <c r="I613" s="409" t="s">
        <v>47</v>
      </c>
      <c r="J613" s="467">
        <v>397770</v>
      </c>
      <c r="L613" s="86" t="e">
        <f>VLOOKUP(B613,$B$11:B612,1,FALSE)</f>
        <v>#N/A</v>
      </c>
      <c r="M613" s="256" t="e">
        <f>G613*(1-FORM!$AE$28/100)</f>
        <v>#N/A</v>
      </c>
      <c r="AA613" s="463" t="s">
        <v>3100</v>
      </c>
      <c r="AB613" s="462" t="s">
        <v>3101</v>
      </c>
      <c r="AC613" s="462" t="s">
        <v>3102</v>
      </c>
      <c r="AD613" s="464">
        <v>546.17903999999999</v>
      </c>
      <c r="AE613" s="465">
        <v>21.849879999999999</v>
      </c>
      <c r="AF613" s="86">
        <f>IF(verze!$E$1="CZK",AD613,IF(verze!$E$1="SK",AE613,""))</f>
        <v>21.849879999999999</v>
      </c>
    </row>
    <row r="614" spans="2:32" ht="15">
      <c r="B614" s="298">
        <v>9318147</v>
      </c>
      <c r="C614" s="216" t="s">
        <v>1011</v>
      </c>
      <c r="D614" s="217">
        <v>10</v>
      </c>
      <c r="E614" s="391"/>
      <c r="F614" s="262"/>
      <c r="G614" s="272" t="e">
        <f t="shared" si="56"/>
        <v>#N/A</v>
      </c>
      <c r="H614" s="141" t="e">
        <f t="shared" si="58"/>
        <v>#N/A</v>
      </c>
      <c r="I614" s="409" t="s">
        <v>47</v>
      </c>
      <c r="J614" s="467">
        <v>397771</v>
      </c>
      <c r="L614" s="86" t="e">
        <f>VLOOKUP(B614,$B$11:B613,1,FALSE)</f>
        <v>#N/A</v>
      </c>
      <c r="M614" s="256" t="e">
        <f>G614*(1-FORM!$AE$28/100)</f>
        <v>#N/A</v>
      </c>
      <c r="AA614" s="463" t="s">
        <v>3100</v>
      </c>
      <c r="AB614" s="462" t="s">
        <v>3103</v>
      </c>
      <c r="AC614" s="462" t="s">
        <v>3104</v>
      </c>
      <c r="AD614" s="464">
        <v>206.49494999999999</v>
      </c>
      <c r="AE614" s="465">
        <v>8.2834000000000003</v>
      </c>
      <c r="AF614" s="86">
        <f>IF(verze!$E$1="CZK",AD614,IF(verze!$E$1="SK",AE614,""))</f>
        <v>8.2834000000000003</v>
      </c>
    </row>
    <row r="615" spans="2:32" ht="15">
      <c r="B615" s="298">
        <v>9318148</v>
      </c>
      <c r="C615" s="216" t="s">
        <v>1012</v>
      </c>
      <c r="D615" s="217">
        <v>10</v>
      </c>
      <c r="E615" s="391"/>
      <c r="F615" s="262"/>
      <c r="G615" s="272" t="e">
        <f t="shared" si="56"/>
        <v>#N/A</v>
      </c>
      <c r="H615" s="141" t="e">
        <f t="shared" si="58"/>
        <v>#N/A</v>
      </c>
      <c r="I615" s="409" t="s">
        <v>47</v>
      </c>
      <c r="J615" s="467">
        <v>397772</v>
      </c>
      <c r="L615" s="86" t="e">
        <f>VLOOKUP(B615,$B$11:B614,1,FALSE)</f>
        <v>#N/A</v>
      </c>
      <c r="M615" s="256" t="e">
        <f>G615*(1-FORM!$AE$28/100)</f>
        <v>#N/A</v>
      </c>
      <c r="AA615" s="463" t="s">
        <v>3105</v>
      </c>
      <c r="AB615" s="462" t="s">
        <v>3106</v>
      </c>
      <c r="AC615" s="462" t="s">
        <v>3107</v>
      </c>
      <c r="AD615" s="464">
        <v>1851.0468100000001</v>
      </c>
      <c r="AE615" s="465">
        <v>74.051079999999999</v>
      </c>
      <c r="AF615" s="86">
        <f>IF(verze!$E$1="CZK",AD615,IF(verze!$E$1="SK",AE615,""))</f>
        <v>74.051079999999999</v>
      </c>
    </row>
    <row r="616" spans="2:32" ht="15">
      <c r="B616" s="298">
        <v>9318149</v>
      </c>
      <c r="C616" s="216" t="s">
        <v>1013</v>
      </c>
      <c r="D616" s="217">
        <v>10</v>
      </c>
      <c r="E616" s="391"/>
      <c r="F616" s="262"/>
      <c r="G616" s="272">
        <f t="shared" si="56"/>
        <v>14.37729</v>
      </c>
      <c r="H616" s="141" t="str">
        <f t="shared" si="58"/>
        <v>EUR</v>
      </c>
      <c r="I616" s="409" t="s">
        <v>47</v>
      </c>
      <c r="J616" s="467" t="s">
        <v>18364</v>
      </c>
      <c r="L616" s="86" t="e">
        <f>VLOOKUP(B616,$B$11:B615,1,FALSE)</f>
        <v>#N/A</v>
      </c>
      <c r="M616" s="256">
        <f>G616*(1-FORM!$AE$28/100)</f>
        <v>14.37729</v>
      </c>
      <c r="AA616" s="463" t="s">
        <v>3108</v>
      </c>
      <c r="AB616" s="462" t="s">
        <v>3109</v>
      </c>
      <c r="AC616" s="462" t="s">
        <v>3110</v>
      </c>
      <c r="AD616" s="464">
        <v>832.97105999999997</v>
      </c>
      <c r="AE616" s="465">
        <v>33.322980000000001</v>
      </c>
      <c r="AF616" s="86">
        <f>IF(verze!$E$1="CZK",AD616,IF(verze!$E$1="SK",AE616,""))</f>
        <v>33.322980000000001</v>
      </c>
    </row>
    <row r="617" spans="2:32" ht="15">
      <c r="B617" s="303">
        <v>9318150</v>
      </c>
      <c r="C617" s="304" t="s">
        <v>1014</v>
      </c>
      <c r="D617" s="226">
        <v>10</v>
      </c>
      <c r="E617" s="396"/>
      <c r="F617" s="268"/>
      <c r="G617" s="272">
        <f t="shared" si="56"/>
        <v>14.37729</v>
      </c>
      <c r="H617" s="142" t="str">
        <f t="shared" si="58"/>
        <v>EUR</v>
      </c>
      <c r="I617" s="417" t="s">
        <v>47</v>
      </c>
      <c r="J617" s="468" t="s">
        <v>18367</v>
      </c>
      <c r="L617" s="86" t="e">
        <f>VLOOKUP(B617,$B$11:B616,1,FALSE)</f>
        <v>#N/A</v>
      </c>
      <c r="M617" s="256">
        <f>G617*(1-FORM!$AE$28/100)</f>
        <v>14.37729</v>
      </c>
      <c r="AA617" s="463" t="s">
        <v>3111</v>
      </c>
      <c r="AB617" s="462" t="s">
        <v>3112</v>
      </c>
      <c r="AC617" s="462" t="s">
        <v>3113</v>
      </c>
      <c r="AD617" s="464">
        <v>1406.3368800000001</v>
      </c>
      <c r="AE617" s="465">
        <v>0</v>
      </c>
      <c r="AF617" s="86">
        <f>IF(verze!$E$1="CZK",AD617,IF(verze!$E$1="SK",AE617,""))</f>
        <v>0</v>
      </c>
    </row>
    <row r="618" spans="2:32" ht="15">
      <c r="B618" s="303"/>
      <c r="C618" s="304"/>
      <c r="D618" s="226"/>
      <c r="E618" s="396"/>
      <c r="F618" s="268"/>
      <c r="G618" s="272"/>
      <c r="H618" s="142"/>
      <c r="I618" s="417" t="s">
        <v>47</v>
      </c>
      <c r="J618" s="470"/>
      <c r="L618" s="86" t="e">
        <f>VLOOKUP(B618,$B$11:B617,1,FALSE)</f>
        <v>#N/A</v>
      </c>
      <c r="M618" s="256">
        <f>G618*(1-FORM!$AE$28/100)</f>
        <v>0</v>
      </c>
      <c r="AA618" s="463" t="s">
        <v>3114</v>
      </c>
      <c r="AB618" s="462" t="s">
        <v>3115</v>
      </c>
      <c r="AC618" s="462" t="s">
        <v>3116</v>
      </c>
      <c r="AD618" s="464">
        <v>6.4122199999999996</v>
      </c>
      <c r="AE618" s="465">
        <v>0.26300000000000001</v>
      </c>
      <c r="AF618" s="86">
        <f>IF(verze!$E$1="CZK",AD618,IF(verze!$E$1="SK",AE618,""))</f>
        <v>0.26300000000000001</v>
      </c>
    </row>
    <row r="619" spans="2:32" ht="15">
      <c r="B619" s="301">
        <v>9318186</v>
      </c>
      <c r="C619" s="222" t="s">
        <v>1015</v>
      </c>
      <c r="D619" s="223">
        <v>1</v>
      </c>
      <c r="E619" s="395"/>
      <c r="F619" s="266"/>
      <c r="G619" s="272">
        <f t="shared" si="56"/>
        <v>31.62575</v>
      </c>
      <c r="H619" s="211" t="str">
        <f t="shared" si="58"/>
        <v>EUR</v>
      </c>
      <c r="I619" s="416" t="s">
        <v>47</v>
      </c>
      <c r="J619" s="469" t="s">
        <v>18434</v>
      </c>
      <c r="L619" s="86" t="e">
        <f>VLOOKUP(B619,$B$11:B618,1,FALSE)</f>
        <v>#N/A</v>
      </c>
      <c r="M619" s="256">
        <f>G619*(1-FORM!$AE$28/100)</f>
        <v>31.62575</v>
      </c>
      <c r="AA619" s="463" t="s">
        <v>3117</v>
      </c>
      <c r="AB619" s="462" t="s">
        <v>3118</v>
      </c>
      <c r="AC619" s="462" t="s">
        <v>3119</v>
      </c>
      <c r="AD619" s="464">
        <v>65.693449999999999</v>
      </c>
      <c r="AE619" s="465">
        <v>2.6280600000000001</v>
      </c>
      <c r="AF619" s="86">
        <f>IF(verze!$E$1="CZK",AD619,IF(verze!$E$1="SK",AE619,""))</f>
        <v>2.6280600000000001</v>
      </c>
    </row>
    <row r="620" spans="2:32" ht="15">
      <c r="B620" s="298">
        <v>9318187</v>
      </c>
      <c r="C620" s="216" t="s">
        <v>1016</v>
      </c>
      <c r="D620" s="217">
        <v>1</v>
      </c>
      <c r="E620" s="391"/>
      <c r="F620" s="262"/>
      <c r="G620" s="272">
        <f t="shared" si="56"/>
        <v>31.62575</v>
      </c>
      <c r="H620" s="141" t="str">
        <f t="shared" si="58"/>
        <v>EUR</v>
      </c>
      <c r="I620" s="409" t="s">
        <v>47</v>
      </c>
      <c r="J620" s="467" t="s">
        <v>18437</v>
      </c>
      <c r="L620" s="86" t="e">
        <f>VLOOKUP(B620,$B$11:B619,1,FALSE)</f>
        <v>#N/A</v>
      </c>
      <c r="M620" s="256">
        <f>G620*(1-FORM!$AE$28/100)</f>
        <v>31.62575</v>
      </c>
      <c r="AA620" s="463" t="s">
        <v>3120</v>
      </c>
      <c r="AB620" s="462" t="s">
        <v>3121</v>
      </c>
      <c r="AC620" s="462" t="s">
        <v>3122</v>
      </c>
      <c r="AD620" s="464">
        <v>452.28456999999997</v>
      </c>
      <c r="AE620" s="465">
        <v>18.093640000000001</v>
      </c>
      <c r="AF620" s="86">
        <f>IF(verze!$E$1="CZK",AD620,IF(verze!$E$1="SK",AE620,""))</f>
        <v>18.093640000000001</v>
      </c>
    </row>
    <row r="621" spans="2:32" ht="15">
      <c r="B621" s="298">
        <v>9318188</v>
      </c>
      <c r="C621" s="216" t="s">
        <v>1017</v>
      </c>
      <c r="D621" s="217">
        <v>1</v>
      </c>
      <c r="E621" s="391"/>
      <c r="F621" s="262"/>
      <c r="G621" s="272">
        <f t="shared" si="56"/>
        <v>31.62575</v>
      </c>
      <c r="H621" s="141" t="str">
        <f t="shared" si="58"/>
        <v>EUR</v>
      </c>
      <c r="I621" s="409" t="s">
        <v>47</v>
      </c>
      <c r="J621" s="467" t="s">
        <v>18440</v>
      </c>
      <c r="L621" s="86" t="e">
        <f>VLOOKUP(B621,$B$11:B620,1,FALSE)</f>
        <v>#N/A</v>
      </c>
      <c r="M621" s="256">
        <f>G621*(1-FORM!$AE$28/100)</f>
        <v>31.62575</v>
      </c>
      <c r="AA621" s="463" t="s">
        <v>3123</v>
      </c>
      <c r="AB621" s="462" t="s">
        <v>3124</v>
      </c>
      <c r="AC621" s="462" t="s">
        <v>3125</v>
      </c>
      <c r="AD621" s="464">
        <v>350.26058999999998</v>
      </c>
      <c r="AE621" s="465">
        <v>14.012169999999999</v>
      </c>
      <c r="AF621" s="86">
        <f>IF(verze!$E$1="CZK",AD621,IF(verze!$E$1="SK",AE621,""))</f>
        <v>14.012169999999999</v>
      </c>
    </row>
    <row r="622" spans="2:32" ht="15">
      <c r="B622" s="298">
        <v>9318190</v>
      </c>
      <c r="C622" s="216" t="s">
        <v>1018</v>
      </c>
      <c r="D622" s="217">
        <v>1</v>
      </c>
      <c r="E622" s="391"/>
      <c r="F622" s="262"/>
      <c r="G622" s="272">
        <f t="shared" si="56"/>
        <v>31.976389999999999</v>
      </c>
      <c r="H622" s="141" t="str">
        <f t="shared" si="58"/>
        <v>EUR</v>
      </c>
      <c r="I622" s="409" t="s">
        <v>47</v>
      </c>
      <c r="J622" s="467" t="s">
        <v>18445</v>
      </c>
      <c r="L622" s="86" t="e">
        <f>VLOOKUP(B622,$B$11:B621,1,FALSE)</f>
        <v>#N/A</v>
      </c>
      <c r="M622" s="256">
        <f>G622*(1-FORM!$AE$28/100)</f>
        <v>31.976389999999999</v>
      </c>
      <c r="AA622" s="463" t="s">
        <v>3126</v>
      </c>
      <c r="AB622" s="462" t="s">
        <v>3127</v>
      </c>
      <c r="AC622" s="462" t="s">
        <v>3128</v>
      </c>
      <c r="AD622" s="464">
        <v>799.14702</v>
      </c>
      <c r="AE622" s="465">
        <v>31.969860000000001</v>
      </c>
      <c r="AF622" s="86">
        <f>IF(verze!$E$1="CZK",AD622,IF(verze!$E$1="SK",AE622,""))</f>
        <v>31.969860000000001</v>
      </c>
    </row>
    <row r="623" spans="2:32" ht="15">
      <c r="B623" s="298">
        <v>9318191</v>
      </c>
      <c r="C623" s="216" t="s">
        <v>1019</v>
      </c>
      <c r="D623" s="217">
        <v>1</v>
      </c>
      <c r="E623" s="391"/>
      <c r="F623" s="262"/>
      <c r="G623" s="272">
        <f t="shared" si="56"/>
        <v>32.324420000000003</v>
      </c>
      <c r="H623" s="141" t="str">
        <f>IF(G623="","",$H$10)</f>
        <v>EUR</v>
      </c>
      <c r="I623" s="409" t="s">
        <v>47</v>
      </c>
      <c r="J623" s="467" t="s">
        <v>18450</v>
      </c>
      <c r="L623" s="86" t="e">
        <f>VLOOKUP(B623,$B$11:B622,1,FALSE)</f>
        <v>#N/A</v>
      </c>
      <c r="M623" s="256">
        <f>G623*(1-FORM!$AE$28/100)</f>
        <v>32.324420000000003</v>
      </c>
      <c r="AA623" s="463" t="s">
        <v>3129</v>
      </c>
      <c r="AB623" s="462" t="s">
        <v>3130</v>
      </c>
      <c r="AC623" s="462" t="s">
        <v>3131</v>
      </c>
      <c r="AD623" s="464">
        <v>672.64044000000001</v>
      </c>
      <c r="AE623" s="465">
        <v>26.90896</v>
      </c>
      <c r="AF623" s="86">
        <f>IF(verze!$E$1="CZK",AD623,IF(verze!$E$1="SK",AE623,""))</f>
        <v>26.90896</v>
      </c>
    </row>
    <row r="624" spans="2:32" ht="15">
      <c r="B624" s="298">
        <v>9318192</v>
      </c>
      <c r="C624" s="216" t="s">
        <v>1020</v>
      </c>
      <c r="D624" s="217">
        <v>1</v>
      </c>
      <c r="E624" s="391"/>
      <c r="F624" s="262"/>
      <c r="G624" s="272">
        <f t="shared" si="56"/>
        <v>6.5957299999999996</v>
      </c>
      <c r="H624" s="141" t="str">
        <f>IF(G624="","",$H$10)</f>
        <v>EUR</v>
      </c>
      <c r="I624" s="409" t="s">
        <v>47</v>
      </c>
      <c r="J624" s="467" t="s">
        <v>28092</v>
      </c>
      <c r="L624" s="86" t="e">
        <f>VLOOKUP(B624,$B$11:B623,1,FALSE)</f>
        <v>#N/A</v>
      </c>
      <c r="M624" s="256">
        <f>G624*(1-FORM!$AE$28/100)</f>
        <v>6.5957299999999996</v>
      </c>
      <c r="AA624" s="463" t="s">
        <v>3132</v>
      </c>
      <c r="AB624" s="462" t="s">
        <v>3133</v>
      </c>
      <c r="AC624" s="462" t="s">
        <v>3134</v>
      </c>
      <c r="AD624" s="464">
        <v>377.46890000000002</v>
      </c>
      <c r="AE624" s="465">
        <v>15.100619999999999</v>
      </c>
      <c r="AF624" s="86">
        <f>IF(verze!$E$1="CZK",AD624,IF(verze!$E$1="SK",AE624,""))</f>
        <v>15.100619999999999</v>
      </c>
    </row>
    <row r="625" spans="2:32" ht="15">
      <c r="B625" s="298">
        <v>9318194</v>
      </c>
      <c r="C625" s="216" t="s">
        <v>1021</v>
      </c>
      <c r="D625" s="217">
        <v>1</v>
      </c>
      <c r="E625" s="391"/>
      <c r="F625" s="262"/>
      <c r="G625" s="272">
        <f t="shared" si="56"/>
        <v>6.9728000000000003</v>
      </c>
      <c r="H625" s="141" t="str">
        <f>IF(G625="","",$H$10)</f>
        <v>EUR</v>
      </c>
      <c r="I625" s="409" t="s">
        <v>47</v>
      </c>
      <c r="J625" s="467" t="s">
        <v>28094</v>
      </c>
      <c r="L625" s="86" t="e">
        <f>VLOOKUP(B625,$B$11:B624,1,FALSE)</f>
        <v>#N/A</v>
      </c>
      <c r="M625" s="256">
        <f>G625*(1-FORM!$AE$28/100)</f>
        <v>6.9728000000000003</v>
      </c>
      <c r="AA625" s="463" t="s">
        <v>3135</v>
      </c>
      <c r="AB625" s="462" t="s">
        <v>3136</v>
      </c>
      <c r="AC625" s="462" t="s">
        <v>3137</v>
      </c>
      <c r="AD625" s="464">
        <v>227.84261000000001</v>
      </c>
      <c r="AE625" s="465">
        <v>9.1148399999999992</v>
      </c>
      <c r="AF625" s="86">
        <f>IF(verze!$E$1="CZK",AD625,IF(verze!$E$1="SK",AE625,""))</f>
        <v>9.1148399999999992</v>
      </c>
    </row>
    <row r="626" spans="2:32" ht="15">
      <c r="B626" s="298">
        <v>9318196</v>
      </c>
      <c r="C626" s="216" t="s">
        <v>1022</v>
      </c>
      <c r="D626" s="217">
        <v>1</v>
      </c>
      <c r="E626" s="391"/>
      <c r="F626" s="262"/>
      <c r="G626" s="272">
        <f t="shared" si="56"/>
        <v>34.956960000000002</v>
      </c>
      <c r="H626" s="141" t="str">
        <f>IF(G626="","",$H$10)</f>
        <v>EUR</v>
      </c>
      <c r="I626" s="409" t="s">
        <v>47</v>
      </c>
      <c r="J626" s="467" t="s">
        <v>18462</v>
      </c>
      <c r="L626" s="86" t="e">
        <f>VLOOKUP(B626,$B$11:B625,1,FALSE)</f>
        <v>#N/A</v>
      </c>
      <c r="M626" s="256">
        <f>G626*(1-FORM!$AE$28/100)</f>
        <v>34.956960000000002</v>
      </c>
      <c r="AA626" s="463" t="s">
        <v>3138</v>
      </c>
      <c r="AB626" s="462" t="s">
        <v>3139</v>
      </c>
      <c r="AC626" s="462" t="s">
        <v>3140</v>
      </c>
      <c r="AD626" s="464">
        <v>468.41221999999999</v>
      </c>
      <c r="AE626" s="465">
        <v>18.73883</v>
      </c>
      <c r="AF626" s="86">
        <f>IF(verze!$E$1="CZK",AD626,IF(verze!$E$1="SK",AE626,""))</f>
        <v>18.73883</v>
      </c>
    </row>
    <row r="627" spans="2:32" ht="15">
      <c r="B627" s="298">
        <v>9318167</v>
      </c>
      <c r="C627" s="216" t="s">
        <v>1023</v>
      </c>
      <c r="D627" s="217">
        <v>10</v>
      </c>
      <c r="E627" s="391"/>
      <c r="F627" s="262"/>
      <c r="G627" s="272" t="e">
        <f t="shared" si="56"/>
        <v>#N/A</v>
      </c>
      <c r="H627" s="141" t="e">
        <f t="shared" ref="H627:H670" si="59">IF(G627="","",$H$10)</f>
        <v>#N/A</v>
      </c>
      <c r="I627" s="409" t="s">
        <v>47</v>
      </c>
      <c r="J627" s="467">
        <v>397775</v>
      </c>
      <c r="L627" s="86" t="e">
        <f>VLOOKUP(B627,$B$11:B626,1,FALSE)</f>
        <v>#N/A</v>
      </c>
      <c r="M627" s="256" t="e">
        <f>G627*(1-FORM!$AE$28/100)</f>
        <v>#N/A</v>
      </c>
      <c r="AA627" s="463" t="s">
        <v>3141</v>
      </c>
      <c r="AB627" s="462" t="s">
        <v>3142</v>
      </c>
      <c r="AC627" s="462" t="s">
        <v>3143</v>
      </c>
      <c r="AD627" s="464">
        <v>5298.6028999999999</v>
      </c>
      <c r="AE627" s="465">
        <v>211.97048000000001</v>
      </c>
      <c r="AF627" s="86">
        <f>IF(verze!$E$1="CZK",AD627,IF(verze!$E$1="SK",AE627,""))</f>
        <v>211.97048000000001</v>
      </c>
    </row>
    <row r="628" spans="2:32" ht="15">
      <c r="B628" s="298">
        <v>9318170</v>
      </c>
      <c r="C628" s="216" t="s">
        <v>1024</v>
      </c>
      <c r="D628" s="217">
        <v>10</v>
      </c>
      <c r="E628" s="391"/>
      <c r="F628" s="262"/>
      <c r="G628" s="272" t="e">
        <f t="shared" si="56"/>
        <v>#N/A</v>
      </c>
      <c r="H628" s="141" t="e">
        <f t="shared" si="59"/>
        <v>#N/A</v>
      </c>
      <c r="I628" s="409" t="s">
        <v>47</v>
      </c>
      <c r="J628" s="467">
        <v>397776</v>
      </c>
      <c r="L628" s="86" t="e">
        <f>VLOOKUP(B628,$B$11:B627,1,FALSE)</f>
        <v>#N/A</v>
      </c>
      <c r="M628" s="256" t="e">
        <f>G628*(1-FORM!$AE$28/100)</f>
        <v>#N/A</v>
      </c>
      <c r="AA628" s="463" t="s">
        <v>3141</v>
      </c>
      <c r="AB628" s="462" t="s">
        <v>3144</v>
      </c>
      <c r="AC628" s="462" t="s">
        <v>3145</v>
      </c>
      <c r="AD628" s="464">
        <v>2003.2547500000001</v>
      </c>
      <c r="AE628" s="465">
        <v>80.359139999999996</v>
      </c>
      <c r="AF628" s="86">
        <f>IF(verze!$E$1="CZK",AD628,IF(verze!$E$1="SK",AE628,""))</f>
        <v>80.359139999999996</v>
      </c>
    </row>
    <row r="629" spans="2:32" ht="15">
      <c r="B629" s="298">
        <v>9318171</v>
      </c>
      <c r="C629" s="216" t="s">
        <v>1025</v>
      </c>
      <c r="D629" s="217">
        <v>10</v>
      </c>
      <c r="E629" s="391"/>
      <c r="F629" s="262"/>
      <c r="G629" s="272">
        <f t="shared" si="56"/>
        <v>14.37729</v>
      </c>
      <c r="H629" s="141" t="str">
        <f t="shared" si="59"/>
        <v>EUR</v>
      </c>
      <c r="I629" s="409" t="s">
        <v>47</v>
      </c>
      <c r="J629" s="467" t="s">
        <v>18388</v>
      </c>
      <c r="L629" s="86" t="e">
        <f>VLOOKUP(B629,$B$11:B628,1,FALSE)</f>
        <v>#N/A</v>
      </c>
      <c r="M629" s="256">
        <f>G629*(1-FORM!$AE$28/100)</f>
        <v>14.37729</v>
      </c>
      <c r="AA629" s="463" t="s">
        <v>3146</v>
      </c>
      <c r="AB629" s="462" t="s">
        <v>3147</v>
      </c>
      <c r="AC629" s="462" t="s">
        <v>3148</v>
      </c>
      <c r="AD629" s="464">
        <v>513.98815999999999</v>
      </c>
      <c r="AE629" s="465">
        <v>20.695029999999999</v>
      </c>
      <c r="AF629" s="86">
        <f>IF(verze!$E$1="CZK",AD629,IF(verze!$E$1="SK",AE629,""))</f>
        <v>20.695029999999999</v>
      </c>
    </row>
    <row r="630" spans="2:32" ht="15">
      <c r="B630" s="298">
        <v>9318172</v>
      </c>
      <c r="C630" s="216" t="s">
        <v>1026</v>
      </c>
      <c r="D630" s="217">
        <v>10</v>
      </c>
      <c r="E630" s="391"/>
      <c r="F630" s="262"/>
      <c r="G630" s="272">
        <f t="shared" si="56"/>
        <v>14.37729</v>
      </c>
      <c r="H630" s="141" t="str">
        <f t="shared" si="59"/>
        <v>EUR</v>
      </c>
      <c r="I630" s="409" t="s">
        <v>47</v>
      </c>
      <c r="J630" s="467" t="s">
        <v>18391</v>
      </c>
      <c r="L630" s="86" t="e">
        <f>VLOOKUP(B630,$B$11:B629,1,FALSE)</f>
        <v>#N/A</v>
      </c>
      <c r="M630" s="256">
        <f>G630*(1-FORM!$AE$28/100)</f>
        <v>14.37729</v>
      </c>
      <c r="AA630" s="463" t="s">
        <v>3149</v>
      </c>
      <c r="AB630" s="462" t="s">
        <v>3150</v>
      </c>
      <c r="AC630" s="462" t="s">
        <v>3151</v>
      </c>
      <c r="AD630" s="464">
        <v>1184.4030600000001</v>
      </c>
      <c r="AE630" s="465">
        <v>47.68844</v>
      </c>
      <c r="AF630" s="86">
        <f>IF(verze!$E$1="CZK",AD630,IF(verze!$E$1="SK",AE630,""))</f>
        <v>47.68844</v>
      </c>
    </row>
    <row r="631" spans="2:32" ht="15">
      <c r="B631" s="298">
        <v>9318173</v>
      </c>
      <c r="C631" s="216" t="s">
        <v>1027</v>
      </c>
      <c r="D631" s="217">
        <v>10</v>
      </c>
      <c r="E631" s="391"/>
      <c r="F631" s="262"/>
      <c r="G631" s="272">
        <f t="shared" si="56"/>
        <v>14.37729</v>
      </c>
      <c r="H631" s="141" t="str">
        <f t="shared" si="59"/>
        <v>EUR</v>
      </c>
      <c r="I631" s="409" t="s">
        <v>47</v>
      </c>
      <c r="J631" s="467" t="s">
        <v>18394</v>
      </c>
      <c r="L631" s="86" t="e">
        <f>VLOOKUP(B631,$B$11:B630,1,FALSE)</f>
        <v>#N/A</v>
      </c>
      <c r="M631" s="256">
        <f>G631*(1-FORM!$AE$28/100)</f>
        <v>14.37729</v>
      </c>
      <c r="AA631" s="463" t="s">
        <v>3152</v>
      </c>
      <c r="AB631" s="462" t="s">
        <v>3153</v>
      </c>
      <c r="AC631" s="462" t="s">
        <v>3154</v>
      </c>
      <c r="AD631" s="464">
        <v>1811.1155200000001</v>
      </c>
      <c r="AE631" s="465">
        <v>73.553749999999994</v>
      </c>
      <c r="AF631" s="86">
        <f>IF(verze!$E$1="CZK",AD631,IF(verze!$E$1="SK",AE631,""))</f>
        <v>73.553749999999994</v>
      </c>
    </row>
    <row r="632" spans="2:32" ht="15">
      <c r="B632" s="298">
        <v>9318174</v>
      </c>
      <c r="C632" s="216" t="s">
        <v>1028</v>
      </c>
      <c r="D632" s="217">
        <v>10</v>
      </c>
      <c r="E632" s="391"/>
      <c r="F632" s="262"/>
      <c r="G632" s="272" t="e">
        <f t="shared" si="56"/>
        <v>#N/A</v>
      </c>
      <c r="H632" s="141" t="e">
        <f t="shared" si="59"/>
        <v>#N/A</v>
      </c>
      <c r="I632" s="409" t="s">
        <v>47</v>
      </c>
      <c r="J632" s="467">
        <v>397780</v>
      </c>
      <c r="L632" s="86" t="e">
        <f>VLOOKUP(B632,$B$11:B631,1,FALSE)</f>
        <v>#N/A</v>
      </c>
      <c r="M632" s="256" t="e">
        <f>G632*(1-FORM!$AE$28/100)</f>
        <v>#N/A</v>
      </c>
      <c r="AA632" s="463" t="s">
        <v>3155</v>
      </c>
      <c r="AB632" s="462" t="s">
        <v>3156</v>
      </c>
      <c r="AC632" s="462" t="s">
        <v>3157</v>
      </c>
      <c r="AD632" s="464">
        <v>1298.70586</v>
      </c>
      <c r="AE632" s="465">
        <v>52.74353</v>
      </c>
      <c r="AF632" s="86">
        <f>IF(verze!$E$1="CZK",AD632,IF(verze!$E$1="SK",AE632,""))</f>
        <v>52.74353</v>
      </c>
    </row>
    <row r="633" spans="2:32" ht="15">
      <c r="B633" s="298">
        <v>9318175</v>
      </c>
      <c r="C633" s="216" t="s">
        <v>1029</v>
      </c>
      <c r="D633" s="217">
        <v>10</v>
      </c>
      <c r="E633" s="391"/>
      <c r="F633" s="262"/>
      <c r="G633" s="272">
        <f t="shared" si="56"/>
        <v>14.56085</v>
      </c>
      <c r="H633" s="141" t="str">
        <f t="shared" si="59"/>
        <v>EUR</v>
      </c>
      <c r="I633" s="409" t="s">
        <v>47</v>
      </c>
      <c r="J633" s="467" t="s">
        <v>18400</v>
      </c>
      <c r="L633" s="86" t="e">
        <f>VLOOKUP(B633,$B$11:B632,1,FALSE)</f>
        <v>#N/A</v>
      </c>
      <c r="M633" s="256">
        <f>G633*(1-FORM!$AE$28/100)</f>
        <v>14.56085</v>
      </c>
      <c r="AA633" s="463" t="s">
        <v>3158</v>
      </c>
      <c r="AB633" s="462" t="s">
        <v>3159</v>
      </c>
      <c r="AC633" s="462" t="s">
        <v>3160</v>
      </c>
      <c r="AD633" s="464">
        <v>314.00134000000003</v>
      </c>
      <c r="AE633" s="465">
        <v>12.56162</v>
      </c>
      <c r="AF633" s="86">
        <f>IF(verze!$E$1="CZK",AD633,IF(verze!$E$1="SK",AE633,""))</f>
        <v>12.56162</v>
      </c>
    </row>
    <row r="634" spans="2:32" ht="15">
      <c r="B634" s="298">
        <v>9318176</v>
      </c>
      <c r="C634" s="216" t="s">
        <v>1030</v>
      </c>
      <c r="D634" s="217">
        <v>10</v>
      </c>
      <c r="E634" s="391"/>
      <c r="F634" s="262"/>
      <c r="G634" s="272">
        <f t="shared" si="56"/>
        <v>14.56085</v>
      </c>
      <c r="H634" s="141" t="str">
        <f t="shared" si="59"/>
        <v>EUR</v>
      </c>
      <c r="I634" s="409" t="s">
        <v>47</v>
      </c>
      <c r="J634" s="467" t="s">
        <v>18403</v>
      </c>
      <c r="L634" s="86" t="e">
        <f>VLOOKUP(B634,$B$11:B633,1,FALSE)</f>
        <v>#N/A</v>
      </c>
      <c r="M634" s="256">
        <f>G634*(1-FORM!$AE$28/100)</f>
        <v>14.56085</v>
      </c>
      <c r="AA634" s="463" t="s">
        <v>3161</v>
      </c>
      <c r="AB634" s="462" t="s">
        <v>3162</v>
      </c>
      <c r="AC634" s="462" t="s">
        <v>3163</v>
      </c>
      <c r="AD634" s="464">
        <v>51.257420000000003</v>
      </c>
      <c r="AE634" s="465">
        <v>2.0505399999999998</v>
      </c>
      <c r="AF634" s="86">
        <f>IF(verze!$E$1="CZK",AD634,IF(verze!$E$1="SK",AE634,""))</f>
        <v>2.0505399999999998</v>
      </c>
    </row>
    <row r="635" spans="2:32" ht="15">
      <c r="B635" s="298">
        <v>9318177</v>
      </c>
      <c r="C635" s="216" t="s">
        <v>1031</v>
      </c>
      <c r="D635" s="217">
        <v>10</v>
      </c>
      <c r="E635" s="391"/>
      <c r="F635" s="262"/>
      <c r="G635" s="272" t="e">
        <f t="shared" si="56"/>
        <v>#N/A</v>
      </c>
      <c r="H635" s="141" t="e">
        <f t="shared" si="59"/>
        <v>#N/A</v>
      </c>
      <c r="I635" s="409" t="s">
        <v>47</v>
      </c>
      <c r="J635" s="467">
        <v>397783</v>
      </c>
      <c r="L635" s="86" t="e">
        <f>VLOOKUP(B635,$B$11:B634,1,FALSE)</f>
        <v>#N/A</v>
      </c>
      <c r="M635" s="256" t="e">
        <f>G635*(1-FORM!$AE$28/100)</f>
        <v>#N/A</v>
      </c>
      <c r="AA635" s="463" t="s">
        <v>3164</v>
      </c>
      <c r="AB635" s="462" t="s">
        <v>3165</v>
      </c>
      <c r="AC635" s="462" t="s">
        <v>3166</v>
      </c>
      <c r="AD635" s="464">
        <v>936.54201</v>
      </c>
      <c r="AE635" s="465">
        <v>37.466329999999999</v>
      </c>
      <c r="AF635" s="86">
        <f>IF(verze!$E$1="CZK",AD635,IF(verze!$E$1="SK",AE635,""))</f>
        <v>37.466329999999999</v>
      </c>
    </row>
    <row r="636" spans="2:32" ht="15">
      <c r="B636" s="298">
        <v>9318178</v>
      </c>
      <c r="C636" s="216" t="s">
        <v>1032</v>
      </c>
      <c r="D636" s="217">
        <v>10</v>
      </c>
      <c r="E636" s="391"/>
      <c r="F636" s="262"/>
      <c r="G636" s="272">
        <f t="shared" si="56"/>
        <v>14.040839999999999</v>
      </c>
      <c r="H636" s="141" t="str">
        <f t="shared" si="59"/>
        <v>EUR</v>
      </c>
      <c r="I636" s="409" t="s">
        <v>47</v>
      </c>
      <c r="J636" s="467" t="s">
        <v>18409</v>
      </c>
      <c r="L636" s="86" t="e">
        <f>VLOOKUP(B636,$B$11:B635,1,FALSE)</f>
        <v>#N/A</v>
      </c>
      <c r="M636" s="256">
        <f>G636*(1-FORM!$AE$28/100)</f>
        <v>14.040839999999999</v>
      </c>
      <c r="AA636" s="463" t="s">
        <v>3167</v>
      </c>
      <c r="AB636" s="462" t="s">
        <v>3168</v>
      </c>
      <c r="AC636" s="462" t="s">
        <v>3169</v>
      </c>
      <c r="AD636" s="464">
        <v>990.85245999999995</v>
      </c>
      <c r="AE636" s="465">
        <v>39.639040000000001</v>
      </c>
      <c r="AF636" s="86">
        <f>IF(verze!$E$1="CZK",AD636,IF(verze!$E$1="SK",AE636,""))</f>
        <v>39.639040000000001</v>
      </c>
    </row>
    <row r="637" spans="2:32" ht="15">
      <c r="B637" s="298">
        <v>9318179</v>
      </c>
      <c r="C637" s="216" t="s">
        <v>1033</v>
      </c>
      <c r="D637" s="217">
        <v>10</v>
      </c>
      <c r="E637" s="391"/>
      <c r="F637" s="262"/>
      <c r="G637" s="272">
        <f t="shared" si="56"/>
        <v>13.931559999999999</v>
      </c>
      <c r="H637" s="141" t="str">
        <f t="shared" si="59"/>
        <v>EUR</v>
      </c>
      <c r="I637" s="409" t="s">
        <v>47</v>
      </c>
      <c r="J637" s="467" t="s">
        <v>18414</v>
      </c>
      <c r="L637" s="86" t="e">
        <f>VLOOKUP(B637,$B$11:B636,1,FALSE)</f>
        <v>#N/A</v>
      </c>
      <c r="M637" s="256">
        <f>G637*(1-FORM!$AE$28/100)</f>
        <v>13.931559999999999</v>
      </c>
      <c r="AA637" s="463" t="s">
        <v>3167</v>
      </c>
      <c r="AB637" s="462" t="s">
        <v>3170</v>
      </c>
      <c r="AC637" s="462" t="s">
        <v>3171</v>
      </c>
      <c r="AD637" s="464">
        <v>374.61385000000001</v>
      </c>
      <c r="AE637" s="465">
        <v>15.213649999999999</v>
      </c>
      <c r="AF637" s="86">
        <f>IF(verze!$E$1="CZK",AD637,IF(verze!$E$1="SK",AE637,""))</f>
        <v>15.213649999999999</v>
      </c>
    </row>
    <row r="638" spans="2:32" ht="15">
      <c r="B638" s="298">
        <v>9318180</v>
      </c>
      <c r="C638" s="216" t="s">
        <v>1034</v>
      </c>
      <c r="D638" s="217">
        <v>10</v>
      </c>
      <c r="E638" s="391"/>
      <c r="F638" s="262"/>
      <c r="G638" s="272">
        <f t="shared" si="56"/>
        <v>13.931559999999999</v>
      </c>
      <c r="H638" s="141" t="str">
        <f t="shared" si="59"/>
        <v>EUR</v>
      </c>
      <c r="I638" s="409" t="s">
        <v>47</v>
      </c>
      <c r="J638" s="467" t="s">
        <v>18419</v>
      </c>
      <c r="L638" s="86" t="e">
        <f>VLOOKUP(B638,$B$11:B637,1,FALSE)</f>
        <v>#N/A</v>
      </c>
      <c r="M638" s="256">
        <f>G638*(1-FORM!$AE$28/100)</f>
        <v>13.931559999999999</v>
      </c>
      <c r="AA638" s="463" t="s">
        <v>3172</v>
      </c>
      <c r="AB638" s="462" t="s">
        <v>3173</v>
      </c>
      <c r="AC638" s="462" t="s">
        <v>3174</v>
      </c>
      <c r="AD638" s="464">
        <v>90.532169999999994</v>
      </c>
      <c r="AE638" s="465">
        <v>3.6217299999999999</v>
      </c>
      <c r="AF638" s="86">
        <f>IF(verze!$E$1="CZK",AD638,IF(verze!$E$1="SK",AE638,""))</f>
        <v>3.6217299999999999</v>
      </c>
    </row>
    <row r="639" spans="2:32" ht="15">
      <c r="B639" s="298">
        <v>9318181</v>
      </c>
      <c r="C639" s="216" t="s">
        <v>1035</v>
      </c>
      <c r="D639" s="217">
        <v>10</v>
      </c>
      <c r="E639" s="391"/>
      <c r="F639" s="262"/>
      <c r="G639" s="272">
        <f t="shared" si="56"/>
        <v>15.147040000000001</v>
      </c>
      <c r="H639" s="141" t="str">
        <f t="shared" si="59"/>
        <v>EUR</v>
      </c>
      <c r="I639" s="409" t="s">
        <v>47</v>
      </c>
      <c r="J639" s="467" t="s">
        <v>18422</v>
      </c>
      <c r="L639" s="86" t="e">
        <f>VLOOKUP(B639,$B$11:B638,1,FALSE)</f>
        <v>#N/A</v>
      </c>
      <c r="M639" s="256">
        <f>G639*(1-FORM!$AE$28/100)</f>
        <v>15.147040000000001</v>
      </c>
      <c r="AA639" s="463" t="s">
        <v>3172</v>
      </c>
      <c r="AB639" s="462" t="s">
        <v>3175</v>
      </c>
      <c r="AC639" s="462" t="s">
        <v>3176</v>
      </c>
      <c r="AD639" s="464">
        <v>34.227400000000003</v>
      </c>
      <c r="AE639" s="465">
        <v>1.373</v>
      </c>
      <c r="AF639" s="86">
        <f>IF(verze!$E$1="CZK",AD639,IF(verze!$E$1="SK",AE639,""))</f>
        <v>1.373</v>
      </c>
    </row>
    <row r="640" spans="2:32" ht="15">
      <c r="B640" s="298">
        <v>9318182</v>
      </c>
      <c r="C640" s="216" t="s">
        <v>1036</v>
      </c>
      <c r="D640" s="217">
        <v>10</v>
      </c>
      <c r="E640" s="391"/>
      <c r="F640" s="262"/>
      <c r="G640" s="272">
        <f t="shared" si="56"/>
        <v>15.147040000000001</v>
      </c>
      <c r="H640" s="141" t="str">
        <f t="shared" si="59"/>
        <v>EUR</v>
      </c>
      <c r="I640" s="409" t="s">
        <v>47</v>
      </c>
      <c r="J640" s="467" t="s">
        <v>18425</v>
      </c>
      <c r="L640" s="86" t="e">
        <f>VLOOKUP(B640,$B$11:B639,1,FALSE)</f>
        <v>#N/A</v>
      </c>
      <c r="M640" s="256">
        <f>G640*(1-FORM!$AE$28/100)</f>
        <v>15.147040000000001</v>
      </c>
      <c r="AA640" s="463" t="s">
        <v>3177</v>
      </c>
      <c r="AB640" s="462" t="s">
        <v>3178</v>
      </c>
      <c r="AC640" s="462" t="s">
        <v>3179</v>
      </c>
      <c r="AD640" s="464">
        <v>16.45073</v>
      </c>
      <c r="AE640" s="465">
        <v>0.66205999999999998</v>
      </c>
      <c r="AF640" s="86">
        <f>IF(verze!$E$1="CZK",AD640,IF(verze!$E$1="SK",AE640,""))</f>
        <v>0.66205999999999998</v>
      </c>
    </row>
    <row r="641" spans="2:32" ht="15">
      <c r="B641" s="298">
        <v>9318183</v>
      </c>
      <c r="C641" s="216" t="s">
        <v>1037</v>
      </c>
      <c r="D641" s="217">
        <v>10</v>
      </c>
      <c r="E641" s="391"/>
      <c r="F641" s="262"/>
      <c r="G641" s="272">
        <f t="shared" si="56"/>
        <v>15.35308</v>
      </c>
      <c r="H641" s="141" t="str">
        <f t="shared" si="59"/>
        <v>EUR</v>
      </c>
      <c r="I641" s="409" t="s">
        <v>47</v>
      </c>
      <c r="J641" s="467" t="s">
        <v>18428</v>
      </c>
      <c r="L641" s="86" t="e">
        <f>VLOOKUP(B641,$B$11:B640,1,FALSE)</f>
        <v>#N/A</v>
      </c>
      <c r="M641" s="256">
        <f>G641*(1-FORM!$AE$28/100)</f>
        <v>15.35308</v>
      </c>
      <c r="AA641" s="463" t="s">
        <v>3180</v>
      </c>
      <c r="AB641" s="462" t="s">
        <v>3181</v>
      </c>
      <c r="AC641" s="462" t="s">
        <v>3182</v>
      </c>
      <c r="AD641" s="464">
        <v>0.87941999999999998</v>
      </c>
      <c r="AE641" s="465">
        <v>3.6060000000000002E-2</v>
      </c>
      <c r="AF641" s="86">
        <f>IF(verze!$E$1="CZK",AD641,IF(verze!$E$1="SK",AE641,""))</f>
        <v>3.6060000000000002E-2</v>
      </c>
    </row>
    <row r="642" spans="2:32" ht="15">
      <c r="B642" s="303">
        <v>9318184</v>
      </c>
      <c r="C642" s="304" t="s">
        <v>1038</v>
      </c>
      <c r="D642" s="226">
        <v>10</v>
      </c>
      <c r="E642" s="396"/>
      <c r="F642" s="268"/>
      <c r="G642" s="272" t="e">
        <f t="shared" si="56"/>
        <v>#N/A</v>
      </c>
      <c r="H642" s="142" t="e">
        <f t="shared" si="59"/>
        <v>#N/A</v>
      </c>
      <c r="I642" s="417" t="s">
        <v>47</v>
      </c>
      <c r="J642" s="468">
        <v>397790</v>
      </c>
      <c r="L642" s="86" t="e">
        <f>VLOOKUP(B642,$B$11:B641,1,FALSE)</f>
        <v>#N/A</v>
      </c>
      <c r="M642" s="256" t="e">
        <f>G642*(1-FORM!$AE$28/100)</f>
        <v>#N/A</v>
      </c>
      <c r="AA642" s="463" t="s">
        <v>3183</v>
      </c>
      <c r="AB642" s="462" t="s">
        <v>3184</v>
      </c>
      <c r="AC642" s="462" t="s">
        <v>3185</v>
      </c>
      <c r="AD642" s="464">
        <v>4227.5909899999997</v>
      </c>
      <c r="AE642" s="465">
        <v>169.12468999999999</v>
      </c>
      <c r="AF642" s="86">
        <f>IF(verze!$E$1="CZK",AD642,IF(verze!$E$1="SK",AE642,""))</f>
        <v>169.12468999999999</v>
      </c>
    </row>
    <row r="643" spans="2:32" ht="15">
      <c r="B643" s="303"/>
      <c r="C643" s="304"/>
      <c r="D643" s="226"/>
      <c r="E643" s="396"/>
      <c r="F643" s="268"/>
      <c r="G643" s="272"/>
      <c r="H643" s="142"/>
      <c r="I643" s="417" t="s">
        <v>47</v>
      </c>
      <c r="J643" s="470"/>
      <c r="L643" s="86" t="e">
        <f>VLOOKUP(B643,$B$11:B642,1,FALSE)</f>
        <v>#N/A</v>
      </c>
      <c r="M643" s="256">
        <f>G643*(1-FORM!$AE$28/100)</f>
        <v>0</v>
      </c>
      <c r="AA643" s="463" t="s">
        <v>3186</v>
      </c>
      <c r="AB643" s="462" t="s">
        <v>3187</v>
      </c>
      <c r="AC643" s="462" t="s">
        <v>3188</v>
      </c>
      <c r="AD643" s="464">
        <v>1.7473700000000001</v>
      </c>
      <c r="AE643" s="465">
        <v>8.4059999999999996E-2</v>
      </c>
      <c r="AF643" s="86">
        <f>IF(verze!$E$1="CZK",AD643,IF(verze!$E$1="SK",AE643,""))</f>
        <v>8.4059999999999996E-2</v>
      </c>
    </row>
    <row r="644" spans="2:32" ht="15">
      <c r="B644" s="301">
        <v>9318215</v>
      </c>
      <c r="C644" s="222" t="s">
        <v>1039</v>
      </c>
      <c r="D644" s="223">
        <v>1</v>
      </c>
      <c r="E644" s="395"/>
      <c r="F644" s="266"/>
      <c r="G644" s="272">
        <f t="shared" si="56"/>
        <v>7.9265800000000004</v>
      </c>
      <c r="H644" s="211" t="str">
        <f t="shared" si="59"/>
        <v>EUR</v>
      </c>
      <c r="I644" s="416" t="s">
        <v>47</v>
      </c>
      <c r="J644" s="469" t="s">
        <v>28097</v>
      </c>
      <c r="L644" s="86" t="e">
        <f>VLOOKUP(B644,$B$11:B643,1,FALSE)</f>
        <v>#N/A</v>
      </c>
      <c r="M644" s="256">
        <f>G644*(1-FORM!$AE$28/100)</f>
        <v>7.9265800000000004</v>
      </c>
      <c r="AA644" s="463" t="s">
        <v>3189</v>
      </c>
      <c r="AB644" s="462" t="s">
        <v>3190</v>
      </c>
      <c r="AC644" s="462" t="s">
        <v>3191</v>
      </c>
      <c r="AD644" s="464">
        <v>3976.8127500000001</v>
      </c>
      <c r="AE644" s="465">
        <v>159.09231</v>
      </c>
      <c r="AF644" s="86">
        <f>IF(verze!$E$1="CZK",AD644,IF(verze!$E$1="SK",AE644,""))</f>
        <v>159.09231</v>
      </c>
    </row>
    <row r="645" spans="2:32" ht="15">
      <c r="B645" s="298">
        <v>9318216</v>
      </c>
      <c r="C645" s="216" t="s">
        <v>1040</v>
      </c>
      <c r="D645" s="217">
        <v>1</v>
      </c>
      <c r="E645" s="391"/>
      <c r="F645" s="262"/>
      <c r="G645" s="272">
        <f t="shared" si="56"/>
        <v>39.622210000000003</v>
      </c>
      <c r="H645" s="141" t="str">
        <f t="shared" si="59"/>
        <v>EUR</v>
      </c>
      <c r="I645" s="409" t="s">
        <v>47</v>
      </c>
      <c r="J645" s="467" t="s">
        <v>18501</v>
      </c>
      <c r="L645" s="86" t="e">
        <f>VLOOKUP(B645,$B$11:B644,1,FALSE)</f>
        <v>#N/A</v>
      </c>
      <c r="M645" s="256">
        <f>G645*(1-FORM!$AE$28/100)</f>
        <v>39.622210000000003</v>
      </c>
      <c r="AA645" s="463" t="s">
        <v>3192</v>
      </c>
      <c r="AB645" s="462" t="s">
        <v>3193</v>
      </c>
      <c r="AC645" s="462" t="s">
        <v>3194</v>
      </c>
      <c r="AD645" s="464">
        <v>4301.6384799999996</v>
      </c>
      <c r="AE645" s="465">
        <v>172.08695</v>
      </c>
      <c r="AF645" s="86">
        <f>IF(verze!$E$1="CZK",AD645,IF(verze!$E$1="SK",AE645,""))</f>
        <v>172.08695</v>
      </c>
    </row>
    <row r="646" spans="2:32" ht="15">
      <c r="B646" s="298">
        <v>9318217</v>
      </c>
      <c r="C646" s="216" t="s">
        <v>1041</v>
      </c>
      <c r="D646" s="217">
        <v>1</v>
      </c>
      <c r="E646" s="391"/>
      <c r="F646" s="262"/>
      <c r="G646" s="272">
        <f t="shared" si="56"/>
        <v>41.504899999999999</v>
      </c>
      <c r="H646" s="141" t="str">
        <f t="shared" si="59"/>
        <v>EUR</v>
      </c>
      <c r="I646" s="409" t="s">
        <v>47</v>
      </c>
      <c r="J646" s="467" t="s">
        <v>18504</v>
      </c>
      <c r="L646" s="86" t="e">
        <f>VLOOKUP(B646,$B$11:B645,1,FALSE)</f>
        <v>#N/A</v>
      </c>
      <c r="M646" s="256">
        <f>G646*(1-FORM!$AE$28/100)</f>
        <v>41.504899999999999</v>
      </c>
      <c r="AA646" s="463" t="s">
        <v>3195</v>
      </c>
      <c r="AB646" s="462" t="s">
        <v>3196</v>
      </c>
      <c r="AC646" s="462" t="s">
        <v>3197</v>
      </c>
      <c r="AD646" s="464">
        <v>4550.0393700000004</v>
      </c>
      <c r="AE646" s="465">
        <v>182.02423999999999</v>
      </c>
      <c r="AF646" s="86">
        <f>IF(verze!$E$1="CZK",AD646,IF(verze!$E$1="SK",AE646,""))</f>
        <v>182.02423999999999</v>
      </c>
    </row>
    <row r="647" spans="2:32" ht="15">
      <c r="B647" s="298">
        <v>9318218</v>
      </c>
      <c r="C647" s="216" t="s">
        <v>1042</v>
      </c>
      <c r="D647" s="217">
        <v>1</v>
      </c>
      <c r="E647" s="391"/>
      <c r="F647" s="262"/>
      <c r="G647" s="272">
        <f t="shared" si="56"/>
        <v>45.308109999999999</v>
      </c>
      <c r="H647" s="141" t="str">
        <f t="shared" si="59"/>
        <v>EUR</v>
      </c>
      <c r="I647" s="409" t="s">
        <v>47</v>
      </c>
      <c r="J647" s="467" t="s">
        <v>18512</v>
      </c>
      <c r="L647" s="86" t="e">
        <f>VLOOKUP(B647,$B$11:B646,1,FALSE)</f>
        <v>#N/A</v>
      </c>
      <c r="M647" s="256">
        <f>G647*(1-FORM!$AE$28/100)</f>
        <v>45.308109999999999</v>
      </c>
      <c r="AA647" s="463" t="s">
        <v>3198</v>
      </c>
      <c r="AB647" s="462" t="s">
        <v>3199</v>
      </c>
      <c r="AC647" s="462" t="s">
        <v>3200</v>
      </c>
      <c r="AD647" s="464">
        <v>4970.41626</v>
      </c>
      <c r="AE647" s="465">
        <v>198.84137999999999</v>
      </c>
      <c r="AF647" s="86">
        <f>IF(verze!$E$1="CZK",AD647,IF(verze!$E$1="SK",AE647,""))</f>
        <v>198.84137999999999</v>
      </c>
    </row>
    <row r="648" spans="2:32" ht="15">
      <c r="B648" s="298">
        <v>9318219</v>
      </c>
      <c r="C648" s="216" t="s">
        <v>1043</v>
      </c>
      <c r="D648" s="217">
        <v>1</v>
      </c>
      <c r="E648" s="391"/>
      <c r="F648" s="262"/>
      <c r="G648" s="272">
        <f t="shared" si="56"/>
        <v>47.02431</v>
      </c>
      <c r="H648" s="141" t="str">
        <f t="shared" si="59"/>
        <v>EUR</v>
      </c>
      <c r="I648" s="409" t="s">
        <v>47</v>
      </c>
      <c r="J648" s="467" t="s">
        <v>18515</v>
      </c>
      <c r="L648" s="86" t="e">
        <f>VLOOKUP(B648,$B$11:B647,1,FALSE)</f>
        <v>#N/A</v>
      </c>
      <c r="M648" s="256">
        <f>G648*(1-FORM!$AE$28/100)</f>
        <v>47.02431</v>
      </c>
      <c r="AA648" s="463" t="s">
        <v>3201</v>
      </c>
      <c r="AB648" s="462" t="s">
        <v>3202</v>
      </c>
      <c r="AC648" s="462" t="s">
        <v>3203</v>
      </c>
      <c r="AD648" s="464">
        <v>4683.5818799999997</v>
      </c>
      <c r="AE648" s="465">
        <v>187.36659</v>
      </c>
      <c r="AF648" s="86">
        <f>IF(verze!$E$1="CZK",AD648,IF(verze!$E$1="SK",AE648,""))</f>
        <v>187.36659</v>
      </c>
    </row>
    <row r="649" spans="2:32" ht="15">
      <c r="B649" s="298">
        <v>9318198</v>
      </c>
      <c r="C649" s="216" t="s">
        <v>1044</v>
      </c>
      <c r="D649" s="217">
        <v>10</v>
      </c>
      <c r="E649" s="391"/>
      <c r="F649" s="262"/>
      <c r="G649" s="272" t="e">
        <f t="shared" si="56"/>
        <v>#N/A</v>
      </c>
      <c r="H649" s="141" t="e">
        <f t="shared" si="59"/>
        <v>#N/A</v>
      </c>
      <c r="I649" s="409" t="s">
        <v>47</v>
      </c>
      <c r="J649" s="467">
        <v>397791</v>
      </c>
      <c r="L649" s="86" t="e">
        <f>VLOOKUP(B649,$B$11:B648,1,FALSE)</f>
        <v>#N/A</v>
      </c>
      <c r="M649" s="256" t="e">
        <f>G649*(1-FORM!$AE$28/100)</f>
        <v>#N/A</v>
      </c>
      <c r="AA649" s="463" t="s">
        <v>3204</v>
      </c>
      <c r="AB649" s="462" t="s">
        <v>3205</v>
      </c>
      <c r="AC649" s="462" t="s">
        <v>3206</v>
      </c>
      <c r="AD649" s="464">
        <v>174.26580999999999</v>
      </c>
      <c r="AE649" s="465">
        <v>8.3310600000000008</v>
      </c>
      <c r="AF649" s="86">
        <f>IF(verze!$E$1="CZK",AD649,IF(verze!$E$1="SK",AE649,""))</f>
        <v>8.3310600000000008</v>
      </c>
    </row>
    <row r="650" spans="2:32" ht="15">
      <c r="B650" s="298">
        <v>9318199</v>
      </c>
      <c r="C650" s="216" t="s">
        <v>1045</v>
      </c>
      <c r="D650" s="217">
        <v>10</v>
      </c>
      <c r="E650" s="391"/>
      <c r="F650" s="262"/>
      <c r="G650" s="272" t="e">
        <f t="shared" si="56"/>
        <v>#N/A</v>
      </c>
      <c r="H650" s="141" t="e">
        <f t="shared" si="59"/>
        <v>#N/A</v>
      </c>
      <c r="I650" s="409" t="s">
        <v>47</v>
      </c>
      <c r="J650" s="467">
        <v>397792</v>
      </c>
      <c r="L650" s="86" t="e">
        <f>VLOOKUP(B650,$B$11:B649,1,FALSE)</f>
        <v>#N/A</v>
      </c>
      <c r="M650" s="256" t="e">
        <f>G650*(1-FORM!$AE$28/100)</f>
        <v>#N/A</v>
      </c>
      <c r="AA650" s="463" t="s">
        <v>3207</v>
      </c>
      <c r="AB650" s="462" t="s">
        <v>3208</v>
      </c>
      <c r="AC650" s="462" t="s">
        <v>3209</v>
      </c>
      <c r="AD650" s="464">
        <v>895.05439000000001</v>
      </c>
      <c r="AE650" s="465">
        <v>36.0199</v>
      </c>
      <c r="AF650" s="86">
        <f>IF(verze!$E$1="CZK",AD650,IF(verze!$E$1="SK",AE650,""))</f>
        <v>36.0199</v>
      </c>
    </row>
    <row r="651" spans="2:32" ht="15">
      <c r="B651" s="298">
        <v>9318201</v>
      </c>
      <c r="C651" s="216" t="s">
        <v>1046</v>
      </c>
      <c r="D651" s="217">
        <v>10</v>
      </c>
      <c r="E651" s="391"/>
      <c r="F651" s="262"/>
      <c r="G651" s="272">
        <f t="shared" si="56"/>
        <v>17.52394</v>
      </c>
      <c r="H651" s="141" t="str">
        <f t="shared" si="59"/>
        <v>EUR</v>
      </c>
      <c r="I651" s="409" t="s">
        <v>47</v>
      </c>
      <c r="J651" s="467" t="s">
        <v>18474</v>
      </c>
      <c r="L651" s="86" t="e">
        <f>VLOOKUP(B651,$B$11:B650,1,FALSE)</f>
        <v>#N/A</v>
      </c>
      <c r="M651" s="256">
        <f>G651*(1-FORM!$AE$28/100)</f>
        <v>17.52394</v>
      </c>
      <c r="AA651" s="463" t="s">
        <v>3210</v>
      </c>
      <c r="AB651" s="462" t="s">
        <v>3211</v>
      </c>
      <c r="AC651" s="462" t="s">
        <v>3212</v>
      </c>
      <c r="AD651" s="464">
        <v>79.939369999999997</v>
      </c>
      <c r="AE651" s="465">
        <v>3.2187000000000001</v>
      </c>
      <c r="AF651" s="86">
        <f>IF(verze!$E$1="CZK",AD651,IF(verze!$E$1="SK",AE651,""))</f>
        <v>3.2187000000000001</v>
      </c>
    </row>
    <row r="652" spans="2:32" ht="15">
      <c r="B652" s="298">
        <v>9318203</v>
      </c>
      <c r="C652" s="216" t="s">
        <v>1047</v>
      </c>
      <c r="D652" s="217">
        <v>10</v>
      </c>
      <c r="E652" s="391"/>
      <c r="F652" s="262"/>
      <c r="G652" s="272">
        <f t="shared" si="56"/>
        <v>17.52394</v>
      </c>
      <c r="H652" s="141" t="str">
        <f t="shared" si="59"/>
        <v>EUR</v>
      </c>
      <c r="I652" s="409" t="s">
        <v>47</v>
      </c>
      <c r="J652" s="467" t="s">
        <v>18477</v>
      </c>
      <c r="L652" s="86" t="e">
        <f>VLOOKUP(B652,$B$11:B651,1,FALSE)</f>
        <v>#N/A</v>
      </c>
      <c r="M652" s="256">
        <f>G652*(1-FORM!$AE$28/100)</f>
        <v>17.52394</v>
      </c>
      <c r="AA652" s="463" t="s">
        <v>3213</v>
      </c>
      <c r="AB652" s="462" t="s">
        <v>3214</v>
      </c>
      <c r="AC652" s="462" t="s">
        <v>3215</v>
      </c>
      <c r="AD652" s="464">
        <v>79.939369999999997</v>
      </c>
      <c r="AE652" s="465">
        <v>3.2187000000000001</v>
      </c>
      <c r="AF652" s="86">
        <f>IF(verze!$E$1="CZK",AD652,IF(verze!$E$1="SK",AE652,""))</f>
        <v>3.2187000000000001</v>
      </c>
    </row>
    <row r="653" spans="2:32" ht="15">
      <c r="B653" s="298">
        <v>9318208</v>
      </c>
      <c r="C653" s="216" t="s">
        <v>1048</v>
      </c>
      <c r="D653" s="217">
        <v>10</v>
      </c>
      <c r="E653" s="391"/>
      <c r="F653" s="262"/>
      <c r="G653" s="272">
        <f t="shared" ref="G653:G716" si="60">VLOOKUP(J653,AB:AF,5,0)</f>
        <v>18.45496</v>
      </c>
      <c r="H653" s="141" t="str">
        <f t="shared" si="59"/>
        <v>EUR</v>
      </c>
      <c r="I653" s="409" t="s">
        <v>47</v>
      </c>
      <c r="J653" s="467" t="s">
        <v>18480</v>
      </c>
      <c r="L653" s="86" t="e">
        <f>VLOOKUP(B653,$B$11:B652,1,FALSE)</f>
        <v>#N/A</v>
      </c>
      <c r="M653" s="256">
        <f>G653*(1-FORM!$AE$28/100)</f>
        <v>18.45496</v>
      </c>
      <c r="AA653" s="463" t="s">
        <v>3216</v>
      </c>
      <c r="AB653" s="462" t="s">
        <v>3217</v>
      </c>
      <c r="AC653" s="462" t="s">
        <v>3218</v>
      </c>
      <c r="AD653" s="464">
        <v>79.939369999999997</v>
      </c>
      <c r="AE653" s="465">
        <v>3.2187000000000001</v>
      </c>
      <c r="AF653" s="86">
        <f>IF(verze!$E$1="CZK",AD653,IF(verze!$E$1="SK",AE653,""))</f>
        <v>3.2187000000000001</v>
      </c>
    </row>
    <row r="654" spans="2:32" ht="15">
      <c r="B654" s="298">
        <v>9318209</v>
      </c>
      <c r="C654" s="216" t="s">
        <v>1049</v>
      </c>
      <c r="D654" s="217">
        <v>10</v>
      </c>
      <c r="E654" s="391"/>
      <c r="F654" s="262"/>
      <c r="G654" s="272">
        <f t="shared" si="60"/>
        <v>18.45496</v>
      </c>
      <c r="H654" s="141" t="str">
        <f t="shared" si="59"/>
        <v>EUR</v>
      </c>
      <c r="I654" s="409" t="s">
        <v>47</v>
      </c>
      <c r="J654" s="467" t="s">
        <v>18483</v>
      </c>
      <c r="L654" s="86" t="e">
        <f>VLOOKUP(B654,$B$11:B653,1,FALSE)</f>
        <v>#N/A</v>
      </c>
      <c r="M654" s="256">
        <f>G654*(1-FORM!$AE$28/100)</f>
        <v>18.45496</v>
      </c>
      <c r="AA654" s="463" t="s">
        <v>3219</v>
      </c>
      <c r="AB654" s="462" t="s">
        <v>3220</v>
      </c>
      <c r="AC654" s="462" t="s">
        <v>3221</v>
      </c>
      <c r="AD654" s="464">
        <v>482.83436</v>
      </c>
      <c r="AE654" s="465">
        <v>19.315770000000001</v>
      </c>
      <c r="AF654" s="86">
        <f>IF(verze!$E$1="CZK",AD654,IF(verze!$E$1="SK",AE654,""))</f>
        <v>19.315770000000001</v>
      </c>
    </row>
    <row r="655" spans="2:32" ht="15">
      <c r="B655" s="298">
        <v>9318211</v>
      </c>
      <c r="C655" s="216" t="s">
        <v>1050</v>
      </c>
      <c r="D655" s="217">
        <v>10</v>
      </c>
      <c r="E655" s="391"/>
      <c r="F655" s="262"/>
      <c r="G655" s="272">
        <f t="shared" si="60"/>
        <v>21.352720000000001</v>
      </c>
      <c r="H655" s="141" t="str">
        <f t="shared" si="59"/>
        <v>EUR</v>
      </c>
      <c r="I655" s="409" t="s">
        <v>47</v>
      </c>
      <c r="J655" s="467" t="s">
        <v>18486</v>
      </c>
      <c r="L655" s="86" t="e">
        <f>VLOOKUP(B655,$B$11:B654,1,FALSE)</f>
        <v>#N/A</v>
      </c>
      <c r="M655" s="256">
        <f>G655*(1-FORM!$AE$28/100)</f>
        <v>21.352720000000001</v>
      </c>
      <c r="AA655" s="463" t="s">
        <v>3222</v>
      </c>
      <c r="AB655" s="462" t="s">
        <v>3223</v>
      </c>
      <c r="AC655" s="462" t="s">
        <v>3224</v>
      </c>
      <c r="AD655" s="464">
        <v>473.36802</v>
      </c>
      <c r="AE655" s="465">
        <v>18.937080000000002</v>
      </c>
      <c r="AF655" s="86">
        <f>IF(verze!$E$1="CZK",AD655,IF(verze!$E$1="SK",AE655,""))</f>
        <v>18.937080000000002</v>
      </c>
    </row>
    <row r="656" spans="2:32" ht="15">
      <c r="B656" s="298">
        <v>9318212</v>
      </c>
      <c r="C656" s="216" t="s">
        <v>1051</v>
      </c>
      <c r="D656" s="217">
        <v>10</v>
      </c>
      <c r="E656" s="391"/>
      <c r="F656" s="262"/>
      <c r="G656" s="272">
        <f t="shared" si="60"/>
        <v>21.352720000000001</v>
      </c>
      <c r="H656" s="141" t="str">
        <f t="shared" si="59"/>
        <v>EUR</v>
      </c>
      <c r="I656" s="409" t="s">
        <v>47</v>
      </c>
      <c r="J656" s="467" t="s">
        <v>18489</v>
      </c>
      <c r="L656" s="86" t="e">
        <f>VLOOKUP(B656,$B$11:B655,1,FALSE)</f>
        <v>#N/A</v>
      </c>
      <c r="M656" s="256">
        <f>G656*(1-FORM!$AE$28/100)</f>
        <v>21.352720000000001</v>
      </c>
      <c r="AA656" s="463" t="s">
        <v>3225</v>
      </c>
      <c r="AB656" s="462" t="s">
        <v>3226</v>
      </c>
      <c r="AC656" s="462" t="s">
        <v>3227</v>
      </c>
      <c r="AD656" s="464">
        <v>27.796220000000002</v>
      </c>
      <c r="AE656" s="465">
        <v>1.11199</v>
      </c>
      <c r="AF656" s="86">
        <f>IF(verze!$E$1="CZK",AD656,IF(verze!$E$1="SK",AE656,""))</f>
        <v>1.11199</v>
      </c>
    </row>
    <row r="657" spans="2:32" ht="15">
      <c r="B657" s="298">
        <v>9318213</v>
      </c>
      <c r="C657" s="216" t="s">
        <v>1052</v>
      </c>
      <c r="D657" s="217">
        <v>5</v>
      </c>
      <c r="E657" s="391"/>
      <c r="F657" s="262"/>
      <c r="G657" s="272">
        <f t="shared" si="60"/>
        <v>22.243659999999998</v>
      </c>
      <c r="H657" s="141" t="str">
        <f t="shared" si="59"/>
        <v>EUR</v>
      </c>
      <c r="I657" s="409" t="s">
        <v>47</v>
      </c>
      <c r="J657" s="467" t="s">
        <v>18492</v>
      </c>
      <c r="L657" s="86" t="e">
        <f>VLOOKUP(B657,$B$11:B656,1,FALSE)</f>
        <v>#N/A</v>
      </c>
      <c r="M657" s="256">
        <f>G657*(1-FORM!$AE$28/100)</f>
        <v>22.243659999999998</v>
      </c>
      <c r="AA657" s="463" t="s">
        <v>3228</v>
      </c>
      <c r="AB657" s="462" t="s">
        <v>3229</v>
      </c>
      <c r="AC657" s="462" t="s">
        <v>3230</v>
      </c>
      <c r="AD657" s="464">
        <v>3379.3292499999998</v>
      </c>
      <c r="AE657" s="465">
        <v>154.81708</v>
      </c>
      <c r="AF657" s="86">
        <f>IF(verze!$E$1="CZK",AD657,IF(verze!$E$1="SK",AE657,""))</f>
        <v>154.81708</v>
      </c>
    </row>
    <row r="658" spans="2:32" ht="15">
      <c r="B658" s="303">
        <v>9318214</v>
      </c>
      <c r="C658" s="304" t="s">
        <v>1053</v>
      </c>
      <c r="D658" s="226">
        <v>5</v>
      </c>
      <c r="E658" s="396"/>
      <c r="F658" s="268"/>
      <c r="G658" s="272">
        <f t="shared" si="60"/>
        <v>22.243659999999998</v>
      </c>
      <c r="H658" s="142" t="str">
        <f t="shared" si="59"/>
        <v>EUR</v>
      </c>
      <c r="I658" s="417" t="s">
        <v>47</v>
      </c>
      <c r="J658" s="468" t="s">
        <v>18495</v>
      </c>
      <c r="L658" s="86" t="e">
        <f>VLOOKUP(B658,$B$11:B657,1,FALSE)</f>
        <v>#N/A</v>
      </c>
      <c r="M658" s="256">
        <f>G658*(1-FORM!$AE$28/100)</f>
        <v>22.243659999999998</v>
      </c>
      <c r="AA658" s="463" t="s">
        <v>3231</v>
      </c>
      <c r="AB658" s="462" t="s">
        <v>3232</v>
      </c>
      <c r="AC658" s="462" t="s">
        <v>3233</v>
      </c>
      <c r="AD658" s="464">
        <v>3431.44832</v>
      </c>
      <c r="AE658" s="465">
        <v>165.06504000000001</v>
      </c>
      <c r="AF658" s="86">
        <f>IF(verze!$E$1="CZK",AD658,IF(verze!$E$1="SK",AE658,""))</f>
        <v>165.06504000000001</v>
      </c>
    </row>
    <row r="659" spans="2:32" ht="15">
      <c r="B659" s="303"/>
      <c r="C659" s="304"/>
      <c r="D659" s="226"/>
      <c r="E659" s="396"/>
      <c r="F659" s="268"/>
      <c r="G659" s="272"/>
      <c r="H659" s="142"/>
      <c r="I659" s="417" t="s">
        <v>47</v>
      </c>
      <c r="J659" s="470"/>
      <c r="L659" s="86" t="e">
        <f>VLOOKUP(B659,$B$11:B658,1,FALSE)</f>
        <v>#N/A</v>
      </c>
      <c r="M659" s="256">
        <f>G659*(1-FORM!$AE$28/100)</f>
        <v>0</v>
      </c>
      <c r="AA659" s="463" t="s">
        <v>3234</v>
      </c>
      <c r="AB659" s="462" t="s">
        <v>3235</v>
      </c>
      <c r="AC659" s="462" t="s">
        <v>3236</v>
      </c>
      <c r="AD659" s="464">
        <v>411.81389999999999</v>
      </c>
      <c r="AE659" s="465">
        <v>16.474620000000002</v>
      </c>
      <c r="AF659" s="86">
        <f>IF(verze!$E$1="CZK",AD659,IF(verze!$E$1="SK",AE659,""))</f>
        <v>16.474620000000002</v>
      </c>
    </row>
    <row r="660" spans="2:32" ht="15">
      <c r="B660" s="301">
        <v>9257890</v>
      </c>
      <c r="C660" s="222" t="s">
        <v>1054</v>
      </c>
      <c r="D660" s="223">
        <v>1</v>
      </c>
      <c r="E660" s="395"/>
      <c r="F660" s="266"/>
      <c r="G660" s="272">
        <f t="shared" si="60"/>
        <v>23.177009999999999</v>
      </c>
      <c r="H660" s="211" t="str">
        <f t="shared" si="59"/>
        <v>EUR</v>
      </c>
      <c r="I660" s="416" t="s">
        <v>47</v>
      </c>
      <c r="J660" s="469" t="s">
        <v>16583</v>
      </c>
      <c r="L660" s="86" t="e">
        <f>VLOOKUP(B660,$B$11:B659,1,FALSE)</f>
        <v>#N/A</v>
      </c>
      <c r="M660" s="256">
        <f>G660*(1-FORM!$AE$28/100)</f>
        <v>23.177009999999999</v>
      </c>
      <c r="AA660" s="463" t="s">
        <v>3237</v>
      </c>
      <c r="AB660" s="462" t="s">
        <v>3238</v>
      </c>
      <c r="AC660" s="462" t="s">
        <v>3239</v>
      </c>
      <c r="AD660" s="464">
        <v>738.55097999999998</v>
      </c>
      <c r="AE660" s="465">
        <v>29.545729999999999</v>
      </c>
      <c r="AF660" s="86">
        <f>IF(verze!$E$1="CZK",AD660,IF(verze!$E$1="SK",AE660,""))</f>
        <v>29.545729999999999</v>
      </c>
    </row>
    <row r="661" spans="2:32" ht="15">
      <c r="B661" s="298">
        <v>9257891</v>
      </c>
      <c r="C661" s="216" t="s">
        <v>1055</v>
      </c>
      <c r="D661" s="217">
        <v>1</v>
      </c>
      <c r="E661" s="391"/>
      <c r="F661" s="262"/>
      <c r="G661" s="272">
        <f t="shared" si="60"/>
        <v>23.177009999999999</v>
      </c>
      <c r="H661" s="141" t="str">
        <f t="shared" si="59"/>
        <v>EUR</v>
      </c>
      <c r="I661" s="409" t="s">
        <v>47</v>
      </c>
      <c r="J661" s="467" t="s">
        <v>16586</v>
      </c>
      <c r="L661" s="86" t="e">
        <f>VLOOKUP(B661,$B$11:B660,1,FALSE)</f>
        <v>#N/A</v>
      </c>
      <c r="M661" s="256">
        <f>G661*(1-FORM!$AE$28/100)</f>
        <v>23.177009999999999</v>
      </c>
      <c r="AA661" s="463" t="s">
        <v>3240</v>
      </c>
      <c r="AB661" s="462" t="s">
        <v>3241</v>
      </c>
      <c r="AC661" s="462" t="s">
        <v>3242</v>
      </c>
      <c r="AD661" s="464">
        <v>355.45416</v>
      </c>
      <c r="AE661" s="465">
        <v>17.09862</v>
      </c>
      <c r="AF661" s="86">
        <f>IF(verze!$E$1="CZK",AD661,IF(verze!$E$1="SK",AE661,""))</f>
        <v>17.09862</v>
      </c>
    </row>
    <row r="662" spans="2:32" ht="15">
      <c r="B662" s="298">
        <v>9257892</v>
      </c>
      <c r="C662" s="216" t="s">
        <v>1056</v>
      </c>
      <c r="D662" s="217">
        <v>1</v>
      </c>
      <c r="E662" s="391"/>
      <c r="F662" s="262"/>
      <c r="G662" s="272">
        <f t="shared" si="60"/>
        <v>23.177009999999999</v>
      </c>
      <c r="H662" s="141" t="str">
        <f t="shared" si="59"/>
        <v>EUR</v>
      </c>
      <c r="I662" s="409" t="s">
        <v>47</v>
      </c>
      <c r="J662" s="467" t="s">
        <v>16589</v>
      </c>
      <c r="L662" s="86" t="e">
        <f>VLOOKUP(B662,$B$11:B661,1,FALSE)</f>
        <v>#N/A</v>
      </c>
      <c r="M662" s="256">
        <f>G662*(1-FORM!$AE$28/100)</f>
        <v>23.177009999999999</v>
      </c>
      <c r="AA662" s="463" t="s">
        <v>3243</v>
      </c>
      <c r="AB662" s="462" t="s">
        <v>3244</v>
      </c>
      <c r="AC662" s="462" t="s">
        <v>3245</v>
      </c>
      <c r="AD662" s="464">
        <v>1005.63542</v>
      </c>
      <c r="AE662" s="465">
        <v>0</v>
      </c>
      <c r="AF662" s="86">
        <f>IF(verze!$E$1="CZK",AD662,IF(verze!$E$1="SK",AE662,""))</f>
        <v>0</v>
      </c>
    </row>
    <row r="663" spans="2:32" ht="15">
      <c r="B663" s="303">
        <v>9257893</v>
      </c>
      <c r="C663" s="304" t="s">
        <v>1057</v>
      </c>
      <c r="D663" s="226">
        <v>1</v>
      </c>
      <c r="E663" s="396"/>
      <c r="F663" s="268"/>
      <c r="G663" s="272">
        <f t="shared" si="60"/>
        <v>23.177009999999999</v>
      </c>
      <c r="H663" s="142" t="str">
        <f t="shared" si="59"/>
        <v>EUR</v>
      </c>
      <c r="I663" s="417" t="s">
        <v>47</v>
      </c>
      <c r="J663" s="467" t="s">
        <v>16592</v>
      </c>
      <c r="L663" s="86" t="e">
        <f>VLOOKUP(B663,$B$11:B662,1,FALSE)</f>
        <v>#N/A</v>
      </c>
      <c r="M663" s="256">
        <f>G663*(1-FORM!$AE$28/100)</f>
        <v>23.177009999999999</v>
      </c>
      <c r="AA663" s="463" t="s">
        <v>3246</v>
      </c>
      <c r="AB663" s="462" t="s">
        <v>3247</v>
      </c>
      <c r="AC663" s="462" t="s">
        <v>3248</v>
      </c>
      <c r="AD663" s="464">
        <v>662.86198000000002</v>
      </c>
      <c r="AE663" s="465">
        <v>26.517769999999999</v>
      </c>
      <c r="AF663" s="86">
        <f>IF(verze!$E$1="CZK",AD663,IF(verze!$E$1="SK",AE663,""))</f>
        <v>26.517769999999999</v>
      </c>
    </row>
    <row r="664" spans="2:32" ht="15">
      <c r="B664" s="301">
        <v>9236718</v>
      </c>
      <c r="C664" s="222" t="s">
        <v>1058</v>
      </c>
      <c r="D664" s="223">
        <v>100</v>
      </c>
      <c r="E664" s="395"/>
      <c r="F664" s="266"/>
      <c r="G664" s="272">
        <f t="shared" si="60"/>
        <v>8.7567500000000003</v>
      </c>
      <c r="H664" s="211" t="str">
        <f t="shared" si="59"/>
        <v>EUR</v>
      </c>
      <c r="I664" s="416" t="s">
        <v>47</v>
      </c>
      <c r="J664" s="467" t="s">
        <v>13992</v>
      </c>
      <c r="L664" s="86" t="e">
        <f>VLOOKUP(B664,$B$11:B663,1,FALSE)</f>
        <v>#N/A</v>
      </c>
      <c r="M664" s="256">
        <f>G664*(1-FORM!$AE$28/100)</f>
        <v>8.7567500000000003</v>
      </c>
      <c r="AA664" s="463" t="s">
        <v>3249</v>
      </c>
      <c r="AB664" s="462" t="s">
        <v>3250</v>
      </c>
      <c r="AC664" s="462" t="s">
        <v>3251</v>
      </c>
      <c r="AD664" s="464">
        <v>5.2484900000000003</v>
      </c>
      <c r="AE664" s="465">
        <v>0.25246000000000002</v>
      </c>
      <c r="AF664" s="86">
        <f>IF(verze!$E$1="CZK",AD664,IF(verze!$E$1="SK",AE664,""))</f>
        <v>0.25246000000000002</v>
      </c>
    </row>
    <row r="665" spans="2:32" ht="15">
      <c r="B665" s="298">
        <v>9221295</v>
      </c>
      <c r="C665" s="216" t="s">
        <v>1059</v>
      </c>
      <c r="D665" s="217">
        <v>20</v>
      </c>
      <c r="E665" s="391"/>
      <c r="F665" s="262"/>
      <c r="G665" s="272">
        <f t="shared" si="60"/>
        <v>0.79318999999999995</v>
      </c>
      <c r="H665" s="141" t="str">
        <f t="shared" si="59"/>
        <v>EUR</v>
      </c>
      <c r="I665" s="409" t="s">
        <v>47</v>
      </c>
      <c r="J665" s="467" t="s">
        <v>13825</v>
      </c>
      <c r="L665" s="86" t="e">
        <f>VLOOKUP(B665,$B$11:B664,1,FALSE)</f>
        <v>#N/A</v>
      </c>
      <c r="M665" s="256">
        <f>G665*(1-FORM!$AE$28/100)</f>
        <v>0.79318999999999995</v>
      </c>
      <c r="AA665" s="463" t="s">
        <v>3252</v>
      </c>
      <c r="AB665" s="462" t="s">
        <v>3253</v>
      </c>
      <c r="AC665" s="462" t="s">
        <v>3254</v>
      </c>
      <c r="AD665" s="464">
        <v>877.84594000000004</v>
      </c>
      <c r="AE665" s="465">
        <v>35.327330000000003</v>
      </c>
      <c r="AF665" s="86">
        <f>IF(verze!$E$1="CZK",AD665,IF(verze!$E$1="SK",AE665,""))</f>
        <v>35.327330000000003</v>
      </c>
    </row>
    <row r="666" spans="2:32" ht="15">
      <c r="B666" s="298">
        <v>9278452</v>
      </c>
      <c r="C666" s="216" t="s">
        <v>1060</v>
      </c>
      <c r="D666" s="217">
        <v>20</v>
      </c>
      <c r="E666" s="391"/>
      <c r="F666" s="262"/>
      <c r="G666" s="272">
        <f t="shared" si="60"/>
        <v>2.2426300000000001</v>
      </c>
      <c r="H666" s="141" t="str">
        <f t="shared" si="59"/>
        <v>EUR</v>
      </c>
      <c r="I666" s="409" t="s">
        <v>47</v>
      </c>
      <c r="J666" s="467" t="s">
        <v>17156</v>
      </c>
      <c r="L666" s="86" t="e">
        <f>VLOOKUP(B666,$B$11:B665,1,FALSE)</f>
        <v>#N/A</v>
      </c>
      <c r="M666" s="256">
        <f>G666*(1-FORM!$AE$28/100)</f>
        <v>2.2426300000000001</v>
      </c>
      <c r="AA666" s="463" t="s">
        <v>3255</v>
      </c>
      <c r="AB666" s="462" t="s">
        <v>3256</v>
      </c>
      <c r="AC666" s="462" t="s">
        <v>3257</v>
      </c>
      <c r="AD666" s="464">
        <v>16372.18103</v>
      </c>
      <c r="AE666" s="465">
        <v>654.96874000000003</v>
      </c>
      <c r="AF666" s="86">
        <f>IF(verze!$E$1="CZK",AD666,IF(verze!$E$1="SK",AE666,""))</f>
        <v>654.96874000000003</v>
      </c>
    </row>
    <row r="667" spans="2:32" ht="15">
      <c r="B667" s="298">
        <v>9262213</v>
      </c>
      <c r="C667" s="216" t="s">
        <v>1061</v>
      </c>
      <c r="D667" s="217">
        <v>20</v>
      </c>
      <c r="E667" s="391"/>
      <c r="F667" s="262"/>
      <c r="G667" s="272">
        <f t="shared" si="60"/>
        <v>4.8308</v>
      </c>
      <c r="H667" s="141" t="str">
        <f t="shared" si="59"/>
        <v>EUR</v>
      </c>
      <c r="I667" s="409" t="s">
        <v>47</v>
      </c>
      <c r="J667" s="467" t="s">
        <v>16628</v>
      </c>
      <c r="L667" s="86" t="e">
        <f>VLOOKUP(B667,$B$11:B666,1,FALSE)</f>
        <v>#N/A</v>
      </c>
      <c r="M667" s="256">
        <f>G667*(1-FORM!$AE$28/100)</f>
        <v>4.8308</v>
      </c>
      <c r="AA667" s="463" t="s">
        <v>3258</v>
      </c>
      <c r="AB667" s="462" t="s">
        <v>3259</v>
      </c>
      <c r="AC667" s="462" t="s">
        <v>3260</v>
      </c>
      <c r="AD667" s="464">
        <v>2.58263</v>
      </c>
      <c r="AE667" s="465">
        <v>0.12424</v>
      </c>
      <c r="AF667" s="86">
        <f>IF(verze!$E$1="CZK",AD667,IF(verze!$E$1="SK",AE667,""))</f>
        <v>0.12424</v>
      </c>
    </row>
    <row r="668" spans="2:32" ht="15">
      <c r="B668" s="303">
        <v>9278453</v>
      </c>
      <c r="C668" s="304" t="s">
        <v>1062</v>
      </c>
      <c r="D668" s="226">
        <v>1</v>
      </c>
      <c r="E668" s="396"/>
      <c r="F668" s="268"/>
      <c r="G668" s="272">
        <f t="shared" si="60"/>
        <v>49.761980000000001</v>
      </c>
      <c r="H668" s="142" t="str">
        <f t="shared" si="59"/>
        <v>EUR</v>
      </c>
      <c r="I668" s="417" t="s">
        <v>47</v>
      </c>
      <c r="J668" s="468" t="s">
        <v>17159</v>
      </c>
      <c r="L668" s="86" t="e">
        <f>VLOOKUP(B668,$B$11:B667,1,FALSE)</f>
        <v>#N/A</v>
      </c>
      <c r="M668" s="256">
        <f>G668*(1-FORM!$AE$28/100)</f>
        <v>49.761980000000001</v>
      </c>
      <c r="AA668" s="463" t="s">
        <v>3261</v>
      </c>
      <c r="AB668" s="462" t="s">
        <v>3262</v>
      </c>
      <c r="AC668" s="462" t="s">
        <v>3263</v>
      </c>
      <c r="AD668" s="464">
        <v>5.4171300000000002</v>
      </c>
      <c r="AE668" s="465">
        <v>0.21797</v>
      </c>
      <c r="AF668" s="86">
        <f>IF(verze!$E$1="CZK",AD668,IF(verze!$E$1="SK",AE668,""))</f>
        <v>0.21797</v>
      </c>
    </row>
    <row r="669" spans="2:32" ht="15">
      <c r="B669" s="303"/>
      <c r="C669" s="304"/>
      <c r="D669" s="226"/>
      <c r="E669" s="396"/>
      <c r="F669" s="268"/>
      <c r="G669" s="272"/>
      <c r="H669" s="142"/>
      <c r="I669" s="417" t="s">
        <v>47</v>
      </c>
      <c r="J669" s="470"/>
      <c r="L669" s="86" t="e">
        <f>VLOOKUP(B669,$B$11:B668,1,FALSE)</f>
        <v>#N/A</v>
      </c>
      <c r="M669" s="256">
        <f>G669*(1-FORM!$AE$28/100)</f>
        <v>0</v>
      </c>
      <c r="AA669" s="463" t="s">
        <v>3264</v>
      </c>
      <c r="AB669" s="462" t="s">
        <v>3265</v>
      </c>
      <c r="AC669" s="462" t="s">
        <v>3266</v>
      </c>
      <c r="AD669" s="464">
        <v>1.2768999999999999</v>
      </c>
      <c r="AE669" s="465">
        <v>6.1400000000000003E-2</v>
      </c>
      <c r="AF669" s="86">
        <f>IF(verze!$E$1="CZK",AD669,IF(verze!$E$1="SK",AE669,""))</f>
        <v>6.1400000000000003E-2</v>
      </c>
    </row>
    <row r="670" spans="2:32" ht="15">
      <c r="B670" s="301">
        <v>9256953</v>
      </c>
      <c r="C670" s="222" t="s">
        <v>1063</v>
      </c>
      <c r="D670" s="223">
        <v>1</v>
      </c>
      <c r="E670" s="395"/>
      <c r="F670" s="266"/>
      <c r="G670" s="272">
        <f t="shared" si="60"/>
        <v>23.022449999999999</v>
      </c>
      <c r="H670" s="211" t="str">
        <f t="shared" si="59"/>
        <v>EUR</v>
      </c>
      <c r="I670" s="416" t="s">
        <v>47</v>
      </c>
      <c r="J670" s="469" t="s">
        <v>16011</v>
      </c>
      <c r="L670" s="86" t="e">
        <f>VLOOKUP(B670,$B$11:B669,1,FALSE)</f>
        <v>#N/A</v>
      </c>
      <c r="M670" s="256">
        <f>G670*(1-FORM!$AE$28/100)</f>
        <v>23.022449999999999</v>
      </c>
      <c r="AA670" s="463" t="s">
        <v>3267</v>
      </c>
      <c r="AB670" s="462" t="s">
        <v>3268</v>
      </c>
      <c r="AC670" s="462" t="s">
        <v>3269</v>
      </c>
      <c r="AD670" s="464">
        <v>2.3379500000000002</v>
      </c>
      <c r="AE670" s="465">
        <v>9.5880000000000007E-2</v>
      </c>
      <c r="AF670" s="86">
        <f>IF(verze!$E$1="CZK",AD670,IF(verze!$E$1="SK",AE670,""))</f>
        <v>9.5880000000000007E-2</v>
      </c>
    </row>
    <row r="671" spans="2:32" ht="15">
      <c r="B671" s="298">
        <v>9256954</v>
      </c>
      <c r="C671" s="216" t="s">
        <v>1064</v>
      </c>
      <c r="D671" s="217">
        <v>1</v>
      </c>
      <c r="E671" s="391"/>
      <c r="F671" s="262"/>
      <c r="G671" s="272">
        <f t="shared" si="60"/>
        <v>23.069210000000002</v>
      </c>
      <c r="H671" s="141" t="str">
        <f>IF(G671="","",$H$10)</f>
        <v>EUR</v>
      </c>
      <c r="I671" s="409" t="s">
        <v>47</v>
      </c>
      <c r="J671" s="467" t="s">
        <v>16014</v>
      </c>
      <c r="L671" s="86" t="e">
        <f>VLOOKUP(B671,$B$11:B670,1,FALSE)</f>
        <v>#N/A</v>
      </c>
      <c r="M671" s="256">
        <f>G671*(1-FORM!$AE$28/100)</f>
        <v>23.069210000000002</v>
      </c>
      <c r="AA671" s="463" t="s">
        <v>3270</v>
      </c>
      <c r="AB671" s="462" t="s">
        <v>3271</v>
      </c>
      <c r="AC671" s="462" t="s">
        <v>3272</v>
      </c>
      <c r="AD671" s="464">
        <v>609.07686999999999</v>
      </c>
      <c r="AE671" s="465">
        <v>29.2988</v>
      </c>
      <c r="AF671" s="86">
        <f>IF(verze!$E$1="CZK",AD671,IF(verze!$E$1="SK",AE671,""))</f>
        <v>29.2988</v>
      </c>
    </row>
    <row r="672" spans="2:32" ht="15">
      <c r="B672" s="298">
        <v>9256956</v>
      </c>
      <c r="C672" s="216" t="s">
        <v>1065</v>
      </c>
      <c r="D672" s="217">
        <v>1</v>
      </c>
      <c r="E672" s="391"/>
      <c r="F672" s="262"/>
      <c r="G672" s="272">
        <f t="shared" si="60"/>
        <v>23.536069999999999</v>
      </c>
      <c r="H672" s="141" t="str">
        <f>IF(G672="","",$H$10)</f>
        <v>EUR</v>
      </c>
      <c r="I672" s="409" t="s">
        <v>47</v>
      </c>
      <c r="J672" s="467" t="s">
        <v>16017</v>
      </c>
      <c r="L672" s="86" t="e">
        <f>VLOOKUP(B672,$B$11:B671,1,FALSE)</f>
        <v>#N/A</v>
      </c>
      <c r="M672" s="256">
        <f>G672*(1-FORM!$AE$28/100)</f>
        <v>23.536069999999999</v>
      </c>
      <c r="AA672" s="463" t="s">
        <v>3273</v>
      </c>
      <c r="AB672" s="462" t="s">
        <v>3274</v>
      </c>
      <c r="AC672" s="462" t="s">
        <v>3275</v>
      </c>
      <c r="AD672" s="464">
        <v>646.43757000000005</v>
      </c>
      <c r="AE672" s="465">
        <v>31.095980000000001</v>
      </c>
      <c r="AF672" s="86">
        <f>IF(verze!$E$1="CZK",AD672,IF(verze!$E$1="SK",AE672,""))</f>
        <v>31.095980000000001</v>
      </c>
    </row>
    <row r="673" spans="2:32" ht="15">
      <c r="B673" s="298">
        <v>9256944</v>
      </c>
      <c r="C673" s="216" t="s">
        <v>1066</v>
      </c>
      <c r="D673" s="217">
        <v>20</v>
      </c>
      <c r="E673" s="391"/>
      <c r="F673" s="262"/>
      <c r="G673" s="272">
        <f t="shared" si="60"/>
        <v>10.7646</v>
      </c>
      <c r="H673" s="141" t="str">
        <f>IF(G673="","",$H$10)</f>
        <v>EUR</v>
      </c>
      <c r="I673" s="409" t="s">
        <v>47</v>
      </c>
      <c r="J673" s="467" t="s">
        <v>15993</v>
      </c>
      <c r="L673" s="86" t="e">
        <f>VLOOKUP(B673,$B$11:B672,1,FALSE)</f>
        <v>#N/A</v>
      </c>
      <c r="M673" s="256">
        <f>G673*(1-FORM!$AE$28/100)</f>
        <v>10.7646</v>
      </c>
      <c r="AA673" s="463" t="s">
        <v>3276</v>
      </c>
      <c r="AB673" s="462" t="s">
        <v>3277</v>
      </c>
      <c r="AC673" s="462" t="s">
        <v>3278</v>
      </c>
      <c r="AD673" s="464">
        <v>683.67636000000005</v>
      </c>
      <c r="AE673" s="465">
        <v>32.887300000000003</v>
      </c>
      <c r="AF673" s="86">
        <f>IF(verze!$E$1="CZK",AD673,IF(verze!$E$1="SK",AE673,""))</f>
        <v>32.887300000000003</v>
      </c>
    </row>
    <row r="674" spans="2:32" ht="15">
      <c r="B674" s="298">
        <v>9256945</v>
      </c>
      <c r="C674" s="216" t="s">
        <v>1067</v>
      </c>
      <c r="D674" s="217">
        <v>20</v>
      </c>
      <c r="E674" s="391"/>
      <c r="F674" s="262"/>
      <c r="G674" s="272">
        <f t="shared" si="60"/>
        <v>10.7646</v>
      </c>
      <c r="H674" s="141" t="str">
        <f>IF(G674="","",$H$10)</f>
        <v>EUR</v>
      </c>
      <c r="I674" s="409" t="s">
        <v>47</v>
      </c>
      <c r="J674" s="467" t="s">
        <v>15996</v>
      </c>
      <c r="L674" s="86" t="e">
        <f>VLOOKUP(B674,$B$11:B673,1,FALSE)</f>
        <v>#N/A</v>
      </c>
      <c r="M674" s="256">
        <f>G674*(1-FORM!$AE$28/100)</f>
        <v>10.7646</v>
      </c>
      <c r="AA674" s="463" t="s">
        <v>3279</v>
      </c>
      <c r="AB674" s="462" t="s">
        <v>3280</v>
      </c>
      <c r="AC674" s="462" t="s">
        <v>3281</v>
      </c>
      <c r="AD674" s="464">
        <v>708.25846999999999</v>
      </c>
      <c r="AE674" s="465">
        <v>34.069789999999998</v>
      </c>
      <c r="AF674" s="86">
        <f>IF(verze!$E$1="CZK",AD674,IF(verze!$E$1="SK",AE674,""))</f>
        <v>34.069789999999998</v>
      </c>
    </row>
    <row r="675" spans="2:32" ht="15">
      <c r="B675" s="298">
        <v>9256946</v>
      </c>
      <c r="C675" s="216" t="s">
        <v>1068</v>
      </c>
      <c r="D675" s="217">
        <v>20</v>
      </c>
      <c r="E675" s="391"/>
      <c r="F675" s="262"/>
      <c r="G675" s="272">
        <f t="shared" si="60"/>
        <v>10.787739999999999</v>
      </c>
      <c r="H675" s="141" t="str">
        <f t="shared" ref="H675:H680" si="61">IF(G675="","",$H$10)</f>
        <v>EUR</v>
      </c>
      <c r="I675" s="409" t="s">
        <v>47</v>
      </c>
      <c r="J675" s="467" t="s">
        <v>15999</v>
      </c>
      <c r="L675" s="86" t="e">
        <f>VLOOKUP(B675,$B$11:B674,1,FALSE)</f>
        <v>#N/A</v>
      </c>
      <c r="M675" s="256">
        <f>G675*(1-FORM!$AE$28/100)</f>
        <v>10.787739999999999</v>
      </c>
      <c r="AA675" s="463" t="s">
        <v>3282</v>
      </c>
      <c r="AB675" s="462" t="s">
        <v>3283</v>
      </c>
      <c r="AC675" s="462" t="s">
        <v>3284</v>
      </c>
      <c r="AD675" s="464">
        <v>759.07853999999998</v>
      </c>
      <c r="AE675" s="465">
        <v>36.514420000000001</v>
      </c>
      <c r="AF675" s="86">
        <f>IF(verze!$E$1="CZK",AD675,IF(verze!$E$1="SK",AE675,""))</f>
        <v>36.514420000000001</v>
      </c>
    </row>
    <row r="676" spans="2:32" ht="15">
      <c r="B676" s="298">
        <v>9256947</v>
      </c>
      <c r="C676" s="216" t="s">
        <v>1069</v>
      </c>
      <c r="D676" s="217">
        <v>20</v>
      </c>
      <c r="E676" s="391"/>
      <c r="F676" s="262"/>
      <c r="G676" s="272">
        <f t="shared" si="60"/>
        <v>10.787739999999999</v>
      </c>
      <c r="H676" s="141" t="str">
        <f t="shared" si="61"/>
        <v>EUR</v>
      </c>
      <c r="I676" s="409" t="s">
        <v>47</v>
      </c>
      <c r="J676" s="467" t="s">
        <v>16002</v>
      </c>
      <c r="L676" s="86" t="e">
        <f>VLOOKUP(B676,$B$11:B675,1,FALSE)</f>
        <v>#N/A</v>
      </c>
      <c r="M676" s="256">
        <f>G676*(1-FORM!$AE$28/100)</f>
        <v>10.787739999999999</v>
      </c>
      <c r="AA676" s="463" t="s">
        <v>3285</v>
      </c>
      <c r="AB676" s="462" t="s">
        <v>3286</v>
      </c>
      <c r="AC676" s="462" t="s">
        <v>3287</v>
      </c>
      <c r="AD676" s="464">
        <v>825.27200000000005</v>
      </c>
      <c r="AE676" s="465">
        <v>39.698569999999997</v>
      </c>
      <c r="AF676" s="86">
        <f>IF(verze!$E$1="CZK",AD676,IF(verze!$E$1="SK",AE676,""))</f>
        <v>39.698569999999997</v>
      </c>
    </row>
    <row r="677" spans="2:32" ht="15">
      <c r="B677" s="298">
        <v>9256950</v>
      </c>
      <c r="C677" s="216" t="s">
        <v>1070</v>
      </c>
      <c r="D677" s="217">
        <v>20</v>
      </c>
      <c r="E677" s="391"/>
      <c r="F677" s="262"/>
      <c r="G677" s="272">
        <f t="shared" si="60"/>
        <v>11.02122</v>
      </c>
      <c r="H677" s="141" t="str">
        <f t="shared" si="61"/>
        <v>EUR</v>
      </c>
      <c r="I677" s="409" t="s">
        <v>47</v>
      </c>
      <c r="J677" s="467" t="s">
        <v>16005</v>
      </c>
      <c r="L677" s="86" t="e">
        <f>VLOOKUP(B677,$B$11:B676,1,FALSE)</f>
        <v>#N/A</v>
      </c>
      <c r="M677" s="256">
        <f>G677*(1-FORM!$AE$28/100)</f>
        <v>11.02122</v>
      </c>
      <c r="AA677" s="463" t="s">
        <v>3288</v>
      </c>
      <c r="AB677" s="462" t="s">
        <v>3289</v>
      </c>
      <c r="AC677" s="462" t="s">
        <v>3290</v>
      </c>
      <c r="AD677" s="464">
        <v>864.07483000000002</v>
      </c>
      <c r="AE677" s="465">
        <v>41.565130000000003</v>
      </c>
      <c r="AF677" s="86">
        <f>IF(verze!$E$1="CZK",AD677,IF(verze!$E$1="SK",AE677,""))</f>
        <v>41.565130000000003</v>
      </c>
    </row>
    <row r="678" spans="2:32" ht="15">
      <c r="B678" s="303">
        <v>9256951</v>
      </c>
      <c r="C678" s="304" t="s">
        <v>1071</v>
      </c>
      <c r="D678" s="226">
        <v>20</v>
      </c>
      <c r="E678" s="396"/>
      <c r="F678" s="268"/>
      <c r="G678" s="272">
        <f t="shared" si="60"/>
        <v>11.02122</v>
      </c>
      <c r="H678" s="142" t="str">
        <f t="shared" si="61"/>
        <v>EUR</v>
      </c>
      <c r="I678" s="417" t="s">
        <v>47</v>
      </c>
      <c r="J678" s="468" t="s">
        <v>16008</v>
      </c>
      <c r="L678" s="86" t="e">
        <f>VLOOKUP(B678,$B$11:B677,1,FALSE)</f>
        <v>#N/A</v>
      </c>
      <c r="M678" s="256">
        <f>G678*(1-FORM!$AE$28/100)</f>
        <v>11.02122</v>
      </c>
      <c r="AA678" s="463" t="s">
        <v>3291</v>
      </c>
      <c r="AB678" s="462" t="s">
        <v>3292</v>
      </c>
      <c r="AC678" s="462" t="s">
        <v>3293</v>
      </c>
      <c r="AD678" s="464">
        <v>903.57507999999996</v>
      </c>
      <c r="AE678" s="465">
        <v>43.465229999999998</v>
      </c>
      <c r="AF678" s="86">
        <f>IF(verze!$E$1="CZK",AD678,IF(verze!$E$1="SK",AE678,""))</f>
        <v>43.465229999999998</v>
      </c>
    </row>
    <row r="679" spans="2:32" ht="15">
      <c r="B679" s="303"/>
      <c r="C679" s="304"/>
      <c r="D679" s="226"/>
      <c r="E679" s="396"/>
      <c r="F679" s="268"/>
      <c r="G679" s="272"/>
      <c r="H679" s="142"/>
      <c r="I679" s="417" t="s">
        <v>47</v>
      </c>
      <c r="J679" s="470"/>
      <c r="L679" s="86" t="e">
        <f>VLOOKUP(B679,$B$11:B678,1,FALSE)</f>
        <v>#N/A</v>
      </c>
      <c r="M679" s="256">
        <f>G679*(1-FORM!$AE$28/100)</f>
        <v>0</v>
      </c>
      <c r="AA679" s="463" t="s">
        <v>3294</v>
      </c>
      <c r="AB679" s="462" t="s">
        <v>3295</v>
      </c>
      <c r="AC679" s="462" t="s">
        <v>3296</v>
      </c>
      <c r="AD679" s="464">
        <v>944.51733999999999</v>
      </c>
      <c r="AE679" s="465">
        <v>45.434699999999999</v>
      </c>
      <c r="AF679" s="86">
        <f>IF(verze!$E$1="CZK",AD679,IF(verze!$E$1="SK",AE679,""))</f>
        <v>45.434699999999999</v>
      </c>
    </row>
    <row r="680" spans="2:32" ht="15">
      <c r="B680" s="301">
        <v>9256883</v>
      </c>
      <c r="C680" s="222" t="s">
        <v>1072</v>
      </c>
      <c r="D680" s="223">
        <v>1</v>
      </c>
      <c r="E680" s="395"/>
      <c r="F680" s="266"/>
      <c r="G680" s="272">
        <f t="shared" si="60"/>
        <v>23.022449999999999</v>
      </c>
      <c r="H680" s="211" t="str">
        <f t="shared" si="61"/>
        <v>EUR</v>
      </c>
      <c r="I680" s="416" t="s">
        <v>47</v>
      </c>
      <c r="J680" s="469" t="s">
        <v>15882</v>
      </c>
      <c r="L680" s="86" t="e">
        <f>VLOOKUP(B680,$B$11:B679,1,FALSE)</f>
        <v>#N/A</v>
      </c>
      <c r="M680" s="256">
        <f>G680*(1-FORM!$AE$28/100)</f>
        <v>23.022449999999999</v>
      </c>
      <c r="AA680" s="463" t="s">
        <v>3297</v>
      </c>
      <c r="AB680" s="462" t="s">
        <v>3298</v>
      </c>
      <c r="AC680" s="462" t="s">
        <v>3299</v>
      </c>
      <c r="AD680" s="464">
        <v>954.05443000000002</v>
      </c>
      <c r="AE680" s="465">
        <v>0</v>
      </c>
      <c r="AF680" s="86">
        <f>IF(verze!$E$1="CZK",AD680,IF(verze!$E$1="SK",AE680,""))</f>
        <v>0</v>
      </c>
    </row>
    <row r="681" spans="2:32" ht="15">
      <c r="B681" s="298">
        <v>9256884</v>
      </c>
      <c r="C681" s="216" t="s">
        <v>1073</v>
      </c>
      <c r="D681" s="217">
        <v>1</v>
      </c>
      <c r="E681" s="391"/>
      <c r="F681" s="262"/>
      <c r="G681" s="272">
        <f t="shared" si="60"/>
        <v>23.069210000000002</v>
      </c>
      <c r="H681" s="141" t="str">
        <f t="shared" ref="H681:H696" si="62">IF(G681="","",$H$10)</f>
        <v>EUR</v>
      </c>
      <c r="I681" s="409" t="s">
        <v>47</v>
      </c>
      <c r="J681" s="467" t="s">
        <v>15885</v>
      </c>
      <c r="L681" s="86" t="e">
        <f>VLOOKUP(B681,$B$11:B680,1,FALSE)</f>
        <v>#N/A</v>
      </c>
      <c r="M681" s="256">
        <f>G681*(1-FORM!$AE$28/100)</f>
        <v>23.069210000000002</v>
      </c>
      <c r="AA681" s="463" t="s">
        <v>3300</v>
      </c>
      <c r="AB681" s="462" t="s">
        <v>3301</v>
      </c>
      <c r="AC681" s="462" t="s">
        <v>3302</v>
      </c>
      <c r="AD681" s="464">
        <v>1064.4654800000001</v>
      </c>
      <c r="AE681" s="465">
        <v>51.204619999999998</v>
      </c>
      <c r="AF681" s="86">
        <f>IF(verze!$E$1="CZK",AD681,IF(verze!$E$1="SK",AE681,""))</f>
        <v>51.204619999999998</v>
      </c>
    </row>
    <row r="682" spans="2:32" ht="15">
      <c r="B682" s="298">
        <v>9256886</v>
      </c>
      <c r="C682" s="216" t="s">
        <v>1074</v>
      </c>
      <c r="D682" s="217">
        <v>1</v>
      </c>
      <c r="E682" s="391"/>
      <c r="F682" s="262"/>
      <c r="G682" s="272" t="e">
        <f t="shared" si="60"/>
        <v>#N/A</v>
      </c>
      <c r="H682" s="141" t="e">
        <f t="shared" si="62"/>
        <v>#N/A</v>
      </c>
      <c r="I682" s="409" t="s">
        <v>47</v>
      </c>
      <c r="J682" s="467">
        <v>527985</v>
      </c>
      <c r="L682" s="86" t="e">
        <f>VLOOKUP(B682,$B$11:B681,1,FALSE)</f>
        <v>#N/A</v>
      </c>
      <c r="M682" s="256" t="e">
        <f>G682*(1-FORM!$AE$28/100)</f>
        <v>#N/A</v>
      </c>
      <c r="AA682" s="463" t="s">
        <v>3303</v>
      </c>
      <c r="AB682" s="462" t="s">
        <v>3304</v>
      </c>
      <c r="AC682" s="462" t="s">
        <v>3305</v>
      </c>
      <c r="AD682" s="464">
        <v>1068.8702000000001</v>
      </c>
      <c r="AE682" s="465">
        <v>0</v>
      </c>
      <c r="AF682" s="86">
        <f>IF(verze!$E$1="CZK",AD682,IF(verze!$E$1="SK",AE682,""))</f>
        <v>0</v>
      </c>
    </row>
    <row r="683" spans="2:32" ht="15">
      <c r="B683" s="298">
        <v>9256888</v>
      </c>
      <c r="C683" s="216" t="s">
        <v>1075</v>
      </c>
      <c r="D683" s="217">
        <v>1</v>
      </c>
      <c r="E683" s="391"/>
      <c r="F683" s="262"/>
      <c r="G683" s="272">
        <f t="shared" si="60"/>
        <v>24.002659999999999</v>
      </c>
      <c r="H683" s="141" t="str">
        <f t="shared" si="62"/>
        <v>EUR</v>
      </c>
      <c r="I683" s="409" t="s">
        <v>47</v>
      </c>
      <c r="J683" s="467" t="s">
        <v>15891</v>
      </c>
      <c r="L683" s="86" t="e">
        <f>VLOOKUP(B683,$B$11:B682,1,FALSE)</f>
        <v>#N/A</v>
      </c>
      <c r="M683" s="256">
        <f>G683*(1-FORM!$AE$28/100)</f>
        <v>24.002659999999999</v>
      </c>
      <c r="AA683" s="463" t="s">
        <v>3306</v>
      </c>
      <c r="AB683" s="462" t="s">
        <v>3307</v>
      </c>
      <c r="AC683" s="462" t="s">
        <v>3308</v>
      </c>
      <c r="AD683" s="464">
        <v>1145.9747600000001</v>
      </c>
      <c r="AE683" s="465">
        <v>55.125500000000002</v>
      </c>
      <c r="AF683" s="86">
        <f>IF(verze!$E$1="CZK",AD683,IF(verze!$E$1="SK",AE683,""))</f>
        <v>55.125500000000002</v>
      </c>
    </row>
    <row r="684" spans="2:32" ht="15">
      <c r="B684" s="298">
        <v>9256890</v>
      </c>
      <c r="C684" s="216" t="s">
        <v>1076</v>
      </c>
      <c r="D684" s="217">
        <v>1</v>
      </c>
      <c r="E684" s="391"/>
      <c r="F684" s="262"/>
      <c r="G684" s="272">
        <f t="shared" si="60"/>
        <v>4.9393000000000002</v>
      </c>
      <c r="H684" s="141" t="str">
        <f t="shared" si="62"/>
        <v>EUR</v>
      </c>
      <c r="I684" s="409" t="s">
        <v>47</v>
      </c>
      <c r="J684" s="467" t="s">
        <v>27729</v>
      </c>
      <c r="L684" s="86" t="e">
        <f>VLOOKUP(B684,$B$11:B683,1,FALSE)</f>
        <v>#N/A</v>
      </c>
      <c r="M684" s="256">
        <f>G684*(1-FORM!$AE$28/100)</f>
        <v>4.9393000000000002</v>
      </c>
      <c r="AA684" s="463" t="s">
        <v>3309</v>
      </c>
      <c r="AB684" s="462" t="s">
        <v>3310</v>
      </c>
      <c r="AC684" s="462" t="s">
        <v>3311</v>
      </c>
      <c r="AD684" s="464">
        <v>233.79516000000001</v>
      </c>
      <c r="AE684" s="465">
        <v>11.2464</v>
      </c>
      <c r="AF684" s="86">
        <f>IF(verze!$E$1="CZK",AD684,IF(verze!$E$1="SK",AE684,""))</f>
        <v>11.2464</v>
      </c>
    </row>
    <row r="685" spans="2:32" ht="15">
      <c r="B685" s="298">
        <v>9256892</v>
      </c>
      <c r="C685" s="216" t="s">
        <v>1077</v>
      </c>
      <c r="D685" s="217">
        <v>1</v>
      </c>
      <c r="E685" s="391"/>
      <c r="F685" s="262"/>
      <c r="G685" s="272">
        <f t="shared" si="60"/>
        <v>23.748699999999999</v>
      </c>
      <c r="H685" s="141" t="str">
        <f t="shared" si="62"/>
        <v>EUR</v>
      </c>
      <c r="I685" s="409" t="s">
        <v>47</v>
      </c>
      <c r="J685" s="467" t="s">
        <v>15894</v>
      </c>
      <c r="L685" s="86" t="e">
        <f>VLOOKUP(B685,$B$11:B684,1,FALSE)</f>
        <v>#N/A</v>
      </c>
      <c r="M685" s="256">
        <f>G685*(1-FORM!$AE$28/100)</f>
        <v>23.748699999999999</v>
      </c>
      <c r="AA685" s="463" t="s">
        <v>3312</v>
      </c>
      <c r="AB685" s="462" t="s">
        <v>3313</v>
      </c>
      <c r="AC685" s="462" t="s">
        <v>3314</v>
      </c>
      <c r="AD685" s="464">
        <v>15.915380000000001</v>
      </c>
      <c r="AE685" s="465">
        <v>0.63668000000000002</v>
      </c>
      <c r="AF685" s="86">
        <f>IF(verze!$E$1="CZK",AD685,IF(verze!$E$1="SK",AE685,""))</f>
        <v>0.63668000000000002</v>
      </c>
    </row>
    <row r="686" spans="2:32" ht="15">
      <c r="B686" s="298">
        <v>9256894</v>
      </c>
      <c r="C686" s="216" t="s">
        <v>1078</v>
      </c>
      <c r="D686" s="217">
        <v>1</v>
      </c>
      <c r="E686" s="391"/>
      <c r="F686" s="262"/>
      <c r="G686" s="272">
        <f t="shared" si="60"/>
        <v>5.1277499999999998</v>
      </c>
      <c r="H686" s="141" t="str">
        <f t="shared" si="62"/>
        <v>EUR</v>
      </c>
      <c r="I686" s="409" t="s">
        <v>47</v>
      </c>
      <c r="J686" s="467" t="s">
        <v>27734</v>
      </c>
      <c r="L686" s="86" t="e">
        <f>VLOOKUP(B686,$B$11:B685,1,FALSE)</f>
        <v>#N/A</v>
      </c>
      <c r="M686" s="256">
        <f>G686*(1-FORM!$AE$28/100)</f>
        <v>5.1277499999999998</v>
      </c>
      <c r="AA686" s="463" t="s">
        <v>3315</v>
      </c>
      <c r="AB686" s="462" t="s">
        <v>3316</v>
      </c>
      <c r="AC686" s="462" t="s">
        <v>3317</v>
      </c>
      <c r="AD686" s="464">
        <v>8.8833400000000005</v>
      </c>
      <c r="AE686" s="465">
        <v>0.36434</v>
      </c>
      <c r="AF686" s="86">
        <f>IF(verze!$E$1="CZK",AD686,IF(verze!$E$1="SK",AE686,""))</f>
        <v>0.36434</v>
      </c>
    </row>
    <row r="687" spans="2:32" ht="15">
      <c r="B687" s="298">
        <v>9256896</v>
      </c>
      <c r="C687" s="216" t="s">
        <v>1079</v>
      </c>
      <c r="D687" s="217">
        <v>1</v>
      </c>
      <c r="E687" s="391"/>
      <c r="F687" s="262"/>
      <c r="G687" s="272">
        <f t="shared" si="60"/>
        <v>25.86984</v>
      </c>
      <c r="H687" s="141" t="str">
        <f t="shared" si="62"/>
        <v>EUR</v>
      </c>
      <c r="I687" s="409" t="s">
        <v>47</v>
      </c>
      <c r="J687" s="467" t="s">
        <v>15897</v>
      </c>
      <c r="L687" s="86" t="e">
        <f>VLOOKUP(B687,$B$11:B686,1,FALSE)</f>
        <v>#N/A</v>
      </c>
      <c r="M687" s="256">
        <f>G687*(1-FORM!$AE$28/100)</f>
        <v>25.86984</v>
      </c>
      <c r="AA687" s="463" t="s">
        <v>3318</v>
      </c>
      <c r="AB687" s="462" t="s">
        <v>3319</v>
      </c>
      <c r="AC687" s="462" t="s">
        <v>3320</v>
      </c>
      <c r="AD687" s="464">
        <v>266.04523999999998</v>
      </c>
      <c r="AE687" s="465">
        <v>10.91146</v>
      </c>
      <c r="AF687" s="86">
        <f>IF(verze!$E$1="CZK",AD687,IF(verze!$E$1="SK",AE687,""))</f>
        <v>10.91146</v>
      </c>
    </row>
    <row r="688" spans="2:32" ht="15">
      <c r="B688" s="298">
        <v>9256854</v>
      </c>
      <c r="C688" s="216" t="s">
        <v>1080</v>
      </c>
      <c r="D688" s="217">
        <v>20</v>
      </c>
      <c r="E688" s="391"/>
      <c r="F688" s="262"/>
      <c r="G688" s="272">
        <f t="shared" si="60"/>
        <v>10.7646</v>
      </c>
      <c r="H688" s="141" t="str">
        <f t="shared" si="62"/>
        <v>EUR</v>
      </c>
      <c r="I688" s="409" t="s">
        <v>47</v>
      </c>
      <c r="J688" s="467" t="s">
        <v>15802</v>
      </c>
      <c r="L688" s="86" t="e">
        <f>VLOOKUP(B688,$B$11:B687,1,FALSE)</f>
        <v>#N/A</v>
      </c>
      <c r="M688" s="256">
        <f>G688*(1-FORM!$AE$28/100)</f>
        <v>10.7646</v>
      </c>
      <c r="AA688" s="463" t="s">
        <v>3321</v>
      </c>
      <c r="AB688" s="462" t="s">
        <v>3322</v>
      </c>
      <c r="AC688" s="462" t="s">
        <v>3323</v>
      </c>
      <c r="AD688" s="464">
        <v>374.85052999999999</v>
      </c>
      <c r="AE688" s="465">
        <v>15.373939999999999</v>
      </c>
      <c r="AF688" s="86">
        <f>IF(verze!$E$1="CZK",AD688,IF(verze!$E$1="SK",AE688,""))</f>
        <v>15.373939999999999</v>
      </c>
    </row>
    <row r="689" spans="2:32" ht="15">
      <c r="B689" s="298">
        <v>9256855</v>
      </c>
      <c r="C689" s="216" t="s">
        <v>1081</v>
      </c>
      <c r="D689" s="217">
        <v>20</v>
      </c>
      <c r="E689" s="391"/>
      <c r="F689" s="262"/>
      <c r="G689" s="272">
        <f t="shared" si="60"/>
        <v>10.7646</v>
      </c>
      <c r="H689" s="141" t="str">
        <f t="shared" si="62"/>
        <v>EUR</v>
      </c>
      <c r="I689" s="409" t="s">
        <v>47</v>
      </c>
      <c r="J689" s="467" t="s">
        <v>15805</v>
      </c>
      <c r="L689" s="86" t="e">
        <f>VLOOKUP(B689,$B$11:B688,1,FALSE)</f>
        <v>#N/A</v>
      </c>
      <c r="M689" s="256">
        <f>G689*(1-FORM!$AE$28/100)</f>
        <v>10.7646</v>
      </c>
      <c r="AA689" s="463" t="s">
        <v>3324</v>
      </c>
      <c r="AB689" s="462" t="s">
        <v>3325</v>
      </c>
      <c r="AC689" s="462" t="s">
        <v>3326</v>
      </c>
      <c r="AD689" s="464">
        <v>298.93860999999998</v>
      </c>
      <c r="AE689" s="465">
        <v>13.695259999999999</v>
      </c>
      <c r="AF689" s="86">
        <f>IF(verze!$E$1="CZK",AD689,IF(verze!$E$1="SK",AE689,""))</f>
        <v>13.695259999999999</v>
      </c>
    </row>
    <row r="690" spans="2:32" ht="15">
      <c r="B690" s="298">
        <v>9256856</v>
      </c>
      <c r="C690" s="216" t="s">
        <v>1082</v>
      </c>
      <c r="D690" s="217">
        <v>20</v>
      </c>
      <c r="E690" s="391"/>
      <c r="F690" s="262"/>
      <c r="G690" s="272">
        <f t="shared" si="60"/>
        <v>10.787739999999999</v>
      </c>
      <c r="H690" s="141" t="str">
        <f t="shared" si="62"/>
        <v>EUR</v>
      </c>
      <c r="I690" s="409" t="s">
        <v>47</v>
      </c>
      <c r="J690" s="467" t="s">
        <v>15808</v>
      </c>
      <c r="L690" s="86" t="e">
        <f>VLOOKUP(B690,$B$11:B689,1,FALSE)</f>
        <v>#N/A</v>
      </c>
      <c r="M690" s="256">
        <f>G690*(1-FORM!$AE$28/100)</f>
        <v>10.787739999999999</v>
      </c>
      <c r="AA690" s="463" t="s">
        <v>3327</v>
      </c>
      <c r="AB690" s="462" t="s">
        <v>3328</v>
      </c>
      <c r="AC690" s="462" t="s">
        <v>3329</v>
      </c>
      <c r="AD690" s="464">
        <v>756.47244000000001</v>
      </c>
      <c r="AE690" s="465">
        <v>34.656260000000003</v>
      </c>
      <c r="AF690" s="86">
        <f>IF(verze!$E$1="CZK",AD690,IF(verze!$E$1="SK",AE690,""))</f>
        <v>34.656260000000003</v>
      </c>
    </row>
    <row r="691" spans="2:32" ht="15">
      <c r="B691" s="298">
        <v>9256857</v>
      </c>
      <c r="C691" s="216" t="s">
        <v>1083</v>
      </c>
      <c r="D691" s="217">
        <v>20</v>
      </c>
      <c r="E691" s="391"/>
      <c r="F691" s="262"/>
      <c r="G691" s="272">
        <f t="shared" si="60"/>
        <v>10.787739999999999</v>
      </c>
      <c r="H691" s="141" t="str">
        <f t="shared" si="62"/>
        <v>EUR</v>
      </c>
      <c r="I691" s="409" t="s">
        <v>47</v>
      </c>
      <c r="J691" s="467" t="s">
        <v>15811</v>
      </c>
      <c r="L691" s="86" t="e">
        <f>VLOOKUP(B691,$B$11:B690,1,FALSE)</f>
        <v>#N/A</v>
      </c>
      <c r="M691" s="256">
        <f>G691*(1-FORM!$AE$28/100)</f>
        <v>10.787739999999999</v>
      </c>
      <c r="AA691" s="463" t="s">
        <v>3330</v>
      </c>
      <c r="AB691" s="462" t="s">
        <v>3331</v>
      </c>
      <c r="AC691" s="462" t="s">
        <v>3332</v>
      </c>
      <c r="AD691" s="464">
        <v>45.608539999999998</v>
      </c>
      <c r="AE691" s="465">
        <v>1.87056</v>
      </c>
      <c r="AF691" s="86">
        <f>IF(verze!$E$1="CZK",AD691,IF(verze!$E$1="SK",AE691,""))</f>
        <v>1.87056</v>
      </c>
    </row>
    <row r="692" spans="2:32" ht="15">
      <c r="B692" s="298">
        <v>9256860</v>
      </c>
      <c r="C692" s="216" t="s">
        <v>1084</v>
      </c>
      <c r="D692" s="217">
        <v>20</v>
      </c>
      <c r="E692" s="391"/>
      <c r="F692" s="262"/>
      <c r="G692" s="272">
        <f t="shared" si="60"/>
        <v>11.02122</v>
      </c>
      <c r="H692" s="141" t="str">
        <f t="shared" si="62"/>
        <v>EUR</v>
      </c>
      <c r="I692" s="409" t="s">
        <v>47</v>
      </c>
      <c r="J692" s="467" t="s">
        <v>15814</v>
      </c>
      <c r="L692" s="86" t="e">
        <f>VLOOKUP(B692,$B$11:B691,1,FALSE)</f>
        <v>#N/A</v>
      </c>
      <c r="M692" s="256">
        <f>G692*(1-FORM!$AE$28/100)</f>
        <v>11.02122</v>
      </c>
      <c r="AA692" s="463" t="s">
        <v>3333</v>
      </c>
      <c r="AB692" s="462" t="s">
        <v>3334</v>
      </c>
      <c r="AC692" s="462" t="s">
        <v>3335</v>
      </c>
      <c r="AD692" s="464">
        <v>49.885269999999998</v>
      </c>
      <c r="AE692" s="465">
        <v>2.0459800000000001</v>
      </c>
      <c r="AF692" s="86">
        <f>IF(verze!$E$1="CZK",AD692,IF(verze!$E$1="SK",AE692,""))</f>
        <v>2.0459800000000001</v>
      </c>
    </row>
    <row r="693" spans="2:32" ht="15">
      <c r="B693" s="298">
        <v>9256861</v>
      </c>
      <c r="C693" s="216" t="s">
        <v>1085</v>
      </c>
      <c r="D693" s="217">
        <v>20</v>
      </c>
      <c r="E693" s="391"/>
      <c r="F693" s="262"/>
      <c r="G693" s="272">
        <f t="shared" si="60"/>
        <v>11.02122</v>
      </c>
      <c r="H693" s="141" t="str">
        <f t="shared" si="62"/>
        <v>EUR</v>
      </c>
      <c r="I693" s="409" t="s">
        <v>47</v>
      </c>
      <c r="J693" s="467" t="s">
        <v>15817</v>
      </c>
      <c r="L693" s="86" t="e">
        <f>VLOOKUP(B693,$B$11:B692,1,FALSE)</f>
        <v>#N/A</v>
      </c>
      <c r="M693" s="256">
        <f>G693*(1-FORM!$AE$28/100)</f>
        <v>11.02122</v>
      </c>
      <c r="AA693" s="463" t="s">
        <v>3336</v>
      </c>
      <c r="AB693" s="462" t="s">
        <v>3337</v>
      </c>
      <c r="AC693" s="462" t="s">
        <v>3338</v>
      </c>
      <c r="AD693" s="464">
        <v>48.533270000000002</v>
      </c>
      <c r="AE693" s="465">
        <v>1.9905200000000001</v>
      </c>
      <c r="AF693" s="86">
        <f>IF(verze!$E$1="CZK",AD693,IF(verze!$E$1="SK",AE693,""))</f>
        <v>1.9905200000000001</v>
      </c>
    </row>
    <row r="694" spans="2:32" ht="15">
      <c r="B694" s="298">
        <v>9256864</v>
      </c>
      <c r="C694" s="216" t="s">
        <v>1086</v>
      </c>
      <c r="D694" s="217">
        <v>20</v>
      </c>
      <c r="E694" s="391"/>
      <c r="F694" s="262"/>
      <c r="G694" s="272">
        <f t="shared" si="60"/>
        <v>11.25459</v>
      </c>
      <c r="H694" s="141" t="str">
        <f t="shared" si="62"/>
        <v>EUR</v>
      </c>
      <c r="I694" s="409" t="s">
        <v>47</v>
      </c>
      <c r="J694" s="467" t="s">
        <v>15826</v>
      </c>
      <c r="L694" s="86" t="e">
        <f>VLOOKUP(B694,$B$11:B693,1,FALSE)</f>
        <v>#N/A</v>
      </c>
      <c r="M694" s="256">
        <f>G694*(1-FORM!$AE$28/100)</f>
        <v>11.25459</v>
      </c>
      <c r="AA694" s="463" t="s">
        <v>3339</v>
      </c>
      <c r="AB694" s="462" t="s">
        <v>3340</v>
      </c>
      <c r="AC694" s="462" t="s">
        <v>3341</v>
      </c>
      <c r="AD694" s="464">
        <v>58.368160000000003</v>
      </c>
      <c r="AE694" s="465">
        <v>2.3938999999999999</v>
      </c>
      <c r="AF694" s="86">
        <f>IF(verze!$E$1="CZK",AD694,IF(verze!$E$1="SK",AE694,""))</f>
        <v>2.3938999999999999</v>
      </c>
    </row>
    <row r="695" spans="2:32" ht="15">
      <c r="B695" s="298">
        <v>9256865</v>
      </c>
      <c r="C695" s="216" t="s">
        <v>1087</v>
      </c>
      <c r="D695" s="217">
        <v>20</v>
      </c>
      <c r="E695" s="391"/>
      <c r="F695" s="262"/>
      <c r="G695" s="272">
        <f t="shared" si="60"/>
        <v>11.25459</v>
      </c>
      <c r="H695" s="141" t="str">
        <f t="shared" si="62"/>
        <v>EUR</v>
      </c>
      <c r="I695" s="409" t="s">
        <v>47</v>
      </c>
      <c r="J695" s="467" t="s">
        <v>15829</v>
      </c>
      <c r="L695" s="86" t="e">
        <f>VLOOKUP(B695,$B$11:B694,1,FALSE)</f>
        <v>#N/A</v>
      </c>
      <c r="M695" s="256">
        <f>G695*(1-FORM!$AE$28/100)</f>
        <v>11.25459</v>
      </c>
      <c r="AA695" s="463" t="s">
        <v>3342</v>
      </c>
      <c r="AB695" s="462" t="s">
        <v>3343</v>
      </c>
      <c r="AC695" s="462" t="s">
        <v>3344</v>
      </c>
      <c r="AD695" s="464">
        <v>86.386610000000005</v>
      </c>
      <c r="AE695" s="465">
        <v>3.5430000000000001</v>
      </c>
      <c r="AF695" s="86">
        <f>IF(verze!$E$1="CZK",AD695,IF(verze!$E$1="SK",AE695,""))</f>
        <v>3.5430000000000001</v>
      </c>
    </row>
    <row r="696" spans="2:32" ht="15">
      <c r="B696" s="298">
        <v>9256868</v>
      </c>
      <c r="C696" s="216" t="s">
        <v>1088</v>
      </c>
      <c r="D696" s="217">
        <v>20</v>
      </c>
      <c r="E696" s="391"/>
      <c r="F696" s="262"/>
      <c r="G696" s="272">
        <f t="shared" si="60"/>
        <v>11.487740000000001</v>
      </c>
      <c r="H696" s="141" t="str">
        <f t="shared" si="62"/>
        <v>EUR</v>
      </c>
      <c r="I696" s="409" t="s">
        <v>47</v>
      </c>
      <c r="J696" s="467" t="s">
        <v>15840</v>
      </c>
      <c r="L696" s="86" t="e">
        <f>VLOOKUP(B696,$B$11:B695,1,FALSE)</f>
        <v>#N/A</v>
      </c>
      <c r="M696" s="256">
        <f>G696*(1-FORM!$AE$28/100)</f>
        <v>11.487740000000001</v>
      </c>
      <c r="AA696" s="463" t="s">
        <v>3345</v>
      </c>
      <c r="AB696" s="462" t="s">
        <v>3346</v>
      </c>
      <c r="AC696" s="462" t="s">
        <v>3347</v>
      </c>
      <c r="AD696" s="464">
        <v>55.644550000000002</v>
      </c>
      <c r="AE696" s="465">
        <v>2.0650200000000001</v>
      </c>
      <c r="AF696" s="86">
        <f>IF(verze!$E$1="CZK",AD696,IF(verze!$E$1="SK",AE696,""))</f>
        <v>2.0650200000000001</v>
      </c>
    </row>
    <row r="697" spans="2:32" ht="15">
      <c r="B697" s="298">
        <v>9256869</v>
      </c>
      <c r="C697" s="216" t="s">
        <v>1089</v>
      </c>
      <c r="D697" s="217">
        <v>20</v>
      </c>
      <c r="E697" s="391"/>
      <c r="F697" s="262"/>
      <c r="G697" s="272">
        <f t="shared" si="60"/>
        <v>11.487740000000001</v>
      </c>
      <c r="H697" s="141" t="str">
        <f t="shared" ref="H697:H762" si="63">IF(G697="","",$H$10)</f>
        <v>EUR</v>
      </c>
      <c r="I697" s="409" t="s">
        <v>47</v>
      </c>
      <c r="J697" s="467" t="s">
        <v>15845</v>
      </c>
      <c r="L697" s="86" t="e">
        <f>VLOOKUP(B697,$B$11:B696,1,FALSE)</f>
        <v>#N/A</v>
      </c>
      <c r="M697" s="256">
        <f>G697*(1-FORM!$AE$28/100)</f>
        <v>11.487740000000001</v>
      </c>
      <c r="AA697" s="463" t="s">
        <v>3345</v>
      </c>
      <c r="AB697" s="462" t="s">
        <v>3348</v>
      </c>
      <c r="AC697" s="462" t="s">
        <v>3349</v>
      </c>
      <c r="AD697" s="464">
        <v>63.854410000000001</v>
      </c>
      <c r="AE697" s="465">
        <v>2.6188799999999999</v>
      </c>
      <c r="AF697" s="86">
        <f>IF(verze!$E$1="CZK",AD697,IF(verze!$E$1="SK",AE697,""))</f>
        <v>2.6188799999999999</v>
      </c>
    </row>
    <row r="698" spans="2:32" ht="15">
      <c r="B698" s="298">
        <v>9256872</v>
      </c>
      <c r="C698" s="216" t="s">
        <v>1090</v>
      </c>
      <c r="D698" s="217">
        <v>20</v>
      </c>
      <c r="E698" s="391"/>
      <c r="F698" s="262"/>
      <c r="G698" s="272">
        <f t="shared" si="60"/>
        <v>11.163180000000001</v>
      </c>
      <c r="H698" s="141" t="str">
        <f t="shared" si="63"/>
        <v>EUR</v>
      </c>
      <c r="I698" s="409" t="s">
        <v>47</v>
      </c>
      <c r="J698" s="467" t="s">
        <v>15856</v>
      </c>
      <c r="L698" s="86" t="e">
        <f>VLOOKUP(B698,$B$11:B697,1,FALSE)</f>
        <v>#N/A</v>
      </c>
      <c r="M698" s="256">
        <f>G698*(1-FORM!$AE$28/100)</f>
        <v>11.163180000000001</v>
      </c>
      <c r="AA698" s="463" t="s">
        <v>3350</v>
      </c>
      <c r="AB698" s="462" t="s">
        <v>3351</v>
      </c>
      <c r="AC698" s="462" t="s">
        <v>3352</v>
      </c>
      <c r="AD698" s="464">
        <v>1.90968</v>
      </c>
      <c r="AE698" s="465">
        <v>7.8340000000000007E-2</v>
      </c>
      <c r="AF698" s="86">
        <f>IF(verze!$E$1="CZK",AD698,IF(verze!$E$1="SK",AE698,""))</f>
        <v>7.8340000000000007E-2</v>
      </c>
    </row>
    <row r="699" spans="2:32" ht="15">
      <c r="B699" s="298">
        <v>9256873</v>
      </c>
      <c r="C699" s="216" t="s">
        <v>1091</v>
      </c>
      <c r="D699" s="217">
        <v>20</v>
      </c>
      <c r="E699" s="391"/>
      <c r="F699" s="262"/>
      <c r="G699" s="272">
        <f t="shared" si="60"/>
        <v>11.163180000000001</v>
      </c>
      <c r="H699" s="141" t="str">
        <f t="shared" si="63"/>
        <v>EUR</v>
      </c>
      <c r="I699" s="409" t="s">
        <v>47</v>
      </c>
      <c r="J699" s="467" t="s">
        <v>15861</v>
      </c>
      <c r="L699" s="86" t="e">
        <f>VLOOKUP(B699,$B$11:B698,1,FALSE)</f>
        <v>#N/A</v>
      </c>
      <c r="M699" s="256">
        <f>G699*(1-FORM!$AE$28/100)</f>
        <v>11.163180000000001</v>
      </c>
      <c r="AA699" s="463" t="s">
        <v>3353</v>
      </c>
      <c r="AB699" s="462" t="s">
        <v>3354</v>
      </c>
      <c r="AC699" s="462" t="s">
        <v>3355</v>
      </c>
      <c r="AD699" s="464">
        <v>5.0329199999999998</v>
      </c>
      <c r="AE699" s="465">
        <v>0.20641999999999999</v>
      </c>
      <c r="AF699" s="86">
        <f>IF(verze!$E$1="CZK",AD699,IF(verze!$E$1="SK",AE699,""))</f>
        <v>0.20641999999999999</v>
      </c>
    </row>
    <row r="700" spans="2:32" ht="15">
      <c r="B700" s="298">
        <v>9256876</v>
      </c>
      <c r="C700" s="216" t="s">
        <v>1092</v>
      </c>
      <c r="D700" s="217">
        <v>20</v>
      </c>
      <c r="E700" s="391"/>
      <c r="F700" s="262"/>
      <c r="G700" s="272">
        <f t="shared" si="60"/>
        <v>11.38542</v>
      </c>
      <c r="H700" s="141" t="str">
        <f t="shared" si="63"/>
        <v>EUR</v>
      </c>
      <c r="I700" s="409" t="s">
        <v>47</v>
      </c>
      <c r="J700" s="467" t="s">
        <v>15870</v>
      </c>
      <c r="L700" s="86" t="e">
        <f>VLOOKUP(B700,$B$11:B699,1,FALSE)</f>
        <v>#N/A</v>
      </c>
      <c r="M700" s="256">
        <f>G700*(1-FORM!$AE$28/100)</f>
        <v>11.38542</v>
      </c>
      <c r="AA700" s="463" t="s">
        <v>3356</v>
      </c>
      <c r="AB700" s="462" t="s">
        <v>3357</v>
      </c>
      <c r="AC700" s="462" t="s">
        <v>3358</v>
      </c>
      <c r="AD700" s="464">
        <v>41.381</v>
      </c>
      <c r="AE700" s="465">
        <v>1.6971799999999999</v>
      </c>
      <c r="AF700" s="86">
        <f>IF(verze!$E$1="CZK",AD700,IF(verze!$E$1="SK",AE700,""))</f>
        <v>1.6971799999999999</v>
      </c>
    </row>
    <row r="701" spans="2:32" ht="15">
      <c r="B701" s="298">
        <v>9256877</v>
      </c>
      <c r="C701" s="216" t="s">
        <v>1093</v>
      </c>
      <c r="D701" s="217">
        <v>20</v>
      </c>
      <c r="E701" s="391"/>
      <c r="F701" s="262"/>
      <c r="G701" s="272">
        <f t="shared" si="60"/>
        <v>11.954689999999999</v>
      </c>
      <c r="H701" s="141" t="str">
        <f t="shared" si="63"/>
        <v>EUR</v>
      </c>
      <c r="I701" s="409" t="s">
        <v>47</v>
      </c>
      <c r="J701" s="467" t="s">
        <v>15873</v>
      </c>
      <c r="L701" s="86" t="e">
        <f>VLOOKUP(B701,$B$11:B700,1,FALSE)</f>
        <v>#N/A</v>
      </c>
      <c r="M701" s="256">
        <f>G701*(1-FORM!$AE$28/100)</f>
        <v>11.954689999999999</v>
      </c>
      <c r="AA701" s="463" t="s">
        <v>3359</v>
      </c>
      <c r="AB701" s="462" t="s">
        <v>3360</v>
      </c>
      <c r="AC701" s="462" t="s">
        <v>3361</v>
      </c>
      <c r="AD701" s="464">
        <v>130.30248</v>
      </c>
      <c r="AE701" s="465">
        <v>5.3441599999999996</v>
      </c>
      <c r="AF701" s="86">
        <f>IF(verze!$E$1="CZK",AD701,IF(verze!$E$1="SK",AE701,""))</f>
        <v>5.3441599999999996</v>
      </c>
    </row>
    <row r="702" spans="2:32" ht="15">
      <c r="B702" s="298">
        <v>9256880</v>
      </c>
      <c r="C702" s="216" t="s">
        <v>1094</v>
      </c>
      <c r="D702" s="217">
        <v>20</v>
      </c>
      <c r="E702" s="391"/>
      <c r="F702" s="262"/>
      <c r="G702" s="272">
        <f t="shared" si="60"/>
        <v>12.187939999999999</v>
      </c>
      <c r="H702" s="141" t="str">
        <f t="shared" si="63"/>
        <v>EUR</v>
      </c>
      <c r="I702" s="409" t="s">
        <v>47</v>
      </c>
      <c r="J702" s="467" t="s">
        <v>15876</v>
      </c>
      <c r="L702" s="86" t="e">
        <f>VLOOKUP(B702,$B$11:B701,1,FALSE)</f>
        <v>#N/A</v>
      </c>
      <c r="M702" s="256">
        <f>G702*(1-FORM!$AE$28/100)</f>
        <v>12.187939999999999</v>
      </c>
      <c r="AA702" s="463" t="s">
        <v>3362</v>
      </c>
      <c r="AB702" s="462" t="s">
        <v>3363</v>
      </c>
      <c r="AC702" s="462" t="s">
        <v>3364</v>
      </c>
      <c r="AD702" s="464">
        <v>13.849349999999999</v>
      </c>
      <c r="AE702" s="465">
        <v>0.56799999999999995</v>
      </c>
      <c r="AF702" s="86">
        <f>IF(verze!$E$1="CZK",AD702,IF(verze!$E$1="SK",AE702,""))</f>
        <v>0.56799999999999995</v>
      </c>
    </row>
    <row r="703" spans="2:32" ht="15">
      <c r="B703" s="303">
        <v>9256881</v>
      </c>
      <c r="C703" s="304" t="s">
        <v>1095</v>
      </c>
      <c r="D703" s="226">
        <v>20</v>
      </c>
      <c r="E703" s="396"/>
      <c r="F703" s="268"/>
      <c r="G703" s="272">
        <f t="shared" si="60"/>
        <v>12.187939999999999</v>
      </c>
      <c r="H703" s="142" t="str">
        <f t="shared" si="63"/>
        <v>EUR</v>
      </c>
      <c r="I703" s="417" t="s">
        <v>47</v>
      </c>
      <c r="J703" s="468" t="s">
        <v>15879</v>
      </c>
      <c r="L703" s="86" t="e">
        <f>VLOOKUP(B703,$B$11:B702,1,FALSE)</f>
        <v>#N/A</v>
      </c>
      <c r="M703" s="256">
        <f>G703*(1-FORM!$AE$28/100)</f>
        <v>12.187939999999999</v>
      </c>
      <c r="AA703" s="463" t="s">
        <v>3365</v>
      </c>
      <c r="AB703" s="462" t="s">
        <v>3366</v>
      </c>
      <c r="AC703" s="462" t="s">
        <v>3367</v>
      </c>
      <c r="AD703" s="464">
        <v>14.132009999999999</v>
      </c>
      <c r="AE703" s="465">
        <v>0.57962000000000002</v>
      </c>
      <c r="AF703" s="86">
        <f>IF(verze!$E$1="CZK",AD703,IF(verze!$E$1="SK",AE703,""))</f>
        <v>0.57962000000000002</v>
      </c>
    </row>
    <row r="704" spans="2:32" ht="15">
      <c r="B704" s="303"/>
      <c r="C704" s="304"/>
      <c r="D704" s="226"/>
      <c r="E704" s="396"/>
      <c r="F704" s="268"/>
      <c r="G704" s="272"/>
      <c r="H704" s="142"/>
      <c r="I704" s="417" t="s">
        <v>47</v>
      </c>
      <c r="J704" s="470"/>
      <c r="L704" s="86" t="e">
        <f>VLOOKUP(B704,$B$11:B703,1,FALSE)</f>
        <v>#N/A</v>
      </c>
      <c r="M704" s="256">
        <f>G704*(1-FORM!$AE$28/100)</f>
        <v>0</v>
      </c>
      <c r="AA704" s="463" t="s">
        <v>3368</v>
      </c>
      <c r="AB704" s="462" t="s">
        <v>3369</v>
      </c>
      <c r="AC704" s="462" t="s">
        <v>3370</v>
      </c>
      <c r="AD704" s="464">
        <v>56.123890000000003</v>
      </c>
      <c r="AE704" s="465">
        <v>2.3018399999999999</v>
      </c>
      <c r="AF704" s="86">
        <f>IF(verze!$E$1="CZK",AD704,IF(verze!$E$1="SK",AE704,""))</f>
        <v>2.3018399999999999</v>
      </c>
    </row>
    <row r="705" spans="2:32" ht="15">
      <c r="B705" s="301">
        <v>9257894</v>
      </c>
      <c r="C705" s="222" t="s">
        <v>1096</v>
      </c>
      <c r="D705" s="223">
        <v>1</v>
      </c>
      <c r="E705" s="395"/>
      <c r="F705" s="266"/>
      <c r="G705" s="272">
        <f t="shared" si="60"/>
        <v>23.114239999999999</v>
      </c>
      <c r="H705" s="211" t="str">
        <f t="shared" si="63"/>
        <v>EUR</v>
      </c>
      <c r="I705" s="416" t="s">
        <v>47</v>
      </c>
      <c r="J705" s="469" t="s">
        <v>16595</v>
      </c>
      <c r="L705" s="86" t="e">
        <f>VLOOKUP(B705,$B$11:B704,1,FALSE)</f>
        <v>#N/A</v>
      </c>
      <c r="M705" s="256">
        <f>G705*(1-FORM!$AE$28/100)</f>
        <v>23.114239999999999</v>
      </c>
      <c r="AA705" s="463" t="s">
        <v>3371</v>
      </c>
      <c r="AB705" s="462" t="s">
        <v>3372</v>
      </c>
      <c r="AC705" s="462" t="s">
        <v>3373</v>
      </c>
      <c r="AD705" s="464">
        <v>84.251300000000001</v>
      </c>
      <c r="AE705" s="465">
        <v>3.3704900000000002</v>
      </c>
      <c r="AF705" s="86">
        <f>IF(verze!$E$1="CZK",AD705,IF(verze!$E$1="SK",AE705,""))</f>
        <v>3.3704900000000002</v>
      </c>
    </row>
    <row r="706" spans="2:32" ht="15">
      <c r="B706" s="298">
        <v>9257895</v>
      </c>
      <c r="C706" s="216" t="s">
        <v>1097</v>
      </c>
      <c r="D706" s="217">
        <v>1</v>
      </c>
      <c r="E706" s="391"/>
      <c r="F706" s="262"/>
      <c r="G706" s="272">
        <f t="shared" si="60"/>
        <v>23.114239999999999</v>
      </c>
      <c r="H706" s="141" t="str">
        <f t="shared" si="63"/>
        <v>EUR</v>
      </c>
      <c r="I706" s="409" t="s">
        <v>47</v>
      </c>
      <c r="J706" s="467" t="s">
        <v>16598</v>
      </c>
      <c r="L706" s="86" t="e">
        <f>VLOOKUP(B706,$B$11:B705,1,FALSE)</f>
        <v>#N/A</v>
      </c>
      <c r="M706" s="256">
        <f>G706*(1-FORM!$AE$28/100)</f>
        <v>23.114239999999999</v>
      </c>
      <c r="AA706" s="463" t="s">
        <v>3374</v>
      </c>
      <c r="AB706" s="462" t="s">
        <v>3375</v>
      </c>
      <c r="AC706" s="462" t="s">
        <v>3376</v>
      </c>
      <c r="AD706" s="464">
        <v>56.167529999999999</v>
      </c>
      <c r="AE706" s="465">
        <v>2.2469899999999998</v>
      </c>
      <c r="AF706" s="86">
        <f>IF(verze!$E$1="CZK",AD706,IF(verze!$E$1="SK",AE706,""))</f>
        <v>2.2469899999999998</v>
      </c>
    </row>
    <row r="707" spans="2:32" ht="15">
      <c r="B707" s="303">
        <v>9257896</v>
      </c>
      <c r="C707" s="304" t="s">
        <v>1098</v>
      </c>
      <c r="D707" s="226">
        <v>1</v>
      </c>
      <c r="E707" s="396"/>
      <c r="F707" s="268"/>
      <c r="G707" s="272">
        <f t="shared" si="60"/>
        <v>23.114239999999999</v>
      </c>
      <c r="H707" s="142" t="str">
        <f t="shared" si="63"/>
        <v>EUR</v>
      </c>
      <c r="I707" s="417" t="s">
        <v>47</v>
      </c>
      <c r="J707" s="468" t="s">
        <v>16601</v>
      </c>
      <c r="L707" s="86" t="e">
        <f>VLOOKUP(B707,$B$11:B706,1,FALSE)</f>
        <v>#N/A</v>
      </c>
      <c r="M707" s="256">
        <f>G707*(1-FORM!$AE$28/100)</f>
        <v>23.114239999999999</v>
      </c>
      <c r="AA707" s="463" t="s">
        <v>3377</v>
      </c>
      <c r="AB707" s="462" t="s">
        <v>3378</v>
      </c>
      <c r="AC707" s="462" t="s">
        <v>3379</v>
      </c>
      <c r="AD707" s="464">
        <v>2.4022999999999999</v>
      </c>
      <c r="AE707" s="465">
        <v>9.8519999999999996E-2</v>
      </c>
      <c r="AF707" s="86">
        <f>IF(verze!$E$1="CZK",AD707,IF(verze!$E$1="SK",AE707,""))</f>
        <v>9.8519999999999996E-2</v>
      </c>
    </row>
    <row r="708" spans="2:32" ht="15">
      <c r="B708" s="303"/>
      <c r="C708" s="304"/>
      <c r="D708" s="226"/>
      <c r="E708" s="396"/>
      <c r="F708" s="268"/>
      <c r="G708" s="272"/>
      <c r="H708" s="142"/>
      <c r="I708" s="417" t="s">
        <v>47</v>
      </c>
      <c r="J708" s="470"/>
      <c r="L708" s="86" t="e">
        <f>VLOOKUP(B708,$B$11:B707,1,FALSE)</f>
        <v>#N/A</v>
      </c>
      <c r="M708" s="256">
        <f>G708*(1-FORM!$AE$28/100)</f>
        <v>0</v>
      </c>
      <c r="AA708" s="463" t="s">
        <v>3380</v>
      </c>
      <c r="AB708" s="462" t="s">
        <v>3381</v>
      </c>
      <c r="AC708" s="462" t="s">
        <v>3382</v>
      </c>
      <c r="AD708" s="464">
        <v>2.3236300000000001</v>
      </c>
      <c r="AE708" s="465">
        <v>9.5299999999999996E-2</v>
      </c>
      <c r="AF708" s="86">
        <f>IF(verze!$E$1="CZK",AD708,IF(verze!$E$1="SK",AE708,""))</f>
        <v>9.5299999999999996E-2</v>
      </c>
    </row>
    <row r="709" spans="2:32" ht="15">
      <c r="B709" s="301">
        <v>9256928</v>
      </c>
      <c r="C709" s="222" t="s">
        <v>1099</v>
      </c>
      <c r="D709" s="223">
        <v>1</v>
      </c>
      <c r="E709" s="395"/>
      <c r="F709" s="266"/>
      <c r="G709" s="272">
        <f t="shared" si="60"/>
        <v>25.824369999999998</v>
      </c>
      <c r="H709" s="211" t="str">
        <f t="shared" si="63"/>
        <v>EUR</v>
      </c>
      <c r="I709" s="416" t="s">
        <v>47</v>
      </c>
      <c r="J709" s="469" t="s">
        <v>15972</v>
      </c>
      <c r="L709" s="86" t="e">
        <f>VLOOKUP(B709,$B$11:B708,1,FALSE)</f>
        <v>#N/A</v>
      </c>
      <c r="M709" s="256">
        <f>G709*(1-FORM!$AE$28/100)</f>
        <v>25.824369999999998</v>
      </c>
      <c r="AA709" s="463" t="s">
        <v>3383</v>
      </c>
      <c r="AB709" s="462" t="s">
        <v>3384</v>
      </c>
      <c r="AC709" s="462" t="s">
        <v>3385</v>
      </c>
      <c r="AD709" s="464">
        <v>29.995619999999999</v>
      </c>
      <c r="AE709" s="465">
        <v>1.41174</v>
      </c>
      <c r="AF709" s="86">
        <f>IF(verze!$E$1="CZK",AD709,IF(verze!$E$1="SK",AE709,""))</f>
        <v>1.41174</v>
      </c>
    </row>
    <row r="710" spans="2:32" ht="15">
      <c r="B710" s="298">
        <v>9256929</v>
      </c>
      <c r="C710" s="216" t="s">
        <v>1100</v>
      </c>
      <c r="D710" s="217">
        <v>1</v>
      </c>
      <c r="E710" s="391"/>
      <c r="F710" s="262"/>
      <c r="G710" s="272">
        <f t="shared" si="60"/>
        <v>25.86984</v>
      </c>
      <c r="H710" s="141" t="str">
        <f t="shared" si="63"/>
        <v>EUR</v>
      </c>
      <c r="I710" s="409" t="s">
        <v>47</v>
      </c>
      <c r="J710" s="467" t="s">
        <v>15975</v>
      </c>
      <c r="L710" s="86" t="e">
        <f>VLOOKUP(B710,$B$11:B709,1,FALSE)</f>
        <v>#N/A</v>
      </c>
      <c r="M710" s="256">
        <f>G710*(1-FORM!$AE$28/100)</f>
        <v>25.86984</v>
      </c>
      <c r="AA710" s="463" t="s">
        <v>1394</v>
      </c>
      <c r="AB710" s="462" t="s">
        <v>3386</v>
      </c>
      <c r="AC710" s="462" t="s">
        <v>3387</v>
      </c>
      <c r="AD710" s="464">
        <v>30.791810000000002</v>
      </c>
      <c r="AE710" s="465">
        <v>1.48119</v>
      </c>
      <c r="AF710" s="86">
        <f>IF(verze!$E$1="CZK",AD710,IF(verze!$E$1="SK",AE710,""))</f>
        <v>1.48119</v>
      </c>
    </row>
    <row r="711" spans="2:32" ht="15">
      <c r="B711" s="298">
        <v>9256931</v>
      </c>
      <c r="C711" s="216" t="s">
        <v>1101</v>
      </c>
      <c r="D711" s="217">
        <v>1</v>
      </c>
      <c r="E711" s="391"/>
      <c r="F711" s="262"/>
      <c r="G711" s="272">
        <f t="shared" si="60"/>
        <v>26.336690000000001</v>
      </c>
      <c r="H711" s="141" t="str">
        <f>IF(G711="","",$H$10)</f>
        <v>EUR</v>
      </c>
      <c r="I711" s="409" t="s">
        <v>47</v>
      </c>
      <c r="J711" s="467" t="s">
        <v>15978</v>
      </c>
      <c r="L711" s="86" t="e">
        <f>VLOOKUP(B711,$B$11:B710,1,FALSE)</f>
        <v>#N/A</v>
      </c>
      <c r="M711" s="256">
        <f>G711*(1-FORM!$AE$28/100)</f>
        <v>26.336690000000001</v>
      </c>
      <c r="AA711" s="463" t="s">
        <v>3388</v>
      </c>
      <c r="AB711" s="462" t="s">
        <v>3389</v>
      </c>
      <c r="AC711" s="462" t="s">
        <v>3390</v>
      </c>
      <c r="AD711" s="464">
        <v>34.190359999999998</v>
      </c>
      <c r="AE711" s="465">
        <v>1.6446799999999999</v>
      </c>
      <c r="AF711" s="86">
        <f>IF(verze!$E$1="CZK",AD711,IF(verze!$E$1="SK",AE711,""))</f>
        <v>1.6446799999999999</v>
      </c>
    </row>
    <row r="712" spans="2:32" ht="15">
      <c r="B712" s="298">
        <v>9256933</v>
      </c>
      <c r="C712" s="216" t="s">
        <v>1102</v>
      </c>
      <c r="D712" s="217">
        <v>1</v>
      </c>
      <c r="E712" s="391"/>
      <c r="F712" s="262"/>
      <c r="G712" s="272">
        <f t="shared" si="60"/>
        <v>26.80339</v>
      </c>
      <c r="H712" s="141" t="str">
        <f t="shared" si="63"/>
        <v>EUR</v>
      </c>
      <c r="I712" s="409" t="s">
        <v>47</v>
      </c>
      <c r="J712" s="467" t="s">
        <v>15981</v>
      </c>
      <c r="L712" s="86" t="e">
        <f>VLOOKUP(B712,$B$11:B711,1,FALSE)</f>
        <v>#N/A</v>
      </c>
      <c r="M712" s="256">
        <f>G712*(1-FORM!$AE$28/100)</f>
        <v>26.80339</v>
      </c>
      <c r="AA712" s="463" t="s">
        <v>3391</v>
      </c>
      <c r="AB712" s="462" t="s">
        <v>3392</v>
      </c>
      <c r="AC712" s="462" t="s">
        <v>3393</v>
      </c>
      <c r="AD712" s="464">
        <v>34.98075</v>
      </c>
      <c r="AE712" s="465">
        <v>1.6827099999999999</v>
      </c>
      <c r="AF712" s="86">
        <f>IF(verze!$E$1="CZK",AD712,IF(verze!$E$1="SK",AE712,""))</f>
        <v>1.6827099999999999</v>
      </c>
    </row>
    <row r="713" spans="2:32" ht="15">
      <c r="B713" s="298">
        <v>9256935</v>
      </c>
      <c r="C713" s="216" t="s">
        <v>1103</v>
      </c>
      <c r="D713" s="217">
        <v>1</v>
      </c>
      <c r="E713" s="391"/>
      <c r="F713" s="262"/>
      <c r="G713" s="272">
        <f t="shared" si="60"/>
        <v>27.270389999999999</v>
      </c>
      <c r="H713" s="141" t="str">
        <f t="shared" si="63"/>
        <v>EUR</v>
      </c>
      <c r="I713" s="409" t="s">
        <v>47</v>
      </c>
      <c r="J713" s="467" t="s">
        <v>15984</v>
      </c>
      <c r="L713" s="86" t="e">
        <f>VLOOKUP(B713,$B$11:B712,1,FALSE)</f>
        <v>#N/A</v>
      </c>
      <c r="M713" s="256">
        <f>G713*(1-FORM!$AE$28/100)</f>
        <v>27.270389999999999</v>
      </c>
      <c r="AA713" s="463" t="s">
        <v>3394</v>
      </c>
      <c r="AB713" s="462" t="s">
        <v>3395</v>
      </c>
      <c r="AC713" s="462" t="s">
        <v>3396</v>
      </c>
      <c r="AD713" s="464">
        <v>346.40931999999998</v>
      </c>
      <c r="AE713" s="465">
        <v>13.858090000000001</v>
      </c>
      <c r="AF713" s="86">
        <f>IF(verze!$E$1="CZK",AD713,IF(verze!$E$1="SK",AE713,""))</f>
        <v>13.858090000000001</v>
      </c>
    </row>
    <row r="714" spans="2:32" ht="15">
      <c r="B714" s="298">
        <v>9256937</v>
      </c>
      <c r="C714" s="216" t="s">
        <v>1104</v>
      </c>
      <c r="D714" s="217">
        <v>1</v>
      </c>
      <c r="E714" s="391"/>
      <c r="F714" s="262"/>
      <c r="G714" s="272">
        <f t="shared" si="60"/>
        <v>5.5988800000000003</v>
      </c>
      <c r="H714" s="141" t="str">
        <f t="shared" si="63"/>
        <v>EUR</v>
      </c>
      <c r="I714" s="409" t="s">
        <v>47</v>
      </c>
      <c r="J714" s="467" t="s">
        <v>27737</v>
      </c>
      <c r="L714" s="86" t="e">
        <f>VLOOKUP(B714,$B$11:B713,1,FALSE)</f>
        <v>#N/A</v>
      </c>
      <c r="M714" s="256">
        <f>G714*(1-FORM!$AE$28/100)</f>
        <v>5.5988800000000003</v>
      </c>
      <c r="AA714" s="463" t="s">
        <v>3397</v>
      </c>
      <c r="AB714" s="462" t="s">
        <v>3398</v>
      </c>
      <c r="AC714" s="462" t="s">
        <v>3399</v>
      </c>
      <c r="AD714" s="464">
        <v>83.212299999999999</v>
      </c>
      <c r="AE714" s="465">
        <v>4.0028100000000002</v>
      </c>
      <c r="AF714" s="86">
        <f>IF(verze!$E$1="CZK",AD714,IF(verze!$E$1="SK",AE714,""))</f>
        <v>4.0028100000000002</v>
      </c>
    </row>
    <row r="715" spans="2:32" ht="15">
      <c r="B715" s="298">
        <v>9256939</v>
      </c>
      <c r="C715" s="216" t="s">
        <v>1105</v>
      </c>
      <c r="D715" s="217">
        <v>1</v>
      </c>
      <c r="E715" s="391"/>
      <c r="F715" s="262"/>
      <c r="G715" s="272">
        <f t="shared" si="60"/>
        <v>28.20382</v>
      </c>
      <c r="H715" s="141" t="str">
        <f t="shared" si="63"/>
        <v>EUR</v>
      </c>
      <c r="I715" s="409" t="s">
        <v>47</v>
      </c>
      <c r="J715" s="467" t="s">
        <v>15987</v>
      </c>
      <c r="L715" s="86" t="e">
        <f>VLOOKUP(B715,$B$11:B714,1,FALSE)</f>
        <v>#N/A</v>
      </c>
      <c r="M715" s="256">
        <f>G715*(1-FORM!$AE$28/100)</f>
        <v>28.20382</v>
      </c>
      <c r="AA715" s="463" t="s">
        <v>3400</v>
      </c>
      <c r="AB715" s="462" t="s">
        <v>3401</v>
      </c>
      <c r="AC715" s="462" t="s">
        <v>3402</v>
      </c>
      <c r="AD715" s="464">
        <v>169.90665999999999</v>
      </c>
      <c r="AE715" s="465">
        <v>6.79711</v>
      </c>
      <c r="AF715" s="86">
        <f>IF(verze!$E$1="CZK",AD715,IF(verze!$E$1="SK",AE715,""))</f>
        <v>6.79711</v>
      </c>
    </row>
    <row r="716" spans="2:32" ht="15">
      <c r="B716" s="298">
        <v>9256941</v>
      </c>
      <c r="C716" s="216" t="s">
        <v>1106</v>
      </c>
      <c r="D716" s="217">
        <v>1</v>
      </c>
      <c r="E716" s="391"/>
      <c r="F716" s="262"/>
      <c r="G716" s="272">
        <f t="shared" si="60"/>
        <v>28.670570000000001</v>
      </c>
      <c r="H716" s="141" t="str">
        <f t="shared" si="63"/>
        <v>EUR</v>
      </c>
      <c r="I716" s="409" t="s">
        <v>47</v>
      </c>
      <c r="J716" s="467" t="s">
        <v>15990</v>
      </c>
      <c r="L716" s="86" t="e">
        <f>VLOOKUP(B716,$B$11:B715,1,FALSE)</f>
        <v>#N/A</v>
      </c>
      <c r="M716" s="256">
        <f>G716*(1-FORM!$AE$28/100)</f>
        <v>28.670570000000001</v>
      </c>
      <c r="AA716" s="463" t="s">
        <v>3403</v>
      </c>
      <c r="AB716" s="462" t="s">
        <v>3404</v>
      </c>
      <c r="AC716" s="462" t="s">
        <v>3405</v>
      </c>
      <c r="AD716" s="464">
        <v>3849.8166000000001</v>
      </c>
      <c r="AE716" s="465">
        <v>154.01182</v>
      </c>
      <c r="AF716" s="86">
        <f>IF(verze!$E$1="CZK",AD716,IF(verze!$E$1="SK",AE716,""))</f>
        <v>154.01182</v>
      </c>
    </row>
    <row r="717" spans="2:32" ht="15">
      <c r="B717" s="298">
        <v>9256899</v>
      </c>
      <c r="C717" s="216" t="s">
        <v>1107</v>
      </c>
      <c r="D717" s="217">
        <v>20</v>
      </c>
      <c r="E717" s="391"/>
      <c r="F717" s="262"/>
      <c r="G717" s="272">
        <f t="shared" ref="G717:G780" si="64">VLOOKUP(J717,AB:AF,5,0)</f>
        <v>12.16503</v>
      </c>
      <c r="H717" s="141" t="str">
        <f t="shared" si="63"/>
        <v>EUR</v>
      </c>
      <c r="I717" s="409" t="s">
        <v>47</v>
      </c>
      <c r="J717" s="467" t="s">
        <v>15900</v>
      </c>
      <c r="L717" s="86" t="e">
        <f>VLOOKUP(B717,$B$11:B716,1,FALSE)</f>
        <v>#N/A</v>
      </c>
      <c r="M717" s="256">
        <f>G717*(1-FORM!$AE$28/100)</f>
        <v>12.16503</v>
      </c>
      <c r="AA717" s="463" t="s">
        <v>3406</v>
      </c>
      <c r="AB717" s="462" t="s">
        <v>3407</v>
      </c>
      <c r="AC717" s="462" t="s">
        <v>3408</v>
      </c>
      <c r="AD717" s="464">
        <v>606.01939000000004</v>
      </c>
      <c r="AE717" s="465">
        <v>0</v>
      </c>
      <c r="AF717" s="86">
        <f>IF(verze!$E$1="CZK",AD717,IF(verze!$E$1="SK",AE717,""))</f>
        <v>0</v>
      </c>
    </row>
    <row r="718" spans="2:32" ht="15">
      <c r="B718" s="298">
        <v>9256900</v>
      </c>
      <c r="C718" s="216" t="s">
        <v>1108</v>
      </c>
      <c r="D718" s="217">
        <v>20</v>
      </c>
      <c r="E718" s="391"/>
      <c r="F718" s="262"/>
      <c r="G718" s="272">
        <f t="shared" si="64"/>
        <v>12.16503</v>
      </c>
      <c r="H718" s="141" t="str">
        <f t="shared" si="63"/>
        <v>EUR</v>
      </c>
      <c r="I718" s="409" t="s">
        <v>47</v>
      </c>
      <c r="J718" s="467" t="s">
        <v>15903</v>
      </c>
      <c r="L718" s="86" t="e">
        <f>VLOOKUP(B718,$B$11:B717,1,FALSE)</f>
        <v>#N/A</v>
      </c>
      <c r="M718" s="256">
        <f>G718*(1-FORM!$AE$28/100)</f>
        <v>12.16503</v>
      </c>
      <c r="AA718" s="463" t="s">
        <v>3409</v>
      </c>
      <c r="AB718" s="462" t="s">
        <v>3410</v>
      </c>
      <c r="AC718" s="462" t="s">
        <v>3411</v>
      </c>
      <c r="AD718" s="464">
        <v>0</v>
      </c>
      <c r="AE718" s="465">
        <v>0</v>
      </c>
      <c r="AF718" s="86">
        <f>IF(verze!$E$1="CZK",AD718,IF(verze!$E$1="SK",AE718,""))</f>
        <v>0</v>
      </c>
    </row>
    <row r="719" spans="2:32" ht="15">
      <c r="B719" s="298">
        <v>9256901</v>
      </c>
      <c r="C719" s="216" t="s">
        <v>1109</v>
      </c>
      <c r="D719" s="217">
        <v>20</v>
      </c>
      <c r="E719" s="391"/>
      <c r="F719" s="262"/>
      <c r="G719" s="272">
        <f t="shared" si="64"/>
        <v>12.187939999999999</v>
      </c>
      <c r="H719" s="141" t="str">
        <f t="shared" si="63"/>
        <v>EUR</v>
      </c>
      <c r="I719" s="409" t="s">
        <v>47</v>
      </c>
      <c r="J719" s="467" t="s">
        <v>15906</v>
      </c>
      <c r="L719" s="86" t="e">
        <f>VLOOKUP(B719,$B$11:B718,1,FALSE)</f>
        <v>#N/A</v>
      </c>
      <c r="M719" s="256">
        <f>G719*(1-FORM!$AE$28/100)</f>
        <v>12.187939999999999</v>
      </c>
      <c r="AA719" s="463" t="s">
        <v>3412</v>
      </c>
      <c r="AB719" s="462" t="s">
        <v>3413</v>
      </c>
      <c r="AC719" s="462" t="s">
        <v>3414</v>
      </c>
      <c r="AD719" s="464">
        <v>87.562389999999994</v>
      </c>
      <c r="AE719" s="465">
        <v>3.5029400000000002</v>
      </c>
      <c r="AF719" s="86">
        <f>IF(verze!$E$1="CZK",AD719,IF(verze!$E$1="SK",AE719,""))</f>
        <v>3.5029400000000002</v>
      </c>
    </row>
    <row r="720" spans="2:32" ht="15">
      <c r="B720" s="298">
        <v>9256902</v>
      </c>
      <c r="C720" s="216" t="s">
        <v>1110</v>
      </c>
      <c r="D720" s="217">
        <v>20</v>
      </c>
      <c r="E720" s="391"/>
      <c r="F720" s="262"/>
      <c r="G720" s="272">
        <f t="shared" si="64"/>
        <v>12.187939999999999</v>
      </c>
      <c r="H720" s="141" t="str">
        <f t="shared" si="63"/>
        <v>EUR</v>
      </c>
      <c r="I720" s="409" t="s">
        <v>47</v>
      </c>
      <c r="J720" s="467" t="s">
        <v>15909</v>
      </c>
      <c r="L720" s="86" t="e">
        <f>VLOOKUP(B720,$B$11:B719,1,FALSE)</f>
        <v>#N/A</v>
      </c>
      <c r="M720" s="256">
        <f>G720*(1-FORM!$AE$28/100)</f>
        <v>12.187939999999999</v>
      </c>
      <c r="AA720" s="463" t="s">
        <v>3415</v>
      </c>
      <c r="AB720" s="462" t="s">
        <v>3416</v>
      </c>
      <c r="AC720" s="462" t="s">
        <v>3417</v>
      </c>
      <c r="AD720" s="464">
        <v>77.970439999999996</v>
      </c>
      <c r="AE720" s="465">
        <v>3.1192099999999998</v>
      </c>
      <c r="AF720" s="86">
        <f>IF(verze!$E$1="CZK",AD720,IF(verze!$E$1="SK",AE720,""))</f>
        <v>3.1192099999999998</v>
      </c>
    </row>
    <row r="721" spans="1:32" ht="15">
      <c r="B721" s="298">
        <v>9256905</v>
      </c>
      <c r="C721" s="216" t="s">
        <v>1111</v>
      </c>
      <c r="D721" s="217">
        <v>20</v>
      </c>
      <c r="E721" s="391"/>
      <c r="F721" s="262"/>
      <c r="G721" s="272">
        <f t="shared" si="64"/>
        <v>12.42154</v>
      </c>
      <c r="H721" s="141" t="str">
        <f t="shared" si="63"/>
        <v>EUR</v>
      </c>
      <c r="I721" s="409" t="s">
        <v>47</v>
      </c>
      <c r="J721" s="467" t="s">
        <v>15912</v>
      </c>
      <c r="L721" s="86" t="e">
        <f>VLOOKUP(B721,$B$11:B720,1,FALSE)</f>
        <v>#N/A</v>
      </c>
      <c r="M721" s="256">
        <f>G721*(1-FORM!$AE$28/100)</f>
        <v>12.42154</v>
      </c>
      <c r="AA721" s="463" t="s">
        <v>3418</v>
      </c>
      <c r="AB721" s="462" t="s">
        <v>3419</v>
      </c>
      <c r="AC721" s="462" t="s">
        <v>3420</v>
      </c>
      <c r="AD721" s="464">
        <v>207.24791999999999</v>
      </c>
      <c r="AE721" s="465">
        <v>8.2909500000000005</v>
      </c>
      <c r="AF721" s="86">
        <f>IF(verze!$E$1="CZK",AD721,IF(verze!$E$1="SK",AE721,""))</f>
        <v>8.2909500000000005</v>
      </c>
    </row>
    <row r="722" spans="1:32" ht="15">
      <c r="B722" s="298">
        <v>9256906</v>
      </c>
      <c r="C722" s="216" t="s">
        <v>1112</v>
      </c>
      <c r="D722" s="217">
        <v>20</v>
      </c>
      <c r="E722" s="391"/>
      <c r="F722" s="262"/>
      <c r="G722" s="272">
        <f t="shared" si="64"/>
        <v>12.42154</v>
      </c>
      <c r="H722" s="141" t="str">
        <f t="shared" si="63"/>
        <v>EUR</v>
      </c>
      <c r="I722" s="409" t="s">
        <v>47</v>
      </c>
      <c r="J722" s="467" t="s">
        <v>15915</v>
      </c>
      <c r="L722" s="86" t="e">
        <f>VLOOKUP(B722,$B$11:B721,1,FALSE)</f>
        <v>#N/A</v>
      </c>
      <c r="M722" s="256">
        <f>G722*(1-FORM!$AE$28/100)</f>
        <v>12.42154</v>
      </c>
      <c r="AA722" s="463" t="s">
        <v>3421</v>
      </c>
      <c r="AB722" s="462" t="s">
        <v>3422</v>
      </c>
      <c r="AC722" s="462" t="s">
        <v>3423</v>
      </c>
      <c r="AD722" s="464">
        <v>657.71987999999999</v>
      </c>
      <c r="AE722" s="465">
        <v>26.312069999999999</v>
      </c>
      <c r="AF722" s="86">
        <f>IF(verze!$E$1="CZK",AD722,IF(verze!$E$1="SK",AE722,""))</f>
        <v>26.312069999999999</v>
      </c>
    </row>
    <row r="723" spans="1:32" ht="15">
      <c r="B723" s="298">
        <v>9256909</v>
      </c>
      <c r="C723" s="216" t="s">
        <v>1113</v>
      </c>
      <c r="D723" s="217">
        <v>20</v>
      </c>
      <c r="E723" s="391"/>
      <c r="F723" s="262"/>
      <c r="G723" s="272">
        <f t="shared" si="64"/>
        <v>12.654769999999999</v>
      </c>
      <c r="H723" s="141" t="str">
        <f t="shared" si="63"/>
        <v>EUR</v>
      </c>
      <c r="I723" s="409" t="s">
        <v>47</v>
      </c>
      <c r="J723" s="467" t="s">
        <v>15924</v>
      </c>
      <c r="L723" s="86" t="e">
        <f>VLOOKUP(B723,$B$11:B722,1,FALSE)</f>
        <v>#N/A</v>
      </c>
      <c r="M723" s="256">
        <f>G723*(1-FORM!$AE$28/100)</f>
        <v>12.654769999999999</v>
      </c>
      <c r="AA723" s="463" t="s">
        <v>3424</v>
      </c>
      <c r="AB723" s="462" t="s">
        <v>3425</v>
      </c>
      <c r="AC723" s="462" t="s">
        <v>3426</v>
      </c>
      <c r="AD723" s="464">
        <v>1732.8221100000001</v>
      </c>
      <c r="AE723" s="465">
        <v>69.321510000000004</v>
      </c>
      <c r="AF723" s="86">
        <f>IF(verze!$E$1="CZK",AD723,IF(verze!$E$1="SK",AE723,""))</f>
        <v>69.321510000000004</v>
      </c>
    </row>
    <row r="724" spans="1:32" ht="15">
      <c r="B724" s="298">
        <v>9256910</v>
      </c>
      <c r="C724" s="216" t="s">
        <v>1114</v>
      </c>
      <c r="D724" s="217">
        <v>20</v>
      </c>
      <c r="E724" s="391"/>
      <c r="F724" s="262"/>
      <c r="G724" s="272">
        <f t="shared" si="64"/>
        <v>12.654769999999999</v>
      </c>
      <c r="H724" s="141" t="str">
        <f t="shared" si="63"/>
        <v>EUR</v>
      </c>
      <c r="I724" s="409" t="s">
        <v>47</v>
      </c>
      <c r="J724" s="467" t="s">
        <v>15927</v>
      </c>
      <c r="L724" s="86" t="e">
        <f>VLOOKUP(B724,$B$11:B723,1,FALSE)</f>
        <v>#N/A</v>
      </c>
      <c r="M724" s="256">
        <f>G724*(1-FORM!$AE$28/100)</f>
        <v>12.654769999999999</v>
      </c>
      <c r="AA724" s="463" t="s">
        <v>3427</v>
      </c>
      <c r="AB724" s="462" t="s">
        <v>3428</v>
      </c>
      <c r="AC724" s="462" t="s">
        <v>3429</v>
      </c>
      <c r="AD724" s="464">
        <v>11279.29052</v>
      </c>
      <c r="AE724" s="465">
        <v>451.22777000000002</v>
      </c>
      <c r="AF724" s="86">
        <f>IF(verze!$E$1="CZK",AD724,IF(verze!$E$1="SK",AE724,""))</f>
        <v>451.22777000000002</v>
      </c>
    </row>
    <row r="725" spans="1:32" ht="15">
      <c r="B725" s="298">
        <v>9256913</v>
      </c>
      <c r="C725" s="216" t="s">
        <v>1115</v>
      </c>
      <c r="D725" s="217">
        <v>20</v>
      </c>
      <c r="E725" s="391"/>
      <c r="F725" s="262"/>
      <c r="G725" s="272">
        <f t="shared" si="64"/>
        <v>12.888019999999999</v>
      </c>
      <c r="H725" s="141" t="str">
        <f t="shared" si="63"/>
        <v>EUR</v>
      </c>
      <c r="I725" s="409" t="s">
        <v>47</v>
      </c>
      <c r="J725" s="467" t="s">
        <v>15936</v>
      </c>
      <c r="L725" s="86" t="e">
        <f>VLOOKUP(B725,$B$11:B724,1,FALSE)</f>
        <v>#N/A</v>
      </c>
      <c r="M725" s="256">
        <f>G725*(1-FORM!$AE$28/100)</f>
        <v>12.888019999999999</v>
      </c>
      <c r="AA725" s="463" t="s">
        <v>3430</v>
      </c>
      <c r="AB725" s="462" t="s">
        <v>3431</v>
      </c>
      <c r="AC725" s="462" t="s">
        <v>3432</v>
      </c>
      <c r="AD725" s="464">
        <v>1608.7868900000001</v>
      </c>
      <c r="AE725" s="465">
        <v>64.359480000000005</v>
      </c>
      <c r="AF725" s="86">
        <f>IF(verze!$E$1="CZK",AD725,IF(verze!$E$1="SK",AE725,""))</f>
        <v>64.359480000000005</v>
      </c>
    </row>
    <row r="726" spans="1:32" ht="15">
      <c r="B726" s="298">
        <v>9256914</v>
      </c>
      <c r="C726" s="216" t="s">
        <v>1116</v>
      </c>
      <c r="D726" s="217">
        <v>20</v>
      </c>
      <c r="E726" s="391"/>
      <c r="F726" s="262"/>
      <c r="G726" s="272">
        <f t="shared" si="64"/>
        <v>12.888019999999999</v>
      </c>
      <c r="H726" s="141" t="str">
        <f t="shared" si="63"/>
        <v>EUR</v>
      </c>
      <c r="I726" s="409" t="s">
        <v>47</v>
      </c>
      <c r="J726" s="467" t="s">
        <v>15939</v>
      </c>
      <c r="L726" s="86" t="e">
        <f>VLOOKUP(B726,$B$11:B725,1,FALSE)</f>
        <v>#N/A</v>
      </c>
      <c r="M726" s="256">
        <f>G726*(1-FORM!$AE$28/100)</f>
        <v>12.888019999999999</v>
      </c>
      <c r="AA726" s="463" t="s">
        <v>3433</v>
      </c>
      <c r="AB726" s="462" t="s">
        <v>3434</v>
      </c>
      <c r="AC726" s="462" t="s">
        <v>3435</v>
      </c>
      <c r="AD726" s="464">
        <v>8571.3073000000004</v>
      </c>
      <c r="AE726" s="465">
        <v>342.89494999999999</v>
      </c>
      <c r="AF726" s="86">
        <f>IF(verze!$E$1="CZK",AD726,IF(verze!$E$1="SK",AE726,""))</f>
        <v>342.89494999999999</v>
      </c>
    </row>
    <row r="727" spans="1:32" ht="15">
      <c r="B727" s="298">
        <v>9256917</v>
      </c>
      <c r="C727" s="216" t="s">
        <v>1117</v>
      </c>
      <c r="D727" s="217">
        <v>20</v>
      </c>
      <c r="E727" s="391"/>
      <c r="F727" s="262"/>
      <c r="G727" s="272">
        <f t="shared" si="64"/>
        <v>12.496779999999999</v>
      </c>
      <c r="H727" s="141" t="str">
        <f t="shared" si="63"/>
        <v>EUR</v>
      </c>
      <c r="I727" s="409" t="s">
        <v>47</v>
      </c>
      <c r="J727" s="467" t="s">
        <v>15948</v>
      </c>
      <c r="L727" s="86" t="e">
        <f>VLOOKUP(B727,$B$11:B726,1,FALSE)</f>
        <v>#N/A</v>
      </c>
      <c r="M727" s="256">
        <f>G727*(1-FORM!$AE$28/100)</f>
        <v>12.496779999999999</v>
      </c>
      <c r="AA727" s="463" t="s">
        <v>3436</v>
      </c>
      <c r="AB727" s="462" t="s">
        <v>3437</v>
      </c>
      <c r="AC727" s="462" t="s">
        <v>3438</v>
      </c>
      <c r="AD727" s="464">
        <v>1397.2027700000001</v>
      </c>
      <c r="AE727" s="465">
        <v>55.895069999999997</v>
      </c>
      <c r="AF727" s="86">
        <f>IF(verze!$E$1="CZK",AD727,IF(verze!$E$1="SK",AE727,""))</f>
        <v>55.895069999999997</v>
      </c>
    </row>
    <row r="728" spans="1:32" ht="15">
      <c r="B728" s="298">
        <v>9256918</v>
      </c>
      <c r="C728" s="216" t="s">
        <v>1118</v>
      </c>
      <c r="D728" s="217">
        <v>20</v>
      </c>
      <c r="E728" s="391"/>
      <c r="F728" s="262"/>
      <c r="G728" s="272">
        <f t="shared" si="64"/>
        <v>12.496779999999999</v>
      </c>
      <c r="H728" s="141" t="str">
        <f t="shared" si="63"/>
        <v>EUR</v>
      </c>
      <c r="I728" s="409" t="s">
        <v>47</v>
      </c>
      <c r="J728" s="467" t="s">
        <v>15951</v>
      </c>
      <c r="L728" s="86" t="e">
        <f>VLOOKUP(B728,$B$11:B727,1,FALSE)</f>
        <v>#N/A</v>
      </c>
      <c r="M728" s="256">
        <f>G728*(1-FORM!$AE$28/100)</f>
        <v>12.496779999999999</v>
      </c>
      <c r="AA728" s="463" t="s">
        <v>3439</v>
      </c>
      <c r="AB728" s="462" t="s">
        <v>3440</v>
      </c>
      <c r="AC728" s="462" t="s">
        <v>3441</v>
      </c>
      <c r="AD728" s="464">
        <v>1.2154199999999999</v>
      </c>
      <c r="AE728" s="465">
        <v>4.9860000000000002E-2</v>
      </c>
      <c r="AF728" s="86">
        <f>IF(verze!$E$1="CZK",AD728,IF(verze!$E$1="SK",AE728,""))</f>
        <v>4.9860000000000002E-2</v>
      </c>
    </row>
    <row r="729" spans="1:32" ht="15">
      <c r="B729" s="298">
        <v>9256921</v>
      </c>
      <c r="C729" s="216" t="s">
        <v>1119</v>
      </c>
      <c r="D729" s="217">
        <v>20</v>
      </c>
      <c r="E729" s="391"/>
      <c r="F729" s="262"/>
      <c r="G729" s="272">
        <f t="shared" si="64"/>
        <v>12.718019999999999</v>
      </c>
      <c r="H729" s="141" t="str">
        <f t="shared" si="63"/>
        <v>EUR</v>
      </c>
      <c r="I729" s="409" t="s">
        <v>47</v>
      </c>
      <c r="J729" s="467" t="s">
        <v>15960</v>
      </c>
      <c r="L729" s="86" t="e">
        <f>VLOOKUP(B729,$B$11:B728,1,FALSE)</f>
        <v>#N/A</v>
      </c>
      <c r="M729" s="256">
        <f>G729*(1-FORM!$AE$28/100)</f>
        <v>12.718019999999999</v>
      </c>
      <c r="AA729" s="463" t="s">
        <v>3442</v>
      </c>
      <c r="AB729" s="462" t="s">
        <v>3443</v>
      </c>
      <c r="AC729" s="462" t="s">
        <v>3444</v>
      </c>
      <c r="AD729" s="464">
        <v>3.6533899999999999</v>
      </c>
      <c r="AE729" s="465">
        <v>0.14984</v>
      </c>
      <c r="AF729" s="86">
        <f>IF(verze!$E$1="CZK",AD729,IF(verze!$E$1="SK",AE729,""))</f>
        <v>0.14984</v>
      </c>
    </row>
    <row r="730" spans="1:32" ht="15">
      <c r="B730" s="298">
        <v>9256922</v>
      </c>
      <c r="C730" s="216" t="s">
        <v>1120</v>
      </c>
      <c r="D730" s="217">
        <v>20</v>
      </c>
      <c r="E730" s="391"/>
      <c r="F730" s="262"/>
      <c r="G730" s="272">
        <f t="shared" si="64"/>
        <v>13.35392</v>
      </c>
      <c r="H730" s="141" t="str">
        <f t="shared" si="63"/>
        <v>EUR</v>
      </c>
      <c r="I730" s="409" t="s">
        <v>47</v>
      </c>
      <c r="J730" s="467" t="s">
        <v>15963</v>
      </c>
      <c r="L730" s="86" t="e">
        <f>VLOOKUP(B730,$B$11:B729,1,FALSE)</f>
        <v>#N/A</v>
      </c>
      <c r="M730" s="256">
        <f>G730*(1-FORM!$AE$28/100)</f>
        <v>13.35392</v>
      </c>
      <c r="AA730" s="463" t="s">
        <v>3445</v>
      </c>
      <c r="AB730" s="462" t="s">
        <v>3446</v>
      </c>
      <c r="AC730" s="462" t="s">
        <v>3447</v>
      </c>
      <c r="AD730" s="464">
        <v>0.41824</v>
      </c>
      <c r="AE730" s="465">
        <v>1.7160000000000002E-2</v>
      </c>
      <c r="AF730" s="86">
        <f>IF(verze!$E$1="CZK",AD730,IF(verze!$E$1="SK",AE730,""))</f>
        <v>1.7160000000000002E-2</v>
      </c>
    </row>
    <row r="731" spans="1:32" ht="15">
      <c r="B731" s="298">
        <v>9256925</v>
      </c>
      <c r="C731" s="216" t="s">
        <v>1121</v>
      </c>
      <c r="D731" s="217">
        <v>20</v>
      </c>
      <c r="E731" s="391"/>
      <c r="F731" s="262"/>
      <c r="G731" s="272">
        <f t="shared" si="64"/>
        <v>13.58704</v>
      </c>
      <c r="H731" s="141" t="str">
        <f t="shared" si="63"/>
        <v>EUR</v>
      </c>
      <c r="I731" s="409" t="s">
        <v>47</v>
      </c>
      <c r="J731" s="467" t="s">
        <v>15966</v>
      </c>
      <c r="L731" s="86" t="e">
        <f>VLOOKUP(B731,$B$11:B730,1,FALSE)</f>
        <v>#N/A</v>
      </c>
      <c r="M731" s="256">
        <f>G731*(1-FORM!$AE$28/100)</f>
        <v>13.58704</v>
      </c>
      <c r="AA731" s="463" t="s">
        <v>3448</v>
      </c>
      <c r="AB731" s="462" t="s">
        <v>3449</v>
      </c>
      <c r="AC731" s="462" t="s">
        <v>3450</v>
      </c>
      <c r="AD731" s="464">
        <v>31.781980000000001</v>
      </c>
      <c r="AE731" s="465">
        <v>0</v>
      </c>
      <c r="AF731" s="86">
        <f>IF(verze!$E$1="CZK",AD731,IF(verze!$E$1="SK",AE731,""))</f>
        <v>0</v>
      </c>
    </row>
    <row r="732" spans="1:32" ht="15">
      <c r="B732" s="303">
        <v>9256926</v>
      </c>
      <c r="C732" s="304" t="s">
        <v>1122</v>
      </c>
      <c r="D732" s="226">
        <v>20</v>
      </c>
      <c r="E732" s="396"/>
      <c r="F732" s="268"/>
      <c r="G732" s="272">
        <f t="shared" si="64"/>
        <v>13.58704</v>
      </c>
      <c r="H732" s="142" t="str">
        <f t="shared" si="63"/>
        <v>EUR</v>
      </c>
      <c r="I732" s="417" t="s">
        <v>47</v>
      </c>
      <c r="J732" s="468" t="s">
        <v>15969</v>
      </c>
      <c r="L732" s="86" t="e">
        <f>VLOOKUP(B732,$B$11:B731,1,FALSE)</f>
        <v>#N/A</v>
      </c>
      <c r="M732" s="256">
        <f>G732*(1-FORM!$AE$28/100)</f>
        <v>13.58704</v>
      </c>
      <c r="AA732" s="463" t="s">
        <v>3451</v>
      </c>
      <c r="AB732" s="462" t="s">
        <v>3452</v>
      </c>
      <c r="AC732" s="462" t="s">
        <v>3453</v>
      </c>
      <c r="AD732" s="464">
        <v>7243.6347599999999</v>
      </c>
      <c r="AE732" s="465">
        <v>289.78145999999998</v>
      </c>
      <c r="AF732" s="86">
        <f>IF(verze!$E$1="CZK",AD732,IF(verze!$E$1="SK",AE732,""))</f>
        <v>289.78145999999998</v>
      </c>
    </row>
    <row r="733" spans="1:32" ht="15">
      <c r="B733" s="303"/>
      <c r="C733" s="304"/>
      <c r="D733" s="226"/>
      <c r="E733" s="396"/>
      <c r="F733" s="268"/>
      <c r="G733" s="272"/>
      <c r="H733" s="142"/>
      <c r="I733" s="417" t="s">
        <v>47</v>
      </c>
      <c r="J733" s="470"/>
      <c r="L733" s="86" t="e">
        <f>VLOOKUP(B733,$B$11:B732,1,FALSE)</f>
        <v>#N/A</v>
      </c>
      <c r="M733" s="256">
        <f>G733*(1-FORM!$AE$28/100)</f>
        <v>0</v>
      </c>
      <c r="AA733" s="463" t="s">
        <v>3454</v>
      </c>
      <c r="AB733" s="462" t="s">
        <v>3455</v>
      </c>
      <c r="AC733" s="462" t="s">
        <v>3456</v>
      </c>
      <c r="AD733" s="464">
        <v>4545.2737399999996</v>
      </c>
      <c r="AE733" s="465">
        <v>208.23244</v>
      </c>
      <c r="AF733" s="86">
        <f>IF(verze!$E$1="CZK",AD733,IF(verze!$E$1="SK",AE733,""))</f>
        <v>208.23244</v>
      </c>
    </row>
    <row r="734" spans="1:32" ht="15">
      <c r="B734" s="300">
        <v>9219966</v>
      </c>
      <c r="C734" s="164" t="s">
        <v>1123</v>
      </c>
      <c r="D734" s="220">
        <v>200</v>
      </c>
      <c r="E734" s="393"/>
      <c r="F734" s="264"/>
      <c r="G734" s="272">
        <f t="shared" si="64"/>
        <v>0.79318999999999995</v>
      </c>
      <c r="H734" s="134" t="str">
        <f t="shared" si="63"/>
        <v>EUR</v>
      </c>
      <c r="I734" s="412" t="s">
        <v>47</v>
      </c>
      <c r="J734" s="470" t="s">
        <v>13810</v>
      </c>
      <c r="L734" s="86" t="e">
        <f>VLOOKUP(B734,$B$11:B733,1,FALSE)</f>
        <v>#N/A</v>
      </c>
      <c r="M734" s="256">
        <f>G734*(1-FORM!$AE$28/100)</f>
        <v>0.79318999999999995</v>
      </c>
      <c r="AA734" s="463" t="s">
        <v>3457</v>
      </c>
      <c r="AB734" s="462" t="s">
        <v>3458</v>
      </c>
      <c r="AC734" s="462" t="s">
        <v>3459</v>
      </c>
      <c r="AD734" s="464">
        <v>270.26961</v>
      </c>
      <c r="AE734" s="465">
        <v>10.812139999999999</v>
      </c>
      <c r="AF734" s="86">
        <f>IF(verze!$E$1="CZK",AD734,IF(verze!$E$1="SK",AE734,""))</f>
        <v>10.812139999999999</v>
      </c>
    </row>
    <row r="735" spans="1:32" ht="15">
      <c r="A735" s="86" t="s">
        <v>302</v>
      </c>
      <c r="B735" s="316"/>
      <c r="C735" s="164"/>
      <c r="D735" s="220"/>
      <c r="E735" s="399"/>
      <c r="F735" s="264"/>
      <c r="G735" s="272"/>
      <c r="H735" s="134"/>
      <c r="I735" s="412" t="s">
        <v>47</v>
      </c>
      <c r="J735" s="469"/>
      <c r="L735" s="86" t="e">
        <f>VLOOKUP(B735,$B$11:B734,1,FALSE)</f>
        <v>#N/A</v>
      </c>
      <c r="M735" s="256">
        <f>G735*(1-FORM!$AE$28/100)</f>
        <v>0</v>
      </c>
      <c r="AA735" s="463" t="s">
        <v>3457</v>
      </c>
      <c r="AB735" s="462" t="s">
        <v>3460</v>
      </c>
      <c r="AC735" s="462" t="s">
        <v>3461</v>
      </c>
      <c r="AD735" s="464">
        <v>102.18115</v>
      </c>
      <c r="AE735" s="465">
        <v>4.0989199999999997</v>
      </c>
      <c r="AF735" s="86">
        <f>IF(verze!$E$1="CZK",AD735,IF(verze!$E$1="SK",AE735,""))</f>
        <v>4.0989199999999997</v>
      </c>
    </row>
    <row r="736" spans="1:32" ht="15">
      <c r="A736" s="137"/>
      <c r="B736" s="311"/>
      <c r="C736" s="312"/>
      <c r="D736" s="313"/>
      <c r="E736" s="400"/>
      <c r="F736" s="314"/>
      <c r="G736" s="315"/>
      <c r="H736" s="315"/>
      <c r="I736" s="419" t="s">
        <v>47</v>
      </c>
      <c r="J736" s="467"/>
      <c r="L736" s="86" t="e">
        <f>VLOOKUP(B736,$B$11:B735,1,FALSE)</f>
        <v>#N/A</v>
      </c>
      <c r="M736" s="256">
        <f>G736*(1-FORM!$AE$28/100)</f>
        <v>0</v>
      </c>
      <c r="AA736" s="463" t="s">
        <v>3462</v>
      </c>
      <c r="AB736" s="462" t="s">
        <v>3463</v>
      </c>
      <c r="AC736" s="462" t="s">
        <v>3464</v>
      </c>
      <c r="AD736" s="464">
        <v>142.32762</v>
      </c>
      <c r="AE736" s="465">
        <v>6.5204399999999998</v>
      </c>
      <c r="AF736" s="86">
        <f>IF(verze!$E$1="CZK",AD736,IF(verze!$E$1="SK",AE736,""))</f>
        <v>6.5204399999999998</v>
      </c>
    </row>
    <row r="737" spans="1:32" ht="15">
      <c r="A737" s="137"/>
      <c r="B737" s="306"/>
      <c r="C737" s="307"/>
      <c r="D737" s="308"/>
      <c r="E737" s="401"/>
      <c r="F737" s="309"/>
      <c r="G737" s="310"/>
      <c r="H737" s="310"/>
      <c r="I737" s="420" t="s">
        <v>47</v>
      </c>
      <c r="J737" s="467"/>
      <c r="L737" s="86" t="e">
        <f>VLOOKUP(B737,$B$11:B736,1,FALSE)</f>
        <v>#N/A</v>
      </c>
      <c r="M737" s="256">
        <f>G737*(1-FORM!$AE$28/100)</f>
        <v>0</v>
      </c>
      <c r="AA737" s="463" t="s">
        <v>3465</v>
      </c>
      <c r="AB737" s="462" t="s">
        <v>3466</v>
      </c>
      <c r="AC737" s="462" t="s">
        <v>3467</v>
      </c>
      <c r="AD737" s="464">
        <v>12217.7502</v>
      </c>
      <c r="AE737" s="465">
        <v>559.73130000000003</v>
      </c>
      <c r="AF737" s="86">
        <f>IF(verze!$E$1="CZK",AD737,IF(verze!$E$1="SK",AE737,""))</f>
        <v>559.73130000000003</v>
      </c>
    </row>
    <row r="738" spans="1:32" ht="15">
      <c r="A738" s="137"/>
      <c r="B738" s="306"/>
      <c r="C738" s="307"/>
      <c r="D738" s="308"/>
      <c r="E738" s="401"/>
      <c r="F738" s="309"/>
      <c r="G738" s="310"/>
      <c r="H738" s="310"/>
      <c r="I738" s="420" t="s">
        <v>47</v>
      </c>
      <c r="J738" s="467"/>
      <c r="L738" s="86" t="e">
        <f>VLOOKUP(B738,$B$11:B737,1,FALSE)</f>
        <v>#N/A</v>
      </c>
      <c r="M738" s="256">
        <f>G738*(1-FORM!$AE$28/100)</f>
        <v>0</v>
      </c>
      <c r="AA738" s="463" t="s">
        <v>3468</v>
      </c>
      <c r="AB738" s="462" t="s">
        <v>3469</v>
      </c>
      <c r="AC738" s="462" t="s">
        <v>3470</v>
      </c>
      <c r="AD738" s="464">
        <v>1887.7504300000001</v>
      </c>
      <c r="AE738" s="465">
        <v>86.483419999999995</v>
      </c>
      <c r="AF738" s="86">
        <f>IF(verze!$E$1="CZK",AD738,IF(verze!$E$1="SK",AE738,""))</f>
        <v>86.483419999999995</v>
      </c>
    </row>
    <row r="739" spans="1:32" ht="15">
      <c r="A739" s="137"/>
      <c r="B739" s="306"/>
      <c r="C739" s="307"/>
      <c r="D739" s="308"/>
      <c r="E739" s="401"/>
      <c r="F739" s="309"/>
      <c r="G739" s="310"/>
      <c r="H739" s="310"/>
      <c r="I739" s="420" t="s">
        <v>47</v>
      </c>
      <c r="J739" s="467"/>
      <c r="L739" s="86" t="e">
        <f>VLOOKUP(B739,$B$11:B738,1,FALSE)</f>
        <v>#N/A</v>
      </c>
      <c r="M739" s="256">
        <f>G739*(1-FORM!$AE$28/100)</f>
        <v>0</v>
      </c>
      <c r="AA739" s="463" t="s">
        <v>3471</v>
      </c>
      <c r="AB739" s="462" t="s">
        <v>3472</v>
      </c>
      <c r="AC739" s="462" t="s">
        <v>3473</v>
      </c>
      <c r="AD739" s="464">
        <v>1997.05891</v>
      </c>
      <c r="AE739" s="465">
        <v>91.49118</v>
      </c>
      <c r="AF739" s="86">
        <f>IF(verze!$E$1="CZK",AD739,IF(verze!$E$1="SK",AE739,""))</f>
        <v>91.49118</v>
      </c>
    </row>
    <row r="740" spans="1:32" ht="15">
      <c r="A740" s="137"/>
      <c r="B740" s="306"/>
      <c r="C740" s="307"/>
      <c r="D740" s="308"/>
      <c r="E740" s="401"/>
      <c r="F740" s="309"/>
      <c r="G740" s="310"/>
      <c r="H740" s="310"/>
      <c r="I740" s="420" t="s">
        <v>47</v>
      </c>
      <c r="J740" s="467"/>
      <c r="L740" s="86" t="e">
        <f>VLOOKUP(B740,$B$11:B739,1,FALSE)</f>
        <v>#N/A</v>
      </c>
      <c r="M740" s="256">
        <f>G740*(1-FORM!$AE$28/100)</f>
        <v>0</v>
      </c>
      <c r="AA740" s="463" t="s">
        <v>3474</v>
      </c>
      <c r="AB740" s="462" t="s">
        <v>3475</v>
      </c>
      <c r="AC740" s="462" t="s">
        <v>3476</v>
      </c>
      <c r="AD740" s="464">
        <v>182.83788000000001</v>
      </c>
      <c r="AE740" s="465">
        <v>8.3763400000000008</v>
      </c>
      <c r="AF740" s="86">
        <f>IF(verze!$E$1="CZK",AD740,IF(verze!$E$1="SK",AE740,""))</f>
        <v>8.3763400000000008</v>
      </c>
    </row>
    <row r="741" spans="1:32" ht="15">
      <c r="A741" s="137"/>
      <c r="B741" s="306"/>
      <c r="C741" s="307"/>
      <c r="D741" s="308"/>
      <c r="E741" s="401"/>
      <c r="F741" s="309"/>
      <c r="G741" s="310"/>
      <c r="H741" s="310"/>
      <c r="I741" s="420" t="s">
        <v>47</v>
      </c>
      <c r="J741" s="467"/>
      <c r="L741" s="86" t="e">
        <f>VLOOKUP(B741,$B$11:B740,1,FALSE)</f>
        <v>#N/A</v>
      </c>
      <c r="M741" s="256">
        <f>G741*(1-FORM!$AE$28/100)</f>
        <v>0</v>
      </c>
      <c r="AA741" s="463" t="s">
        <v>3477</v>
      </c>
      <c r="AB741" s="462" t="s">
        <v>3478</v>
      </c>
      <c r="AC741" s="462" t="s">
        <v>3479</v>
      </c>
      <c r="AD741" s="464">
        <v>754.57019000000003</v>
      </c>
      <c r="AE741" s="465">
        <v>34.569099999999999</v>
      </c>
      <c r="AF741" s="86">
        <f>IF(verze!$E$1="CZK",AD741,IF(verze!$E$1="SK",AE741,""))</f>
        <v>34.569099999999999</v>
      </c>
    </row>
    <row r="742" spans="1:32" ht="15">
      <c r="A742" s="137"/>
      <c r="B742" s="306"/>
      <c r="C742" s="307"/>
      <c r="D742" s="308"/>
      <c r="E742" s="401"/>
      <c r="F742" s="309"/>
      <c r="G742" s="310"/>
      <c r="H742" s="310"/>
      <c r="I742" s="420" t="s">
        <v>47</v>
      </c>
      <c r="J742" s="467"/>
      <c r="L742" s="86" t="e">
        <f>VLOOKUP(B742,$B$11:B741,1,FALSE)</f>
        <v>#N/A</v>
      </c>
      <c r="M742" s="256">
        <f>G742*(1-FORM!$AE$28/100)</f>
        <v>0</v>
      </c>
      <c r="AA742" s="463" t="s">
        <v>3480</v>
      </c>
      <c r="AB742" s="462" t="s">
        <v>3481</v>
      </c>
      <c r="AC742" s="462" t="s">
        <v>3482</v>
      </c>
      <c r="AD742" s="464">
        <v>8367.9943000000003</v>
      </c>
      <c r="AE742" s="465">
        <v>0</v>
      </c>
      <c r="AF742" s="86">
        <f>IF(verze!$E$1="CZK",AD742,IF(verze!$E$1="SK",AE742,""))</f>
        <v>0</v>
      </c>
    </row>
    <row r="743" spans="1:32" ht="15" hidden="1">
      <c r="A743" s="137"/>
      <c r="B743" s="298"/>
      <c r="C743" s="216"/>
      <c r="D743" s="217"/>
      <c r="E743" s="391"/>
      <c r="F743" s="262"/>
      <c r="G743" s="272" t="e">
        <f t="shared" si="64"/>
        <v>#N/A</v>
      </c>
      <c r="H743" s="141" t="e">
        <f t="shared" si="63"/>
        <v>#N/A</v>
      </c>
      <c r="I743" s="409" t="s">
        <v>47</v>
      </c>
      <c r="J743" s="467"/>
      <c r="L743" s="86" t="e">
        <f>VLOOKUP(B743,$B$11:B742,1,FALSE)</f>
        <v>#N/A</v>
      </c>
      <c r="M743" s="256" t="e">
        <f>G743*(1-FORM!$AE$28/100)</f>
        <v>#N/A</v>
      </c>
      <c r="AA743" s="463" t="s">
        <v>3483</v>
      </c>
      <c r="AB743" s="462" t="s">
        <v>3484</v>
      </c>
      <c r="AC743" s="462" t="s">
        <v>3485</v>
      </c>
      <c r="AD743" s="464">
        <v>3986.2579799999999</v>
      </c>
      <c r="AE743" s="465">
        <v>182.62227999999999</v>
      </c>
      <c r="AF743" s="86">
        <f>IF(verze!$E$1="CZK",AD743,IF(verze!$E$1="SK",AE743,""))</f>
        <v>182.62227999999999</v>
      </c>
    </row>
    <row r="744" spans="1:32" ht="15" hidden="1">
      <c r="A744" s="137"/>
      <c r="B744" s="298"/>
      <c r="C744" s="216"/>
      <c r="D744" s="217"/>
      <c r="E744" s="391"/>
      <c r="F744" s="262"/>
      <c r="G744" s="272" t="e">
        <f t="shared" si="64"/>
        <v>#N/A</v>
      </c>
      <c r="H744" s="141" t="e">
        <f t="shared" si="63"/>
        <v>#N/A</v>
      </c>
      <c r="I744" s="409" t="s">
        <v>47</v>
      </c>
      <c r="J744" s="467"/>
      <c r="L744" s="86" t="e">
        <f>VLOOKUP(B744,$B$11:B743,1,FALSE)</f>
        <v>#N/A</v>
      </c>
      <c r="M744" s="256" t="e">
        <f>G744*(1-FORM!$AE$28/100)</f>
        <v>#N/A</v>
      </c>
      <c r="AA744" s="463" t="s">
        <v>3486</v>
      </c>
      <c r="AB744" s="462" t="s">
        <v>3487</v>
      </c>
      <c r="AC744" s="462" t="s">
        <v>3488</v>
      </c>
      <c r="AD744" s="464">
        <v>3804.2265299999999</v>
      </c>
      <c r="AE744" s="465">
        <v>174.28288000000001</v>
      </c>
      <c r="AF744" s="86">
        <f>IF(verze!$E$1="CZK",AD744,IF(verze!$E$1="SK",AE744,""))</f>
        <v>174.28288000000001</v>
      </c>
    </row>
    <row r="745" spans="1:32" ht="15" hidden="1">
      <c r="A745" s="137"/>
      <c r="B745" s="298"/>
      <c r="C745" s="216"/>
      <c r="D745" s="217"/>
      <c r="E745" s="391"/>
      <c r="F745" s="262"/>
      <c r="G745" s="272" t="e">
        <f t="shared" si="64"/>
        <v>#N/A</v>
      </c>
      <c r="H745" s="141" t="e">
        <f t="shared" si="63"/>
        <v>#N/A</v>
      </c>
      <c r="I745" s="409" t="s">
        <v>47</v>
      </c>
      <c r="J745" s="467"/>
      <c r="L745" s="86" t="e">
        <f>VLOOKUP(B745,$B$11:B744,1,FALSE)</f>
        <v>#N/A</v>
      </c>
      <c r="M745" s="256" t="e">
        <f>G745*(1-FORM!$AE$28/100)</f>
        <v>#N/A</v>
      </c>
      <c r="AA745" s="463" t="s">
        <v>3489</v>
      </c>
      <c r="AB745" s="462" t="s">
        <v>3490</v>
      </c>
      <c r="AC745" s="462" t="s">
        <v>3491</v>
      </c>
      <c r="AD745" s="464">
        <v>6906.8256300000003</v>
      </c>
      <c r="AE745" s="465">
        <v>316.42212000000001</v>
      </c>
      <c r="AF745" s="86">
        <f>IF(verze!$E$1="CZK",AD745,IF(verze!$E$1="SK",AE745,""))</f>
        <v>316.42212000000001</v>
      </c>
    </row>
    <row r="746" spans="1:32" ht="15" hidden="1">
      <c r="A746" s="137"/>
      <c r="B746" s="298"/>
      <c r="C746" s="216"/>
      <c r="D746" s="217"/>
      <c r="E746" s="391"/>
      <c r="F746" s="262"/>
      <c r="G746" s="272" t="e">
        <f t="shared" si="64"/>
        <v>#N/A</v>
      </c>
      <c r="H746" s="141" t="e">
        <f t="shared" si="63"/>
        <v>#N/A</v>
      </c>
      <c r="I746" s="409" t="s">
        <v>47</v>
      </c>
      <c r="J746" s="467"/>
      <c r="L746" s="86" t="e">
        <f>VLOOKUP(B746,$B$11:B745,1,FALSE)</f>
        <v>#N/A</v>
      </c>
      <c r="M746" s="256" t="e">
        <f>G746*(1-FORM!$AE$28/100)</f>
        <v>#N/A</v>
      </c>
      <c r="AA746" s="463" t="s">
        <v>3492</v>
      </c>
      <c r="AB746" s="462" t="s">
        <v>3493</v>
      </c>
      <c r="AC746" s="462" t="s">
        <v>3494</v>
      </c>
      <c r="AD746" s="464">
        <v>10.67787</v>
      </c>
      <c r="AE746" s="465">
        <v>0.43794</v>
      </c>
      <c r="AF746" s="86">
        <f>IF(verze!$E$1="CZK",AD746,IF(verze!$E$1="SK",AE746,""))</f>
        <v>0.43794</v>
      </c>
    </row>
    <row r="747" spans="1:32" ht="15" hidden="1">
      <c r="A747" s="137"/>
      <c r="B747" s="298"/>
      <c r="C747" s="216"/>
      <c r="D747" s="217"/>
      <c r="E747" s="391"/>
      <c r="F747" s="262"/>
      <c r="G747" s="272" t="e">
        <f t="shared" si="64"/>
        <v>#N/A</v>
      </c>
      <c r="H747" s="141" t="e">
        <f t="shared" si="63"/>
        <v>#N/A</v>
      </c>
      <c r="I747" s="409" t="s">
        <v>47</v>
      </c>
      <c r="J747" s="467"/>
      <c r="L747" s="86" t="e">
        <f>VLOOKUP(B747,$B$11:B746,1,FALSE)</f>
        <v>#N/A</v>
      </c>
      <c r="M747" s="256" t="e">
        <f>G747*(1-FORM!$AE$28/100)</f>
        <v>#N/A</v>
      </c>
      <c r="AA747" s="463" t="s">
        <v>3495</v>
      </c>
      <c r="AB747" s="462" t="s">
        <v>3496</v>
      </c>
      <c r="AC747" s="462" t="s">
        <v>3497</v>
      </c>
      <c r="AD747" s="464">
        <v>1.22892</v>
      </c>
      <c r="AE747" s="465">
        <v>5.9119999999999999E-2</v>
      </c>
      <c r="AF747" s="86">
        <f>IF(verze!$E$1="CZK",AD747,IF(verze!$E$1="SK",AE747,""))</f>
        <v>5.9119999999999999E-2</v>
      </c>
    </row>
    <row r="748" spans="1:32" ht="15" hidden="1">
      <c r="A748" s="137"/>
      <c r="B748" s="298"/>
      <c r="C748" s="216"/>
      <c r="D748" s="217"/>
      <c r="E748" s="391"/>
      <c r="F748" s="262"/>
      <c r="G748" s="272" t="e">
        <f t="shared" si="64"/>
        <v>#N/A</v>
      </c>
      <c r="H748" s="141" t="e">
        <f>IF(G748="","",$H$10)</f>
        <v>#N/A</v>
      </c>
      <c r="I748" s="409" t="s">
        <v>47</v>
      </c>
      <c r="J748" s="467"/>
      <c r="L748" s="86" t="e">
        <f>VLOOKUP(B748,$B$11:B747,1,FALSE)</f>
        <v>#N/A</v>
      </c>
      <c r="M748" s="256" t="e">
        <f>G748*(1-FORM!$AE$28/100)</f>
        <v>#N/A</v>
      </c>
      <c r="AA748" s="463" t="s">
        <v>3498</v>
      </c>
      <c r="AB748" s="462" t="s">
        <v>3499</v>
      </c>
      <c r="AC748" s="462" t="s">
        <v>3500</v>
      </c>
      <c r="AD748" s="464">
        <v>0.89927999999999997</v>
      </c>
      <c r="AE748" s="465">
        <v>4.326E-2</v>
      </c>
      <c r="AF748" s="86">
        <f>IF(verze!$E$1="CZK",AD748,IF(verze!$E$1="SK",AE748,""))</f>
        <v>4.326E-2</v>
      </c>
    </row>
    <row r="749" spans="1:32" ht="15" hidden="1">
      <c r="A749" s="137"/>
      <c r="B749" s="298"/>
      <c r="C749" s="216"/>
      <c r="D749" s="217"/>
      <c r="E749" s="391"/>
      <c r="F749" s="262"/>
      <c r="G749" s="272" t="e">
        <f t="shared" si="64"/>
        <v>#N/A</v>
      </c>
      <c r="H749" s="141" t="e">
        <f t="shared" si="63"/>
        <v>#N/A</v>
      </c>
      <c r="I749" s="409" t="s">
        <v>47</v>
      </c>
      <c r="J749" s="467"/>
      <c r="L749" s="86" t="e">
        <f>VLOOKUP(B749,$B$11:B748,1,FALSE)</f>
        <v>#N/A</v>
      </c>
      <c r="M749" s="256" t="e">
        <f>G749*(1-FORM!$AE$28/100)</f>
        <v>#N/A</v>
      </c>
      <c r="AA749" s="463" t="s">
        <v>3501</v>
      </c>
      <c r="AB749" s="462" t="s">
        <v>3502</v>
      </c>
      <c r="AC749" s="462" t="s">
        <v>3503</v>
      </c>
      <c r="AD749" s="464">
        <v>348.20128999999997</v>
      </c>
      <c r="AE749" s="465">
        <v>13.929779999999999</v>
      </c>
      <c r="AF749" s="86">
        <f>IF(verze!$E$1="CZK",AD749,IF(verze!$E$1="SK",AE749,""))</f>
        <v>13.929779999999999</v>
      </c>
    </row>
    <row r="750" spans="1:32" ht="15" hidden="1">
      <c r="A750" s="137"/>
      <c r="B750" s="298"/>
      <c r="C750" s="216"/>
      <c r="D750" s="217"/>
      <c r="E750" s="391"/>
      <c r="F750" s="262"/>
      <c r="G750" s="272" t="e">
        <f t="shared" si="64"/>
        <v>#N/A</v>
      </c>
      <c r="H750" s="141" t="e">
        <f t="shared" si="63"/>
        <v>#N/A</v>
      </c>
      <c r="I750" s="409" t="s">
        <v>47</v>
      </c>
      <c r="J750" s="467"/>
      <c r="L750" s="86" t="e">
        <f>VLOOKUP(B750,$B$11:B749,1,FALSE)</f>
        <v>#N/A</v>
      </c>
      <c r="M750" s="256" t="e">
        <f>G750*(1-FORM!$AE$28/100)</f>
        <v>#N/A</v>
      </c>
      <c r="AA750" s="463" t="s">
        <v>3504</v>
      </c>
      <c r="AB750" s="462" t="s">
        <v>3505</v>
      </c>
      <c r="AC750" s="462" t="s">
        <v>3506</v>
      </c>
      <c r="AD750" s="464">
        <v>176.54217</v>
      </c>
      <c r="AE750" s="465">
        <v>8.4923199999999994</v>
      </c>
      <c r="AF750" s="86">
        <f>IF(verze!$E$1="CZK",AD750,IF(verze!$E$1="SK",AE750,""))</f>
        <v>8.4923199999999994</v>
      </c>
    </row>
    <row r="751" spans="1:32" ht="15" hidden="1">
      <c r="A751" s="137"/>
      <c r="B751" s="298"/>
      <c r="C751" s="216"/>
      <c r="D751" s="217"/>
      <c r="E751" s="391"/>
      <c r="F751" s="262"/>
      <c r="G751" s="272" t="e">
        <f t="shared" si="64"/>
        <v>#N/A</v>
      </c>
      <c r="H751" s="141" t="e">
        <f t="shared" si="63"/>
        <v>#N/A</v>
      </c>
      <c r="I751" s="409" t="s">
        <v>47</v>
      </c>
      <c r="J751" s="467"/>
      <c r="L751" s="86" t="e">
        <f>VLOOKUP(B751,$B$11:B750,1,FALSE)</f>
        <v>#N/A</v>
      </c>
      <c r="M751" s="256" t="e">
        <f>G751*(1-FORM!$AE$28/100)</f>
        <v>#N/A</v>
      </c>
      <c r="AA751" s="463" t="s">
        <v>3507</v>
      </c>
      <c r="AB751" s="462" t="s">
        <v>3508</v>
      </c>
      <c r="AC751" s="462" t="s">
        <v>3509</v>
      </c>
      <c r="AD751" s="464">
        <v>176.54217</v>
      </c>
      <c r="AE751" s="465">
        <v>8.4923199999999994</v>
      </c>
      <c r="AF751" s="86">
        <f>IF(verze!$E$1="CZK",AD751,IF(verze!$E$1="SK",AE751,""))</f>
        <v>8.4923199999999994</v>
      </c>
    </row>
    <row r="752" spans="1:32" ht="15" hidden="1">
      <c r="A752" s="137"/>
      <c r="B752" s="298"/>
      <c r="C752" s="216"/>
      <c r="D752" s="217"/>
      <c r="E752" s="391"/>
      <c r="F752" s="262"/>
      <c r="G752" s="272" t="e">
        <f t="shared" si="64"/>
        <v>#N/A</v>
      </c>
      <c r="H752" s="141" t="e">
        <f t="shared" si="63"/>
        <v>#N/A</v>
      </c>
      <c r="I752" s="409" t="s">
        <v>47</v>
      </c>
      <c r="J752" s="467"/>
      <c r="L752" s="86" t="e">
        <f>VLOOKUP(B752,$B$11:B751,1,FALSE)</f>
        <v>#N/A</v>
      </c>
      <c r="M752" s="256" t="e">
        <f>G752*(1-FORM!$AE$28/100)</f>
        <v>#N/A</v>
      </c>
      <c r="AA752" s="463" t="s">
        <v>3510</v>
      </c>
      <c r="AB752" s="462" t="s">
        <v>3511</v>
      </c>
      <c r="AC752" s="462" t="s">
        <v>3512</v>
      </c>
      <c r="AD752" s="464">
        <v>188.31310999999999</v>
      </c>
      <c r="AE752" s="465">
        <v>9.0585400000000007</v>
      </c>
      <c r="AF752" s="86">
        <f>IF(verze!$E$1="CZK",AD752,IF(verze!$E$1="SK",AE752,""))</f>
        <v>9.0585400000000007</v>
      </c>
    </row>
    <row r="753" spans="1:32" ht="15" hidden="1">
      <c r="A753" s="137"/>
      <c r="B753" s="298"/>
      <c r="C753" s="216"/>
      <c r="D753" s="217"/>
      <c r="E753" s="391"/>
      <c r="F753" s="262"/>
      <c r="G753" s="272" t="e">
        <f t="shared" si="64"/>
        <v>#N/A</v>
      </c>
      <c r="H753" s="141" t="e">
        <f t="shared" si="63"/>
        <v>#N/A</v>
      </c>
      <c r="I753" s="409" t="s">
        <v>47</v>
      </c>
      <c r="J753" s="467"/>
      <c r="L753" s="86" t="e">
        <f>VLOOKUP(B753,$B$11:B752,1,FALSE)</f>
        <v>#N/A</v>
      </c>
      <c r="M753" s="256" t="e">
        <f>G753*(1-FORM!$AE$28/100)</f>
        <v>#N/A</v>
      </c>
      <c r="AA753" s="463" t="s">
        <v>3513</v>
      </c>
      <c r="AB753" s="462" t="s">
        <v>3514</v>
      </c>
      <c r="AC753" s="462" t="s">
        <v>3515</v>
      </c>
      <c r="AD753" s="464">
        <v>194.20289</v>
      </c>
      <c r="AE753" s="465">
        <v>9.3418700000000001</v>
      </c>
      <c r="AF753" s="86">
        <f>IF(verze!$E$1="CZK",AD753,IF(verze!$E$1="SK",AE753,""))</f>
        <v>9.3418700000000001</v>
      </c>
    </row>
    <row r="754" spans="1:32" ht="15" hidden="1">
      <c r="A754" s="137"/>
      <c r="B754" s="298"/>
      <c r="C754" s="216"/>
      <c r="D754" s="217"/>
      <c r="E754" s="391"/>
      <c r="F754" s="262"/>
      <c r="G754" s="272" t="e">
        <f t="shared" si="64"/>
        <v>#N/A</v>
      </c>
      <c r="H754" s="141" t="e">
        <f t="shared" si="63"/>
        <v>#N/A</v>
      </c>
      <c r="I754" s="409" t="s">
        <v>47</v>
      </c>
      <c r="J754" s="467"/>
      <c r="L754" s="86" t="e">
        <f>VLOOKUP(B754,$B$11:B753,1,FALSE)</f>
        <v>#N/A</v>
      </c>
      <c r="M754" s="256" t="e">
        <f>G754*(1-FORM!$AE$28/100)</f>
        <v>#N/A</v>
      </c>
      <c r="AA754" s="463" t="s">
        <v>3516</v>
      </c>
      <c r="AB754" s="462" t="s">
        <v>3517</v>
      </c>
      <c r="AC754" s="462" t="s">
        <v>3518</v>
      </c>
      <c r="AD754" s="464">
        <v>94.156570000000002</v>
      </c>
      <c r="AE754" s="465">
        <v>4.5292599999999998</v>
      </c>
      <c r="AF754" s="86">
        <f>IF(verze!$E$1="CZK",AD754,IF(verze!$E$1="SK",AE754,""))</f>
        <v>4.5292599999999998</v>
      </c>
    </row>
    <row r="755" spans="1:32" ht="15" hidden="1">
      <c r="A755" s="137"/>
      <c r="B755" s="298"/>
      <c r="C755" s="216"/>
      <c r="D755" s="217"/>
      <c r="E755" s="391"/>
      <c r="F755" s="262"/>
      <c r="G755" s="272" t="e">
        <f t="shared" si="64"/>
        <v>#N/A</v>
      </c>
      <c r="H755" s="141" t="e">
        <f t="shared" si="63"/>
        <v>#N/A</v>
      </c>
      <c r="I755" s="409" t="s">
        <v>47</v>
      </c>
      <c r="J755" s="467"/>
      <c r="L755" s="86" t="e">
        <f>VLOOKUP(B755,$B$11:B754,1,FALSE)</f>
        <v>#N/A</v>
      </c>
      <c r="M755" s="256" t="e">
        <f>G755*(1-FORM!$AE$28/100)</f>
        <v>#N/A</v>
      </c>
      <c r="AA755" s="463" t="s">
        <v>3519</v>
      </c>
      <c r="AB755" s="462" t="s">
        <v>3520</v>
      </c>
      <c r="AC755" s="462" t="s">
        <v>3521</v>
      </c>
      <c r="AD755" s="464">
        <v>100.1091</v>
      </c>
      <c r="AE755" s="465">
        <v>4.81562</v>
      </c>
      <c r="AF755" s="86">
        <f>IF(verze!$E$1="CZK",AD755,IF(verze!$E$1="SK",AE755,""))</f>
        <v>4.81562</v>
      </c>
    </row>
    <row r="756" spans="1:32" ht="15" hidden="1">
      <c r="A756" s="137"/>
      <c r="B756" s="298"/>
      <c r="C756" s="216"/>
      <c r="D756" s="217"/>
      <c r="E756" s="391"/>
      <c r="F756" s="262"/>
      <c r="G756" s="272" t="e">
        <f t="shared" si="64"/>
        <v>#N/A</v>
      </c>
      <c r="H756" s="141" t="e">
        <f t="shared" si="63"/>
        <v>#N/A</v>
      </c>
      <c r="I756" s="409" t="s">
        <v>47</v>
      </c>
      <c r="J756" s="467"/>
      <c r="L756" s="86" t="e">
        <f>VLOOKUP(B756,$B$11:B755,1,FALSE)</f>
        <v>#N/A</v>
      </c>
      <c r="M756" s="256" t="e">
        <f>G756*(1-FORM!$AE$28/100)</f>
        <v>#N/A</v>
      </c>
      <c r="AA756" s="463" t="s">
        <v>3522</v>
      </c>
      <c r="AB756" s="462" t="s">
        <v>3523</v>
      </c>
      <c r="AC756" s="462" t="s">
        <v>3524</v>
      </c>
      <c r="AD756" s="464">
        <v>368.15974</v>
      </c>
      <c r="AE756" s="465">
        <v>17.70983</v>
      </c>
      <c r="AF756" s="86">
        <f>IF(verze!$E$1="CZK",AD756,IF(verze!$E$1="SK",AE756,""))</f>
        <v>17.70983</v>
      </c>
    </row>
    <row r="757" spans="1:32" ht="15" hidden="1">
      <c r="A757" s="137"/>
      <c r="B757" s="298"/>
      <c r="C757" s="216"/>
      <c r="D757" s="217"/>
      <c r="E757" s="391"/>
      <c r="F757" s="262"/>
      <c r="G757" s="272" t="e">
        <f t="shared" si="64"/>
        <v>#N/A</v>
      </c>
      <c r="H757" s="141" t="e">
        <f t="shared" si="63"/>
        <v>#N/A</v>
      </c>
      <c r="I757" s="409" t="s">
        <v>47</v>
      </c>
      <c r="J757" s="467"/>
      <c r="L757" s="86" t="e">
        <f>VLOOKUP(B757,$B$11:B756,1,FALSE)</f>
        <v>#N/A</v>
      </c>
      <c r="M757" s="256" t="e">
        <f>G757*(1-FORM!$AE$28/100)</f>
        <v>#N/A</v>
      </c>
      <c r="AA757" s="463" t="s">
        <v>3522</v>
      </c>
      <c r="AB757" s="462" t="s">
        <v>3525</v>
      </c>
      <c r="AC757" s="462" t="s">
        <v>3526</v>
      </c>
      <c r="AD757" s="464">
        <v>368.15974</v>
      </c>
      <c r="AE757" s="465">
        <v>17.70983</v>
      </c>
      <c r="AF757" s="86">
        <f>IF(verze!$E$1="CZK",AD757,IF(verze!$E$1="SK",AE757,""))</f>
        <v>17.70983</v>
      </c>
    </row>
    <row r="758" spans="1:32" ht="15" hidden="1">
      <c r="A758" s="139"/>
      <c r="B758" s="298"/>
      <c r="C758" s="216"/>
      <c r="D758" s="217"/>
      <c r="E758" s="391"/>
      <c r="F758" s="262"/>
      <c r="G758" s="272" t="e">
        <f t="shared" si="64"/>
        <v>#N/A</v>
      </c>
      <c r="H758" s="141" t="e">
        <f t="shared" si="63"/>
        <v>#N/A</v>
      </c>
      <c r="I758" s="409" t="s">
        <v>47</v>
      </c>
      <c r="J758" s="467"/>
      <c r="L758" s="86" t="e">
        <f>VLOOKUP(B758,$B$11:B757,1,FALSE)</f>
        <v>#N/A</v>
      </c>
      <c r="M758" s="256" t="e">
        <f>G758*(1-FORM!$AE$28/100)</f>
        <v>#N/A</v>
      </c>
      <c r="AA758" s="463" t="s">
        <v>3527</v>
      </c>
      <c r="AB758" s="462" t="s">
        <v>3528</v>
      </c>
      <c r="AC758" s="462" t="s">
        <v>3529</v>
      </c>
      <c r="AD758" s="464">
        <v>388.50576000000001</v>
      </c>
      <c r="AE758" s="465">
        <v>18.68853</v>
      </c>
      <c r="AF758" s="86">
        <f>IF(verze!$E$1="CZK",AD758,IF(verze!$E$1="SK",AE758,""))</f>
        <v>18.68853</v>
      </c>
    </row>
    <row r="759" spans="1:32" ht="15" hidden="1">
      <c r="A759" s="139"/>
      <c r="B759" s="298"/>
      <c r="C759" s="216"/>
      <c r="D759" s="217"/>
      <c r="E759" s="391"/>
      <c r="F759" s="262"/>
      <c r="G759" s="272" t="e">
        <f t="shared" si="64"/>
        <v>#N/A</v>
      </c>
      <c r="H759" s="141" t="e">
        <f t="shared" si="63"/>
        <v>#N/A</v>
      </c>
      <c r="I759" s="409" t="s">
        <v>47</v>
      </c>
      <c r="J759" s="467"/>
      <c r="L759" s="86" t="e">
        <f>VLOOKUP(B759,$B$11:B758,1,FALSE)</f>
        <v>#N/A</v>
      </c>
      <c r="M759" s="256" t="e">
        <f>G759*(1-FORM!$AE$28/100)</f>
        <v>#N/A</v>
      </c>
      <c r="AA759" s="463" t="s">
        <v>3530</v>
      </c>
      <c r="AB759" s="462" t="s">
        <v>3531</v>
      </c>
      <c r="AC759" s="462" t="s">
        <v>3532</v>
      </c>
      <c r="AD759" s="464">
        <v>393.55085000000003</v>
      </c>
      <c r="AE759" s="465">
        <v>18.931229999999999</v>
      </c>
      <c r="AF759" s="86">
        <f>IF(verze!$E$1="CZK",AD759,IF(verze!$E$1="SK",AE759,""))</f>
        <v>18.931229999999999</v>
      </c>
    </row>
    <row r="760" spans="1:32" ht="15" hidden="1">
      <c r="A760" s="139"/>
      <c r="B760" s="298"/>
      <c r="C760" s="216"/>
      <c r="D760" s="217"/>
      <c r="E760" s="391"/>
      <c r="F760" s="262"/>
      <c r="G760" s="272" t="e">
        <f t="shared" si="64"/>
        <v>#N/A</v>
      </c>
      <c r="H760" s="141" t="e">
        <f t="shared" si="63"/>
        <v>#N/A</v>
      </c>
      <c r="I760" s="409" t="s">
        <v>47</v>
      </c>
      <c r="J760" s="467"/>
      <c r="L760" s="86" t="e">
        <f>VLOOKUP(B760,$B$11:B759,1,FALSE)</f>
        <v>#N/A</v>
      </c>
      <c r="M760" s="256" t="e">
        <f>G760*(1-FORM!$AE$28/100)</f>
        <v>#N/A</v>
      </c>
      <c r="AA760" s="463" t="s">
        <v>3533</v>
      </c>
      <c r="AB760" s="462" t="s">
        <v>3534</v>
      </c>
      <c r="AC760" s="462" t="s">
        <v>3535</v>
      </c>
      <c r="AD760" s="464">
        <v>408.8374</v>
      </c>
      <c r="AE760" s="465">
        <v>19.666540000000001</v>
      </c>
      <c r="AF760" s="86">
        <f>IF(verze!$E$1="CZK",AD760,IF(verze!$E$1="SK",AE760,""))</f>
        <v>19.666540000000001</v>
      </c>
    </row>
    <row r="761" spans="1:32" ht="15" hidden="1">
      <c r="A761" s="139"/>
      <c r="B761" s="298"/>
      <c r="C761" s="216"/>
      <c r="D761" s="217"/>
      <c r="E761" s="391"/>
      <c r="F761" s="262"/>
      <c r="G761" s="272" t="e">
        <f t="shared" si="64"/>
        <v>#N/A</v>
      </c>
      <c r="H761" s="141" t="e">
        <f t="shared" si="63"/>
        <v>#N/A</v>
      </c>
      <c r="I761" s="409" t="s">
        <v>47</v>
      </c>
      <c r="J761" s="467"/>
      <c r="L761" s="86" t="e">
        <f>VLOOKUP(B761,$B$11:B760,1,FALSE)</f>
        <v>#N/A</v>
      </c>
      <c r="M761" s="256" t="e">
        <f>G761*(1-FORM!$AE$28/100)</f>
        <v>#N/A</v>
      </c>
      <c r="AA761" s="463" t="s">
        <v>3536</v>
      </c>
      <c r="AB761" s="462" t="s">
        <v>3537</v>
      </c>
      <c r="AC761" s="462" t="s">
        <v>3538</v>
      </c>
      <c r="AD761" s="464">
        <v>6884.3417499999996</v>
      </c>
      <c r="AE761" s="465">
        <v>275.40794</v>
      </c>
      <c r="AF761" s="86">
        <f>IF(verze!$E$1="CZK",AD761,IF(verze!$E$1="SK",AE761,""))</f>
        <v>275.40794</v>
      </c>
    </row>
    <row r="762" spans="1:32" ht="15" hidden="1">
      <c r="A762" s="139"/>
      <c r="B762" s="298"/>
      <c r="C762" s="216"/>
      <c r="D762" s="217"/>
      <c r="E762" s="391"/>
      <c r="F762" s="262"/>
      <c r="G762" s="272" t="e">
        <f t="shared" si="64"/>
        <v>#N/A</v>
      </c>
      <c r="H762" s="141" t="e">
        <f t="shared" si="63"/>
        <v>#N/A</v>
      </c>
      <c r="I762" s="409" t="s">
        <v>47</v>
      </c>
      <c r="J762" s="467"/>
      <c r="L762" s="86" t="e">
        <f>VLOOKUP(B762,$B$11:B761,1,FALSE)</f>
        <v>#N/A</v>
      </c>
      <c r="M762" s="256" t="e">
        <f>G762*(1-FORM!$AE$28/100)</f>
        <v>#N/A</v>
      </c>
      <c r="AA762" s="463" t="s">
        <v>3539</v>
      </c>
      <c r="AB762" s="462" t="s">
        <v>3540</v>
      </c>
      <c r="AC762" s="462" t="s">
        <v>3541</v>
      </c>
      <c r="AD762" s="464">
        <v>205.16628</v>
      </c>
      <c r="AE762" s="465">
        <v>9.8692399999999996</v>
      </c>
      <c r="AF762" s="86">
        <f>IF(verze!$E$1="CZK",AD762,IF(verze!$E$1="SK",AE762,""))</f>
        <v>9.8692399999999996</v>
      </c>
    </row>
    <row r="763" spans="1:32" ht="15" hidden="1">
      <c r="A763" s="139"/>
      <c r="B763" s="298"/>
      <c r="C763" s="216"/>
      <c r="D763" s="217"/>
      <c r="E763" s="391"/>
      <c r="F763" s="262"/>
      <c r="G763" s="272" t="e">
        <f t="shared" si="64"/>
        <v>#N/A</v>
      </c>
      <c r="H763" s="141" t="e">
        <f>IF(G763="","",$H$10)</f>
        <v>#N/A</v>
      </c>
      <c r="I763" s="409" t="s">
        <v>47</v>
      </c>
      <c r="J763" s="467"/>
      <c r="L763" s="86" t="e">
        <f>VLOOKUP(B763,$B$11:B762,1,FALSE)</f>
        <v>#N/A</v>
      </c>
      <c r="M763" s="256" t="e">
        <f>G763*(1-FORM!$AE$28/100)</f>
        <v>#N/A</v>
      </c>
      <c r="AA763" s="463" t="s">
        <v>3542</v>
      </c>
      <c r="AB763" s="462" t="s">
        <v>3543</v>
      </c>
      <c r="AC763" s="462" t="s">
        <v>3544</v>
      </c>
      <c r="AD763" s="464">
        <v>1.66587</v>
      </c>
      <c r="AE763" s="465">
        <v>6.8320000000000006E-2</v>
      </c>
      <c r="AF763" s="86">
        <f>IF(verze!$E$1="CZK",AD763,IF(verze!$E$1="SK",AE763,""))</f>
        <v>6.8320000000000006E-2</v>
      </c>
    </row>
    <row r="764" spans="1:32" ht="15" hidden="1">
      <c r="A764" s="139"/>
      <c r="B764" s="298"/>
      <c r="C764" s="216"/>
      <c r="D764" s="217"/>
      <c r="E764" s="391"/>
      <c r="F764" s="262"/>
      <c r="G764" s="272" t="e">
        <f t="shared" si="64"/>
        <v>#N/A</v>
      </c>
      <c r="H764" s="141" t="e">
        <f>IF(G764="","",$H$10)</f>
        <v>#N/A</v>
      </c>
      <c r="I764" s="409" t="s">
        <v>47</v>
      </c>
      <c r="J764" s="467"/>
      <c r="L764" s="86" t="e">
        <f>VLOOKUP(B764,$B$11:B763,1,FALSE)</f>
        <v>#N/A</v>
      </c>
      <c r="M764" s="256" t="e">
        <f>G764*(1-FORM!$AE$28/100)</f>
        <v>#N/A</v>
      </c>
      <c r="AA764" s="463" t="s">
        <v>3545</v>
      </c>
      <c r="AB764" s="462" t="s">
        <v>3546</v>
      </c>
      <c r="AC764" s="462" t="s">
        <v>3547</v>
      </c>
      <c r="AD764" s="464">
        <v>1.6821699999999999</v>
      </c>
      <c r="AE764" s="465">
        <v>6.7290000000000003E-2</v>
      </c>
      <c r="AF764" s="86">
        <f>IF(verze!$E$1="CZK",AD764,IF(verze!$E$1="SK",AE764,""))</f>
        <v>6.7290000000000003E-2</v>
      </c>
    </row>
    <row r="765" spans="1:32" ht="15" hidden="1">
      <c r="A765" s="139"/>
      <c r="B765" s="298"/>
      <c r="C765" s="216"/>
      <c r="D765" s="217"/>
      <c r="E765" s="391"/>
      <c r="F765" s="262"/>
      <c r="G765" s="272" t="e">
        <f t="shared" si="64"/>
        <v>#N/A</v>
      </c>
      <c r="H765" s="141" t="e">
        <f>IF(G765="","",$H$10)</f>
        <v>#N/A</v>
      </c>
      <c r="I765" s="409" t="s">
        <v>47</v>
      </c>
      <c r="J765" s="467"/>
      <c r="L765" s="86" t="e">
        <f>VLOOKUP(B765,$B$11:B764,1,FALSE)</f>
        <v>#N/A</v>
      </c>
      <c r="M765" s="256" t="e">
        <f>G765*(1-FORM!$AE$28/100)</f>
        <v>#N/A</v>
      </c>
      <c r="AA765" s="463" t="s">
        <v>3548</v>
      </c>
      <c r="AB765" s="462" t="s">
        <v>3549</v>
      </c>
      <c r="AC765" s="462" t="s">
        <v>3550</v>
      </c>
      <c r="AD765" s="464">
        <v>7.2818100000000001</v>
      </c>
      <c r="AE765" s="465">
        <v>0.29864000000000002</v>
      </c>
      <c r="AF765" s="86">
        <f>IF(verze!$E$1="CZK",AD765,IF(verze!$E$1="SK",AE765,""))</f>
        <v>0.29864000000000002</v>
      </c>
    </row>
    <row r="766" spans="1:32" ht="15" hidden="1">
      <c r="A766" s="139"/>
      <c r="B766" s="298"/>
      <c r="C766" s="216"/>
      <c r="D766" s="217"/>
      <c r="E766" s="391"/>
      <c r="F766" s="262"/>
      <c r="G766" s="272" t="e">
        <f t="shared" si="64"/>
        <v>#N/A</v>
      </c>
      <c r="H766" s="141" t="e">
        <f t="shared" ref="H766:H796" si="65">IF(G766="","",$H$10)</f>
        <v>#N/A</v>
      </c>
      <c r="I766" s="409" t="s">
        <v>47</v>
      </c>
      <c r="J766" s="467"/>
      <c r="L766" s="86" t="e">
        <f>VLOOKUP(B766,$B$11:B765,1,FALSE)</f>
        <v>#N/A</v>
      </c>
      <c r="M766" s="256" t="e">
        <f>G766*(1-FORM!$AE$28/100)</f>
        <v>#N/A</v>
      </c>
      <c r="AA766" s="463" t="s">
        <v>3551</v>
      </c>
      <c r="AB766" s="462" t="s">
        <v>3552</v>
      </c>
      <c r="AC766" s="462" t="s">
        <v>3553</v>
      </c>
      <c r="AD766" s="464">
        <v>664.01694999999995</v>
      </c>
      <c r="AE766" s="465">
        <v>26.564</v>
      </c>
      <c r="AF766" s="86">
        <f>IF(verze!$E$1="CZK",AD766,IF(verze!$E$1="SK",AE766,""))</f>
        <v>26.564</v>
      </c>
    </row>
    <row r="767" spans="1:32" ht="15" hidden="1">
      <c r="A767" s="139"/>
      <c r="B767" s="298"/>
      <c r="C767" s="216"/>
      <c r="D767" s="217"/>
      <c r="E767" s="391"/>
      <c r="F767" s="262"/>
      <c r="G767" s="272" t="e">
        <f t="shared" si="64"/>
        <v>#N/A</v>
      </c>
      <c r="H767" s="141" t="e">
        <f t="shared" si="65"/>
        <v>#N/A</v>
      </c>
      <c r="I767" s="409" t="s">
        <v>47</v>
      </c>
      <c r="J767" s="467"/>
      <c r="L767" s="86" t="e">
        <f>VLOOKUP(B767,$B$11:B766,1,FALSE)</f>
        <v>#N/A</v>
      </c>
      <c r="M767" s="256" t="e">
        <f>G767*(1-FORM!$AE$28/100)</f>
        <v>#N/A</v>
      </c>
      <c r="AA767" s="463" t="s">
        <v>3554</v>
      </c>
      <c r="AB767" s="462" t="s">
        <v>3555</v>
      </c>
      <c r="AC767" s="462" t="s">
        <v>3556</v>
      </c>
      <c r="AD767" s="464">
        <v>664.01694999999995</v>
      </c>
      <c r="AE767" s="465">
        <v>26.564</v>
      </c>
      <c r="AF767" s="86">
        <f>IF(verze!$E$1="CZK",AD767,IF(verze!$E$1="SK",AE767,""))</f>
        <v>26.564</v>
      </c>
    </row>
    <row r="768" spans="1:32" ht="15" hidden="1">
      <c r="A768" s="139"/>
      <c r="B768" s="298"/>
      <c r="C768" s="216"/>
      <c r="D768" s="217"/>
      <c r="E768" s="391"/>
      <c r="F768" s="262"/>
      <c r="G768" s="272" t="e">
        <f t="shared" si="64"/>
        <v>#N/A</v>
      </c>
      <c r="H768" s="141" t="e">
        <f t="shared" si="65"/>
        <v>#N/A</v>
      </c>
      <c r="I768" s="409" t="s">
        <v>47</v>
      </c>
      <c r="J768" s="467"/>
      <c r="L768" s="86" t="e">
        <f>VLOOKUP(B768,$B$11:B767,1,FALSE)</f>
        <v>#N/A</v>
      </c>
      <c r="M768" s="256" t="e">
        <f>G768*(1-FORM!$AE$28/100)</f>
        <v>#N/A</v>
      </c>
      <c r="AA768" s="463" t="s">
        <v>3557</v>
      </c>
      <c r="AB768" s="462" t="s">
        <v>3558</v>
      </c>
      <c r="AC768" s="462" t="s">
        <v>3559</v>
      </c>
      <c r="AD768" s="464">
        <v>720.85973000000001</v>
      </c>
      <c r="AE768" s="465">
        <v>28.837969999999999</v>
      </c>
      <c r="AF768" s="86">
        <f>IF(verze!$E$1="CZK",AD768,IF(verze!$E$1="SK",AE768,""))</f>
        <v>28.837969999999999</v>
      </c>
    </row>
    <row r="769" spans="1:32" ht="15" hidden="1">
      <c r="A769" s="139"/>
      <c r="B769" s="298"/>
      <c r="C769" s="216"/>
      <c r="D769" s="217"/>
      <c r="E769" s="391"/>
      <c r="F769" s="262"/>
      <c r="G769" s="272" t="e">
        <f t="shared" si="64"/>
        <v>#N/A</v>
      </c>
      <c r="H769" s="141" t="e">
        <f t="shared" si="65"/>
        <v>#N/A</v>
      </c>
      <c r="I769" s="409" t="s">
        <v>47</v>
      </c>
      <c r="J769" s="467"/>
      <c r="L769" s="86" t="e">
        <f>VLOOKUP(B769,$B$11:B768,1,FALSE)</f>
        <v>#N/A</v>
      </c>
      <c r="M769" s="256" t="e">
        <f>G769*(1-FORM!$AE$28/100)</f>
        <v>#N/A</v>
      </c>
      <c r="AA769" s="463" t="s">
        <v>3560</v>
      </c>
      <c r="AB769" s="462" t="s">
        <v>3561</v>
      </c>
      <c r="AC769" s="462" t="s">
        <v>3562</v>
      </c>
      <c r="AD769" s="464">
        <v>720.85973000000001</v>
      </c>
      <c r="AE769" s="465">
        <v>28.837969999999999</v>
      </c>
      <c r="AF769" s="86">
        <f>IF(verze!$E$1="CZK",AD769,IF(verze!$E$1="SK",AE769,""))</f>
        <v>28.837969999999999</v>
      </c>
    </row>
    <row r="770" spans="1:32" ht="15" hidden="1">
      <c r="A770" s="139"/>
      <c r="B770" s="298"/>
      <c r="C770" s="216"/>
      <c r="D770" s="217"/>
      <c r="E770" s="391"/>
      <c r="F770" s="262"/>
      <c r="G770" s="272" t="e">
        <f t="shared" si="64"/>
        <v>#N/A</v>
      </c>
      <c r="H770" s="141" t="e">
        <f t="shared" si="65"/>
        <v>#N/A</v>
      </c>
      <c r="I770" s="409" t="s">
        <v>47</v>
      </c>
      <c r="J770" s="467"/>
      <c r="L770" s="86" t="e">
        <f>VLOOKUP(B770,$B$11:B769,1,FALSE)</f>
        <v>#N/A</v>
      </c>
      <c r="M770" s="256" t="e">
        <f>G770*(1-FORM!$AE$28/100)</f>
        <v>#N/A</v>
      </c>
      <c r="AA770" s="463" t="s">
        <v>3563</v>
      </c>
      <c r="AB770" s="462" t="s">
        <v>3564</v>
      </c>
      <c r="AC770" s="462" t="s">
        <v>3565</v>
      </c>
      <c r="AD770" s="464">
        <v>804.13553000000002</v>
      </c>
      <c r="AE770" s="465">
        <v>32.169440000000002</v>
      </c>
      <c r="AF770" s="86">
        <f>IF(verze!$E$1="CZK",AD770,IF(verze!$E$1="SK",AE770,""))</f>
        <v>32.169440000000002</v>
      </c>
    </row>
    <row r="771" spans="1:32" ht="15" hidden="1">
      <c r="A771" s="139"/>
      <c r="B771" s="298"/>
      <c r="C771" s="216"/>
      <c r="D771" s="217"/>
      <c r="E771" s="391"/>
      <c r="F771" s="262"/>
      <c r="G771" s="272" t="e">
        <f t="shared" si="64"/>
        <v>#N/A</v>
      </c>
      <c r="H771" s="141" t="e">
        <f t="shared" si="65"/>
        <v>#N/A</v>
      </c>
      <c r="I771" s="409" t="s">
        <v>47</v>
      </c>
      <c r="J771" s="467"/>
      <c r="L771" s="86" t="e">
        <f>VLOOKUP(B771,$B$11:B770,1,FALSE)</f>
        <v>#N/A</v>
      </c>
      <c r="M771" s="256" t="e">
        <f>G771*(1-FORM!$AE$28/100)</f>
        <v>#N/A</v>
      </c>
      <c r="AA771" s="463" t="s">
        <v>3566</v>
      </c>
      <c r="AB771" s="462" t="s">
        <v>3567</v>
      </c>
      <c r="AC771" s="462" t="s">
        <v>3568</v>
      </c>
      <c r="AD771" s="464">
        <v>1384.8766700000001</v>
      </c>
      <c r="AE771" s="465">
        <v>55.401960000000003</v>
      </c>
      <c r="AF771" s="86">
        <f>IF(verze!$E$1="CZK",AD771,IF(verze!$E$1="SK",AE771,""))</f>
        <v>55.401960000000003</v>
      </c>
    </row>
    <row r="772" spans="1:32" ht="15" hidden="1">
      <c r="A772" s="139"/>
      <c r="B772" s="298"/>
      <c r="C772" s="216"/>
      <c r="D772" s="217"/>
      <c r="E772" s="391"/>
      <c r="F772" s="262"/>
      <c r="G772" s="272" t="e">
        <f t="shared" si="64"/>
        <v>#N/A</v>
      </c>
      <c r="H772" s="141" t="e">
        <f t="shared" si="65"/>
        <v>#N/A</v>
      </c>
      <c r="I772" s="409" t="s">
        <v>47</v>
      </c>
      <c r="J772" s="467"/>
      <c r="L772" s="86" t="e">
        <f>VLOOKUP(B772,$B$11:B771,1,FALSE)</f>
        <v>#N/A</v>
      </c>
      <c r="M772" s="256" t="e">
        <f>G772*(1-FORM!$AE$28/100)</f>
        <v>#N/A</v>
      </c>
      <c r="AA772" s="463" t="s">
        <v>3569</v>
      </c>
      <c r="AB772" s="462" t="s">
        <v>3570</v>
      </c>
      <c r="AC772" s="462" t="s">
        <v>3571</v>
      </c>
      <c r="AD772" s="464">
        <v>637.06206999999995</v>
      </c>
      <c r="AE772" s="465">
        <v>25.48565</v>
      </c>
      <c r="AF772" s="86">
        <f>IF(verze!$E$1="CZK",AD772,IF(verze!$E$1="SK",AE772,""))</f>
        <v>25.48565</v>
      </c>
    </row>
    <row r="773" spans="1:32" ht="15" hidden="1">
      <c r="A773" s="139"/>
      <c r="B773" s="298"/>
      <c r="C773" s="216"/>
      <c r="D773" s="217"/>
      <c r="E773" s="391"/>
      <c r="F773" s="262"/>
      <c r="G773" s="272" t="e">
        <f t="shared" si="64"/>
        <v>#N/A</v>
      </c>
      <c r="H773" s="141" t="e">
        <f t="shared" si="65"/>
        <v>#N/A</v>
      </c>
      <c r="I773" s="409" t="s">
        <v>47</v>
      </c>
      <c r="J773" s="467"/>
      <c r="L773" s="86" t="e">
        <f>VLOOKUP(B773,$B$11:B772,1,FALSE)</f>
        <v>#N/A</v>
      </c>
      <c r="M773" s="256" t="e">
        <f>G773*(1-FORM!$AE$28/100)</f>
        <v>#N/A</v>
      </c>
      <c r="AA773" s="463" t="s">
        <v>3572</v>
      </c>
      <c r="AB773" s="462" t="s">
        <v>3573</v>
      </c>
      <c r="AC773" s="462" t="s">
        <v>3574</v>
      </c>
      <c r="AD773" s="464">
        <v>637.06206999999995</v>
      </c>
      <c r="AE773" s="465">
        <v>25.48565</v>
      </c>
      <c r="AF773" s="86">
        <f>IF(verze!$E$1="CZK",AD773,IF(verze!$E$1="SK",AE773,""))</f>
        <v>25.48565</v>
      </c>
    </row>
    <row r="774" spans="1:32" ht="15" hidden="1">
      <c r="A774" s="139"/>
      <c r="B774" s="298"/>
      <c r="C774" s="216"/>
      <c r="D774" s="217"/>
      <c r="E774" s="391"/>
      <c r="F774" s="262"/>
      <c r="G774" s="272" t="e">
        <f t="shared" si="64"/>
        <v>#N/A</v>
      </c>
      <c r="H774" s="141" t="e">
        <f t="shared" si="65"/>
        <v>#N/A</v>
      </c>
      <c r="I774" s="409" t="s">
        <v>47</v>
      </c>
      <c r="J774" s="467"/>
      <c r="L774" s="86" t="e">
        <f>VLOOKUP(B774,$B$11:B773,1,FALSE)</f>
        <v>#N/A</v>
      </c>
      <c r="M774" s="256" t="e">
        <f>G774*(1-FORM!$AE$28/100)</f>
        <v>#N/A</v>
      </c>
      <c r="AA774" s="463" t="s">
        <v>3575</v>
      </c>
      <c r="AB774" s="462" t="s">
        <v>3576</v>
      </c>
      <c r="AC774" s="462" t="s">
        <v>3577</v>
      </c>
      <c r="AD774" s="464">
        <v>720.85973000000001</v>
      </c>
      <c r="AE774" s="465">
        <v>28.837969999999999</v>
      </c>
      <c r="AF774" s="86">
        <f>IF(verze!$E$1="CZK",AD774,IF(verze!$E$1="SK",AE774,""))</f>
        <v>28.837969999999999</v>
      </c>
    </row>
    <row r="775" spans="1:32" ht="15" hidden="1">
      <c r="A775" s="139"/>
      <c r="B775" s="298"/>
      <c r="C775" s="216"/>
      <c r="D775" s="217"/>
      <c r="E775" s="391"/>
      <c r="F775" s="262"/>
      <c r="G775" s="272" t="e">
        <f t="shared" si="64"/>
        <v>#N/A</v>
      </c>
      <c r="H775" s="141" t="e">
        <f t="shared" si="65"/>
        <v>#N/A</v>
      </c>
      <c r="I775" s="409" t="s">
        <v>47</v>
      </c>
      <c r="J775" s="467"/>
      <c r="L775" s="86" t="e">
        <f>VLOOKUP(B775,$B$11:B774,1,FALSE)</f>
        <v>#N/A</v>
      </c>
      <c r="M775" s="256" t="e">
        <f>G775*(1-FORM!$AE$28/100)</f>
        <v>#N/A</v>
      </c>
      <c r="AA775" s="463" t="s">
        <v>3578</v>
      </c>
      <c r="AB775" s="462" t="s">
        <v>3579</v>
      </c>
      <c r="AC775" s="462" t="s">
        <v>3580</v>
      </c>
      <c r="AD775" s="464">
        <v>720.85973000000001</v>
      </c>
      <c r="AE775" s="465">
        <v>28.837969999999999</v>
      </c>
      <c r="AF775" s="86">
        <f>IF(verze!$E$1="CZK",AD775,IF(verze!$E$1="SK",AE775,""))</f>
        <v>28.837969999999999</v>
      </c>
    </row>
    <row r="776" spans="1:32" ht="15" hidden="1">
      <c r="A776" s="139"/>
      <c r="B776" s="298"/>
      <c r="C776" s="216"/>
      <c r="D776" s="217"/>
      <c r="E776" s="391"/>
      <c r="F776" s="262"/>
      <c r="G776" s="272" t="e">
        <f t="shared" si="64"/>
        <v>#N/A</v>
      </c>
      <c r="H776" s="141" t="e">
        <f t="shared" si="65"/>
        <v>#N/A</v>
      </c>
      <c r="I776" s="409" t="s">
        <v>47</v>
      </c>
      <c r="J776" s="467"/>
      <c r="L776" s="86" t="e">
        <f>VLOOKUP(B776,$B$11:B775,1,FALSE)</f>
        <v>#N/A</v>
      </c>
      <c r="M776" s="256" t="e">
        <f>G776*(1-FORM!$AE$28/100)</f>
        <v>#N/A</v>
      </c>
      <c r="AA776" s="463" t="s">
        <v>3581</v>
      </c>
      <c r="AB776" s="462" t="s">
        <v>3582</v>
      </c>
      <c r="AC776" s="462" t="s">
        <v>3583</v>
      </c>
      <c r="AD776" s="464">
        <v>31.668939999999999</v>
      </c>
      <c r="AE776" s="465">
        <v>1.52338</v>
      </c>
      <c r="AF776" s="86">
        <f>IF(verze!$E$1="CZK",AD776,IF(verze!$E$1="SK",AE776,""))</f>
        <v>1.52338</v>
      </c>
    </row>
    <row r="777" spans="1:32" ht="15" hidden="1">
      <c r="A777" s="139"/>
      <c r="B777" s="298"/>
      <c r="C777" s="216"/>
      <c r="D777" s="217"/>
      <c r="E777" s="391"/>
      <c r="F777" s="262"/>
      <c r="G777" s="272" t="e">
        <f t="shared" si="64"/>
        <v>#N/A</v>
      </c>
      <c r="H777" s="141" t="e">
        <f t="shared" si="65"/>
        <v>#N/A</v>
      </c>
      <c r="I777" s="409" t="s">
        <v>47</v>
      </c>
      <c r="J777" s="467"/>
      <c r="L777" s="86" t="e">
        <f>VLOOKUP(B777,$B$11:B776,1,FALSE)</f>
        <v>#N/A</v>
      </c>
      <c r="M777" s="256" t="e">
        <f>G777*(1-FORM!$AE$28/100)</f>
        <v>#N/A</v>
      </c>
      <c r="AA777" s="463" t="s">
        <v>3584</v>
      </c>
      <c r="AB777" s="462" t="s">
        <v>3585</v>
      </c>
      <c r="AC777" s="462" t="s">
        <v>3586</v>
      </c>
      <c r="AD777" s="464">
        <v>475.55022000000002</v>
      </c>
      <c r="AE777" s="465">
        <v>19.024380000000001</v>
      </c>
      <c r="AF777" s="86">
        <f>IF(verze!$E$1="CZK",AD777,IF(verze!$E$1="SK",AE777,""))</f>
        <v>19.024380000000001</v>
      </c>
    </row>
    <row r="778" spans="1:32" ht="15" hidden="1">
      <c r="A778" s="139"/>
      <c r="B778" s="298"/>
      <c r="C778" s="216"/>
      <c r="D778" s="217"/>
      <c r="E778" s="391"/>
      <c r="F778" s="262"/>
      <c r="G778" s="272" t="e">
        <f t="shared" si="64"/>
        <v>#N/A</v>
      </c>
      <c r="H778" s="141" t="e">
        <f t="shared" si="65"/>
        <v>#N/A</v>
      </c>
      <c r="I778" s="409" t="s">
        <v>47</v>
      </c>
      <c r="J778" s="467"/>
      <c r="L778" s="86" t="e">
        <f>VLOOKUP(B778,$B$11:B777,1,FALSE)</f>
        <v>#N/A</v>
      </c>
      <c r="M778" s="256" t="e">
        <f>G778*(1-FORM!$AE$28/100)</f>
        <v>#N/A</v>
      </c>
      <c r="AA778" s="463" t="s">
        <v>3587</v>
      </c>
      <c r="AB778" s="462" t="s">
        <v>3588</v>
      </c>
      <c r="AC778" s="462" t="s">
        <v>3589</v>
      </c>
      <c r="AD778" s="464">
        <v>14.942589999999999</v>
      </c>
      <c r="AE778" s="465">
        <v>0.61285999999999996</v>
      </c>
      <c r="AF778" s="86">
        <f>IF(verze!$E$1="CZK",AD778,IF(verze!$E$1="SK",AE778,""))</f>
        <v>0.61285999999999996</v>
      </c>
    </row>
    <row r="779" spans="1:32" ht="15" hidden="1">
      <c r="A779" s="139"/>
      <c r="B779" s="298"/>
      <c r="C779" s="216"/>
      <c r="D779" s="217"/>
      <c r="E779" s="391"/>
      <c r="F779" s="262"/>
      <c r="G779" s="272" t="e">
        <f t="shared" si="64"/>
        <v>#N/A</v>
      </c>
      <c r="H779" s="141" t="e">
        <f t="shared" si="65"/>
        <v>#N/A</v>
      </c>
      <c r="I779" s="409" t="s">
        <v>47</v>
      </c>
      <c r="J779" s="467"/>
      <c r="L779" s="86" t="e">
        <f>VLOOKUP(B779,$B$11:B778,1,FALSE)</f>
        <v>#N/A</v>
      </c>
      <c r="M779" s="256" t="e">
        <f>G779*(1-FORM!$AE$28/100)</f>
        <v>#N/A</v>
      </c>
      <c r="AA779" s="463" t="s">
        <v>3590</v>
      </c>
      <c r="AB779" s="462" t="s">
        <v>3591</v>
      </c>
      <c r="AC779" s="462" t="s">
        <v>3592</v>
      </c>
      <c r="AD779" s="464">
        <v>2.27732</v>
      </c>
      <c r="AE779" s="465">
        <v>9.3399999999999997E-2</v>
      </c>
      <c r="AF779" s="86">
        <f>IF(verze!$E$1="CZK",AD779,IF(verze!$E$1="SK",AE779,""))</f>
        <v>9.3399999999999997E-2</v>
      </c>
    </row>
    <row r="780" spans="1:32" ht="15" hidden="1">
      <c r="A780" s="139"/>
      <c r="B780" s="298"/>
      <c r="C780" s="216"/>
      <c r="D780" s="217"/>
      <c r="E780" s="391"/>
      <c r="F780" s="262"/>
      <c r="G780" s="272" t="e">
        <f t="shared" si="64"/>
        <v>#N/A</v>
      </c>
      <c r="H780" s="141" t="e">
        <f t="shared" si="65"/>
        <v>#N/A</v>
      </c>
      <c r="I780" s="409" t="s">
        <v>47</v>
      </c>
      <c r="J780" s="467"/>
      <c r="L780" s="86" t="e">
        <f>VLOOKUP(B780,$B$11:B779,1,FALSE)</f>
        <v>#N/A</v>
      </c>
      <c r="M780" s="256" t="e">
        <f>G780*(1-FORM!$AE$28/100)</f>
        <v>#N/A</v>
      </c>
      <c r="AA780" s="463" t="s">
        <v>3593</v>
      </c>
      <c r="AB780" s="462" t="s">
        <v>3594</v>
      </c>
      <c r="AC780" s="462" t="s">
        <v>3595</v>
      </c>
      <c r="AD780" s="464">
        <v>57.376249999999999</v>
      </c>
      <c r="AE780" s="465">
        <v>2.2953399999999999</v>
      </c>
      <c r="AF780" s="86">
        <f>IF(verze!$E$1="CZK",AD780,IF(verze!$E$1="SK",AE780,""))</f>
        <v>2.2953399999999999</v>
      </c>
    </row>
    <row r="781" spans="1:32" ht="15" hidden="1">
      <c r="A781" s="139"/>
      <c r="B781" s="298"/>
      <c r="C781" s="216"/>
      <c r="D781" s="217"/>
      <c r="E781" s="391"/>
      <c r="F781" s="262"/>
      <c r="G781" s="272" t="e">
        <f t="shared" ref="G781:G844" si="66">VLOOKUP(J781,AB:AF,5,0)</f>
        <v>#N/A</v>
      </c>
      <c r="H781" s="141" t="e">
        <f t="shared" si="65"/>
        <v>#N/A</v>
      </c>
      <c r="I781" s="409" t="s">
        <v>47</v>
      </c>
      <c r="J781" s="467"/>
      <c r="L781" s="86" t="e">
        <f>VLOOKUP(B781,$B$11:B780,1,FALSE)</f>
        <v>#N/A</v>
      </c>
      <c r="M781" s="256" t="e">
        <f>G781*(1-FORM!$AE$28/100)</f>
        <v>#N/A</v>
      </c>
      <c r="AA781" s="463" t="s">
        <v>3596</v>
      </c>
      <c r="AB781" s="462" t="s">
        <v>3597</v>
      </c>
      <c r="AC781" s="462" t="s">
        <v>3598</v>
      </c>
      <c r="AD781" s="464">
        <v>60.207329999999999</v>
      </c>
      <c r="AE781" s="465">
        <v>2.4085899999999998</v>
      </c>
      <c r="AF781" s="86">
        <f>IF(verze!$E$1="CZK",AD781,IF(verze!$E$1="SK",AE781,""))</f>
        <v>2.4085899999999998</v>
      </c>
    </row>
    <row r="782" spans="1:32" ht="15" hidden="1">
      <c r="A782" s="139"/>
      <c r="B782" s="298"/>
      <c r="C782" s="216"/>
      <c r="D782" s="217"/>
      <c r="E782" s="391"/>
      <c r="F782" s="262"/>
      <c r="G782" s="272" t="e">
        <f t="shared" si="66"/>
        <v>#N/A</v>
      </c>
      <c r="H782" s="141" t="e">
        <f t="shared" si="65"/>
        <v>#N/A</v>
      </c>
      <c r="I782" s="409" t="s">
        <v>47</v>
      </c>
      <c r="J782" s="467"/>
      <c r="L782" s="86" t="e">
        <f>VLOOKUP(B782,$B$11:B781,1,FALSE)</f>
        <v>#N/A</v>
      </c>
      <c r="M782" s="256" t="e">
        <f>G782*(1-FORM!$AE$28/100)</f>
        <v>#N/A</v>
      </c>
      <c r="AA782" s="463" t="s">
        <v>3599</v>
      </c>
      <c r="AB782" s="462" t="s">
        <v>3600</v>
      </c>
      <c r="AC782" s="462" t="s">
        <v>3601</v>
      </c>
      <c r="AD782" s="464">
        <v>13.67422</v>
      </c>
      <c r="AE782" s="465">
        <v>0.54703999999999997</v>
      </c>
      <c r="AF782" s="86">
        <f>IF(verze!$E$1="CZK",AD782,IF(verze!$E$1="SK",AE782,""))</f>
        <v>0.54703999999999997</v>
      </c>
    </row>
    <row r="783" spans="1:32" ht="15" hidden="1">
      <c r="A783" s="139"/>
      <c r="B783" s="298"/>
      <c r="C783" s="216"/>
      <c r="D783" s="217"/>
      <c r="E783" s="391"/>
      <c r="F783" s="262"/>
      <c r="G783" s="272" t="e">
        <f t="shared" si="66"/>
        <v>#N/A</v>
      </c>
      <c r="H783" s="141" t="e">
        <f t="shared" si="65"/>
        <v>#N/A</v>
      </c>
      <c r="I783" s="409" t="s">
        <v>47</v>
      </c>
      <c r="J783" s="467"/>
      <c r="L783" s="86" t="e">
        <f>VLOOKUP(B783,$B$11:B782,1,FALSE)</f>
        <v>#N/A</v>
      </c>
      <c r="M783" s="256" t="e">
        <f>G783*(1-FORM!$AE$28/100)</f>
        <v>#N/A</v>
      </c>
      <c r="AA783" s="463" t="s">
        <v>3602</v>
      </c>
      <c r="AB783" s="462" t="s">
        <v>3603</v>
      </c>
      <c r="AC783" s="462" t="s">
        <v>3604</v>
      </c>
      <c r="AD783" s="464">
        <v>78.001440000000002</v>
      </c>
      <c r="AE783" s="465">
        <v>3.7521499999999999</v>
      </c>
      <c r="AF783" s="86">
        <f>IF(verze!$E$1="CZK",AD783,IF(verze!$E$1="SK",AE783,""))</f>
        <v>3.7521499999999999</v>
      </c>
    </row>
    <row r="784" spans="1:32" ht="15" hidden="1">
      <c r="A784" s="139"/>
      <c r="B784" s="298"/>
      <c r="C784" s="216"/>
      <c r="D784" s="217"/>
      <c r="E784" s="391"/>
      <c r="F784" s="262"/>
      <c r="G784" s="272" t="e">
        <f t="shared" si="66"/>
        <v>#N/A</v>
      </c>
      <c r="H784" s="141" t="e">
        <f t="shared" si="65"/>
        <v>#N/A</v>
      </c>
      <c r="I784" s="409" t="s">
        <v>47</v>
      </c>
      <c r="J784" s="467"/>
      <c r="L784" s="86" t="e">
        <f>VLOOKUP(B784,$B$11:B783,1,FALSE)</f>
        <v>#N/A</v>
      </c>
      <c r="M784" s="256" t="e">
        <f>G784*(1-FORM!$AE$28/100)</f>
        <v>#N/A</v>
      </c>
      <c r="AA784" s="463" t="s">
        <v>3605</v>
      </c>
      <c r="AB784" s="462" t="s">
        <v>3606</v>
      </c>
      <c r="AC784" s="462" t="s">
        <v>3607</v>
      </c>
      <c r="AD784" s="464">
        <v>82.221609999999998</v>
      </c>
      <c r="AE784" s="465">
        <v>3.9551599999999998</v>
      </c>
      <c r="AF784" s="86">
        <f>IF(verze!$E$1="CZK",AD784,IF(verze!$E$1="SK",AE784,""))</f>
        <v>3.9551599999999998</v>
      </c>
    </row>
    <row r="785" spans="1:32" ht="15" hidden="1">
      <c r="A785" s="139"/>
      <c r="B785" s="298"/>
      <c r="C785" s="216"/>
      <c r="D785" s="217"/>
      <c r="E785" s="391"/>
      <c r="F785" s="262"/>
      <c r="G785" s="272" t="e">
        <f t="shared" si="66"/>
        <v>#N/A</v>
      </c>
      <c r="H785" s="141" t="e">
        <f>IF(G785="","",$H$10)</f>
        <v>#N/A</v>
      </c>
      <c r="I785" s="409" t="s">
        <v>47</v>
      </c>
      <c r="J785" s="467"/>
      <c r="L785" s="86" t="e">
        <f>VLOOKUP(B785,$B$11:B784,1,FALSE)</f>
        <v>#N/A</v>
      </c>
      <c r="M785" s="256" t="e">
        <f>G785*(1-FORM!$AE$28/100)</f>
        <v>#N/A</v>
      </c>
      <c r="AA785" s="463" t="s">
        <v>3608</v>
      </c>
      <c r="AB785" s="462" t="s">
        <v>3609</v>
      </c>
      <c r="AC785" s="462" t="s">
        <v>3610</v>
      </c>
      <c r="AD785" s="464">
        <v>84.330349999999996</v>
      </c>
      <c r="AE785" s="465">
        <v>4.05661</v>
      </c>
      <c r="AF785" s="86">
        <f>IF(verze!$E$1="CZK",AD785,IF(verze!$E$1="SK",AE785,""))</f>
        <v>4.05661</v>
      </c>
    </row>
    <row r="786" spans="1:32" ht="15" hidden="1">
      <c r="A786" s="139"/>
      <c r="B786" s="298"/>
      <c r="C786" s="216"/>
      <c r="D786" s="217"/>
      <c r="E786" s="391"/>
      <c r="F786" s="262"/>
      <c r="G786" s="272" t="e">
        <f t="shared" si="66"/>
        <v>#N/A</v>
      </c>
      <c r="H786" s="141" t="e">
        <f t="shared" si="65"/>
        <v>#N/A</v>
      </c>
      <c r="I786" s="409" t="s">
        <v>47</v>
      </c>
      <c r="J786" s="467"/>
      <c r="L786" s="86" t="e">
        <f>VLOOKUP(B786,$B$11:B785,1,FALSE)</f>
        <v>#N/A</v>
      </c>
      <c r="M786" s="256" t="e">
        <f>G786*(1-FORM!$AE$28/100)</f>
        <v>#N/A</v>
      </c>
      <c r="AA786" s="463" t="s">
        <v>3611</v>
      </c>
      <c r="AB786" s="462" t="s">
        <v>3612</v>
      </c>
      <c r="AC786" s="462" t="s">
        <v>3613</v>
      </c>
      <c r="AD786" s="464">
        <v>86.433920000000001</v>
      </c>
      <c r="AE786" s="465">
        <v>4.1577900000000003</v>
      </c>
      <c r="AF786" s="86">
        <f>IF(verze!$E$1="CZK",AD786,IF(verze!$E$1="SK",AE786,""))</f>
        <v>4.1577900000000003</v>
      </c>
    </row>
    <row r="787" spans="1:32" ht="15" hidden="1">
      <c r="A787" s="139"/>
      <c r="B787" s="298"/>
      <c r="C787" s="216"/>
      <c r="D787" s="217"/>
      <c r="E787" s="391"/>
      <c r="F787" s="262"/>
      <c r="G787" s="272" t="e">
        <f t="shared" si="66"/>
        <v>#N/A</v>
      </c>
      <c r="H787" s="141" t="e">
        <f t="shared" si="65"/>
        <v>#N/A</v>
      </c>
      <c r="I787" s="409" t="s">
        <v>47</v>
      </c>
      <c r="J787" s="467"/>
      <c r="L787" s="86" t="e">
        <f>VLOOKUP(B787,$B$11:B786,1,FALSE)</f>
        <v>#N/A</v>
      </c>
      <c r="M787" s="256" t="e">
        <f>G787*(1-FORM!$AE$28/100)</f>
        <v>#N/A</v>
      </c>
      <c r="AA787" s="463" t="s">
        <v>3614</v>
      </c>
      <c r="AB787" s="462" t="s">
        <v>3615</v>
      </c>
      <c r="AC787" s="462" t="s">
        <v>3616</v>
      </c>
      <c r="AD787" s="464">
        <v>86.433920000000001</v>
      </c>
      <c r="AE787" s="465">
        <v>4.1577900000000003</v>
      </c>
      <c r="AF787" s="86">
        <f>IF(verze!$E$1="CZK",AD787,IF(verze!$E$1="SK",AE787,""))</f>
        <v>4.1577900000000003</v>
      </c>
    </row>
    <row r="788" spans="1:32" ht="15" hidden="1">
      <c r="A788" s="139"/>
      <c r="B788" s="298"/>
      <c r="C788" s="216"/>
      <c r="D788" s="217"/>
      <c r="E788" s="391"/>
      <c r="F788" s="262"/>
      <c r="G788" s="272" t="e">
        <f t="shared" si="66"/>
        <v>#N/A</v>
      </c>
      <c r="H788" s="141" t="e">
        <f t="shared" si="65"/>
        <v>#N/A</v>
      </c>
      <c r="I788" s="409" t="s">
        <v>47</v>
      </c>
      <c r="J788" s="467"/>
      <c r="L788" s="86" t="e">
        <f>VLOOKUP(B788,$B$11:B787,1,FALSE)</f>
        <v>#N/A</v>
      </c>
      <c r="M788" s="256" t="e">
        <f>G788*(1-FORM!$AE$28/100)</f>
        <v>#N/A</v>
      </c>
      <c r="AA788" s="463" t="s">
        <v>3617</v>
      </c>
      <c r="AB788" s="462" t="s">
        <v>3618</v>
      </c>
      <c r="AC788" s="462" t="s">
        <v>3619</v>
      </c>
      <c r="AD788" s="464">
        <v>50.597659999999998</v>
      </c>
      <c r="AE788" s="465">
        <v>2.4339400000000002</v>
      </c>
      <c r="AF788" s="86">
        <f>IF(verze!$E$1="CZK",AD788,IF(verze!$E$1="SK",AE788,""))</f>
        <v>2.4339400000000002</v>
      </c>
    </row>
    <row r="789" spans="1:32" ht="15" hidden="1">
      <c r="A789" s="139"/>
      <c r="B789" s="298"/>
      <c r="C789" s="216"/>
      <c r="D789" s="217"/>
      <c r="E789" s="391"/>
      <c r="F789" s="262"/>
      <c r="G789" s="272" t="e">
        <f t="shared" si="66"/>
        <v>#N/A</v>
      </c>
      <c r="H789" s="141" t="e">
        <f t="shared" si="65"/>
        <v>#N/A</v>
      </c>
      <c r="I789" s="409" t="s">
        <v>47</v>
      </c>
      <c r="J789" s="467"/>
      <c r="L789" s="86" t="e">
        <f>VLOOKUP(B789,$B$11:B788,1,FALSE)</f>
        <v>#N/A</v>
      </c>
      <c r="M789" s="256" t="e">
        <f>G789*(1-FORM!$AE$28/100)</f>
        <v>#N/A</v>
      </c>
      <c r="AA789" s="463" t="s">
        <v>3620</v>
      </c>
      <c r="AB789" s="462" t="s">
        <v>3621</v>
      </c>
      <c r="AC789" s="462" t="s">
        <v>3622</v>
      </c>
      <c r="AD789" s="464">
        <v>42.304360000000003</v>
      </c>
      <c r="AE789" s="465">
        <v>2.03498</v>
      </c>
      <c r="AF789" s="86">
        <f>IF(verze!$E$1="CZK",AD789,IF(verze!$E$1="SK",AE789,""))</f>
        <v>2.03498</v>
      </c>
    </row>
    <row r="790" spans="1:32" ht="15" hidden="1">
      <c r="A790" s="139"/>
      <c r="B790" s="298"/>
      <c r="C790" s="216"/>
      <c r="D790" s="217"/>
      <c r="E790" s="391"/>
      <c r="F790" s="262"/>
      <c r="G790" s="272" t="e">
        <f t="shared" si="66"/>
        <v>#N/A</v>
      </c>
      <c r="H790" s="141" t="e">
        <f t="shared" si="65"/>
        <v>#N/A</v>
      </c>
      <c r="I790" s="409" t="s">
        <v>47</v>
      </c>
      <c r="J790" s="467"/>
      <c r="L790" s="86" t="e">
        <f>VLOOKUP(B790,$B$11:B789,1,FALSE)</f>
        <v>#N/A</v>
      </c>
      <c r="M790" s="256" t="e">
        <f>G790*(1-FORM!$AE$28/100)</f>
        <v>#N/A</v>
      </c>
      <c r="AA790" s="463" t="s">
        <v>3623</v>
      </c>
      <c r="AB790" s="462" t="s">
        <v>3624</v>
      </c>
      <c r="AC790" s="462" t="s">
        <v>3625</v>
      </c>
      <c r="AD790" s="464">
        <v>50.295409999999997</v>
      </c>
      <c r="AE790" s="465">
        <v>2.4193899999999999</v>
      </c>
      <c r="AF790" s="86">
        <f>IF(verze!$E$1="CZK",AD790,IF(verze!$E$1="SK",AE790,""))</f>
        <v>2.4193899999999999</v>
      </c>
    </row>
    <row r="791" spans="1:32" ht="15" hidden="1">
      <c r="A791" s="139"/>
      <c r="B791" s="298"/>
      <c r="C791" s="216"/>
      <c r="D791" s="217"/>
      <c r="E791" s="391"/>
      <c r="F791" s="262"/>
      <c r="G791" s="272" t="e">
        <f t="shared" si="66"/>
        <v>#N/A</v>
      </c>
      <c r="H791" s="141" t="e">
        <f t="shared" si="65"/>
        <v>#N/A</v>
      </c>
      <c r="I791" s="409" t="s">
        <v>47</v>
      </c>
      <c r="J791" s="467"/>
      <c r="L791" s="86" t="e">
        <f>VLOOKUP(B791,$B$11:B790,1,FALSE)</f>
        <v>#N/A</v>
      </c>
      <c r="M791" s="256" t="e">
        <f>G791*(1-FORM!$AE$28/100)</f>
        <v>#N/A</v>
      </c>
      <c r="AA791" s="463" t="s">
        <v>3626</v>
      </c>
      <c r="AB791" s="462" t="s">
        <v>3627</v>
      </c>
      <c r="AC791" s="462" t="s">
        <v>3628</v>
      </c>
      <c r="AD791" s="464">
        <v>209.25782000000001</v>
      </c>
      <c r="AE791" s="465">
        <v>10.06606</v>
      </c>
      <c r="AF791" s="86">
        <f>IF(verze!$E$1="CZK",AD791,IF(verze!$E$1="SK",AE791,""))</f>
        <v>10.06606</v>
      </c>
    </row>
    <row r="792" spans="1:32" ht="15" hidden="1">
      <c r="A792" s="139"/>
      <c r="B792" s="298"/>
      <c r="C792" s="216"/>
      <c r="D792" s="217"/>
      <c r="E792" s="391"/>
      <c r="F792" s="262"/>
      <c r="G792" s="272" t="e">
        <f t="shared" si="66"/>
        <v>#N/A</v>
      </c>
      <c r="H792" s="141" t="e">
        <f t="shared" si="65"/>
        <v>#N/A</v>
      </c>
      <c r="I792" s="409" t="s">
        <v>47</v>
      </c>
      <c r="J792" s="467"/>
      <c r="L792" s="86" t="e">
        <f>VLOOKUP(B792,$B$11:B791,1,FALSE)</f>
        <v>#N/A</v>
      </c>
      <c r="M792" s="256" t="e">
        <f>G792*(1-FORM!$AE$28/100)</f>
        <v>#N/A</v>
      </c>
      <c r="AA792" s="463" t="s">
        <v>3629</v>
      </c>
      <c r="AB792" s="462" t="s">
        <v>3630</v>
      </c>
      <c r="AC792" s="462" t="s">
        <v>3631</v>
      </c>
      <c r="AD792" s="464">
        <v>1513.1152400000001</v>
      </c>
      <c r="AE792" s="465">
        <v>60.532159999999998</v>
      </c>
      <c r="AF792" s="86">
        <f>IF(verze!$E$1="CZK",AD792,IF(verze!$E$1="SK",AE792,""))</f>
        <v>60.532159999999998</v>
      </c>
    </row>
    <row r="793" spans="1:32" ht="15" hidden="1">
      <c r="A793" s="139"/>
      <c r="B793" s="298"/>
      <c r="C793" s="216"/>
      <c r="D793" s="217"/>
      <c r="E793" s="391"/>
      <c r="F793" s="262"/>
      <c r="G793" s="272" t="e">
        <f t="shared" si="66"/>
        <v>#N/A</v>
      </c>
      <c r="H793" s="141" t="e">
        <f t="shared" si="65"/>
        <v>#N/A</v>
      </c>
      <c r="I793" s="409" t="s">
        <v>47</v>
      </c>
      <c r="J793" s="467"/>
      <c r="L793" s="86" t="e">
        <f>VLOOKUP(B793,$B$11:B792,1,FALSE)</f>
        <v>#N/A</v>
      </c>
      <c r="M793" s="256" t="e">
        <f>G793*(1-FORM!$AE$28/100)</f>
        <v>#N/A</v>
      </c>
      <c r="AA793" s="463" t="s">
        <v>3632</v>
      </c>
      <c r="AB793" s="462" t="s">
        <v>3633</v>
      </c>
      <c r="AC793" s="462" t="s">
        <v>3634</v>
      </c>
      <c r="AD793" s="464">
        <v>2659.3493400000002</v>
      </c>
      <c r="AE793" s="465">
        <v>106.38721</v>
      </c>
      <c r="AF793" s="86">
        <f>IF(verze!$E$1="CZK",AD793,IF(verze!$E$1="SK",AE793,""))</f>
        <v>106.38721</v>
      </c>
    </row>
    <row r="794" spans="1:32" ht="15" hidden="1">
      <c r="A794" s="139"/>
      <c r="B794" s="298"/>
      <c r="C794" s="216"/>
      <c r="D794" s="217"/>
      <c r="E794" s="391"/>
      <c r="F794" s="262"/>
      <c r="G794" s="272" t="e">
        <f t="shared" si="66"/>
        <v>#N/A</v>
      </c>
      <c r="H794" s="141" t="e">
        <f t="shared" si="65"/>
        <v>#N/A</v>
      </c>
      <c r="I794" s="409" t="s">
        <v>47</v>
      </c>
      <c r="J794" s="467"/>
      <c r="L794" s="86" t="e">
        <f>VLOOKUP(B794,$B$11:B793,1,FALSE)</f>
        <v>#N/A</v>
      </c>
      <c r="M794" s="256" t="e">
        <f>G794*(1-FORM!$AE$28/100)</f>
        <v>#N/A</v>
      </c>
      <c r="AA794" s="463" t="s">
        <v>3635</v>
      </c>
      <c r="AB794" s="462" t="s">
        <v>3636</v>
      </c>
      <c r="AC794" s="462" t="s">
        <v>3637</v>
      </c>
      <c r="AD794" s="464">
        <v>3047.7378699999999</v>
      </c>
      <c r="AE794" s="465">
        <v>121.9247</v>
      </c>
      <c r="AF794" s="86">
        <f>IF(verze!$E$1="CZK",AD794,IF(verze!$E$1="SK",AE794,""))</f>
        <v>121.9247</v>
      </c>
    </row>
    <row r="795" spans="1:32" ht="15" hidden="1">
      <c r="B795" s="298"/>
      <c r="C795" s="216"/>
      <c r="D795" s="217"/>
      <c r="E795" s="391"/>
      <c r="F795" s="262"/>
      <c r="G795" s="272" t="e">
        <f t="shared" si="66"/>
        <v>#N/A</v>
      </c>
      <c r="H795" s="141" t="e">
        <f t="shared" si="65"/>
        <v>#N/A</v>
      </c>
      <c r="I795" s="409" t="s">
        <v>47</v>
      </c>
      <c r="J795" s="467"/>
      <c r="L795" s="86" t="e">
        <f>VLOOKUP(B795,$B$11:B794,1,FALSE)</f>
        <v>#N/A</v>
      </c>
      <c r="M795" s="256" t="e">
        <f>G795*(1-FORM!$AE$28/100)</f>
        <v>#N/A</v>
      </c>
      <c r="AA795" s="463" t="s">
        <v>3638</v>
      </c>
      <c r="AB795" s="462" t="s">
        <v>3639</v>
      </c>
      <c r="AC795" s="462" t="s">
        <v>3640</v>
      </c>
      <c r="AD795" s="464">
        <v>347.68990000000002</v>
      </c>
      <c r="AE795" s="465">
        <v>13.909330000000001</v>
      </c>
      <c r="AF795" s="86">
        <f>IF(verze!$E$1="CZK",AD795,IF(verze!$E$1="SK",AE795,""))</f>
        <v>13.909330000000001</v>
      </c>
    </row>
    <row r="796" spans="1:32" ht="15" hidden="1">
      <c r="B796" s="298"/>
      <c r="C796" s="216"/>
      <c r="D796" s="217"/>
      <c r="E796" s="391"/>
      <c r="F796" s="262"/>
      <c r="G796" s="272" t="e">
        <f t="shared" si="66"/>
        <v>#N/A</v>
      </c>
      <c r="H796" s="141" t="e">
        <f t="shared" si="65"/>
        <v>#N/A</v>
      </c>
      <c r="I796" s="409" t="s">
        <v>47</v>
      </c>
      <c r="J796" s="467"/>
      <c r="L796" s="86" t="e">
        <f>VLOOKUP(B796,$B$11:B795,1,FALSE)</f>
        <v>#N/A</v>
      </c>
      <c r="M796" s="256" t="e">
        <f>G796*(1-FORM!$AE$28/100)</f>
        <v>#N/A</v>
      </c>
      <c r="AA796" s="463" t="s">
        <v>3641</v>
      </c>
      <c r="AB796" s="462" t="s">
        <v>3642</v>
      </c>
      <c r="AC796" s="462" t="s">
        <v>3643</v>
      </c>
      <c r="AD796" s="464">
        <v>0</v>
      </c>
      <c r="AE796" s="465">
        <v>0</v>
      </c>
      <c r="AF796" s="86">
        <f>IF(verze!$E$1="CZK",AD796,IF(verze!$E$1="SK",AE796,""))</f>
        <v>0</v>
      </c>
    </row>
    <row r="797" spans="1:32" ht="15" hidden="1">
      <c r="B797" s="298"/>
      <c r="C797" s="216"/>
      <c r="D797" s="217"/>
      <c r="E797" s="391"/>
      <c r="F797" s="262"/>
      <c r="G797" s="272" t="e">
        <f t="shared" si="66"/>
        <v>#N/A</v>
      </c>
      <c r="H797" s="141" t="e">
        <f t="shared" ref="H797:H860" si="67">IF(G797="","",$H$10)</f>
        <v>#N/A</v>
      </c>
      <c r="I797" s="409" t="s">
        <v>47</v>
      </c>
      <c r="J797" s="467"/>
      <c r="L797" s="86" t="e">
        <f>VLOOKUP(B797,$B$11:B796,1,FALSE)</f>
        <v>#N/A</v>
      </c>
      <c r="M797" s="256" t="e">
        <f>G797*(1-FORM!$AE$28/100)</f>
        <v>#N/A</v>
      </c>
      <c r="AA797" s="463" t="s">
        <v>3644</v>
      </c>
      <c r="AB797" s="462" t="s">
        <v>3645</v>
      </c>
      <c r="AC797" s="462" t="s">
        <v>3646</v>
      </c>
      <c r="AD797" s="464">
        <v>347.68990000000002</v>
      </c>
      <c r="AE797" s="465">
        <v>13.909330000000001</v>
      </c>
      <c r="AF797" s="86">
        <f>IF(verze!$E$1="CZK",AD797,IF(verze!$E$1="SK",AE797,""))</f>
        <v>13.909330000000001</v>
      </c>
    </row>
    <row r="798" spans="1:32" ht="15" hidden="1">
      <c r="B798" s="298"/>
      <c r="C798" s="216"/>
      <c r="D798" s="217"/>
      <c r="E798" s="391"/>
      <c r="F798" s="262"/>
      <c r="G798" s="272" t="e">
        <f t="shared" si="66"/>
        <v>#N/A</v>
      </c>
      <c r="H798" s="141" t="e">
        <f t="shared" si="67"/>
        <v>#N/A</v>
      </c>
      <c r="I798" s="409" t="s">
        <v>47</v>
      </c>
      <c r="J798" s="467"/>
      <c r="L798" s="86" t="e">
        <f>VLOOKUP(B798,$B$11:B797,1,FALSE)</f>
        <v>#N/A</v>
      </c>
      <c r="M798" s="256" t="e">
        <f>G798*(1-FORM!$AE$28/100)</f>
        <v>#N/A</v>
      </c>
      <c r="AA798" s="463" t="s">
        <v>3647</v>
      </c>
      <c r="AB798" s="462" t="s">
        <v>3648</v>
      </c>
      <c r="AC798" s="462" t="s">
        <v>3649</v>
      </c>
      <c r="AD798" s="464">
        <v>347.68990000000002</v>
      </c>
      <c r="AE798" s="465">
        <v>13.909330000000001</v>
      </c>
      <c r="AF798" s="86">
        <f>IF(verze!$E$1="CZK",AD798,IF(verze!$E$1="SK",AE798,""))</f>
        <v>13.909330000000001</v>
      </c>
    </row>
    <row r="799" spans="1:32" ht="15" hidden="1">
      <c r="B799" s="298"/>
      <c r="C799" s="216"/>
      <c r="D799" s="217"/>
      <c r="E799" s="391"/>
      <c r="F799" s="262"/>
      <c r="G799" s="272" t="e">
        <f t="shared" si="66"/>
        <v>#N/A</v>
      </c>
      <c r="H799" s="141" t="e">
        <f t="shared" si="67"/>
        <v>#N/A</v>
      </c>
      <c r="I799" s="409" t="s">
        <v>47</v>
      </c>
      <c r="J799" s="467"/>
      <c r="L799" s="86" t="e">
        <f>VLOOKUP(B799,$B$11:B798,1,FALSE)</f>
        <v>#N/A</v>
      </c>
      <c r="M799" s="256" t="e">
        <f>G799*(1-FORM!$AE$28/100)</f>
        <v>#N/A</v>
      </c>
      <c r="AA799" s="463" t="s">
        <v>3650</v>
      </c>
      <c r="AB799" s="462" t="s">
        <v>3651</v>
      </c>
      <c r="AC799" s="462" t="s">
        <v>3652</v>
      </c>
      <c r="AD799" s="464">
        <v>98.108400000000003</v>
      </c>
      <c r="AE799" s="465">
        <v>3.9481999999999999</v>
      </c>
      <c r="AF799" s="86">
        <f>IF(verze!$E$1="CZK",AD799,IF(verze!$E$1="SK",AE799,""))</f>
        <v>3.9481999999999999</v>
      </c>
    </row>
    <row r="800" spans="1:32" ht="15" hidden="1">
      <c r="B800" s="298"/>
      <c r="C800" s="216"/>
      <c r="D800" s="217"/>
      <c r="E800" s="391"/>
      <c r="F800" s="262"/>
      <c r="G800" s="272" t="e">
        <f t="shared" si="66"/>
        <v>#N/A</v>
      </c>
      <c r="H800" s="141" t="e">
        <f t="shared" si="67"/>
        <v>#N/A</v>
      </c>
      <c r="I800" s="409" t="s">
        <v>47</v>
      </c>
      <c r="J800" s="467"/>
      <c r="L800" s="86" t="e">
        <f>VLOOKUP(B800,$B$11:B799,1,FALSE)</f>
        <v>#N/A</v>
      </c>
      <c r="M800" s="256" t="e">
        <f>G800*(1-FORM!$AE$28/100)</f>
        <v>#N/A</v>
      </c>
      <c r="AA800" s="463" t="s">
        <v>3653</v>
      </c>
      <c r="AB800" s="462" t="s">
        <v>3654</v>
      </c>
      <c r="AC800" s="462" t="s">
        <v>3655</v>
      </c>
      <c r="AD800" s="464">
        <v>1046.63516</v>
      </c>
      <c r="AE800" s="465">
        <v>0</v>
      </c>
      <c r="AF800" s="86">
        <f>IF(verze!$E$1="CZK",AD800,IF(verze!$E$1="SK",AE800,""))</f>
        <v>0</v>
      </c>
    </row>
    <row r="801" spans="2:32" ht="15" hidden="1">
      <c r="B801" s="298"/>
      <c r="C801" s="216"/>
      <c r="D801" s="217"/>
      <c r="E801" s="391"/>
      <c r="F801" s="262"/>
      <c r="G801" s="272" t="e">
        <f t="shared" si="66"/>
        <v>#N/A</v>
      </c>
      <c r="H801" s="141" t="e">
        <f t="shared" si="67"/>
        <v>#N/A</v>
      </c>
      <c r="I801" s="409" t="s">
        <v>47</v>
      </c>
      <c r="J801" s="467"/>
      <c r="L801" s="86" t="e">
        <f>VLOOKUP(B801,$B$11:B800,1,FALSE)</f>
        <v>#N/A</v>
      </c>
      <c r="M801" s="256" t="e">
        <f>G801*(1-FORM!$AE$28/100)</f>
        <v>#N/A</v>
      </c>
      <c r="AA801" s="463" t="s">
        <v>3656</v>
      </c>
      <c r="AB801" s="462" t="s">
        <v>3657</v>
      </c>
      <c r="AC801" s="462" t="s">
        <v>3658</v>
      </c>
      <c r="AD801" s="464">
        <v>1046.63516</v>
      </c>
      <c r="AE801" s="465">
        <v>0</v>
      </c>
      <c r="AF801" s="86">
        <f>IF(verze!$E$1="CZK",AD801,IF(verze!$E$1="SK",AE801,""))</f>
        <v>0</v>
      </c>
    </row>
    <row r="802" spans="2:32" ht="15" hidden="1">
      <c r="B802" s="298"/>
      <c r="C802" s="216"/>
      <c r="D802" s="217"/>
      <c r="E802" s="391"/>
      <c r="F802" s="262"/>
      <c r="G802" s="272" t="e">
        <f t="shared" si="66"/>
        <v>#N/A</v>
      </c>
      <c r="H802" s="141" t="e">
        <f t="shared" si="67"/>
        <v>#N/A</v>
      </c>
      <c r="I802" s="409" t="s">
        <v>47</v>
      </c>
      <c r="J802" s="467"/>
      <c r="L802" s="86" t="e">
        <f>VLOOKUP(B802,$B$11:B801,1,FALSE)</f>
        <v>#N/A</v>
      </c>
      <c r="M802" s="256" t="e">
        <f>G802*(1-FORM!$AE$28/100)</f>
        <v>#N/A</v>
      </c>
      <c r="AA802" s="463" t="s">
        <v>3659</v>
      </c>
      <c r="AB802" s="462" t="s">
        <v>3660</v>
      </c>
      <c r="AC802" s="462" t="s">
        <v>3661</v>
      </c>
      <c r="AD802" s="464">
        <v>443.72892000000002</v>
      </c>
      <c r="AE802" s="465">
        <v>17.751370000000001</v>
      </c>
      <c r="AF802" s="86">
        <f>IF(verze!$E$1="CZK",AD802,IF(verze!$E$1="SK",AE802,""))</f>
        <v>17.751370000000001</v>
      </c>
    </row>
    <row r="803" spans="2:32" ht="15" hidden="1">
      <c r="B803" s="298"/>
      <c r="C803" s="216"/>
      <c r="D803" s="217"/>
      <c r="E803" s="391"/>
      <c r="F803" s="262"/>
      <c r="G803" s="272" t="e">
        <f t="shared" si="66"/>
        <v>#N/A</v>
      </c>
      <c r="H803" s="141" t="e">
        <f t="shared" si="67"/>
        <v>#N/A</v>
      </c>
      <c r="I803" s="409" t="s">
        <v>47</v>
      </c>
      <c r="J803" s="467"/>
      <c r="L803" s="86" t="e">
        <f>VLOOKUP(B803,$B$11:B802,1,FALSE)</f>
        <v>#N/A</v>
      </c>
      <c r="M803" s="256" t="e">
        <f>G803*(1-FORM!$AE$28/100)</f>
        <v>#N/A</v>
      </c>
      <c r="AA803" s="463" t="s">
        <v>3662</v>
      </c>
      <c r="AB803" s="462" t="s">
        <v>3663</v>
      </c>
      <c r="AC803" s="462" t="s">
        <v>3664</v>
      </c>
      <c r="AD803" s="464">
        <v>14.88</v>
      </c>
      <c r="AE803" s="465">
        <v>0.58121999999999996</v>
      </c>
      <c r="AF803" s="86">
        <f>IF(verze!$E$1="CZK",AD803,IF(verze!$E$1="SK",AE803,""))</f>
        <v>0.58121999999999996</v>
      </c>
    </row>
    <row r="804" spans="2:32" ht="15" hidden="1">
      <c r="B804" s="298"/>
      <c r="C804" s="216"/>
      <c r="D804" s="217"/>
      <c r="E804" s="391"/>
      <c r="F804" s="262"/>
      <c r="G804" s="272" t="e">
        <f t="shared" si="66"/>
        <v>#N/A</v>
      </c>
      <c r="H804" s="141" t="e">
        <f t="shared" si="67"/>
        <v>#N/A</v>
      </c>
      <c r="I804" s="409" t="s">
        <v>47</v>
      </c>
      <c r="J804" s="467"/>
      <c r="L804" s="86" t="e">
        <f>VLOOKUP(B804,$B$11:B803,1,FALSE)</f>
        <v>#N/A</v>
      </c>
      <c r="M804" s="256" t="e">
        <f>G804*(1-FORM!$AE$28/100)</f>
        <v>#N/A</v>
      </c>
      <c r="AA804" s="463" t="s">
        <v>3665</v>
      </c>
      <c r="AB804" s="462" t="s">
        <v>3666</v>
      </c>
      <c r="AC804" s="462" t="s">
        <v>3667</v>
      </c>
      <c r="AD804" s="464">
        <v>14.890599999999999</v>
      </c>
      <c r="AE804" s="465">
        <v>0.61070000000000002</v>
      </c>
      <c r="AF804" s="86">
        <f>IF(verze!$E$1="CZK",AD804,IF(verze!$E$1="SK",AE804,""))</f>
        <v>0.61070000000000002</v>
      </c>
    </row>
    <row r="805" spans="2:32" ht="15" hidden="1">
      <c r="B805" s="298"/>
      <c r="C805" s="216"/>
      <c r="D805" s="217"/>
      <c r="E805" s="391"/>
      <c r="F805" s="262"/>
      <c r="G805" s="272" t="e">
        <f t="shared" si="66"/>
        <v>#N/A</v>
      </c>
      <c r="H805" s="141" t="e">
        <f t="shared" si="67"/>
        <v>#N/A</v>
      </c>
      <c r="I805" s="409" t="s">
        <v>47</v>
      </c>
      <c r="J805" s="467"/>
      <c r="L805" s="86" t="e">
        <f>VLOOKUP(B805,$B$11:B804,1,FALSE)</f>
        <v>#N/A</v>
      </c>
      <c r="M805" s="256" t="e">
        <f>G805*(1-FORM!$AE$28/100)</f>
        <v>#N/A</v>
      </c>
      <c r="AA805" s="463" t="s">
        <v>3668</v>
      </c>
      <c r="AB805" s="462" t="s">
        <v>3669</v>
      </c>
      <c r="AC805" s="462" t="s">
        <v>3670</v>
      </c>
      <c r="AD805" s="464">
        <v>8.5299999999999994</v>
      </c>
      <c r="AE805" s="465">
        <v>0.33312000000000003</v>
      </c>
      <c r="AF805" s="86">
        <f>IF(verze!$E$1="CZK",AD805,IF(verze!$E$1="SK",AE805,""))</f>
        <v>0.33312000000000003</v>
      </c>
    </row>
    <row r="806" spans="2:32" ht="15" hidden="1">
      <c r="B806" s="298"/>
      <c r="C806" s="216"/>
      <c r="D806" s="217"/>
      <c r="E806" s="391"/>
      <c r="F806" s="262"/>
      <c r="G806" s="272" t="e">
        <f t="shared" si="66"/>
        <v>#N/A</v>
      </c>
      <c r="H806" s="141" t="e">
        <f t="shared" si="67"/>
        <v>#N/A</v>
      </c>
      <c r="I806" s="409" t="s">
        <v>47</v>
      </c>
      <c r="J806" s="467"/>
      <c r="L806" s="86" t="e">
        <f>VLOOKUP(B806,$B$11:B805,1,FALSE)</f>
        <v>#N/A</v>
      </c>
      <c r="M806" s="256" t="e">
        <f>G806*(1-FORM!$AE$28/100)</f>
        <v>#N/A</v>
      </c>
      <c r="AA806" s="463" t="s">
        <v>3671</v>
      </c>
      <c r="AB806" s="462" t="s">
        <v>3672</v>
      </c>
      <c r="AC806" s="462" t="s">
        <v>3673</v>
      </c>
      <c r="AD806" s="464">
        <v>3.9025099999999999</v>
      </c>
      <c r="AE806" s="465">
        <v>0.16006000000000001</v>
      </c>
      <c r="AF806" s="86">
        <f>IF(verze!$E$1="CZK",AD806,IF(verze!$E$1="SK",AE806,""))</f>
        <v>0.16006000000000001</v>
      </c>
    </row>
    <row r="807" spans="2:32" ht="15" hidden="1">
      <c r="B807" s="298"/>
      <c r="C807" s="216"/>
      <c r="D807" s="217"/>
      <c r="E807" s="391"/>
      <c r="F807" s="262"/>
      <c r="G807" s="272" t="e">
        <f t="shared" si="66"/>
        <v>#N/A</v>
      </c>
      <c r="H807" s="141" t="e">
        <f t="shared" si="67"/>
        <v>#N/A</v>
      </c>
      <c r="I807" s="409" t="s">
        <v>47</v>
      </c>
      <c r="J807" s="467"/>
      <c r="L807" s="86" t="e">
        <f>VLOOKUP(B807,$B$11:B806,1,FALSE)</f>
        <v>#N/A</v>
      </c>
      <c r="M807" s="256" t="e">
        <f>G807*(1-FORM!$AE$28/100)</f>
        <v>#N/A</v>
      </c>
      <c r="AA807" s="463" t="s">
        <v>3674</v>
      </c>
      <c r="AB807" s="462" t="s">
        <v>3675</v>
      </c>
      <c r="AC807" s="462" t="s">
        <v>3676</v>
      </c>
      <c r="AD807" s="464">
        <v>1901.4974199999999</v>
      </c>
      <c r="AE807" s="465">
        <v>76.069370000000006</v>
      </c>
      <c r="AF807" s="86">
        <f>IF(verze!$E$1="CZK",AD807,IF(verze!$E$1="SK",AE807,""))</f>
        <v>76.069370000000006</v>
      </c>
    </row>
    <row r="808" spans="2:32" ht="15" hidden="1">
      <c r="B808" s="298"/>
      <c r="C808" s="216"/>
      <c r="D808" s="217"/>
      <c r="E808" s="391"/>
      <c r="F808" s="262"/>
      <c r="G808" s="272" t="e">
        <f t="shared" si="66"/>
        <v>#N/A</v>
      </c>
      <c r="H808" s="141" t="e">
        <f t="shared" si="67"/>
        <v>#N/A</v>
      </c>
      <c r="I808" s="409" t="s">
        <v>47</v>
      </c>
      <c r="J808" s="467"/>
      <c r="L808" s="86" t="e">
        <f>VLOOKUP(B808,$B$11:B807,1,FALSE)</f>
        <v>#N/A</v>
      </c>
      <c r="M808" s="256" t="e">
        <f>G808*(1-FORM!$AE$28/100)</f>
        <v>#N/A</v>
      </c>
      <c r="AA808" s="463" t="s">
        <v>3674</v>
      </c>
      <c r="AB808" s="462" t="s">
        <v>3677</v>
      </c>
      <c r="AC808" s="462" t="s">
        <v>3678</v>
      </c>
      <c r="AD808" s="464">
        <v>718.90374999999995</v>
      </c>
      <c r="AE808" s="465">
        <v>28.83831</v>
      </c>
      <c r="AF808" s="86">
        <f>IF(verze!$E$1="CZK",AD808,IF(verze!$E$1="SK",AE808,""))</f>
        <v>28.83831</v>
      </c>
    </row>
    <row r="809" spans="2:32" ht="15" hidden="1">
      <c r="B809" s="298"/>
      <c r="C809" s="216"/>
      <c r="D809" s="217"/>
      <c r="E809" s="391"/>
      <c r="F809" s="262"/>
      <c r="G809" s="272" t="e">
        <f t="shared" si="66"/>
        <v>#N/A</v>
      </c>
      <c r="H809" s="141" t="e">
        <f t="shared" si="67"/>
        <v>#N/A</v>
      </c>
      <c r="I809" s="409" t="s">
        <v>47</v>
      </c>
      <c r="J809" s="467"/>
      <c r="L809" s="86" t="e">
        <f>VLOOKUP(B809,$B$11:B808,1,FALSE)</f>
        <v>#N/A</v>
      </c>
      <c r="M809" s="256" t="e">
        <f>G809*(1-FORM!$AE$28/100)</f>
        <v>#N/A</v>
      </c>
      <c r="AA809" s="463" t="s">
        <v>3679</v>
      </c>
      <c r="AB809" s="462" t="s">
        <v>3680</v>
      </c>
      <c r="AC809" s="462" t="s">
        <v>3681</v>
      </c>
      <c r="AD809" s="464">
        <v>1140.8984599999999</v>
      </c>
      <c r="AE809" s="465">
        <v>45.641629999999999</v>
      </c>
      <c r="AF809" s="86">
        <f>IF(verze!$E$1="CZK",AD809,IF(verze!$E$1="SK",AE809,""))</f>
        <v>45.641629999999999</v>
      </c>
    </row>
    <row r="810" spans="2:32" ht="15" hidden="1">
      <c r="B810" s="298"/>
      <c r="C810" s="216"/>
      <c r="D810" s="217"/>
      <c r="E810" s="391"/>
      <c r="F810" s="262"/>
      <c r="G810" s="272" t="e">
        <f t="shared" si="66"/>
        <v>#N/A</v>
      </c>
      <c r="H810" s="141" t="e">
        <f t="shared" si="67"/>
        <v>#N/A</v>
      </c>
      <c r="I810" s="409" t="s">
        <v>47</v>
      </c>
      <c r="J810" s="467"/>
      <c r="L810" s="86" t="e">
        <f>VLOOKUP(B810,$B$11:B809,1,FALSE)</f>
        <v>#N/A</v>
      </c>
      <c r="M810" s="256" t="e">
        <f>G810*(1-FORM!$AE$28/100)</f>
        <v>#N/A</v>
      </c>
      <c r="AA810" s="463" t="s">
        <v>3682</v>
      </c>
      <c r="AB810" s="462" t="s">
        <v>3683</v>
      </c>
      <c r="AC810" s="462" t="s">
        <v>3684</v>
      </c>
      <c r="AD810" s="464">
        <v>2991.7106399999998</v>
      </c>
      <c r="AE810" s="465">
        <v>119.68333</v>
      </c>
      <c r="AF810" s="86">
        <f>IF(verze!$E$1="CZK",AD810,IF(verze!$E$1="SK",AE810,""))</f>
        <v>119.68333</v>
      </c>
    </row>
    <row r="811" spans="2:32" ht="15" hidden="1">
      <c r="B811" s="298"/>
      <c r="C811" s="216"/>
      <c r="D811" s="217"/>
      <c r="E811" s="391"/>
      <c r="F811" s="262"/>
      <c r="G811" s="272" t="e">
        <f t="shared" si="66"/>
        <v>#N/A</v>
      </c>
      <c r="H811" s="141" t="e">
        <f t="shared" si="67"/>
        <v>#N/A</v>
      </c>
      <c r="I811" s="409" t="s">
        <v>47</v>
      </c>
      <c r="J811" s="467"/>
      <c r="L811" s="86" t="e">
        <f>VLOOKUP(B811,$B$11:B810,1,FALSE)</f>
        <v>#N/A</v>
      </c>
      <c r="M811" s="256" t="e">
        <f>G811*(1-FORM!$AE$28/100)</f>
        <v>#N/A</v>
      </c>
      <c r="AA811" s="463" t="s">
        <v>3685</v>
      </c>
      <c r="AB811" s="462" t="s">
        <v>3686</v>
      </c>
      <c r="AC811" s="462" t="s">
        <v>3687</v>
      </c>
      <c r="AD811" s="464">
        <v>511.51125999999999</v>
      </c>
      <c r="AE811" s="465">
        <v>20.462990000000001</v>
      </c>
      <c r="AF811" s="86">
        <f>IF(verze!$E$1="CZK",AD811,IF(verze!$E$1="SK",AE811,""))</f>
        <v>20.462990000000001</v>
      </c>
    </row>
    <row r="812" spans="2:32" ht="15" hidden="1">
      <c r="B812" s="298"/>
      <c r="C812" s="216"/>
      <c r="D812" s="217"/>
      <c r="E812" s="391"/>
      <c r="F812" s="262"/>
      <c r="G812" s="272" t="e">
        <f t="shared" si="66"/>
        <v>#N/A</v>
      </c>
      <c r="H812" s="141" t="e">
        <f t="shared" si="67"/>
        <v>#N/A</v>
      </c>
      <c r="I812" s="409" t="s">
        <v>47</v>
      </c>
      <c r="J812" s="467"/>
      <c r="L812" s="86" t="e">
        <f>VLOOKUP(B812,$B$11:B811,1,FALSE)</f>
        <v>#N/A</v>
      </c>
      <c r="M812" s="256" t="e">
        <f>G812*(1-FORM!$AE$28/100)</f>
        <v>#N/A</v>
      </c>
      <c r="AA812" s="463" t="s">
        <v>3688</v>
      </c>
      <c r="AB812" s="462" t="s">
        <v>3689</v>
      </c>
      <c r="AC812" s="462" t="s">
        <v>3690</v>
      </c>
      <c r="AD812" s="464">
        <v>585.84640999999999</v>
      </c>
      <c r="AE812" s="465">
        <v>23.43676</v>
      </c>
      <c r="AF812" s="86">
        <f>IF(verze!$E$1="CZK",AD812,IF(verze!$E$1="SK",AE812,""))</f>
        <v>23.43676</v>
      </c>
    </row>
    <row r="813" spans="2:32" ht="15" hidden="1">
      <c r="B813" s="298"/>
      <c r="C813" s="216"/>
      <c r="D813" s="217"/>
      <c r="E813" s="391"/>
      <c r="F813" s="262"/>
      <c r="G813" s="272" t="e">
        <f t="shared" si="66"/>
        <v>#N/A</v>
      </c>
      <c r="H813" s="141" t="e">
        <f t="shared" si="67"/>
        <v>#N/A</v>
      </c>
      <c r="I813" s="409" t="s">
        <v>47</v>
      </c>
      <c r="J813" s="467"/>
      <c r="L813" s="86" t="e">
        <f>VLOOKUP(B813,$B$11:B812,1,FALSE)</f>
        <v>#N/A</v>
      </c>
      <c r="M813" s="256" t="e">
        <f>G813*(1-FORM!$AE$28/100)</f>
        <v>#N/A</v>
      </c>
      <c r="AA813" s="463" t="s">
        <v>3691</v>
      </c>
      <c r="AB813" s="462" t="s">
        <v>3692</v>
      </c>
      <c r="AC813" s="462" t="s">
        <v>3693</v>
      </c>
      <c r="AD813" s="464">
        <v>585.84640999999999</v>
      </c>
      <c r="AE813" s="465">
        <v>23.43676</v>
      </c>
      <c r="AF813" s="86">
        <f>IF(verze!$E$1="CZK",AD813,IF(verze!$E$1="SK",AE813,""))</f>
        <v>23.43676</v>
      </c>
    </row>
    <row r="814" spans="2:32" ht="15" hidden="1">
      <c r="B814" s="298"/>
      <c r="C814" s="216"/>
      <c r="D814" s="217"/>
      <c r="E814" s="391"/>
      <c r="F814" s="262"/>
      <c r="G814" s="272" t="e">
        <f t="shared" si="66"/>
        <v>#N/A</v>
      </c>
      <c r="H814" s="141" t="e">
        <f t="shared" si="67"/>
        <v>#N/A</v>
      </c>
      <c r="I814" s="409" t="s">
        <v>47</v>
      </c>
      <c r="J814" s="467"/>
      <c r="L814" s="86" t="e">
        <f>VLOOKUP(B814,$B$11:B813,1,FALSE)</f>
        <v>#N/A</v>
      </c>
      <c r="M814" s="256" t="e">
        <f>G814*(1-FORM!$AE$28/100)</f>
        <v>#N/A</v>
      </c>
      <c r="AA814" s="463" t="s">
        <v>3694</v>
      </c>
      <c r="AB814" s="462" t="s">
        <v>3695</v>
      </c>
      <c r="AC814" s="462" t="s">
        <v>3696</v>
      </c>
      <c r="AD814" s="464">
        <v>0.82225999999999999</v>
      </c>
      <c r="AE814" s="465">
        <v>3.372E-2</v>
      </c>
      <c r="AF814" s="86">
        <f>IF(verze!$E$1="CZK",AD814,IF(verze!$E$1="SK",AE814,""))</f>
        <v>3.372E-2</v>
      </c>
    </row>
    <row r="815" spans="2:32" ht="15" hidden="1">
      <c r="B815" s="298"/>
      <c r="C815" s="216"/>
      <c r="D815" s="217"/>
      <c r="E815" s="391"/>
      <c r="F815" s="262"/>
      <c r="G815" s="272" t="e">
        <f t="shared" si="66"/>
        <v>#N/A</v>
      </c>
      <c r="H815" s="141" t="e">
        <f t="shared" si="67"/>
        <v>#N/A</v>
      </c>
      <c r="I815" s="409" t="s">
        <v>47</v>
      </c>
      <c r="J815" s="467"/>
      <c r="L815" s="86" t="e">
        <f>VLOOKUP(B815,$B$11:B814,1,FALSE)</f>
        <v>#N/A</v>
      </c>
      <c r="M815" s="256" t="e">
        <f>G815*(1-FORM!$AE$28/100)</f>
        <v>#N/A</v>
      </c>
      <c r="AA815" s="463" t="s">
        <v>3697</v>
      </c>
      <c r="AB815" s="462" t="s">
        <v>3698</v>
      </c>
      <c r="AC815" s="462" t="s">
        <v>3699</v>
      </c>
      <c r="AD815" s="464">
        <v>5.2799699999999996</v>
      </c>
      <c r="AE815" s="465">
        <v>0.21654000000000001</v>
      </c>
      <c r="AF815" s="86">
        <f>IF(verze!$E$1="CZK",AD815,IF(verze!$E$1="SK",AE815,""))</f>
        <v>0.21654000000000001</v>
      </c>
    </row>
    <row r="816" spans="2:32" ht="15" hidden="1">
      <c r="B816" s="298"/>
      <c r="C816" s="216"/>
      <c r="D816" s="217"/>
      <c r="E816" s="391"/>
      <c r="F816" s="262"/>
      <c r="G816" s="272" t="e">
        <f t="shared" si="66"/>
        <v>#N/A</v>
      </c>
      <c r="H816" s="141" t="e">
        <f t="shared" si="67"/>
        <v>#N/A</v>
      </c>
      <c r="I816" s="409" t="s">
        <v>47</v>
      </c>
      <c r="J816" s="467"/>
      <c r="L816" s="86" t="e">
        <f>VLOOKUP(B816,$B$11:B815,1,FALSE)</f>
        <v>#N/A</v>
      </c>
      <c r="M816" s="256" t="e">
        <f>G816*(1-FORM!$AE$28/100)</f>
        <v>#N/A</v>
      </c>
      <c r="AA816" s="463" t="s">
        <v>3700</v>
      </c>
      <c r="AB816" s="462" t="s">
        <v>3701</v>
      </c>
      <c r="AC816" s="462" t="s">
        <v>3702</v>
      </c>
      <c r="AD816" s="464">
        <v>5.2799699999999996</v>
      </c>
      <c r="AE816" s="465">
        <v>0.21654000000000001</v>
      </c>
      <c r="AF816" s="86">
        <f>IF(verze!$E$1="CZK",AD816,IF(verze!$E$1="SK",AE816,""))</f>
        <v>0.21654000000000001</v>
      </c>
    </row>
    <row r="817" spans="2:32" ht="15" hidden="1">
      <c r="B817" s="298"/>
      <c r="C817" s="216"/>
      <c r="D817" s="217"/>
      <c r="E817" s="391"/>
      <c r="F817" s="262"/>
      <c r="G817" s="272" t="e">
        <f t="shared" si="66"/>
        <v>#N/A</v>
      </c>
      <c r="H817" s="141" t="e">
        <f t="shared" si="67"/>
        <v>#N/A</v>
      </c>
      <c r="I817" s="409" t="s">
        <v>47</v>
      </c>
      <c r="J817" s="467"/>
      <c r="L817" s="86" t="e">
        <f>VLOOKUP(B817,$B$11:B816,1,FALSE)</f>
        <v>#N/A</v>
      </c>
      <c r="M817" s="256" t="e">
        <f>G817*(1-FORM!$AE$28/100)</f>
        <v>#N/A</v>
      </c>
      <c r="AA817" s="463" t="s">
        <v>3703</v>
      </c>
      <c r="AB817" s="462" t="s">
        <v>3704</v>
      </c>
      <c r="AC817" s="462" t="s">
        <v>3705</v>
      </c>
      <c r="AD817" s="464">
        <v>1.1582300000000001</v>
      </c>
      <c r="AE817" s="465">
        <v>4.7500000000000001E-2</v>
      </c>
      <c r="AF817" s="86">
        <f>IF(verze!$E$1="CZK",AD817,IF(verze!$E$1="SK",AE817,""))</f>
        <v>4.7500000000000001E-2</v>
      </c>
    </row>
    <row r="818" spans="2:32" ht="15" hidden="1">
      <c r="B818" s="298"/>
      <c r="C818" s="216"/>
      <c r="D818" s="217"/>
      <c r="E818" s="391"/>
      <c r="F818" s="262"/>
      <c r="G818" s="272" t="e">
        <f t="shared" si="66"/>
        <v>#N/A</v>
      </c>
      <c r="H818" s="141" t="e">
        <f t="shared" si="67"/>
        <v>#N/A</v>
      </c>
      <c r="I818" s="409" t="s">
        <v>47</v>
      </c>
      <c r="J818" s="467"/>
      <c r="L818" s="86" t="e">
        <f>VLOOKUP(B818,$B$11:B817,1,FALSE)</f>
        <v>#N/A</v>
      </c>
      <c r="M818" s="256" t="e">
        <f>G818*(1-FORM!$AE$28/100)</f>
        <v>#N/A</v>
      </c>
      <c r="AA818" s="463" t="s">
        <v>3706</v>
      </c>
      <c r="AB818" s="462" t="s">
        <v>3707</v>
      </c>
      <c r="AC818" s="462" t="s">
        <v>3708</v>
      </c>
      <c r="AD818" s="464">
        <v>54.593969999999999</v>
      </c>
      <c r="AE818" s="465">
        <v>2.2391000000000001</v>
      </c>
      <c r="AF818" s="86">
        <f>IF(verze!$E$1="CZK",AD818,IF(verze!$E$1="SK",AE818,""))</f>
        <v>2.2391000000000001</v>
      </c>
    </row>
    <row r="819" spans="2:32" ht="15" hidden="1">
      <c r="B819" s="298"/>
      <c r="C819" s="216"/>
      <c r="D819" s="217"/>
      <c r="E819" s="391"/>
      <c r="F819" s="262"/>
      <c r="G819" s="272" t="e">
        <f t="shared" si="66"/>
        <v>#N/A</v>
      </c>
      <c r="H819" s="141" t="e">
        <f t="shared" si="67"/>
        <v>#N/A</v>
      </c>
      <c r="I819" s="409" t="s">
        <v>47</v>
      </c>
      <c r="J819" s="467"/>
      <c r="L819" s="86" t="e">
        <f>VLOOKUP(B819,$B$11:B818,1,FALSE)</f>
        <v>#N/A</v>
      </c>
      <c r="M819" s="256" t="e">
        <f>G819*(1-FORM!$AE$28/100)</f>
        <v>#N/A</v>
      </c>
      <c r="AA819" s="463" t="s">
        <v>3709</v>
      </c>
      <c r="AB819" s="462" t="s">
        <v>3710</v>
      </c>
      <c r="AC819" s="462" t="s">
        <v>3711</v>
      </c>
      <c r="AD819" s="464">
        <v>2.58812</v>
      </c>
      <c r="AE819" s="465">
        <v>0.10614</v>
      </c>
      <c r="AF819" s="86">
        <f>IF(verze!$E$1="CZK",AD819,IF(verze!$E$1="SK",AE819,""))</f>
        <v>0.10614</v>
      </c>
    </row>
    <row r="820" spans="2:32" ht="15" hidden="1">
      <c r="B820" s="298"/>
      <c r="C820" s="216"/>
      <c r="D820" s="217"/>
      <c r="E820" s="391"/>
      <c r="F820" s="262"/>
      <c r="G820" s="272" t="e">
        <f t="shared" si="66"/>
        <v>#N/A</v>
      </c>
      <c r="H820" s="141" t="e">
        <f t="shared" si="67"/>
        <v>#N/A</v>
      </c>
      <c r="I820" s="409" t="s">
        <v>47</v>
      </c>
      <c r="J820" s="467"/>
      <c r="L820" s="86" t="e">
        <f>VLOOKUP(B820,$B$11:B819,1,FALSE)</f>
        <v>#N/A</v>
      </c>
      <c r="M820" s="256" t="e">
        <f>G820*(1-FORM!$AE$28/100)</f>
        <v>#N/A</v>
      </c>
      <c r="AA820" s="463" t="s">
        <v>3712</v>
      </c>
      <c r="AB820" s="462" t="s">
        <v>3713</v>
      </c>
      <c r="AC820" s="462" t="s">
        <v>3714</v>
      </c>
      <c r="AD820" s="464">
        <v>5.2799699999999996</v>
      </c>
      <c r="AE820" s="465">
        <v>0.21654000000000001</v>
      </c>
      <c r="AF820" s="86">
        <f>IF(verze!$E$1="CZK",AD820,IF(verze!$E$1="SK",AE820,""))</f>
        <v>0.21654000000000001</v>
      </c>
    </row>
    <row r="821" spans="2:32" ht="15" hidden="1">
      <c r="B821" s="298"/>
      <c r="C821" s="216"/>
      <c r="D821" s="217"/>
      <c r="E821" s="391"/>
      <c r="F821" s="262"/>
      <c r="G821" s="272" t="e">
        <f t="shared" si="66"/>
        <v>#N/A</v>
      </c>
      <c r="H821" s="141" t="e">
        <f t="shared" si="67"/>
        <v>#N/A</v>
      </c>
      <c r="I821" s="409" t="s">
        <v>47</v>
      </c>
      <c r="J821" s="467"/>
      <c r="L821" s="86" t="e">
        <f>VLOOKUP(B821,$B$11:B820,1,FALSE)</f>
        <v>#N/A</v>
      </c>
      <c r="M821" s="256" t="e">
        <f>G821*(1-FORM!$AE$28/100)</f>
        <v>#N/A</v>
      </c>
      <c r="AA821" s="463" t="s">
        <v>3715</v>
      </c>
      <c r="AB821" s="462" t="s">
        <v>3716</v>
      </c>
      <c r="AC821" s="462" t="s">
        <v>3717</v>
      </c>
      <c r="AD821" s="464">
        <v>4.3147399999999996</v>
      </c>
      <c r="AE821" s="465">
        <v>0.17696000000000001</v>
      </c>
      <c r="AF821" s="86">
        <f>IF(verze!$E$1="CZK",AD821,IF(verze!$E$1="SK",AE821,""))</f>
        <v>0.17696000000000001</v>
      </c>
    </row>
    <row r="822" spans="2:32" ht="15" hidden="1">
      <c r="B822" s="298"/>
      <c r="C822" s="216"/>
      <c r="D822" s="217"/>
      <c r="E822" s="391"/>
      <c r="F822" s="262"/>
      <c r="G822" s="272" t="e">
        <f t="shared" si="66"/>
        <v>#N/A</v>
      </c>
      <c r="H822" s="141" t="e">
        <f t="shared" si="67"/>
        <v>#N/A</v>
      </c>
      <c r="I822" s="409" t="s">
        <v>47</v>
      </c>
      <c r="J822" s="467"/>
      <c r="L822" s="86" t="e">
        <f>VLOOKUP(B822,$B$11:B821,1,FALSE)</f>
        <v>#N/A</v>
      </c>
      <c r="M822" s="256" t="e">
        <f>G822*(1-FORM!$AE$28/100)</f>
        <v>#N/A</v>
      </c>
      <c r="AA822" s="463" t="s">
        <v>3718</v>
      </c>
      <c r="AB822" s="462" t="s">
        <v>3719</v>
      </c>
      <c r="AC822" s="462" t="s">
        <v>3720</v>
      </c>
      <c r="AD822" s="464">
        <v>8.9047099999999997</v>
      </c>
      <c r="AE822" s="465">
        <v>0.36520000000000002</v>
      </c>
      <c r="AF822" s="86">
        <f>IF(verze!$E$1="CZK",AD822,IF(verze!$E$1="SK",AE822,""))</f>
        <v>0.36520000000000002</v>
      </c>
    </row>
    <row r="823" spans="2:32" ht="15" hidden="1">
      <c r="B823" s="298"/>
      <c r="C823" s="216"/>
      <c r="D823" s="217"/>
      <c r="E823" s="391"/>
      <c r="F823" s="262"/>
      <c r="G823" s="272" t="e">
        <f t="shared" si="66"/>
        <v>#N/A</v>
      </c>
      <c r="H823" s="141" t="e">
        <f t="shared" si="67"/>
        <v>#N/A</v>
      </c>
      <c r="I823" s="409" t="s">
        <v>47</v>
      </c>
      <c r="J823" s="467"/>
      <c r="L823" s="86" t="e">
        <f>VLOOKUP(B823,$B$11:B822,1,FALSE)</f>
        <v>#N/A</v>
      </c>
      <c r="M823" s="256" t="e">
        <f>G823*(1-FORM!$AE$28/100)</f>
        <v>#N/A</v>
      </c>
      <c r="AA823" s="463" t="s">
        <v>3721</v>
      </c>
      <c r="AB823" s="462" t="s">
        <v>3722</v>
      </c>
      <c r="AC823" s="462" t="s">
        <v>3723</v>
      </c>
      <c r="AD823" s="464">
        <v>16.522629999999999</v>
      </c>
      <c r="AE823" s="465">
        <v>0.67764000000000002</v>
      </c>
      <c r="AF823" s="86">
        <f>IF(verze!$E$1="CZK",AD823,IF(verze!$E$1="SK",AE823,""))</f>
        <v>0.67764000000000002</v>
      </c>
    </row>
    <row r="824" spans="2:32" ht="15" hidden="1">
      <c r="B824" s="298"/>
      <c r="C824" s="216"/>
      <c r="D824" s="217"/>
      <c r="E824" s="391"/>
      <c r="F824" s="262"/>
      <c r="G824" s="272" t="e">
        <f t="shared" si="66"/>
        <v>#N/A</v>
      </c>
      <c r="H824" s="141" t="e">
        <f t="shared" si="67"/>
        <v>#N/A</v>
      </c>
      <c r="I824" s="409" t="s">
        <v>47</v>
      </c>
      <c r="J824" s="467"/>
      <c r="L824" s="86" t="e">
        <f>VLOOKUP(B824,$B$11:B823,1,FALSE)</f>
        <v>#N/A</v>
      </c>
      <c r="M824" s="256" t="e">
        <f>G824*(1-FORM!$AE$28/100)</f>
        <v>#N/A</v>
      </c>
      <c r="AA824" s="463" t="s">
        <v>3724</v>
      </c>
      <c r="AB824" s="462" t="s">
        <v>3725</v>
      </c>
      <c r="AC824" s="462" t="s">
        <v>3726</v>
      </c>
      <c r="AD824" s="464">
        <v>5.5373000000000001</v>
      </c>
      <c r="AE824" s="465">
        <v>0.22711999999999999</v>
      </c>
      <c r="AF824" s="86">
        <f>IF(verze!$E$1="CZK",AD824,IF(verze!$E$1="SK",AE824,""))</f>
        <v>0.22711999999999999</v>
      </c>
    </row>
    <row r="825" spans="2:32" ht="15" hidden="1">
      <c r="B825" s="298"/>
      <c r="C825" s="216"/>
      <c r="D825" s="217"/>
      <c r="E825" s="391"/>
      <c r="F825" s="262"/>
      <c r="G825" s="272" t="e">
        <f t="shared" si="66"/>
        <v>#N/A</v>
      </c>
      <c r="H825" s="141" t="e">
        <f t="shared" si="67"/>
        <v>#N/A</v>
      </c>
      <c r="I825" s="409" t="s">
        <v>47</v>
      </c>
      <c r="J825" s="467"/>
      <c r="L825" s="86" t="e">
        <f>VLOOKUP(B825,$B$11:B824,1,FALSE)</f>
        <v>#N/A</v>
      </c>
      <c r="M825" s="256" t="e">
        <f>G825*(1-FORM!$AE$28/100)</f>
        <v>#N/A</v>
      </c>
      <c r="AA825" s="463" t="s">
        <v>3727</v>
      </c>
      <c r="AB825" s="462" t="s">
        <v>3728</v>
      </c>
      <c r="AC825" s="462" t="s">
        <v>3729</v>
      </c>
      <c r="AD825" s="464">
        <v>7.1388199999999999</v>
      </c>
      <c r="AE825" s="465">
        <v>0.29277999999999998</v>
      </c>
      <c r="AF825" s="86">
        <f>IF(verze!$E$1="CZK",AD825,IF(verze!$E$1="SK",AE825,""))</f>
        <v>0.29277999999999998</v>
      </c>
    </row>
    <row r="826" spans="2:32" ht="15" hidden="1">
      <c r="B826" s="298"/>
      <c r="C826" s="216"/>
      <c r="D826" s="217"/>
      <c r="E826" s="391"/>
      <c r="F826" s="262"/>
      <c r="G826" s="272" t="e">
        <f t="shared" si="66"/>
        <v>#N/A</v>
      </c>
      <c r="H826" s="141" t="e">
        <f t="shared" si="67"/>
        <v>#N/A</v>
      </c>
      <c r="I826" s="409" t="s">
        <v>47</v>
      </c>
      <c r="J826" s="467"/>
      <c r="L826" s="86" t="e">
        <f>VLOOKUP(B826,$B$11:B825,1,FALSE)</f>
        <v>#N/A</v>
      </c>
      <c r="M826" s="256" t="e">
        <f>G826*(1-FORM!$AE$28/100)</f>
        <v>#N/A</v>
      </c>
      <c r="AA826" s="463" t="s">
        <v>3730</v>
      </c>
      <c r="AB826" s="462" t="s">
        <v>3731</v>
      </c>
      <c r="AC826" s="462" t="s">
        <v>3732</v>
      </c>
      <c r="AD826" s="464">
        <v>14.11318</v>
      </c>
      <c r="AE826" s="465">
        <v>0.57882</v>
      </c>
      <c r="AF826" s="86">
        <f>IF(verze!$E$1="CZK",AD826,IF(verze!$E$1="SK",AE826,""))</f>
        <v>0.57882</v>
      </c>
    </row>
    <row r="827" spans="2:32" ht="15" hidden="1">
      <c r="B827" s="298"/>
      <c r="C827" s="216"/>
      <c r="D827" s="217"/>
      <c r="E827" s="391"/>
      <c r="F827" s="262"/>
      <c r="G827" s="272" t="e">
        <f t="shared" si="66"/>
        <v>#N/A</v>
      </c>
      <c r="H827" s="141" t="e">
        <f t="shared" si="67"/>
        <v>#N/A</v>
      </c>
      <c r="I827" s="409" t="s">
        <v>47</v>
      </c>
      <c r="J827" s="467"/>
      <c r="L827" s="86" t="e">
        <f>VLOOKUP(B827,$B$11:B826,1,FALSE)</f>
        <v>#N/A</v>
      </c>
      <c r="M827" s="256" t="e">
        <f>G827*(1-FORM!$AE$28/100)</f>
        <v>#N/A</v>
      </c>
      <c r="AA827" s="463" t="s">
        <v>3733</v>
      </c>
      <c r="AB827" s="462" t="s">
        <v>3734</v>
      </c>
      <c r="AC827" s="462" t="s">
        <v>3735</v>
      </c>
      <c r="AD827" s="464">
        <v>5.9162699999999999</v>
      </c>
      <c r="AE827" s="465">
        <v>0.24265999999999999</v>
      </c>
      <c r="AF827" s="86">
        <f>IF(verze!$E$1="CZK",AD827,IF(verze!$E$1="SK",AE827,""))</f>
        <v>0.24265999999999999</v>
      </c>
    </row>
    <row r="828" spans="2:32" ht="15" hidden="1">
      <c r="B828" s="298"/>
      <c r="C828" s="216"/>
      <c r="D828" s="217"/>
      <c r="E828" s="391"/>
      <c r="F828" s="262"/>
      <c r="G828" s="272" t="e">
        <f t="shared" si="66"/>
        <v>#N/A</v>
      </c>
      <c r="H828" s="141" t="e">
        <f t="shared" si="67"/>
        <v>#N/A</v>
      </c>
      <c r="I828" s="409" t="s">
        <v>47</v>
      </c>
      <c r="J828" s="467"/>
      <c r="L828" s="86" t="e">
        <f>VLOOKUP(B828,$B$11:B827,1,FALSE)</f>
        <v>#N/A</v>
      </c>
      <c r="M828" s="256" t="e">
        <f>G828*(1-FORM!$AE$28/100)</f>
        <v>#N/A</v>
      </c>
      <c r="AA828" s="463" t="s">
        <v>3736</v>
      </c>
      <c r="AB828" s="462" t="s">
        <v>3737</v>
      </c>
      <c r="AC828" s="462" t="s">
        <v>3738</v>
      </c>
      <c r="AD828" s="464">
        <v>12.94421</v>
      </c>
      <c r="AE828" s="465">
        <v>0.53088000000000002</v>
      </c>
      <c r="AF828" s="86">
        <f>IF(verze!$E$1="CZK",AD828,IF(verze!$E$1="SK",AE828,""))</f>
        <v>0.53088000000000002</v>
      </c>
    </row>
    <row r="829" spans="2:32" ht="15" hidden="1">
      <c r="B829" s="298"/>
      <c r="C829" s="216"/>
      <c r="D829" s="217"/>
      <c r="E829" s="391"/>
      <c r="F829" s="262"/>
      <c r="G829" s="272" t="e">
        <f t="shared" si="66"/>
        <v>#N/A</v>
      </c>
      <c r="H829" s="141" t="e">
        <f t="shared" si="67"/>
        <v>#N/A</v>
      </c>
      <c r="I829" s="409" t="s">
        <v>47</v>
      </c>
      <c r="J829" s="467"/>
      <c r="L829" s="86" t="e">
        <f>VLOOKUP(B829,$B$11:B828,1,FALSE)</f>
        <v>#N/A</v>
      </c>
      <c r="M829" s="256" t="e">
        <f>G829*(1-FORM!$AE$28/100)</f>
        <v>#N/A</v>
      </c>
      <c r="AA829" s="463" t="s">
        <v>3739</v>
      </c>
      <c r="AB829" s="462" t="s">
        <v>3740</v>
      </c>
      <c r="AC829" s="462" t="s">
        <v>3741</v>
      </c>
      <c r="AD829" s="464">
        <v>5.6802900000000003</v>
      </c>
      <c r="AE829" s="465">
        <v>0.23296</v>
      </c>
      <c r="AF829" s="86">
        <f>IF(verze!$E$1="CZK",AD829,IF(verze!$E$1="SK",AE829,""))</f>
        <v>0.23296</v>
      </c>
    </row>
    <row r="830" spans="2:32" ht="15" hidden="1">
      <c r="B830" s="298"/>
      <c r="C830" s="216"/>
      <c r="D830" s="217"/>
      <c r="E830" s="391"/>
      <c r="F830" s="262"/>
      <c r="G830" s="272" t="e">
        <f t="shared" si="66"/>
        <v>#N/A</v>
      </c>
      <c r="H830" s="141" t="e">
        <f t="shared" si="67"/>
        <v>#N/A</v>
      </c>
      <c r="I830" s="409" t="s">
        <v>47</v>
      </c>
      <c r="J830" s="467"/>
      <c r="L830" s="86" t="e">
        <f>VLOOKUP(B830,$B$11:B829,1,FALSE)</f>
        <v>#N/A</v>
      </c>
      <c r="M830" s="256" t="e">
        <f>G830*(1-FORM!$AE$28/100)</f>
        <v>#N/A</v>
      </c>
      <c r="AA830" s="463" t="s">
        <v>3742</v>
      </c>
      <c r="AB830" s="462" t="s">
        <v>3743</v>
      </c>
      <c r="AC830" s="462" t="s">
        <v>3744</v>
      </c>
      <c r="AD830" s="464">
        <v>11.328469999999999</v>
      </c>
      <c r="AE830" s="465">
        <v>0.46464</v>
      </c>
      <c r="AF830" s="86">
        <f>IF(verze!$E$1="CZK",AD830,IF(verze!$E$1="SK",AE830,""))</f>
        <v>0.46464</v>
      </c>
    </row>
    <row r="831" spans="2:32" ht="15" hidden="1">
      <c r="B831" s="298"/>
      <c r="C831" s="216"/>
      <c r="D831" s="217"/>
      <c r="E831" s="391"/>
      <c r="F831" s="262"/>
      <c r="G831" s="272" t="e">
        <f t="shared" si="66"/>
        <v>#N/A</v>
      </c>
      <c r="H831" s="141" t="e">
        <f t="shared" si="67"/>
        <v>#N/A</v>
      </c>
      <c r="I831" s="409" t="s">
        <v>47</v>
      </c>
      <c r="J831" s="467"/>
      <c r="L831" s="86" t="e">
        <f>VLOOKUP(B831,$B$11:B830,1,FALSE)</f>
        <v>#N/A</v>
      </c>
      <c r="M831" s="256" t="e">
        <f>G831*(1-FORM!$AE$28/100)</f>
        <v>#N/A</v>
      </c>
      <c r="AA831" s="463" t="s">
        <v>3745</v>
      </c>
      <c r="AB831" s="462" t="s">
        <v>3746</v>
      </c>
      <c r="AC831" s="462" t="s">
        <v>3747</v>
      </c>
      <c r="AD831" s="464">
        <v>5.8983499999999998</v>
      </c>
      <c r="AE831" s="465">
        <v>0.2419</v>
      </c>
      <c r="AF831" s="86">
        <f>IF(verze!$E$1="CZK",AD831,IF(verze!$E$1="SK",AE831,""))</f>
        <v>0.2419</v>
      </c>
    </row>
    <row r="832" spans="2:32" ht="15" hidden="1">
      <c r="B832" s="298"/>
      <c r="C832" s="216"/>
      <c r="D832" s="217"/>
      <c r="E832" s="391"/>
      <c r="F832" s="262"/>
      <c r="G832" s="272" t="e">
        <f t="shared" si="66"/>
        <v>#N/A</v>
      </c>
      <c r="H832" s="141" t="e">
        <f t="shared" si="67"/>
        <v>#N/A</v>
      </c>
      <c r="I832" s="409" t="s">
        <v>47</v>
      </c>
      <c r="J832" s="467"/>
      <c r="L832" s="86" t="e">
        <f>VLOOKUP(B832,$B$11:B831,1,FALSE)</f>
        <v>#N/A</v>
      </c>
      <c r="M832" s="256" t="e">
        <f>G832*(1-FORM!$AE$28/100)</f>
        <v>#N/A</v>
      </c>
      <c r="AA832" s="463" t="s">
        <v>3748</v>
      </c>
      <c r="AB832" s="462" t="s">
        <v>3749</v>
      </c>
      <c r="AC832" s="462" t="s">
        <v>3750</v>
      </c>
      <c r="AD832" s="464">
        <v>5.9341600000000003</v>
      </c>
      <c r="AE832" s="465">
        <v>0.24338000000000001</v>
      </c>
      <c r="AF832" s="86">
        <f>IF(verze!$E$1="CZK",AD832,IF(verze!$E$1="SK",AE832,""))</f>
        <v>0.24338000000000001</v>
      </c>
    </row>
    <row r="833" spans="2:32" ht="15" hidden="1">
      <c r="B833" s="298"/>
      <c r="C833" s="216"/>
      <c r="D833" s="217"/>
      <c r="E833" s="391"/>
      <c r="F833" s="262"/>
      <c r="G833" s="272" t="e">
        <f t="shared" si="66"/>
        <v>#N/A</v>
      </c>
      <c r="H833" s="141" t="e">
        <f t="shared" si="67"/>
        <v>#N/A</v>
      </c>
      <c r="I833" s="409" t="s">
        <v>47</v>
      </c>
      <c r="J833" s="467"/>
      <c r="L833" s="86" t="e">
        <f>VLOOKUP(B833,$B$11:B832,1,FALSE)</f>
        <v>#N/A</v>
      </c>
      <c r="M833" s="256" t="e">
        <f>G833*(1-FORM!$AE$28/100)</f>
        <v>#N/A</v>
      </c>
      <c r="AA833" s="463" t="s">
        <v>3751</v>
      </c>
      <c r="AB833" s="462" t="s">
        <v>3752</v>
      </c>
      <c r="AC833" s="462" t="s">
        <v>3753</v>
      </c>
      <c r="AD833" s="464">
        <v>8.0718300000000003</v>
      </c>
      <c r="AE833" s="465">
        <v>0.33106000000000002</v>
      </c>
      <c r="AF833" s="86">
        <f>IF(verze!$E$1="CZK",AD833,IF(verze!$E$1="SK",AE833,""))</f>
        <v>0.33106000000000002</v>
      </c>
    </row>
    <row r="834" spans="2:32" ht="15" hidden="1">
      <c r="B834" s="298"/>
      <c r="C834" s="216"/>
      <c r="D834" s="217"/>
      <c r="E834" s="391"/>
      <c r="F834" s="262"/>
      <c r="G834" s="272" t="e">
        <f t="shared" si="66"/>
        <v>#N/A</v>
      </c>
      <c r="H834" s="141" t="e">
        <f t="shared" si="67"/>
        <v>#N/A</v>
      </c>
      <c r="I834" s="409" t="s">
        <v>47</v>
      </c>
      <c r="J834" s="467"/>
      <c r="L834" s="86" t="e">
        <f>VLOOKUP(B834,$B$11:B833,1,FALSE)</f>
        <v>#N/A</v>
      </c>
      <c r="M834" s="256" t="e">
        <f>G834*(1-FORM!$AE$28/100)</f>
        <v>#N/A</v>
      </c>
      <c r="AA834" s="463" t="s">
        <v>3754</v>
      </c>
      <c r="AB834" s="462" t="s">
        <v>3755</v>
      </c>
      <c r="AC834" s="462" t="s">
        <v>3756</v>
      </c>
      <c r="AD834" s="464">
        <v>16.111450000000001</v>
      </c>
      <c r="AE834" s="465">
        <v>0.66080000000000005</v>
      </c>
      <c r="AF834" s="86">
        <f>IF(verze!$E$1="CZK",AD834,IF(verze!$E$1="SK",AE834,""))</f>
        <v>0.66080000000000005</v>
      </c>
    </row>
    <row r="835" spans="2:32" ht="15" hidden="1">
      <c r="B835" s="298"/>
      <c r="C835" s="216"/>
      <c r="D835" s="217"/>
      <c r="E835" s="391"/>
      <c r="F835" s="262"/>
      <c r="G835" s="272" t="e">
        <f t="shared" si="66"/>
        <v>#N/A</v>
      </c>
      <c r="H835" s="141" t="e">
        <f t="shared" si="67"/>
        <v>#N/A</v>
      </c>
      <c r="I835" s="409" t="s">
        <v>47</v>
      </c>
      <c r="J835" s="467"/>
      <c r="L835" s="86" t="e">
        <f>VLOOKUP(B835,$B$11:B834,1,FALSE)</f>
        <v>#N/A</v>
      </c>
      <c r="M835" s="256" t="e">
        <f>G835*(1-FORM!$AE$28/100)</f>
        <v>#N/A</v>
      </c>
      <c r="AA835" s="463" t="s">
        <v>3757</v>
      </c>
      <c r="AB835" s="462" t="s">
        <v>3758</v>
      </c>
      <c r="AC835" s="462" t="s">
        <v>3759</v>
      </c>
      <c r="AD835" s="464">
        <v>6.4382000000000001</v>
      </c>
      <c r="AE835" s="465">
        <v>0.26406000000000002</v>
      </c>
      <c r="AF835" s="86">
        <f>IF(verze!$E$1="CZK",AD835,IF(verze!$E$1="SK",AE835,""))</f>
        <v>0.26406000000000002</v>
      </c>
    </row>
    <row r="836" spans="2:32" ht="15" hidden="1">
      <c r="B836" s="298"/>
      <c r="C836" s="216"/>
      <c r="D836" s="217"/>
      <c r="E836" s="391"/>
      <c r="F836" s="262"/>
      <c r="G836" s="272" t="e">
        <f t="shared" si="66"/>
        <v>#N/A</v>
      </c>
      <c r="H836" s="141" t="e">
        <f t="shared" si="67"/>
        <v>#N/A</v>
      </c>
      <c r="I836" s="409" t="s">
        <v>47</v>
      </c>
      <c r="J836" s="467"/>
      <c r="L836" s="86" t="e">
        <f>VLOOKUP(B836,$B$11:B835,1,FALSE)</f>
        <v>#N/A</v>
      </c>
      <c r="M836" s="256" t="e">
        <f>G836*(1-FORM!$AE$28/100)</f>
        <v>#N/A</v>
      </c>
      <c r="AA836" s="463" t="s">
        <v>3760</v>
      </c>
      <c r="AB836" s="462" t="s">
        <v>3761</v>
      </c>
      <c r="AC836" s="462" t="s">
        <v>3762</v>
      </c>
      <c r="AD836" s="464">
        <v>18.93196</v>
      </c>
      <c r="AE836" s="465">
        <v>0.77646000000000004</v>
      </c>
      <c r="AF836" s="86">
        <f>IF(verze!$E$1="CZK",AD836,IF(verze!$E$1="SK",AE836,""))</f>
        <v>0.77646000000000004</v>
      </c>
    </row>
    <row r="837" spans="2:32" ht="15" hidden="1">
      <c r="B837" s="298"/>
      <c r="C837" s="216"/>
      <c r="D837" s="217"/>
      <c r="E837" s="391"/>
      <c r="F837" s="262"/>
      <c r="G837" s="272" t="e">
        <f t="shared" si="66"/>
        <v>#N/A</v>
      </c>
      <c r="H837" s="141" t="e">
        <f t="shared" si="67"/>
        <v>#N/A</v>
      </c>
      <c r="I837" s="409" t="s">
        <v>47</v>
      </c>
      <c r="J837" s="467"/>
      <c r="L837" s="86" t="e">
        <f>VLOOKUP(B837,$B$11:B836,1,FALSE)</f>
        <v>#N/A</v>
      </c>
      <c r="M837" s="256" t="e">
        <f>G837*(1-FORM!$AE$28/100)</f>
        <v>#N/A</v>
      </c>
      <c r="AA837" s="463" t="s">
        <v>3763</v>
      </c>
      <c r="AB837" s="462" t="s">
        <v>3764</v>
      </c>
      <c r="AC837" s="462" t="s">
        <v>3765</v>
      </c>
      <c r="AD837" s="464">
        <v>8.10764</v>
      </c>
      <c r="AE837" s="465">
        <v>0.33251999999999998</v>
      </c>
      <c r="AF837" s="86">
        <f>IF(verze!$E$1="CZK",AD837,IF(verze!$E$1="SK",AE837,""))</f>
        <v>0.33251999999999998</v>
      </c>
    </row>
    <row r="838" spans="2:32" ht="15" hidden="1">
      <c r="B838" s="298"/>
      <c r="C838" s="216"/>
      <c r="D838" s="217"/>
      <c r="E838" s="391"/>
      <c r="F838" s="262"/>
      <c r="G838" s="272" t="e">
        <f t="shared" si="66"/>
        <v>#N/A</v>
      </c>
      <c r="H838" s="141" t="e">
        <f t="shared" si="67"/>
        <v>#N/A</v>
      </c>
      <c r="I838" s="409" t="s">
        <v>47</v>
      </c>
      <c r="J838" s="467"/>
      <c r="L838" s="86" t="e">
        <f>VLOOKUP(B838,$B$11:B837,1,FALSE)</f>
        <v>#N/A</v>
      </c>
      <c r="M838" s="256" t="e">
        <f>G838*(1-FORM!$AE$28/100)</f>
        <v>#N/A</v>
      </c>
      <c r="AA838" s="463" t="s">
        <v>3766</v>
      </c>
      <c r="AB838" s="462" t="s">
        <v>3767</v>
      </c>
      <c r="AC838" s="462" t="s">
        <v>3768</v>
      </c>
      <c r="AD838" s="464">
        <v>8.2720099999999999</v>
      </c>
      <c r="AE838" s="465">
        <v>0.33926000000000001</v>
      </c>
      <c r="AF838" s="86">
        <f>IF(verze!$E$1="CZK",AD838,IF(verze!$E$1="SK",AE838,""))</f>
        <v>0.33926000000000001</v>
      </c>
    </row>
    <row r="839" spans="2:32" ht="15" hidden="1">
      <c r="B839" s="298"/>
      <c r="C839" s="216"/>
      <c r="D839" s="217"/>
      <c r="E839" s="391"/>
      <c r="F839" s="262"/>
      <c r="G839" s="272" t="e">
        <f t="shared" si="66"/>
        <v>#N/A</v>
      </c>
      <c r="H839" s="141" t="e">
        <f t="shared" si="67"/>
        <v>#N/A</v>
      </c>
      <c r="I839" s="409" t="s">
        <v>47</v>
      </c>
      <c r="J839" s="467"/>
      <c r="L839" s="86" t="e">
        <f>VLOOKUP(B839,$B$11:B838,1,FALSE)</f>
        <v>#N/A</v>
      </c>
      <c r="M839" s="256" t="e">
        <f>G839*(1-FORM!$AE$28/100)</f>
        <v>#N/A</v>
      </c>
      <c r="AA839" s="463" t="s">
        <v>3769</v>
      </c>
      <c r="AB839" s="462" t="s">
        <v>3770</v>
      </c>
      <c r="AC839" s="462" t="s">
        <v>3771</v>
      </c>
      <c r="AD839" s="464">
        <v>20.823029999999999</v>
      </c>
      <c r="AE839" s="465">
        <v>0.85402</v>
      </c>
      <c r="AF839" s="86">
        <f>IF(verze!$E$1="CZK",AD839,IF(verze!$E$1="SK",AE839,""))</f>
        <v>0.85402</v>
      </c>
    </row>
    <row r="840" spans="2:32" ht="15" hidden="1">
      <c r="B840" s="298"/>
      <c r="C840" s="216"/>
      <c r="D840" s="217"/>
      <c r="E840" s="391"/>
      <c r="F840" s="262"/>
      <c r="G840" s="272" t="e">
        <f t="shared" si="66"/>
        <v>#N/A</v>
      </c>
      <c r="H840" s="141" t="e">
        <f t="shared" si="67"/>
        <v>#N/A</v>
      </c>
      <c r="I840" s="409" t="s">
        <v>47</v>
      </c>
      <c r="J840" s="467"/>
      <c r="L840" s="86" t="e">
        <f>VLOOKUP(B840,$B$11:B839,1,FALSE)</f>
        <v>#N/A</v>
      </c>
      <c r="M840" s="256" t="e">
        <f>G840*(1-FORM!$AE$28/100)</f>
        <v>#N/A</v>
      </c>
      <c r="AA840" s="463" t="s">
        <v>3772</v>
      </c>
      <c r="AB840" s="462" t="s">
        <v>3773</v>
      </c>
      <c r="AC840" s="462" t="s">
        <v>3774</v>
      </c>
      <c r="AD840" s="464">
        <v>6.4382000000000001</v>
      </c>
      <c r="AE840" s="465">
        <v>0.26406000000000002</v>
      </c>
      <c r="AF840" s="86">
        <f>IF(verze!$E$1="CZK",AD840,IF(verze!$E$1="SK",AE840,""))</f>
        <v>0.26406000000000002</v>
      </c>
    </row>
    <row r="841" spans="2:32" ht="15" hidden="1">
      <c r="B841" s="298"/>
      <c r="C841" s="216"/>
      <c r="D841" s="217"/>
      <c r="E841" s="391"/>
      <c r="F841" s="262"/>
      <c r="G841" s="272" t="e">
        <f t="shared" si="66"/>
        <v>#N/A</v>
      </c>
      <c r="H841" s="141" t="e">
        <f t="shared" si="67"/>
        <v>#N/A</v>
      </c>
      <c r="I841" s="409" t="s">
        <v>47</v>
      </c>
      <c r="J841" s="467"/>
      <c r="L841" s="86" t="e">
        <f>VLOOKUP(B841,$B$11:B840,1,FALSE)</f>
        <v>#N/A</v>
      </c>
      <c r="M841" s="256" t="e">
        <f>G841*(1-FORM!$AE$28/100)</f>
        <v>#N/A</v>
      </c>
      <c r="AA841" s="463" t="s">
        <v>3775</v>
      </c>
      <c r="AB841" s="462" t="s">
        <v>3776</v>
      </c>
      <c r="AC841" s="462" t="s">
        <v>3777</v>
      </c>
      <c r="AD841" s="464">
        <v>6.4382000000000001</v>
      </c>
      <c r="AE841" s="465">
        <v>0.26406000000000002</v>
      </c>
      <c r="AF841" s="86">
        <f>IF(verze!$E$1="CZK",AD841,IF(verze!$E$1="SK",AE841,""))</f>
        <v>0.26406000000000002</v>
      </c>
    </row>
    <row r="842" spans="2:32" ht="15" hidden="1">
      <c r="B842" s="298"/>
      <c r="C842" s="216"/>
      <c r="D842" s="217"/>
      <c r="E842" s="391"/>
      <c r="F842" s="262"/>
      <c r="G842" s="272" t="e">
        <f t="shared" si="66"/>
        <v>#N/A</v>
      </c>
      <c r="H842" s="141" t="e">
        <f t="shared" si="67"/>
        <v>#N/A</v>
      </c>
      <c r="I842" s="409" t="s">
        <v>47</v>
      </c>
      <c r="J842" s="467"/>
      <c r="L842" s="86" t="e">
        <f>VLOOKUP(B842,$B$11:B841,1,FALSE)</f>
        <v>#N/A</v>
      </c>
      <c r="M842" s="256" t="e">
        <f>G842*(1-FORM!$AE$28/100)</f>
        <v>#N/A</v>
      </c>
      <c r="AA842" s="463" t="s">
        <v>3778</v>
      </c>
      <c r="AB842" s="462" t="s">
        <v>3779</v>
      </c>
      <c r="AC842" s="462" t="s">
        <v>3780</v>
      </c>
      <c r="AD842" s="464">
        <v>4.2253499999999997</v>
      </c>
      <c r="AE842" s="465">
        <v>0.17330000000000001</v>
      </c>
      <c r="AF842" s="86">
        <f>IF(verze!$E$1="CZK",AD842,IF(verze!$E$1="SK",AE842,""))</f>
        <v>0.17330000000000001</v>
      </c>
    </row>
    <row r="843" spans="2:32" ht="15" hidden="1">
      <c r="B843" s="298"/>
      <c r="C843" s="216"/>
      <c r="D843" s="217"/>
      <c r="E843" s="391"/>
      <c r="F843" s="262"/>
      <c r="G843" s="272" t="e">
        <f t="shared" si="66"/>
        <v>#N/A</v>
      </c>
      <c r="H843" s="141" t="e">
        <f t="shared" si="67"/>
        <v>#N/A</v>
      </c>
      <c r="I843" s="409" t="s">
        <v>47</v>
      </c>
      <c r="J843" s="467"/>
      <c r="L843" s="86" t="e">
        <f>VLOOKUP(B843,$B$11:B842,1,FALSE)</f>
        <v>#N/A</v>
      </c>
      <c r="M843" s="256" t="e">
        <f>G843*(1-FORM!$AE$28/100)</f>
        <v>#N/A</v>
      </c>
      <c r="AA843" s="463" t="s">
        <v>3781</v>
      </c>
      <c r="AB843" s="462" t="s">
        <v>3782</v>
      </c>
      <c r="AC843" s="462" t="s">
        <v>3783</v>
      </c>
      <c r="AD843" s="464">
        <v>16.558309999999999</v>
      </c>
      <c r="AE843" s="465">
        <v>0.67911999999999995</v>
      </c>
      <c r="AF843" s="86">
        <f>IF(verze!$E$1="CZK",AD843,IF(verze!$E$1="SK",AE843,""))</f>
        <v>0.67911999999999995</v>
      </c>
    </row>
    <row r="844" spans="2:32" ht="15" hidden="1">
      <c r="B844" s="298"/>
      <c r="C844" s="216"/>
      <c r="D844" s="217"/>
      <c r="E844" s="391"/>
      <c r="F844" s="262"/>
      <c r="G844" s="272" t="e">
        <f t="shared" si="66"/>
        <v>#N/A</v>
      </c>
      <c r="H844" s="141" t="e">
        <f t="shared" si="67"/>
        <v>#N/A</v>
      </c>
      <c r="I844" s="409" t="s">
        <v>47</v>
      </c>
      <c r="J844" s="467"/>
      <c r="L844" s="86" t="e">
        <f>VLOOKUP(B844,$B$11:B843,1,FALSE)</f>
        <v>#N/A</v>
      </c>
      <c r="M844" s="256" t="e">
        <f>G844*(1-FORM!$AE$28/100)</f>
        <v>#N/A</v>
      </c>
      <c r="AA844" s="463" t="s">
        <v>3784</v>
      </c>
      <c r="AB844" s="462" t="s">
        <v>3785</v>
      </c>
      <c r="AC844" s="462" t="s">
        <v>3786</v>
      </c>
      <c r="AD844" s="464">
        <v>4.2611499999999998</v>
      </c>
      <c r="AE844" s="465">
        <v>0.17476</v>
      </c>
      <c r="AF844" s="86">
        <f>IF(verze!$E$1="CZK",AD844,IF(verze!$E$1="SK",AE844,""))</f>
        <v>0.17476</v>
      </c>
    </row>
    <row r="845" spans="2:32" ht="15" hidden="1">
      <c r="B845" s="298"/>
      <c r="C845" s="216"/>
      <c r="D845" s="217"/>
      <c r="E845" s="391"/>
      <c r="F845" s="262"/>
      <c r="G845" s="272" t="e">
        <f t="shared" ref="G845:G908" si="68">VLOOKUP(J845,AB:AF,5,0)</f>
        <v>#N/A</v>
      </c>
      <c r="H845" s="141" t="e">
        <f t="shared" si="67"/>
        <v>#N/A</v>
      </c>
      <c r="I845" s="409" t="s">
        <v>47</v>
      </c>
      <c r="J845" s="467"/>
      <c r="L845" s="86" t="e">
        <f>VLOOKUP(B845,$B$11:B844,1,FALSE)</f>
        <v>#N/A</v>
      </c>
      <c r="M845" s="256" t="e">
        <f>G845*(1-FORM!$AE$28/100)</f>
        <v>#N/A</v>
      </c>
      <c r="AA845" s="463" t="s">
        <v>3787</v>
      </c>
      <c r="AB845" s="462" t="s">
        <v>3788</v>
      </c>
      <c r="AC845" s="462" t="s">
        <v>3789</v>
      </c>
      <c r="AD845" s="464">
        <v>664.01694999999995</v>
      </c>
      <c r="AE845" s="465">
        <v>26.564</v>
      </c>
      <c r="AF845" s="86">
        <f>IF(verze!$E$1="CZK",AD845,IF(verze!$E$1="SK",AE845,""))</f>
        <v>26.564</v>
      </c>
    </row>
    <row r="846" spans="2:32" ht="15" hidden="1">
      <c r="B846" s="298"/>
      <c r="C846" s="216"/>
      <c r="D846" s="217"/>
      <c r="E846" s="391"/>
      <c r="F846" s="262"/>
      <c r="G846" s="272" t="e">
        <f t="shared" si="68"/>
        <v>#N/A</v>
      </c>
      <c r="H846" s="141" t="e">
        <f t="shared" si="67"/>
        <v>#N/A</v>
      </c>
      <c r="I846" s="409" t="s">
        <v>47</v>
      </c>
      <c r="J846" s="467"/>
      <c r="L846" s="86" t="e">
        <f>VLOOKUP(B846,$B$11:B845,1,FALSE)</f>
        <v>#N/A</v>
      </c>
      <c r="M846" s="256" t="e">
        <f>G846*(1-FORM!$AE$28/100)</f>
        <v>#N/A</v>
      </c>
      <c r="AA846" s="463" t="s">
        <v>3790</v>
      </c>
      <c r="AB846" s="462" t="s">
        <v>3791</v>
      </c>
      <c r="AC846" s="462" t="s">
        <v>3792</v>
      </c>
      <c r="AD846" s="464">
        <v>664.01694999999995</v>
      </c>
      <c r="AE846" s="465">
        <v>26.564</v>
      </c>
      <c r="AF846" s="86">
        <f>IF(verze!$E$1="CZK",AD846,IF(verze!$E$1="SK",AE846,""))</f>
        <v>26.564</v>
      </c>
    </row>
    <row r="847" spans="2:32" ht="15" hidden="1">
      <c r="B847" s="298"/>
      <c r="C847" s="216"/>
      <c r="D847" s="217"/>
      <c r="E847" s="391"/>
      <c r="F847" s="262"/>
      <c r="G847" s="272" t="e">
        <f t="shared" si="68"/>
        <v>#N/A</v>
      </c>
      <c r="H847" s="141" t="e">
        <f t="shared" si="67"/>
        <v>#N/A</v>
      </c>
      <c r="I847" s="409" t="s">
        <v>47</v>
      </c>
      <c r="J847" s="467"/>
      <c r="L847" s="86" t="e">
        <f>VLOOKUP(B847,$B$11:B846,1,FALSE)</f>
        <v>#N/A</v>
      </c>
      <c r="M847" s="256" t="e">
        <f>G847*(1-FORM!$AE$28/100)</f>
        <v>#N/A</v>
      </c>
      <c r="AA847" s="463" t="s">
        <v>3793</v>
      </c>
      <c r="AB847" s="462" t="s">
        <v>3794</v>
      </c>
      <c r="AC847" s="462" t="s">
        <v>3795</v>
      </c>
      <c r="AD847" s="464">
        <v>608.18329000000006</v>
      </c>
      <c r="AE847" s="465">
        <v>29.25581</v>
      </c>
      <c r="AF847" s="86">
        <f>IF(verze!$E$1="CZK",AD847,IF(verze!$E$1="SK",AE847,""))</f>
        <v>29.25581</v>
      </c>
    </row>
    <row r="848" spans="2:32" ht="15" hidden="1">
      <c r="B848" s="298"/>
      <c r="C848" s="216"/>
      <c r="D848" s="217"/>
      <c r="E848" s="391"/>
      <c r="F848" s="262"/>
      <c r="G848" s="272" t="e">
        <f t="shared" si="68"/>
        <v>#N/A</v>
      </c>
      <c r="H848" s="141" t="e">
        <f t="shared" si="67"/>
        <v>#N/A</v>
      </c>
      <c r="I848" s="409" t="s">
        <v>47</v>
      </c>
      <c r="J848" s="467"/>
      <c r="L848" s="86" t="e">
        <f>VLOOKUP(B848,$B$11:B847,1,FALSE)</f>
        <v>#N/A</v>
      </c>
      <c r="M848" s="256" t="e">
        <f>G848*(1-FORM!$AE$28/100)</f>
        <v>#N/A</v>
      </c>
      <c r="AA848" s="463" t="s">
        <v>3796</v>
      </c>
      <c r="AB848" s="462" t="s">
        <v>3797</v>
      </c>
      <c r="AC848" s="462" t="s">
        <v>3798</v>
      </c>
      <c r="AD848" s="464">
        <v>505.75454000000002</v>
      </c>
      <c r="AE848" s="465">
        <v>24.32863</v>
      </c>
      <c r="AF848" s="86">
        <f>IF(verze!$E$1="CZK",AD848,IF(verze!$E$1="SK",AE848,""))</f>
        <v>24.32863</v>
      </c>
    </row>
    <row r="849" spans="2:32" ht="15" hidden="1">
      <c r="B849" s="298"/>
      <c r="C849" s="216"/>
      <c r="D849" s="217"/>
      <c r="E849" s="391"/>
      <c r="F849" s="262"/>
      <c r="G849" s="272" t="e">
        <f t="shared" si="68"/>
        <v>#N/A</v>
      </c>
      <c r="H849" s="141" t="e">
        <f t="shared" si="67"/>
        <v>#N/A</v>
      </c>
      <c r="I849" s="409" t="s">
        <v>47</v>
      </c>
      <c r="J849" s="467"/>
      <c r="L849" s="86" t="e">
        <f>VLOOKUP(B849,$B$11:B848,1,FALSE)</f>
        <v>#N/A</v>
      </c>
      <c r="M849" s="256" t="e">
        <f>G849*(1-FORM!$AE$28/100)</f>
        <v>#N/A</v>
      </c>
      <c r="AA849" s="463" t="s">
        <v>3799</v>
      </c>
      <c r="AB849" s="462" t="s">
        <v>3800</v>
      </c>
      <c r="AC849" s="462" t="s">
        <v>3801</v>
      </c>
      <c r="AD849" s="464">
        <v>460.94107000000002</v>
      </c>
      <c r="AE849" s="465">
        <v>22.172930000000001</v>
      </c>
      <c r="AF849" s="86">
        <f>IF(verze!$E$1="CZK",AD849,IF(verze!$E$1="SK",AE849,""))</f>
        <v>22.172930000000001</v>
      </c>
    </row>
    <row r="850" spans="2:32" ht="15" hidden="1">
      <c r="B850" s="298"/>
      <c r="C850" s="216"/>
      <c r="D850" s="217"/>
      <c r="E850" s="391"/>
      <c r="F850" s="262"/>
      <c r="G850" s="272" t="e">
        <f t="shared" si="68"/>
        <v>#N/A</v>
      </c>
      <c r="H850" s="141" t="e">
        <f t="shared" si="67"/>
        <v>#N/A</v>
      </c>
      <c r="I850" s="409" t="s">
        <v>47</v>
      </c>
      <c r="J850" s="467"/>
      <c r="L850" s="86" t="e">
        <f>VLOOKUP(B850,$B$11:B849,1,FALSE)</f>
        <v>#N/A</v>
      </c>
      <c r="M850" s="256" t="e">
        <f>G850*(1-FORM!$AE$28/100)</f>
        <v>#N/A</v>
      </c>
      <c r="AA850" s="463" t="s">
        <v>3802</v>
      </c>
      <c r="AB850" s="462" t="s">
        <v>3803</v>
      </c>
      <c r="AC850" s="462" t="s">
        <v>3804</v>
      </c>
      <c r="AD850" s="464">
        <v>98.108400000000003</v>
      </c>
      <c r="AE850" s="465">
        <v>3.9481999999999999</v>
      </c>
      <c r="AF850" s="86">
        <f>IF(verze!$E$1="CZK",AD850,IF(verze!$E$1="SK",AE850,""))</f>
        <v>3.9481999999999999</v>
      </c>
    </row>
    <row r="851" spans="2:32" ht="15" hidden="1">
      <c r="B851" s="298"/>
      <c r="C851" s="216"/>
      <c r="D851" s="217"/>
      <c r="E851" s="391"/>
      <c r="F851" s="262"/>
      <c r="G851" s="272" t="e">
        <f t="shared" si="68"/>
        <v>#N/A</v>
      </c>
      <c r="H851" s="141" t="e">
        <f t="shared" si="67"/>
        <v>#N/A</v>
      </c>
      <c r="I851" s="409" t="s">
        <v>47</v>
      </c>
      <c r="J851" s="467"/>
      <c r="L851" s="86" t="e">
        <f>VLOOKUP(B851,$B$11:B850,1,FALSE)</f>
        <v>#N/A</v>
      </c>
      <c r="M851" s="256" t="e">
        <f>G851*(1-FORM!$AE$28/100)</f>
        <v>#N/A</v>
      </c>
      <c r="AA851" s="463" t="s">
        <v>3805</v>
      </c>
      <c r="AB851" s="462" t="s">
        <v>3806</v>
      </c>
      <c r="AC851" s="462" t="s">
        <v>3807</v>
      </c>
      <c r="AD851" s="464">
        <v>48.88008</v>
      </c>
      <c r="AE851" s="465">
        <v>2.3513099999999998</v>
      </c>
      <c r="AF851" s="86">
        <f>IF(verze!$E$1="CZK",AD851,IF(verze!$E$1="SK",AE851,""))</f>
        <v>2.3513099999999998</v>
      </c>
    </row>
    <row r="852" spans="2:32" ht="15" hidden="1">
      <c r="B852" s="298"/>
      <c r="C852" s="216"/>
      <c r="D852" s="217"/>
      <c r="E852" s="391"/>
      <c r="F852" s="262"/>
      <c r="G852" s="272" t="e">
        <f t="shared" si="68"/>
        <v>#N/A</v>
      </c>
      <c r="H852" s="141" t="e">
        <f t="shared" si="67"/>
        <v>#N/A</v>
      </c>
      <c r="I852" s="409" t="s">
        <v>47</v>
      </c>
      <c r="J852" s="467"/>
      <c r="L852" s="86" t="e">
        <f>VLOOKUP(B852,$B$11:B851,1,FALSE)</f>
        <v>#N/A</v>
      </c>
      <c r="M852" s="256" t="e">
        <f>G852*(1-FORM!$AE$28/100)</f>
        <v>#N/A</v>
      </c>
      <c r="AA852" s="463" t="s">
        <v>3808</v>
      </c>
      <c r="AB852" s="462" t="s">
        <v>3809</v>
      </c>
      <c r="AC852" s="462" t="s">
        <v>3810</v>
      </c>
      <c r="AD852" s="464">
        <v>65.053399999999996</v>
      </c>
      <c r="AE852" s="465">
        <v>3.1292900000000001</v>
      </c>
      <c r="AF852" s="86">
        <f>IF(verze!$E$1="CZK",AD852,IF(verze!$E$1="SK",AE852,""))</f>
        <v>3.1292900000000001</v>
      </c>
    </row>
    <row r="853" spans="2:32" ht="15" hidden="1">
      <c r="B853" s="298"/>
      <c r="C853" s="216"/>
      <c r="D853" s="217"/>
      <c r="E853" s="391"/>
      <c r="F853" s="262"/>
      <c r="G853" s="272" t="e">
        <f t="shared" si="68"/>
        <v>#N/A</v>
      </c>
      <c r="H853" s="141" t="e">
        <f t="shared" si="67"/>
        <v>#N/A</v>
      </c>
      <c r="I853" s="409" t="s">
        <v>47</v>
      </c>
      <c r="J853" s="467"/>
      <c r="L853" s="86" t="e">
        <f>VLOOKUP(B853,$B$11:B852,1,FALSE)</f>
        <v>#N/A</v>
      </c>
      <c r="M853" s="256" t="e">
        <f>G853*(1-FORM!$AE$28/100)</f>
        <v>#N/A</v>
      </c>
      <c r="AA853" s="463" t="s">
        <v>3811</v>
      </c>
      <c r="AB853" s="462" t="s">
        <v>3812</v>
      </c>
      <c r="AC853" s="462" t="s">
        <v>3813</v>
      </c>
      <c r="AD853" s="464">
        <v>1112.8996400000001</v>
      </c>
      <c r="AE853" s="465">
        <v>44.521520000000002</v>
      </c>
      <c r="AF853" s="86">
        <f>IF(verze!$E$1="CZK",AD853,IF(verze!$E$1="SK",AE853,""))</f>
        <v>44.521520000000002</v>
      </c>
    </row>
    <row r="854" spans="2:32" ht="15" hidden="1">
      <c r="B854" s="298"/>
      <c r="C854" s="216"/>
      <c r="D854" s="217"/>
      <c r="E854" s="391"/>
      <c r="F854" s="262"/>
      <c r="G854" s="272" t="e">
        <f t="shared" si="68"/>
        <v>#N/A</v>
      </c>
      <c r="H854" s="141" t="e">
        <f t="shared" si="67"/>
        <v>#N/A</v>
      </c>
      <c r="I854" s="409" t="s">
        <v>47</v>
      </c>
      <c r="J854" s="467"/>
      <c r="L854" s="86" t="e">
        <f>VLOOKUP(B854,$B$11:B853,1,FALSE)</f>
        <v>#N/A</v>
      </c>
      <c r="M854" s="256" t="e">
        <f>G854*(1-FORM!$AE$28/100)</f>
        <v>#N/A</v>
      </c>
      <c r="AA854" s="463" t="s">
        <v>3814</v>
      </c>
      <c r="AB854" s="462" t="s">
        <v>3815</v>
      </c>
      <c r="AC854" s="462" t="s">
        <v>3816</v>
      </c>
      <c r="AD854" s="464">
        <v>137.02538000000001</v>
      </c>
      <c r="AE854" s="465">
        <v>6.5914200000000003</v>
      </c>
      <c r="AF854" s="86">
        <f>IF(verze!$E$1="CZK",AD854,IF(verze!$E$1="SK",AE854,""))</f>
        <v>6.5914200000000003</v>
      </c>
    </row>
    <row r="855" spans="2:32" ht="15" hidden="1">
      <c r="B855" s="298"/>
      <c r="C855" s="216"/>
      <c r="D855" s="217"/>
      <c r="E855" s="391"/>
      <c r="F855" s="262"/>
      <c r="G855" s="272" t="e">
        <f t="shared" si="68"/>
        <v>#N/A</v>
      </c>
      <c r="H855" s="141" t="e">
        <f t="shared" si="67"/>
        <v>#N/A</v>
      </c>
      <c r="I855" s="409" t="s">
        <v>47</v>
      </c>
      <c r="J855" s="467"/>
      <c r="L855" s="86" t="e">
        <f>VLOOKUP(B855,$B$11:B854,1,FALSE)</f>
        <v>#N/A</v>
      </c>
      <c r="M855" s="256" t="e">
        <f>G855*(1-FORM!$AE$28/100)</f>
        <v>#N/A</v>
      </c>
      <c r="AA855" s="463" t="s">
        <v>3817</v>
      </c>
      <c r="AB855" s="462" t="s">
        <v>3818</v>
      </c>
      <c r="AC855" s="462" t="s">
        <v>3819</v>
      </c>
      <c r="AD855" s="464">
        <v>137.02538000000001</v>
      </c>
      <c r="AE855" s="465">
        <v>6.5914200000000003</v>
      </c>
      <c r="AF855" s="86">
        <f>IF(verze!$E$1="CZK",AD855,IF(verze!$E$1="SK",AE855,""))</f>
        <v>6.5914200000000003</v>
      </c>
    </row>
    <row r="856" spans="2:32" ht="15" hidden="1">
      <c r="B856" s="298"/>
      <c r="C856" s="216"/>
      <c r="D856" s="217"/>
      <c r="E856" s="391"/>
      <c r="F856" s="262"/>
      <c r="G856" s="272" t="e">
        <f t="shared" si="68"/>
        <v>#N/A</v>
      </c>
      <c r="H856" s="141" t="e">
        <f t="shared" si="67"/>
        <v>#N/A</v>
      </c>
      <c r="I856" s="409" t="s">
        <v>47</v>
      </c>
      <c r="J856" s="467"/>
      <c r="L856" s="86" t="e">
        <f>VLOOKUP(B856,$B$11:B855,1,FALSE)</f>
        <v>#N/A</v>
      </c>
      <c r="M856" s="256" t="e">
        <f>G856*(1-FORM!$AE$28/100)</f>
        <v>#N/A</v>
      </c>
      <c r="AA856" s="463" t="s">
        <v>3820</v>
      </c>
      <c r="AB856" s="462" t="s">
        <v>3821</v>
      </c>
      <c r="AC856" s="462" t="s">
        <v>3822</v>
      </c>
      <c r="AD856" s="464">
        <v>152.98641000000001</v>
      </c>
      <c r="AE856" s="465">
        <v>7.3592000000000004</v>
      </c>
      <c r="AF856" s="86">
        <f>IF(verze!$E$1="CZK",AD856,IF(verze!$E$1="SK",AE856,""))</f>
        <v>7.3592000000000004</v>
      </c>
    </row>
    <row r="857" spans="2:32" ht="15" hidden="1">
      <c r="B857" s="298"/>
      <c r="C857" s="216"/>
      <c r="D857" s="217"/>
      <c r="E857" s="391"/>
      <c r="F857" s="262"/>
      <c r="G857" s="272" t="e">
        <f t="shared" si="68"/>
        <v>#N/A</v>
      </c>
      <c r="H857" s="141" t="e">
        <f t="shared" si="67"/>
        <v>#N/A</v>
      </c>
      <c r="I857" s="409" t="s">
        <v>47</v>
      </c>
      <c r="J857" s="467"/>
      <c r="L857" s="86" t="e">
        <f>VLOOKUP(B857,$B$11:B856,1,FALSE)</f>
        <v>#N/A</v>
      </c>
      <c r="M857" s="256" t="e">
        <f>G857*(1-FORM!$AE$28/100)</f>
        <v>#N/A</v>
      </c>
      <c r="AA857" s="463" t="s">
        <v>3823</v>
      </c>
      <c r="AB857" s="462" t="s">
        <v>3824</v>
      </c>
      <c r="AC857" s="462" t="s">
        <v>3825</v>
      </c>
      <c r="AD857" s="464">
        <v>137.02538000000001</v>
      </c>
      <c r="AE857" s="465">
        <v>6.5914200000000003</v>
      </c>
      <c r="AF857" s="86">
        <f>IF(verze!$E$1="CZK",AD857,IF(verze!$E$1="SK",AE857,""))</f>
        <v>6.5914200000000003</v>
      </c>
    </row>
    <row r="858" spans="2:32" ht="15" hidden="1">
      <c r="B858" s="298"/>
      <c r="C858" s="216"/>
      <c r="D858" s="217"/>
      <c r="E858" s="391"/>
      <c r="F858" s="262"/>
      <c r="G858" s="272" t="e">
        <f t="shared" si="68"/>
        <v>#N/A</v>
      </c>
      <c r="H858" s="141" t="e">
        <f t="shared" si="67"/>
        <v>#N/A</v>
      </c>
      <c r="I858" s="409" t="s">
        <v>47</v>
      </c>
      <c r="J858" s="467"/>
      <c r="L858" s="86" t="e">
        <f>VLOOKUP(B858,$B$11:B857,1,FALSE)</f>
        <v>#N/A</v>
      </c>
      <c r="M858" s="256" t="e">
        <f>G858*(1-FORM!$AE$28/100)</f>
        <v>#N/A</v>
      </c>
      <c r="AA858" s="463" t="s">
        <v>3826</v>
      </c>
      <c r="AB858" s="462" t="s">
        <v>3827</v>
      </c>
      <c r="AC858" s="462" t="s">
        <v>3828</v>
      </c>
      <c r="AD858" s="464">
        <v>137.02538000000001</v>
      </c>
      <c r="AE858" s="465">
        <v>6.5914200000000003</v>
      </c>
      <c r="AF858" s="86">
        <f>IF(verze!$E$1="CZK",AD858,IF(verze!$E$1="SK",AE858,""))</f>
        <v>6.5914200000000003</v>
      </c>
    </row>
    <row r="859" spans="2:32" ht="15" hidden="1">
      <c r="B859" s="298"/>
      <c r="C859" s="216"/>
      <c r="D859" s="217"/>
      <c r="E859" s="391"/>
      <c r="F859" s="262"/>
      <c r="G859" s="272" t="e">
        <f t="shared" si="68"/>
        <v>#N/A</v>
      </c>
      <c r="H859" s="141" t="e">
        <f t="shared" si="67"/>
        <v>#N/A</v>
      </c>
      <c r="I859" s="409" t="s">
        <v>47</v>
      </c>
      <c r="J859" s="467"/>
      <c r="L859" s="86" t="e">
        <f>VLOOKUP(B859,$B$11:B858,1,FALSE)</f>
        <v>#N/A</v>
      </c>
      <c r="M859" s="256" t="e">
        <f>G859*(1-FORM!$AE$28/100)</f>
        <v>#N/A</v>
      </c>
      <c r="AA859" s="463" t="s">
        <v>3829</v>
      </c>
      <c r="AB859" s="462" t="s">
        <v>3830</v>
      </c>
      <c r="AC859" s="462" t="s">
        <v>3831</v>
      </c>
      <c r="AD859" s="464">
        <v>50.75318</v>
      </c>
      <c r="AE859" s="465">
        <v>0</v>
      </c>
      <c r="AF859" s="86">
        <f>IF(verze!$E$1="CZK",AD859,IF(verze!$E$1="SK",AE859,""))</f>
        <v>0</v>
      </c>
    </row>
    <row r="860" spans="2:32" ht="15" hidden="1">
      <c r="B860" s="298"/>
      <c r="C860" s="216"/>
      <c r="D860" s="217"/>
      <c r="E860" s="391"/>
      <c r="F860" s="262"/>
      <c r="G860" s="272" t="e">
        <f t="shared" si="68"/>
        <v>#N/A</v>
      </c>
      <c r="H860" s="141" t="e">
        <f t="shared" si="67"/>
        <v>#N/A</v>
      </c>
      <c r="I860" s="409" t="s">
        <v>47</v>
      </c>
      <c r="J860" s="467"/>
      <c r="L860" s="86" t="e">
        <f>VLOOKUP(B860,$B$11:B859,1,FALSE)</f>
        <v>#N/A</v>
      </c>
      <c r="M860" s="256" t="e">
        <f>G860*(1-FORM!$AE$28/100)</f>
        <v>#N/A</v>
      </c>
      <c r="AA860" s="463" t="s">
        <v>3832</v>
      </c>
      <c r="AB860" s="462" t="s">
        <v>3833</v>
      </c>
      <c r="AC860" s="462" t="s">
        <v>3834</v>
      </c>
      <c r="AD860" s="464">
        <v>73.123649999999998</v>
      </c>
      <c r="AE860" s="465">
        <v>3.5175000000000001</v>
      </c>
      <c r="AF860" s="86">
        <f>IF(verze!$E$1="CZK",AD860,IF(verze!$E$1="SK",AE860,""))</f>
        <v>3.5175000000000001</v>
      </c>
    </row>
    <row r="861" spans="2:32" ht="15" hidden="1">
      <c r="B861" s="298"/>
      <c r="C861" s="216"/>
      <c r="D861" s="217"/>
      <c r="E861" s="391"/>
      <c r="F861" s="262"/>
      <c r="G861" s="272" t="e">
        <f t="shared" si="68"/>
        <v>#N/A</v>
      </c>
      <c r="H861" s="141" t="e">
        <f t="shared" ref="H861:H924" si="69">IF(G861="","",$H$10)</f>
        <v>#N/A</v>
      </c>
      <c r="I861" s="409" t="s">
        <v>47</v>
      </c>
      <c r="J861" s="467"/>
      <c r="L861" s="86" t="e">
        <f>VLOOKUP(B861,$B$11:B860,1,FALSE)</f>
        <v>#N/A</v>
      </c>
      <c r="M861" s="256" t="e">
        <f>G861*(1-FORM!$AE$28/100)</f>
        <v>#N/A</v>
      </c>
      <c r="AA861" s="463" t="s">
        <v>3835</v>
      </c>
      <c r="AB861" s="462" t="s">
        <v>3836</v>
      </c>
      <c r="AC861" s="462" t="s">
        <v>3837</v>
      </c>
      <c r="AD861" s="464">
        <v>360.56013999999999</v>
      </c>
      <c r="AE861" s="465">
        <v>17.344239999999999</v>
      </c>
      <c r="AF861" s="86">
        <f>IF(verze!$E$1="CZK",AD861,IF(verze!$E$1="SK",AE861,""))</f>
        <v>17.344239999999999</v>
      </c>
    </row>
    <row r="862" spans="2:32" ht="15" hidden="1">
      <c r="B862" s="298"/>
      <c r="C862" s="216"/>
      <c r="D862" s="217"/>
      <c r="E862" s="391"/>
      <c r="F862" s="262"/>
      <c r="G862" s="272" t="e">
        <f t="shared" si="68"/>
        <v>#N/A</v>
      </c>
      <c r="H862" s="141" t="e">
        <f t="shared" si="69"/>
        <v>#N/A</v>
      </c>
      <c r="I862" s="409" t="s">
        <v>47</v>
      </c>
      <c r="J862" s="467"/>
      <c r="L862" s="86" t="e">
        <f>VLOOKUP(B862,$B$11:B861,1,FALSE)</f>
        <v>#N/A</v>
      </c>
      <c r="M862" s="256" t="e">
        <f>G862*(1-FORM!$AE$28/100)</f>
        <v>#N/A</v>
      </c>
      <c r="AA862" s="463" t="s">
        <v>3838</v>
      </c>
      <c r="AB862" s="462" t="s">
        <v>3839</v>
      </c>
      <c r="AC862" s="462" t="s">
        <v>3840</v>
      </c>
      <c r="AD862" s="464">
        <v>553.80529000000001</v>
      </c>
      <c r="AE862" s="465">
        <v>22.154959999999999</v>
      </c>
      <c r="AF862" s="86">
        <f>IF(verze!$E$1="CZK",AD862,IF(verze!$E$1="SK",AE862,""))</f>
        <v>22.154959999999999</v>
      </c>
    </row>
    <row r="863" spans="2:32" ht="15" hidden="1">
      <c r="B863" s="298"/>
      <c r="C863" s="216"/>
      <c r="D863" s="217"/>
      <c r="E863" s="391"/>
      <c r="F863" s="262"/>
      <c r="G863" s="272" t="e">
        <f t="shared" si="68"/>
        <v>#N/A</v>
      </c>
      <c r="H863" s="141" t="e">
        <f t="shared" si="69"/>
        <v>#N/A</v>
      </c>
      <c r="I863" s="409" t="s">
        <v>47</v>
      </c>
      <c r="J863" s="467"/>
      <c r="L863" s="86" t="e">
        <f>VLOOKUP(B863,$B$11:B862,1,FALSE)</f>
        <v>#N/A</v>
      </c>
      <c r="M863" s="256" t="e">
        <f>G863*(1-FORM!$AE$28/100)</f>
        <v>#N/A</v>
      </c>
      <c r="AA863" s="463" t="s">
        <v>3841</v>
      </c>
      <c r="AB863" s="462" t="s">
        <v>3842</v>
      </c>
      <c r="AC863" s="462" t="s">
        <v>3843</v>
      </c>
      <c r="AD863" s="464">
        <v>553.80529000000001</v>
      </c>
      <c r="AE863" s="465">
        <v>22.154959999999999</v>
      </c>
      <c r="AF863" s="86">
        <f>IF(verze!$E$1="CZK",AD863,IF(verze!$E$1="SK",AE863,""))</f>
        <v>22.154959999999999</v>
      </c>
    </row>
    <row r="864" spans="2:32" ht="15" hidden="1">
      <c r="B864" s="298"/>
      <c r="C864" s="216"/>
      <c r="D864" s="217"/>
      <c r="E864" s="391"/>
      <c r="F864" s="262"/>
      <c r="G864" s="272" t="e">
        <f t="shared" si="68"/>
        <v>#N/A</v>
      </c>
      <c r="H864" s="141" t="e">
        <f t="shared" si="69"/>
        <v>#N/A</v>
      </c>
      <c r="I864" s="409" t="s">
        <v>47</v>
      </c>
      <c r="J864" s="467"/>
      <c r="L864" s="86" t="e">
        <f>VLOOKUP(B864,$B$11:B863,1,FALSE)</f>
        <v>#N/A</v>
      </c>
      <c r="M864" s="256" t="e">
        <f>G864*(1-FORM!$AE$28/100)</f>
        <v>#N/A</v>
      </c>
      <c r="AA864" s="463" t="s">
        <v>3844</v>
      </c>
      <c r="AB864" s="462" t="s">
        <v>3845</v>
      </c>
      <c r="AC864" s="462" t="s">
        <v>3846</v>
      </c>
      <c r="AD864" s="464">
        <v>5556.4114300000001</v>
      </c>
      <c r="AE864" s="465">
        <v>222.28411</v>
      </c>
      <c r="AF864" s="86">
        <f>IF(verze!$E$1="CZK",AD864,IF(verze!$E$1="SK",AE864,""))</f>
        <v>222.28411</v>
      </c>
    </row>
    <row r="865" spans="2:32" ht="15" hidden="1">
      <c r="B865" s="298"/>
      <c r="C865" s="216"/>
      <c r="D865" s="217"/>
      <c r="E865" s="391"/>
      <c r="F865" s="262"/>
      <c r="G865" s="272" t="e">
        <f t="shared" si="68"/>
        <v>#N/A</v>
      </c>
      <c r="H865" s="141" t="e">
        <f t="shared" si="69"/>
        <v>#N/A</v>
      </c>
      <c r="I865" s="409" t="s">
        <v>47</v>
      </c>
      <c r="J865" s="467"/>
      <c r="L865" s="86" t="e">
        <f>VLOOKUP(B865,$B$11:B864,1,FALSE)</f>
        <v>#N/A</v>
      </c>
      <c r="M865" s="256" t="e">
        <f>G865*(1-FORM!$AE$28/100)</f>
        <v>#N/A</v>
      </c>
      <c r="AA865" s="463" t="s">
        <v>3847</v>
      </c>
      <c r="AB865" s="462" t="s">
        <v>3848</v>
      </c>
      <c r="AC865" s="462" t="s">
        <v>3849</v>
      </c>
      <c r="AD865" s="464">
        <v>2262.9711200000002</v>
      </c>
      <c r="AE865" s="465">
        <v>90.530100000000004</v>
      </c>
      <c r="AF865" s="86">
        <f>IF(verze!$E$1="CZK",AD865,IF(verze!$E$1="SK",AE865,""))</f>
        <v>90.530100000000004</v>
      </c>
    </row>
    <row r="866" spans="2:32" ht="15" hidden="1">
      <c r="B866" s="298"/>
      <c r="C866" s="216"/>
      <c r="D866" s="217"/>
      <c r="E866" s="391"/>
      <c r="F866" s="262"/>
      <c r="G866" s="272" t="e">
        <f t="shared" si="68"/>
        <v>#N/A</v>
      </c>
      <c r="H866" s="141" t="e">
        <f t="shared" si="69"/>
        <v>#N/A</v>
      </c>
      <c r="I866" s="409" t="s">
        <v>47</v>
      </c>
      <c r="J866" s="467"/>
      <c r="L866" s="86" t="e">
        <f>VLOOKUP(B866,$B$11:B865,1,FALSE)</f>
        <v>#N/A</v>
      </c>
      <c r="M866" s="256" t="e">
        <f>G866*(1-FORM!$AE$28/100)</f>
        <v>#N/A</v>
      </c>
      <c r="AA866" s="463" t="s">
        <v>3850</v>
      </c>
      <c r="AB866" s="462" t="s">
        <v>3851</v>
      </c>
      <c r="AC866" s="462" t="s">
        <v>3852</v>
      </c>
      <c r="AD866" s="464">
        <v>13.726459999999999</v>
      </c>
      <c r="AE866" s="465">
        <v>0.66027999999999998</v>
      </c>
      <c r="AF866" s="86">
        <f>IF(verze!$E$1="CZK",AD866,IF(verze!$E$1="SK",AE866,""))</f>
        <v>0.66027999999999998</v>
      </c>
    </row>
    <row r="867" spans="2:32" ht="15" hidden="1">
      <c r="B867" s="298"/>
      <c r="C867" s="216"/>
      <c r="D867" s="217"/>
      <c r="E867" s="391"/>
      <c r="F867" s="262"/>
      <c r="G867" s="272" t="e">
        <f t="shared" si="68"/>
        <v>#N/A</v>
      </c>
      <c r="H867" s="141" t="e">
        <f t="shared" si="69"/>
        <v>#N/A</v>
      </c>
      <c r="I867" s="409" t="s">
        <v>47</v>
      </c>
      <c r="J867" s="467"/>
      <c r="L867" s="86" t="e">
        <f>VLOOKUP(B867,$B$11:B866,1,FALSE)</f>
        <v>#N/A</v>
      </c>
      <c r="M867" s="256" t="e">
        <f>G867*(1-FORM!$AE$28/100)</f>
        <v>#N/A</v>
      </c>
      <c r="AA867" s="463" t="s">
        <v>3853</v>
      </c>
      <c r="AB867" s="462" t="s">
        <v>3854</v>
      </c>
      <c r="AC867" s="462" t="s">
        <v>3855</v>
      </c>
      <c r="AD867" s="464">
        <v>16.01418</v>
      </c>
      <c r="AE867" s="465">
        <v>0.77034000000000002</v>
      </c>
      <c r="AF867" s="86">
        <f>IF(verze!$E$1="CZK",AD867,IF(verze!$E$1="SK",AE867,""))</f>
        <v>0.77034000000000002</v>
      </c>
    </row>
    <row r="868" spans="2:32" ht="15" hidden="1">
      <c r="B868" s="298"/>
      <c r="C868" s="216"/>
      <c r="D868" s="217"/>
      <c r="E868" s="391"/>
      <c r="F868" s="262"/>
      <c r="G868" s="272" t="e">
        <f t="shared" si="68"/>
        <v>#N/A</v>
      </c>
      <c r="H868" s="141" t="e">
        <f t="shared" si="69"/>
        <v>#N/A</v>
      </c>
      <c r="I868" s="409" t="s">
        <v>47</v>
      </c>
      <c r="J868" s="467"/>
      <c r="L868" s="86" t="e">
        <f>VLOOKUP(B868,$B$11:B867,1,FALSE)</f>
        <v>#N/A</v>
      </c>
      <c r="M868" s="256" t="e">
        <f>G868*(1-FORM!$AE$28/100)</f>
        <v>#N/A</v>
      </c>
      <c r="AA868" s="463" t="s">
        <v>3856</v>
      </c>
      <c r="AB868" s="462" t="s">
        <v>3857</v>
      </c>
      <c r="AC868" s="462" t="s">
        <v>3858</v>
      </c>
      <c r="AD868" s="464">
        <v>1838.7686100000001</v>
      </c>
      <c r="AE868" s="465">
        <v>73.559899999999999</v>
      </c>
      <c r="AF868" s="86">
        <f>IF(verze!$E$1="CZK",AD868,IF(verze!$E$1="SK",AE868,""))</f>
        <v>73.559899999999999</v>
      </c>
    </row>
    <row r="869" spans="2:32" ht="15" hidden="1">
      <c r="B869" s="298"/>
      <c r="C869" s="216"/>
      <c r="D869" s="217"/>
      <c r="E869" s="391"/>
      <c r="F869" s="262"/>
      <c r="G869" s="272" t="e">
        <f t="shared" si="68"/>
        <v>#N/A</v>
      </c>
      <c r="H869" s="141" t="e">
        <f t="shared" si="69"/>
        <v>#N/A</v>
      </c>
      <c r="I869" s="409" t="s">
        <v>47</v>
      </c>
      <c r="J869" s="467"/>
      <c r="L869" s="86" t="e">
        <f>VLOOKUP(B869,$B$11:B868,1,FALSE)</f>
        <v>#N/A</v>
      </c>
      <c r="M869" s="256" t="e">
        <f>G869*(1-FORM!$AE$28/100)</f>
        <v>#N/A</v>
      </c>
      <c r="AA869" s="463" t="s">
        <v>3859</v>
      </c>
      <c r="AB869" s="462" t="s">
        <v>3860</v>
      </c>
      <c r="AC869" s="462" t="s">
        <v>3861</v>
      </c>
      <c r="AD869" s="464">
        <v>1937.0674300000001</v>
      </c>
      <c r="AE869" s="465">
        <v>77.492339999999999</v>
      </c>
      <c r="AF869" s="86">
        <f>IF(verze!$E$1="CZK",AD869,IF(verze!$E$1="SK",AE869,""))</f>
        <v>77.492339999999999</v>
      </c>
    </row>
    <row r="870" spans="2:32" ht="15" hidden="1">
      <c r="B870" s="298"/>
      <c r="C870" s="216"/>
      <c r="D870" s="217"/>
      <c r="E870" s="391"/>
      <c r="F870" s="262"/>
      <c r="G870" s="272" t="e">
        <f t="shared" si="68"/>
        <v>#N/A</v>
      </c>
      <c r="H870" s="141" t="e">
        <f t="shared" si="69"/>
        <v>#N/A</v>
      </c>
      <c r="I870" s="409" t="s">
        <v>47</v>
      </c>
      <c r="J870" s="467"/>
      <c r="L870" s="86" t="e">
        <f>VLOOKUP(B870,$B$11:B869,1,FALSE)</f>
        <v>#N/A</v>
      </c>
      <c r="M870" s="256" t="e">
        <f>G870*(1-FORM!$AE$28/100)</f>
        <v>#N/A</v>
      </c>
      <c r="AA870" s="463" t="s">
        <v>3862</v>
      </c>
      <c r="AB870" s="462" t="s">
        <v>3863</v>
      </c>
      <c r="AC870" s="462" t="s">
        <v>3864</v>
      </c>
      <c r="AD870" s="464">
        <v>1707.1531399999999</v>
      </c>
      <c r="AE870" s="465">
        <v>68.294629999999998</v>
      </c>
      <c r="AF870" s="86">
        <f>IF(verze!$E$1="CZK",AD870,IF(verze!$E$1="SK",AE870,""))</f>
        <v>68.294629999999998</v>
      </c>
    </row>
    <row r="871" spans="2:32" ht="15" hidden="1">
      <c r="B871" s="298"/>
      <c r="C871" s="216"/>
      <c r="D871" s="217"/>
      <c r="E871" s="391"/>
      <c r="F871" s="262"/>
      <c r="G871" s="272" t="e">
        <f t="shared" si="68"/>
        <v>#N/A</v>
      </c>
      <c r="H871" s="141" t="e">
        <f t="shared" si="69"/>
        <v>#N/A</v>
      </c>
      <c r="I871" s="409" t="s">
        <v>47</v>
      </c>
      <c r="J871" s="467"/>
      <c r="L871" s="86" t="e">
        <f>VLOOKUP(B871,$B$11:B870,1,FALSE)</f>
        <v>#N/A</v>
      </c>
      <c r="M871" s="256" t="e">
        <f>G871*(1-FORM!$AE$28/100)</f>
        <v>#N/A</v>
      </c>
      <c r="AA871" s="463" t="s">
        <v>3865</v>
      </c>
      <c r="AB871" s="462" t="s">
        <v>3866</v>
      </c>
      <c r="AC871" s="462" t="s">
        <v>3867</v>
      </c>
      <c r="AD871" s="464">
        <v>2015.37464</v>
      </c>
      <c r="AE871" s="465">
        <v>80.625029999999995</v>
      </c>
      <c r="AF871" s="86">
        <f>IF(verze!$E$1="CZK",AD871,IF(verze!$E$1="SK",AE871,""))</f>
        <v>80.625029999999995</v>
      </c>
    </row>
    <row r="872" spans="2:32" ht="15" hidden="1">
      <c r="B872" s="298"/>
      <c r="C872" s="216"/>
      <c r="D872" s="217"/>
      <c r="E872" s="391"/>
      <c r="F872" s="262"/>
      <c r="G872" s="272" t="e">
        <f t="shared" si="68"/>
        <v>#N/A</v>
      </c>
      <c r="H872" s="141" t="e">
        <f t="shared" si="69"/>
        <v>#N/A</v>
      </c>
      <c r="I872" s="409" t="s">
        <v>47</v>
      </c>
      <c r="J872" s="467"/>
      <c r="L872" s="86" t="e">
        <f>VLOOKUP(B872,$B$11:B871,1,FALSE)</f>
        <v>#N/A</v>
      </c>
      <c r="M872" s="256" t="e">
        <f>G872*(1-FORM!$AE$28/100)</f>
        <v>#N/A</v>
      </c>
      <c r="AA872" s="463" t="s">
        <v>3868</v>
      </c>
      <c r="AB872" s="462" t="s">
        <v>3869</v>
      </c>
      <c r="AC872" s="462" t="s">
        <v>3870</v>
      </c>
      <c r="AD872" s="464">
        <v>2015.37464</v>
      </c>
      <c r="AE872" s="465">
        <v>80.625029999999995</v>
      </c>
      <c r="AF872" s="86">
        <f>IF(verze!$E$1="CZK",AD872,IF(verze!$E$1="SK",AE872,""))</f>
        <v>80.625029999999995</v>
      </c>
    </row>
    <row r="873" spans="2:32" ht="15" hidden="1">
      <c r="B873" s="298"/>
      <c r="C873" s="216"/>
      <c r="D873" s="217"/>
      <c r="E873" s="391"/>
      <c r="F873" s="262"/>
      <c r="G873" s="272" t="e">
        <f t="shared" si="68"/>
        <v>#N/A</v>
      </c>
      <c r="H873" s="141" t="e">
        <f t="shared" si="69"/>
        <v>#N/A</v>
      </c>
      <c r="I873" s="409" t="s">
        <v>47</v>
      </c>
      <c r="J873" s="467"/>
      <c r="L873" s="86" t="e">
        <f>VLOOKUP(B873,$B$11:B872,1,FALSE)</f>
        <v>#N/A</v>
      </c>
      <c r="M873" s="256" t="e">
        <f>G873*(1-FORM!$AE$28/100)</f>
        <v>#N/A</v>
      </c>
      <c r="AA873" s="463" t="s">
        <v>3871</v>
      </c>
      <c r="AB873" s="462" t="s">
        <v>3872</v>
      </c>
      <c r="AC873" s="462" t="s">
        <v>3873</v>
      </c>
      <c r="AD873" s="464">
        <v>1832.1021599999999</v>
      </c>
      <c r="AE873" s="465">
        <v>73.293210000000002</v>
      </c>
      <c r="AF873" s="86">
        <f>IF(verze!$E$1="CZK",AD873,IF(verze!$E$1="SK",AE873,""))</f>
        <v>73.293210000000002</v>
      </c>
    </row>
    <row r="874" spans="2:32" ht="15" hidden="1">
      <c r="B874" s="298"/>
      <c r="C874" s="216"/>
      <c r="D874" s="217"/>
      <c r="E874" s="391"/>
      <c r="F874" s="262"/>
      <c r="G874" s="272" t="e">
        <f t="shared" si="68"/>
        <v>#N/A</v>
      </c>
      <c r="H874" s="141" t="e">
        <f t="shared" si="69"/>
        <v>#N/A</v>
      </c>
      <c r="I874" s="409" t="s">
        <v>47</v>
      </c>
      <c r="J874" s="467"/>
      <c r="L874" s="86" t="e">
        <f>VLOOKUP(B874,$B$11:B873,1,FALSE)</f>
        <v>#N/A</v>
      </c>
      <c r="M874" s="256" t="e">
        <f>G874*(1-FORM!$AE$28/100)</f>
        <v>#N/A</v>
      </c>
      <c r="AA874" s="463" t="s">
        <v>3874</v>
      </c>
      <c r="AB874" s="462" t="s">
        <v>3875</v>
      </c>
      <c r="AC874" s="462" t="s">
        <v>3876</v>
      </c>
      <c r="AD874" s="464">
        <v>1832.1021599999999</v>
      </c>
      <c r="AE874" s="465">
        <v>73.293210000000002</v>
      </c>
      <c r="AF874" s="86">
        <f>IF(verze!$E$1="CZK",AD874,IF(verze!$E$1="SK",AE874,""))</f>
        <v>73.293210000000002</v>
      </c>
    </row>
    <row r="875" spans="2:32" ht="15" hidden="1">
      <c r="B875" s="298"/>
      <c r="C875" s="216"/>
      <c r="D875" s="217"/>
      <c r="E875" s="391"/>
      <c r="F875" s="262"/>
      <c r="G875" s="272" t="e">
        <f t="shared" si="68"/>
        <v>#N/A</v>
      </c>
      <c r="H875" s="141" t="e">
        <f t="shared" si="69"/>
        <v>#N/A</v>
      </c>
      <c r="I875" s="409" t="s">
        <v>47</v>
      </c>
      <c r="J875" s="467"/>
      <c r="L875" s="86" t="e">
        <f>VLOOKUP(B875,$B$11:B874,1,FALSE)</f>
        <v>#N/A</v>
      </c>
      <c r="M875" s="256" t="e">
        <f>G875*(1-FORM!$AE$28/100)</f>
        <v>#N/A</v>
      </c>
      <c r="AA875" s="463" t="s">
        <v>3877</v>
      </c>
      <c r="AB875" s="462" t="s">
        <v>3878</v>
      </c>
      <c r="AC875" s="462" t="s">
        <v>3879</v>
      </c>
      <c r="AD875" s="464">
        <v>3086.0907499999998</v>
      </c>
      <c r="AE875" s="465">
        <v>123.459</v>
      </c>
      <c r="AF875" s="86">
        <f>IF(verze!$E$1="CZK",AD875,IF(verze!$E$1="SK",AE875,""))</f>
        <v>123.459</v>
      </c>
    </row>
    <row r="876" spans="2:32" ht="15" hidden="1">
      <c r="B876" s="298"/>
      <c r="C876" s="216"/>
      <c r="D876" s="217"/>
      <c r="E876" s="391"/>
      <c r="F876" s="262"/>
      <c r="G876" s="272" t="e">
        <f t="shared" si="68"/>
        <v>#N/A</v>
      </c>
      <c r="H876" s="141" t="e">
        <f t="shared" si="69"/>
        <v>#N/A</v>
      </c>
      <c r="I876" s="409" t="s">
        <v>47</v>
      </c>
      <c r="J876" s="467"/>
      <c r="L876" s="86" t="e">
        <f>VLOOKUP(B876,$B$11:B875,1,FALSE)</f>
        <v>#N/A</v>
      </c>
      <c r="M876" s="256" t="e">
        <f>G876*(1-FORM!$AE$28/100)</f>
        <v>#N/A</v>
      </c>
      <c r="AA876" s="463" t="s">
        <v>3880</v>
      </c>
      <c r="AB876" s="462" t="s">
        <v>3881</v>
      </c>
      <c r="AC876" s="462" t="s">
        <v>3882</v>
      </c>
      <c r="AD876" s="464">
        <v>3217.7035999999998</v>
      </c>
      <c r="AE876" s="465">
        <v>128.72415000000001</v>
      </c>
      <c r="AF876" s="86">
        <f>IF(verze!$E$1="CZK",AD876,IF(verze!$E$1="SK",AE876,""))</f>
        <v>128.72415000000001</v>
      </c>
    </row>
    <row r="877" spans="2:32" ht="15" hidden="1">
      <c r="B877" s="298"/>
      <c r="C877" s="216"/>
      <c r="D877" s="217"/>
      <c r="E877" s="391"/>
      <c r="F877" s="262"/>
      <c r="G877" s="272" t="e">
        <f t="shared" si="68"/>
        <v>#N/A</v>
      </c>
      <c r="H877" s="141" t="e">
        <f t="shared" si="69"/>
        <v>#N/A</v>
      </c>
      <c r="I877" s="409" t="s">
        <v>47</v>
      </c>
      <c r="J877" s="467"/>
      <c r="L877" s="86" t="e">
        <f>VLOOKUP(B877,$B$11:B876,1,FALSE)</f>
        <v>#N/A</v>
      </c>
      <c r="M877" s="256" t="e">
        <f>G877*(1-FORM!$AE$28/100)</f>
        <v>#N/A</v>
      </c>
      <c r="AA877" s="463" t="s">
        <v>3883</v>
      </c>
      <c r="AB877" s="462" t="s">
        <v>3884</v>
      </c>
      <c r="AC877" s="462" t="s">
        <v>3885</v>
      </c>
      <c r="AD877" s="464">
        <v>2862.84301</v>
      </c>
      <c r="AE877" s="465">
        <v>114.52798</v>
      </c>
      <c r="AF877" s="86">
        <f>IF(verze!$E$1="CZK",AD877,IF(verze!$E$1="SK",AE877,""))</f>
        <v>114.52798</v>
      </c>
    </row>
    <row r="878" spans="2:32" ht="15" hidden="1">
      <c r="B878" s="298"/>
      <c r="C878" s="216"/>
      <c r="D878" s="217"/>
      <c r="E878" s="391"/>
      <c r="F878" s="262"/>
      <c r="G878" s="272" t="e">
        <f t="shared" si="68"/>
        <v>#N/A</v>
      </c>
      <c r="H878" s="141" t="e">
        <f t="shared" si="69"/>
        <v>#N/A</v>
      </c>
      <c r="I878" s="409" t="s">
        <v>47</v>
      </c>
      <c r="J878" s="467"/>
      <c r="L878" s="86" t="e">
        <f>VLOOKUP(B878,$B$11:B877,1,FALSE)</f>
        <v>#N/A</v>
      </c>
      <c r="M878" s="256" t="e">
        <f>G878*(1-FORM!$AE$28/100)</f>
        <v>#N/A</v>
      </c>
      <c r="AA878" s="463" t="s">
        <v>3886</v>
      </c>
      <c r="AB878" s="462" t="s">
        <v>3887</v>
      </c>
      <c r="AC878" s="462" t="s">
        <v>3888</v>
      </c>
      <c r="AD878" s="464">
        <v>3040.9391599999999</v>
      </c>
      <c r="AE878" s="465">
        <v>121.6527</v>
      </c>
      <c r="AF878" s="86">
        <f>IF(verze!$E$1="CZK",AD878,IF(verze!$E$1="SK",AE878,""))</f>
        <v>121.6527</v>
      </c>
    </row>
    <row r="879" spans="2:32" ht="15" hidden="1">
      <c r="B879" s="298"/>
      <c r="C879" s="216"/>
      <c r="D879" s="217"/>
      <c r="E879" s="391"/>
      <c r="F879" s="262"/>
      <c r="G879" s="272" t="e">
        <f t="shared" si="68"/>
        <v>#N/A</v>
      </c>
      <c r="H879" s="141" t="e">
        <f t="shared" si="69"/>
        <v>#N/A</v>
      </c>
      <c r="I879" s="409" t="s">
        <v>47</v>
      </c>
      <c r="J879" s="467"/>
      <c r="L879" s="86" t="e">
        <f>VLOOKUP(B879,$B$11:B878,1,FALSE)</f>
        <v>#N/A</v>
      </c>
      <c r="M879" s="256" t="e">
        <f>G879*(1-FORM!$AE$28/100)</f>
        <v>#N/A</v>
      </c>
      <c r="AA879" s="463" t="s">
        <v>3889</v>
      </c>
      <c r="AB879" s="462" t="s">
        <v>3890</v>
      </c>
      <c r="AC879" s="462" t="s">
        <v>3891</v>
      </c>
      <c r="AD879" s="464">
        <v>14.010210000000001</v>
      </c>
      <c r="AE879" s="465">
        <v>0.5746</v>
      </c>
      <c r="AF879" s="86">
        <f>IF(verze!$E$1="CZK",AD879,IF(verze!$E$1="SK",AE879,""))</f>
        <v>0.5746</v>
      </c>
    </row>
    <row r="880" spans="2:32" ht="15" hidden="1">
      <c r="B880" s="298"/>
      <c r="C880" s="216"/>
      <c r="D880" s="217"/>
      <c r="E880" s="391"/>
      <c r="F880" s="262"/>
      <c r="G880" s="272" t="e">
        <f t="shared" si="68"/>
        <v>#N/A</v>
      </c>
      <c r="H880" s="141" t="e">
        <f t="shared" si="69"/>
        <v>#N/A</v>
      </c>
      <c r="I880" s="409" t="s">
        <v>47</v>
      </c>
      <c r="J880" s="467"/>
      <c r="L880" s="86" t="e">
        <f>VLOOKUP(B880,$B$11:B879,1,FALSE)</f>
        <v>#N/A</v>
      </c>
      <c r="M880" s="256" t="e">
        <f>G880*(1-FORM!$AE$28/100)</f>
        <v>#N/A</v>
      </c>
      <c r="AA880" s="463" t="s">
        <v>3892</v>
      </c>
      <c r="AB880" s="462" t="s">
        <v>3893</v>
      </c>
      <c r="AC880" s="462" t="s">
        <v>3894</v>
      </c>
      <c r="AD880" s="464">
        <v>14.20908</v>
      </c>
      <c r="AE880" s="465">
        <v>0.58277999999999996</v>
      </c>
      <c r="AF880" s="86">
        <f>IF(verze!$E$1="CZK",AD880,IF(verze!$E$1="SK",AE880,""))</f>
        <v>0.58277999999999996</v>
      </c>
    </row>
    <row r="881" spans="2:32" ht="15" hidden="1">
      <c r="B881" s="298"/>
      <c r="C881" s="216"/>
      <c r="D881" s="217"/>
      <c r="E881" s="391"/>
      <c r="F881" s="262"/>
      <c r="G881" s="272" t="e">
        <f t="shared" si="68"/>
        <v>#N/A</v>
      </c>
      <c r="H881" s="141" t="e">
        <f t="shared" si="69"/>
        <v>#N/A</v>
      </c>
      <c r="I881" s="409" t="s">
        <v>47</v>
      </c>
      <c r="J881" s="467"/>
      <c r="L881" s="86" t="e">
        <f>VLOOKUP(B881,$B$11:B880,1,FALSE)</f>
        <v>#N/A</v>
      </c>
      <c r="M881" s="256" t="e">
        <f>G881*(1-FORM!$AE$28/100)</f>
        <v>#N/A</v>
      </c>
      <c r="AA881" s="463" t="s">
        <v>3895</v>
      </c>
      <c r="AB881" s="462" t="s">
        <v>3896</v>
      </c>
      <c r="AC881" s="462" t="s">
        <v>3897</v>
      </c>
      <c r="AD881" s="464">
        <v>17.029910000000001</v>
      </c>
      <c r="AE881" s="465">
        <v>0.69845999999999997</v>
      </c>
      <c r="AF881" s="86">
        <f>IF(verze!$E$1="CZK",AD881,IF(verze!$E$1="SK",AE881,""))</f>
        <v>0.69845999999999997</v>
      </c>
    </row>
    <row r="882" spans="2:32" ht="15" hidden="1">
      <c r="B882" s="298"/>
      <c r="C882" s="216"/>
      <c r="D882" s="217"/>
      <c r="E882" s="391"/>
      <c r="F882" s="262"/>
      <c r="G882" s="272" t="e">
        <f t="shared" si="68"/>
        <v>#N/A</v>
      </c>
      <c r="H882" s="141" t="e">
        <f t="shared" si="69"/>
        <v>#N/A</v>
      </c>
      <c r="I882" s="409" t="s">
        <v>47</v>
      </c>
      <c r="J882" s="467"/>
      <c r="L882" s="86" t="e">
        <f>VLOOKUP(B882,$B$11:B881,1,FALSE)</f>
        <v>#N/A</v>
      </c>
      <c r="M882" s="256" t="e">
        <f>G882*(1-FORM!$AE$28/100)</f>
        <v>#N/A</v>
      </c>
      <c r="AA882" s="463" t="s">
        <v>3898</v>
      </c>
      <c r="AB882" s="462" t="s">
        <v>3899</v>
      </c>
      <c r="AC882" s="462" t="s">
        <v>3900</v>
      </c>
      <c r="AD882" s="464">
        <v>3006.5010499999999</v>
      </c>
      <c r="AE882" s="465">
        <v>120.27500000000001</v>
      </c>
      <c r="AF882" s="86">
        <f>IF(verze!$E$1="CZK",AD882,IF(verze!$E$1="SK",AE882,""))</f>
        <v>120.27500000000001</v>
      </c>
    </row>
    <row r="883" spans="2:32" ht="15" hidden="1">
      <c r="B883" s="298"/>
      <c r="C883" s="216"/>
      <c r="D883" s="217"/>
      <c r="E883" s="391"/>
      <c r="F883" s="262"/>
      <c r="G883" s="272" t="e">
        <f t="shared" si="68"/>
        <v>#N/A</v>
      </c>
      <c r="H883" s="141" t="e">
        <f t="shared" si="69"/>
        <v>#N/A</v>
      </c>
      <c r="I883" s="409" t="s">
        <v>47</v>
      </c>
      <c r="J883" s="467"/>
      <c r="L883" s="86" t="e">
        <f>VLOOKUP(B883,$B$11:B882,1,FALSE)</f>
        <v>#N/A</v>
      </c>
      <c r="M883" s="256" t="e">
        <f>G883*(1-FORM!$AE$28/100)</f>
        <v>#N/A</v>
      </c>
      <c r="AA883" s="463" t="s">
        <v>3901</v>
      </c>
      <c r="AB883" s="462" t="s">
        <v>3902</v>
      </c>
      <c r="AC883" s="462" t="s">
        <v>3903</v>
      </c>
      <c r="AD883" s="464">
        <v>1422.27197</v>
      </c>
      <c r="AE883" s="465">
        <v>56.897950000000002</v>
      </c>
      <c r="AF883" s="86">
        <f>IF(verze!$E$1="CZK",AD883,IF(verze!$E$1="SK",AE883,""))</f>
        <v>56.897950000000002</v>
      </c>
    </row>
    <row r="884" spans="2:32" ht="15" hidden="1">
      <c r="B884" s="298"/>
      <c r="C884" s="216"/>
      <c r="D884" s="217"/>
      <c r="E884" s="391"/>
      <c r="F884" s="262"/>
      <c r="G884" s="272" t="e">
        <f t="shared" si="68"/>
        <v>#N/A</v>
      </c>
      <c r="H884" s="141" t="e">
        <f t="shared" si="69"/>
        <v>#N/A</v>
      </c>
      <c r="I884" s="409" t="s">
        <v>47</v>
      </c>
      <c r="J884" s="467"/>
      <c r="L884" s="86" t="e">
        <f>VLOOKUP(B884,$B$11:B883,1,FALSE)</f>
        <v>#N/A</v>
      </c>
      <c r="M884" s="256" t="e">
        <f>G884*(1-FORM!$AE$28/100)</f>
        <v>#N/A</v>
      </c>
      <c r="AA884" s="463" t="s">
        <v>3904</v>
      </c>
      <c r="AB884" s="462" t="s">
        <v>3905</v>
      </c>
      <c r="AC884" s="462" t="s">
        <v>3906</v>
      </c>
      <c r="AD884" s="464">
        <v>1478.69012</v>
      </c>
      <c r="AE884" s="465">
        <v>59.154969999999999</v>
      </c>
      <c r="AF884" s="86">
        <f>IF(verze!$E$1="CZK",AD884,IF(verze!$E$1="SK",AE884,""))</f>
        <v>59.154969999999999</v>
      </c>
    </row>
    <row r="885" spans="2:32" ht="15" hidden="1">
      <c r="B885" s="298"/>
      <c r="C885" s="216"/>
      <c r="D885" s="217"/>
      <c r="E885" s="391"/>
      <c r="F885" s="262"/>
      <c r="G885" s="272" t="e">
        <f t="shared" si="68"/>
        <v>#N/A</v>
      </c>
      <c r="H885" s="141" t="e">
        <f t="shared" si="69"/>
        <v>#N/A</v>
      </c>
      <c r="I885" s="409" t="s">
        <v>47</v>
      </c>
      <c r="J885" s="467"/>
      <c r="L885" s="86" t="e">
        <f>VLOOKUP(B885,$B$11:B884,1,FALSE)</f>
        <v>#N/A</v>
      </c>
      <c r="M885" s="256" t="e">
        <f>G885*(1-FORM!$AE$28/100)</f>
        <v>#N/A</v>
      </c>
      <c r="AA885" s="463" t="s">
        <v>3907</v>
      </c>
      <c r="AB885" s="462" t="s">
        <v>3908</v>
      </c>
      <c r="AC885" s="462" t="s">
        <v>3909</v>
      </c>
      <c r="AD885" s="464">
        <v>1232.4992199999999</v>
      </c>
      <c r="AE885" s="465">
        <v>49.306100000000001</v>
      </c>
      <c r="AF885" s="86">
        <f>IF(verze!$E$1="CZK",AD885,IF(verze!$E$1="SK",AE885,""))</f>
        <v>49.306100000000001</v>
      </c>
    </row>
    <row r="886" spans="2:32" ht="15" hidden="1">
      <c r="B886" s="298"/>
      <c r="C886" s="216"/>
      <c r="D886" s="217"/>
      <c r="E886" s="391"/>
      <c r="F886" s="262"/>
      <c r="G886" s="272" t="e">
        <f t="shared" si="68"/>
        <v>#N/A</v>
      </c>
      <c r="H886" s="141" t="e">
        <f t="shared" si="69"/>
        <v>#N/A</v>
      </c>
      <c r="I886" s="409" t="s">
        <v>47</v>
      </c>
      <c r="J886" s="467"/>
      <c r="L886" s="86" t="e">
        <f>VLOOKUP(B886,$B$11:B885,1,FALSE)</f>
        <v>#N/A</v>
      </c>
      <c r="M886" s="256" t="e">
        <f>G886*(1-FORM!$AE$28/100)</f>
        <v>#N/A</v>
      </c>
      <c r="AA886" s="463" t="s">
        <v>3910</v>
      </c>
      <c r="AB886" s="462" t="s">
        <v>3911</v>
      </c>
      <c r="AC886" s="462" t="s">
        <v>3912</v>
      </c>
      <c r="AD886" s="464">
        <v>618.20569999999998</v>
      </c>
      <c r="AE886" s="465">
        <v>24.731310000000001</v>
      </c>
      <c r="AF886" s="86">
        <f>IF(verze!$E$1="CZK",AD886,IF(verze!$E$1="SK",AE886,""))</f>
        <v>24.731310000000001</v>
      </c>
    </row>
    <row r="887" spans="2:32" ht="15" hidden="1">
      <c r="B887" s="298"/>
      <c r="C887" s="216"/>
      <c r="D887" s="217"/>
      <c r="E887" s="391"/>
      <c r="F887" s="262"/>
      <c r="G887" s="272" t="e">
        <f t="shared" si="68"/>
        <v>#N/A</v>
      </c>
      <c r="H887" s="141" t="e">
        <f t="shared" si="69"/>
        <v>#N/A</v>
      </c>
      <c r="I887" s="409" t="s">
        <v>47</v>
      </c>
      <c r="J887" s="467"/>
      <c r="L887" s="86" t="e">
        <f>VLOOKUP(B887,$B$11:B886,1,FALSE)</f>
        <v>#N/A</v>
      </c>
      <c r="M887" s="256" t="e">
        <f>G887*(1-FORM!$AE$28/100)</f>
        <v>#N/A</v>
      </c>
      <c r="AA887" s="463" t="s">
        <v>3913</v>
      </c>
      <c r="AB887" s="462" t="s">
        <v>3914</v>
      </c>
      <c r="AC887" s="462" t="s">
        <v>3915</v>
      </c>
      <c r="AD887" s="464">
        <v>1154.33573</v>
      </c>
      <c r="AE887" s="465">
        <v>46.179169999999999</v>
      </c>
      <c r="AF887" s="86">
        <f>IF(verze!$E$1="CZK",AD887,IF(verze!$E$1="SK",AE887,""))</f>
        <v>46.179169999999999</v>
      </c>
    </row>
    <row r="888" spans="2:32" ht="15" hidden="1">
      <c r="B888" s="298"/>
      <c r="C888" s="216"/>
      <c r="D888" s="217"/>
      <c r="E888" s="391"/>
      <c r="F888" s="262"/>
      <c r="G888" s="272" t="e">
        <f t="shared" si="68"/>
        <v>#N/A</v>
      </c>
      <c r="H888" s="141" t="e">
        <f t="shared" si="69"/>
        <v>#N/A</v>
      </c>
      <c r="I888" s="409" t="s">
        <v>47</v>
      </c>
      <c r="J888" s="467"/>
      <c r="L888" s="86" t="e">
        <f>VLOOKUP(B888,$B$11:B887,1,FALSE)</f>
        <v>#N/A</v>
      </c>
      <c r="M888" s="256" t="e">
        <f>G888*(1-FORM!$AE$28/100)</f>
        <v>#N/A</v>
      </c>
      <c r="AA888" s="463" t="s">
        <v>3913</v>
      </c>
      <c r="AB888" s="462" t="s">
        <v>3916</v>
      </c>
      <c r="AC888" s="462" t="s">
        <v>3917</v>
      </c>
      <c r="AD888" s="464">
        <v>436.42234999999999</v>
      </c>
      <c r="AE888" s="465">
        <v>17.506769999999999</v>
      </c>
      <c r="AF888" s="86">
        <f>IF(verze!$E$1="CZK",AD888,IF(verze!$E$1="SK",AE888,""))</f>
        <v>17.506769999999999</v>
      </c>
    </row>
    <row r="889" spans="2:32" ht="15" hidden="1">
      <c r="B889" s="298"/>
      <c r="C889" s="216"/>
      <c r="D889" s="217"/>
      <c r="E889" s="391"/>
      <c r="F889" s="262"/>
      <c r="G889" s="272" t="e">
        <f t="shared" si="68"/>
        <v>#N/A</v>
      </c>
      <c r="H889" s="141" t="e">
        <f t="shared" si="69"/>
        <v>#N/A</v>
      </c>
      <c r="I889" s="409" t="s">
        <v>47</v>
      </c>
      <c r="J889" s="467"/>
      <c r="L889" s="86" t="e">
        <f>VLOOKUP(B889,$B$11:B888,1,FALSE)</f>
        <v>#N/A</v>
      </c>
      <c r="M889" s="256" t="e">
        <f>G889*(1-FORM!$AE$28/100)</f>
        <v>#N/A</v>
      </c>
      <c r="AA889" s="463" t="s">
        <v>3913</v>
      </c>
      <c r="AB889" s="462" t="s">
        <v>3918</v>
      </c>
      <c r="AC889" s="462" t="s">
        <v>3919</v>
      </c>
      <c r="AD889" s="464">
        <v>1074.3451</v>
      </c>
      <c r="AE889" s="465">
        <v>0</v>
      </c>
      <c r="AF889" s="86">
        <f>IF(verze!$E$1="CZK",AD889,IF(verze!$E$1="SK",AE889,""))</f>
        <v>0</v>
      </c>
    </row>
    <row r="890" spans="2:32" ht="15" hidden="1">
      <c r="B890" s="298"/>
      <c r="C890" s="216"/>
      <c r="D890" s="217"/>
      <c r="E890" s="391"/>
      <c r="F890" s="262"/>
      <c r="G890" s="272" t="e">
        <f t="shared" si="68"/>
        <v>#N/A</v>
      </c>
      <c r="H890" s="141" t="e">
        <f t="shared" si="69"/>
        <v>#N/A</v>
      </c>
      <c r="I890" s="409" t="s">
        <v>47</v>
      </c>
      <c r="J890" s="467"/>
      <c r="L890" s="86" t="e">
        <f>VLOOKUP(B890,$B$11:B889,1,FALSE)</f>
        <v>#N/A</v>
      </c>
      <c r="M890" s="256" t="e">
        <f>G890*(1-FORM!$AE$28/100)</f>
        <v>#N/A</v>
      </c>
      <c r="AA890" s="463" t="s">
        <v>3920</v>
      </c>
      <c r="AB890" s="462" t="s">
        <v>3921</v>
      </c>
      <c r="AC890" s="462" t="s">
        <v>3922</v>
      </c>
      <c r="AD890" s="464">
        <v>1759.1220499999999</v>
      </c>
      <c r="AE890" s="465">
        <v>70.373630000000006</v>
      </c>
      <c r="AF890" s="86">
        <f>IF(verze!$E$1="CZK",AD890,IF(verze!$E$1="SK",AE890,""))</f>
        <v>70.373630000000006</v>
      </c>
    </row>
    <row r="891" spans="2:32" ht="15" hidden="1">
      <c r="B891" s="298"/>
      <c r="C891" s="216"/>
      <c r="D891" s="217"/>
      <c r="E891" s="391"/>
      <c r="F891" s="262"/>
      <c r="G891" s="272" t="e">
        <f t="shared" si="68"/>
        <v>#N/A</v>
      </c>
      <c r="H891" s="141" t="e">
        <f t="shared" si="69"/>
        <v>#N/A</v>
      </c>
      <c r="I891" s="409" t="s">
        <v>47</v>
      </c>
      <c r="J891" s="467"/>
      <c r="L891" s="86" t="e">
        <f>VLOOKUP(B891,$B$11:B890,1,FALSE)</f>
        <v>#N/A</v>
      </c>
      <c r="M891" s="256" t="e">
        <f>G891*(1-FORM!$AE$28/100)</f>
        <v>#N/A</v>
      </c>
      <c r="AA891" s="463" t="s">
        <v>3920</v>
      </c>
      <c r="AB891" s="462" t="s">
        <v>3923</v>
      </c>
      <c r="AC891" s="462" t="s">
        <v>3924</v>
      </c>
      <c r="AD891" s="464">
        <v>665.07555000000002</v>
      </c>
      <c r="AE891" s="465">
        <v>26.679030000000001</v>
      </c>
      <c r="AF891" s="86">
        <f>IF(verze!$E$1="CZK",AD891,IF(verze!$E$1="SK",AE891,""))</f>
        <v>26.679030000000001</v>
      </c>
    </row>
    <row r="892" spans="2:32" ht="15" hidden="1">
      <c r="B892" s="298"/>
      <c r="C892" s="216"/>
      <c r="D892" s="217"/>
      <c r="E892" s="391"/>
      <c r="F892" s="262"/>
      <c r="G892" s="272" t="e">
        <f t="shared" si="68"/>
        <v>#N/A</v>
      </c>
      <c r="H892" s="141" t="e">
        <f t="shared" si="69"/>
        <v>#N/A</v>
      </c>
      <c r="I892" s="409" t="s">
        <v>47</v>
      </c>
      <c r="J892" s="467"/>
      <c r="L892" s="86" t="e">
        <f>VLOOKUP(B892,$B$11:B891,1,FALSE)</f>
        <v>#N/A</v>
      </c>
      <c r="M892" s="256" t="e">
        <f>G892*(1-FORM!$AE$28/100)</f>
        <v>#N/A</v>
      </c>
      <c r="AA892" s="463" t="s">
        <v>3925</v>
      </c>
      <c r="AB892" s="462" t="s">
        <v>3926</v>
      </c>
      <c r="AC892" s="462" t="s">
        <v>3927</v>
      </c>
      <c r="AD892" s="464">
        <v>2462.00126</v>
      </c>
      <c r="AE892" s="465">
        <v>98.492310000000003</v>
      </c>
      <c r="AF892" s="86">
        <f>IF(verze!$E$1="CZK",AD892,IF(verze!$E$1="SK",AE892,""))</f>
        <v>98.492310000000003</v>
      </c>
    </row>
    <row r="893" spans="2:32" ht="15" hidden="1">
      <c r="B893" s="298"/>
      <c r="C893" s="216"/>
      <c r="D893" s="217"/>
      <c r="E893" s="391"/>
      <c r="F893" s="262"/>
      <c r="G893" s="272" t="e">
        <f t="shared" si="68"/>
        <v>#N/A</v>
      </c>
      <c r="H893" s="141" t="e">
        <f t="shared" si="69"/>
        <v>#N/A</v>
      </c>
      <c r="I893" s="409" t="s">
        <v>47</v>
      </c>
      <c r="J893" s="467"/>
      <c r="L893" s="86" t="e">
        <f>VLOOKUP(B893,$B$11:B892,1,FALSE)</f>
        <v>#N/A</v>
      </c>
      <c r="M893" s="256" t="e">
        <f>G893*(1-FORM!$AE$28/100)</f>
        <v>#N/A</v>
      </c>
      <c r="AA893" s="463" t="s">
        <v>3925</v>
      </c>
      <c r="AB893" s="462" t="s">
        <v>3928</v>
      </c>
      <c r="AC893" s="462" t="s">
        <v>3929</v>
      </c>
      <c r="AD893" s="464">
        <v>930.81410000000005</v>
      </c>
      <c r="AE893" s="465">
        <v>37.338949999999997</v>
      </c>
      <c r="AF893" s="86">
        <f>IF(verze!$E$1="CZK",AD893,IF(verze!$E$1="SK",AE893,""))</f>
        <v>37.338949999999997</v>
      </c>
    </row>
    <row r="894" spans="2:32" ht="15" hidden="1">
      <c r="B894" s="298"/>
      <c r="C894" s="216"/>
      <c r="D894" s="217"/>
      <c r="E894" s="391"/>
      <c r="F894" s="262"/>
      <c r="G894" s="272" t="e">
        <f t="shared" si="68"/>
        <v>#N/A</v>
      </c>
      <c r="H894" s="141" t="e">
        <f t="shared" si="69"/>
        <v>#N/A</v>
      </c>
      <c r="I894" s="409" t="s">
        <v>47</v>
      </c>
      <c r="J894" s="467"/>
      <c r="L894" s="86" t="e">
        <f>VLOOKUP(B894,$B$11:B893,1,FALSE)</f>
        <v>#N/A</v>
      </c>
      <c r="M894" s="256" t="e">
        <f>G894*(1-FORM!$AE$28/100)</f>
        <v>#N/A</v>
      </c>
      <c r="AA894" s="463" t="s">
        <v>3925</v>
      </c>
      <c r="AB894" s="462" t="s">
        <v>3930</v>
      </c>
      <c r="AC894" s="462" t="s">
        <v>3931</v>
      </c>
      <c r="AD894" s="464">
        <v>1446.0509199999999</v>
      </c>
      <c r="AE894" s="465">
        <v>0</v>
      </c>
      <c r="AF894" s="86">
        <f>IF(verze!$E$1="CZK",AD894,IF(verze!$E$1="SK",AE894,""))</f>
        <v>0</v>
      </c>
    </row>
    <row r="895" spans="2:32" ht="15" hidden="1">
      <c r="B895" s="298"/>
      <c r="C895" s="216"/>
      <c r="D895" s="217"/>
      <c r="E895" s="391"/>
      <c r="F895" s="262"/>
      <c r="G895" s="272" t="e">
        <f t="shared" si="68"/>
        <v>#N/A</v>
      </c>
      <c r="H895" s="141" t="e">
        <f t="shared" si="69"/>
        <v>#N/A</v>
      </c>
      <c r="I895" s="409" t="s">
        <v>47</v>
      </c>
      <c r="J895" s="467"/>
      <c r="L895" s="86" t="e">
        <f>VLOOKUP(B895,$B$11:B894,1,FALSE)</f>
        <v>#N/A</v>
      </c>
      <c r="M895" s="256" t="e">
        <f>G895*(1-FORM!$AE$28/100)</f>
        <v>#N/A</v>
      </c>
      <c r="AA895" s="463" t="s">
        <v>3932</v>
      </c>
      <c r="AB895" s="462" t="s">
        <v>3933</v>
      </c>
      <c r="AC895" s="462" t="s">
        <v>3934</v>
      </c>
      <c r="AD895" s="464">
        <v>236.70061999999999</v>
      </c>
      <c r="AE895" s="465">
        <v>9.4692000000000007</v>
      </c>
      <c r="AF895" s="86">
        <f>IF(verze!$E$1="CZK",AD895,IF(verze!$E$1="SK",AE895,""))</f>
        <v>9.4692000000000007</v>
      </c>
    </row>
    <row r="896" spans="2:32" ht="15" hidden="1">
      <c r="B896" s="298"/>
      <c r="C896" s="216"/>
      <c r="D896" s="217"/>
      <c r="E896" s="391"/>
      <c r="F896" s="262"/>
      <c r="G896" s="272" t="e">
        <f t="shared" si="68"/>
        <v>#N/A</v>
      </c>
      <c r="H896" s="141" t="e">
        <f t="shared" si="69"/>
        <v>#N/A</v>
      </c>
      <c r="I896" s="409" t="s">
        <v>47</v>
      </c>
      <c r="J896" s="467"/>
      <c r="L896" s="86" t="e">
        <f>VLOOKUP(B896,$B$11:B895,1,FALSE)</f>
        <v>#N/A</v>
      </c>
      <c r="M896" s="256" t="e">
        <f>G896*(1-FORM!$AE$28/100)</f>
        <v>#N/A</v>
      </c>
      <c r="AA896" s="463" t="s">
        <v>3932</v>
      </c>
      <c r="AB896" s="462" t="s">
        <v>3935</v>
      </c>
      <c r="AC896" s="462" t="s">
        <v>3936</v>
      </c>
      <c r="AD896" s="464">
        <v>89.489800000000002</v>
      </c>
      <c r="AE896" s="465">
        <v>3.58982</v>
      </c>
      <c r="AF896" s="86">
        <f>IF(verze!$E$1="CZK",AD896,IF(verze!$E$1="SK",AE896,""))</f>
        <v>3.58982</v>
      </c>
    </row>
    <row r="897" spans="2:32" ht="15" hidden="1">
      <c r="B897" s="298"/>
      <c r="C897" s="216"/>
      <c r="D897" s="217"/>
      <c r="E897" s="391"/>
      <c r="F897" s="262"/>
      <c r="G897" s="272" t="e">
        <f t="shared" si="68"/>
        <v>#N/A</v>
      </c>
      <c r="H897" s="141" t="e">
        <f t="shared" si="69"/>
        <v>#N/A</v>
      </c>
      <c r="I897" s="409" t="s">
        <v>47</v>
      </c>
      <c r="J897" s="467"/>
      <c r="L897" s="86" t="e">
        <f>VLOOKUP(B897,$B$11:B896,1,FALSE)</f>
        <v>#N/A</v>
      </c>
      <c r="M897" s="256" t="e">
        <f>G897*(1-FORM!$AE$28/100)</f>
        <v>#N/A</v>
      </c>
      <c r="AA897" s="463" t="s">
        <v>3932</v>
      </c>
      <c r="AB897" s="462" t="s">
        <v>3937</v>
      </c>
      <c r="AC897" s="462" t="s">
        <v>3938</v>
      </c>
      <c r="AD897" s="464">
        <v>220.29857999999999</v>
      </c>
      <c r="AE897" s="465">
        <v>0</v>
      </c>
      <c r="AF897" s="86">
        <f>IF(verze!$E$1="CZK",AD897,IF(verze!$E$1="SK",AE897,""))</f>
        <v>0</v>
      </c>
    </row>
    <row r="898" spans="2:32" ht="15" hidden="1">
      <c r="B898" s="298"/>
      <c r="C898" s="216"/>
      <c r="D898" s="217"/>
      <c r="E898" s="391"/>
      <c r="F898" s="262"/>
      <c r="G898" s="272" t="e">
        <f t="shared" si="68"/>
        <v>#N/A</v>
      </c>
      <c r="H898" s="141" t="e">
        <f t="shared" si="69"/>
        <v>#N/A</v>
      </c>
      <c r="I898" s="409" t="s">
        <v>47</v>
      </c>
      <c r="J898" s="467"/>
      <c r="L898" s="86" t="e">
        <f>VLOOKUP(B898,$B$11:B897,1,FALSE)</f>
        <v>#N/A</v>
      </c>
      <c r="M898" s="256" t="e">
        <f>G898*(1-FORM!$AE$28/100)</f>
        <v>#N/A</v>
      </c>
      <c r="AA898" s="463" t="s">
        <v>3939</v>
      </c>
      <c r="AB898" s="462" t="s">
        <v>3940</v>
      </c>
      <c r="AC898" s="462" t="s">
        <v>3941</v>
      </c>
      <c r="AD898" s="464">
        <v>236.70061999999999</v>
      </c>
      <c r="AE898" s="465">
        <v>9.4692000000000007</v>
      </c>
      <c r="AF898" s="86">
        <f>IF(verze!$E$1="CZK",AD898,IF(verze!$E$1="SK",AE898,""))</f>
        <v>9.4692000000000007</v>
      </c>
    </row>
    <row r="899" spans="2:32" ht="15" hidden="1">
      <c r="B899" s="298"/>
      <c r="C899" s="216"/>
      <c r="D899" s="217"/>
      <c r="E899" s="391"/>
      <c r="F899" s="262"/>
      <c r="G899" s="272" t="e">
        <f t="shared" si="68"/>
        <v>#N/A</v>
      </c>
      <c r="H899" s="141" t="e">
        <f t="shared" si="69"/>
        <v>#N/A</v>
      </c>
      <c r="I899" s="409" t="s">
        <v>47</v>
      </c>
      <c r="J899" s="467"/>
      <c r="L899" s="86" t="e">
        <f>VLOOKUP(B899,$B$11:B898,1,FALSE)</f>
        <v>#N/A</v>
      </c>
      <c r="M899" s="256" t="e">
        <f>G899*(1-FORM!$AE$28/100)</f>
        <v>#N/A</v>
      </c>
      <c r="AA899" s="463" t="s">
        <v>3939</v>
      </c>
      <c r="AB899" s="462" t="s">
        <v>3942</v>
      </c>
      <c r="AC899" s="462" t="s">
        <v>3943</v>
      </c>
      <c r="AD899" s="464">
        <v>89.489800000000002</v>
      </c>
      <c r="AE899" s="465">
        <v>3.58982</v>
      </c>
      <c r="AF899" s="86">
        <f>IF(verze!$E$1="CZK",AD899,IF(verze!$E$1="SK",AE899,""))</f>
        <v>3.58982</v>
      </c>
    </row>
    <row r="900" spans="2:32" ht="15" hidden="1">
      <c r="B900" s="298"/>
      <c r="C900" s="216"/>
      <c r="D900" s="217"/>
      <c r="E900" s="391"/>
      <c r="F900" s="262"/>
      <c r="G900" s="272" t="e">
        <f t="shared" si="68"/>
        <v>#N/A</v>
      </c>
      <c r="H900" s="141" t="e">
        <f t="shared" si="69"/>
        <v>#N/A</v>
      </c>
      <c r="I900" s="409" t="s">
        <v>47</v>
      </c>
      <c r="J900" s="467"/>
      <c r="L900" s="86" t="e">
        <f>VLOOKUP(B900,$B$11:B899,1,FALSE)</f>
        <v>#N/A</v>
      </c>
      <c r="M900" s="256" t="e">
        <f>G900*(1-FORM!$AE$28/100)</f>
        <v>#N/A</v>
      </c>
      <c r="AA900" s="463" t="s">
        <v>3944</v>
      </c>
      <c r="AB900" s="462" t="s">
        <v>3945</v>
      </c>
      <c r="AC900" s="462" t="s">
        <v>3946</v>
      </c>
      <c r="AD900" s="464">
        <v>1722.9434100000001</v>
      </c>
      <c r="AE900" s="465">
        <v>68.926310000000001</v>
      </c>
      <c r="AF900" s="86">
        <f>IF(verze!$E$1="CZK",AD900,IF(verze!$E$1="SK",AE900,""))</f>
        <v>68.926310000000001</v>
      </c>
    </row>
    <row r="901" spans="2:32" ht="15" hidden="1">
      <c r="B901" s="298"/>
      <c r="C901" s="216"/>
      <c r="D901" s="217"/>
      <c r="E901" s="391"/>
      <c r="F901" s="262"/>
      <c r="G901" s="272" t="e">
        <f t="shared" si="68"/>
        <v>#N/A</v>
      </c>
      <c r="H901" s="141" t="e">
        <f t="shared" si="69"/>
        <v>#N/A</v>
      </c>
      <c r="I901" s="409" t="s">
        <v>47</v>
      </c>
      <c r="J901" s="467"/>
      <c r="L901" s="86" t="e">
        <f>VLOOKUP(B901,$B$11:B900,1,FALSE)</f>
        <v>#N/A</v>
      </c>
      <c r="M901" s="256" t="e">
        <f>G901*(1-FORM!$AE$28/100)</f>
        <v>#N/A</v>
      </c>
      <c r="AA901" s="463" t="s">
        <v>3944</v>
      </c>
      <c r="AB901" s="462" t="s">
        <v>3947</v>
      </c>
      <c r="AC901" s="462" t="s">
        <v>3948</v>
      </c>
      <c r="AD901" s="464">
        <v>651.39715000000001</v>
      </c>
      <c r="AE901" s="465">
        <v>26.13034</v>
      </c>
      <c r="AF901" s="86">
        <f>IF(verze!$E$1="CZK",AD901,IF(verze!$E$1="SK",AE901,""))</f>
        <v>26.13034</v>
      </c>
    </row>
    <row r="902" spans="2:32" ht="15" hidden="1">
      <c r="B902" s="298"/>
      <c r="C902" s="216"/>
      <c r="D902" s="217"/>
      <c r="E902" s="391"/>
      <c r="F902" s="262"/>
      <c r="G902" s="272" t="e">
        <f t="shared" si="68"/>
        <v>#N/A</v>
      </c>
      <c r="H902" s="141" t="e">
        <f t="shared" si="69"/>
        <v>#N/A</v>
      </c>
      <c r="I902" s="409" t="s">
        <v>47</v>
      </c>
      <c r="J902" s="467"/>
      <c r="L902" s="86" t="e">
        <f>VLOOKUP(B902,$B$11:B901,1,FALSE)</f>
        <v>#N/A</v>
      </c>
      <c r="M902" s="256" t="e">
        <f>G902*(1-FORM!$AE$28/100)</f>
        <v>#N/A</v>
      </c>
      <c r="AA902" s="463" t="s">
        <v>3944</v>
      </c>
      <c r="AB902" s="462" t="s">
        <v>3949</v>
      </c>
      <c r="AC902" s="462" t="s">
        <v>3950</v>
      </c>
      <c r="AD902" s="464">
        <v>1603.5452600000001</v>
      </c>
      <c r="AE902" s="465">
        <v>0</v>
      </c>
      <c r="AF902" s="86">
        <f>IF(verze!$E$1="CZK",AD902,IF(verze!$E$1="SK",AE902,""))</f>
        <v>0</v>
      </c>
    </row>
    <row r="903" spans="2:32" ht="15" hidden="1">
      <c r="B903" s="298"/>
      <c r="C903" s="216"/>
      <c r="D903" s="217"/>
      <c r="E903" s="391"/>
      <c r="F903" s="262"/>
      <c r="G903" s="272" t="e">
        <f t="shared" si="68"/>
        <v>#N/A</v>
      </c>
      <c r="H903" s="141" t="e">
        <f t="shared" si="69"/>
        <v>#N/A</v>
      </c>
      <c r="I903" s="409" t="s">
        <v>47</v>
      </c>
      <c r="J903" s="467"/>
      <c r="L903" s="86" t="e">
        <f>VLOOKUP(B903,$B$11:B902,1,FALSE)</f>
        <v>#N/A</v>
      </c>
      <c r="M903" s="256" t="e">
        <f>G903*(1-FORM!$AE$28/100)</f>
        <v>#N/A</v>
      </c>
      <c r="AA903" s="463" t="s">
        <v>3951</v>
      </c>
      <c r="AB903" s="462" t="s">
        <v>3952</v>
      </c>
      <c r="AC903" s="462" t="s">
        <v>3953</v>
      </c>
      <c r="AD903" s="464">
        <v>874.13458000000003</v>
      </c>
      <c r="AE903" s="465">
        <v>34.969729999999998</v>
      </c>
      <c r="AF903" s="86">
        <f>IF(verze!$E$1="CZK",AD903,IF(verze!$E$1="SK",AE903,""))</f>
        <v>34.969729999999998</v>
      </c>
    </row>
    <row r="904" spans="2:32" ht="15" hidden="1">
      <c r="B904" s="298"/>
      <c r="C904" s="216"/>
      <c r="D904" s="217"/>
      <c r="E904" s="391"/>
      <c r="F904" s="262"/>
      <c r="G904" s="272" t="e">
        <f t="shared" si="68"/>
        <v>#N/A</v>
      </c>
      <c r="H904" s="141" t="e">
        <f t="shared" si="69"/>
        <v>#N/A</v>
      </c>
      <c r="I904" s="409" t="s">
        <v>47</v>
      </c>
      <c r="J904" s="467"/>
      <c r="L904" s="86" t="e">
        <f>VLOOKUP(B904,$B$11:B903,1,FALSE)</f>
        <v>#N/A</v>
      </c>
      <c r="M904" s="256" t="e">
        <f>G904*(1-FORM!$AE$28/100)</f>
        <v>#N/A</v>
      </c>
      <c r="AA904" s="463" t="s">
        <v>3951</v>
      </c>
      <c r="AB904" s="462" t="s">
        <v>3954</v>
      </c>
      <c r="AC904" s="462" t="s">
        <v>3955</v>
      </c>
      <c r="AD904" s="464">
        <v>330.48585000000003</v>
      </c>
      <c r="AE904" s="465">
        <v>13.257210000000001</v>
      </c>
      <c r="AF904" s="86">
        <f>IF(verze!$E$1="CZK",AD904,IF(verze!$E$1="SK",AE904,""))</f>
        <v>13.257210000000001</v>
      </c>
    </row>
    <row r="905" spans="2:32" ht="15" hidden="1">
      <c r="B905" s="298"/>
      <c r="C905" s="216"/>
      <c r="D905" s="217"/>
      <c r="E905" s="391"/>
      <c r="F905" s="262"/>
      <c r="G905" s="272" t="e">
        <f t="shared" si="68"/>
        <v>#N/A</v>
      </c>
      <c r="H905" s="141" t="e">
        <f t="shared" si="69"/>
        <v>#N/A</v>
      </c>
      <c r="I905" s="409" t="s">
        <v>47</v>
      </c>
      <c r="J905" s="467"/>
      <c r="L905" s="86" t="e">
        <f>VLOOKUP(B905,$B$11:B904,1,FALSE)</f>
        <v>#N/A</v>
      </c>
      <c r="M905" s="256" t="e">
        <f>G905*(1-FORM!$AE$28/100)</f>
        <v>#N/A</v>
      </c>
      <c r="AA905" s="463" t="s">
        <v>3956</v>
      </c>
      <c r="AB905" s="462" t="s">
        <v>3957</v>
      </c>
      <c r="AC905" s="462" t="s">
        <v>3958</v>
      </c>
      <c r="AD905" s="464">
        <v>3078.5509499999998</v>
      </c>
      <c r="AE905" s="465">
        <v>123.15737</v>
      </c>
      <c r="AF905" s="86">
        <f>IF(verze!$E$1="CZK",AD905,IF(verze!$E$1="SK",AE905,""))</f>
        <v>123.15737</v>
      </c>
    </row>
    <row r="906" spans="2:32" ht="15" hidden="1">
      <c r="B906" s="298"/>
      <c r="C906" s="216"/>
      <c r="D906" s="217"/>
      <c r="E906" s="391"/>
      <c r="F906" s="262"/>
      <c r="G906" s="272" t="e">
        <f t="shared" si="68"/>
        <v>#N/A</v>
      </c>
      <c r="H906" s="141" t="e">
        <f t="shared" si="69"/>
        <v>#N/A</v>
      </c>
      <c r="I906" s="409" t="s">
        <v>47</v>
      </c>
      <c r="J906" s="467"/>
      <c r="L906" s="86" t="e">
        <f>VLOOKUP(B906,$B$11:B905,1,FALSE)</f>
        <v>#N/A</v>
      </c>
      <c r="M906" s="256" t="e">
        <f>G906*(1-FORM!$AE$28/100)</f>
        <v>#N/A</v>
      </c>
      <c r="AA906" s="463" t="s">
        <v>3959</v>
      </c>
      <c r="AB906" s="462" t="s">
        <v>3960</v>
      </c>
      <c r="AC906" s="462" t="s">
        <v>3961</v>
      </c>
      <c r="AD906" s="464">
        <v>3078.5509499999998</v>
      </c>
      <c r="AE906" s="465">
        <v>123.15737</v>
      </c>
      <c r="AF906" s="86">
        <f>IF(verze!$E$1="CZK",AD906,IF(verze!$E$1="SK",AE906,""))</f>
        <v>123.15737</v>
      </c>
    </row>
    <row r="907" spans="2:32" ht="15" hidden="1">
      <c r="B907" s="298"/>
      <c r="C907" s="216"/>
      <c r="D907" s="217"/>
      <c r="E907" s="391"/>
      <c r="F907" s="262"/>
      <c r="G907" s="272" t="e">
        <f t="shared" si="68"/>
        <v>#N/A</v>
      </c>
      <c r="H907" s="141" t="e">
        <f t="shared" si="69"/>
        <v>#N/A</v>
      </c>
      <c r="I907" s="409" t="s">
        <v>47</v>
      </c>
      <c r="J907" s="467"/>
      <c r="L907" s="86" t="e">
        <f>VLOOKUP(B907,$B$11:B906,1,FALSE)</f>
        <v>#N/A</v>
      </c>
      <c r="M907" s="256" t="e">
        <f>G907*(1-FORM!$AE$28/100)</f>
        <v>#N/A</v>
      </c>
      <c r="AA907" s="463" t="s">
        <v>3962</v>
      </c>
      <c r="AB907" s="462" t="s">
        <v>3963</v>
      </c>
      <c r="AC907" s="462" t="s">
        <v>3964</v>
      </c>
      <c r="AD907" s="464">
        <v>10.67787</v>
      </c>
      <c r="AE907" s="465">
        <v>0.43794</v>
      </c>
      <c r="AF907" s="86">
        <f>IF(verze!$E$1="CZK",AD907,IF(verze!$E$1="SK",AE907,""))</f>
        <v>0.43794</v>
      </c>
    </row>
    <row r="908" spans="2:32" ht="15" hidden="1">
      <c r="B908" s="298"/>
      <c r="C908" s="216"/>
      <c r="D908" s="217"/>
      <c r="E908" s="391"/>
      <c r="F908" s="262"/>
      <c r="G908" s="272" t="e">
        <f t="shared" si="68"/>
        <v>#N/A</v>
      </c>
      <c r="H908" s="141" t="e">
        <f t="shared" si="69"/>
        <v>#N/A</v>
      </c>
      <c r="I908" s="409" t="s">
        <v>47</v>
      </c>
      <c r="J908" s="467"/>
      <c r="L908" s="86" t="e">
        <f>VLOOKUP(B908,$B$11:B907,1,FALSE)</f>
        <v>#N/A</v>
      </c>
      <c r="M908" s="256" t="e">
        <f>G908*(1-FORM!$AE$28/100)</f>
        <v>#N/A</v>
      </c>
      <c r="AA908" s="463" t="s">
        <v>3965</v>
      </c>
      <c r="AB908" s="462" t="s">
        <v>3966</v>
      </c>
      <c r="AC908" s="462" t="s">
        <v>3967</v>
      </c>
      <c r="AD908" s="464">
        <v>13484.88618</v>
      </c>
      <c r="AE908" s="465">
        <v>617.78254000000004</v>
      </c>
      <c r="AF908" s="86">
        <f>IF(verze!$E$1="CZK",AD908,IF(verze!$E$1="SK",AE908,""))</f>
        <v>617.78254000000004</v>
      </c>
    </row>
    <row r="909" spans="2:32" ht="15" hidden="1">
      <c r="B909" s="298"/>
      <c r="C909" s="216"/>
      <c r="D909" s="217"/>
      <c r="E909" s="391"/>
      <c r="F909" s="262"/>
      <c r="G909" s="272" t="e">
        <f t="shared" ref="G909:G972" si="70">VLOOKUP(J909,AB:AF,5,0)</f>
        <v>#N/A</v>
      </c>
      <c r="H909" s="141" t="e">
        <f t="shared" si="69"/>
        <v>#N/A</v>
      </c>
      <c r="I909" s="409" t="s">
        <v>47</v>
      </c>
      <c r="J909" s="467"/>
      <c r="L909" s="86" t="e">
        <f>VLOOKUP(B909,$B$11:B908,1,FALSE)</f>
        <v>#N/A</v>
      </c>
      <c r="M909" s="256" t="e">
        <f>G909*(1-FORM!$AE$28/100)</f>
        <v>#N/A</v>
      </c>
      <c r="AA909" s="463" t="s">
        <v>3968</v>
      </c>
      <c r="AB909" s="462" t="s">
        <v>3969</v>
      </c>
      <c r="AC909" s="462" t="s">
        <v>3970</v>
      </c>
      <c r="AD909" s="464">
        <v>9.3780800000000006</v>
      </c>
      <c r="AE909" s="465">
        <v>0.42964000000000002</v>
      </c>
      <c r="AF909" s="86">
        <f>IF(verze!$E$1="CZK",AD909,IF(verze!$E$1="SK",AE909,""))</f>
        <v>0.42964000000000002</v>
      </c>
    </row>
    <row r="910" spans="2:32" ht="15" hidden="1">
      <c r="B910" s="298"/>
      <c r="C910" s="216"/>
      <c r="D910" s="217"/>
      <c r="E910" s="391"/>
      <c r="F910" s="262"/>
      <c r="G910" s="272" t="e">
        <f t="shared" si="70"/>
        <v>#N/A</v>
      </c>
      <c r="H910" s="141" t="e">
        <f t="shared" si="69"/>
        <v>#N/A</v>
      </c>
      <c r="I910" s="409" t="s">
        <v>47</v>
      </c>
      <c r="J910" s="467"/>
      <c r="L910" s="86" t="e">
        <f>VLOOKUP(B910,$B$11:B909,1,FALSE)</f>
        <v>#N/A</v>
      </c>
      <c r="M910" s="256" t="e">
        <f>G910*(1-FORM!$AE$28/100)</f>
        <v>#N/A</v>
      </c>
      <c r="AA910" s="463" t="s">
        <v>3971</v>
      </c>
      <c r="AB910" s="462" t="s">
        <v>3972</v>
      </c>
      <c r="AC910" s="462" t="s">
        <v>3973</v>
      </c>
      <c r="AD910" s="464">
        <v>11.03712</v>
      </c>
      <c r="AE910" s="465">
        <v>0.50563999999999998</v>
      </c>
      <c r="AF910" s="86">
        <f>IF(verze!$E$1="CZK",AD910,IF(verze!$E$1="SK",AE910,""))</f>
        <v>0.50563999999999998</v>
      </c>
    </row>
    <row r="911" spans="2:32" ht="15" hidden="1">
      <c r="B911" s="298"/>
      <c r="C911" s="216"/>
      <c r="D911" s="217"/>
      <c r="E911" s="391"/>
      <c r="F911" s="262"/>
      <c r="G911" s="272" t="e">
        <f t="shared" si="70"/>
        <v>#N/A</v>
      </c>
      <c r="H911" s="141" t="e">
        <f t="shared" si="69"/>
        <v>#N/A</v>
      </c>
      <c r="I911" s="409" t="s">
        <v>47</v>
      </c>
      <c r="J911" s="467"/>
      <c r="L911" s="86" t="e">
        <f>VLOOKUP(B911,$B$11:B910,1,FALSE)</f>
        <v>#N/A</v>
      </c>
      <c r="M911" s="256" t="e">
        <f>G911*(1-FORM!$AE$28/100)</f>
        <v>#N/A</v>
      </c>
      <c r="AA911" s="463" t="s">
        <v>3974</v>
      </c>
      <c r="AB911" s="462" t="s">
        <v>3975</v>
      </c>
      <c r="AC911" s="462" t="s">
        <v>3976</v>
      </c>
      <c r="AD911" s="464">
        <v>19.224260000000001</v>
      </c>
      <c r="AE911" s="465">
        <v>0.72236</v>
      </c>
      <c r="AF911" s="86">
        <f>IF(verze!$E$1="CZK",AD911,IF(verze!$E$1="SK",AE911,""))</f>
        <v>0.72236</v>
      </c>
    </row>
    <row r="912" spans="2:32" ht="15" hidden="1">
      <c r="B912" s="298"/>
      <c r="C912" s="216"/>
      <c r="D912" s="217"/>
      <c r="E912" s="391"/>
      <c r="F912" s="262"/>
      <c r="G912" s="272" t="e">
        <f t="shared" si="70"/>
        <v>#N/A</v>
      </c>
      <c r="H912" s="141" t="e">
        <f t="shared" si="69"/>
        <v>#N/A</v>
      </c>
      <c r="I912" s="409" t="s">
        <v>47</v>
      </c>
      <c r="J912" s="467"/>
      <c r="L912" s="86" t="e">
        <f>VLOOKUP(B912,$B$11:B911,1,FALSE)</f>
        <v>#N/A</v>
      </c>
      <c r="M912" s="256" t="e">
        <f>G912*(1-FORM!$AE$28/100)</f>
        <v>#N/A</v>
      </c>
      <c r="AA912" s="463" t="s">
        <v>3974</v>
      </c>
      <c r="AB912" s="462" t="s">
        <v>3977</v>
      </c>
      <c r="AC912" s="462" t="s">
        <v>3978</v>
      </c>
      <c r="AD912" s="464">
        <v>19.749510000000001</v>
      </c>
      <c r="AE912" s="465">
        <v>0.90478000000000003</v>
      </c>
      <c r="AF912" s="86">
        <f>IF(verze!$E$1="CZK",AD912,IF(verze!$E$1="SK",AE912,""))</f>
        <v>0.90478000000000003</v>
      </c>
    </row>
    <row r="913" spans="2:32" ht="15" hidden="1">
      <c r="B913" s="298"/>
      <c r="C913" s="216"/>
      <c r="D913" s="217"/>
      <c r="E913" s="391"/>
      <c r="F913" s="262"/>
      <c r="G913" s="272" t="e">
        <f t="shared" si="70"/>
        <v>#N/A</v>
      </c>
      <c r="H913" s="141" t="e">
        <f t="shared" si="69"/>
        <v>#N/A</v>
      </c>
      <c r="I913" s="409" t="s">
        <v>47</v>
      </c>
      <c r="J913" s="467"/>
      <c r="L913" s="86" t="e">
        <f>VLOOKUP(B913,$B$11:B912,1,FALSE)</f>
        <v>#N/A</v>
      </c>
      <c r="M913" s="256" t="e">
        <f>G913*(1-FORM!$AE$28/100)</f>
        <v>#N/A</v>
      </c>
      <c r="AA913" s="463" t="s">
        <v>3979</v>
      </c>
      <c r="AB913" s="462" t="s">
        <v>3980</v>
      </c>
      <c r="AC913" s="462" t="s">
        <v>3981</v>
      </c>
      <c r="AD913" s="464">
        <v>30.415430000000001</v>
      </c>
      <c r="AE913" s="465">
        <v>1.3934200000000001</v>
      </c>
      <c r="AF913" s="86">
        <f>IF(verze!$E$1="CZK",AD913,IF(verze!$E$1="SK",AE913,""))</f>
        <v>1.3934200000000001</v>
      </c>
    </row>
    <row r="914" spans="2:32" ht="15" hidden="1">
      <c r="B914" s="298"/>
      <c r="C914" s="216"/>
      <c r="D914" s="217"/>
      <c r="E914" s="391"/>
      <c r="F914" s="262"/>
      <c r="G914" s="272" t="e">
        <f t="shared" si="70"/>
        <v>#N/A</v>
      </c>
      <c r="H914" s="141" t="e">
        <f t="shared" si="69"/>
        <v>#N/A</v>
      </c>
      <c r="I914" s="409" t="s">
        <v>47</v>
      </c>
      <c r="J914" s="467"/>
      <c r="L914" s="86" t="e">
        <f>VLOOKUP(B914,$B$11:B913,1,FALSE)</f>
        <v>#N/A</v>
      </c>
      <c r="M914" s="256" t="e">
        <f>G914*(1-FORM!$AE$28/100)</f>
        <v>#N/A</v>
      </c>
      <c r="AA914" s="463" t="s">
        <v>3982</v>
      </c>
      <c r="AB914" s="462" t="s">
        <v>3983</v>
      </c>
      <c r="AC914" s="462" t="s">
        <v>3984</v>
      </c>
      <c r="AD914" s="464">
        <v>1757.10258</v>
      </c>
      <c r="AE914" s="465">
        <v>80.498080000000002</v>
      </c>
      <c r="AF914" s="86">
        <f>IF(verze!$E$1="CZK",AD914,IF(verze!$E$1="SK",AE914,""))</f>
        <v>80.498080000000002</v>
      </c>
    </row>
    <row r="915" spans="2:32" ht="15" hidden="1">
      <c r="B915" s="298"/>
      <c r="C915" s="216"/>
      <c r="D915" s="217"/>
      <c r="E915" s="391"/>
      <c r="F915" s="262"/>
      <c r="G915" s="272" t="e">
        <f t="shared" si="70"/>
        <v>#N/A</v>
      </c>
      <c r="H915" s="141" t="e">
        <f t="shared" si="69"/>
        <v>#N/A</v>
      </c>
      <c r="I915" s="409" t="s">
        <v>47</v>
      </c>
      <c r="J915" s="467"/>
      <c r="L915" s="86" t="e">
        <f>VLOOKUP(B915,$B$11:B914,1,FALSE)</f>
        <v>#N/A</v>
      </c>
      <c r="M915" s="256" t="e">
        <f>G915*(1-FORM!$AE$28/100)</f>
        <v>#N/A</v>
      </c>
      <c r="AA915" s="463" t="s">
        <v>3985</v>
      </c>
      <c r="AB915" s="462" t="s">
        <v>3986</v>
      </c>
      <c r="AC915" s="462" t="s">
        <v>3987</v>
      </c>
      <c r="AD915" s="464">
        <v>1841.8713399999999</v>
      </c>
      <c r="AE915" s="465">
        <v>84.38158</v>
      </c>
      <c r="AF915" s="86">
        <f>IF(verze!$E$1="CZK",AD915,IF(verze!$E$1="SK",AE915,""))</f>
        <v>84.38158</v>
      </c>
    </row>
    <row r="916" spans="2:32" ht="15" hidden="1">
      <c r="B916" s="298"/>
      <c r="C916" s="216"/>
      <c r="D916" s="217"/>
      <c r="E916" s="391"/>
      <c r="F916" s="262"/>
      <c r="G916" s="272" t="e">
        <f t="shared" si="70"/>
        <v>#N/A</v>
      </c>
      <c r="H916" s="141" t="e">
        <f t="shared" si="69"/>
        <v>#N/A</v>
      </c>
      <c r="I916" s="409" t="s">
        <v>47</v>
      </c>
      <c r="J916" s="467"/>
      <c r="L916" s="86" t="e">
        <f>VLOOKUP(B916,$B$11:B915,1,FALSE)</f>
        <v>#N/A</v>
      </c>
      <c r="M916" s="256" t="e">
        <f>G916*(1-FORM!$AE$28/100)</f>
        <v>#N/A</v>
      </c>
      <c r="AA916" s="463" t="s">
        <v>3988</v>
      </c>
      <c r="AB916" s="462" t="s">
        <v>3989</v>
      </c>
      <c r="AC916" s="462" t="s">
        <v>3990</v>
      </c>
      <c r="AD916" s="464">
        <v>1481.1214500000001</v>
      </c>
      <c r="AE916" s="465">
        <v>67.854560000000006</v>
      </c>
      <c r="AF916" s="86">
        <f>IF(verze!$E$1="CZK",AD916,IF(verze!$E$1="SK",AE916,""))</f>
        <v>67.854560000000006</v>
      </c>
    </row>
    <row r="917" spans="2:32" ht="15" hidden="1">
      <c r="B917" s="298"/>
      <c r="C917" s="216"/>
      <c r="D917" s="217"/>
      <c r="E917" s="391"/>
      <c r="F917" s="262"/>
      <c r="G917" s="272" t="e">
        <f t="shared" si="70"/>
        <v>#N/A</v>
      </c>
      <c r="H917" s="141" t="e">
        <f t="shared" si="69"/>
        <v>#N/A</v>
      </c>
      <c r="I917" s="409" t="s">
        <v>47</v>
      </c>
      <c r="J917" s="467"/>
      <c r="L917" s="86" t="e">
        <f>VLOOKUP(B917,$B$11:B916,1,FALSE)</f>
        <v>#N/A</v>
      </c>
      <c r="M917" s="256" t="e">
        <f>G917*(1-FORM!$AE$28/100)</f>
        <v>#N/A</v>
      </c>
      <c r="AA917" s="463" t="s">
        <v>3991</v>
      </c>
      <c r="AB917" s="462" t="s">
        <v>3992</v>
      </c>
      <c r="AC917" s="462" t="s">
        <v>3993</v>
      </c>
      <c r="AD917" s="464">
        <v>1768.3445300000001</v>
      </c>
      <c r="AE917" s="465">
        <v>81.013080000000002</v>
      </c>
      <c r="AF917" s="86">
        <f>IF(verze!$E$1="CZK",AD917,IF(verze!$E$1="SK",AE917,""))</f>
        <v>81.013080000000002</v>
      </c>
    </row>
    <row r="918" spans="2:32" ht="15" hidden="1">
      <c r="B918" s="298"/>
      <c r="C918" s="216"/>
      <c r="D918" s="217"/>
      <c r="E918" s="391"/>
      <c r="F918" s="262"/>
      <c r="G918" s="272" t="e">
        <f t="shared" si="70"/>
        <v>#N/A</v>
      </c>
      <c r="H918" s="141" t="e">
        <f t="shared" si="69"/>
        <v>#N/A</v>
      </c>
      <c r="I918" s="409" t="s">
        <v>47</v>
      </c>
      <c r="J918" s="467"/>
      <c r="L918" s="86" t="e">
        <f>VLOOKUP(B918,$B$11:B917,1,FALSE)</f>
        <v>#N/A</v>
      </c>
      <c r="M918" s="256" t="e">
        <f>G918*(1-FORM!$AE$28/100)</f>
        <v>#N/A</v>
      </c>
      <c r="AA918" s="463" t="s">
        <v>3994</v>
      </c>
      <c r="AB918" s="462" t="s">
        <v>3995</v>
      </c>
      <c r="AC918" s="462" t="s">
        <v>3996</v>
      </c>
      <c r="AD918" s="464">
        <v>3.6605500000000002</v>
      </c>
      <c r="AE918" s="465">
        <v>0.15014</v>
      </c>
      <c r="AF918" s="86">
        <f>IF(verze!$E$1="CZK",AD918,IF(verze!$E$1="SK",AE918,""))</f>
        <v>0.15014</v>
      </c>
    </row>
    <row r="919" spans="2:32" ht="15" hidden="1">
      <c r="B919" s="298"/>
      <c r="C919" s="216"/>
      <c r="D919" s="217"/>
      <c r="E919" s="391"/>
      <c r="F919" s="262"/>
      <c r="G919" s="272" t="e">
        <f t="shared" si="70"/>
        <v>#N/A</v>
      </c>
      <c r="H919" s="141" t="e">
        <f t="shared" si="69"/>
        <v>#N/A</v>
      </c>
      <c r="I919" s="409" t="s">
        <v>47</v>
      </c>
      <c r="J919" s="467"/>
      <c r="L919" s="86" t="e">
        <f>VLOOKUP(B919,$B$11:B918,1,FALSE)</f>
        <v>#N/A</v>
      </c>
      <c r="M919" s="256" t="e">
        <f>G919*(1-FORM!$AE$28/100)</f>
        <v>#N/A</v>
      </c>
      <c r="AA919" s="463" t="s">
        <v>3997</v>
      </c>
      <c r="AB919" s="462" t="s">
        <v>3998</v>
      </c>
      <c r="AC919" s="462" t="s">
        <v>3999</v>
      </c>
      <c r="AD919" s="464">
        <v>38.888649999999998</v>
      </c>
      <c r="AE919" s="465">
        <v>1.8706799999999999</v>
      </c>
      <c r="AF919" s="86">
        <f>IF(verze!$E$1="CZK",AD919,IF(verze!$E$1="SK",AE919,""))</f>
        <v>1.8706799999999999</v>
      </c>
    </row>
    <row r="920" spans="2:32" ht="15" hidden="1">
      <c r="B920" s="298"/>
      <c r="C920" s="216"/>
      <c r="D920" s="217"/>
      <c r="E920" s="391"/>
      <c r="F920" s="262"/>
      <c r="G920" s="272" t="e">
        <f t="shared" si="70"/>
        <v>#N/A</v>
      </c>
      <c r="H920" s="141" t="e">
        <f t="shared" si="69"/>
        <v>#N/A</v>
      </c>
      <c r="I920" s="409" t="s">
        <v>47</v>
      </c>
      <c r="J920" s="467"/>
      <c r="L920" s="86" t="e">
        <f>VLOOKUP(B920,$B$11:B919,1,FALSE)</f>
        <v>#N/A</v>
      </c>
      <c r="M920" s="256" t="e">
        <f>G920*(1-FORM!$AE$28/100)</f>
        <v>#N/A</v>
      </c>
      <c r="AA920" s="463" t="s">
        <v>4000</v>
      </c>
      <c r="AB920" s="462" t="s">
        <v>4001</v>
      </c>
      <c r="AC920" s="462" t="s">
        <v>4002</v>
      </c>
      <c r="AD920" s="464">
        <v>48.039639999999999</v>
      </c>
      <c r="AE920" s="465">
        <v>2.31088</v>
      </c>
      <c r="AF920" s="86">
        <f>IF(verze!$E$1="CZK",AD920,IF(verze!$E$1="SK",AE920,""))</f>
        <v>2.31088</v>
      </c>
    </row>
    <row r="921" spans="2:32" ht="15" hidden="1">
      <c r="B921" s="298"/>
      <c r="C921" s="216"/>
      <c r="D921" s="217"/>
      <c r="E921" s="391"/>
      <c r="F921" s="262"/>
      <c r="G921" s="272" t="e">
        <f t="shared" si="70"/>
        <v>#N/A</v>
      </c>
      <c r="H921" s="141" t="e">
        <f t="shared" si="69"/>
        <v>#N/A</v>
      </c>
      <c r="I921" s="409" t="s">
        <v>47</v>
      </c>
      <c r="J921" s="467"/>
      <c r="L921" s="86" t="e">
        <f>VLOOKUP(B921,$B$11:B920,1,FALSE)</f>
        <v>#N/A</v>
      </c>
      <c r="M921" s="256" t="e">
        <f>G921*(1-FORM!$AE$28/100)</f>
        <v>#N/A</v>
      </c>
      <c r="AA921" s="463" t="s">
        <v>4003</v>
      </c>
      <c r="AB921" s="462" t="s">
        <v>4004</v>
      </c>
      <c r="AC921" s="462" t="s">
        <v>4005</v>
      </c>
      <c r="AD921" s="464">
        <v>34.858519999999999</v>
      </c>
      <c r="AE921" s="465">
        <v>1.3945099999999999</v>
      </c>
      <c r="AF921" s="86">
        <f>IF(verze!$E$1="CZK",AD921,IF(verze!$E$1="SK",AE921,""))</f>
        <v>1.3945099999999999</v>
      </c>
    </row>
    <row r="922" spans="2:32" ht="15" hidden="1">
      <c r="B922" s="298"/>
      <c r="C922" s="216"/>
      <c r="D922" s="217"/>
      <c r="E922" s="391"/>
      <c r="F922" s="262"/>
      <c r="G922" s="272" t="e">
        <f t="shared" si="70"/>
        <v>#N/A</v>
      </c>
      <c r="H922" s="141" t="e">
        <f t="shared" si="69"/>
        <v>#N/A</v>
      </c>
      <c r="I922" s="409" t="s">
        <v>47</v>
      </c>
      <c r="J922" s="467"/>
      <c r="L922" s="86" t="e">
        <f>VLOOKUP(B922,$B$11:B921,1,FALSE)</f>
        <v>#N/A</v>
      </c>
      <c r="M922" s="256" t="e">
        <f>G922*(1-FORM!$AE$28/100)</f>
        <v>#N/A</v>
      </c>
      <c r="AA922" s="463" t="s">
        <v>4006</v>
      </c>
      <c r="AB922" s="462" t="s">
        <v>4007</v>
      </c>
      <c r="AC922" s="462" t="s">
        <v>4008</v>
      </c>
      <c r="AD922" s="464">
        <v>3733.8431500000002</v>
      </c>
      <c r="AE922" s="465">
        <v>149.3723</v>
      </c>
      <c r="AF922" s="86">
        <f>IF(verze!$E$1="CZK",AD922,IF(verze!$E$1="SK",AE922,""))</f>
        <v>149.3723</v>
      </c>
    </row>
    <row r="923" spans="2:32" ht="15" hidden="1">
      <c r="B923" s="298"/>
      <c r="C923" s="216"/>
      <c r="D923" s="217"/>
      <c r="E923" s="391"/>
      <c r="F923" s="262"/>
      <c r="G923" s="272" t="e">
        <f t="shared" si="70"/>
        <v>#N/A</v>
      </c>
      <c r="H923" s="141" t="e">
        <f t="shared" si="69"/>
        <v>#N/A</v>
      </c>
      <c r="I923" s="409" t="s">
        <v>47</v>
      </c>
      <c r="J923" s="467"/>
      <c r="L923" s="86" t="e">
        <f>VLOOKUP(B923,$B$11:B922,1,FALSE)</f>
        <v>#N/A</v>
      </c>
      <c r="M923" s="256" t="e">
        <f>G923*(1-FORM!$AE$28/100)</f>
        <v>#N/A</v>
      </c>
      <c r="AA923" s="463" t="s">
        <v>4009</v>
      </c>
      <c r="AB923" s="462" t="s">
        <v>4010</v>
      </c>
      <c r="AC923" s="462" t="s">
        <v>4011</v>
      </c>
      <c r="AD923" s="464">
        <v>404.90489000000002</v>
      </c>
      <c r="AE923" s="465">
        <v>16.294699999999999</v>
      </c>
      <c r="AF923" s="86">
        <f>IF(verze!$E$1="CZK",AD923,IF(verze!$E$1="SK",AE923,""))</f>
        <v>16.294699999999999</v>
      </c>
    </row>
    <row r="924" spans="2:32" ht="15" hidden="1">
      <c r="B924" s="298"/>
      <c r="C924" s="216"/>
      <c r="D924" s="217"/>
      <c r="E924" s="391"/>
      <c r="F924" s="262"/>
      <c r="G924" s="272" t="e">
        <f t="shared" si="70"/>
        <v>#N/A</v>
      </c>
      <c r="H924" s="141" t="e">
        <f t="shared" si="69"/>
        <v>#N/A</v>
      </c>
      <c r="I924" s="409" t="s">
        <v>47</v>
      </c>
      <c r="J924" s="467"/>
      <c r="L924" s="86" t="e">
        <f>VLOOKUP(B924,$B$11:B923,1,FALSE)</f>
        <v>#N/A</v>
      </c>
      <c r="M924" s="256" t="e">
        <f>G924*(1-FORM!$AE$28/100)</f>
        <v>#N/A</v>
      </c>
      <c r="AA924" s="463" t="s">
        <v>4012</v>
      </c>
      <c r="AB924" s="462" t="s">
        <v>4013</v>
      </c>
      <c r="AC924" s="462" t="s">
        <v>4014</v>
      </c>
      <c r="AD924" s="464">
        <v>21.036729999999999</v>
      </c>
      <c r="AE924" s="465">
        <v>0.84662000000000004</v>
      </c>
      <c r="AF924" s="86">
        <f>IF(verze!$E$1="CZK",AD924,IF(verze!$E$1="SK",AE924,""))</f>
        <v>0.84662000000000004</v>
      </c>
    </row>
    <row r="925" spans="2:32" ht="15" hidden="1">
      <c r="B925" s="298"/>
      <c r="C925" s="216"/>
      <c r="D925" s="217"/>
      <c r="E925" s="391"/>
      <c r="F925" s="262"/>
      <c r="G925" s="272" t="e">
        <f t="shared" si="70"/>
        <v>#N/A</v>
      </c>
      <c r="H925" s="141" t="e">
        <f t="shared" ref="H925:H988" si="71">IF(G925="","",$H$10)</f>
        <v>#N/A</v>
      </c>
      <c r="I925" s="409" t="s">
        <v>47</v>
      </c>
      <c r="J925" s="467"/>
      <c r="L925" s="86" t="e">
        <f>VLOOKUP(B925,$B$11:B924,1,FALSE)</f>
        <v>#N/A</v>
      </c>
      <c r="M925" s="256" t="e">
        <f>G925*(1-FORM!$AE$28/100)</f>
        <v>#N/A</v>
      </c>
      <c r="AA925" s="463" t="s">
        <v>4015</v>
      </c>
      <c r="AB925" s="462" t="s">
        <v>4016</v>
      </c>
      <c r="AC925" s="462" t="s">
        <v>4017</v>
      </c>
      <c r="AD925" s="464">
        <v>62.671469999999999</v>
      </c>
      <c r="AE925" s="465">
        <v>2.5220799999999999</v>
      </c>
      <c r="AF925" s="86">
        <f>IF(verze!$E$1="CZK",AD925,IF(verze!$E$1="SK",AE925,""))</f>
        <v>2.5220799999999999</v>
      </c>
    </row>
    <row r="926" spans="2:32" ht="15" hidden="1">
      <c r="B926" s="298"/>
      <c r="C926" s="216"/>
      <c r="D926" s="217"/>
      <c r="E926" s="391"/>
      <c r="F926" s="262"/>
      <c r="G926" s="272" t="e">
        <f t="shared" si="70"/>
        <v>#N/A</v>
      </c>
      <c r="H926" s="141" t="e">
        <f t="shared" si="71"/>
        <v>#N/A</v>
      </c>
      <c r="I926" s="409" t="s">
        <v>47</v>
      </c>
      <c r="J926" s="467"/>
      <c r="L926" s="86" t="e">
        <f>VLOOKUP(B926,$B$11:B925,1,FALSE)</f>
        <v>#N/A</v>
      </c>
      <c r="M926" s="256" t="e">
        <f>G926*(1-FORM!$AE$28/100)</f>
        <v>#N/A</v>
      </c>
      <c r="AA926" s="463" t="s">
        <v>4018</v>
      </c>
      <c r="AB926" s="462" t="s">
        <v>4019</v>
      </c>
      <c r="AC926" s="462" t="s">
        <v>4020</v>
      </c>
      <c r="AD926" s="464">
        <v>918.41751999999997</v>
      </c>
      <c r="AE926" s="465">
        <v>37.093299999999999</v>
      </c>
      <c r="AF926" s="86">
        <f>IF(verze!$E$1="CZK",AD926,IF(verze!$E$1="SK",AE926,""))</f>
        <v>37.093299999999999</v>
      </c>
    </row>
    <row r="927" spans="2:32" ht="15" hidden="1">
      <c r="B927" s="298"/>
      <c r="C927" s="216"/>
      <c r="D927" s="217"/>
      <c r="E927" s="391"/>
      <c r="F927" s="262"/>
      <c r="G927" s="272" t="e">
        <f t="shared" si="70"/>
        <v>#N/A</v>
      </c>
      <c r="H927" s="141" t="e">
        <f t="shared" si="71"/>
        <v>#N/A</v>
      </c>
      <c r="I927" s="409" t="s">
        <v>47</v>
      </c>
      <c r="J927" s="467"/>
      <c r="L927" s="86" t="e">
        <f>VLOOKUP(B927,$B$11:B926,1,FALSE)</f>
        <v>#N/A</v>
      </c>
      <c r="M927" s="256" t="e">
        <f>G927*(1-FORM!$AE$28/100)</f>
        <v>#N/A</v>
      </c>
      <c r="AA927" s="463" t="s">
        <v>4021</v>
      </c>
      <c r="AB927" s="462" t="s">
        <v>4022</v>
      </c>
      <c r="AC927" s="462" t="s">
        <v>4023</v>
      </c>
      <c r="AD927" s="464">
        <v>918.41751999999997</v>
      </c>
      <c r="AE927" s="465">
        <v>37.093299999999999</v>
      </c>
      <c r="AF927" s="86">
        <f>IF(verze!$E$1="CZK",AD927,IF(verze!$E$1="SK",AE927,""))</f>
        <v>37.093299999999999</v>
      </c>
    </row>
    <row r="928" spans="2:32" ht="15" hidden="1">
      <c r="B928" s="298"/>
      <c r="C928" s="216"/>
      <c r="D928" s="217"/>
      <c r="E928" s="391"/>
      <c r="F928" s="262"/>
      <c r="G928" s="272" t="e">
        <f t="shared" si="70"/>
        <v>#N/A</v>
      </c>
      <c r="H928" s="141" t="e">
        <f t="shared" si="71"/>
        <v>#N/A</v>
      </c>
      <c r="I928" s="409" t="s">
        <v>47</v>
      </c>
      <c r="J928" s="467"/>
      <c r="L928" s="86" t="e">
        <f>VLOOKUP(B928,$B$11:B927,1,FALSE)</f>
        <v>#N/A</v>
      </c>
      <c r="M928" s="256" t="e">
        <f>G928*(1-FORM!$AE$28/100)</f>
        <v>#N/A</v>
      </c>
      <c r="AA928" s="463" t="s">
        <v>4024</v>
      </c>
      <c r="AB928" s="462" t="s">
        <v>4025</v>
      </c>
      <c r="AC928" s="462" t="s">
        <v>4026</v>
      </c>
      <c r="AD928" s="464">
        <v>1088.32222</v>
      </c>
      <c r="AE928" s="465">
        <v>43.955489999999998</v>
      </c>
      <c r="AF928" s="86">
        <f>IF(verze!$E$1="CZK",AD928,IF(verze!$E$1="SK",AE928,""))</f>
        <v>43.955489999999998</v>
      </c>
    </row>
    <row r="929" spans="2:32" ht="15" hidden="1">
      <c r="B929" s="298"/>
      <c r="C929" s="216"/>
      <c r="D929" s="217"/>
      <c r="E929" s="391"/>
      <c r="F929" s="262"/>
      <c r="G929" s="272" t="e">
        <f t="shared" si="70"/>
        <v>#N/A</v>
      </c>
      <c r="H929" s="141" t="e">
        <f t="shared" si="71"/>
        <v>#N/A</v>
      </c>
      <c r="I929" s="409" t="s">
        <v>47</v>
      </c>
      <c r="J929" s="467"/>
      <c r="L929" s="86" t="e">
        <f>VLOOKUP(B929,$B$11:B928,1,FALSE)</f>
        <v>#N/A</v>
      </c>
      <c r="M929" s="256" t="e">
        <f>G929*(1-FORM!$AE$28/100)</f>
        <v>#N/A</v>
      </c>
      <c r="AA929" s="463" t="s">
        <v>4027</v>
      </c>
      <c r="AB929" s="462" t="s">
        <v>4028</v>
      </c>
      <c r="AC929" s="462" t="s">
        <v>4029</v>
      </c>
      <c r="AD929" s="464">
        <v>2037.7954099999999</v>
      </c>
      <c r="AE929" s="465">
        <v>82.302980000000005</v>
      </c>
      <c r="AF929" s="86">
        <f>IF(verze!$E$1="CZK",AD929,IF(verze!$E$1="SK",AE929,""))</f>
        <v>82.302980000000005</v>
      </c>
    </row>
    <row r="930" spans="2:32" ht="15" hidden="1">
      <c r="B930" s="298"/>
      <c r="C930" s="216"/>
      <c r="D930" s="217"/>
      <c r="E930" s="391"/>
      <c r="F930" s="262"/>
      <c r="G930" s="272" t="e">
        <f t="shared" si="70"/>
        <v>#N/A</v>
      </c>
      <c r="H930" s="141" t="e">
        <f t="shared" si="71"/>
        <v>#N/A</v>
      </c>
      <c r="I930" s="409" t="s">
        <v>47</v>
      </c>
      <c r="J930" s="467"/>
      <c r="L930" s="86" t="e">
        <f>VLOOKUP(B930,$B$11:B929,1,FALSE)</f>
        <v>#N/A</v>
      </c>
      <c r="M930" s="256" t="e">
        <f>G930*(1-FORM!$AE$28/100)</f>
        <v>#N/A</v>
      </c>
      <c r="AA930" s="463" t="s">
        <v>4030</v>
      </c>
      <c r="AB930" s="462" t="s">
        <v>4031</v>
      </c>
      <c r="AC930" s="462" t="s">
        <v>4032</v>
      </c>
      <c r="AD930" s="464">
        <v>3793.6131399999999</v>
      </c>
      <c r="AE930" s="465">
        <v>153.21745999999999</v>
      </c>
      <c r="AF930" s="86">
        <f>IF(verze!$E$1="CZK",AD930,IF(verze!$E$1="SK",AE930,""))</f>
        <v>153.21745999999999</v>
      </c>
    </row>
    <row r="931" spans="2:32" ht="15" hidden="1">
      <c r="B931" s="298"/>
      <c r="C931" s="216"/>
      <c r="D931" s="217"/>
      <c r="E931" s="391"/>
      <c r="F931" s="262"/>
      <c r="G931" s="272" t="e">
        <f t="shared" si="70"/>
        <v>#N/A</v>
      </c>
      <c r="H931" s="141" t="e">
        <f t="shared" si="71"/>
        <v>#N/A</v>
      </c>
      <c r="I931" s="409" t="s">
        <v>47</v>
      </c>
      <c r="J931" s="467"/>
      <c r="L931" s="86" t="e">
        <f>VLOOKUP(B931,$B$11:B930,1,FALSE)</f>
        <v>#N/A</v>
      </c>
      <c r="M931" s="256" t="e">
        <f>G931*(1-FORM!$AE$28/100)</f>
        <v>#N/A</v>
      </c>
      <c r="AA931" s="463" t="s">
        <v>4033</v>
      </c>
      <c r="AB931" s="462" t="s">
        <v>4034</v>
      </c>
      <c r="AC931" s="462" t="s">
        <v>4035</v>
      </c>
      <c r="AD931" s="464">
        <v>0.78286</v>
      </c>
      <c r="AE931" s="465">
        <v>3.2120000000000003E-2</v>
      </c>
      <c r="AF931" s="86">
        <f>IF(verze!$E$1="CZK",AD931,IF(verze!$E$1="SK",AE931,""))</f>
        <v>3.2120000000000003E-2</v>
      </c>
    </row>
    <row r="932" spans="2:32" ht="15" hidden="1">
      <c r="B932" s="298"/>
      <c r="C932" s="216"/>
      <c r="D932" s="217"/>
      <c r="E932" s="391"/>
      <c r="F932" s="262"/>
      <c r="G932" s="272" t="e">
        <f t="shared" si="70"/>
        <v>#N/A</v>
      </c>
      <c r="H932" s="141" t="e">
        <f t="shared" si="71"/>
        <v>#N/A</v>
      </c>
      <c r="I932" s="409" t="s">
        <v>47</v>
      </c>
      <c r="J932" s="467"/>
      <c r="L932" s="86" t="e">
        <f>VLOOKUP(B932,$B$11:B931,1,FALSE)</f>
        <v>#N/A</v>
      </c>
      <c r="M932" s="256" t="e">
        <f>G932*(1-FORM!$AE$28/100)</f>
        <v>#N/A</v>
      </c>
      <c r="AA932" s="463" t="s">
        <v>4036</v>
      </c>
      <c r="AB932" s="462" t="s">
        <v>4037</v>
      </c>
      <c r="AC932" s="462" t="s">
        <v>4038</v>
      </c>
      <c r="AD932" s="464">
        <v>0.78286</v>
      </c>
      <c r="AE932" s="465">
        <v>3.2120000000000003E-2</v>
      </c>
      <c r="AF932" s="86">
        <f>IF(verze!$E$1="CZK",AD932,IF(verze!$E$1="SK",AE932,""))</f>
        <v>3.2120000000000003E-2</v>
      </c>
    </row>
    <row r="933" spans="2:32" ht="15" hidden="1">
      <c r="B933" s="298"/>
      <c r="C933" s="216"/>
      <c r="D933" s="217"/>
      <c r="E933" s="391"/>
      <c r="F933" s="262"/>
      <c r="G933" s="272" t="e">
        <f t="shared" si="70"/>
        <v>#N/A</v>
      </c>
      <c r="H933" s="141" t="e">
        <f t="shared" si="71"/>
        <v>#N/A</v>
      </c>
      <c r="I933" s="409" t="s">
        <v>47</v>
      </c>
      <c r="J933" s="467"/>
      <c r="L933" s="86" t="e">
        <f>VLOOKUP(B933,$B$11:B932,1,FALSE)</f>
        <v>#N/A</v>
      </c>
      <c r="M933" s="256" t="e">
        <f>G933*(1-FORM!$AE$28/100)</f>
        <v>#N/A</v>
      </c>
      <c r="AA933" s="463" t="s">
        <v>4039</v>
      </c>
      <c r="AB933" s="462" t="s">
        <v>4040</v>
      </c>
      <c r="AC933" s="462" t="s">
        <v>4041</v>
      </c>
      <c r="AD933" s="464">
        <v>4532.0259299999998</v>
      </c>
      <c r="AE933" s="465">
        <v>181.30359000000001</v>
      </c>
      <c r="AF933" s="86">
        <f>IF(verze!$E$1="CZK",AD933,IF(verze!$E$1="SK",AE933,""))</f>
        <v>181.30359000000001</v>
      </c>
    </row>
    <row r="934" spans="2:32" ht="15" hidden="1">
      <c r="B934" s="298"/>
      <c r="C934" s="216"/>
      <c r="D934" s="217"/>
      <c r="E934" s="391"/>
      <c r="F934" s="262"/>
      <c r="G934" s="272" t="e">
        <f t="shared" si="70"/>
        <v>#N/A</v>
      </c>
      <c r="H934" s="141" t="e">
        <f t="shared" si="71"/>
        <v>#N/A</v>
      </c>
      <c r="I934" s="409" t="s">
        <v>47</v>
      </c>
      <c r="J934" s="467"/>
      <c r="L934" s="86" t="e">
        <f>VLOOKUP(B934,$B$11:B933,1,FALSE)</f>
        <v>#N/A</v>
      </c>
      <c r="M934" s="256" t="e">
        <f>G934*(1-FORM!$AE$28/100)</f>
        <v>#N/A</v>
      </c>
      <c r="AA934" s="463" t="s">
        <v>4042</v>
      </c>
      <c r="AB934" s="462" t="s">
        <v>4043</v>
      </c>
      <c r="AC934" s="462" t="s">
        <v>4044</v>
      </c>
      <c r="AD934" s="464">
        <v>3285.0026200000002</v>
      </c>
      <c r="AE934" s="465">
        <v>131.41646</v>
      </c>
      <c r="AF934" s="86">
        <f>IF(verze!$E$1="CZK",AD934,IF(verze!$E$1="SK",AE934,""))</f>
        <v>131.41646</v>
      </c>
    </row>
    <row r="935" spans="2:32" ht="15" hidden="1">
      <c r="B935" s="298"/>
      <c r="C935" s="216"/>
      <c r="D935" s="217"/>
      <c r="E935" s="391"/>
      <c r="F935" s="262"/>
      <c r="G935" s="272" t="e">
        <f t="shared" si="70"/>
        <v>#N/A</v>
      </c>
      <c r="H935" s="141" t="e">
        <f t="shared" si="71"/>
        <v>#N/A</v>
      </c>
      <c r="I935" s="409" t="s">
        <v>47</v>
      </c>
      <c r="J935" s="467"/>
      <c r="L935" s="86" t="e">
        <f>VLOOKUP(B935,$B$11:B934,1,FALSE)</f>
        <v>#N/A</v>
      </c>
      <c r="M935" s="256" t="e">
        <f>G935*(1-FORM!$AE$28/100)</f>
        <v>#N/A</v>
      </c>
      <c r="AA935" s="463" t="s">
        <v>4045</v>
      </c>
      <c r="AB935" s="462" t="s">
        <v>4046</v>
      </c>
      <c r="AC935" s="462" t="s">
        <v>4047</v>
      </c>
      <c r="AD935" s="464">
        <v>1457.9587300000001</v>
      </c>
      <c r="AE935" s="465">
        <v>58.325609999999998</v>
      </c>
      <c r="AF935" s="86">
        <f>IF(verze!$E$1="CZK",AD935,IF(verze!$E$1="SK",AE935,""))</f>
        <v>58.325609999999998</v>
      </c>
    </row>
    <row r="936" spans="2:32" ht="15" hidden="1">
      <c r="B936" s="298"/>
      <c r="C936" s="216"/>
      <c r="D936" s="217"/>
      <c r="E936" s="391"/>
      <c r="F936" s="262"/>
      <c r="G936" s="272" t="e">
        <f t="shared" si="70"/>
        <v>#N/A</v>
      </c>
      <c r="H936" s="141" t="e">
        <f t="shared" si="71"/>
        <v>#N/A</v>
      </c>
      <c r="I936" s="409" t="s">
        <v>47</v>
      </c>
      <c r="J936" s="467"/>
      <c r="L936" s="86" t="e">
        <f>VLOOKUP(B936,$B$11:B935,1,FALSE)</f>
        <v>#N/A</v>
      </c>
      <c r="M936" s="256" t="e">
        <f>G936*(1-FORM!$AE$28/100)</f>
        <v>#N/A</v>
      </c>
      <c r="AA936" s="463" t="s">
        <v>4048</v>
      </c>
      <c r="AB936" s="462" t="s">
        <v>4049</v>
      </c>
      <c r="AC936" s="462" t="s">
        <v>4050</v>
      </c>
      <c r="AD936" s="464">
        <v>2136.1694299999999</v>
      </c>
      <c r="AE936" s="465">
        <v>85.457419999999999</v>
      </c>
      <c r="AF936" s="86">
        <f>IF(verze!$E$1="CZK",AD936,IF(verze!$E$1="SK",AE936,""))</f>
        <v>85.457419999999999</v>
      </c>
    </row>
    <row r="937" spans="2:32" ht="15" hidden="1">
      <c r="B937" s="298"/>
      <c r="C937" s="216"/>
      <c r="D937" s="217"/>
      <c r="E937" s="391"/>
      <c r="F937" s="262"/>
      <c r="G937" s="272" t="e">
        <f t="shared" si="70"/>
        <v>#N/A</v>
      </c>
      <c r="H937" s="141" t="e">
        <f t="shared" si="71"/>
        <v>#N/A</v>
      </c>
      <c r="I937" s="409" t="s">
        <v>47</v>
      </c>
      <c r="J937" s="467"/>
      <c r="L937" s="86" t="e">
        <f>VLOOKUP(B937,$B$11:B936,1,FALSE)</f>
        <v>#N/A</v>
      </c>
      <c r="M937" s="256" t="e">
        <f>G937*(1-FORM!$AE$28/100)</f>
        <v>#N/A</v>
      </c>
      <c r="AA937" s="463" t="s">
        <v>4051</v>
      </c>
      <c r="AB937" s="462" t="s">
        <v>4052</v>
      </c>
      <c r="AC937" s="462" t="s">
        <v>4053</v>
      </c>
      <c r="AD937" s="464">
        <v>1794.10256</v>
      </c>
      <c r="AE937" s="465">
        <v>71.773030000000006</v>
      </c>
      <c r="AF937" s="86">
        <f>IF(verze!$E$1="CZK",AD937,IF(verze!$E$1="SK",AE937,""))</f>
        <v>71.773030000000006</v>
      </c>
    </row>
    <row r="938" spans="2:32" ht="15" hidden="1">
      <c r="B938" s="298"/>
      <c r="C938" s="216"/>
      <c r="D938" s="217"/>
      <c r="E938" s="391"/>
      <c r="F938" s="262"/>
      <c r="G938" s="272" t="e">
        <f t="shared" si="70"/>
        <v>#N/A</v>
      </c>
      <c r="H938" s="141" t="e">
        <f t="shared" si="71"/>
        <v>#N/A</v>
      </c>
      <c r="I938" s="409" t="s">
        <v>47</v>
      </c>
      <c r="J938" s="467"/>
      <c r="L938" s="86" t="e">
        <f>VLOOKUP(B938,$B$11:B937,1,FALSE)</f>
        <v>#N/A</v>
      </c>
      <c r="M938" s="256" t="e">
        <f>G938*(1-FORM!$AE$28/100)</f>
        <v>#N/A</v>
      </c>
      <c r="AA938" s="463" t="s">
        <v>4054</v>
      </c>
      <c r="AB938" s="462" t="s">
        <v>4055</v>
      </c>
      <c r="AC938" s="462" t="s">
        <v>4056</v>
      </c>
      <c r="AD938" s="464">
        <v>515.41837999999996</v>
      </c>
      <c r="AE938" s="465">
        <v>20.619299999999999</v>
      </c>
      <c r="AF938" s="86">
        <f>IF(verze!$E$1="CZK",AD938,IF(verze!$E$1="SK",AE938,""))</f>
        <v>20.619299999999999</v>
      </c>
    </row>
    <row r="939" spans="2:32" ht="15" hidden="1">
      <c r="B939" s="298"/>
      <c r="C939" s="216"/>
      <c r="D939" s="217"/>
      <c r="E939" s="391"/>
      <c r="F939" s="262"/>
      <c r="G939" s="272" t="e">
        <f t="shared" si="70"/>
        <v>#N/A</v>
      </c>
      <c r="H939" s="141" t="e">
        <f t="shared" si="71"/>
        <v>#N/A</v>
      </c>
      <c r="I939" s="409" t="s">
        <v>47</v>
      </c>
      <c r="J939" s="467"/>
      <c r="L939" s="86" t="e">
        <f>VLOOKUP(B939,$B$11:B938,1,FALSE)</f>
        <v>#N/A</v>
      </c>
      <c r="M939" s="256" t="e">
        <f>G939*(1-FORM!$AE$28/100)</f>
        <v>#N/A</v>
      </c>
      <c r="AA939" s="463" t="s">
        <v>4057</v>
      </c>
      <c r="AB939" s="462" t="s">
        <v>4058</v>
      </c>
      <c r="AC939" s="462" t="s">
        <v>4059</v>
      </c>
      <c r="AD939" s="464">
        <v>490.37797999999998</v>
      </c>
      <c r="AE939" s="465">
        <v>19.61758</v>
      </c>
      <c r="AF939" s="86">
        <f>IF(verze!$E$1="CZK",AD939,IF(verze!$E$1="SK",AE939,""))</f>
        <v>19.61758</v>
      </c>
    </row>
    <row r="940" spans="2:32" ht="15" hidden="1">
      <c r="B940" s="298"/>
      <c r="C940" s="216"/>
      <c r="D940" s="217"/>
      <c r="E940" s="391"/>
      <c r="F940" s="262"/>
      <c r="G940" s="272" t="e">
        <f t="shared" si="70"/>
        <v>#N/A</v>
      </c>
      <c r="H940" s="141" t="e">
        <f t="shared" si="71"/>
        <v>#N/A</v>
      </c>
      <c r="I940" s="409" t="s">
        <v>47</v>
      </c>
      <c r="J940" s="467"/>
      <c r="L940" s="86" t="e">
        <f>VLOOKUP(B940,$B$11:B939,1,FALSE)</f>
        <v>#N/A</v>
      </c>
      <c r="M940" s="256" t="e">
        <f>G940*(1-FORM!$AE$28/100)</f>
        <v>#N/A</v>
      </c>
      <c r="AA940" s="463" t="s">
        <v>4060</v>
      </c>
      <c r="AB940" s="462" t="s">
        <v>4061</v>
      </c>
      <c r="AC940" s="462" t="s">
        <v>4062</v>
      </c>
      <c r="AD940" s="464">
        <v>438.91883999999999</v>
      </c>
      <c r="AE940" s="465">
        <v>17.663519999999998</v>
      </c>
      <c r="AF940" s="86">
        <f>IF(verze!$E$1="CZK",AD940,IF(verze!$E$1="SK",AE940,""))</f>
        <v>17.663519999999998</v>
      </c>
    </row>
    <row r="941" spans="2:32" ht="15" hidden="1">
      <c r="B941" s="298"/>
      <c r="C941" s="216"/>
      <c r="D941" s="217"/>
      <c r="E941" s="391"/>
      <c r="F941" s="262"/>
      <c r="G941" s="272" t="e">
        <f t="shared" si="70"/>
        <v>#N/A</v>
      </c>
      <c r="H941" s="141" t="e">
        <f t="shared" si="71"/>
        <v>#N/A</v>
      </c>
      <c r="I941" s="409" t="s">
        <v>47</v>
      </c>
      <c r="J941" s="467"/>
      <c r="L941" s="86" t="e">
        <f>VLOOKUP(B941,$B$11:B940,1,FALSE)</f>
        <v>#N/A</v>
      </c>
      <c r="M941" s="256" t="e">
        <f>G941*(1-FORM!$AE$28/100)</f>
        <v>#N/A</v>
      </c>
      <c r="AA941" s="463" t="s">
        <v>4063</v>
      </c>
      <c r="AB941" s="462" t="s">
        <v>4064</v>
      </c>
      <c r="AC941" s="462" t="s">
        <v>4065</v>
      </c>
      <c r="AD941" s="464">
        <v>447.52616</v>
      </c>
      <c r="AE941" s="465">
        <v>18.009889999999999</v>
      </c>
      <c r="AF941" s="86">
        <f>IF(verze!$E$1="CZK",AD941,IF(verze!$E$1="SK",AE941,""))</f>
        <v>18.009889999999999</v>
      </c>
    </row>
    <row r="942" spans="2:32" ht="15" hidden="1">
      <c r="B942" s="298"/>
      <c r="C942" s="216"/>
      <c r="D942" s="217"/>
      <c r="E942" s="391"/>
      <c r="F942" s="262"/>
      <c r="G942" s="272" t="e">
        <f t="shared" si="70"/>
        <v>#N/A</v>
      </c>
      <c r="H942" s="141" t="e">
        <f t="shared" si="71"/>
        <v>#N/A</v>
      </c>
      <c r="I942" s="409" t="s">
        <v>47</v>
      </c>
      <c r="J942" s="467"/>
      <c r="L942" s="86" t="e">
        <f>VLOOKUP(B942,$B$11:B941,1,FALSE)</f>
        <v>#N/A</v>
      </c>
      <c r="M942" s="256" t="e">
        <f>G942*(1-FORM!$AE$28/100)</f>
        <v>#N/A</v>
      </c>
      <c r="AA942" s="463" t="s">
        <v>4066</v>
      </c>
      <c r="AB942" s="462" t="s">
        <v>4067</v>
      </c>
      <c r="AC942" s="462" t="s">
        <v>4068</v>
      </c>
      <c r="AD942" s="464">
        <v>1361.7818400000001</v>
      </c>
      <c r="AE942" s="465">
        <v>54.830390000000001</v>
      </c>
      <c r="AF942" s="86">
        <f>IF(verze!$E$1="CZK",AD942,IF(verze!$E$1="SK",AE942,""))</f>
        <v>54.830390000000001</v>
      </c>
    </row>
    <row r="943" spans="2:32" ht="15" hidden="1">
      <c r="B943" s="298"/>
      <c r="C943" s="216"/>
      <c r="D943" s="217"/>
      <c r="E943" s="391"/>
      <c r="F943" s="262"/>
      <c r="G943" s="272" t="e">
        <f t="shared" si="70"/>
        <v>#N/A</v>
      </c>
      <c r="H943" s="141" t="e">
        <f t="shared" si="71"/>
        <v>#N/A</v>
      </c>
      <c r="I943" s="409" t="s">
        <v>47</v>
      </c>
      <c r="J943" s="467"/>
      <c r="L943" s="86" t="e">
        <f>VLOOKUP(B943,$B$11:B942,1,FALSE)</f>
        <v>#N/A</v>
      </c>
      <c r="M943" s="256" t="e">
        <f>G943*(1-FORM!$AE$28/100)</f>
        <v>#N/A</v>
      </c>
      <c r="AA943" s="463" t="s">
        <v>4069</v>
      </c>
      <c r="AB943" s="462" t="s">
        <v>4070</v>
      </c>
      <c r="AC943" s="462" t="s">
        <v>4071</v>
      </c>
      <c r="AD943" s="464">
        <v>510.86135000000002</v>
      </c>
      <c r="AE943" s="465">
        <v>20.747299999999999</v>
      </c>
      <c r="AF943" s="86">
        <f>IF(verze!$E$1="CZK",AD943,IF(verze!$E$1="SK",AE943,""))</f>
        <v>20.747299999999999</v>
      </c>
    </row>
    <row r="944" spans="2:32" ht="15" hidden="1">
      <c r="B944" s="298"/>
      <c r="C944" s="216"/>
      <c r="D944" s="217"/>
      <c r="E944" s="391"/>
      <c r="F944" s="262"/>
      <c r="G944" s="272" t="e">
        <f t="shared" si="70"/>
        <v>#N/A</v>
      </c>
      <c r="H944" s="141" t="e">
        <f t="shared" si="71"/>
        <v>#N/A</v>
      </c>
      <c r="I944" s="409" t="s">
        <v>47</v>
      </c>
      <c r="J944" s="467"/>
      <c r="L944" s="86" t="e">
        <f>VLOOKUP(B944,$B$11:B943,1,FALSE)</f>
        <v>#N/A</v>
      </c>
      <c r="M944" s="256" t="e">
        <f>G944*(1-FORM!$AE$28/100)</f>
        <v>#N/A</v>
      </c>
      <c r="AA944" s="463" t="s">
        <v>4072</v>
      </c>
      <c r="AB944" s="462" t="s">
        <v>4073</v>
      </c>
      <c r="AC944" s="462" t="s">
        <v>4074</v>
      </c>
      <c r="AD944" s="464">
        <v>663.16789000000006</v>
      </c>
      <c r="AE944" s="465">
        <v>26.932790000000001</v>
      </c>
      <c r="AF944" s="86">
        <f>IF(verze!$E$1="CZK",AD944,IF(verze!$E$1="SK",AE944,""))</f>
        <v>26.932790000000001</v>
      </c>
    </row>
    <row r="945" spans="2:32" ht="15" hidden="1">
      <c r="B945" s="298"/>
      <c r="C945" s="216"/>
      <c r="D945" s="217"/>
      <c r="E945" s="391"/>
      <c r="F945" s="262"/>
      <c r="G945" s="272" t="e">
        <f t="shared" si="70"/>
        <v>#N/A</v>
      </c>
      <c r="H945" s="141" t="e">
        <f t="shared" si="71"/>
        <v>#N/A</v>
      </c>
      <c r="I945" s="409" t="s">
        <v>47</v>
      </c>
      <c r="J945" s="467"/>
      <c r="L945" s="86" t="e">
        <f>VLOOKUP(B945,$B$11:B944,1,FALSE)</f>
        <v>#N/A</v>
      </c>
      <c r="M945" s="256" t="e">
        <f>G945*(1-FORM!$AE$28/100)</f>
        <v>#N/A</v>
      </c>
      <c r="AA945" s="463" t="s">
        <v>4075</v>
      </c>
      <c r="AB945" s="462" t="s">
        <v>4076</v>
      </c>
      <c r="AC945" s="462" t="s">
        <v>4077</v>
      </c>
      <c r="AD945" s="464">
        <v>905.77955999999995</v>
      </c>
      <c r="AE945" s="465">
        <v>36.78586</v>
      </c>
      <c r="AF945" s="86">
        <f>IF(verze!$E$1="CZK",AD945,IF(verze!$E$1="SK",AE945,""))</f>
        <v>36.78586</v>
      </c>
    </row>
    <row r="946" spans="2:32" ht="15" hidden="1">
      <c r="B946" s="298"/>
      <c r="C946" s="216"/>
      <c r="D946" s="217"/>
      <c r="E946" s="391"/>
      <c r="F946" s="262"/>
      <c r="G946" s="272" t="e">
        <f t="shared" si="70"/>
        <v>#N/A</v>
      </c>
      <c r="H946" s="141" t="e">
        <f t="shared" si="71"/>
        <v>#N/A</v>
      </c>
      <c r="I946" s="409" t="s">
        <v>47</v>
      </c>
      <c r="J946" s="467"/>
      <c r="L946" s="86" t="e">
        <f>VLOOKUP(B946,$B$11:B945,1,FALSE)</f>
        <v>#N/A</v>
      </c>
      <c r="M946" s="256" t="e">
        <f>G946*(1-FORM!$AE$28/100)</f>
        <v>#N/A</v>
      </c>
      <c r="AA946" s="463" t="s">
        <v>4078</v>
      </c>
      <c r="AB946" s="462" t="s">
        <v>4079</v>
      </c>
      <c r="AC946" s="462" t="s">
        <v>4080</v>
      </c>
      <c r="AD946" s="464">
        <v>1.08809</v>
      </c>
      <c r="AE946" s="465">
        <v>4.9860000000000002E-2</v>
      </c>
      <c r="AF946" s="86">
        <f>IF(verze!$E$1="CZK",AD946,IF(verze!$E$1="SK",AE946,""))</f>
        <v>4.9860000000000002E-2</v>
      </c>
    </row>
    <row r="947" spans="2:32" ht="15" hidden="1">
      <c r="B947" s="298"/>
      <c r="C947" s="216"/>
      <c r="D947" s="217"/>
      <c r="E947" s="391"/>
      <c r="F947" s="262"/>
      <c r="G947" s="272" t="e">
        <f t="shared" si="70"/>
        <v>#N/A</v>
      </c>
      <c r="H947" s="141" t="e">
        <f t="shared" si="71"/>
        <v>#N/A</v>
      </c>
      <c r="I947" s="409" t="s">
        <v>47</v>
      </c>
      <c r="J947" s="467"/>
      <c r="L947" s="86" t="e">
        <f>VLOOKUP(B947,$B$11:B946,1,FALSE)</f>
        <v>#N/A</v>
      </c>
      <c r="M947" s="256" t="e">
        <f>G947*(1-FORM!$AE$28/100)</f>
        <v>#N/A</v>
      </c>
      <c r="AA947" s="463" t="s">
        <v>4081</v>
      </c>
      <c r="AB947" s="462" t="s">
        <v>4082</v>
      </c>
      <c r="AC947" s="462" t="s">
        <v>4083</v>
      </c>
      <c r="AD947" s="464">
        <v>1.6480999999999999</v>
      </c>
      <c r="AE947" s="465">
        <v>7.5499999999999998E-2</v>
      </c>
      <c r="AF947" s="86">
        <f>IF(verze!$E$1="CZK",AD947,IF(verze!$E$1="SK",AE947,""))</f>
        <v>7.5499999999999998E-2</v>
      </c>
    </row>
    <row r="948" spans="2:32" ht="15" hidden="1">
      <c r="B948" s="298"/>
      <c r="C948" s="216"/>
      <c r="D948" s="217"/>
      <c r="E948" s="391"/>
      <c r="F948" s="262"/>
      <c r="G948" s="272" t="e">
        <f t="shared" si="70"/>
        <v>#N/A</v>
      </c>
      <c r="H948" s="141" t="e">
        <f t="shared" si="71"/>
        <v>#N/A</v>
      </c>
      <c r="I948" s="409" t="s">
        <v>47</v>
      </c>
      <c r="J948" s="467"/>
      <c r="L948" s="86" t="e">
        <f>VLOOKUP(B948,$B$11:B947,1,FALSE)</f>
        <v>#N/A</v>
      </c>
      <c r="M948" s="256" t="e">
        <f>G948*(1-FORM!$AE$28/100)</f>
        <v>#N/A</v>
      </c>
      <c r="AA948" s="463" t="s">
        <v>4084</v>
      </c>
      <c r="AB948" s="462" t="s">
        <v>4085</v>
      </c>
      <c r="AC948" s="462" t="s">
        <v>4086</v>
      </c>
      <c r="AD948" s="464">
        <v>1.69617</v>
      </c>
      <c r="AE948" s="465">
        <v>7.7700000000000005E-2</v>
      </c>
      <c r="AF948" s="86">
        <f>IF(verze!$E$1="CZK",AD948,IF(verze!$E$1="SK",AE948,""))</f>
        <v>7.7700000000000005E-2</v>
      </c>
    </row>
    <row r="949" spans="2:32" ht="15" hidden="1">
      <c r="B949" s="298"/>
      <c r="C949" s="216"/>
      <c r="D949" s="217"/>
      <c r="E949" s="391"/>
      <c r="F949" s="262"/>
      <c r="G949" s="272" t="e">
        <f t="shared" si="70"/>
        <v>#N/A</v>
      </c>
      <c r="H949" s="141" t="e">
        <f t="shared" si="71"/>
        <v>#N/A</v>
      </c>
      <c r="I949" s="409" t="s">
        <v>47</v>
      </c>
      <c r="J949" s="467"/>
      <c r="L949" s="86" t="e">
        <f>VLOOKUP(B949,$B$11:B948,1,FALSE)</f>
        <v>#N/A</v>
      </c>
      <c r="M949" s="256" t="e">
        <f>G949*(1-FORM!$AE$28/100)</f>
        <v>#N/A</v>
      </c>
      <c r="AA949" s="463" t="s">
        <v>4087</v>
      </c>
      <c r="AB949" s="462" t="s">
        <v>4088</v>
      </c>
      <c r="AC949" s="462" t="s">
        <v>4089</v>
      </c>
      <c r="AD949" s="464">
        <v>1.8241799999999999</v>
      </c>
      <c r="AE949" s="465">
        <v>8.3580000000000002E-2</v>
      </c>
      <c r="AF949" s="86">
        <f>IF(verze!$E$1="CZK",AD949,IF(verze!$E$1="SK",AE949,""))</f>
        <v>8.3580000000000002E-2</v>
      </c>
    </row>
    <row r="950" spans="2:32" ht="15" hidden="1">
      <c r="B950" s="298"/>
      <c r="C950" s="216"/>
      <c r="D950" s="217"/>
      <c r="E950" s="391"/>
      <c r="F950" s="262"/>
      <c r="G950" s="272" t="e">
        <f t="shared" si="70"/>
        <v>#N/A</v>
      </c>
      <c r="H950" s="141" t="e">
        <f t="shared" si="71"/>
        <v>#N/A</v>
      </c>
      <c r="I950" s="409" t="s">
        <v>47</v>
      </c>
      <c r="J950" s="467"/>
      <c r="L950" s="86" t="e">
        <f>VLOOKUP(B950,$B$11:B949,1,FALSE)</f>
        <v>#N/A</v>
      </c>
      <c r="M950" s="256" t="e">
        <f>G950*(1-FORM!$AE$28/100)</f>
        <v>#N/A</v>
      </c>
      <c r="AA950" s="463" t="s">
        <v>4090</v>
      </c>
      <c r="AB950" s="462" t="s">
        <v>4091</v>
      </c>
      <c r="AC950" s="462" t="s">
        <v>4092</v>
      </c>
      <c r="AD950" s="464">
        <v>1.8849800000000001</v>
      </c>
      <c r="AE950" s="465">
        <v>8.6360000000000006E-2</v>
      </c>
      <c r="AF950" s="86">
        <f>IF(verze!$E$1="CZK",AD950,IF(verze!$E$1="SK",AE950,""))</f>
        <v>8.6360000000000006E-2</v>
      </c>
    </row>
    <row r="951" spans="2:32" ht="15" hidden="1">
      <c r="B951" s="298"/>
      <c r="C951" s="216"/>
      <c r="D951" s="217"/>
      <c r="E951" s="391"/>
      <c r="F951" s="262"/>
      <c r="G951" s="272" t="e">
        <f t="shared" si="70"/>
        <v>#N/A</v>
      </c>
      <c r="H951" s="141" t="e">
        <f t="shared" si="71"/>
        <v>#N/A</v>
      </c>
      <c r="I951" s="409" t="s">
        <v>47</v>
      </c>
      <c r="J951" s="467"/>
      <c r="L951" s="86" t="e">
        <f>VLOOKUP(B951,$B$11:B950,1,FALSE)</f>
        <v>#N/A</v>
      </c>
      <c r="M951" s="256" t="e">
        <f>G951*(1-FORM!$AE$28/100)</f>
        <v>#N/A</v>
      </c>
      <c r="AA951" s="463" t="s">
        <v>4093</v>
      </c>
      <c r="AB951" s="462" t="s">
        <v>4094</v>
      </c>
      <c r="AC951" s="462" t="s">
        <v>4095</v>
      </c>
      <c r="AD951" s="464">
        <v>1.92655</v>
      </c>
      <c r="AE951" s="465">
        <v>8.8260000000000005E-2</v>
      </c>
      <c r="AF951" s="86">
        <f>IF(verze!$E$1="CZK",AD951,IF(verze!$E$1="SK",AE951,""))</f>
        <v>8.8260000000000005E-2</v>
      </c>
    </row>
    <row r="952" spans="2:32" ht="15" hidden="1">
      <c r="B952" s="298"/>
      <c r="C952" s="216"/>
      <c r="D952" s="217"/>
      <c r="E952" s="391"/>
      <c r="F952" s="262"/>
      <c r="G952" s="272" t="e">
        <f t="shared" si="70"/>
        <v>#N/A</v>
      </c>
      <c r="H952" s="141" t="e">
        <f t="shared" si="71"/>
        <v>#N/A</v>
      </c>
      <c r="I952" s="409" t="s">
        <v>47</v>
      </c>
      <c r="J952" s="467"/>
      <c r="L952" s="86" t="e">
        <f>VLOOKUP(B952,$B$11:B951,1,FALSE)</f>
        <v>#N/A</v>
      </c>
      <c r="M952" s="256" t="e">
        <f>G952*(1-FORM!$AE$28/100)</f>
        <v>#N/A</v>
      </c>
      <c r="AA952" s="463" t="s">
        <v>4096</v>
      </c>
      <c r="AB952" s="462" t="s">
        <v>4097</v>
      </c>
      <c r="AC952" s="462" t="s">
        <v>4098</v>
      </c>
      <c r="AD952" s="464">
        <v>2.0162100000000001</v>
      </c>
      <c r="AE952" s="465">
        <v>9.2380000000000004E-2</v>
      </c>
      <c r="AF952" s="86">
        <f>IF(verze!$E$1="CZK",AD952,IF(verze!$E$1="SK",AE952,""))</f>
        <v>9.2380000000000004E-2</v>
      </c>
    </row>
    <row r="953" spans="2:32" ht="15" hidden="1">
      <c r="B953" s="298"/>
      <c r="C953" s="216"/>
      <c r="D953" s="217"/>
      <c r="E953" s="391"/>
      <c r="F953" s="262"/>
      <c r="G953" s="272" t="e">
        <f t="shared" si="70"/>
        <v>#N/A</v>
      </c>
      <c r="H953" s="141" t="e">
        <f t="shared" si="71"/>
        <v>#N/A</v>
      </c>
      <c r="I953" s="409" t="s">
        <v>47</v>
      </c>
      <c r="J953" s="467"/>
      <c r="L953" s="86" t="e">
        <f>VLOOKUP(B953,$B$11:B952,1,FALSE)</f>
        <v>#N/A</v>
      </c>
      <c r="M953" s="256" t="e">
        <f>G953*(1-FORM!$AE$28/100)</f>
        <v>#N/A</v>
      </c>
      <c r="AA953" s="463" t="s">
        <v>4099</v>
      </c>
      <c r="AB953" s="462" t="s">
        <v>4100</v>
      </c>
      <c r="AC953" s="462" t="s">
        <v>4101</v>
      </c>
      <c r="AD953" s="464">
        <v>2.1602299999999999</v>
      </c>
      <c r="AE953" s="465">
        <v>9.8960000000000006E-2</v>
      </c>
      <c r="AF953" s="86">
        <f>IF(verze!$E$1="CZK",AD953,IF(verze!$E$1="SK",AE953,""))</f>
        <v>9.8960000000000006E-2</v>
      </c>
    </row>
    <row r="954" spans="2:32" ht="15" hidden="1">
      <c r="B954" s="298"/>
      <c r="C954" s="216"/>
      <c r="D954" s="217"/>
      <c r="E954" s="391"/>
      <c r="F954" s="262"/>
      <c r="G954" s="272" t="e">
        <f t="shared" si="70"/>
        <v>#N/A</v>
      </c>
      <c r="H954" s="141" t="e">
        <f t="shared" si="71"/>
        <v>#N/A</v>
      </c>
      <c r="I954" s="409" t="s">
        <v>47</v>
      </c>
      <c r="J954" s="467"/>
      <c r="L954" s="86" t="e">
        <f>VLOOKUP(B954,$B$11:B953,1,FALSE)</f>
        <v>#N/A</v>
      </c>
      <c r="M954" s="256" t="e">
        <f>G954*(1-FORM!$AE$28/100)</f>
        <v>#N/A</v>
      </c>
      <c r="AA954" s="463" t="s">
        <v>4102</v>
      </c>
      <c r="AB954" s="462" t="s">
        <v>4103</v>
      </c>
      <c r="AC954" s="462" t="s">
        <v>4104</v>
      </c>
      <c r="AD954" s="464">
        <v>2.24017</v>
      </c>
      <c r="AE954" s="465">
        <v>0.10262</v>
      </c>
      <c r="AF954" s="86">
        <f>IF(verze!$E$1="CZK",AD954,IF(verze!$E$1="SK",AE954,""))</f>
        <v>0.10262</v>
      </c>
    </row>
    <row r="955" spans="2:32" ht="15" hidden="1">
      <c r="B955" s="298"/>
      <c r="C955" s="216"/>
      <c r="D955" s="217"/>
      <c r="E955" s="391"/>
      <c r="F955" s="262"/>
      <c r="G955" s="272" t="e">
        <f t="shared" si="70"/>
        <v>#N/A</v>
      </c>
      <c r="H955" s="141" t="e">
        <f t="shared" si="71"/>
        <v>#N/A</v>
      </c>
      <c r="I955" s="409" t="s">
        <v>47</v>
      </c>
      <c r="J955" s="467"/>
      <c r="L955" s="86" t="e">
        <f>VLOOKUP(B955,$B$11:B954,1,FALSE)</f>
        <v>#N/A</v>
      </c>
      <c r="M955" s="256" t="e">
        <f>G955*(1-FORM!$AE$28/100)</f>
        <v>#N/A</v>
      </c>
      <c r="AA955" s="463" t="s">
        <v>4105</v>
      </c>
      <c r="AB955" s="462" t="s">
        <v>4106</v>
      </c>
      <c r="AC955" s="462" t="s">
        <v>4107</v>
      </c>
      <c r="AD955" s="464">
        <v>2.3426300000000002</v>
      </c>
      <c r="AE955" s="465">
        <v>0.10732</v>
      </c>
      <c r="AF955" s="86">
        <f>IF(verze!$E$1="CZK",AD955,IF(verze!$E$1="SK",AE955,""))</f>
        <v>0.10732</v>
      </c>
    </row>
    <row r="956" spans="2:32" ht="15" hidden="1">
      <c r="B956" s="298"/>
      <c r="C956" s="216"/>
      <c r="D956" s="217"/>
      <c r="E956" s="391"/>
      <c r="F956" s="262"/>
      <c r="G956" s="272" t="e">
        <f t="shared" si="70"/>
        <v>#N/A</v>
      </c>
      <c r="H956" s="141" t="e">
        <f t="shared" si="71"/>
        <v>#N/A</v>
      </c>
      <c r="I956" s="409" t="s">
        <v>47</v>
      </c>
      <c r="J956" s="467"/>
      <c r="L956" s="86" t="e">
        <f>VLOOKUP(B956,$B$11:B955,1,FALSE)</f>
        <v>#N/A</v>
      </c>
      <c r="M956" s="256" t="e">
        <f>G956*(1-FORM!$AE$28/100)</f>
        <v>#N/A</v>
      </c>
      <c r="AA956" s="463" t="s">
        <v>4108</v>
      </c>
      <c r="AB956" s="462" t="s">
        <v>4109</v>
      </c>
      <c r="AC956" s="462" t="s">
        <v>4110</v>
      </c>
      <c r="AD956" s="464">
        <v>2.57301</v>
      </c>
      <c r="AE956" s="465">
        <v>0.11788</v>
      </c>
      <c r="AF956" s="86">
        <f>IF(verze!$E$1="CZK",AD956,IF(verze!$E$1="SK",AE956,""))</f>
        <v>0.11788</v>
      </c>
    </row>
    <row r="957" spans="2:32" ht="15" hidden="1">
      <c r="B957" s="298"/>
      <c r="C957" s="216"/>
      <c r="D957" s="217"/>
      <c r="E957" s="391"/>
      <c r="F957" s="262"/>
      <c r="G957" s="272" t="e">
        <f t="shared" si="70"/>
        <v>#N/A</v>
      </c>
      <c r="H957" s="141" t="e">
        <f t="shared" si="71"/>
        <v>#N/A</v>
      </c>
      <c r="I957" s="409" t="s">
        <v>47</v>
      </c>
      <c r="J957" s="467"/>
      <c r="L957" s="86" t="e">
        <f>VLOOKUP(B957,$B$11:B956,1,FALSE)</f>
        <v>#N/A</v>
      </c>
      <c r="M957" s="256" t="e">
        <f>G957*(1-FORM!$AE$28/100)</f>
        <v>#N/A</v>
      </c>
      <c r="AA957" s="463" t="s">
        <v>4111</v>
      </c>
      <c r="AB957" s="462" t="s">
        <v>4112</v>
      </c>
      <c r="AC957" s="462" t="s">
        <v>4113</v>
      </c>
      <c r="AD957" s="464">
        <v>2.57301</v>
      </c>
      <c r="AE957" s="465">
        <v>0.11788</v>
      </c>
      <c r="AF957" s="86">
        <f>IF(verze!$E$1="CZK",AD957,IF(verze!$E$1="SK",AE957,""))</f>
        <v>0.11788</v>
      </c>
    </row>
    <row r="958" spans="2:32" ht="15" hidden="1">
      <c r="B958" s="298"/>
      <c r="C958" s="216"/>
      <c r="D958" s="217"/>
      <c r="E958" s="391"/>
      <c r="F958" s="262"/>
      <c r="G958" s="272" t="e">
        <f t="shared" si="70"/>
        <v>#N/A</v>
      </c>
      <c r="H958" s="141" t="e">
        <f t="shared" si="71"/>
        <v>#N/A</v>
      </c>
      <c r="I958" s="409" t="s">
        <v>47</v>
      </c>
      <c r="J958" s="467"/>
      <c r="L958" s="86" t="e">
        <f>VLOOKUP(B958,$B$11:B957,1,FALSE)</f>
        <v>#N/A</v>
      </c>
      <c r="M958" s="256" t="e">
        <f>G958*(1-FORM!$AE$28/100)</f>
        <v>#N/A</v>
      </c>
      <c r="AA958" s="463" t="s">
        <v>4114</v>
      </c>
      <c r="AB958" s="462" t="s">
        <v>4115</v>
      </c>
      <c r="AC958" s="462" t="s">
        <v>4116</v>
      </c>
      <c r="AD958" s="464">
        <v>2.80349</v>
      </c>
      <c r="AE958" s="465">
        <v>0.12844</v>
      </c>
      <c r="AF958" s="86">
        <f>IF(verze!$E$1="CZK",AD958,IF(verze!$E$1="SK",AE958,""))</f>
        <v>0.12844</v>
      </c>
    </row>
    <row r="959" spans="2:32" ht="15" hidden="1">
      <c r="B959" s="298"/>
      <c r="C959" s="216"/>
      <c r="D959" s="217"/>
      <c r="E959" s="391"/>
      <c r="F959" s="262"/>
      <c r="G959" s="272" t="e">
        <f t="shared" si="70"/>
        <v>#N/A</v>
      </c>
      <c r="H959" s="141" t="e">
        <f t="shared" si="71"/>
        <v>#N/A</v>
      </c>
      <c r="I959" s="409" t="s">
        <v>47</v>
      </c>
      <c r="J959" s="467"/>
      <c r="L959" s="86" t="e">
        <f>VLOOKUP(B959,$B$11:B958,1,FALSE)</f>
        <v>#N/A</v>
      </c>
      <c r="M959" s="256" t="e">
        <f>G959*(1-FORM!$AE$28/100)</f>
        <v>#N/A</v>
      </c>
      <c r="AA959" s="463" t="s">
        <v>4117</v>
      </c>
      <c r="AB959" s="462" t="s">
        <v>4118</v>
      </c>
      <c r="AC959" s="462" t="s">
        <v>4119</v>
      </c>
      <c r="AD959" s="464">
        <v>2.7425799999999998</v>
      </c>
      <c r="AE959" s="465">
        <v>0.12565999999999999</v>
      </c>
      <c r="AF959" s="86">
        <f>IF(verze!$E$1="CZK",AD959,IF(verze!$E$1="SK",AE959,""))</f>
        <v>0.12565999999999999</v>
      </c>
    </row>
    <row r="960" spans="2:32" ht="15" hidden="1">
      <c r="B960" s="298"/>
      <c r="C960" s="216"/>
      <c r="D960" s="217"/>
      <c r="E960" s="391"/>
      <c r="F960" s="262"/>
      <c r="G960" s="272" t="e">
        <f t="shared" si="70"/>
        <v>#N/A</v>
      </c>
      <c r="H960" s="141" t="e">
        <f t="shared" si="71"/>
        <v>#N/A</v>
      </c>
      <c r="I960" s="409" t="s">
        <v>47</v>
      </c>
      <c r="J960" s="467"/>
      <c r="L960" s="86" t="e">
        <f>VLOOKUP(B960,$B$11:B959,1,FALSE)</f>
        <v>#N/A</v>
      </c>
      <c r="M960" s="256" t="e">
        <f>G960*(1-FORM!$AE$28/100)</f>
        <v>#N/A</v>
      </c>
      <c r="AA960" s="463" t="s">
        <v>4120</v>
      </c>
      <c r="AB960" s="462" t="s">
        <v>4121</v>
      </c>
      <c r="AC960" s="462" t="s">
        <v>4122</v>
      </c>
      <c r="AD960" s="464">
        <v>61.601900000000001</v>
      </c>
      <c r="AE960" s="465">
        <v>2.9632700000000001</v>
      </c>
      <c r="AF960" s="86">
        <f>IF(verze!$E$1="CZK",AD960,IF(verze!$E$1="SK",AE960,""))</f>
        <v>2.9632700000000001</v>
      </c>
    </row>
    <row r="961" spans="2:32" ht="15" hidden="1">
      <c r="B961" s="298"/>
      <c r="C961" s="216"/>
      <c r="D961" s="217"/>
      <c r="E961" s="391"/>
      <c r="F961" s="262"/>
      <c r="G961" s="272" t="e">
        <f t="shared" si="70"/>
        <v>#N/A</v>
      </c>
      <c r="H961" s="141" t="e">
        <f t="shared" si="71"/>
        <v>#N/A</v>
      </c>
      <c r="I961" s="409" t="s">
        <v>47</v>
      </c>
      <c r="J961" s="467"/>
      <c r="L961" s="86" t="e">
        <f>VLOOKUP(B961,$B$11:B960,1,FALSE)</f>
        <v>#N/A</v>
      </c>
      <c r="M961" s="256" t="e">
        <f>G961*(1-FORM!$AE$28/100)</f>
        <v>#N/A</v>
      </c>
      <c r="AA961" s="463" t="s">
        <v>4123</v>
      </c>
      <c r="AB961" s="462" t="s">
        <v>4124</v>
      </c>
      <c r="AC961" s="462" t="s">
        <v>4125</v>
      </c>
      <c r="AD961" s="464">
        <v>304.78832999999997</v>
      </c>
      <c r="AE961" s="465">
        <v>0</v>
      </c>
      <c r="AF961" s="86">
        <f>IF(verze!$E$1="CZK",AD961,IF(verze!$E$1="SK",AE961,""))</f>
        <v>0</v>
      </c>
    </row>
    <row r="962" spans="2:32" ht="15" hidden="1">
      <c r="B962" s="298"/>
      <c r="C962" s="216"/>
      <c r="D962" s="217"/>
      <c r="E962" s="391"/>
      <c r="F962" s="262"/>
      <c r="G962" s="272" t="e">
        <f t="shared" si="70"/>
        <v>#N/A</v>
      </c>
      <c r="H962" s="141" t="e">
        <f t="shared" si="71"/>
        <v>#N/A</v>
      </c>
      <c r="I962" s="409" t="s">
        <v>47</v>
      </c>
      <c r="J962" s="467"/>
      <c r="L962" s="86" t="e">
        <f>VLOOKUP(B962,$B$11:B961,1,FALSE)</f>
        <v>#N/A</v>
      </c>
      <c r="M962" s="256" t="e">
        <f>G962*(1-FORM!$AE$28/100)</f>
        <v>#N/A</v>
      </c>
      <c r="AA962" s="463" t="s">
        <v>4126</v>
      </c>
      <c r="AB962" s="462" t="s">
        <v>4127</v>
      </c>
      <c r="AC962" s="462" t="s">
        <v>4128</v>
      </c>
      <c r="AD962" s="464">
        <v>750.52670000000001</v>
      </c>
      <c r="AE962" s="465">
        <v>0</v>
      </c>
      <c r="AF962" s="86">
        <f>IF(verze!$E$1="CZK",AD962,IF(verze!$E$1="SK",AE962,""))</f>
        <v>0</v>
      </c>
    </row>
    <row r="963" spans="2:32" ht="15" hidden="1">
      <c r="B963" s="298"/>
      <c r="C963" s="216"/>
      <c r="D963" s="217"/>
      <c r="E963" s="391"/>
      <c r="F963" s="262"/>
      <c r="G963" s="272" t="e">
        <f t="shared" si="70"/>
        <v>#N/A</v>
      </c>
      <c r="H963" s="141" t="e">
        <f t="shared" si="71"/>
        <v>#N/A</v>
      </c>
      <c r="I963" s="409" t="s">
        <v>47</v>
      </c>
      <c r="J963" s="467"/>
      <c r="L963" s="86" t="e">
        <f>VLOOKUP(B963,$B$11:B962,1,FALSE)</f>
        <v>#N/A</v>
      </c>
      <c r="M963" s="256" t="e">
        <f>G963*(1-FORM!$AE$28/100)</f>
        <v>#N/A</v>
      </c>
      <c r="AA963" s="463" t="s">
        <v>4129</v>
      </c>
      <c r="AB963" s="462" t="s">
        <v>4130</v>
      </c>
      <c r="AC963" s="462" t="s">
        <v>4131</v>
      </c>
      <c r="AD963" s="464">
        <v>593.36275000000001</v>
      </c>
      <c r="AE963" s="465">
        <v>23.737469999999998</v>
      </c>
      <c r="AF963" s="86">
        <f>IF(verze!$E$1="CZK",AD963,IF(verze!$E$1="SK",AE963,""))</f>
        <v>23.737469999999998</v>
      </c>
    </row>
    <row r="964" spans="2:32" ht="15" hidden="1">
      <c r="B964" s="298"/>
      <c r="C964" s="216"/>
      <c r="D964" s="217"/>
      <c r="E964" s="391"/>
      <c r="F964" s="262"/>
      <c r="G964" s="272" t="e">
        <f t="shared" si="70"/>
        <v>#N/A</v>
      </c>
      <c r="H964" s="141" t="e">
        <f t="shared" si="71"/>
        <v>#N/A</v>
      </c>
      <c r="I964" s="409" t="s">
        <v>47</v>
      </c>
      <c r="J964" s="467"/>
      <c r="L964" s="86" t="e">
        <f>VLOOKUP(B964,$B$11:B963,1,FALSE)</f>
        <v>#N/A</v>
      </c>
      <c r="M964" s="256" t="e">
        <f>G964*(1-FORM!$AE$28/100)</f>
        <v>#N/A</v>
      </c>
      <c r="AA964" s="463" t="s">
        <v>4132</v>
      </c>
      <c r="AB964" s="462" t="s">
        <v>4133</v>
      </c>
      <c r="AC964" s="462" t="s">
        <v>4134</v>
      </c>
      <c r="AD964" s="464">
        <v>12.03349</v>
      </c>
      <c r="AE964" s="465">
        <v>0.57884000000000002</v>
      </c>
      <c r="AF964" s="86">
        <f>IF(verze!$E$1="CZK",AD964,IF(verze!$E$1="SK",AE964,""))</f>
        <v>0.57884000000000002</v>
      </c>
    </row>
    <row r="965" spans="2:32" ht="15" hidden="1">
      <c r="B965" s="298"/>
      <c r="C965" s="216"/>
      <c r="D965" s="217"/>
      <c r="E965" s="391"/>
      <c r="F965" s="262"/>
      <c r="G965" s="272" t="e">
        <f t="shared" si="70"/>
        <v>#N/A</v>
      </c>
      <c r="H965" s="141" t="e">
        <f t="shared" si="71"/>
        <v>#N/A</v>
      </c>
      <c r="I965" s="409" t="s">
        <v>47</v>
      </c>
      <c r="J965" s="467"/>
      <c r="L965" s="86" t="e">
        <f>VLOOKUP(B965,$B$11:B964,1,FALSE)</f>
        <v>#N/A</v>
      </c>
      <c r="M965" s="256" t="e">
        <f>G965*(1-FORM!$AE$28/100)</f>
        <v>#N/A</v>
      </c>
      <c r="AA965" s="463" t="s">
        <v>4135</v>
      </c>
      <c r="AB965" s="462" t="s">
        <v>4136</v>
      </c>
      <c r="AC965" s="462" t="s">
        <v>4137</v>
      </c>
      <c r="AD965" s="464">
        <v>50.355179999999997</v>
      </c>
      <c r="AE965" s="465">
        <v>2.4222700000000001</v>
      </c>
      <c r="AF965" s="86">
        <f>IF(verze!$E$1="CZK",AD965,IF(verze!$E$1="SK",AE965,""))</f>
        <v>2.4222700000000001</v>
      </c>
    </row>
    <row r="966" spans="2:32" ht="15" hidden="1">
      <c r="B966" s="298"/>
      <c r="C966" s="216"/>
      <c r="D966" s="217"/>
      <c r="E966" s="391"/>
      <c r="F966" s="262"/>
      <c r="G966" s="272" t="e">
        <f t="shared" si="70"/>
        <v>#N/A</v>
      </c>
      <c r="H966" s="141" t="e">
        <f t="shared" si="71"/>
        <v>#N/A</v>
      </c>
      <c r="I966" s="409" t="s">
        <v>47</v>
      </c>
      <c r="J966" s="467"/>
      <c r="L966" s="86" t="e">
        <f>VLOOKUP(B966,$B$11:B965,1,FALSE)</f>
        <v>#N/A</v>
      </c>
      <c r="M966" s="256" t="e">
        <f>G966*(1-FORM!$AE$28/100)</f>
        <v>#N/A</v>
      </c>
      <c r="AA966" s="463" t="s">
        <v>4138</v>
      </c>
      <c r="AB966" s="462" t="s">
        <v>4139</v>
      </c>
      <c r="AC966" s="462" t="s">
        <v>4140</v>
      </c>
      <c r="AD966" s="464">
        <v>53.303019999999997</v>
      </c>
      <c r="AE966" s="465">
        <v>2.56406</v>
      </c>
      <c r="AF966" s="86">
        <f>IF(verze!$E$1="CZK",AD966,IF(verze!$E$1="SK",AE966,""))</f>
        <v>2.56406</v>
      </c>
    </row>
    <row r="967" spans="2:32" ht="15" hidden="1">
      <c r="B967" s="298"/>
      <c r="C967" s="216"/>
      <c r="D967" s="217"/>
      <c r="E967" s="391"/>
      <c r="F967" s="262"/>
      <c r="G967" s="272" t="e">
        <f t="shared" si="70"/>
        <v>#N/A</v>
      </c>
      <c r="H967" s="141" t="e">
        <f t="shared" si="71"/>
        <v>#N/A</v>
      </c>
      <c r="I967" s="409" t="s">
        <v>47</v>
      </c>
      <c r="J967" s="467"/>
      <c r="L967" s="86" t="e">
        <f>VLOOKUP(B967,$B$11:B966,1,FALSE)</f>
        <v>#N/A</v>
      </c>
      <c r="M967" s="256" t="e">
        <f>G967*(1-FORM!$AE$28/100)</f>
        <v>#N/A</v>
      </c>
      <c r="AA967" s="463" t="s">
        <v>4141</v>
      </c>
      <c r="AB967" s="462" t="s">
        <v>4142</v>
      </c>
      <c r="AC967" s="462" t="s">
        <v>4143</v>
      </c>
      <c r="AD967" s="464">
        <v>22.40043</v>
      </c>
      <c r="AE967" s="465">
        <v>0.91871999999999998</v>
      </c>
      <c r="AF967" s="86">
        <f>IF(verze!$E$1="CZK",AD967,IF(verze!$E$1="SK",AE967,""))</f>
        <v>0.91871999999999998</v>
      </c>
    </row>
    <row r="968" spans="2:32" ht="15" hidden="1">
      <c r="B968" s="298"/>
      <c r="C968" s="216"/>
      <c r="D968" s="217"/>
      <c r="E968" s="391"/>
      <c r="F968" s="262"/>
      <c r="G968" s="272" t="e">
        <f t="shared" si="70"/>
        <v>#N/A</v>
      </c>
      <c r="H968" s="141" t="e">
        <f t="shared" si="71"/>
        <v>#N/A</v>
      </c>
      <c r="I968" s="409" t="s">
        <v>47</v>
      </c>
      <c r="J968" s="467"/>
      <c r="L968" s="86" t="e">
        <f>VLOOKUP(B968,$B$11:B967,1,FALSE)</f>
        <v>#N/A</v>
      </c>
      <c r="M968" s="256" t="e">
        <f>G968*(1-FORM!$AE$28/100)</f>
        <v>#N/A</v>
      </c>
      <c r="AA968" s="463" t="s">
        <v>4144</v>
      </c>
      <c r="AB968" s="462" t="s">
        <v>4145</v>
      </c>
      <c r="AC968" s="462" t="s">
        <v>4146</v>
      </c>
      <c r="AD968" s="464">
        <v>24.50414</v>
      </c>
      <c r="AE968" s="465">
        <v>1.0049999999999999</v>
      </c>
      <c r="AF968" s="86">
        <f>IF(verze!$E$1="CZK",AD968,IF(verze!$E$1="SK",AE968,""))</f>
        <v>1.0049999999999999</v>
      </c>
    </row>
    <row r="969" spans="2:32" ht="15" hidden="1">
      <c r="B969" s="298"/>
      <c r="C969" s="216"/>
      <c r="D969" s="217"/>
      <c r="E969" s="391"/>
      <c r="F969" s="262"/>
      <c r="G969" s="272" t="e">
        <f t="shared" si="70"/>
        <v>#N/A</v>
      </c>
      <c r="H969" s="141" t="e">
        <f t="shared" si="71"/>
        <v>#N/A</v>
      </c>
      <c r="I969" s="409" t="s">
        <v>47</v>
      </c>
      <c r="J969" s="467"/>
      <c r="L969" s="86" t="e">
        <f>VLOOKUP(B969,$B$11:B968,1,FALSE)</f>
        <v>#N/A</v>
      </c>
      <c r="M969" s="256" t="e">
        <f>G969*(1-FORM!$AE$28/100)</f>
        <v>#N/A</v>
      </c>
      <c r="AA969" s="463" t="s">
        <v>4147</v>
      </c>
      <c r="AB969" s="462" t="s">
        <v>4148</v>
      </c>
      <c r="AC969" s="462" t="s">
        <v>4149</v>
      </c>
      <c r="AD969" s="464">
        <v>25.69333</v>
      </c>
      <c r="AE969" s="465">
        <v>1.05376</v>
      </c>
      <c r="AF969" s="86">
        <f>IF(verze!$E$1="CZK",AD969,IF(verze!$E$1="SK",AE969,""))</f>
        <v>1.05376</v>
      </c>
    </row>
    <row r="970" spans="2:32" ht="15" hidden="1">
      <c r="B970" s="298"/>
      <c r="C970" s="216"/>
      <c r="D970" s="217"/>
      <c r="E970" s="391"/>
      <c r="F970" s="262"/>
      <c r="G970" s="272" t="e">
        <f t="shared" si="70"/>
        <v>#N/A</v>
      </c>
      <c r="H970" s="141" t="e">
        <f t="shared" si="71"/>
        <v>#N/A</v>
      </c>
      <c r="I970" s="409" t="s">
        <v>47</v>
      </c>
      <c r="J970" s="467"/>
      <c r="L970" s="86" t="e">
        <f>VLOOKUP(B970,$B$11:B969,1,FALSE)</f>
        <v>#N/A</v>
      </c>
      <c r="M970" s="256" t="e">
        <f>G970*(1-FORM!$AE$28/100)</f>
        <v>#N/A</v>
      </c>
      <c r="AA970" s="463" t="s">
        <v>4150</v>
      </c>
      <c r="AB970" s="462" t="s">
        <v>4151</v>
      </c>
      <c r="AC970" s="462" t="s">
        <v>4152</v>
      </c>
      <c r="AD970" s="464">
        <v>27.507020000000001</v>
      </c>
      <c r="AE970" s="465">
        <v>1.1281600000000001</v>
      </c>
      <c r="AF970" s="86">
        <f>IF(verze!$E$1="CZK",AD970,IF(verze!$E$1="SK",AE970,""))</f>
        <v>1.1281600000000001</v>
      </c>
    </row>
    <row r="971" spans="2:32" ht="15" hidden="1">
      <c r="B971" s="298"/>
      <c r="C971" s="216"/>
      <c r="D971" s="217"/>
      <c r="E971" s="391"/>
      <c r="F971" s="262"/>
      <c r="G971" s="272" t="e">
        <f t="shared" si="70"/>
        <v>#N/A</v>
      </c>
      <c r="H971" s="141" t="e">
        <f t="shared" si="71"/>
        <v>#N/A</v>
      </c>
      <c r="I971" s="409" t="s">
        <v>47</v>
      </c>
      <c r="J971" s="467"/>
      <c r="L971" s="86" t="e">
        <f>VLOOKUP(B971,$B$11:B970,1,FALSE)</f>
        <v>#N/A</v>
      </c>
      <c r="M971" s="256" t="e">
        <f>G971*(1-FORM!$AE$28/100)</f>
        <v>#N/A</v>
      </c>
      <c r="AA971" s="463" t="s">
        <v>4153</v>
      </c>
      <c r="AB971" s="462" t="s">
        <v>4154</v>
      </c>
      <c r="AC971" s="462" t="s">
        <v>4155</v>
      </c>
      <c r="AD971" s="464">
        <v>8.8481199999999998</v>
      </c>
      <c r="AE971" s="465">
        <v>0.3629</v>
      </c>
      <c r="AF971" s="86">
        <f>IF(verze!$E$1="CZK",AD971,IF(verze!$E$1="SK",AE971,""))</f>
        <v>0.3629</v>
      </c>
    </row>
    <row r="972" spans="2:32" ht="15" hidden="1">
      <c r="B972" s="298"/>
      <c r="C972" s="216"/>
      <c r="D972" s="217"/>
      <c r="E972" s="391"/>
      <c r="F972" s="262"/>
      <c r="G972" s="272" t="e">
        <f t="shared" si="70"/>
        <v>#N/A</v>
      </c>
      <c r="H972" s="141" t="e">
        <f t="shared" si="71"/>
        <v>#N/A</v>
      </c>
      <c r="I972" s="409" t="s">
        <v>47</v>
      </c>
      <c r="J972" s="467"/>
      <c r="L972" s="86" t="e">
        <f>VLOOKUP(B972,$B$11:B971,1,FALSE)</f>
        <v>#N/A</v>
      </c>
      <c r="M972" s="256" t="e">
        <f>G972*(1-FORM!$AE$28/100)</f>
        <v>#N/A</v>
      </c>
      <c r="AA972" s="463" t="s">
        <v>4153</v>
      </c>
      <c r="AB972" s="462" t="s">
        <v>4156</v>
      </c>
      <c r="AC972" s="462" t="s">
        <v>4157</v>
      </c>
      <c r="AD972" s="464">
        <v>8.8481199999999998</v>
      </c>
      <c r="AE972" s="465">
        <v>0.3629</v>
      </c>
      <c r="AF972" s="86">
        <f>IF(verze!$E$1="CZK",AD972,IF(verze!$E$1="SK",AE972,""))</f>
        <v>0.3629</v>
      </c>
    </row>
    <row r="973" spans="2:32" ht="15" hidden="1">
      <c r="B973" s="298"/>
      <c r="C973" s="216"/>
      <c r="D973" s="217"/>
      <c r="E973" s="391"/>
      <c r="F973" s="262"/>
      <c r="G973" s="272" t="e">
        <f t="shared" ref="G973:G1036" si="72">VLOOKUP(J973,AB:AF,5,0)</f>
        <v>#N/A</v>
      </c>
      <c r="H973" s="141" t="e">
        <f t="shared" si="71"/>
        <v>#N/A</v>
      </c>
      <c r="I973" s="409" t="s">
        <v>47</v>
      </c>
      <c r="J973" s="467"/>
      <c r="L973" s="86" t="e">
        <f>VLOOKUP(B973,$B$11:B972,1,FALSE)</f>
        <v>#N/A</v>
      </c>
      <c r="M973" s="256" t="e">
        <f>G973*(1-FORM!$AE$28/100)</f>
        <v>#N/A</v>
      </c>
      <c r="AA973" s="463" t="s">
        <v>4158</v>
      </c>
      <c r="AB973" s="462" t="s">
        <v>4159</v>
      </c>
      <c r="AC973" s="462" t="s">
        <v>4160</v>
      </c>
      <c r="AD973" s="464">
        <v>6.7463600000000001</v>
      </c>
      <c r="AE973" s="465">
        <v>0.2767</v>
      </c>
      <c r="AF973" s="86">
        <f>IF(verze!$E$1="CZK",AD973,IF(verze!$E$1="SK",AE973,""))</f>
        <v>0.2767</v>
      </c>
    </row>
    <row r="974" spans="2:32" ht="15" hidden="1">
      <c r="B974" s="298"/>
      <c r="C974" s="216"/>
      <c r="D974" s="217"/>
      <c r="E974" s="391"/>
      <c r="F974" s="262"/>
      <c r="G974" s="272" t="e">
        <f t="shared" si="72"/>
        <v>#N/A</v>
      </c>
      <c r="H974" s="141" t="e">
        <f t="shared" si="71"/>
        <v>#N/A</v>
      </c>
      <c r="I974" s="409" t="s">
        <v>47</v>
      </c>
      <c r="J974" s="467"/>
      <c r="L974" s="86" t="e">
        <f>VLOOKUP(B974,$B$11:B973,1,FALSE)</f>
        <v>#N/A</v>
      </c>
      <c r="M974" s="256" t="e">
        <f>G974*(1-FORM!$AE$28/100)</f>
        <v>#N/A</v>
      </c>
      <c r="AA974" s="463" t="s">
        <v>4161</v>
      </c>
      <c r="AB974" s="462" t="s">
        <v>4162</v>
      </c>
      <c r="AC974" s="462" t="s">
        <v>4163</v>
      </c>
      <c r="AD974" s="464">
        <v>12.26322</v>
      </c>
      <c r="AE974" s="465">
        <v>0.50295999999999996</v>
      </c>
      <c r="AF974" s="86">
        <f>IF(verze!$E$1="CZK",AD974,IF(verze!$E$1="SK",AE974,""))</f>
        <v>0.50295999999999996</v>
      </c>
    </row>
    <row r="975" spans="2:32" ht="15" hidden="1">
      <c r="B975" s="298"/>
      <c r="C975" s="216"/>
      <c r="D975" s="217"/>
      <c r="E975" s="391"/>
      <c r="F975" s="262"/>
      <c r="G975" s="272" t="e">
        <f t="shared" si="72"/>
        <v>#N/A</v>
      </c>
      <c r="H975" s="141" t="e">
        <f t="shared" si="71"/>
        <v>#N/A</v>
      </c>
      <c r="I975" s="409" t="s">
        <v>47</v>
      </c>
      <c r="J975" s="467"/>
      <c r="L975" s="86" t="e">
        <f>VLOOKUP(B975,$B$11:B974,1,FALSE)</f>
        <v>#N/A</v>
      </c>
      <c r="M975" s="256" t="e">
        <f>G975*(1-FORM!$AE$28/100)</f>
        <v>#N/A</v>
      </c>
      <c r="AA975" s="463" t="s">
        <v>4164</v>
      </c>
      <c r="AB975" s="462" t="s">
        <v>4165</v>
      </c>
      <c r="AC975" s="462" t="s">
        <v>4166</v>
      </c>
      <c r="AD975" s="464">
        <v>14.76182</v>
      </c>
      <c r="AE975" s="465">
        <v>0.60541999999999996</v>
      </c>
      <c r="AF975" s="86">
        <f>IF(verze!$E$1="CZK",AD975,IF(verze!$E$1="SK",AE975,""))</f>
        <v>0.60541999999999996</v>
      </c>
    </row>
    <row r="976" spans="2:32" ht="15" hidden="1">
      <c r="B976" s="298"/>
      <c r="C976" s="216"/>
      <c r="D976" s="217"/>
      <c r="E976" s="391"/>
      <c r="F976" s="262"/>
      <c r="G976" s="272" t="e">
        <f t="shared" si="72"/>
        <v>#N/A</v>
      </c>
      <c r="H976" s="141" t="e">
        <f t="shared" si="71"/>
        <v>#N/A</v>
      </c>
      <c r="I976" s="409" t="s">
        <v>47</v>
      </c>
      <c r="J976" s="467"/>
      <c r="L976" s="86" t="e">
        <f>VLOOKUP(B976,$B$11:B975,1,FALSE)</f>
        <v>#N/A</v>
      </c>
      <c r="M976" s="256" t="e">
        <f>G976*(1-FORM!$AE$28/100)</f>
        <v>#N/A</v>
      </c>
      <c r="AA976" s="463" t="s">
        <v>4167</v>
      </c>
      <c r="AB976" s="462" t="s">
        <v>4168</v>
      </c>
      <c r="AC976" s="462" t="s">
        <v>4169</v>
      </c>
      <c r="AD976" s="464">
        <v>3.0722200000000002</v>
      </c>
      <c r="AE976" s="465">
        <v>0.14076</v>
      </c>
      <c r="AF976" s="86">
        <f>IF(verze!$E$1="CZK",AD976,IF(verze!$E$1="SK",AE976,""))</f>
        <v>0.14076</v>
      </c>
    </row>
    <row r="977" spans="2:32" ht="15" hidden="1">
      <c r="B977" s="298"/>
      <c r="C977" s="216"/>
      <c r="D977" s="217"/>
      <c r="E977" s="391"/>
      <c r="F977" s="262"/>
      <c r="G977" s="272" t="e">
        <f t="shared" si="72"/>
        <v>#N/A</v>
      </c>
      <c r="H977" s="141" t="e">
        <f t="shared" si="71"/>
        <v>#N/A</v>
      </c>
      <c r="I977" s="409" t="s">
        <v>47</v>
      </c>
      <c r="J977" s="467"/>
      <c r="L977" s="86" t="e">
        <f>VLOOKUP(B977,$B$11:B976,1,FALSE)</f>
        <v>#N/A</v>
      </c>
      <c r="M977" s="256" t="e">
        <f>G977*(1-FORM!$AE$28/100)</f>
        <v>#N/A</v>
      </c>
      <c r="AA977" s="463" t="s">
        <v>4170</v>
      </c>
      <c r="AB977" s="462" t="s">
        <v>4171</v>
      </c>
      <c r="AC977" s="462" t="s">
        <v>4172</v>
      </c>
      <c r="AD977" s="464">
        <v>1.9873499999999999</v>
      </c>
      <c r="AE977" s="465">
        <v>9.1039999999999996E-2</v>
      </c>
      <c r="AF977" s="86">
        <f>IF(verze!$E$1="CZK",AD977,IF(verze!$E$1="SK",AE977,""))</f>
        <v>9.1039999999999996E-2</v>
      </c>
    </row>
    <row r="978" spans="2:32" ht="15" hidden="1">
      <c r="B978" s="298"/>
      <c r="C978" s="216"/>
      <c r="D978" s="217"/>
      <c r="E978" s="391"/>
      <c r="F978" s="262"/>
      <c r="G978" s="272" t="e">
        <f t="shared" si="72"/>
        <v>#N/A</v>
      </c>
      <c r="H978" s="141" t="e">
        <f t="shared" si="71"/>
        <v>#N/A</v>
      </c>
      <c r="I978" s="409" t="s">
        <v>47</v>
      </c>
      <c r="J978" s="467"/>
      <c r="L978" s="86" t="e">
        <f>VLOOKUP(B978,$B$11:B977,1,FALSE)</f>
        <v>#N/A</v>
      </c>
      <c r="M978" s="256" t="e">
        <f>G978*(1-FORM!$AE$28/100)</f>
        <v>#N/A</v>
      </c>
      <c r="AA978" s="463" t="s">
        <v>4173</v>
      </c>
      <c r="AB978" s="462" t="s">
        <v>4174</v>
      </c>
      <c r="AC978" s="462" t="s">
        <v>4175</v>
      </c>
      <c r="AD978" s="464">
        <v>10.40044</v>
      </c>
      <c r="AE978" s="465">
        <v>0.42655999999999999</v>
      </c>
      <c r="AF978" s="86">
        <f>IF(verze!$E$1="CZK",AD978,IF(verze!$E$1="SK",AE978,""))</f>
        <v>0.42655999999999999</v>
      </c>
    </row>
    <row r="979" spans="2:32" ht="15" hidden="1">
      <c r="B979" s="298"/>
      <c r="C979" s="216"/>
      <c r="D979" s="217"/>
      <c r="E979" s="391"/>
      <c r="F979" s="262"/>
      <c r="G979" s="272" t="e">
        <f t="shared" si="72"/>
        <v>#N/A</v>
      </c>
      <c r="H979" s="141" t="e">
        <f t="shared" si="71"/>
        <v>#N/A</v>
      </c>
      <c r="I979" s="409" t="s">
        <v>47</v>
      </c>
      <c r="J979" s="467"/>
      <c r="L979" s="86" t="e">
        <f>VLOOKUP(B979,$B$11:B978,1,FALSE)</f>
        <v>#N/A</v>
      </c>
      <c r="M979" s="256" t="e">
        <f>G979*(1-FORM!$AE$28/100)</f>
        <v>#N/A</v>
      </c>
      <c r="AA979" s="463" t="s">
        <v>4176</v>
      </c>
      <c r="AB979" s="462" t="s">
        <v>4177</v>
      </c>
      <c r="AC979" s="462" t="s">
        <v>4178</v>
      </c>
      <c r="AD979" s="464">
        <v>553.80529000000001</v>
      </c>
      <c r="AE979" s="465">
        <v>22.154959999999999</v>
      </c>
      <c r="AF979" s="86">
        <f>IF(verze!$E$1="CZK",AD979,IF(verze!$E$1="SK",AE979,""))</f>
        <v>22.154959999999999</v>
      </c>
    </row>
    <row r="980" spans="2:32" ht="15" hidden="1">
      <c r="B980" s="298"/>
      <c r="C980" s="216"/>
      <c r="D980" s="217"/>
      <c r="E980" s="391"/>
      <c r="F980" s="262"/>
      <c r="G980" s="272" t="e">
        <f t="shared" si="72"/>
        <v>#N/A</v>
      </c>
      <c r="H980" s="141" t="e">
        <f t="shared" si="71"/>
        <v>#N/A</v>
      </c>
      <c r="I980" s="409" t="s">
        <v>47</v>
      </c>
      <c r="J980" s="467"/>
      <c r="L980" s="86" t="e">
        <f>VLOOKUP(B980,$B$11:B979,1,FALSE)</f>
        <v>#N/A</v>
      </c>
      <c r="M980" s="256" t="e">
        <f>G980*(1-FORM!$AE$28/100)</f>
        <v>#N/A</v>
      </c>
      <c r="AA980" s="463" t="s">
        <v>4179</v>
      </c>
      <c r="AB980" s="462" t="s">
        <v>4180</v>
      </c>
      <c r="AC980" s="462" t="s">
        <v>4181</v>
      </c>
      <c r="AD980" s="464">
        <v>553.80529000000001</v>
      </c>
      <c r="AE980" s="465">
        <v>22.154959999999999</v>
      </c>
      <c r="AF980" s="86">
        <f>IF(verze!$E$1="CZK",AD980,IF(verze!$E$1="SK",AE980,""))</f>
        <v>22.154959999999999</v>
      </c>
    </row>
    <row r="981" spans="2:32" ht="15" hidden="1">
      <c r="B981" s="298"/>
      <c r="C981" s="216"/>
      <c r="D981" s="217"/>
      <c r="E981" s="391"/>
      <c r="F981" s="262"/>
      <c r="G981" s="272" t="e">
        <f t="shared" si="72"/>
        <v>#N/A</v>
      </c>
      <c r="H981" s="141" t="e">
        <f t="shared" si="71"/>
        <v>#N/A</v>
      </c>
      <c r="I981" s="409" t="s">
        <v>47</v>
      </c>
      <c r="J981" s="467"/>
      <c r="L981" s="86" t="e">
        <f>VLOOKUP(B981,$B$11:B980,1,FALSE)</f>
        <v>#N/A</v>
      </c>
      <c r="M981" s="256" t="e">
        <f>G981*(1-FORM!$AE$28/100)</f>
        <v>#N/A</v>
      </c>
      <c r="AA981" s="463" t="s">
        <v>4182</v>
      </c>
      <c r="AB981" s="462" t="s">
        <v>4183</v>
      </c>
      <c r="AC981" s="462" t="s">
        <v>4184</v>
      </c>
      <c r="AD981" s="464">
        <v>1.0368999999999999</v>
      </c>
      <c r="AE981" s="465">
        <v>4.9880000000000001E-2</v>
      </c>
      <c r="AF981" s="86">
        <f>IF(verze!$E$1="CZK",AD981,IF(verze!$E$1="SK",AE981,""))</f>
        <v>4.9880000000000001E-2</v>
      </c>
    </row>
    <row r="982" spans="2:32" ht="15" hidden="1">
      <c r="B982" s="298"/>
      <c r="C982" s="216"/>
      <c r="D982" s="217"/>
      <c r="E982" s="391"/>
      <c r="F982" s="262"/>
      <c r="G982" s="272" t="e">
        <f t="shared" si="72"/>
        <v>#N/A</v>
      </c>
      <c r="H982" s="141" t="e">
        <f t="shared" si="71"/>
        <v>#N/A</v>
      </c>
      <c r="I982" s="409" t="s">
        <v>47</v>
      </c>
      <c r="J982" s="467"/>
      <c r="L982" s="86" t="e">
        <f>VLOOKUP(B982,$B$11:B981,1,FALSE)</f>
        <v>#N/A</v>
      </c>
      <c r="M982" s="256" t="e">
        <f>G982*(1-FORM!$AE$28/100)</f>
        <v>#N/A</v>
      </c>
      <c r="AA982" s="463" t="s">
        <v>4185</v>
      </c>
      <c r="AB982" s="462" t="s">
        <v>4186</v>
      </c>
      <c r="AC982" s="462" t="s">
        <v>4187</v>
      </c>
      <c r="AD982" s="464">
        <v>3.88578</v>
      </c>
      <c r="AE982" s="465">
        <v>0.15936</v>
      </c>
      <c r="AF982" s="86">
        <f>IF(verze!$E$1="CZK",AD982,IF(verze!$E$1="SK",AE982,""))</f>
        <v>0.15936</v>
      </c>
    </row>
    <row r="983" spans="2:32" ht="15" hidden="1">
      <c r="B983" s="298"/>
      <c r="C983" s="216"/>
      <c r="D983" s="217"/>
      <c r="E983" s="391"/>
      <c r="F983" s="262"/>
      <c r="G983" s="272" t="e">
        <f t="shared" si="72"/>
        <v>#N/A</v>
      </c>
      <c r="H983" s="141" t="e">
        <f t="shared" si="71"/>
        <v>#N/A</v>
      </c>
      <c r="I983" s="409" t="s">
        <v>47</v>
      </c>
      <c r="J983" s="467"/>
      <c r="L983" s="86" t="e">
        <f>VLOOKUP(B983,$B$11:B982,1,FALSE)</f>
        <v>#N/A</v>
      </c>
      <c r="M983" s="256" t="e">
        <f>G983*(1-FORM!$AE$28/100)</f>
        <v>#N/A</v>
      </c>
      <c r="AA983" s="463" t="s">
        <v>4188</v>
      </c>
      <c r="AB983" s="462" t="s">
        <v>4189</v>
      </c>
      <c r="AC983" s="462" t="s">
        <v>4190</v>
      </c>
      <c r="AD983" s="464">
        <v>4.2504</v>
      </c>
      <c r="AE983" s="465">
        <v>0.17432</v>
      </c>
      <c r="AF983" s="86">
        <f>IF(verze!$E$1="CZK",AD983,IF(verze!$E$1="SK",AE983,""))</f>
        <v>0.17432</v>
      </c>
    </row>
    <row r="984" spans="2:32" ht="15" hidden="1">
      <c r="B984" s="298"/>
      <c r="C984" s="216"/>
      <c r="D984" s="217"/>
      <c r="E984" s="391"/>
      <c r="F984" s="262"/>
      <c r="G984" s="272" t="e">
        <f t="shared" si="72"/>
        <v>#N/A</v>
      </c>
      <c r="H984" s="141" t="e">
        <f t="shared" si="71"/>
        <v>#N/A</v>
      </c>
      <c r="I984" s="409" t="s">
        <v>47</v>
      </c>
      <c r="J984" s="467"/>
      <c r="L984" s="86" t="e">
        <f>VLOOKUP(B984,$B$11:B983,1,FALSE)</f>
        <v>#N/A</v>
      </c>
      <c r="M984" s="256" t="e">
        <f>G984*(1-FORM!$AE$28/100)</f>
        <v>#N/A</v>
      </c>
      <c r="AA984" s="463" t="s">
        <v>4191</v>
      </c>
      <c r="AB984" s="462" t="s">
        <v>4192</v>
      </c>
      <c r="AC984" s="462" t="s">
        <v>4193</v>
      </c>
      <c r="AD984" s="464">
        <v>5.6731299999999996</v>
      </c>
      <c r="AE984" s="465">
        <v>0.23266000000000001</v>
      </c>
      <c r="AF984" s="86">
        <f>IF(verze!$E$1="CZK",AD984,IF(verze!$E$1="SK",AE984,""))</f>
        <v>0.23266000000000001</v>
      </c>
    </row>
    <row r="985" spans="2:32" ht="15" hidden="1">
      <c r="B985" s="298"/>
      <c r="C985" s="216"/>
      <c r="D985" s="217"/>
      <c r="E985" s="391"/>
      <c r="F985" s="262"/>
      <c r="G985" s="272" t="e">
        <f t="shared" si="72"/>
        <v>#N/A</v>
      </c>
      <c r="H985" s="141" t="e">
        <f t="shared" si="71"/>
        <v>#N/A</v>
      </c>
      <c r="I985" s="409" t="s">
        <v>47</v>
      </c>
      <c r="J985" s="467"/>
      <c r="L985" s="86" t="e">
        <f>VLOOKUP(B985,$B$11:B984,1,FALSE)</f>
        <v>#N/A</v>
      </c>
      <c r="M985" s="256" t="e">
        <f>G985*(1-FORM!$AE$28/100)</f>
        <v>#N/A</v>
      </c>
      <c r="AA985" s="463" t="s">
        <v>4194</v>
      </c>
      <c r="AB985" s="462" t="s">
        <v>4195</v>
      </c>
      <c r="AC985" s="462" t="s">
        <v>4196</v>
      </c>
      <c r="AD985" s="464">
        <v>10.86013</v>
      </c>
      <c r="AE985" s="465">
        <v>0.44541999999999998</v>
      </c>
      <c r="AF985" s="86">
        <f>IF(verze!$E$1="CZK",AD985,IF(verze!$E$1="SK",AE985,""))</f>
        <v>0.44541999999999998</v>
      </c>
    </row>
    <row r="986" spans="2:32" ht="15" hidden="1">
      <c r="B986" s="298"/>
      <c r="C986" s="216"/>
      <c r="D986" s="217"/>
      <c r="E986" s="391"/>
      <c r="F986" s="262"/>
      <c r="G986" s="272" t="e">
        <f t="shared" si="72"/>
        <v>#N/A</v>
      </c>
      <c r="H986" s="141" t="e">
        <f t="shared" si="71"/>
        <v>#N/A</v>
      </c>
      <c r="I986" s="409" t="s">
        <v>47</v>
      </c>
      <c r="J986" s="467"/>
      <c r="L986" s="86" t="e">
        <f>VLOOKUP(B986,$B$11:B985,1,FALSE)</f>
        <v>#N/A</v>
      </c>
      <c r="M986" s="256" t="e">
        <f>G986*(1-FORM!$AE$28/100)</f>
        <v>#N/A</v>
      </c>
      <c r="AA986" s="463" t="s">
        <v>4197</v>
      </c>
      <c r="AB986" s="462" t="s">
        <v>4198</v>
      </c>
      <c r="AC986" s="462" t="s">
        <v>4199</v>
      </c>
      <c r="AD986" s="464">
        <v>672.47788000000003</v>
      </c>
      <c r="AE986" s="465">
        <v>26.902470000000001</v>
      </c>
      <c r="AF986" s="86">
        <f>IF(verze!$E$1="CZK",AD986,IF(verze!$E$1="SK",AE986,""))</f>
        <v>26.902470000000001</v>
      </c>
    </row>
    <row r="987" spans="2:32" ht="15" hidden="1">
      <c r="B987" s="298"/>
      <c r="C987" s="216"/>
      <c r="D987" s="217"/>
      <c r="E987" s="391"/>
      <c r="F987" s="262"/>
      <c r="G987" s="272" t="e">
        <f t="shared" si="72"/>
        <v>#N/A</v>
      </c>
      <c r="H987" s="141" t="e">
        <f t="shared" si="71"/>
        <v>#N/A</v>
      </c>
      <c r="I987" s="409" t="s">
        <v>47</v>
      </c>
      <c r="J987" s="467"/>
      <c r="L987" s="86" t="e">
        <f>VLOOKUP(B987,$B$11:B986,1,FALSE)</f>
        <v>#N/A</v>
      </c>
      <c r="M987" s="256" t="e">
        <f>G987*(1-FORM!$AE$28/100)</f>
        <v>#N/A</v>
      </c>
      <c r="AA987" s="463" t="s">
        <v>4200</v>
      </c>
      <c r="AB987" s="462" t="s">
        <v>4201</v>
      </c>
      <c r="AC987" s="462" t="s">
        <v>4202</v>
      </c>
      <c r="AD987" s="464">
        <v>672.47788000000003</v>
      </c>
      <c r="AE987" s="465">
        <v>26.902470000000001</v>
      </c>
      <c r="AF987" s="86">
        <f>IF(verze!$E$1="CZK",AD987,IF(verze!$E$1="SK",AE987,""))</f>
        <v>26.902470000000001</v>
      </c>
    </row>
    <row r="988" spans="2:32" ht="15" hidden="1">
      <c r="B988" s="298"/>
      <c r="C988" s="216"/>
      <c r="D988" s="217"/>
      <c r="E988" s="391"/>
      <c r="F988" s="262"/>
      <c r="G988" s="272" t="e">
        <f t="shared" si="72"/>
        <v>#N/A</v>
      </c>
      <c r="H988" s="141" t="e">
        <f t="shared" si="71"/>
        <v>#N/A</v>
      </c>
      <c r="I988" s="409" t="s">
        <v>47</v>
      </c>
      <c r="J988" s="467"/>
      <c r="L988" s="86" t="e">
        <f>VLOOKUP(B988,$B$11:B987,1,FALSE)</f>
        <v>#N/A</v>
      </c>
      <c r="M988" s="256" t="e">
        <f>G988*(1-FORM!$AE$28/100)</f>
        <v>#N/A</v>
      </c>
      <c r="AA988" s="463" t="s">
        <v>4203</v>
      </c>
      <c r="AB988" s="462" t="s">
        <v>4204</v>
      </c>
      <c r="AC988" s="462" t="s">
        <v>4205</v>
      </c>
      <c r="AD988" s="464">
        <v>8.2791700000000006</v>
      </c>
      <c r="AE988" s="465">
        <v>0.33955999999999997</v>
      </c>
      <c r="AF988" s="86">
        <f>IF(verze!$E$1="CZK",AD988,IF(verze!$E$1="SK",AE988,""))</f>
        <v>0.33955999999999997</v>
      </c>
    </row>
    <row r="989" spans="2:32" ht="15" hidden="1">
      <c r="B989" s="298"/>
      <c r="C989" s="216"/>
      <c r="D989" s="217"/>
      <c r="E989" s="391"/>
      <c r="F989" s="262"/>
      <c r="G989" s="272" t="e">
        <f t="shared" si="72"/>
        <v>#N/A</v>
      </c>
      <c r="H989" s="141" t="e">
        <f t="shared" ref="H989:H1047" si="73">IF(G989="","",$H$10)</f>
        <v>#N/A</v>
      </c>
      <c r="I989" s="409" t="s">
        <v>47</v>
      </c>
      <c r="J989" s="467"/>
      <c r="L989" s="86" t="e">
        <f>VLOOKUP(B989,$B$11:B988,1,FALSE)</f>
        <v>#N/A</v>
      </c>
      <c r="M989" s="256" t="e">
        <f>G989*(1-FORM!$AE$28/100)</f>
        <v>#N/A</v>
      </c>
      <c r="AA989" s="463" t="s">
        <v>4206</v>
      </c>
      <c r="AB989" s="462" t="s">
        <v>4207</v>
      </c>
      <c r="AC989" s="462" t="s">
        <v>4208</v>
      </c>
      <c r="AD989" s="464">
        <v>1.9137299999999999</v>
      </c>
      <c r="AE989" s="465">
        <v>9.2060000000000003E-2</v>
      </c>
      <c r="AF989" s="86">
        <f>IF(verze!$E$1="CZK",AD989,IF(verze!$E$1="SK",AE989,""))</f>
        <v>9.2060000000000003E-2</v>
      </c>
    </row>
    <row r="990" spans="2:32" ht="15" hidden="1">
      <c r="B990" s="298"/>
      <c r="C990" s="216"/>
      <c r="D990" s="217"/>
      <c r="E990" s="391"/>
      <c r="F990" s="262"/>
      <c r="G990" s="272" t="e">
        <f t="shared" si="72"/>
        <v>#N/A</v>
      </c>
      <c r="H990" s="141" t="e">
        <f t="shared" si="73"/>
        <v>#N/A</v>
      </c>
      <c r="I990" s="409" t="s">
        <v>47</v>
      </c>
      <c r="J990" s="467"/>
      <c r="L990" s="86" t="e">
        <f>VLOOKUP(B990,$B$11:B989,1,FALSE)</f>
        <v>#N/A</v>
      </c>
      <c r="M990" s="256" t="e">
        <f>G990*(1-FORM!$AE$28/100)</f>
        <v>#N/A</v>
      </c>
      <c r="AA990" s="463" t="s">
        <v>4209</v>
      </c>
      <c r="AB990" s="462" t="s">
        <v>4210</v>
      </c>
      <c r="AC990" s="462" t="s">
        <v>4211</v>
      </c>
      <c r="AD990" s="464">
        <v>171.12049999999999</v>
      </c>
      <c r="AE990" s="465">
        <v>8.2315199999999997</v>
      </c>
      <c r="AF990" s="86">
        <f>IF(verze!$E$1="CZK",AD990,IF(verze!$E$1="SK",AE990,""))</f>
        <v>8.2315199999999997</v>
      </c>
    </row>
    <row r="991" spans="2:32" ht="15" hidden="1">
      <c r="B991" s="298"/>
      <c r="C991" s="216"/>
      <c r="D991" s="217"/>
      <c r="E991" s="391"/>
      <c r="F991" s="262"/>
      <c r="G991" s="272" t="e">
        <f t="shared" si="72"/>
        <v>#N/A</v>
      </c>
      <c r="H991" s="141" t="e">
        <f t="shared" si="73"/>
        <v>#N/A</v>
      </c>
      <c r="I991" s="409" t="s">
        <v>47</v>
      </c>
      <c r="J991" s="467"/>
      <c r="L991" s="86" t="e">
        <f>VLOOKUP(B991,$B$11:B990,1,FALSE)</f>
        <v>#N/A</v>
      </c>
      <c r="M991" s="256" t="e">
        <f>G991*(1-FORM!$AE$28/100)</f>
        <v>#N/A</v>
      </c>
      <c r="AA991" s="463" t="s">
        <v>4212</v>
      </c>
      <c r="AB991" s="462" t="s">
        <v>4213</v>
      </c>
      <c r="AC991" s="462" t="s">
        <v>4214</v>
      </c>
      <c r="AD991" s="464">
        <v>1914.8649499999999</v>
      </c>
      <c r="AE991" s="465">
        <v>76.604140000000001</v>
      </c>
      <c r="AF991" s="86">
        <f>IF(verze!$E$1="CZK",AD991,IF(verze!$E$1="SK",AE991,""))</f>
        <v>76.604140000000001</v>
      </c>
    </row>
    <row r="992" spans="2:32" ht="15" hidden="1">
      <c r="B992" s="298"/>
      <c r="C992" s="216"/>
      <c r="D992" s="217"/>
      <c r="E992" s="391"/>
      <c r="F992" s="262"/>
      <c r="G992" s="272" t="e">
        <f t="shared" si="72"/>
        <v>#N/A</v>
      </c>
      <c r="H992" s="141" t="e">
        <f t="shared" si="73"/>
        <v>#N/A</v>
      </c>
      <c r="I992" s="409" t="s">
        <v>47</v>
      </c>
      <c r="J992" s="467"/>
      <c r="L992" s="86" t="e">
        <f>VLOOKUP(B992,$B$11:B991,1,FALSE)</f>
        <v>#N/A</v>
      </c>
      <c r="M992" s="256" t="e">
        <f>G992*(1-FORM!$AE$28/100)</f>
        <v>#N/A</v>
      </c>
      <c r="AA992" s="463" t="s">
        <v>4215</v>
      </c>
      <c r="AB992" s="462" t="s">
        <v>4216</v>
      </c>
      <c r="AC992" s="462" t="s">
        <v>4217</v>
      </c>
      <c r="AD992" s="464">
        <v>16334.75985</v>
      </c>
      <c r="AE992" s="465">
        <v>653.47172</v>
      </c>
      <c r="AF992" s="86">
        <f>IF(verze!$E$1="CZK",AD992,IF(verze!$E$1="SK",AE992,""))</f>
        <v>653.47172</v>
      </c>
    </row>
    <row r="993" spans="2:32" ht="15" hidden="1">
      <c r="B993" s="298"/>
      <c r="C993" s="216"/>
      <c r="D993" s="217"/>
      <c r="E993" s="391"/>
      <c r="F993" s="262"/>
      <c r="G993" s="272" t="e">
        <f t="shared" si="72"/>
        <v>#N/A</v>
      </c>
      <c r="H993" s="141" t="e">
        <f t="shared" si="73"/>
        <v>#N/A</v>
      </c>
      <c r="I993" s="409" t="s">
        <v>47</v>
      </c>
      <c r="J993" s="467"/>
      <c r="L993" s="86" t="e">
        <f>VLOOKUP(B993,$B$11:B992,1,FALSE)</f>
        <v>#N/A</v>
      </c>
      <c r="M993" s="256" t="e">
        <f>G993*(1-FORM!$AE$28/100)</f>
        <v>#N/A</v>
      </c>
      <c r="AA993" s="463" t="s">
        <v>4218</v>
      </c>
      <c r="AB993" s="462" t="s">
        <v>4219</v>
      </c>
      <c r="AC993" s="462" t="s">
        <v>4220</v>
      </c>
      <c r="AD993" s="464">
        <v>1112.8996400000001</v>
      </c>
      <c r="AE993" s="465">
        <v>44.521520000000002</v>
      </c>
      <c r="AF993" s="86">
        <f>IF(verze!$E$1="CZK",AD993,IF(verze!$E$1="SK",AE993,""))</f>
        <v>44.521520000000002</v>
      </c>
    </row>
    <row r="994" spans="2:32" ht="15" hidden="1">
      <c r="B994" s="298"/>
      <c r="C994" s="216"/>
      <c r="D994" s="217"/>
      <c r="E994" s="391"/>
      <c r="F994" s="262"/>
      <c r="G994" s="272" t="e">
        <f t="shared" si="72"/>
        <v>#N/A</v>
      </c>
      <c r="H994" s="141" t="e">
        <f t="shared" si="73"/>
        <v>#N/A</v>
      </c>
      <c r="I994" s="409" t="s">
        <v>47</v>
      </c>
      <c r="J994" s="467"/>
      <c r="L994" s="86" t="e">
        <f>VLOOKUP(B994,$B$11:B993,1,FALSE)</f>
        <v>#N/A</v>
      </c>
      <c r="M994" s="256" t="e">
        <f>G994*(1-FORM!$AE$28/100)</f>
        <v>#N/A</v>
      </c>
      <c r="AA994" s="463" t="s">
        <v>4221</v>
      </c>
      <c r="AB994" s="462" t="s">
        <v>4222</v>
      </c>
      <c r="AC994" s="462" t="s">
        <v>4223</v>
      </c>
      <c r="AD994" s="464">
        <v>1112.8996400000001</v>
      </c>
      <c r="AE994" s="465">
        <v>44.521520000000002</v>
      </c>
      <c r="AF994" s="86">
        <f>IF(verze!$E$1="CZK",AD994,IF(verze!$E$1="SK",AE994,""))</f>
        <v>44.521520000000002</v>
      </c>
    </row>
    <row r="995" spans="2:32" ht="15" hidden="1">
      <c r="B995" s="298"/>
      <c r="C995" s="216"/>
      <c r="D995" s="217"/>
      <c r="E995" s="391"/>
      <c r="F995" s="262"/>
      <c r="G995" s="272" t="e">
        <f t="shared" si="72"/>
        <v>#N/A</v>
      </c>
      <c r="H995" s="141" t="e">
        <f t="shared" si="73"/>
        <v>#N/A</v>
      </c>
      <c r="I995" s="409" t="s">
        <v>47</v>
      </c>
      <c r="J995" s="467"/>
      <c r="L995" s="86" t="e">
        <f>VLOOKUP(B995,$B$11:B994,1,FALSE)</f>
        <v>#N/A</v>
      </c>
      <c r="M995" s="256" t="e">
        <f>G995*(1-FORM!$AE$28/100)</f>
        <v>#N/A</v>
      </c>
      <c r="AA995" s="463" t="s">
        <v>4224</v>
      </c>
      <c r="AB995" s="462" t="s">
        <v>4225</v>
      </c>
      <c r="AC995" s="462" t="s">
        <v>4226</v>
      </c>
      <c r="AD995" s="464">
        <v>3408.6959499999998</v>
      </c>
      <c r="AE995" s="465">
        <v>136.36482000000001</v>
      </c>
      <c r="AF995" s="86">
        <f>IF(verze!$E$1="CZK",AD995,IF(verze!$E$1="SK",AE995,""))</f>
        <v>136.36482000000001</v>
      </c>
    </row>
    <row r="996" spans="2:32" ht="15" hidden="1">
      <c r="B996" s="298"/>
      <c r="C996" s="216"/>
      <c r="D996" s="217"/>
      <c r="E996" s="391"/>
      <c r="F996" s="262"/>
      <c r="G996" s="272" t="e">
        <f t="shared" si="72"/>
        <v>#N/A</v>
      </c>
      <c r="H996" s="141" t="e">
        <f t="shared" si="73"/>
        <v>#N/A</v>
      </c>
      <c r="I996" s="409" t="s">
        <v>47</v>
      </c>
      <c r="J996" s="467"/>
      <c r="L996" s="86" t="e">
        <f>VLOOKUP(B996,$B$11:B995,1,FALSE)</f>
        <v>#N/A</v>
      </c>
      <c r="M996" s="256" t="e">
        <f>G996*(1-FORM!$AE$28/100)</f>
        <v>#N/A</v>
      </c>
      <c r="AA996" s="463" t="s">
        <v>4227</v>
      </c>
      <c r="AB996" s="462" t="s">
        <v>4228</v>
      </c>
      <c r="AC996" s="462" t="s">
        <v>4229</v>
      </c>
      <c r="AD996" s="464">
        <v>691.96290999999997</v>
      </c>
      <c r="AE996" s="465">
        <v>27.68197</v>
      </c>
      <c r="AF996" s="86">
        <f>IF(verze!$E$1="CZK",AD996,IF(verze!$E$1="SK",AE996,""))</f>
        <v>27.68197</v>
      </c>
    </row>
    <row r="997" spans="2:32" ht="15" hidden="1">
      <c r="B997" s="298"/>
      <c r="C997" s="216"/>
      <c r="D997" s="217"/>
      <c r="E997" s="391"/>
      <c r="F997" s="262"/>
      <c r="G997" s="272" t="e">
        <f t="shared" si="72"/>
        <v>#N/A</v>
      </c>
      <c r="H997" s="141" t="e">
        <f t="shared" si="73"/>
        <v>#N/A</v>
      </c>
      <c r="I997" s="409" t="s">
        <v>47</v>
      </c>
      <c r="J997" s="467"/>
      <c r="L997" s="86" t="e">
        <f>VLOOKUP(B997,$B$11:B996,1,FALSE)</f>
        <v>#N/A</v>
      </c>
      <c r="M997" s="256" t="e">
        <f>G997*(1-FORM!$AE$28/100)</f>
        <v>#N/A</v>
      </c>
      <c r="AA997" s="463" t="s">
        <v>4230</v>
      </c>
      <c r="AB997" s="462" t="s">
        <v>4231</v>
      </c>
      <c r="AC997" s="462" t="s">
        <v>4232</v>
      </c>
      <c r="AD997" s="464">
        <v>1413.27899</v>
      </c>
      <c r="AE997" s="465">
        <v>56.53819</v>
      </c>
      <c r="AF997" s="86">
        <f>IF(verze!$E$1="CZK",AD997,IF(verze!$E$1="SK",AE997,""))</f>
        <v>56.53819</v>
      </c>
    </row>
    <row r="998" spans="2:32" ht="15" hidden="1">
      <c r="B998" s="298"/>
      <c r="C998" s="216"/>
      <c r="D998" s="217"/>
      <c r="E998" s="391"/>
      <c r="F998" s="262"/>
      <c r="G998" s="272" t="e">
        <f t="shared" si="72"/>
        <v>#N/A</v>
      </c>
      <c r="H998" s="141" t="e">
        <f t="shared" si="73"/>
        <v>#N/A</v>
      </c>
      <c r="I998" s="409" t="s">
        <v>47</v>
      </c>
      <c r="J998" s="467"/>
      <c r="L998" s="86" t="e">
        <f>VLOOKUP(B998,$B$11:B997,1,FALSE)</f>
        <v>#N/A</v>
      </c>
      <c r="M998" s="256" t="e">
        <f>G998*(1-FORM!$AE$28/100)</f>
        <v>#N/A</v>
      </c>
      <c r="AA998" s="463" t="s">
        <v>4233</v>
      </c>
      <c r="AB998" s="462" t="s">
        <v>4234</v>
      </c>
      <c r="AC998" s="462" t="s">
        <v>4235</v>
      </c>
      <c r="AD998" s="464">
        <v>574.74370999999996</v>
      </c>
      <c r="AE998" s="465">
        <v>0</v>
      </c>
      <c r="AF998" s="86">
        <f>IF(verze!$E$1="CZK",AD998,IF(verze!$E$1="SK",AE998,""))</f>
        <v>0</v>
      </c>
    </row>
    <row r="999" spans="2:32" ht="15" hidden="1">
      <c r="B999" s="298"/>
      <c r="C999" s="216"/>
      <c r="D999" s="217"/>
      <c r="E999" s="391"/>
      <c r="F999" s="262"/>
      <c r="G999" s="272" t="e">
        <f t="shared" si="72"/>
        <v>#N/A</v>
      </c>
      <c r="H999" s="141" t="e">
        <f t="shared" si="73"/>
        <v>#N/A</v>
      </c>
      <c r="I999" s="409" t="s">
        <v>47</v>
      </c>
      <c r="J999" s="467"/>
      <c r="L999" s="86" t="e">
        <f>VLOOKUP(B999,$B$11:B998,1,FALSE)</f>
        <v>#N/A</v>
      </c>
      <c r="M999" s="256" t="e">
        <f>G999*(1-FORM!$AE$28/100)</f>
        <v>#N/A</v>
      </c>
      <c r="AA999" s="463" t="s">
        <v>4236</v>
      </c>
      <c r="AB999" s="462" t="s">
        <v>4237</v>
      </c>
      <c r="AC999" s="462" t="s">
        <v>4238</v>
      </c>
      <c r="AD999" s="464">
        <v>116.38502</v>
      </c>
      <c r="AE999" s="465">
        <v>4.6559799999999996</v>
      </c>
      <c r="AF999" s="86">
        <f>IF(verze!$E$1="CZK",AD999,IF(verze!$E$1="SK",AE999,""))</f>
        <v>4.6559799999999996</v>
      </c>
    </row>
    <row r="1000" spans="2:32" ht="15" hidden="1">
      <c r="B1000" s="298"/>
      <c r="C1000" s="216"/>
      <c r="D1000" s="217"/>
      <c r="E1000" s="391"/>
      <c r="F1000" s="262"/>
      <c r="G1000" s="272" t="e">
        <f t="shared" si="72"/>
        <v>#N/A</v>
      </c>
      <c r="H1000" s="141" t="e">
        <f t="shared" si="73"/>
        <v>#N/A</v>
      </c>
      <c r="I1000" s="409" t="s">
        <v>47</v>
      </c>
      <c r="J1000" s="467"/>
      <c r="L1000" s="86" t="e">
        <f>VLOOKUP(B1000,$B$11:B999,1,FALSE)</f>
        <v>#N/A</v>
      </c>
      <c r="M1000" s="256" t="e">
        <f>G1000*(1-FORM!$AE$28/100)</f>
        <v>#N/A</v>
      </c>
      <c r="AA1000" s="463" t="s">
        <v>4239</v>
      </c>
      <c r="AB1000" s="462" t="s">
        <v>4240</v>
      </c>
      <c r="AC1000" s="462" t="s">
        <v>4241</v>
      </c>
      <c r="AD1000" s="464">
        <v>116.38502</v>
      </c>
      <c r="AE1000" s="465">
        <v>4.6559799999999996</v>
      </c>
      <c r="AF1000" s="86">
        <f>IF(verze!$E$1="CZK",AD1000,IF(verze!$E$1="SK",AE1000,""))</f>
        <v>4.6559799999999996</v>
      </c>
    </row>
    <row r="1001" spans="2:32" ht="15" hidden="1">
      <c r="B1001" s="298"/>
      <c r="C1001" s="216"/>
      <c r="D1001" s="217"/>
      <c r="E1001" s="391"/>
      <c r="F1001" s="262"/>
      <c r="G1001" s="272" t="e">
        <f t="shared" si="72"/>
        <v>#N/A</v>
      </c>
      <c r="H1001" s="141" t="e">
        <f t="shared" si="73"/>
        <v>#N/A</v>
      </c>
      <c r="I1001" s="409" t="s">
        <v>47</v>
      </c>
      <c r="J1001" s="467"/>
      <c r="L1001" s="86" t="e">
        <f>VLOOKUP(B1001,$B$11:B1000,1,FALSE)</f>
        <v>#N/A</v>
      </c>
      <c r="M1001" s="256" t="e">
        <f>G1001*(1-FORM!$AE$28/100)</f>
        <v>#N/A</v>
      </c>
      <c r="AA1001" s="463" t="s">
        <v>4242</v>
      </c>
      <c r="AB1001" s="462" t="s">
        <v>4243</v>
      </c>
      <c r="AC1001" s="462" t="s">
        <v>4244</v>
      </c>
      <c r="AD1001" s="464">
        <v>49.120420000000003</v>
      </c>
      <c r="AE1001" s="465">
        <v>1.96506</v>
      </c>
      <c r="AF1001" s="86">
        <f>IF(verze!$E$1="CZK",AD1001,IF(verze!$E$1="SK",AE1001,""))</f>
        <v>1.96506</v>
      </c>
    </row>
    <row r="1002" spans="2:32" ht="15" hidden="1">
      <c r="B1002" s="298"/>
      <c r="C1002" s="216"/>
      <c r="D1002" s="217"/>
      <c r="E1002" s="391"/>
      <c r="F1002" s="262"/>
      <c r="G1002" s="272" t="e">
        <f t="shared" si="72"/>
        <v>#N/A</v>
      </c>
      <c r="H1002" s="141" t="e">
        <f t="shared" si="73"/>
        <v>#N/A</v>
      </c>
      <c r="I1002" s="409" t="s">
        <v>47</v>
      </c>
      <c r="J1002" s="467"/>
      <c r="L1002" s="86" t="e">
        <f>VLOOKUP(B1002,$B$11:B1001,1,FALSE)</f>
        <v>#N/A</v>
      </c>
      <c r="M1002" s="256" t="e">
        <f>G1002*(1-FORM!$AE$28/100)</f>
        <v>#N/A</v>
      </c>
      <c r="AA1002" s="463" t="s">
        <v>4245</v>
      </c>
      <c r="AB1002" s="462" t="s">
        <v>4246</v>
      </c>
      <c r="AC1002" s="462" t="s">
        <v>4247</v>
      </c>
      <c r="AD1002" s="464">
        <v>74.421009999999995</v>
      </c>
      <c r="AE1002" s="465">
        <v>2.9772099999999999</v>
      </c>
      <c r="AF1002" s="86">
        <f>IF(verze!$E$1="CZK",AD1002,IF(verze!$E$1="SK",AE1002,""))</f>
        <v>2.9772099999999999</v>
      </c>
    </row>
    <row r="1003" spans="2:32" ht="15" hidden="1">
      <c r="B1003" s="298"/>
      <c r="C1003" s="216"/>
      <c r="D1003" s="217"/>
      <c r="E1003" s="391"/>
      <c r="F1003" s="262"/>
      <c r="G1003" s="272" t="e">
        <f t="shared" si="72"/>
        <v>#N/A</v>
      </c>
      <c r="H1003" s="141" t="e">
        <f t="shared" si="73"/>
        <v>#N/A</v>
      </c>
      <c r="I1003" s="409" t="s">
        <v>47</v>
      </c>
      <c r="J1003" s="467"/>
      <c r="L1003" s="86" t="e">
        <f>VLOOKUP(B1003,$B$11:B1002,1,FALSE)</f>
        <v>#N/A</v>
      </c>
      <c r="M1003" s="256" t="e">
        <f>G1003*(1-FORM!$AE$28/100)</f>
        <v>#N/A</v>
      </c>
      <c r="AA1003" s="463" t="s">
        <v>4248</v>
      </c>
      <c r="AB1003" s="462" t="s">
        <v>4249</v>
      </c>
      <c r="AC1003" s="462" t="s">
        <v>4250</v>
      </c>
      <c r="AD1003" s="464">
        <v>33.103090000000002</v>
      </c>
      <c r="AE1003" s="465">
        <v>1.3242799999999999</v>
      </c>
      <c r="AF1003" s="86">
        <f>IF(verze!$E$1="CZK",AD1003,IF(verze!$E$1="SK",AE1003,""))</f>
        <v>1.3242799999999999</v>
      </c>
    </row>
    <row r="1004" spans="2:32" ht="15" hidden="1">
      <c r="B1004" s="298"/>
      <c r="C1004" s="216"/>
      <c r="D1004" s="217"/>
      <c r="E1004" s="391"/>
      <c r="F1004" s="262"/>
      <c r="G1004" s="272" t="e">
        <f t="shared" si="72"/>
        <v>#N/A</v>
      </c>
      <c r="H1004" s="141" t="e">
        <f t="shared" si="73"/>
        <v>#N/A</v>
      </c>
      <c r="I1004" s="409" t="s">
        <v>47</v>
      </c>
      <c r="J1004" s="467"/>
      <c r="L1004" s="86" t="e">
        <f>VLOOKUP(B1004,$B$11:B1003,1,FALSE)</f>
        <v>#N/A</v>
      </c>
      <c r="M1004" s="256" t="e">
        <f>G1004*(1-FORM!$AE$28/100)</f>
        <v>#N/A</v>
      </c>
      <c r="AA1004" s="463" t="s">
        <v>4251</v>
      </c>
      <c r="AB1004" s="462" t="s">
        <v>4252</v>
      </c>
      <c r="AC1004" s="462" t="s">
        <v>4253</v>
      </c>
      <c r="AD1004" s="464">
        <v>33.103090000000002</v>
      </c>
      <c r="AE1004" s="465">
        <v>1.3242799999999999</v>
      </c>
      <c r="AF1004" s="86">
        <f>IF(verze!$E$1="CZK",AD1004,IF(verze!$E$1="SK",AE1004,""))</f>
        <v>1.3242799999999999</v>
      </c>
    </row>
    <row r="1005" spans="2:32" ht="15" hidden="1">
      <c r="B1005" s="298"/>
      <c r="C1005" s="216"/>
      <c r="D1005" s="217"/>
      <c r="E1005" s="391"/>
      <c r="F1005" s="262"/>
      <c r="G1005" s="272" t="e">
        <f t="shared" si="72"/>
        <v>#N/A</v>
      </c>
      <c r="H1005" s="141" t="e">
        <f t="shared" si="73"/>
        <v>#N/A</v>
      </c>
      <c r="I1005" s="409" t="s">
        <v>47</v>
      </c>
      <c r="J1005" s="467"/>
      <c r="L1005" s="86" t="e">
        <f>VLOOKUP(B1005,$B$11:B1004,1,FALSE)</f>
        <v>#N/A</v>
      </c>
      <c r="M1005" s="256" t="e">
        <f>G1005*(1-FORM!$AE$28/100)</f>
        <v>#N/A</v>
      </c>
      <c r="AA1005" s="463" t="s">
        <v>4254</v>
      </c>
      <c r="AB1005" s="462" t="s">
        <v>4255</v>
      </c>
      <c r="AC1005" s="462" t="s">
        <v>4256</v>
      </c>
      <c r="AD1005" s="464">
        <v>16.330259999999999</v>
      </c>
      <c r="AE1005" s="465">
        <v>0.65329000000000004</v>
      </c>
      <c r="AF1005" s="86">
        <f>IF(verze!$E$1="CZK",AD1005,IF(verze!$E$1="SK",AE1005,""))</f>
        <v>0.65329000000000004</v>
      </c>
    </row>
    <row r="1006" spans="2:32" ht="15" hidden="1">
      <c r="B1006" s="298"/>
      <c r="C1006" s="216"/>
      <c r="D1006" s="217"/>
      <c r="E1006" s="391"/>
      <c r="F1006" s="262"/>
      <c r="G1006" s="272" t="e">
        <f t="shared" si="72"/>
        <v>#N/A</v>
      </c>
      <c r="H1006" s="141" t="e">
        <f t="shared" si="73"/>
        <v>#N/A</v>
      </c>
      <c r="I1006" s="409" t="s">
        <v>47</v>
      </c>
      <c r="J1006" s="467"/>
      <c r="L1006" s="86" t="e">
        <f>VLOOKUP(B1006,$B$11:B1005,1,FALSE)</f>
        <v>#N/A</v>
      </c>
      <c r="M1006" s="256" t="e">
        <f>G1006*(1-FORM!$AE$28/100)</f>
        <v>#N/A</v>
      </c>
      <c r="AA1006" s="463" t="s">
        <v>4257</v>
      </c>
      <c r="AB1006" s="462" t="s">
        <v>4258</v>
      </c>
      <c r="AC1006" s="462" t="s">
        <v>4259</v>
      </c>
      <c r="AD1006" s="464">
        <v>171.97239999999999</v>
      </c>
      <c r="AE1006" s="465">
        <v>6.8797499999999996</v>
      </c>
      <c r="AF1006" s="86">
        <f>IF(verze!$E$1="CZK",AD1006,IF(verze!$E$1="SK",AE1006,""))</f>
        <v>6.8797499999999996</v>
      </c>
    </row>
    <row r="1007" spans="2:32" ht="15" hidden="1">
      <c r="B1007" s="298"/>
      <c r="C1007" s="216"/>
      <c r="D1007" s="217"/>
      <c r="E1007" s="391"/>
      <c r="F1007" s="262"/>
      <c r="G1007" s="272" t="e">
        <f t="shared" si="72"/>
        <v>#N/A</v>
      </c>
      <c r="H1007" s="141" t="e">
        <f t="shared" si="73"/>
        <v>#N/A</v>
      </c>
      <c r="I1007" s="409" t="s">
        <v>47</v>
      </c>
      <c r="J1007" s="467"/>
      <c r="L1007" s="86" t="e">
        <f>VLOOKUP(B1007,$B$11:B1006,1,FALSE)</f>
        <v>#N/A</v>
      </c>
      <c r="M1007" s="256" t="e">
        <f>G1007*(1-FORM!$AE$28/100)</f>
        <v>#N/A</v>
      </c>
      <c r="AA1007" s="463" t="s">
        <v>4260</v>
      </c>
      <c r="AB1007" s="462" t="s">
        <v>4261</v>
      </c>
      <c r="AC1007" s="462" t="s">
        <v>4262</v>
      </c>
      <c r="AD1007" s="464">
        <v>281.9744</v>
      </c>
      <c r="AE1007" s="465">
        <v>11.280379999999999</v>
      </c>
      <c r="AF1007" s="86">
        <f>IF(verze!$E$1="CZK",AD1007,IF(verze!$E$1="SK",AE1007,""))</f>
        <v>11.280379999999999</v>
      </c>
    </row>
    <row r="1008" spans="2:32" ht="15" hidden="1">
      <c r="B1008" s="298"/>
      <c r="C1008" s="216"/>
      <c r="D1008" s="217"/>
      <c r="E1008" s="391"/>
      <c r="F1008" s="262"/>
      <c r="G1008" s="272" t="e">
        <f t="shared" si="72"/>
        <v>#N/A</v>
      </c>
      <c r="H1008" s="141" t="e">
        <f t="shared" si="73"/>
        <v>#N/A</v>
      </c>
      <c r="I1008" s="409" t="s">
        <v>47</v>
      </c>
      <c r="J1008" s="467"/>
      <c r="L1008" s="86" t="e">
        <f>VLOOKUP(B1008,$B$11:B1007,1,FALSE)</f>
        <v>#N/A</v>
      </c>
      <c r="M1008" s="256" t="e">
        <f>G1008*(1-FORM!$AE$28/100)</f>
        <v>#N/A</v>
      </c>
      <c r="AA1008" s="463" t="s">
        <v>4263</v>
      </c>
      <c r="AB1008" s="462" t="s">
        <v>4264</v>
      </c>
      <c r="AC1008" s="462" t="s">
        <v>4265</v>
      </c>
      <c r="AD1008" s="464">
        <v>162.30246</v>
      </c>
      <c r="AE1008" s="465">
        <v>6.4929100000000002</v>
      </c>
      <c r="AF1008" s="86">
        <f>IF(verze!$E$1="CZK",AD1008,IF(verze!$E$1="SK",AE1008,""))</f>
        <v>6.4929100000000002</v>
      </c>
    </row>
    <row r="1009" spans="2:32" ht="15" hidden="1">
      <c r="B1009" s="298"/>
      <c r="C1009" s="216"/>
      <c r="D1009" s="217"/>
      <c r="E1009" s="391"/>
      <c r="F1009" s="262"/>
      <c r="G1009" s="272" t="e">
        <f t="shared" si="72"/>
        <v>#N/A</v>
      </c>
      <c r="H1009" s="141" t="e">
        <f t="shared" si="73"/>
        <v>#N/A</v>
      </c>
      <c r="I1009" s="409" t="s">
        <v>47</v>
      </c>
      <c r="J1009" s="467"/>
      <c r="L1009" s="86" t="e">
        <f>VLOOKUP(B1009,$B$11:B1008,1,FALSE)</f>
        <v>#N/A</v>
      </c>
      <c r="M1009" s="256" t="e">
        <f>G1009*(1-FORM!$AE$28/100)</f>
        <v>#N/A</v>
      </c>
      <c r="AA1009" s="463" t="s">
        <v>4266</v>
      </c>
      <c r="AB1009" s="462" t="s">
        <v>4267</v>
      </c>
      <c r="AC1009" s="462" t="s">
        <v>4268</v>
      </c>
      <c r="AD1009" s="464">
        <v>152.71906000000001</v>
      </c>
      <c r="AE1009" s="465">
        <v>6.1095100000000002</v>
      </c>
      <c r="AF1009" s="86">
        <f>IF(verze!$E$1="CZK",AD1009,IF(verze!$E$1="SK",AE1009,""))</f>
        <v>6.1095100000000002</v>
      </c>
    </row>
    <row r="1010" spans="2:32" ht="15" hidden="1">
      <c r="B1010" s="298"/>
      <c r="C1010" s="216"/>
      <c r="D1010" s="217"/>
      <c r="E1010" s="391"/>
      <c r="F1010" s="262"/>
      <c r="G1010" s="272" t="e">
        <f t="shared" si="72"/>
        <v>#N/A</v>
      </c>
      <c r="H1010" s="141" t="e">
        <f t="shared" si="73"/>
        <v>#N/A</v>
      </c>
      <c r="I1010" s="409" t="s">
        <v>47</v>
      </c>
      <c r="J1010" s="467"/>
      <c r="L1010" s="86" t="e">
        <f>VLOOKUP(B1010,$B$11:B1009,1,FALSE)</f>
        <v>#N/A</v>
      </c>
      <c r="M1010" s="256" t="e">
        <f>G1010*(1-FORM!$AE$28/100)</f>
        <v>#N/A</v>
      </c>
      <c r="AA1010" s="463" t="s">
        <v>4269</v>
      </c>
      <c r="AB1010" s="462" t="s">
        <v>4270</v>
      </c>
      <c r="AC1010" s="462" t="s">
        <v>4271</v>
      </c>
      <c r="AD1010" s="464">
        <v>75.339340000000007</v>
      </c>
      <c r="AE1010" s="465">
        <v>3.0139499999999999</v>
      </c>
      <c r="AF1010" s="86">
        <f>IF(verze!$E$1="CZK",AD1010,IF(verze!$E$1="SK",AE1010,""))</f>
        <v>3.0139499999999999</v>
      </c>
    </row>
    <row r="1011" spans="2:32" ht="15" hidden="1">
      <c r="B1011" s="298"/>
      <c r="C1011" s="216"/>
      <c r="D1011" s="217"/>
      <c r="E1011" s="391"/>
      <c r="F1011" s="262"/>
      <c r="G1011" s="272" t="e">
        <f t="shared" si="72"/>
        <v>#N/A</v>
      </c>
      <c r="H1011" s="141" t="e">
        <f t="shared" si="73"/>
        <v>#N/A</v>
      </c>
      <c r="I1011" s="409" t="s">
        <v>47</v>
      </c>
      <c r="J1011" s="467"/>
      <c r="L1011" s="86" t="e">
        <f>VLOOKUP(B1011,$B$11:B1010,1,FALSE)</f>
        <v>#N/A</v>
      </c>
      <c r="M1011" s="256" t="e">
        <f>G1011*(1-FORM!$AE$28/100)</f>
        <v>#N/A</v>
      </c>
      <c r="AA1011" s="463" t="s">
        <v>4272</v>
      </c>
      <c r="AB1011" s="462" t="s">
        <v>4273</v>
      </c>
      <c r="AC1011" s="462" t="s">
        <v>4274</v>
      </c>
      <c r="AD1011" s="464">
        <v>79.31183</v>
      </c>
      <c r="AE1011" s="465">
        <v>0</v>
      </c>
      <c r="AF1011" s="86">
        <f>IF(verze!$E$1="CZK",AD1011,IF(verze!$E$1="SK",AE1011,""))</f>
        <v>0</v>
      </c>
    </row>
    <row r="1012" spans="2:32" ht="15" hidden="1">
      <c r="B1012" s="298"/>
      <c r="C1012" s="216"/>
      <c r="D1012" s="217"/>
      <c r="E1012" s="391"/>
      <c r="F1012" s="262"/>
      <c r="G1012" s="272" t="e">
        <f t="shared" si="72"/>
        <v>#N/A</v>
      </c>
      <c r="H1012" s="141" t="e">
        <f t="shared" si="73"/>
        <v>#N/A</v>
      </c>
      <c r="I1012" s="409" t="s">
        <v>47</v>
      </c>
      <c r="J1012" s="467"/>
      <c r="L1012" s="86" t="e">
        <f>VLOOKUP(B1012,$B$11:B1011,1,FALSE)</f>
        <v>#N/A</v>
      </c>
      <c r="M1012" s="256" t="e">
        <f>G1012*(1-FORM!$AE$28/100)</f>
        <v>#N/A</v>
      </c>
      <c r="AA1012" s="463" t="s">
        <v>4275</v>
      </c>
      <c r="AB1012" s="462" t="s">
        <v>4276</v>
      </c>
      <c r="AC1012" s="462" t="s">
        <v>4277</v>
      </c>
      <c r="AD1012" s="464">
        <v>457.16498000000001</v>
      </c>
      <c r="AE1012" s="465">
        <v>18.288889999999999</v>
      </c>
      <c r="AF1012" s="86">
        <f>IF(verze!$E$1="CZK",AD1012,IF(verze!$E$1="SK",AE1012,""))</f>
        <v>18.288889999999999</v>
      </c>
    </row>
    <row r="1013" spans="2:32" ht="15" hidden="1">
      <c r="B1013" s="298"/>
      <c r="C1013" s="216"/>
      <c r="D1013" s="217"/>
      <c r="E1013" s="391"/>
      <c r="F1013" s="262"/>
      <c r="G1013" s="272" t="e">
        <f t="shared" si="72"/>
        <v>#N/A</v>
      </c>
      <c r="H1013" s="141" t="e">
        <f t="shared" si="73"/>
        <v>#N/A</v>
      </c>
      <c r="I1013" s="409" t="s">
        <v>47</v>
      </c>
      <c r="J1013" s="467"/>
      <c r="L1013" s="86" t="e">
        <f>VLOOKUP(B1013,$B$11:B1012,1,FALSE)</f>
        <v>#N/A</v>
      </c>
      <c r="M1013" s="256" t="e">
        <f>G1013*(1-FORM!$AE$28/100)</f>
        <v>#N/A</v>
      </c>
      <c r="AA1013" s="463" t="s">
        <v>4278</v>
      </c>
      <c r="AB1013" s="462" t="s">
        <v>4279</v>
      </c>
      <c r="AC1013" s="462" t="s">
        <v>4280</v>
      </c>
      <c r="AD1013" s="464">
        <v>468.41221999999999</v>
      </c>
      <c r="AE1013" s="465">
        <v>18.73883</v>
      </c>
      <c r="AF1013" s="86">
        <f>IF(verze!$E$1="CZK",AD1013,IF(verze!$E$1="SK",AE1013,""))</f>
        <v>18.73883</v>
      </c>
    </row>
    <row r="1014" spans="2:32" ht="15" hidden="1">
      <c r="B1014" s="298"/>
      <c r="C1014" s="216"/>
      <c r="D1014" s="217"/>
      <c r="E1014" s="391"/>
      <c r="F1014" s="262"/>
      <c r="G1014" s="272" t="e">
        <f t="shared" si="72"/>
        <v>#N/A</v>
      </c>
      <c r="H1014" s="141" t="e">
        <f t="shared" si="73"/>
        <v>#N/A</v>
      </c>
      <c r="I1014" s="409" t="s">
        <v>47</v>
      </c>
      <c r="J1014" s="467"/>
      <c r="L1014" s="86" t="e">
        <f>VLOOKUP(B1014,$B$11:B1013,1,FALSE)</f>
        <v>#N/A</v>
      </c>
      <c r="M1014" s="256" t="e">
        <f>G1014*(1-FORM!$AE$28/100)</f>
        <v>#N/A</v>
      </c>
      <c r="AA1014" s="463" t="s">
        <v>4281</v>
      </c>
      <c r="AB1014" s="462" t="s">
        <v>4282</v>
      </c>
      <c r="AC1014" s="462" t="s">
        <v>4283</v>
      </c>
      <c r="AD1014" s="464">
        <v>9.7131299999999996</v>
      </c>
      <c r="AE1014" s="465">
        <v>0.38857000000000003</v>
      </c>
      <c r="AF1014" s="86">
        <f>IF(verze!$E$1="CZK",AD1014,IF(verze!$E$1="SK",AE1014,""))</f>
        <v>0.38857000000000003</v>
      </c>
    </row>
    <row r="1015" spans="2:32" ht="15" hidden="1">
      <c r="B1015" s="298"/>
      <c r="C1015" s="216"/>
      <c r="D1015" s="217"/>
      <c r="E1015" s="391"/>
      <c r="F1015" s="262"/>
      <c r="G1015" s="272" t="e">
        <f t="shared" si="72"/>
        <v>#N/A</v>
      </c>
      <c r="H1015" s="141" t="e">
        <f t="shared" si="73"/>
        <v>#N/A</v>
      </c>
      <c r="I1015" s="409" t="s">
        <v>47</v>
      </c>
      <c r="J1015" s="467"/>
      <c r="L1015" s="86" t="e">
        <f>VLOOKUP(B1015,$B$11:B1014,1,FALSE)</f>
        <v>#N/A</v>
      </c>
      <c r="M1015" s="256" t="e">
        <f>G1015*(1-FORM!$AE$28/100)</f>
        <v>#N/A</v>
      </c>
      <c r="AA1015" s="463" t="s">
        <v>4284</v>
      </c>
      <c r="AB1015" s="462" t="s">
        <v>4285</v>
      </c>
      <c r="AC1015" s="462" t="s">
        <v>4286</v>
      </c>
      <c r="AD1015" s="464">
        <v>405.22063000000003</v>
      </c>
      <c r="AE1015" s="465">
        <v>16.210840000000001</v>
      </c>
      <c r="AF1015" s="86">
        <f>IF(verze!$E$1="CZK",AD1015,IF(verze!$E$1="SK",AE1015,""))</f>
        <v>16.210840000000001</v>
      </c>
    </row>
    <row r="1016" spans="2:32" ht="15" hidden="1">
      <c r="B1016" s="298"/>
      <c r="C1016" s="216"/>
      <c r="D1016" s="217"/>
      <c r="E1016" s="391"/>
      <c r="F1016" s="262"/>
      <c r="G1016" s="272" t="e">
        <f t="shared" si="72"/>
        <v>#N/A</v>
      </c>
      <c r="H1016" s="141" t="e">
        <f t="shared" si="73"/>
        <v>#N/A</v>
      </c>
      <c r="I1016" s="409" t="s">
        <v>47</v>
      </c>
      <c r="J1016" s="467"/>
      <c r="L1016" s="86" t="e">
        <f>VLOOKUP(B1016,$B$11:B1015,1,FALSE)</f>
        <v>#N/A</v>
      </c>
      <c r="M1016" s="256" t="e">
        <f>G1016*(1-FORM!$AE$28/100)</f>
        <v>#N/A</v>
      </c>
      <c r="AA1016" s="463" t="s">
        <v>4287</v>
      </c>
      <c r="AB1016" s="462" t="s">
        <v>4288</v>
      </c>
      <c r="AC1016" s="462" t="s">
        <v>4289</v>
      </c>
      <c r="AD1016" s="464">
        <v>174.00251</v>
      </c>
      <c r="AE1016" s="465">
        <v>6.9609699999999997</v>
      </c>
      <c r="AF1016" s="86">
        <f>IF(verze!$E$1="CZK",AD1016,IF(verze!$E$1="SK",AE1016,""))</f>
        <v>6.9609699999999997</v>
      </c>
    </row>
    <row r="1017" spans="2:32" ht="15" hidden="1">
      <c r="B1017" s="298"/>
      <c r="C1017" s="216"/>
      <c r="D1017" s="217"/>
      <c r="E1017" s="391"/>
      <c r="F1017" s="262"/>
      <c r="G1017" s="272" t="e">
        <f t="shared" si="72"/>
        <v>#N/A</v>
      </c>
      <c r="H1017" s="141" t="e">
        <f t="shared" si="73"/>
        <v>#N/A</v>
      </c>
      <c r="I1017" s="409" t="s">
        <v>47</v>
      </c>
      <c r="J1017" s="467"/>
      <c r="L1017" s="86" t="e">
        <f>VLOOKUP(B1017,$B$11:B1016,1,FALSE)</f>
        <v>#N/A</v>
      </c>
      <c r="M1017" s="256" t="e">
        <f>G1017*(1-FORM!$AE$28/100)</f>
        <v>#N/A</v>
      </c>
      <c r="AA1017" s="463" t="s">
        <v>4290</v>
      </c>
      <c r="AB1017" s="462" t="s">
        <v>4291</v>
      </c>
      <c r="AC1017" s="462" t="s">
        <v>4292</v>
      </c>
      <c r="AD1017" s="464">
        <v>218.85658000000001</v>
      </c>
      <c r="AE1017" s="465">
        <v>8.7553400000000003</v>
      </c>
      <c r="AF1017" s="86">
        <f>IF(verze!$E$1="CZK",AD1017,IF(verze!$E$1="SK",AE1017,""))</f>
        <v>8.7553400000000003</v>
      </c>
    </row>
    <row r="1018" spans="2:32" ht="15" hidden="1">
      <c r="B1018" s="298"/>
      <c r="C1018" s="216"/>
      <c r="D1018" s="217"/>
      <c r="E1018" s="391"/>
      <c r="F1018" s="262"/>
      <c r="G1018" s="272" t="e">
        <f t="shared" si="72"/>
        <v>#N/A</v>
      </c>
      <c r="H1018" s="141" t="e">
        <f t="shared" si="73"/>
        <v>#N/A</v>
      </c>
      <c r="I1018" s="409" t="s">
        <v>47</v>
      </c>
      <c r="J1018" s="467"/>
      <c r="L1018" s="86" t="e">
        <f>VLOOKUP(B1018,$B$11:B1017,1,FALSE)</f>
        <v>#N/A</v>
      </c>
      <c r="M1018" s="256" t="e">
        <f>G1018*(1-FORM!$AE$28/100)</f>
        <v>#N/A</v>
      </c>
      <c r="AA1018" s="463" t="s">
        <v>4293</v>
      </c>
      <c r="AB1018" s="462" t="s">
        <v>4294</v>
      </c>
      <c r="AC1018" s="462" t="s">
        <v>4295</v>
      </c>
      <c r="AD1018" s="464">
        <v>213.71136999999999</v>
      </c>
      <c r="AE1018" s="465">
        <v>8.6314299999999999</v>
      </c>
      <c r="AF1018" s="86">
        <f>IF(verze!$E$1="CZK",AD1018,IF(verze!$E$1="SK",AE1018,""))</f>
        <v>8.6314299999999999</v>
      </c>
    </row>
    <row r="1019" spans="2:32" ht="15" hidden="1">
      <c r="B1019" s="298"/>
      <c r="C1019" s="216"/>
      <c r="D1019" s="217"/>
      <c r="E1019" s="391"/>
      <c r="F1019" s="262"/>
      <c r="G1019" s="272" t="e">
        <f t="shared" si="72"/>
        <v>#N/A</v>
      </c>
      <c r="H1019" s="141" t="e">
        <f t="shared" si="73"/>
        <v>#N/A</v>
      </c>
      <c r="I1019" s="409" t="s">
        <v>47</v>
      </c>
      <c r="J1019" s="467"/>
      <c r="L1019" s="86" t="e">
        <f>VLOOKUP(B1019,$B$11:B1018,1,FALSE)</f>
        <v>#N/A</v>
      </c>
      <c r="M1019" s="256" t="e">
        <f>G1019*(1-FORM!$AE$28/100)</f>
        <v>#N/A</v>
      </c>
      <c r="AA1019" s="463" t="s">
        <v>4296</v>
      </c>
      <c r="AB1019" s="462" t="s">
        <v>4297</v>
      </c>
      <c r="AC1019" s="462" t="s">
        <v>4298</v>
      </c>
      <c r="AD1019" s="464">
        <v>50.275260000000003</v>
      </c>
      <c r="AE1019" s="465">
        <v>2.4184199999999998</v>
      </c>
      <c r="AF1019" s="86">
        <f>IF(verze!$E$1="CZK",AD1019,IF(verze!$E$1="SK",AE1019,""))</f>
        <v>2.4184199999999998</v>
      </c>
    </row>
    <row r="1020" spans="2:32" ht="15" hidden="1">
      <c r="B1020" s="298"/>
      <c r="C1020" s="216"/>
      <c r="D1020" s="217"/>
      <c r="E1020" s="391"/>
      <c r="F1020" s="262"/>
      <c r="G1020" s="272" t="e">
        <f t="shared" si="72"/>
        <v>#N/A</v>
      </c>
      <c r="H1020" s="141" t="e">
        <f t="shared" si="73"/>
        <v>#N/A</v>
      </c>
      <c r="I1020" s="409" t="s">
        <v>47</v>
      </c>
      <c r="J1020" s="467"/>
      <c r="L1020" s="86" t="e">
        <f>VLOOKUP(B1020,$B$11:B1019,1,FALSE)</f>
        <v>#N/A</v>
      </c>
      <c r="M1020" s="256" t="e">
        <f>G1020*(1-FORM!$AE$28/100)</f>
        <v>#N/A</v>
      </c>
      <c r="AA1020" s="463" t="s">
        <v>4299</v>
      </c>
      <c r="AB1020" s="462" t="s">
        <v>4300</v>
      </c>
      <c r="AC1020" s="462" t="s">
        <v>4301</v>
      </c>
      <c r="AD1020" s="464">
        <v>50.275260000000003</v>
      </c>
      <c r="AE1020" s="465">
        <v>2.4184199999999998</v>
      </c>
      <c r="AF1020" s="86">
        <f>IF(verze!$E$1="CZK",AD1020,IF(verze!$E$1="SK",AE1020,""))</f>
        <v>2.4184199999999998</v>
      </c>
    </row>
    <row r="1021" spans="2:32" ht="15" hidden="1">
      <c r="B1021" s="298"/>
      <c r="C1021" s="216"/>
      <c r="D1021" s="217"/>
      <c r="E1021" s="391"/>
      <c r="F1021" s="262"/>
      <c r="G1021" s="272" t="e">
        <f t="shared" si="72"/>
        <v>#N/A</v>
      </c>
      <c r="H1021" s="141" t="e">
        <f t="shared" si="73"/>
        <v>#N/A</v>
      </c>
      <c r="I1021" s="409" t="s">
        <v>47</v>
      </c>
      <c r="J1021" s="467"/>
      <c r="L1021" s="86" t="e">
        <f>VLOOKUP(B1021,$B$11:B1020,1,FALSE)</f>
        <v>#N/A</v>
      </c>
      <c r="M1021" s="256" t="e">
        <f>G1021*(1-FORM!$AE$28/100)</f>
        <v>#N/A</v>
      </c>
      <c r="AA1021" s="463" t="s">
        <v>4302</v>
      </c>
      <c r="AB1021" s="462" t="s">
        <v>4303</v>
      </c>
      <c r="AC1021" s="462" t="s">
        <v>4304</v>
      </c>
      <c r="AD1021" s="464">
        <v>53.463180000000001</v>
      </c>
      <c r="AE1021" s="465">
        <v>2.5717699999999999</v>
      </c>
      <c r="AF1021" s="86">
        <f>IF(verze!$E$1="CZK",AD1021,IF(verze!$E$1="SK",AE1021,""))</f>
        <v>2.5717699999999999</v>
      </c>
    </row>
    <row r="1022" spans="2:32" ht="15" hidden="1">
      <c r="B1022" s="298"/>
      <c r="C1022" s="216"/>
      <c r="D1022" s="217"/>
      <c r="E1022" s="391"/>
      <c r="F1022" s="262"/>
      <c r="G1022" s="272" t="e">
        <f t="shared" si="72"/>
        <v>#N/A</v>
      </c>
      <c r="H1022" s="141" t="e">
        <f t="shared" si="73"/>
        <v>#N/A</v>
      </c>
      <c r="I1022" s="409" t="s">
        <v>47</v>
      </c>
      <c r="J1022" s="467"/>
      <c r="L1022" s="86" t="e">
        <f>VLOOKUP(B1022,$B$11:B1021,1,FALSE)</f>
        <v>#N/A</v>
      </c>
      <c r="M1022" s="256" t="e">
        <f>G1022*(1-FORM!$AE$28/100)</f>
        <v>#N/A</v>
      </c>
      <c r="AA1022" s="463" t="s">
        <v>4305</v>
      </c>
      <c r="AB1022" s="462" t="s">
        <v>4306</v>
      </c>
      <c r="AC1022" s="462" t="s">
        <v>4307</v>
      </c>
      <c r="AD1022" s="464">
        <v>54.198970000000003</v>
      </c>
      <c r="AE1022" s="465">
        <v>2.60717</v>
      </c>
      <c r="AF1022" s="86">
        <f>IF(verze!$E$1="CZK",AD1022,IF(verze!$E$1="SK",AE1022,""))</f>
        <v>2.60717</v>
      </c>
    </row>
    <row r="1023" spans="2:32" ht="15" hidden="1">
      <c r="B1023" s="298"/>
      <c r="C1023" s="216"/>
      <c r="D1023" s="217"/>
      <c r="E1023" s="391"/>
      <c r="F1023" s="262"/>
      <c r="G1023" s="272" t="e">
        <f t="shared" si="72"/>
        <v>#N/A</v>
      </c>
      <c r="H1023" s="141" t="e">
        <f t="shared" si="73"/>
        <v>#N/A</v>
      </c>
      <c r="I1023" s="409" t="s">
        <v>47</v>
      </c>
      <c r="J1023" s="467"/>
      <c r="L1023" s="86" t="e">
        <f>VLOOKUP(B1023,$B$11:B1022,1,FALSE)</f>
        <v>#N/A</v>
      </c>
      <c r="M1023" s="256" t="e">
        <f>G1023*(1-FORM!$AE$28/100)</f>
        <v>#N/A</v>
      </c>
      <c r="AA1023" s="463" t="s">
        <v>4308</v>
      </c>
      <c r="AB1023" s="462" t="s">
        <v>4309</v>
      </c>
      <c r="AC1023" s="462" t="s">
        <v>4310</v>
      </c>
      <c r="AD1023" s="464">
        <v>53.463180000000001</v>
      </c>
      <c r="AE1023" s="465">
        <v>2.5717699999999999</v>
      </c>
      <c r="AF1023" s="86">
        <f>IF(verze!$E$1="CZK",AD1023,IF(verze!$E$1="SK",AE1023,""))</f>
        <v>2.5717699999999999</v>
      </c>
    </row>
    <row r="1024" spans="2:32" ht="15" hidden="1">
      <c r="B1024" s="298"/>
      <c r="C1024" s="216"/>
      <c r="D1024" s="217"/>
      <c r="E1024" s="391"/>
      <c r="F1024" s="262"/>
      <c r="G1024" s="272" t="e">
        <f t="shared" si="72"/>
        <v>#N/A</v>
      </c>
      <c r="H1024" s="141" t="e">
        <f t="shared" si="73"/>
        <v>#N/A</v>
      </c>
      <c r="I1024" s="409" t="s">
        <v>47</v>
      </c>
      <c r="J1024" s="467"/>
      <c r="L1024" s="86" t="e">
        <f>VLOOKUP(B1024,$B$11:B1023,1,FALSE)</f>
        <v>#N/A</v>
      </c>
      <c r="M1024" s="256" t="e">
        <f>G1024*(1-FORM!$AE$28/100)</f>
        <v>#N/A</v>
      </c>
      <c r="AA1024" s="463" t="s">
        <v>4311</v>
      </c>
      <c r="AB1024" s="462" t="s">
        <v>4312</v>
      </c>
      <c r="AC1024" s="462" t="s">
        <v>4313</v>
      </c>
      <c r="AD1024" s="464">
        <v>54.198970000000003</v>
      </c>
      <c r="AE1024" s="465">
        <v>2.60717</v>
      </c>
      <c r="AF1024" s="86">
        <f>IF(verze!$E$1="CZK",AD1024,IF(verze!$E$1="SK",AE1024,""))</f>
        <v>2.60717</v>
      </c>
    </row>
    <row r="1025" spans="2:32" ht="15" hidden="1">
      <c r="B1025" s="298"/>
      <c r="C1025" s="216"/>
      <c r="D1025" s="217"/>
      <c r="E1025" s="391"/>
      <c r="F1025" s="262"/>
      <c r="G1025" s="272" t="e">
        <f t="shared" si="72"/>
        <v>#N/A</v>
      </c>
      <c r="H1025" s="141" t="e">
        <f t="shared" si="73"/>
        <v>#N/A</v>
      </c>
      <c r="I1025" s="409" t="s">
        <v>47</v>
      </c>
      <c r="J1025" s="467"/>
      <c r="L1025" s="86" t="e">
        <f>VLOOKUP(B1025,$B$11:B1024,1,FALSE)</f>
        <v>#N/A</v>
      </c>
      <c r="M1025" s="256" t="e">
        <f>G1025*(1-FORM!$AE$28/100)</f>
        <v>#N/A</v>
      </c>
      <c r="AA1025" s="463" t="s">
        <v>4314</v>
      </c>
      <c r="AB1025" s="462" t="s">
        <v>4315</v>
      </c>
      <c r="AC1025" s="462" t="s">
        <v>4316</v>
      </c>
      <c r="AD1025" s="464">
        <v>732</v>
      </c>
      <c r="AE1025" s="465">
        <v>29.102900000000002</v>
      </c>
      <c r="AF1025" s="86">
        <f>IF(verze!$E$1="CZK",AD1025,IF(verze!$E$1="SK",AE1025,""))</f>
        <v>29.102900000000002</v>
      </c>
    </row>
    <row r="1026" spans="2:32" ht="15" hidden="1">
      <c r="B1026" s="298"/>
      <c r="C1026" s="216"/>
      <c r="D1026" s="217"/>
      <c r="E1026" s="391"/>
      <c r="F1026" s="262"/>
      <c r="G1026" s="272" t="e">
        <f t="shared" si="72"/>
        <v>#N/A</v>
      </c>
      <c r="H1026" s="141" t="e">
        <f t="shared" si="73"/>
        <v>#N/A</v>
      </c>
      <c r="I1026" s="409" t="s">
        <v>47</v>
      </c>
      <c r="J1026" s="467"/>
      <c r="L1026" s="86" t="e">
        <f>VLOOKUP(B1026,$B$11:B1025,1,FALSE)</f>
        <v>#N/A</v>
      </c>
      <c r="M1026" s="256" t="e">
        <f>G1026*(1-FORM!$AE$28/100)</f>
        <v>#N/A</v>
      </c>
      <c r="AA1026" s="463" t="s">
        <v>4317</v>
      </c>
      <c r="AB1026" s="462" t="s">
        <v>4318</v>
      </c>
      <c r="AC1026" s="462" t="s">
        <v>4319</v>
      </c>
      <c r="AD1026" s="464">
        <v>2552.6665800000001</v>
      </c>
      <c r="AE1026" s="465">
        <v>102.11937</v>
      </c>
      <c r="AF1026" s="86">
        <f>IF(verze!$E$1="CZK",AD1026,IF(verze!$E$1="SK",AE1026,""))</f>
        <v>102.11937</v>
      </c>
    </row>
    <row r="1027" spans="2:32" ht="15" hidden="1">
      <c r="B1027" s="298"/>
      <c r="C1027" s="216"/>
      <c r="D1027" s="217"/>
      <c r="E1027" s="391"/>
      <c r="F1027" s="262"/>
      <c r="G1027" s="272" t="e">
        <f t="shared" si="72"/>
        <v>#N/A</v>
      </c>
      <c r="H1027" s="141" t="e">
        <f t="shared" si="73"/>
        <v>#N/A</v>
      </c>
      <c r="I1027" s="409" t="s">
        <v>47</v>
      </c>
      <c r="J1027" s="467"/>
      <c r="L1027" s="86" t="e">
        <f>VLOOKUP(B1027,$B$11:B1026,1,FALSE)</f>
        <v>#N/A</v>
      </c>
      <c r="M1027" s="256" t="e">
        <f>G1027*(1-FORM!$AE$28/100)</f>
        <v>#N/A</v>
      </c>
      <c r="AA1027" s="463" t="s">
        <v>4320</v>
      </c>
      <c r="AB1027" s="462" t="s">
        <v>4321</v>
      </c>
      <c r="AC1027" s="462" t="s">
        <v>4322</v>
      </c>
      <c r="AD1027" s="464">
        <v>5.2484900000000003</v>
      </c>
      <c r="AE1027" s="465">
        <v>0.25246000000000002</v>
      </c>
      <c r="AF1027" s="86">
        <f>IF(verze!$E$1="CZK",AD1027,IF(verze!$E$1="SK",AE1027,""))</f>
        <v>0.25246000000000002</v>
      </c>
    </row>
    <row r="1028" spans="2:32" ht="15" hidden="1">
      <c r="B1028" s="298"/>
      <c r="C1028" s="216"/>
      <c r="D1028" s="217"/>
      <c r="E1028" s="391"/>
      <c r="F1028" s="262"/>
      <c r="G1028" s="272" t="e">
        <f t="shared" si="72"/>
        <v>#N/A</v>
      </c>
      <c r="H1028" s="141" t="e">
        <f t="shared" si="73"/>
        <v>#N/A</v>
      </c>
      <c r="I1028" s="409" t="s">
        <v>47</v>
      </c>
      <c r="J1028" s="467"/>
      <c r="L1028" s="86" t="e">
        <f>VLOOKUP(B1028,$B$11:B1027,1,FALSE)</f>
        <v>#N/A</v>
      </c>
      <c r="M1028" s="256" t="e">
        <f>G1028*(1-FORM!$AE$28/100)</f>
        <v>#N/A</v>
      </c>
      <c r="AA1028" s="463" t="s">
        <v>4323</v>
      </c>
      <c r="AB1028" s="462" t="s">
        <v>4324</v>
      </c>
      <c r="AC1028" s="462" t="s">
        <v>4325</v>
      </c>
      <c r="AD1028" s="464">
        <v>201.82182</v>
      </c>
      <c r="AE1028" s="465">
        <v>9.7083600000000008</v>
      </c>
      <c r="AF1028" s="86">
        <f>IF(verze!$E$1="CZK",AD1028,IF(verze!$E$1="SK",AE1028,""))</f>
        <v>9.7083600000000008</v>
      </c>
    </row>
    <row r="1029" spans="2:32" ht="15" hidden="1">
      <c r="B1029" s="298"/>
      <c r="C1029" s="216"/>
      <c r="D1029" s="217"/>
      <c r="E1029" s="391"/>
      <c r="F1029" s="262"/>
      <c r="G1029" s="272" t="e">
        <f t="shared" si="72"/>
        <v>#N/A</v>
      </c>
      <c r="H1029" s="141" t="e">
        <f t="shared" si="73"/>
        <v>#N/A</v>
      </c>
      <c r="I1029" s="409" t="s">
        <v>47</v>
      </c>
      <c r="J1029" s="467"/>
      <c r="L1029" s="86" t="e">
        <f>VLOOKUP(B1029,$B$11:B1028,1,FALSE)</f>
        <v>#N/A</v>
      </c>
      <c r="M1029" s="256" t="e">
        <f>G1029*(1-FORM!$AE$28/100)</f>
        <v>#N/A</v>
      </c>
      <c r="AA1029" s="463" t="s">
        <v>4326</v>
      </c>
      <c r="AB1029" s="462" t="s">
        <v>4327</v>
      </c>
      <c r="AC1029" s="462" t="s">
        <v>4328</v>
      </c>
      <c r="AD1029" s="464">
        <v>225.30322000000001</v>
      </c>
      <c r="AE1029" s="465">
        <v>10.837910000000001</v>
      </c>
      <c r="AF1029" s="86">
        <f>IF(verze!$E$1="CZK",AD1029,IF(verze!$E$1="SK",AE1029,""))</f>
        <v>10.837910000000001</v>
      </c>
    </row>
    <row r="1030" spans="2:32" ht="15" hidden="1">
      <c r="B1030" s="298"/>
      <c r="C1030" s="216"/>
      <c r="D1030" s="217"/>
      <c r="E1030" s="391"/>
      <c r="F1030" s="262"/>
      <c r="G1030" s="272" t="e">
        <f t="shared" si="72"/>
        <v>#N/A</v>
      </c>
      <c r="H1030" s="141" t="e">
        <f t="shared" si="73"/>
        <v>#N/A</v>
      </c>
      <c r="I1030" s="409" t="s">
        <v>47</v>
      </c>
      <c r="J1030" s="467"/>
      <c r="L1030" s="86" t="e">
        <f>VLOOKUP(B1030,$B$11:B1029,1,FALSE)</f>
        <v>#N/A</v>
      </c>
      <c r="M1030" s="256" t="e">
        <f>G1030*(1-FORM!$AE$28/100)</f>
        <v>#N/A</v>
      </c>
      <c r="AA1030" s="463" t="s">
        <v>4329</v>
      </c>
      <c r="AB1030" s="462" t="s">
        <v>4330</v>
      </c>
      <c r="AC1030" s="462" t="s">
        <v>4331</v>
      </c>
      <c r="AD1030" s="464">
        <v>250.58659</v>
      </c>
      <c r="AE1030" s="465">
        <v>12.054130000000001</v>
      </c>
      <c r="AF1030" s="86">
        <f>IF(verze!$E$1="CZK",AD1030,IF(verze!$E$1="SK",AE1030,""))</f>
        <v>12.054130000000001</v>
      </c>
    </row>
    <row r="1031" spans="2:32" ht="15" hidden="1">
      <c r="B1031" s="298"/>
      <c r="C1031" s="216"/>
      <c r="D1031" s="217"/>
      <c r="E1031" s="391"/>
      <c r="F1031" s="262"/>
      <c r="G1031" s="272" t="e">
        <f t="shared" si="72"/>
        <v>#N/A</v>
      </c>
      <c r="H1031" s="141" t="e">
        <f t="shared" si="73"/>
        <v>#N/A</v>
      </c>
      <c r="I1031" s="409" t="s">
        <v>47</v>
      </c>
      <c r="J1031" s="467"/>
      <c r="L1031" s="86" t="e">
        <f>VLOOKUP(B1031,$B$11:B1030,1,FALSE)</f>
        <v>#N/A</v>
      </c>
      <c r="M1031" s="256" t="e">
        <f>G1031*(1-FORM!$AE$28/100)</f>
        <v>#N/A</v>
      </c>
      <c r="AA1031" s="463" t="s">
        <v>4332</v>
      </c>
      <c r="AB1031" s="462" t="s">
        <v>4333</v>
      </c>
      <c r="AC1031" s="462" t="s">
        <v>4334</v>
      </c>
      <c r="AD1031" s="464">
        <v>274.30428000000001</v>
      </c>
      <c r="AE1031" s="465">
        <v>13.195040000000001</v>
      </c>
      <c r="AF1031" s="86">
        <f>IF(verze!$E$1="CZK",AD1031,IF(verze!$E$1="SK",AE1031,""))</f>
        <v>13.195040000000001</v>
      </c>
    </row>
    <row r="1032" spans="2:32" ht="15" hidden="1">
      <c r="B1032" s="298"/>
      <c r="C1032" s="216"/>
      <c r="D1032" s="217"/>
      <c r="E1032" s="391"/>
      <c r="F1032" s="262"/>
      <c r="G1032" s="272" t="e">
        <f t="shared" si="72"/>
        <v>#N/A</v>
      </c>
      <c r="H1032" s="141" t="e">
        <f t="shared" si="73"/>
        <v>#N/A</v>
      </c>
      <c r="I1032" s="409" t="s">
        <v>47</v>
      </c>
      <c r="J1032" s="467"/>
      <c r="L1032" s="86" t="e">
        <f>VLOOKUP(B1032,$B$11:B1031,1,FALSE)</f>
        <v>#N/A</v>
      </c>
      <c r="M1032" s="256" t="e">
        <f>G1032*(1-FORM!$AE$28/100)</f>
        <v>#N/A</v>
      </c>
      <c r="AA1032" s="463" t="s">
        <v>4332</v>
      </c>
      <c r="AB1032" s="462" t="s">
        <v>4335</v>
      </c>
      <c r="AC1032" s="462" t="s">
        <v>4336</v>
      </c>
      <c r="AD1032" s="464">
        <v>274.30428000000001</v>
      </c>
      <c r="AE1032" s="465">
        <v>13.195040000000001</v>
      </c>
      <c r="AF1032" s="86">
        <f>IF(verze!$E$1="CZK",AD1032,IF(verze!$E$1="SK",AE1032,""))</f>
        <v>13.195040000000001</v>
      </c>
    </row>
    <row r="1033" spans="2:32" ht="15" hidden="1">
      <c r="B1033" s="298"/>
      <c r="C1033" s="216"/>
      <c r="D1033" s="217"/>
      <c r="E1033" s="391"/>
      <c r="F1033" s="262"/>
      <c r="G1033" s="272" t="e">
        <f t="shared" si="72"/>
        <v>#N/A</v>
      </c>
      <c r="H1033" s="141" t="e">
        <f t="shared" si="73"/>
        <v>#N/A</v>
      </c>
      <c r="I1033" s="409" t="s">
        <v>47</v>
      </c>
      <c r="J1033" s="467"/>
      <c r="L1033" s="86" t="e">
        <f>VLOOKUP(B1033,$B$11:B1032,1,FALSE)</f>
        <v>#N/A</v>
      </c>
      <c r="M1033" s="256" t="e">
        <f>G1033*(1-FORM!$AE$28/100)</f>
        <v>#N/A</v>
      </c>
      <c r="AA1033" s="463" t="s">
        <v>4337</v>
      </c>
      <c r="AB1033" s="462" t="s">
        <v>4338</v>
      </c>
      <c r="AC1033" s="462" t="s">
        <v>4339</v>
      </c>
      <c r="AD1033" s="464">
        <v>299.20641999999998</v>
      </c>
      <c r="AE1033" s="465">
        <v>14.39292</v>
      </c>
      <c r="AF1033" s="86">
        <f>IF(verze!$E$1="CZK",AD1033,IF(verze!$E$1="SK",AE1033,""))</f>
        <v>14.39292</v>
      </c>
    </row>
    <row r="1034" spans="2:32" ht="15" hidden="1">
      <c r="B1034" s="298"/>
      <c r="C1034" s="216"/>
      <c r="D1034" s="217"/>
      <c r="E1034" s="391"/>
      <c r="F1034" s="262"/>
      <c r="G1034" s="272" t="e">
        <f t="shared" si="72"/>
        <v>#N/A</v>
      </c>
      <c r="H1034" s="141" t="e">
        <f t="shared" si="73"/>
        <v>#N/A</v>
      </c>
      <c r="I1034" s="409" t="s">
        <v>47</v>
      </c>
      <c r="J1034" s="467"/>
      <c r="L1034" s="86" t="e">
        <f>VLOOKUP(B1034,$B$11:B1033,1,FALSE)</f>
        <v>#N/A</v>
      </c>
      <c r="M1034" s="256" t="e">
        <f>G1034*(1-FORM!$AE$28/100)</f>
        <v>#N/A</v>
      </c>
      <c r="AA1034" s="463" t="s">
        <v>4337</v>
      </c>
      <c r="AB1034" s="462" t="s">
        <v>4340</v>
      </c>
      <c r="AC1034" s="462" t="s">
        <v>4341</v>
      </c>
      <c r="AD1034" s="464">
        <v>291.24880000000002</v>
      </c>
      <c r="AE1034" s="465">
        <v>10.82696</v>
      </c>
      <c r="AF1034" s="86">
        <f>IF(verze!$E$1="CZK",AD1034,IF(verze!$E$1="SK",AE1034,""))</f>
        <v>10.82696</v>
      </c>
    </row>
    <row r="1035" spans="2:32" ht="15" hidden="1">
      <c r="B1035" s="298"/>
      <c r="C1035" s="216"/>
      <c r="D1035" s="217"/>
      <c r="E1035" s="391"/>
      <c r="F1035" s="262"/>
      <c r="G1035" s="272" t="e">
        <f t="shared" si="72"/>
        <v>#N/A</v>
      </c>
      <c r="H1035" s="141" t="e">
        <f t="shared" si="73"/>
        <v>#N/A</v>
      </c>
      <c r="I1035" s="409" t="s">
        <v>47</v>
      </c>
      <c r="J1035" s="467"/>
      <c r="L1035" s="86" t="e">
        <f>VLOOKUP(B1035,$B$11:B1034,1,FALSE)</f>
        <v>#N/A</v>
      </c>
      <c r="M1035" s="256" t="e">
        <f>G1035*(1-FORM!$AE$28/100)</f>
        <v>#N/A</v>
      </c>
      <c r="AA1035" s="463" t="s">
        <v>4342</v>
      </c>
      <c r="AB1035" s="462" t="s">
        <v>4343</v>
      </c>
      <c r="AC1035" s="462" t="s">
        <v>4344</v>
      </c>
      <c r="AD1035" s="464">
        <v>322.82753000000002</v>
      </c>
      <c r="AE1035" s="465">
        <v>15.52919</v>
      </c>
      <c r="AF1035" s="86">
        <f>IF(verze!$E$1="CZK",AD1035,IF(verze!$E$1="SK",AE1035,""))</f>
        <v>15.52919</v>
      </c>
    </row>
    <row r="1036" spans="2:32" ht="15" hidden="1">
      <c r="B1036" s="298"/>
      <c r="C1036" s="216"/>
      <c r="D1036" s="217"/>
      <c r="E1036" s="391"/>
      <c r="F1036" s="262"/>
      <c r="G1036" s="272" t="e">
        <f t="shared" si="72"/>
        <v>#N/A</v>
      </c>
      <c r="H1036" s="141" t="e">
        <f t="shared" si="73"/>
        <v>#N/A</v>
      </c>
      <c r="I1036" s="409" t="s">
        <v>47</v>
      </c>
      <c r="J1036" s="467"/>
      <c r="L1036" s="86" t="e">
        <f>VLOOKUP(B1036,$B$11:B1035,1,FALSE)</f>
        <v>#N/A</v>
      </c>
      <c r="M1036" s="256" t="e">
        <f>G1036*(1-FORM!$AE$28/100)</f>
        <v>#N/A</v>
      </c>
      <c r="AA1036" s="463" t="s">
        <v>4345</v>
      </c>
      <c r="AB1036" s="462" t="s">
        <v>4346</v>
      </c>
      <c r="AC1036" s="462" t="s">
        <v>4347</v>
      </c>
      <c r="AD1036" s="464">
        <v>351.06668999999999</v>
      </c>
      <c r="AE1036" s="465">
        <v>16.887589999999999</v>
      </c>
      <c r="AF1036" s="86">
        <f>IF(verze!$E$1="CZK",AD1036,IF(verze!$E$1="SK",AE1036,""))</f>
        <v>16.887589999999999</v>
      </c>
    </row>
    <row r="1037" spans="2:32" ht="15" hidden="1">
      <c r="B1037" s="298"/>
      <c r="C1037" s="216"/>
      <c r="D1037" s="217"/>
      <c r="E1037" s="391"/>
      <c r="F1037" s="262"/>
      <c r="G1037" s="272" t="e">
        <f t="shared" ref="G1037:G1053" si="74">VLOOKUP(J1037,AB:AF,5,0)</f>
        <v>#N/A</v>
      </c>
      <c r="H1037" s="141" t="e">
        <f t="shared" si="73"/>
        <v>#N/A</v>
      </c>
      <c r="I1037" s="409" t="s">
        <v>47</v>
      </c>
      <c r="J1037" s="467"/>
      <c r="L1037" s="86" t="e">
        <f>VLOOKUP(B1037,$B$11:B1036,1,FALSE)</f>
        <v>#N/A</v>
      </c>
      <c r="M1037" s="256" t="e">
        <f>G1037*(1-FORM!$AE$28/100)</f>
        <v>#N/A</v>
      </c>
      <c r="AA1037" s="463" t="s">
        <v>4348</v>
      </c>
      <c r="AB1037" s="462" t="s">
        <v>4349</v>
      </c>
      <c r="AC1037" s="462" t="s">
        <v>4350</v>
      </c>
      <c r="AD1037" s="464">
        <v>427.95616999999999</v>
      </c>
      <c r="AE1037" s="465">
        <v>20.58624</v>
      </c>
      <c r="AF1037" s="86">
        <f>IF(verze!$E$1="CZK",AD1037,IF(verze!$E$1="SK",AE1037,""))</f>
        <v>20.58624</v>
      </c>
    </row>
    <row r="1038" spans="2:32" ht="15" hidden="1">
      <c r="B1038" s="298"/>
      <c r="C1038" s="216"/>
      <c r="D1038" s="217"/>
      <c r="E1038" s="391"/>
      <c r="F1038" s="262"/>
      <c r="G1038" s="272" t="e">
        <f t="shared" si="74"/>
        <v>#N/A</v>
      </c>
      <c r="H1038" s="141" t="e">
        <f t="shared" si="73"/>
        <v>#N/A</v>
      </c>
      <c r="I1038" s="409" t="s">
        <v>47</v>
      </c>
      <c r="J1038" s="467"/>
      <c r="L1038" s="86" t="e">
        <f>VLOOKUP(B1038,$B$11:B1037,1,FALSE)</f>
        <v>#N/A</v>
      </c>
      <c r="M1038" s="256" t="e">
        <f>G1038*(1-FORM!$AE$28/100)</f>
        <v>#N/A</v>
      </c>
      <c r="AA1038" s="463" t="s">
        <v>1320</v>
      </c>
      <c r="AB1038" s="462" t="s">
        <v>4351</v>
      </c>
      <c r="AC1038" s="462" t="s">
        <v>4352</v>
      </c>
      <c r="AD1038" s="464">
        <v>427.95616999999999</v>
      </c>
      <c r="AE1038" s="465">
        <v>20.58624</v>
      </c>
      <c r="AF1038" s="86">
        <f>IF(verze!$E$1="CZK",AD1038,IF(verze!$E$1="SK",AE1038,""))</f>
        <v>20.58624</v>
      </c>
    </row>
    <row r="1039" spans="2:32" ht="15" hidden="1">
      <c r="B1039" s="298"/>
      <c r="C1039" s="216"/>
      <c r="D1039" s="217"/>
      <c r="E1039" s="391"/>
      <c r="F1039" s="262"/>
      <c r="G1039" s="272" t="e">
        <f t="shared" si="74"/>
        <v>#N/A</v>
      </c>
      <c r="H1039" s="141" t="e">
        <f t="shared" si="73"/>
        <v>#N/A</v>
      </c>
      <c r="I1039" s="409" t="s">
        <v>47</v>
      </c>
      <c r="J1039" s="467"/>
      <c r="L1039" s="86" t="e">
        <f>VLOOKUP(B1039,$B$11:B1038,1,FALSE)</f>
        <v>#N/A</v>
      </c>
      <c r="M1039" s="256" t="e">
        <f>G1039*(1-FORM!$AE$28/100)</f>
        <v>#N/A</v>
      </c>
      <c r="AA1039" s="463" t="s">
        <v>4348</v>
      </c>
      <c r="AB1039" s="462" t="s">
        <v>4353</v>
      </c>
      <c r="AC1039" s="462" t="s">
        <v>4354</v>
      </c>
      <c r="AD1039" s="464">
        <v>427.95616999999999</v>
      </c>
      <c r="AE1039" s="465">
        <v>20.58624</v>
      </c>
      <c r="AF1039" s="86">
        <f>IF(verze!$E$1="CZK",AD1039,IF(verze!$E$1="SK",AE1039,""))</f>
        <v>20.58624</v>
      </c>
    </row>
    <row r="1040" spans="2:32" ht="15" hidden="1">
      <c r="B1040" s="298"/>
      <c r="C1040" s="216"/>
      <c r="D1040" s="217"/>
      <c r="E1040" s="391"/>
      <c r="F1040" s="262"/>
      <c r="G1040" s="272" t="e">
        <f t="shared" si="74"/>
        <v>#N/A</v>
      </c>
      <c r="H1040" s="141" t="e">
        <f t="shared" si="73"/>
        <v>#N/A</v>
      </c>
      <c r="I1040" s="409" t="s">
        <v>47</v>
      </c>
      <c r="J1040" s="467"/>
      <c r="L1040" s="86" t="e">
        <f>VLOOKUP(B1040,$B$11:B1039,1,FALSE)</f>
        <v>#N/A</v>
      </c>
      <c r="M1040" s="256" t="e">
        <f>G1040*(1-FORM!$AE$28/100)</f>
        <v>#N/A</v>
      </c>
      <c r="AA1040" s="463" t="s">
        <v>4355</v>
      </c>
      <c r="AB1040" s="462" t="s">
        <v>4356</v>
      </c>
      <c r="AC1040" s="462" t="s">
        <v>4357</v>
      </c>
      <c r="AD1040" s="464">
        <v>449.40431999999998</v>
      </c>
      <c r="AE1040" s="465">
        <v>21.61797</v>
      </c>
      <c r="AF1040" s="86">
        <f>IF(verze!$E$1="CZK",AD1040,IF(verze!$E$1="SK",AE1040,""))</f>
        <v>21.61797</v>
      </c>
    </row>
    <row r="1041" spans="2:32" ht="15" hidden="1">
      <c r="B1041" s="298"/>
      <c r="C1041" s="216"/>
      <c r="D1041" s="217"/>
      <c r="E1041" s="391"/>
      <c r="F1041" s="262"/>
      <c r="G1041" s="272" t="e">
        <f t="shared" si="74"/>
        <v>#N/A</v>
      </c>
      <c r="H1041" s="141" t="e">
        <f t="shared" si="73"/>
        <v>#N/A</v>
      </c>
      <c r="I1041" s="409" t="s">
        <v>47</v>
      </c>
      <c r="J1041" s="467"/>
      <c r="L1041" s="86" t="e">
        <f>VLOOKUP(B1041,$B$11:B1040,1,FALSE)</f>
        <v>#N/A</v>
      </c>
      <c r="M1041" s="256" t="e">
        <f>G1041*(1-FORM!$AE$28/100)</f>
        <v>#N/A</v>
      </c>
      <c r="AA1041" s="463" t="s">
        <v>4358</v>
      </c>
      <c r="AB1041" s="462" t="s">
        <v>4359</v>
      </c>
      <c r="AC1041" s="462" t="s">
        <v>4360</v>
      </c>
      <c r="AD1041" s="464">
        <v>29.85943</v>
      </c>
      <c r="AE1041" s="465">
        <v>1.1945399999999999</v>
      </c>
      <c r="AF1041" s="86">
        <f>IF(verze!$E$1="CZK",AD1041,IF(verze!$E$1="SK",AE1041,""))</f>
        <v>1.1945399999999999</v>
      </c>
    </row>
    <row r="1042" spans="2:32" ht="15" hidden="1">
      <c r="B1042" s="298"/>
      <c r="C1042" s="216"/>
      <c r="D1042" s="217"/>
      <c r="E1042" s="391"/>
      <c r="F1042" s="262"/>
      <c r="G1042" s="272" t="e">
        <f t="shared" si="74"/>
        <v>#N/A</v>
      </c>
      <c r="H1042" s="141" t="e">
        <f t="shared" si="73"/>
        <v>#N/A</v>
      </c>
      <c r="I1042" s="409" t="s">
        <v>47</v>
      </c>
      <c r="J1042" s="467"/>
      <c r="L1042" s="86" t="e">
        <f>VLOOKUP(B1042,$B$11:B1041,1,FALSE)</f>
        <v>#N/A</v>
      </c>
      <c r="M1042" s="256" t="e">
        <f>G1042*(1-FORM!$AE$28/100)</f>
        <v>#N/A</v>
      </c>
      <c r="AA1042" s="463" t="s">
        <v>4361</v>
      </c>
      <c r="AB1042" s="462" t="s">
        <v>4362</v>
      </c>
      <c r="AC1042" s="462" t="s">
        <v>4363</v>
      </c>
      <c r="AD1042" s="464">
        <v>302.86036999999999</v>
      </c>
      <c r="AE1042" s="465">
        <v>12.19772</v>
      </c>
      <c r="AF1042" s="86">
        <f>IF(verze!$E$1="CZK",AD1042,IF(verze!$E$1="SK",AE1042,""))</f>
        <v>12.19772</v>
      </c>
    </row>
    <row r="1043" spans="2:32" ht="15" hidden="1">
      <c r="B1043" s="298"/>
      <c r="C1043" s="216"/>
      <c r="D1043" s="217"/>
      <c r="E1043" s="391"/>
      <c r="F1043" s="262"/>
      <c r="G1043" s="272" t="e">
        <f t="shared" si="74"/>
        <v>#N/A</v>
      </c>
      <c r="H1043" s="141" t="e">
        <f t="shared" si="73"/>
        <v>#N/A</v>
      </c>
      <c r="I1043" s="409" t="s">
        <v>47</v>
      </c>
      <c r="J1043" s="467"/>
      <c r="L1043" s="86" t="e">
        <f>VLOOKUP(B1043,$B$11:B1042,1,FALSE)</f>
        <v>#N/A</v>
      </c>
      <c r="M1043" s="256" t="e">
        <f>G1043*(1-FORM!$AE$28/100)</f>
        <v>#N/A</v>
      </c>
      <c r="AA1043" s="463" t="s">
        <v>4364</v>
      </c>
      <c r="AB1043" s="462" t="s">
        <v>4365</v>
      </c>
      <c r="AC1043" s="462" t="s">
        <v>4366</v>
      </c>
      <c r="AD1043" s="464">
        <v>3.06006</v>
      </c>
      <c r="AE1043" s="465">
        <v>0.1255</v>
      </c>
      <c r="AF1043" s="86">
        <f>IF(verze!$E$1="CZK",AD1043,IF(verze!$E$1="SK",AE1043,""))</f>
        <v>0.1255</v>
      </c>
    </row>
    <row r="1044" spans="2:32" ht="15" hidden="1">
      <c r="B1044" s="298"/>
      <c r="C1044" s="216"/>
      <c r="D1044" s="217"/>
      <c r="E1044" s="391"/>
      <c r="F1044" s="262"/>
      <c r="G1044" s="272" t="e">
        <f t="shared" si="74"/>
        <v>#N/A</v>
      </c>
      <c r="H1044" s="141" t="e">
        <f t="shared" si="73"/>
        <v>#N/A</v>
      </c>
      <c r="I1044" s="409" t="s">
        <v>47</v>
      </c>
      <c r="J1044" s="467"/>
      <c r="L1044" s="86" t="e">
        <f>VLOOKUP(B1044,$B$11:B1043,1,FALSE)</f>
        <v>#N/A</v>
      </c>
      <c r="M1044" s="256" t="e">
        <f>G1044*(1-FORM!$AE$28/100)</f>
        <v>#N/A</v>
      </c>
      <c r="AA1044" s="463" t="s">
        <v>4367</v>
      </c>
      <c r="AB1044" s="462" t="s">
        <v>4368</v>
      </c>
      <c r="AC1044" s="462" t="s">
        <v>4369</v>
      </c>
      <c r="AD1044" s="464">
        <v>3.9536899999999999</v>
      </c>
      <c r="AE1044" s="465">
        <v>0.16216</v>
      </c>
      <c r="AF1044" s="86">
        <f>IF(verze!$E$1="CZK",AD1044,IF(verze!$E$1="SK",AE1044,""))</f>
        <v>0.16216</v>
      </c>
    </row>
    <row r="1045" spans="2:32" ht="15" hidden="1">
      <c r="B1045" s="298"/>
      <c r="C1045" s="216"/>
      <c r="D1045" s="217"/>
      <c r="E1045" s="391"/>
      <c r="F1045" s="262"/>
      <c r="G1045" s="272" t="e">
        <f t="shared" si="74"/>
        <v>#N/A</v>
      </c>
      <c r="H1045" s="141" t="e">
        <f t="shared" si="73"/>
        <v>#N/A</v>
      </c>
      <c r="I1045" s="409" t="s">
        <v>47</v>
      </c>
      <c r="J1045" s="467"/>
      <c r="L1045" s="86" t="e">
        <f>VLOOKUP(B1045,$B$11:B1044,1,FALSE)</f>
        <v>#N/A</v>
      </c>
      <c r="M1045" s="256" t="e">
        <f>G1045*(1-FORM!$AE$28/100)</f>
        <v>#N/A</v>
      </c>
      <c r="AA1045" s="463" t="s">
        <v>4370</v>
      </c>
      <c r="AB1045" s="462" t="s">
        <v>4371</v>
      </c>
      <c r="AC1045" s="462" t="s">
        <v>4372</v>
      </c>
      <c r="AD1045" s="464">
        <v>4.3719099999999997</v>
      </c>
      <c r="AE1045" s="465">
        <v>0.17932000000000001</v>
      </c>
      <c r="AF1045" s="86">
        <f>IF(verze!$E$1="CZK",AD1045,IF(verze!$E$1="SK",AE1045,""))</f>
        <v>0.17932000000000001</v>
      </c>
    </row>
    <row r="1046" spans="2:32" ht="15" hidden="1">
      <c r="B1046" s="298"/>
      <c r="C1046" s="216"/>
      <c r="D1046" s="217"/>
      <c r="E1046" s="391"/>
      <c r="F1046" s="262"/>
      <c r="G1046" s="272" t="e">
        <f t="shared" si="74"/>
        <v>#N/A</v>
      </c>
      <c r="H1046" s="141" t="e">
        <f t="shared" si="73"/>
        <v>#N/A</v>
      </c>
      <c r="I1046" s="409" t="s">
        <v>47</v>
      </c>
      <c r="J1046" s="467"/>
      <c r="L1046" s="86" t="e">
        <f>VLOOKUP(B1046,$B$11:B1045,1,FALSE)</f>
        <v>#N/A</v>
      </c>
      <c r="M1046" s="256" t="e">
        <f>G1046*(1-FORM!$AE$28/100)</f>
        <v>#N/A</v>
      </c>
      <c r="AA1046" s="463" t="s">
        <v>4373</v>
      </c>
      <c r="AB1046" s="462" t="s">
        <v>4374</v>
      </c>
      <c r="AC1046" s="462" t="s">
        <v>4375</v>
      </c>
      <c r="AD1046" s="464">
        <v>4.7428900000000001</v>
      </c>
      <c r="AE1046" s="465">
        <v>0.19452</v>
      </c>
      <c r="AF1046" s="86">
        <f>IF(verze!$E$1="CZK",AD1046,IF(verze!$E$1="SK",AE1046,""))</f>
        <v>0.19452</v>
      </c>
    </row>
    <row r="1047" spans="2:32" ht="15" hidden="1">
      <c r="B1047" s="298"/>
      <c r="C1047" s="216"/>
      <c r="D1047" s="217"/>
      <c r="E1047" s="391"/>
      <c r="F1047" s="262"/>
      <c r="G1047" s="272" t="e">
        <f t="shared" si="74"/>
        <v>#N/A</v>
      </c>
      <c r="H1047" s="141" t="e">
        <f t="shared" si="73"/>
        <v>#N/A</v>
      </c>
      <c r="I1047" s="409" t="s">
        <v>47</v>
      </c>
      <c r="J1047" s="467"/>
      <c r="L1047" s="86" t="e">
        <f>VLOOKUP(B1047,$B$11:B1046,1,FALSE)</f>
        <v>#N/A</v>
      </c>
      <c r="M1047" s="256" t="e">
        <f>G1047*(1-FORM!$AE$28/100)</f>
        <v>#N/A</v>
      </c>
      <c r="AA1047" s="463" t="s">
        <v>4376</v>
      </c>
      <c r="AB1047" s="462" t="s">
        <v>4377</v>
      </c>
      <c r="AC1047" s="462" t="s">
        <v>4378</v>
      </c>
      <c r="AD1047" s="464">
        <v>16818.153109999999</v>
      </c>
      <c r="AE1047" s="465">
        <v>770.48936000000003</v>
      </c>
      <c r="AF1047" s="86">
        <f>IF(verze!$E$1="CZK",AD1047,IF(verze!$E$1="SK",AE1047,""))</f>
        <v>770.48936000000003</v>
      </c>
    </row>
    <row r="1048" spans="2:32" ht="15">
      <c r="B1048" s="298"/>
      <c r="C1048" s="216"/>
      <c r="D1048" s="217"/>
      <c r="E1048" s="391"/>
      <c r="F1048" s="262"/>
      <c r="G1048" s="272"/>
      <c r="H1048" s="141" t="str">
        <f t="shared" ref="H1048:H1053" si="75">IF(G1048="","",$H$10)</f>
        <v/>
      </c>
      <c r="I1048" s="409" t="s">
        <v>47</v>
      </c>
      <c r="J1048" s="467"/>
      <c r="L1048" s="86" t="e">
        <f>VLOOKUP(B1048,$B$11:B1047,1,FALSE)</f>
        <v>#N/A</v>
      </c>
      <c r="M1048" s="256">
        <f>G1048*(1-FORM!$AE$28/100)</f>
        <v>0</v>
      </c>
      <c r="AA1048" s="463" t="s">
        <v>4379</v>
      </c>
      <c r="AB1048" s="462" t="s">
        <v>4380</v>
      </c>
      <c r="AC1048" s="462" t="s">
        <v>4381</v>
      </c>
      <c r="AD1048" s="464">
        <v>16818.153109999999</v>
      </c>
      <c r="AE1048" s="465">
        <v>770.48936000000003</v>
      </c>
      <c r="AF1048" s="86">
        <f>IF(verze!$E$1="CZK",AD1048,IF(verze!$E$1="SK",AE1048,""))</f>
        <v>770.48936000000003</v>
      </c>
    </row>
    <row r="1049" spans="2:32" ht="15">
      <c r="B1049" s="298">
        <v>9099540</v>
      </c>
      <c r="C1049" s="216" t="s">
        <v>1124</v>
      </c>
      <c r="D1049" s="217">
        <v>50</v>
      </c>
      <c r="E1049" s="391"/>
      <c r="F1049" s="262"/>
      <c r="G1049" s="272">
        <f t="shared" si="74"/>
        <v>6.6812800000000001</v>
      </c>
      <c r="H1049" s="141" t="str">
        <f t="shared" si="75"/>
        <v>EUR</v>
      </c>
      <c r="I1049" s="409" t="s">
        <v>47</v>
      </c>
      <c r="J1049" s="467" t="s">
        <v>7869</v>
      </c>
      <c r="L1049" s="86" t="e">
        <f>VLOOKUP(B1049,$B$11:B1048,1,FALSE)</f>
        <v>#N/A</v>
      </c>
      <c r="M1049" s="256">
        <f>G1049*(1-FORM!$AE$28/100)</f>
        <v>6.6812800000000001</v>
      </c>
      <c r="AA1049" s="463" t="s">
        <v>4382</v>
      </c>
      <c r="AB1049" s="462" t="s">
        <v>4383</v>
      </c>
      <c r="AC1049" s="462" t="s">
        <v>4384</v>
      </c>
      <c r="AD1049" s="464">
        <v>816.97807999999998</v>
      </c>
      <c r="AE1049" s="465">
        <v>37.428179999999998</v>
      </c>
      <c r="AF1049" s="86">
        <f>IF(verze!$E$1="CZK",AD1049,IF(verze!$E$1="SK",AE1049,""))</f>
        <v>37.428179999999998</v>
      </c>
    </row>
    <row r="1050" spans="2:32" ht="15">
      <c r="B1050" s="298">
        <v>9099600</v>
      </c>
      <c r="C1050" s="216" t="s">
        <v>1125</v>
      </c>
      <c r="D1050" s="217">
        <v>50</v>
      </c>
      <c r="E1050" s="391"/>
      <c r="F1050" s="262"/>
      <c r="G1050" s="272">
        <f t="shared" si="74"/>
        <v>6.23475</v>
      </c>
      <c r="H1050" s="141" t="str">
        <f t="shared" si="75"/>
        <v>EUR</v>
      </c>
      <c r="I1050" s="409" t="s">
        <v>47</v>
      </c>
      <c r="J1050" s="467" t="s">
        <v>7915</v>
      </c>
      <c r="L1050" s="86" t="e">
        <f>VLOOKUP(B1050,$B$11:B1049,1,FALSE)</f>
        <v>#N/A</v>
      </c>
      <c r="M1050" s="256">
        <f>G1050*(1-FORM!$AE$28/100)</f>
        <v>6.23475</v>
      </c>
      <c r="AA1050" s="463" t="s">
        <v>4385</v>
      </c>
      <c r="AB1050" s="462" t="s">
        <v>4386</v>
      </c>
      <c r="AC1050" s="462" t="s">
        <v>4387</v>
      </c>
      <c r="AD1050" s="464">
        <v>973.50717999999995</v>
      </c>
      <c r="AE1050" s="465">
        <v>44.599260000000001</v>
      </c>
      <c r="AF1050" s="86">
        <f>IF(verze!$E$1="CZK",AD1050,IF(verze!$E$1="SK",AE1050,""))</f>
        <v>44.599260000000001</v>
      </c>
    </row>
    <row r="1051" spans="2:32" ht="15">
      <c r="B1051" s="298">
        <v>9099660</v>
      </c>
      <c r="C1051" s="216" t="s">
        <v>1126</v>
      </c>
      <c r="D1051" s="217">
        <v>50</v>
      </c>
      <c r="E1051" s="391"/>
      <c r="F1051" s="262"/>
      <c r="G1051" s="272">
        <f t="shared" si="74"/>
        <v>6.4656099999999999</v>
      </c>
      <c r="H1051" s="141" t="str">
        <f t="shared" si="75"/>
        <v>EUR</v>
      </c>
      <c r="I1051" s="409" t="s">
        <v>47</v>
      </c>
      <c r="J1051" s="467" t="s">
        <v>7933</v>
      </c>
      <c r="L1051" s="86" t="e">
        <f>VLOOKUP(B1051,$B$11:B1050,1,FALSE)</f>
        <v>#N/A</v>
      </c>
      <c r="M1051" s="256">
        <f>G1051*(1-FORM!$AE$28/100)</f>
        <v>6.4656099999999999</v>
      </c>
      <c r="AA1051" s="463" t="s">
        <v>4388</v>
      </c>
      <c r="AB1051" s="462" t="s">
        <v>4389</v>
      </c>
      <c r="AC1051" s="462" t="s">
        <v>4390</v>
      </c>
      <c r="AD1051" s="464">
        <v>1.7301899999999999</v>
      </c>
      <c r="AE1051" s="465">
        <v>7.0959999999999995E-2</v>
      </c>
      <c r="AF1051" s="86">
        <f>IF(verze!$E$1="CZK",AD1051,IF(verze!$E$1="SK",AE1051,""))</f>
        <v>7.0959999999999995E-2</v>
      </c>
    </row>
    <row r="1052" spans="2:32" ht="15">
      <c r="B1052" s="298">
        <v>9071576</v>
      </c>
      <c r="C1052" s="216" t="s">
        <v>1127</v>
      </c>
      <c r="D1052" s="217">
        <v>200</v>
      </c>
      <c r="E1052" s="391"/>
      <c r="F1052" s="262"/>
      <c r="G1052" s="272">
        <f t="shared" si="74"/>
        <v>0.38334000000000001</v>
      </c>
      <c r="H1052" s="141" t="str">
        <f t="shared" si="75"/>
        <v>EUR</v>
      </c>
      <c r="I1052" s="409" t="s">
        <v>47</v>
      </c>
      <c r="J1052" s="467" t="s">
        <v>6047</v>
      </c>
      <c r="L1052" s="86" t="e">
        <f>VLOOKUP(B1052,$B$11:B1051,1,FALSE)</f>
        <v>#N/A</v>
      </c>
      <c r="M1052" s="256">
        <f>G1052*(1-FORM!$AE$28/100)</f>
        <v>0.38334000000000001</v>
      </c>
      <c r="AA1052" s="463" t="s">
        <v>4391</v>
      </c>
      <c r="AB1052" s="462" t="s">
        <v>4392</v>
      </c>
      <c r="AC1052" s="462" t="s">
        <v>4393</v>
      </c>
      <c r="AD1052" s="464">
        <v>2.93486</v>
      </c>
      <c r="AE1052" s="465">
        <v>0.12035999999999999</v>
      </c>
      <c r="AF1052" s="86">
        <f>IF(verze!$E$1="CZK",AD1052,IF(verze!$E$1="SK",AE1052,""))</f>
        <v>0.12035999999999999</v>
      </c>
    </row>
    <row r="1053" spans="2:32" ht="15">
      <c r="B1053" s="298">
        <v>9071671</v>
      </c>
      <c r="C1053" s="216" t="s">
        <v>1128</v>
      </c>
      <c r="D1053" s="217">
        <v>200</v>
      </c>
      <c r="E1053" s="391"/>
      <c r="F1053" s="262"/>
      <c r="G1053" s="272">
        <f t="shared" si="74"/>
        <v>0.82479999999999998</v>
      </c>
      <c r="H1053" s="141" t="str">
        <f t="shared" si="75"/>
        <v>EUR</v>
      </c>
      <c r="I1053" s="409" t="s">
        <v>47</v>
      </c>
      <c r="J1053" s="467" t="s">
        <v>6159</v>
      </c>
      <c r="L1053" s="86" t="e">
        <f>VLOOKUP(B1053,$B$11:B1052,1,FALSE)</f>
        <v>#N/A</v>
      </c>
      <c r="M1053" s="256">
        <f>G1053*(1-FORM!$AE$28/100)</f>
        <v>0.82479999999999998</v>
      </c>
      <c r="AA1053" s="463" t="s">
        <v>4394</v>
      </c>
      <c r="AB1053" s="462" t="s">
        <v>4395</v>
      </c>
      <c r="AC1053" s="462" t="s">
        <v>4396</v>
      </c>
      <c r="AD1053" s="464">
        <v>9.4945599999999999</v>
      </c>
      <c r="AE1053" s="465">
        <v>0.38940000000000002</v>
      </c>
      <c r="AF1053" s="86">
        <f>IF(verze!$E$1="CZK",AD1053,IF(verze!$E$1="SK",AE1053,""))</f>
        <v>0.38940000000000002</v>
      </c>
    </row>
    <row r="1054" spans="2:32" ht="15">
      <c r="B1054" s="298"/>
      <c r="C1054" s="216"/>
      <c r="D1054" s="217"/>
      <c r="E1054" s="391"/>
      <c r="F1054" s="262"/>
      <c r="G1054" s="273"/>
      <c r="H1054" s="141"/>
      <c r="I1054" s="409"/>
      <c r="J1054" s="410" t="s">
        <v>47</v>
      </c>
      <c r="AA1054" s="463" t="s">
        <v>4397</v>
      </c>
      <c r="AB1054" s="462" t="s">
        <v>4398</v>
      </c>
      <c r="AC1054" s="462" t="s">
        <v>4399</v>
      </c>
      <c r="AD1054" s="464">
        <v>13.198079999999999</v>
      </c>
      <c r="AE1054" s="465">
        <v>0.5413</v>
      </c>
      <c r="AF1054" s="86">
        <f>IF(verze!$E$1="CZK",AD1054,IF(verze!$E$1="SK",AE1054,""))</f>
        <v>0.5413</v>
      </c>
    </row>
    <row r="1055" spans="2:32" ht="15">
      <c r="B1055" s="298"/>
      <c r="C1055" s="216"/>
      <c r="D1055" s="217"/>
      <c r="E1055" s="391"/>
      <c r="F1055" s="262"/>
      <c r="G1055" s="273"/>
      <c r="H1055" s="141"/>
      <c r="I1055" s="409"/>
      <c r="J1055" s="410" t="s">
        <v>47</v>
      </c>
      <c r="AA1055" s="463" t="s">
        <v>4400</v>
      </c>
      <c r="AB1055" s="462" t="s">
        <v>4401</v>
      </c>
      <c r="AC1055" s="462" t="s">
        <v>4402</v>
      </c>
      <c r="AD1055" s="464">
        <v>40.593530000000001</v>
      </c>
      <c r="AE1055" s="465">
        <v>1.6648799999999999</v>
      </c>
      <c r="AF1055" s="86">
        <f>IF(verze!$E$1="CZK",AD1055,IF(verze!$E$1="SK",AE1055,""))</f>
        <v>1.6648799999999999</v>
      </c>
    </row>
    <row r="1056" spans="2:32" ht="15">
      <c r="B1056" s="18"/>
      <c r="C1056" s="14"/>
      <c r="D1056" s="19"/>
      <c r="E1056" s="388"/>
      <c r="F1056" s="259"/>
      <c r="G1056" s="260"/>
      <c r="H1056" s="132"/>
      <c r="I1056" s="405"/>
      <c r="J1056" s="406" t="s">
        <v>47</v>
      </c>
      <c r="AA1056" s="463" t="s">
        <v>4403</v>
      </c>
      <c r="AB1056" s="462" t="s">
        <v>4404</v>
      </c>
      <c r="AC1056" s="462" t="s">
        <v>4405</v>
      </c>
      <c r="AD1056" s="464">
        <v>56.27966</v>
      </c>
      <c r="AE1056" s="465">
        <v>2.2514599999999998</v>
      </c>
      <c r="AF1056" s="86">
        <f>IF(verze!$E$1="CZK",AD1056,IF(verze!$E$1="SK",AE1056,""))</f>
        <v>2.2514599999999998</v>
      </c>
    </row>
    <row r="1057" spans="3:32" ht="15">
      <c r="AA1057" s="463" t="s">
        <v>4406</v>
      </c>
      <c r="AB1057" s="462" t="s">
        <v>4407</v>
      </c>
      <c r="AC1057" s="462" t="s">
        <v>4408</v>
      </c>
      <c r="AD1057" s="464">
        <v>55.093389999999999</v>
      </c>
      <c r="AE1057" s="465">
        <v>2.2040000000000002</v>
      </c>
      <c r="AF1057" s="86">
        <f>IF(verze!$E$1="CZK",AD1057,IF(verze!$E$1="SK",AE1057,""))</f>
        <v>2.2040000000000002</v>
      </c>
    </row>
    <row r="1058" spans="3:32" ht="15">
      <c r="AA1058" s="463" t="s">
        <v>4409</v>
      </c>
      <c r="AB1058" s="462" t="s">
        <v>4410</v>
      </c>
      <c r="AC1058" s="462" t="s">
        <v>4411</v>
      </c>
      <c r="AD1058" s="464">
        <v>3.8321900000000002</v>
      </c>
      <c r="AE1058" s="465">
        <v>0.15715999999999999</v>
      </c>
      <c r="AF1058" s="86">
        <f>IF(verze!$E$1="CZK",AD1058,IF(verze!$E$1="SK",AE1058,""))</f>
        <v>0.15715999999999999</v>
      </c>
    </row>
    <row r="1059" spans="3:32" ht="15">
      <c r="AA1059" s="463" t="s">
        <v>4412</v>
      </c>
      <c r="AB1059" s="462" t="s">
        <v>4413</v>
      </c>
      <c r="AC1059" s="462" t="s">
        <v>4414</v>
      </c>
      <c r="AD1059" s="464">
        <v>1.09032</v>
      </c>
      <c r="AE1059" s="465">
        <v>4.4720000000000003E-2</v>
      </c>
      <c r="AF1059" s="86">
        <f>IF(verze!$E$1="CZK",AD1059,IF(verze!$E$1="SK",AE1059,""))</f>
        <v>4.4720000000000003E-2</v>
      </c>
    </row>
    <row r="1060" spans="3:32" ht="15">
      <c r="AA1060" s="463" t="s">
        <v>4415</v>
      </c>
      <c r="AB1060" s="462" t="s">
        <v>4416</v>
      </c>
      <c r="AC1060" s="462" t="s">
        <v>4417</v>
      </c>
      <c r="AD1060" s="464">
        <v>596.88751000000002</v>
      </c>
      <c r="AE1060" s="465">
        <v>23.87847</v>
      </c>
      <c r="AF1060" s="86">
        <f>IF(verze!$E$1="CZK",AD1060,IF(verze!$E$1="SK",AE1060,""))</f>
        <v>23.87847</v>
      </c>
    </row>
    <row r="1061" spans="3:32" ht="15">
      <c r="AA1061" s="463" t="s">
        <v>4418</v>
      </c>
      <c r="AB1061" s="462" t="s">
        <v>4419</v>
      </c>
      <c r="AC1061" s="462" t="s">
        <v>4420</v>
      </c>
      <c r="AD1061" s="464">
        <v>1.6766000000000001</v>
      </c>
      <c r="AE1061" s="465">
        <v>6.8760000000000002E-2</v>
      </c>
      <c r="AF1061" s="86">
        <f>IF(verze!$E$1="CZK",AD1061,IF(verze!$E$1="SK",AE1061,""))</f>
        <v>6.8760000000000002E-2</v>
      </c>
    </row>
    <row r="1062" spans="3:32" ht="15">
      <c r="AA1062" s="463" t="s">
        <v>4421</v>
      </c>
      <c r="AB1062" s="462" t="s">
        <v>4422</v>
      </c>
      <c r="AC1062" s="462" t="s">
        <v>4423</v>
      </c>
      <c r="AD1062" s="464">
        <v>1.5085599999999999</v>
      </c>
      <c r="AE1062" s="465">
        <v>6.1879999999999998E-2</v>
      </c>
      <c r="AF1062" s="86">
        <f>IF(verze!$E$1="CZK",AD1062,IF(verze!$E$1="SK",AE1062,""))</f>
        <v>6.1879999999999998E-2</v>
      </c>
    </row>
    <row r="1063" spans="3:32" ht="15">
      <c r="C1063" s="236" t="s">
        <v>281</v>
      </c>
      <c r="D1063" s="236" t="s">
        <v>282</v>
      </c>
      <c r="G1063" s="236"/>
      <c r="AA1063" s="463" t="s">
        <v>4424</v>
      </c>
      <c r="AB1063" s="462" t="s">
        <v>4425</v>
      </c>
      <c r="AC1063" s="462" t="s">
        <v>4426</v>
      </c>
      <c r="AD1063" s="464">
        <v>48.322539999999996</v>
      </c>
      <c r="AE1063" s="465">
        <v>2.3244899999999999</v>
      </c>
      <c r="AF1063" s="86">
        <f>IF(verze!$E$1="CZK",AD1063,IF(verze!$E$1="SK",AE1063,""))</f>
        <v>2.3244899999999999</v>
      </c>
    </row>
    <row r="1064" spans="3:32" ht="15">
      <c r="C1064" s="236"/>
      <c r="D1064" s="237"/>
      <c r="E1064" s="269"/>
      <c r="F1064" s="270"/>
      <c r="G1064" s="271"/>
      <c r="AA1064" s="463" t="s">
        <v>4427</v>
      </c>
      <c r="AB1064" s="462" t="s">
        <v>4428</v>
      </c>
      <c r="AC1064" s="462" t="s">
        <v>4429</v>
      </c>
      <c r="AD1064" s="464">
        <v>51.692349999999998</v>
      </c>
      <c r="AE1064" s="465">
        <v>2.4865900000000001</v>
      </c>
      <c r="AF1064" s="86">
        <f>IF(verze!$E$1="CZK",AD1064,IF(verze!$E$1="SK",AE1064,""))</f>
        <v>2.4865900000000001</v>
      </c>
    </row>
    <row r="1065" spans="3:32" ht="15">
      <c r="AA1065" s="463" t="s">
        <v>4430</v>
      </c>
      <c r="AB1065" s="462" t="s">
        <v>4431</v>
      </c>
      <c r="AC1065" s="462" t="s">
        <v>4432</v>
      </c>
      <c r="AD1065" s="464">
        <v>29.252479999999998</v>
      </c>
      <c r="AE1065" s="465">
        <v>1.4071499999999999</v>
      </c>
      <c r="AF1065" s="86">
        <f>IF(verze!$E$1="CZK",AD1065,IF(verze!$E$1="SK",AE1065,""))</f>
        <v>1.4071499999999999</v>
      </c>
    </row>
    <row r="1066" spans="3:32" ht="15">
      <c r="AA1066" s="463" t="s">
        <v>4433</v>
      </c>
      <c r="AB1066" s="462" t="s">
        <v>4434</v>
      </c>
      <c r="AC1066" s="462" t="s">
        <v>4435</v>
      </c>
      <c r="AD1066" s="464">
        <v>32.648339999999997</v>
      </c>
      <c r="AE1066" s="465">
        <v>1.5705100000000001</v>
      </c>
      <c r="AF1066" s="86">
        <f>IF(verze!$E$1="CZK",AD1066,IF(verze!$E$1="SK",AE1066,""))</f>
        <v>1.5705100000000001</v>
      </c>
    </row>
    <row r="1067" spans="3:32" ht="15">
      <c r="AA1067" s="463" t="s">
        <v>4436</v>
      </c>
      <c r="AB1067" s="462" t="s">
        <v>4437</v>
      </c>
      <c r="AC1067" s="462" t="s">
        <v>4438</v>
      </c>
      <c r="AD1067" s="464">
        <v>33.436250000000001</v>
      </c>
      <c r="AE1067" s="465">
        <v>1.6084099999999999</v>
      </c>
      <c r="AF1067" s="86">
        <f>IF(verze!$E$1="CZK",AD1067,IF(verze!$E$1="SK",AE1067,""))</f>
        <v>1.6084099999999999</v>
      </c>
    </row>
    <row r="1068" spans="3:32" ht="15">
      <c r="AA1068" s="463" t="s">
        <v>4439</v>
      </c>
      <c r="AB1068" s="462" t="s">
        <v>4440</v>
      </c>
      <c r="AC1068" s="462" t="s">
        <v>4441</v>
      </c>
      <c r="AD1068" s="464">
        <v>36.806170000000002</v>
      </c>
      <c r="AE1068" s="465">
        <v>1.77051</v>
      </c>
      <c r="AF1068" s="86">
        <f>IF(verze!$E$1="CZK",AD1068,IF(verze!$E$1="SK",AE1068,""))</f>
        <v>1.77051</v>
      </c>
    </row>
    <row r="1069" spans="3:32" ht="15">
      <c r="AA1069" s="463" t="s">
        <v>4442</v>
      </c>
      <c r="AB1069" s="462" t="s">
        <v>4443</v>
      </c>
      <c r="AC1069" s="462" t="s">
        <v>4444</v>
      </c>
      <c r="AD1069" s="464">
        <v>83.212299999999999</v>
      </c>
      <c r="AE1069" s="465">
        <v>4.0028100000000002</v>
      </c>
      <c r="AF1069" s="86">
        <f>IF(verze!$E$1="CZK",AD1069,IF(verze!$E$1="SK",AE1069,""))</f>
        <v>4.0028100000000002</v>
      </c>
    </row>
    <row r="1070" spans="3:32" ht="15">
      <c r="AA1070" s="463" t="s">
        <v>4445</v>
      </c>
      <c r="AB1070" s="462" t="s">
        <v>4446</v>
      </c>
      <c r="AC1070" s="462" t="s">
        <v>4447</v>
      </c>
      <c r="AD1070" s="464">
        <v>83.212299999999999</v>
      </c>
      <c r="AE1070" s="465">
        <v>4.0028100000000002</v>
      </c>
      <c r="AF1070" s="86">
        <f>IF(verze!$E$1="CZK",AD1070,IF(verze!$E$1="SK",AE1070,""))</f>
        <v>4.0028100000000002</v>
      </c>
    </row>
    <row r="1071" spans="3:32" ht="15">
      <c r="AA1071" s="463" t="s">
        <v>4448</v>
      </c>
      <c r="AB1071" s="462" t="s">
        <v>4449</v>
      </c>
      <c r="AC1071" s="462" t="s">
        <v>4450</v>
      </c>
      <c r="AD1071" s="464">
        <v>99.115719999999996</v>
      </c>
      <c r="AE1071" s="465">
        <v>4.7678200000000004</v>
      </c>
      <c r="AF1071" s="86">
        <f>IF(verze!$E$1="CZK",AD1071,IF(verze!$E$1="SK",AE1071,""))</f>
        <v>4.7678200000000004</v>
      </c>
    </row>
    <row r="1072" spans="3:32" ht="15">
      <c r="AA1072" s="463" t="s">
        <v>4451</v>
      </c>
      <c r="AB1072" s="462" t="s">
        <v>4452</v>
      </c>
      <c r="AC1072" s="462" t="s">
        <v>4453</v>
      </c>
      <c r="AD1072" s="464">
        <v>167.59258</v>
      </c>
      <c r="AE1072" s="465">
        <v>7.6779000000000002</v>
      </c>
      <c r="AF1072" s="86">
        <f>IF(verze!$E$1="CZK",AD1072,IF(verze!$E$1="SK",AE1072,""))</f>
        <v>7.6779000000000002</v>
      </c>
    </row>
    <row r="1073" spans="27:32" ht="15">
      <c r="AA1073" s="463" t="s">
        <v>4454</v>
      </c>
      <c r="AB1073" s="462" t="s">
        <v>4455</v>
      </c>
      <c r="AC1073" s="462" t="s">
        <v>4456</v>
      </c>
      <c r="AD1073" s="464">
        <v>1155.8675599999999</v>
      </c>
      <c r="AE1073" s="465">
        <v>55.601410000000001</v>
      </c>
      <c r="AF1073" s="86">
        <f>IF(verze!$E$1="CZK",AD1073,IF(verze!$E$1="SK",AE1073,""))</f>
        <v>55.601410000000001</v>
      </c>
    </row>
    <row r="1074" spans="27:32" ht="15">
      <c r="AA1074" s="463" t="s">
        <v>4457</v>
      </c>
      <c r="AB1074" s="462" t="s">
        <v>4458</v>
      </c>
      <c r="AC1074" s="462" t="s">
        <v>4459</v>
      </c>
      <c r="AD1074" s="464">
        <v>22.777419999999999</v>
      </c>
      <c r="AE1074" s="465">
        <v>0.93420000000000003</v>
      </c>
      <c r="AF1074" s="86">
        <f>IF(verze!$E$1="CZK",AD1074,IF(verze!$E$1="SK",AE1074,""))</f>
        <v>0.93420000000000003</v>
      </c>
    </row>
    <row r="1075" spans="27:32" ht="15">
      <c r="AA1075" s="463" t="s">
        <v>4460</v>
      </c>
      <c r="AB1075" s="462" t="s">
        <v>4461</v>
      </c>
      <c r="AC1075" s="462" t="s">
        <v>4462</v>
      </c>
      <c r="AD1075" s="464">
        <v>2.6596299999999999</v>
      </c>
      <c r="AE1075" s="465">
        <v>0.10908</v>
      </c>
      <c r="AF1075" s="86">
        <f>IF(verze!$E$1="CZK",AD1075,IF(verze!$E$1="SK",AE1075,""))</f>
        <v>0.10908</v>
      </c>
    </row>
    <row r="1076" spans="27:32" ht="15">
      <c r="AA1076" s="463" t="s">
        <v>4463</v>
      </c>
      <c r="AB1076" s="462" t="s">
        <v>4464</v>
      </c>
      <c r="AC1076" s="462" t="s">
        <v>4465</v>
      </c>
      <c r="AD1076" s="464">
        <v>5.8268700000000004</v>
      </c>
      <c r="AE1076" s="465">
        <v>0.23898</v>
      </c>
      <c r="AF1076" s="86">
        <f>IF(verze!$E$1="CZK",AD1076,IF(verze!$E$1="SK",AE1076,""))</f>
        <v>0.23898</v>
      </c>
    </row>
    <row r="1077" spans="27:32" ht="15">
      <c r="AA1077" s="463" t="s">
        <v>4466</v>
      </c>
      <c r="AB1077" s="462" t="s">
        <v>4467</v>
      </c>
      <c r="AC1077" s="462" t="s">
        <v>4468</v>
      </c>
      <c r="AD1077" s="464">
        <v>336.52811000000003</v>
      </c>
      <c r="AE1077" s="465">
        <v>13.462809999999999</v>
      </c>
      <c r="AF1077" s="86">
        <f>IF(verze!$E$1="CZK",AD1077,IF(verze!$E$1="SK",AE1077,""))</f>
        <v>13.462809999999999</v>
      </c>
    </row>
    <row r="1078" spans="27:32" ht="15">
      <c r="AA1078" s="463" t="s">
        <v>4469</v>
      </c>
      <c r="AB1078" s="462" t="s">
        <v>4470</v>
      </c>
      <c r="AC1078" s="462" t="s">
        <v>4471</v>
      </c>
      <c r="AD1078" s="464">
        <v>285.32202000000001</v>
      </c>
      <c r="AE1078" s="465">
        <v>11.414289999999999</v>
      </c>
      <c r="AF1078" s="86">
        <f>IF(verze!$E$1="CZK",AD1078,IF(verze!$E$1="SK",AE1078,""))</f>
        <v>11.414289999999999</v>
      </c>
    </row>
    <row r="1079" spans="27:32" ht="15">
      <c r="AA1079" s="463" t="s">
        <v>4472</v>
      </c>
      <c r="AB1079" s="462" t="s">
        <v>4473</v>
      </c>
      <c r="AC1079" s="462" t="s">
        <v>4474</v>
      </c>
      <c r="AD1079" s="464">
        <v>314.96737999999999</v>
      </c>
      <c r="AE1079" s="465">
        <v>12.60026</v>
      </c>
      <c r="AF1079" s="86">
        <f>IF(verze!$E$1="CZK",AD1079,IF(verze!$E$1="SK",AE1079,""))</f>
        <v>12.60026</v>
      </c>
    </row>
    <row r="1080" spans="27:32" ht="15">
      <c r="AA1080" s="463" t="s">
        <v>4475</v>
      </c>
      <c r="AB1080" s="462" t="s">
        <v>4476</v>
      </c>
      <c r="AC1080" s="462" t="s">
        <v>4477</v>
      </c>
      <c r="AD1080" s="464">
        <v>925.54921999999999</v>
      </c>
      <c r="AE1080" s="465">
        <v>37.026580000000003</v>
      </c>
      <c r="AF1080" s="86">
        <f>IF(verze!$E$1="CZK",AD1080,IF(verze!$E$1="SK",AE1080,""))</f>
        <v>37.026580000000003</v>
      </c>
    </row>
    <row r="1081" spans="27:32" ht="15">
      <c r="AA1081" s="463" t="s">
        <v>4478</v>
      </c>
      <c r="AB1081" s="462" t="s">
        <v>4479</v>
      </c>
      <c r="AC1081" s="462" t="s">
        <v>4480</v>
      </c>
      <c r="AD1081" s="464">
        <v>247.82316</v>
      </c>
      <c r="AE1081" s="465">
        <v>9.9141600000000007</v>
      </c>
      <c r="AF1081" s="86">
        <f>IF(verze!$E$1="CZK",AD1081,IF(verze!$E$1="SK",AE1081,""))</f>
        <v>9.9141600000000007</v>
      </c>
    </row>
    <row r="1082" spans="27:32" ht="15">
      <c r="AA1082" s="463" t="s">
        <v>4481</v>
      </c>
      <c r="AB1082" s="462" t="s">
        <v>4482</v>
      </c>
      <c r="AC1082" s="462" t="s">
        <v>4483</v>
      </c>
      <c r="AD1082" s="464">
        <v>513.94538</v>
      </c>
      <c r="AE1082" s="465">
        <v>20.560379999999999</v>
      </c>
      <c r="AF1082" s="86">
        <f>IF(verze!$E$1="CZK",AD1082,IF(verze!$E$1="SK",AE1082,""))</f>
        <v>20.560379999999999</v>
      </c>
    </row>
    <row r="1083" spans="27:32" ht="15">
      <c r="AA1083" s="463" t="s">
        <v>4484</v>
      </c>
      <c r="AB1083" s="462" t="s">
        <v>4485</v>
      </c>
      <c r="AC1083" s="462" t="s">
        <v>4486</v>
      </c>
      <c r="AD1083" s="464">
        <v>161.55875</v>
      </c>
      <c r="AE1083" s="465">
        <v>6.4631600000000002</v>
      </c>
      <c r="AF1083" s="86">
        <f>IF(verze!$E$1="CZK",AD1083,IF(verze!$E$1="SK",AE1083,""))</f>
        <v>6.4631600000000002</v>
      </c>
    </row>
    <row r="1084" spans="27:32" ht="15">
      <c r="AA1084" s="463" t="s">
        <v>4487</v>
      </c>
      <c r="AB1084" s="462" t="s">
        <v>4488</v>
      </c>
      <c r="AC1084" s="462" t="s">
        <v>4489</v>
      </c>
      <c r="AD1084" s="464">
        <v>110.70686000000001</v>
      </c>
      <c r="AE1084" s="465">
        <v>4.42882</v>
      </c>
      <c r="AF1084" s="86">
        <f>IF(verze!$E$1="CZK",AD1084,IF(verze!$E$1="SK",AE1084,""))</f>
        <v>4.42882</v>
      </c>
    </row>
    <row r="1085" spans="27:32" ht="15">
      <c r="AA1085" s="463" t="s">
        <v>4490</v>
      </c>
      <c r="AB1085" s="462" t="s">
        <v>4491</v>
      </c>
      <c r="AC1085" s="462" t="s">
        <v>4492</v>
      </c>
      <c r="AD1085" s="464">
        <v>111.28467999999999</v>
      </c>
      <c r="AE1085" s="465">
        <v>4.4519399999999996</v>
      </c>
      <c r="AF1085" s="86">
        <f>IF(verze!$E$1="CZK",AD1085,IF(verze!$E$1="SK",AE1085,""))</f>
        <v>4.4519399999999996</v>
      </c>
    </row>
    <row r="1086" spans="27:32" ht="15">
      <c r="AA1086" s="463" t="s">
        <v>4493</v>
      </c>
      <c r="AB1086" s="462" t="s">
        <v>4494</v>
      </c>
      <c r="AC1086" s="462" t="s">
        <v>4495</v>
      </c>
      <c r="AD1086" s="464">
        <v>33.674869999999999</v>
      </c>
      <c r="AE1086" s="465">
        <v>1.25265</v>
      </c>
      <c r="AF1086" s="86">
        <f>IF(verze!$E$1="CZK",AD1086,IF(verze!$E$1="SK",AE1086,""))</f>
        <v>1.25265</v>
      </c>
    </row>
    <row r="1087" spans="27:32" ht="15">
      <c r="AA1087" s="463" t="s">
        <v>4493</v>
      </c>
      <c r="AB1087" s="462" t="s">
        <v>4496</v>
      </c>
      <c r="AC1087" s="462" t="s">
        <v>4497</v>
      </c>
      <c r="AD1087" s="464">
        <v>34.594949999999997</v>
      </c>
      <c r="AE1087" s="465">
        <v>1.66415</v>
      </c>
      <c r="AF1087" s="86">
        <f>IF(verze!$E$1="CZK",AD1087,IF(verze!$E$1="SK",AE1087,""))</f>
        <v>1.66415</v>
      </c>
    </row>
    <row r="1088" spans="27:32" ht="15">
      <c r="AA1088" s="463" t="s">
        <v>4498</v>
      </c>
      <c r="AB1088" s="462" t="s">
        <v>4499</v>
      </c>
      <c r="AC1088" s="462" t="s">
        <v>4500</v>
      </c>
      <c r="AD1088" s="464">
        <v>82.086320000000001</v>
      </c>
      <c r="AE1088" s="465">
        <v>3.2838699999999998</v>
      </c>
      <c r="AF1088" s="86">
        <f>IF(verze!$E$1="CZK",AD1088,IF(verze!$E$1="SK",AE1088,""))</f>
        <v>3.2838699999999998</v>
      </c>
    </row>
    <row r="1089" spans="27:32" ht="15">
      <c r="AA1089" s="463" t="s">
        <v>4501</v>
      </c>
      <c r="AB1089" s="462" t="s">
        <v>4502</v>
      </c>
      <c r="AC1089" s="462" t="s">
        <v>4503</v>
      </c>
      <c r="AD1089" s="464">
        <v>99.416740000000004</v>
      </c>
      <c r="AE1089" s="465">
        <v>3.9771700000000001</v>
      </c>
      <c r="AF1089" s="86">
        <f>IF(verze!$E$1="CZK",AD1089,IF(verze!$E$1="SK",AE1089,""))</f>
        <v>3.9771700000000001</v>
      </c>
    </row>
    <row r="1090" spans="27:32" ht="15">
      <c r="AA1090" s="463" t="s">
        <v>4504</v>
      </c>
      <c r="AB1090" s="462" t="s">
        <v>4505</v>
      </c>
      <c r="AC1090" s="462" t="s">
        <v>4506</v>
      </c>
      <c r="AD1090" s="464">
        <v>483.02429000000001</v>
      </c>
      <c r="AE1090" s="465">
        <v>19.323370000000001</v>
      </c>
      <c r="AF1090" s="86">
        <f>IF(verze!$E$1="CZK",AD1090,IF(verze!$E$1="SK",AE1090,""))</f>
        <v>19.323370000000001</v>
      </c>
    </row>
    <row r="1091" spans="27:32" ht="15">
      <c r="AA1091" s="463" t="s">
        <v>4507</v>
      </c>
      <c r="AB1091" s="462" t="s">
        <v>4508</v>
      </c>
      <c r="AC1091" s="462" t="s">
        <v>4509</v>
      </c>
      <c r="AD1091" s="464">
        <v>612.37262999999996</v>
      </c>
      <c r="AE1091" s="465">
        <v>24.497949999999999</v>
      </c>
      <c r="AF1091" s="86">
        <f>IF(verze!$E$1="CZK",AD1091,IF(verze!$E$1="SK",AE1091,""))</f>
        <v>24.497949999999999</v>
      </c>
    </row>
    <row r="1092" spans="27:32" ht="15">
      <c r="AA1092" s="463" t="s">
        <v>4510</v>
      </c>
      <c r="AB1092" s="462" t="s">
        <v>4511</v>
      </c>
      <c r="AC1092" s="462" t="s">
        <v>4512</v>
      </c>
      <c r="AD1092" s="464">
        <v>7483.5156200000001</v>
      </c>
      <c r="AE1092" s="465">
        <v>299.37788999999998</v>
      </c>
      <c r="AF1092" s="86">
        <f>IF(verze!$E$1="CZK",AD1092,IF(verze!$E$1="SK",AE1092,""))</f>
        <v>299.37788999999998</v>
      </c>
    </row>
    <row r="1093" spans="27:32" ht="15">
      <c r="AA1093" s="463" t="s">
        <v>4513</v>
      </c>
      <c r="AB1093" s="462" t="s">
        <v>4514</v>
      </c>
      <c r="AC1093" s="462" t="s">
        <v>4515</v>
      </c>
      <c r="AD1093" s="464">
        <v>832.45542</v>
      </c>
      <c r="AE1093" s="465">
        <v>33.302370000000003</v>
      </c>
      <c r="AF1093" s="86">
        <f>IF(verze!$E$1="CZK",AD1093,IF(verze!$E$1="SK",AE1093,""))</f>
        <v>33.302370000000003</v>
      </c>
    </row>
    <row r="1094" spans="27:32" ht="15">
      <c r="AA1094" s="463" t="s">
        <v>4516</v>
      </c>
      <c r="AB1094" s="462" t="s">
        <v>4517</v>
      </c>
      <c r="AC1094" s="462" t="s">
        <v>4518</v>
      </c>
      <c r="AD1094" s="464">
        <v>1.86907</v>
      </c>
      <c r="AE1094" s="465">
        <v>7.4770000000000003E-2</v>
      </c>
      <c r="AF1094" s="86">
        <f>IF(verze!$E$1="CZK",AD1094,IF(verze!$E$1="SK",AE1094,""))</f>
        <v>7.4770000000000003E-2</v>
      </c>
    </row>
    <row r="1095" spans="27:32" ht="15">
      <c r="AA1095" s="463" t="s">
        <v>4519</v>
      </c>
      <c r="AB1095" s="462" t="s">
        <v>4520</v>
      </c>
      <c r="AC1095" s="462" t="s">
        <v>4521</v>
      </c>
      <c r="AD1095" s="464">
        <v>4422.2967200000003</v>
      </c>
      <c r="AE1095" s="465">
        <v>178.10775000000001</v>
      </c>
      <c r="AF1095" s="86">
        <f>IF(verze!$E$1="CZK",AD1095,IF(verze!$E$1="SK",AE1095,""))</f>
        <v>178.10775000000001</v>
      </c>
    </row>
    <row r="1096" spans="27:32" ht="15">
      <c r="AA1096" s="463" t="s">
        <v>4519</v>
      </c>
      <c r="AB1096" s="462" t="s">
        <v>4522</v>
      </c>
      <c r="AC1096" s="462" t="s">
        <v>4523</v>
      </c>
      <c r="AD1096" s="464">
        <v>1768.9155000000001</v>
      </c>
      <c r="AE1096" s="465">
        <v>71.243099999999998</v>
      </c>
      <c r="AF1096" s="86">
        <f>IF(verze!$E$1="CZK",AD1096,IF(verze!$E$1="SK",AE1096,""))</f>
        <v>71.243099999999998</v>
      </c>
    </row>
    <row r="1097" spans="27:32" ht="15">
      <c r="AA1097" s="463" t="s">
        <v>4519</v>
      </c>
      <c r="AB1097" s="462" t="s">
        <v>4524</v>
      </c>
      <c r="AC1097" s="462" t="s">
        <v>4525</v>
      </c>
      <c r="AD1097" s="464">
        <v>2653.37842</v>
      </c>
      <c r="AE1097" s="465">
        <v>106.86465</v>
      </c>
      <c r="AF1097" s="86">
        <f>IF(verze!$E$1="CZK",AD1097,IF(verze!$E$1="SK",AE1097,""))</f>
        <v>106.86465</v>
      </c>
    </row>
    <row r="1098" spans="27:32" ht="15">
      <c r="AA1098" s="463" t="s">
        <v>4526</v>
      </c>
      <c r="AB1098" s="462" t="s">
        <v>4527</v>
      </c>
      <c r="AC1098" s="462" t="s">
        <v>4528</v>
      </c>
      <c r="AD1098" s="464">
        <v>3422.1236199999998</v>
      </c>
      <c r="AE1098" s="465">
        <v>137.82585</v>
      </c>
      <c r="AF1098" s="86">
        <f>IF(verze!$E$1="CZK",AD1098,IF(verze!$E$1="SK",AE1098,""))</f>
        <v>137.82585</v>
      </c>
    </row>
    <row r="1099" spans="27:32" ht="15">
      <c r="AA1099" s="463" t="s">
        <v>4529</v>
      </c>
      <c r="AB1099" s="462" t="s">
        <v>4530</v>
      </c>
      <c r="AC1099" s="462" t="s">
        <v>4531</v>
      </c>
      <c r="AD1099" s="464">
        <v>992.39833999999996</v>
      </c>
      <c r="AE1099" s="465">
        <v>42.924860000000002</v>
      </c>
      <c r="AF1099" s="86">
        <f>IF(verze!$E$1="CZK",AD1099,IF(verze!$E$1="SK",AE1099,""))</f>
        <v>42.924860000000002</v>
      </c>
    </row>
    <row r="1100" spans="27:32" ht="15">
      <c r="AA1100" s="463" t="s">
        <v>4526</v>
      </c>
      <c r="AB1100" s="462" t="s">
        <v>4532</v>
      </c>
      <c r="AC1100" s="462" t="s">
        <v>4533</v>
      </c>
      <c r="AD1100" s="464">
        <v>1368.8505600000001</v>
      </c>
      <c r="AE1100" s="465">
        <v>55.130339999999997</v>
      </c>
      <c r="AF1100" s="86">
        <f>IF(verze!$E$1="CZK",AD1100,IF(verze!$E$1="SK",AE1100,""))</f>
        <v>55.130339999999997</v>
      </c>
    </row>
    <row r="1101" spans="27:32" ht="15">
      <c r="AA1101" s="463" t="s">
        <v>4526</v>
      </c>
      <c r="AB1101" s="462" t="s">
        <v>4534</v>
      </c>
      <c r="AC1101" s="462" t="s">
        <v>4535</v>
      </c>
      <c r="AD1101" s="464">
        <v>2053.2758399999998</v>
      </c>
      <c r="AE1101" s="465">
        <v>82.695509999999999</v>
      </c>
      <c r="AF1101" s="86">
        <f>IF(verze!$E$1="CZK",AD1101,IF(verze!$E$1="SK",AE1101,""))</f>
        <v>82.695509999999999</v>
      </c>
    </row>
    <row r="1102" spans="27:32" ht="15">
      <c r="AA1102" s="463" t="s">
        <v>4536</v>
      </c>
      <c r="AB1102" s="462" t="s">
        <v>4537</v>
      </c>
      <c r="AC1102" s="462" t="s">
        <v>4538</v>
      </c>
      <c r="AD1102" s="464">
        <v>207.38524000000001</v>
      </c>
      <c r="AE1102" s="465">
        <v>8.3524600000000007</v>
      </c>
      <c r="AF1102" s="86">
        <f>IF(verze!$E$1="CZK",AD1102,IF(verze!$E$1="SK",AE1102,""))</f>
        <v>8.3524600000000007</v>
      </c>
    </row>
    <row r="1103" spans="27:32" ht="15">
      <c r="AA1103" s="463" t="s">
        <v>4539</v>
      </c>
      <c r="AB1103" s="462" t="s">
        <v>4540</v>
      </c>
      <c r="AC1103" s="462" t="s">
        <v>4541</v>
      </c>
      <c r="AD1103" s="464">
        <v>717.78088000000002</v>
      </c>
      <c r="AE1103" s="465">
        <v>28.9086</v>
      </c>
      <c r="AF1103" s="86">
        <f>IF(verze!$E$1="CZK",AD1103,IF(verze!$E$1="SK",AE1103,""))</f>
        <v>28.9086</v>
      </c>
    </row>
    <row r="1104" spans="27:32" ht="15">
      <c r="AA1104" s="463" t="s">
        <v>4539</v>
      </c>
      <c r="AB1104" s="462" t="s">
        <v>4542</v>
      </c>
      <c r="AC1104" s="462" t="s">
        <v>4543</v>
      </c>
      <c r="AD1104" s="464">
        <v>287.11077999999998</v>
      </c>
      <c r="AE1104" s="465">
        <v>11.56344</v>
      </c>
      <c r="AF1104" s="86">
        <f>IF(verze!$E$1="CZK",AD1104,IF(verze!$E$1="SK",AE1104,""))</f>
        <v>11.56344</v>
      </c>
    </row>
    <row r="1105" spans="27:32" ht="15">
      <c r="AA1105" s="463" t="s">
        <v>4539</v>
      </c>
      <c r="AB1105" s="462" t="s">
        <v>4544</v>
      </c>
      <c r="AC1105" s="462" t="s">
        <v>4545</v>
      </c>
      <c r="AD1105" s="464">
        <v>430.67133999999999</v>
      </c>
      <c r="AE1105" s="465">
        <v>17.345179999999999</v>
      </c>
      <c r="AF1105" s="86">
        <f>IF(verze!$E$1="CZK",AD1105,IF(verze!$E$1="SK",AE1105,""))</f>
        <v>17.345179999999999</v>
      </c>
    </row>
    <row r="1106" spans="27:32" ht="15">
      <c r="AA1106" s="463" t="s">
        <v>4546</v>
      </c>
      <c r="AB1106" s="462" t="s">
        <v>4547</v>
      </c>
      <c r="AC1106" s="462" t="s">
        <v>4548</v>
      </c>
      <c r="AD1106" s="464">
        <v>579.64396999999997</v>
      </c>
      <c r="AE1106" s="465">
        <v>23.345109999999998</v>
      </c>
      <c r="AF1106" s="86">
        <f>IF(verze!$E$1="CZK",AD1106,IF(verze!$E$1="SK",AE1106,""))</f>
        <v>23.345109999999998</v>
      </c>
    </row>
    <row r="1107" spans="27:32" ht="15">
      <c r="AA1107" s="463" t="s">
        <v>4546</v>
      </c>
      <c r="AB1107" s="462" t="s">
        <v>4549</v>
      </c>
      <c r="AC1107" s="462" t="s">
        <v>4550</v>
      </c>
      <c r="AD1107" s="464">
        <v>231.85382000000001</v>
      </c>
      <c r="AE1107" s="465">
        <v>9.3380399999999995</v>
      </c>
      <c r="AF1107" s="86">
        <f>IF(verze!$E$1="CZK",AD1107,IF(verze!$E$1="SK",AE1107,""))</f>
        <v>9.3380399999999995</v>
      </c>
    </row>
    <row r="1108" spans="27:32" ht="15">
      <c r="AA1108" s="463" t="s">
        <v>4546</v>
      </c>
      <c r="AB1108" s="462" t="s">
        <v>4551</v>
      </c>
      <c r="AC1108" s="462" t="s">
        <v>4552</v>
      </c>
      <c r="AD1108" s="464">
        <v>347.78590000000003</v>
      </c>
      <c r="AE1108" s="465">
        <v>14.007070000000001</v>
      </c>
      <c r="AF1108" s="86">
        <f>IF(verze!$E$1="CZK",AD1108,IF(verze!$E$1="SK",AE1108,""))</f>
        <v>14.007070000000001</v>
      </c>
    </row>
    <row r="1109" spans="27:32" ht="15">
      <c r="AA1109" s="463" t="s">
        <v>4553</v>
      </c>
      <c r="AB1109" s="462" t="s">
        <v>4554</v>
      </c>
      <c r="AC1109" s="462" t="s">
        <v>4555</v>
      </c>
      <c r="AD1109" s="464">
        <v>76.156170000000003</v>
      </c>
      <c r="AE1109" s="465">
        <v>3.0671900000000001</v>
      </c>
      <c r="AF1109" s="86">
        <f>IF(verze!$E$1="CZK",AD1109,IF(verze!$E$1="SK",AE1109,""))</f>
        <v>3.0671900000000001</v>
      </c>
    </row>
    <row r="1110" spans="27:32" ht="15">
      <c r="AA1110" s="463" t="s">
        <v>4556</v>
      </c>
      <c r="AB1110" s="462" t="s">
        <v>4557</v>
      </c>
      <c r="AC1110" s="462" t="s">
        <v>4558</v>
      </c>
      <c r="AD1110" s="464">
        <v>2963.6163799999999</v>
      </c>
      <c r="AE1110" s="465">
        <v>119.35946</v>
      </c>
      <c r="AF1110" s="86">
        <f>IF(verze!$E$1="CZK",AD1110,IF(verze!$E$1="SK",AE1110,""))</f>
        <v>119.35946</v>
      </c>
    </row>
    <row r="1111" spans="27:32" ht="15">
      <c r="AA1111" s="463" t="s">
        <v>4556</v>
      </c>
      <c r="AB1111" s="462" t="s">
        <v>4559</v>
      </c>
      <c r="AC1111" s="462" t="s">
        <v>4560</v>
      </c>
      <c r="AD1111" s="464">
        <v>1185.4499800000001</v>
      </c>
      <c r="AE1111" s="465">
        <v>47.743789999999997</v>
      </c>
      <c r="AF1111" s="86">
        <f>IF(verze!$E$1="CZK",AD1111,IF(verze!$E$1="SK",AE1111,""))</f>
        <v>47.743789999999997</v>
      </c>
    </row>
    <row r="1112" spans="27:32" ht="15">
      <c r="AA1112" s="463" t="s">
        <v>4556</v>
      </c>
      <c r="AB1112" s="462" t="s">
        <v>4561</v>
      </c>
      <c r="AC1112" s="462" t="s">
        <v>4562</v>
      </c>
      <c r="AD1112" s="464">
        <v>1778.1697999999999</v>
      </c>
      <c r="AE1112" s="465">
        <v>71.615669999999994</v>
      </c>
      <c r="AF1112" s="86">
        <f>IF(verze!$E$1="CZK",AD1112,IF(verze!$E$1="SK",AE1112,""))</f>
        <v>71.615669999999994</v>
      </c>
    </row>
    <row r="1113" spans="27:32" ht="15">
      <c r="AA1113" s="463" t="s">
        <v>4563</v>
      </c>
      <c r="AB1113" s="462" t="s">
        <v>4564</v>
      </c>
      <c r="AC1113" s="462" t="s">
        <v>4565</v>
      </c>
      <c r="AD1113" s="464">
        <v>1938.87895</v>
      </c>
      <c r="AE1113" s="465">
        <v>78.088229999999996</v>
      </c>
      <c r="AF1113" s="86">
        <f>IF(verze!$E$1="CZK",AD1113,IF(verze!$E$1="SK",AE1113,""))</f>
        <v>78.088229999999996</v>
      </c>
    </row>
    <row r="1114" spans="27:32" ht="15">
      <c r="AA1114" s="463" t="s">
        <v>4563</v>
      </c>
      <c r="AB1114" s="462" t="s">
        <v>4566</v>
      </c>
      <c r="AC1114" s="462" t="s">
        <v>4567</v>
      </c>
      <c r="AD1114" s="464">
        <v>775.55169999999998</v>
      </c>
      <c r="AE1114" s="465">
        <v>31.235299999999999</v>
      </c>
      <c r="AF1114" s="86">
        <f>IF(verze!$E$1="CZK",AD1114,IF(verze!$E$1="SK",AE1114,""))</f>
        <v>31.235299999999999</v>
      </c>
    </row>
    <row r="1115" spans="27:32" ht="15">
      <c r="AA1115" s="463" t="s">
        <v>4563</v>
      </c>
      <c r="AB1115" s="462" t="s">
        <v>4568</v>
      </c>
      <c r="AC1115" s="462" t="s">
        <v>4569</v>
      </c>
      <c r="AD1115" s="464">
        <v>1163.3223800000001</v>
      </c>
      <c r="AE1115" s="465">
        <v>46.852939999999997</v>
      </c>
      <c r="AF1115" s="86">
        <f>IF(verze!$E$1="CZK",AD1115,IF(verze!$E$1="SK",AE1115,""))</f>
        <v>46.852939999999997</v>
      </c>
    </row>
    <row r="1116" spans="27:32" ht="15">
      <c r="AA1116" s="463" t="s">
        <v>4570</v>
      </c>
      <c r="AB1116" s="462" t="s">
        <v>4571</v>
      </c>
      <c r="AC1116" s="462" t="s">
        <v>4572</v>
      </c>
      <c r="AD1116" s="464">
        <v>1898.4264800000001</v>
      </c>
      <c r="AE1116" s="465">
        <v>76.459059999999994</v>
      </c>
      <c r="AF1116" s="86">
        <f>IF(verze!$E$1="CZK",AD1116,IF(verze!$E$1="SK",AE1116,""))</f>
        <v>76.459059999999994</v>
      </c>
    </row>
    <row r="1117" spans="27:32" ht="15">
      <c r="AA1117" s="463" t="s">
        <v>4570</v>
      </c>
      <c r="AB1117" s="462" t="s">
        <v>4573</v>
      </c>
      <c r="AC1117" s="462" t="s">
        <v>4574</v>
      </c>
      <c r="AD1117" s="464">
        <v>759.36959999999999</v>
      </c>
      <c r="AE1117" s="465">
        <v>30.58362</v>
      </c>
      <c r="AF1117" s="86">
        <f>IF(verze!$E$1="CZK",AD1117,IF(verze!$E$1="SK",AE1117,""))</f>
        <v>30.58362</v>
      </c>
    </row>
    <row r="1118" spans="27:32" ht="15">
      <c r="AA1118" s="463" t="s">
        <v>4570</v>
      </c>
      <c r="AB1118" s="462" t="s">
        <v>4575</v>
      </c>
      <c r="AC1118" s="462" t="s">
        <v>4576</v>
      </c>
      <c r="AD1118" s="464">
        <v>1139.0558900000001</v>
      </c>
      <c r="AE1118" s="465">
        <v>45.875419999999998</v>
      </c>
      <c r="AF1118" s="86">
        <f>IF(verze!$E$1="CZK",AD1118,IF(verze!$E$1="SK",AE1118,""))</f>
        <v>45.875419999999998</v>
      </c>
    </row>
    <row r="1119" spans="27:32" ht="15">
      <c r="AA1119" s="463" t="s">
        <v>4577</v>
      </c>
      <c r="AB1119" s="462" t="s">
        <v>4578</v>
      </c>
      <c r="AC1119" s="462" t="s">
        <v>4579</v>
      </c>
      <c r="AD1119" s="464">
        <v>4344.6039199999996</v>
      </c>
      <c r="AE1119" s="465">
        <v>174.97868</v>
      </c>
      <c r="AF1119" s="86">
        <f>IF(verze!$E$1="CZK",AD1119,IF(verze!$E$1="SK",AE1119,""))</f>
        <v>174.97868</v>
      </c>
    </row>
    <row r="1120" spans="27:32" ht="15">
      <c r="AA1120" s="463" t="s">
        <v>4577</v>
      </c>
      <c r="AB1120" s="462" t="s">
        <v>4580</v>
      </c>
      <c r="AC1120" s="462" t="s">
        <v>4581</v>
      </c>
      <c r="AD1120" s="464">
        <v>1737.8438000000001</v>
      </c>
      <c r="AE1120" s="465">
        <v>104.9872</v>
      </c>
      <c r="AF1120" s="86">
        <f>IF(verze!$E$1="CZK",AD1120,IF(verze!$E$1="SK",AE1120,""))</f>
        <v>104.9872</v>
      </c>
    </row>
    <row r="1121" spans="27:32" ht="15">
      <c r="AA1121" s="463" t="s">
        <v>4577</v>
      </c>
      <c r="AB1121" s="462" t="s">
        <v>4582</v>
      </c>
      <c r="AC1121" s="462" t="s">
        <v>4583</v>
      </c>
      <c r="AD1121" s="464">
        <v>2606.7656999999999</v>
      </c>
      <c r="AE1121" s="465">
        <v>104.9872</v>
      </c>
      <c r="AF1121" s="86">
        <f>IF(verze!$E$1="CZK",AD1121,IF(verze!$E$1="SK",AE1121,""))</f>
        <v>104.9872</v>
      </c>
    </row>
    <row r="1122" spans="27:32" ht="15">
      <c r="AA1122" s="463" t="s">
        <v>4584</v>
      </c>
      <c r="AB1122" s="462" t="s">
        <v>4585</v>
      </c>
      <c r="AC1122" s="462" t="s">
        <v>4586</v>
      </c>
      <c r="AD1122" s="464">
        <v>74.013630000000006</v>
      </c>
      <c r="AE1122" s="465">
        <v>2.9809299999999999</v>
      </c>
      <c r="AF1122" s="86">
        <f>IF(verze!$E$1="CZK",AD1122,IF(verze!$E$1="SK",AE1122,""))</f>
        <v>2.9809299999999999</v>
      </c>
    </row>
    <row r="1123" spans="27:32" ht="15">
      <c r="AA1123" s="463" t="s">
        <v>4587</v>
      </c>
      <c r="AB1123" s="462" t="s">
        <v>4588</v>
      </c>
      <c r="AC1123" s="462" t="s">
        <v>4589</v>
      </c>
      <c r="AD1123" s="464">
        <v>281.05961000000002</v>
      </c>
      <c r="AE1123" s="465">
        <v>11.319649999999999</v>
      </c>
      <c r="AF1123" s="86">
        <f>IF(verze!$E$1="CZK",AD1123,IF(verze!$E$1="SK",AE1123,""))</f>
        <v>11.319649999999999</v>
      </c>
    </row>
    <row r="1124" spans="27:32" ht="15">
      <c r="AA1124" s="463" t="s">
        <v>4590</v>
      </c>
      <c r="AB1124" s="462" t="s">
        <v>4591</v>
      </c>
      <c r="AC1124" s="462" t="s">
        <v>4592</v>
      </c>
      <c r="AD1124" s="464">
        <v>432.81596999999999</v>
      </c>
      <c r="AE1124" s="465">
        <v>17.431650000000001</v>
      </c>
      <c r="AF1124" s="86">
        <f>IF(verze!$E$1="CZK",AD1124,IF(verze!$E$1="SK",AE1124,""))</f>
        <v>17.431650000000001</v>
      </c>
    </row>
    <row r="1125" spans="27:32" ht="15">
      <c r="AA1125" s="463" t="s">
        <v>4593</v>
      </c>
      <c r="AB1125" s="462" t="s">
        <v>4594</v>
      </c>
      <c r="AC1125" s="462" t="s">
        <v>4595</v>
      </c>
      <c r="AD1125" s="464">
        <v>1131.2174299999999</v>
      </c>
      <c r="AE1125" s="465">
        <v>45.25432</v>
      </c>
      <c r="AF1125" s="86">
        <f>IF(verze!$E$1="CZK",AD1125,IF(verze!$E$1="SK",AE1125,""))</f>
        <v>45.25432</v>
      </c>
    </row>
    <row r="1126" spans="27:32" ht="15">
      <c r="AA1126" s="463" t="s">
        <v>4596</v>
      </c>
      <c r="AB1126" s="462" t="s">
        <v>4597</v>
      </c>
      <c r="AC1126" s="462" t="s">
        <v>4598</v>
      </c>
      <c r="AD1126" s="464">
        <v>1207.73388</v>
      </c>
      <c r="AE1126" s="465">
        <v>48.315379999999998</v>
      </c>
      <c r="AF1126" s="86">
        <f>IF(verze!$E$1="CZK",AD1126,IF(verze!$E$1="SK",AE1126,""))</f>
        <v>48.315379999999998</v>
      </c>
    </row>
    <row r="1127" spans="27:32" ht="15">
      <c r="AA1127" s="463" t="s">
        <v>4599</v>
      </c>
      <c r="AB1127" s="462" t="s">
        <v>4600</v>
      </c>
      <c r="AC1127" s="462" t="s">
        <v>4601</v>
      </c>
      <c r="AD1127" s="464">
        <v>3285.0026200000002</v>
      </c>
      <c r="AE1127" s="465">
        <v>131.41646</v>
      </c>
      <c r="AF1127" s="86">
        <f>IF(verze!$E$1="CZK",AD1127,IF(verze!$E$1="SK",AE1127,""))</f>
        <v>131.41646</v>
      </c>
    </row>
    <row r="1128" spans="27:32" ht="15">
      <c r="AA1128" s="463" t="s">
        <v>4602</v>
      </c>
      <c r="AB1128" s="462" t="s">
        <v>4603</v>
      </c>
      <c r="AC1128" s="462" t="s">
        <v>4604</v>
      </c>
      <c r="AD1128" s="464">
        <v>2507.0719300000001</v>
      </c>
      <c r="AE1128" s="465">
        <v>100.29536</v>
      </c>
      <c r="AF1128" s="86">
        <f>IF(verze!$E$1="CZK",AD1128,IF(verze!$E$1="SK",AE1128,""))</f>
        <v>100.29536</v>
      </c>
    </row>
    <row r="1129" spans="27:32" ht="15">
      <c r="AA1129" s="463" t="s">
        <v>4605</v>
      </c>
      <c r="AB1129" s="462" t="s">
        <v>4606</v>
      </c>
      <c r="AC1129" s="462" t="s">
        <v>4607</v>
      </c>
      <c r="AD1129" s="464">
        <v>1005.02518</v>
      </c>
      <c r="AE1129" s="465">
        <v>40.206020000000002</v>
      </c>
      <c r="AF1129" s="86">
        <f>IF(verze!$E$1="CZK",AD1129,IF(verze!$E$1="SK",AE1129,""))</f>
        <v>40.206020000000002</v>
      </c>
    </row>
    <row r="1130" spans="27:32" ht="15">
      <c r="AA1130" s="463" t="s">
        <v>4608</v>
      </c>
      <c r="AB1130" s="462" t="s">
        <v>4609</v>
      </c>
      <c r="AC1130" s="462" t="s">
        <v>4610</v>
      </c>
      <c r="AD1130" s="464">
        <v>71.539510000000007</v>
      </c>
      <c r="AE1130" s="465">
        <v>2.8619300000000001</v>
      </c>
      <c r="AF1130" s="86">
        <f>IF(verze!$E$1="CZK",AD1130,IF(verze!$E$1="SK",AE1130,""))</f>
        <v>2.8619300000000001</v>
      </c>
    </row>
    <row r="1131" spans="27:32" ht="15">
      <c r="AA1131" s="463" t="s">
        <v>4611</v>
      </c>
      <c r="AB1131" s="462" t="s">
        <v>4612</v>
      </c>
      <c r="AC1131" s="462" t="s">
        <v>4613</v>
      </c>
      <c r="AD1131" s="464">
        <v>71.539510000000007</v>
      </c>
      <c r="AE1131" s="465">
        <v>2.6672199999999999</v>
      </c>
      <c r="AF1131" s="86">
        <f>IF(verze!$E$1="CZK",AD1131,IF(verze!$E$1="SK",AE1131,""))</f>
        <v>2.6672199999999999</v>
      </c>
    </row>
    <row r="1132" spans="27:32" ht="15">
      <c r="AA1132" s="463" t="s">
        <v>4614</v>
      </c>
      <c r="AB1132" s="462" t="s">
        <v>4615</v>
      </c>
      <c r="AC1132" s="462" t="s">
        <v>4616</v>
      </c>
      <c r="AD1132" s="464">
        <v>1044.93553</v>
      </c>
      <c r="AE1132" s="465">
        <v>41.802630000000001</v>
      </c>
      <c r="AF1132" s="86">
        <f>IF(verze!$E$1="CZK",AD1132,IF(verze!$E$1="SK",AE1132,""))</f>
        <v>41.802630000000001</v>
      </c>
    </row>
    <row r="1133" spans="27:32" ht="15">
      <c r="AA1133" s="463" t="s">
        <v>4617</v>
      </c>
      <c r="AB1133" s="462" t="s">
        <v>4618</v>
      </c>
      <c r="AC1133" s="462" t="s">
        <v>4619</v>
      </c>
      <c r="AD1133" s="464">
        <v>1087.52431</v>
      </c>
      <c r="AE1133" s="465">
        <v>0</v>
      </c>
      <c r="AF1133" s="86">
        <f>IF(verze!$E$1="CZK",AD1133,IF(verze!$E$1="SK",AE1133,""))</f>
        <v>0</v>
      </c>
    </row>
    <row r="1134" spans="27:32" ht="15">
      <c r="AA1134" s="463" t="s">
        <v>4620</v>
      </c>
      <c r="AB1134" s="462" t="s">
        <v>4621</v>
      </c>
      <c r="AC1134" s="462" t="s">
        <v>4622</v>
      </c>
      <c r="AD1134" s="464">
        <v>8394.2006500000007</v>
      </c>
      <c r="AE1134" s="465">
        <v>335.80982</v>
      </c>
      <c r="AF1134" s="86">
        <f>IF(verze!$E$1="CZK",AD1134,IF(verze!$E$1="SK",AE1134,""))</f>
        <v>335.80982</v>
      </c>
    </row>
    <row r="1135" spans="27:32" ht="15">
      <c r="AA1135" s="463" t="s">
        <v>4623</v>
      </c>
      <c r="AB1135" s="462" t="s">
        <v>4624</v>
      </c>
      <c r="AC1135" s="462" t="s">
        <v>4625</v>
      </c>
      <c r="AD1135" s="464">
        <v>286.0609</v>
      </c>
      <c r="AE1135" s="465">
        <v>11.443860000000001</v>
      </c>
      <c r="AF1135" s="86">
        <f>IF(verze!$E$1="CZK",AD1135,IF(verze!$E$1="SK",AE1135,""))</f>
        <v>11.443860000000001</v>
      </c>
    </row>
    <row r="1136" spans="27:32" ht="15">
      <c r="AA1136" s="463" t="s">
        <v>4626</v>
      </c>
      <c r="AB1136" s="462" t="s">
        <v>4627</v>
      </c>
      <c r="AC1136" s="462" t="s">
        <v>4628</v>
      </c>
      <c r="AD1136" s="464">
        <v>324.95274999999998</v>
      </c>
      <c r="AE1136" s="465">
        <v>12.99973</v>
      </c>
      <c r="AF1136" s="86">
        <f>IF(verze!$E$1="CZK",AD1136,IF(verze!$E$1="SK",AE1136,""))</f>
        <v>12.99973</v>
      </c>
    </row>
    <row r="1137" spans="27:32" ht="15">
      <c r="AA1137" s="463" t="s">
        <v>4629</v>
      </c>
      <c r="AB1137" s="462" t="s">
        <v>4630</v>
      </c>
      <c r="AC1137" s="462" t="s">
        <v>4631</v>
      </c>
      <c r="AD1137" s="464">
        <v>5853.3887199999999</v>
      </c>
      <c r="AE1137" s="465">
        <v>234.16468</v>
      </c>
      <c r="AF1137" s="86">
        <f>IF(verze!$E$1="CZK",AD1137,IF(verze!$E$1="SK",AE1137,""))</f>
        <v>234.16468</v>
      </c>
    </row>
    <row r="1138" spans="27:32" ht="15">
      <c r="AA1138" s="463" t="s">
        <v>4632</v>
      </c>
      <c r="AB1138" s="462" t="s">
        <v>4633</v>
      </c>
      <c r="AC1138" s="462" t="s">
        <v>4634</v>
      </c>
      <c r="AD1138" s="464">
        <v>143.10799</v>
      </c>
      <c r="AE1138" s="465">
        <v>5.7250399999999999</v>
      </c>
      <c r="AF1138" s="86">
        <f>IF(verze!$E$1="CZK",AD1138,IF(verze!$E$1="SK",AE1138,""))</f>
        <v>5.7250399999999999</v>
      </c>
    </row>
    <row r="1139" spans="27:32" ht="15">
      <c r="AA1139" s="463" t="s">
        <v>4635</v>
      </c>
      <c r="AB1139" s="462" t="s">
        <v>4636</v>
      </c>
      <c r="AC1139" s="462" t="s">
        <v>4637</v>
      </c>
      <c r="AD1139" s="464">
        <v>64687.775240000003</v>
      </c>
      <c r="AE1139" s="465">
        <v>2587.83302</v>
      </c>
      <c r="AF1139" s="86">
        <f>IF(verze!$E$1="CZK",AD1139,IF(verze!$E$1="SK",AE1139,""))</f>
        <v>2587.83302</v>
      </c>
    </row>
    <row r="1140" spans="27:32" ht="15">
      <c r="AA1140" s="463" t="s">
        <v>4638</v>
      </c>
      <c r="AB1140" s="462" t="s">
        <v>4639</v>
      </c>
      <c r="AC1140" s="462" t="s">
        <v>4640</v>
      </c>
      <c r="AD1140" s="464">
        <v>64729.279069999997</v>
      </c>
      <c r="AE1140" s="465">
        <v>0</v>
      </c>
      <c r="AF1140" s="86">
        <f>IF(verze!$E$1="CZK",AD1140,IF(verze!$E$1="SK",AE1140,""))</f>
        <v>0</v>
      </c>
    </row>
    <row r="1141" spans="27:32" ht="15">
      <c r="AA1141" s="463" t="s">
        <v>4641</v>
      </c>
      <c r="AB1141" s="462" t="s">
        <v>4642</v>
      </c>
      <c r="AC1141" s="462" t="s">
        <v>4643</v>
      </c>
      <c r="AD1141" s="464">
        <v>4097.5682999999999</v>
      </c>
      <c r="AE1141" s="465">
        <v>163.92312999999999</v>
      </c>
      <c r="AF1141" s="86">
        <f>IF(verze!$E$1="CZK",AD1141,IF(verze!$E$1="SK",AE1141,""))</f>
        <v>163.92312999999999</v>
      </c>
    </row>
    <row r="1142" spans="27:32" ht="15">
      <c r="AA1142" s="463" t="s">
        <v>4644</v>
      </c>
      <c r="AB1142" s="462" t="s">
        <v>4645</v>
      </c>
      <c r="AC1142" s="462" t="s">
        <v>4646</v>
      </c>
      <c r="AD1142" s="464">
        <v>93332.830960000007</v>
      </c>
      <c r="AE1142" s="465">
        <v>3733.7778499999999</v>
      </c>
      <c r="AF1142" s="86">
        <f>IF(verze!$E$1="CZK",AD1142,IF(verze!$E$1="SK",AE1142,""))</f>
        <v>3733.7778499999999</v>
      </c>
    </row>
    <row r="1143" spans="27:32" ht="15">
      <c r="AA1143" s="463" t="s">
        <v>4647</v>
      </c>
      <c r="AB1143" s="462" t="s">
        <v>4648</v>
      </c>
      <c r="AC1143" s="462" t="s">
        <v>4649</v>
      </c>
      <c r="AD1143" s="464">
        <v>99.115719999999996</v>
      </c>
      <c r="AE1143" s="465">
        <v>4.7678200000000004</v>
      </c>
      <c r="AF1143" s="86">
        <f>IF(verze!$E$1="CZK",AD1143,IF(verze!$E$1="SK",AE1143,""))</f>
        <v>4.7678200000000004</v>
      </c>
    </row>
    <row r="1144" spans="27:32" ht="15">
      <c r="AA1144" s="463" t="s">
        <v>4650</v>
      </c>
      <c r="AB1144" s="462" t="s">
        <v>4651</v>
      </c>
      <c r="AC1144" s="462" t="s">
        <v>4652</v>
      </c>
      <c r="AD1144" s="464">
        <v>83.212299999999999</v>
      </c>
      <c r="AE1144" s="465">
        <v>4.0028100000000002</v>
      </c>
      <c r="AF1144" s="86">
        <f>IF(verze!$E$1="CZK",AD1144,IF(verze!$E$1="SK",AE1144,""))</f>
        <v>4.0028100000000002</v>
      </c>
    </row>
    <row r="1145" spans="27:32" ht="15">
      <c r="AA1145" s="463" t="s">
        <v>4653</v>
      </c>
      <c r="AB1145" s="462" t="s">
        <v>4654</v>
      </c>
      <c r="AC1145" s="462" t="s">
        <v>4655</v>
      </c>
      <c r="AD1145" s="464">
        <v>86.027670000000001</v>
      </c>
      <c r="AE1145" s="465">
        <v>4.1382399999999997</v>
      </c>
      <c r="AF1145" s="86">
        <f>IF(verze!$E$1="CZK",AD1145,IF(verze!$E$1="SK",AE1145,""))</f>
        <v>4.1382399999999997</v>
      </c>
    </row>
    <row r="1146" spans="27:32" ht="15">
      <c r="AA1146" s="463" t="s">
        <v>4656</v>
      </c>
      <c r="AB1146" s="462" t="s">
        <v>4657</v>
      </c>
      <c r="AC1146" s="462" t="s">
        <v>4658</v>
      </c>
      <c r="AD1146" s="464">
        <v>83.212299999999999</v>
      </c>
      <c r="AE1146" s="465">
        <v>4.0028100000000002</v>
      </c>
      <c r="AF1146" s="86">
        <f>IF(verze!$E$1="CZK",AD1146,IF(verze!$E$1="SK",AE1146,""))</f>
        <v>4.0028100000000002</v>
      </c>
    </row>
    <row r="1147" spans="27:32" ht="15">
      <c r="AA1147" s="463" t="s">
        <v>4659</v>
      </c>
      <c r="AB1147" s="462" t="s">
        <v>4660</v>
      </c>
      <c r="AC1147" s="462" t="s">
        <v>4661</v>
      </c>
      <c r="AD1147" s="464">
        <v>83.212299999999999</v>
      </c>
      <c r="AE1147" s="465">
        <v>4.0028100000000002</v>
      </c>
      <c r="AF1147" s="86">
        <f>IF(verze!$E$1="CZK",AD1147,IF(verze!$E$1="SK",AE1147,""))</f>
        <v>4.0028100000000002</v>
      </c>
    </row>
    <row r="1148" spans="27:32" ht="15">
      <c r="AA1148" s="463" t="s">
        <v>4662</v>
      </c>
      <c r="AB1148" s="462" t="s">
        <v>4663</v>
      </c>
      <c r="AC1148" s="462" t="s">
        <v>4664</v>
      </c>
      <c r="AD1148" s="464">
        <v>83.212299999999999</v>
      </c>
      <c r="AE1148" s="465">
        <v>4.0028100000000002</v>
      </c>
      <c r="AF1148" s="86">
        <f>IF(verze!$E$1="CZK",AD1148,IF(verze!$E$1="SK",AE1148,""))</f>
        <v>4.0028100000000002</v>
      </c>
    </row>
    <row r="1149" spans="27:32" ht="15">
      <c r="AA1149" s="463" t="s">
        <v>4665</v>
      </c>
      <c r="AB1149" s="462" t="s">
        <v>4666</v>
      </c>
      <c r="AC1149" s="462" t="s">
        <v>4667</v>
      </c>
      <c r="AD1149" s="464">
        <v>86.027670000000001</v>
      </c>
      <c r="AE1149" s="465">
        <v>4.1382399999999997</v>
      </c>
      <c r="AF1149" s="86">
        <f>IF(verze!$E$1="CZK",AD1149,IF(verze!$E$1="SK",AE1149,""))</f>
        <v>4.1382399999999997</v>
      </c>
    </row>
    <row r="1150" spans="27:32" ht="15">
      <c r="AA1150" s="463" t="s">
        <v>4668</v>
      </c>
      <c r="AB1150" s="462" t="s">
        <v>4669</v>
      </c>
      <c r="AC1150" s="462" t="s">
        <v>4670</v>
      </c>
      <c r="AD1150" s="464">
        <v>86.896029999999996</v>
      </c>
      <c r="AE1150" s="465">
        <v>4.1800300000000004</v>
      </c>
      <c r="AF1150" s="86">
        <f>IF(verze!$E$1="CZK",AD1150,IF(verze!$E$1="SK",AE1150,""))</f>
        <v>4.1800300000000004</v>
      </c>
    </row>
    <row r="1151" spans="27:32" ht="15">
      <c r="AA1151" s="463" t="s">
        <v>4671</v>
      </c>
      <c r="AB1151" s="462" t="s">
        <v>4672</v>
      </c>
      <c r="AC1151" s="462" t="s">
        <v>4673</v>
      </c>
      <c r="AD1151" s="464">
        <v>36.431240000000003</v>
      </c>
      <c r="AE1151" s="465">
        <v>1.7524900000000001</v>
      </c>
      <c r="AF1151" s="86">
        <f>IF(verze!$E$1="CZK",AD1151,IF(verze!$E$1="SK",AE1151,""))</f>
        <v>1.7524900000000001</v>
      </c>
    </row>
    <row r="1152" spans="27:32" ht="15">
      <c r="AA1152" s="463" t="s">
        <v>4674</v>
      </c>
      <c r="AB1152" s="462" t="s">
        <v>4675</v>
      </c>
      <c r="AC1152" s="462" t="s">
        <v>4676</v>
      </c>
      <c r="AD1152" s="464">
        <v>40.394150000000003</v>
      </c>
      <c r="AE1152" s="465">
        <v>1.9431099999999999</v>
      </c>
      <c r="AF1152" s="86">
        <f>IF(verze!$E$1="CZK",AD1152,IF(verze!$E$1="SK",AE1152,""))</f>
        <v>1.9431099999999999</v>
      </c>
    </row>
    <row r="1153" spans="27:32" ht="15">
      <c r="AA1153" s="463" t="s">
        <v>4677</v>
      </c>
      <c r="AB1153" s="462" t="s">
        <v>4678</v>
      </c>
      <c r="AC1153" s="462" t="s">
        <v>4679</v>
      </c>
      <c r="AD1153" s="464">
        <v>36.431240000000003</v>
      </c>
      <c r="AE1153" s="465">
        <v>1.7524900000000001</v>
      </c>
      <c r="AF1153" s="86">
        <f>IF(verze!$E$1="CZK",AD1153,IF(verze!$E$1="SK",AE1153,""))</f>
        <v>1.7524900000000001</v>
      </c>
    </row>
    <row r="1154" spans="27:32" ht="15">
      <c r="AA1154" s="463" t="s">
        <v>4677</v>
      </c>
      <c r="AB1154" s="462" t="s">
        <v>4680</v>
      </c>
      <c r="AC1154" s="462" t="s">
        <v>4681</v>
      </c>
      <c r="AD1154" s="464">
        <v>36.431240000000003</v>
      </c>
      <c r="AE1154" s="465">
        <v>1.7524900000000001</v>
      </c>
      <c r="AF1154" s="86">
        <f>IF(verze!$E$1="CZK",AD1154,IF(verze!$E$1="SK",AE1154,""))</f>
        <v>1.7524900000000001</v>
      </c>
    </row>
    <row r="1155" spans="27:32" ht="15">
      <c r="AA1155" s="463" t="s">
        <v>4682</v>
      </c>
      <c r="AB1155" s="462" t="s">
        <v>4683</v>
      </c>
      <c r="AC1155" s="462" t="s">
        <v>4684</v>
      </c>
      <c r="AD1155" s="464">
        <v>554.40774999999996</v>
      </c>
      <c r="AE1155" s="465">
        <v>26.66901</v>
      </c>
      <c r="AF1155" s="86">
        <f>IF(verze!$E$1="CZK",AD1155,IF(verze!$E$1="SK",AE1155,""))</f>
        <v>26.66901</v>
      </c>
    </row>
    <row r="1156" spans="27:32" ht="15">
      <c r="AA1156" s="463" t="s">
        <v>4685</v>
      </c>
      <c r="AB1156" s="462" t="s">
        <v>4686</v>
      </c>
      <c r="AC1156" s="462" t="s">
        <v>4687</v>
      </c>
      <c r="AD1156" s="464">
        <v>585.79492000000005</v>
      </c>
      <c r="AE1156" s="465">
        <v>28.178850000000001</v>
      </c>
      <c r="AF1156" s="86">
        <f>IF(verze!$E$1="CZK",AD1156,IF(verze!$E$1="SK",AE1156,""))</f>
        <v>28.178850000000001</v>
      </c>
    </row>
    <row r="1157" spans="27:32" ht="15">
      <c r="AA1157" s="463" t="s">
        <v>4688</v>
      </c>
      <c r="AB1157" s="462" t="s">
        <v>4689</v>
      </c>
      <c r="AC1157" s="462" t="s">
        <v>4690</v>
      </c>
      <c r="AD1157" s="464">
        <v>679.93854999999996</v>
      </c>
      <c r="AE1157" s="465">
        <v>32.707500000000003</v>
      </c>
      <c r="AF1157" s="86">
        <f>IF(verze!$E$1="CZK",AD1157,IF(verze!$E$1="SK",AE1157,""))</f>
        <v>32.707500000000003</v>
      </c>
    </row>
    <row r="1158" spans="27:32" ht="15">
      <c r="AA1158" s="463" t="s">
        <v>4691</v>
      </c>
      <c r="AB1158" s="462" t="s">
        <v>4692</v>
      </c>
      <c r="AC1158" s="462" t="s">
        <v>4693</v>
      </c>
      <c r="AD1158" s="464">
        <v>821.15007000000003</v>
      </c>
      <c r="AE1158" s="465">
        <v>39.50029</v>
      </c>
      <c r="AF1158" s="86">
        <f>IF(verze!$E$1="CZK",AD1158,IF(verze!$E$1="SK",AE1158,""))</f>
        <v>39.50029</v>
      </c>
    </row>
    <row r="1159" spans="27:32" ht="15">
      <c r="AA1159" s="463" t="s">
        <v>4694</v>
      </c>
      <c r="AB1159" s="462" t="s">
        <v>4695</v>
      </c>
      <c r="AC1159" s="462" t="s">
        <v>4696</v>
      </c>
      <c r="AD1159" s="464">
        <v>1004.21802</v>
      </c>
      <c r="AE1159" s="465">
        <v>48.306510000000003</v>
      </c>
      <c r="AF1159" s="86">
        <f>IF(verze!$E$1="CZK",AD1159,IF(verze!$E$1="SK",AE1159,""))</f>
        <v>48.306510000000003</v>
      </c>
    </row>
    <row r="1160" spans="27:32" ht="15">
      <c r="AA1160" s="463" t="s">
        <v>4697</v>
      </c>
      <c r="AB1160" s="462" t="s">
        <v>4698</v>
      </c>
      <c r="AC1160" s="462" t="s">
        <v>4699</v>
      </c>
      <c r="AD1160" s="464">
        <v>1108.82314</v>
      </c>
      <c r="AE1160" s="465">
        <v>53.338380000000001</v>
      </c>
      <c r="AF1160" s="86">
        <f>IF(verze!$E$1="CZK",AD1160,IF(verze!$E$1="SK",AE1160,""))</f>
        <v>53.338380000000001</v>
      </c>
    </row>
    <row r="1161" spans="27:32" ht="15">
      <c r="AA1161" s="463" t="s">
        <v>4700</v>
      </c>
      <c r="AB1161" s="462" t="s">
        <v>4701</v>
      </c>
      <c r="AC1161" s="462" t="s">
        <v>4702</v>
      </c>
      <c r="AD1161" s="464">
        <v>257.74230999999997</v>
      </c>
      <c r="AE1161" s="465">
        <v>10.310980000000001</v>
      </c>
      <c r="AF1161" s="86">
        <f>IF(verze!$E$1="CZK",AD1161,IF(verze!$E$1="SK",AE1161,""))</f>
        <v>10.310980000000001</v>
      </c>
    </row>
    <row r="1162" spans="27:32" ht="15">
      <c r="AA1162" s="463" t="s">
        <v>4703</v>
      </c>
      <c r="AB1162" s="462" t="s">
        <v>4704</v>
      </c>
      <c r="AC1162" s="462" t="s">
        <v>4705</v>
      </c>
      <c r="AD1162" s="464">
        <v>409.83301999999998</v>
      </c>
      <c r="AE1162" s="465">
        <v>16.39536</v>
      </c>
      <c r="AF1162" s="86">
        <f>IF(verze!$E$1="CZK",AD1162,IF(verze!$E$1="SK",AE1162,""))</f>
        <v>16.39536</v>
      </c>
    </row>
    <row r="1163" spans="27:32" ht="15">
      <c r="AA1163" s="463" t="s">
        <v>4706</v>
      </c>
      <c r="AB1163" s="462" t="s">
        <v>4707</v>
      </c>
      <c r="AC1163" s="462" t="s">
        <v>4708</v>
      </c>
      <c r="AD1163" s="464">
        <v>409.83301999999998</v>
      </c>
      <c r="AE1163" s="465">
        <v>16.39536</v>
      </c>
      <c r="AF1163" s="86">
        <f>IF(verze!$E$1="CZK",AD1163,IF(verze!$E$1="SK",AE1163,""))</f>
        <v>16.39536</v>
      </c>
    </row>
    <row r="1164" spans="27:32" ht="15">
      <c r="AA1164" s="463" t="s">
        <v>4709</v>
      </c>
      <c r="AB1164" s="462" t="s">
        <v>4710</v>
      </c>
      <c r="AC1164" s="462" t="s">
        <v>4711</v>
      </c>
      <c r="AD1164" s="464">
        <v>188.14233999999999</v>
      </c>
      <c r="AE1164" s="465">
        <v>7.5266299999999999</v>
      </c>
      <c r="AF1164" s="86">
        <f>IF(verze!$E$1="CZK",AD1164,IF(verze!$E$1="SK",AE1164,""))</f>
        <v>7.5266299999999999</v>
      </c>
    </row>
    <row r="1165" spans="27:32" ht="15">
      <c r="AA1165" s="463" t="s">
        <v>4712</v>
      </c>
      <c r="AB1165" s="462" t="s">
        <v>4713</v>
      </c>
      <c r="AC1165" s="462" t="s">
        <v>4714</v>
      </c>
      <c r="AD1165" s="464">
        <v>122.41195</v>
      </c>
      <c r="AE1165" s="465">
        <v>5.8884600000000002</v>
      </c>
      <c r="AF1165" s="86">
        <f>IF(verze!$E$1="CZK",AD1165,IF(verze!$E$1="SK",AE1165,""))</f>
        <v>5.8884600000000002</v>
      </c>
    </row>
    <row r="1166" spans="27:32" ht="15">
      <c r="AA1166" s="463" t="s">
        <v>4715</v>
      </c>
      <c r="AB1166" s="462" t="s">
        <v>4716</v>
      </c>
      <c r="AC1166" s="462" t="s">
        <v>4717</v>
      </c>
      <c r="AD1166" s="464">
        <v>273.74579999999997</v>
      </c>
      <c r="AE1166" s="465">
        <v>10.981120000000001</v>
      </c>
      <c r="AF1166" s="86">
        <f>IF(verze!$E$1="CZK",AD1166,IF(verze!$E$1="SK",AE1166,""))</f>
        <v>10.981120000000001</v>
      </c>
    </row>
    <row r="1167" spans="27:32" ht="15">
      <c r="AA1167" s="463" t="s">
        <v>4718</v>
      </c>
      <c r="AB1167" s="462" t="s">
        <v>4719</v>
      </c>
      <c r="AC1167" s="462" t="s">
        <v>4720</v>
      </c>
      <c r="AD1167" s="464">
        <v>2937.35079</v>
      </c>
      <c r="AE1167" s="465">
        <v>117.50866000000001</v>
      </c>
      <c r="AF1167" s="86">
        <f>IF(verze!$E$1="CZK",AD1167,IF(verze!$E$1="SK",AE1167,""))</f>
        <v>117.50866000000001</v>
      </c>
    </row>
    <row r="1168" spans="27:32" ht="15">
      <c r="AA1168" s="463" t="s">
        <v>4718</v>
      </c>
      <c r="AB1168" s="462" t="s">
        <v>4721</v>
      </c>
      <c r="AC1168" s="462" t="s">
        <v>4722</v>
      </c>
      <c r="AD1168" s="464">
        <v>1110.5310500000001</v>
      </c>
      <c r="AE1168" s="465">
        <v>44.548160000000003</v>
      </c>
      <c r="AF1168" s="86">
        <f>IF(verze!$E$1="CZK",AD1168,IF(verze!$E$1="SK",AE1168,""))</f>
        <v>44.548160000000003</v>
      </c>
    </row>
    <row r="1169" spans="27:32" ht="15">
      <c r="AA1169" s="463" t="s">
        <v>4723</v>
      </c>
      <c r="AB1169" s="462" t="s">
        <v>4724</v>
      </c>
      <c r="AC1169" s="462" t="s">
        <v>4725</v>
      </c>
      <c r="AD1169" s="464">
        <v>1606.2338999999999</v>
      </c>
      <c r="AE1169" s="465">
        <v>64.257369999999995</v>
      </c>
      <c r="AF1169" s="86">
        <f>IF(verze!$E$1="CZK",AD1169,IF(verze!$E$1="SK",AE1169,""))</f>
        <v>64.257369999999995</v>
      </c>
    </row>
    <row r="1170" spans="27:32" ht="15">
      <c r="AA1170" s="463" t="s">
        <v>4723</v>
      </c>
      <c r="AB1170" s="462" t="s">
        <v>4726</v>
      </c>
      <c r="AC1170" s="462" t="s">
        <v>4727</v>
      </c>
      <c r="AD1170" s="464">
        <v>607.27215000000001</v>
      </c>
      <c r="AE1170" s="465">
        <v>24.360289999999999</v>
      </c>
      <c r="AF1170" s="86">
        <f>IF(verze!$E$1="CZK",AD1170,IF(verze!$E$1="SK",AE1170,""))</f>
        <v>24.360289999999999</v>
      </c>
    </row>
    <row r="1171" spans="27:32" ht="15">
      <c r="AA1171" s="463" t="s">
        <v>4728</v>
      </c>
      <c r="AB1171" s="462" t="s">
        <v>4729</v>
      </c>
      <c r="AC1171" s="462" t="s">
        <v>4730</v>
      </c>
      <c r="AD1171" s="464">
        <v>1913.92256</v>
      </c>
      <c r="AE1171" s="465">
        <v>76.566419999999994</v>
      </c>
      <c r="AF1171" s="86">
        <f>IF(verze!$E$1="CZK",AD1171,IF(verze!$E$1="SK",AE1171,""))</f>
        <v>76.566419999999994</v>
      </c>
    </row>
    <row r="1172" spans="27:32" ht="15">
      <c r="AA1172" s="463" t="s">
        <v>4728</v>
      </c>
      <c r="AB1172" s="462" t="s">
        <v>4731</v>
      </c>
      <c r="AC1172" s="462" t="s">
        <v>4732</v>
      </c>
      <c r="AD1172" s="464">
        <v>723.60130000000004</v>
      </c>
      <c r="AE1172" s="465">
        <v>29.02675</v>
      </c>
      <c r="AF1172" s="86">
        <f>IF(verze!$E$1="CZK",AD1172,IF(verze!$E$1="SK",AE1172,""))</f>
        <v>29.02675</v>
      </c>
    </row>
    <row r="1173" spans="27:32" ht="15">
      <c r="AA1173" s="463" t="s">
        <v>4733</v>
      </c>
      <c r="AB1173" s="462" t="s">
        <v>4734</v>
      </c>
      <c r="AC1173" s="462" t="s">
        <v>4735</v>
      </c>
      <c r="AD1173" s="464">
        <v>1.4621299999999999</v>
      </c>
      <c r="AE1173" s="465">
        <v>5.9959999999999999E-2</v>
      </c>
      <c r="AF1173" s="86">
        <f>IF(verze!$E$1="CZK",AD1173,IF(verze!$E$1="SK",AE1173,""))</f>
        <v>5.9959999999999999E-2</v>
      </c>
    </row>
    <row r="1174" spans="27:32" ht="15">
      <c r="AA1174" s="463" t="s">
        <v>4736</v>
      </c>
      <c r="AB1174" s="462" t="s">
        <v>4737</v>
      </c>
      <c r="AC1174" s="462" t="s">
        <v>4738</v>
      </c>
      <c r="AD1174" s="464">
        <v>757.42719</v>
      </c>
      <c r="AE1174" s="465">
        <v>30.300850000000001</v>
      </c>
      <c r="AF1174" s="86">
        <f>IF(verze!$E$1="CZK",AD1174,IF(verze!$E$1="SK",AE1174,""))</f>
        <v>30.300850000000001</v>
      </c>
    </row>
    <row r="1175" spans="27:32" ht="15">
      <c r="AA1175" s="463" t="s">
        <v>4736</v>
      </c>
      <c r="AB1175" s="462" t="s">
        <v>4739</v>
      </c>
      <c r="AC1175" s="462" t="s">
        <v>4740</v>
      </c>
      <c r="AD1175" s="464">
        <v>286.36234999999999</v>
      </c>
      <c r="AE1175" s="465">
        <v>11.487220000000001</v>
      </c>
      <c r="AF1175" s="86">
        <f>IF(verze!$E$1="CZK",AD1175,IF(verze!$E$1="SK",AE1175,""))</f>
        <v>11.487220000000001</v>
      </c>
    </row>
    <row r="1176" spans="27:32" ht="15">
      <c r="AA1176" s="463" t="s">
        <v>4741</v>
      </c>
      <c r="AB1176" s="462" t="s">
        <v>4742</v>
      </c>
      <c r="AC1176" s="462" t="s">
        <v>4743</v>
      </c>
      <c r="AD1176" s="464">
        <v>1065.1178600000001</v>
      </c>
      <c r="AE1176" s="465">
        <v>42.610019999999999</v>
      </c>
      <c r="AF1176" s="86">
        <f>IF(verze!$E$1="CZK",AD1176,IF(verze!$E$1="SK",AE1176,""))</f>
        <v>42.610019999999999</v>
      </c>
    </row>
    <row r="1177" spans="27:32" ht="15">
      <c r="AA1177" s="463" t="s">
        <v>4741</v>
      </c>
      <c r="AB1177" s="462" t="s">
        <v>4744</v>
      </c>
      <c r="AC1177" s="462" t="s">
        <v>4745</v>
      </c>
      <c r="AD1177" s="464">
        <v>402.69150000000002</v>
      </c>
      <c r="AE1177" s="465">
        <v>16.153680000000001</v>
      </c>
      <c r="AF1177" s="86">
        <f>IF(verze!$E$1="CZK",AD1177,IF(verze!$E$1="SK",AE1177,""))</f>
        <v>16.153680000000001</v>
      </c>
    </row>
    <row r="1178" spans="27:32" ht="15">
      <c r="AA1178" s="463" t="s">
        <v>4746</v>
      </c>
      <c r="AB1178" s="462" t="s">
        <v>4747</v>
      </c>
      <c r="AC1178" s="462" t="s">
        <v>4748</v>
      </c>
      <c r="AD1178" s="464">
        <v>1676.9959100000001</v>
      </c>
      <c r="AE1178" s="465">
        <v>67.730950000000007</v>
      </c>
      <c r="AF1178" s="86">
        <f>IF(verze!$E$1="CZK",AD1178,IF(verze!$E$1="SK",AE1178,""))</f>
        <v>67.730950000000007</v>
      </c>
    </row>
    <row r="1179" spans="27:32" ht="15">
      <c r="AA1179" s="463" t="s">
        <v>4749</v>
      </c>
      <c r="AB1179" s="462" t="s">
        <v>4750</v>
      </c>
      <c r="AC1179" s="462" t="s">
        <v>4751</v>
      </c>
      <c r="AD1179" s="464">
        <v>1660.55944</v>
      </c>
      <c r="AE1179" s="465">
        <v>67.067089999999993</v>
      </c>
      <c r="AF1179" s="86">
        <f>IF(verze!$E$1="CZK",AD1179,IF(verze!$E$1="SK",AE1179,""))</f>
        <v>67.067089999999993</v>
      </c>
    </row>
    <row r="1180" spans="27:32" ht="15">
      <c r="AA1180" s="463" t="s">
        <v>4752</v>
      </c>
      <c r="AB1180" s="462" t="s">
        <v>4753</v>
      </c>
      <c r="AC1180" s="462" t="s">
        <v>4754</v>
      </c>
      <c r="AD1180" s="464">
        <v>6578.9037900000003</v>
      </c>
      <c r="AE1180" s="465">
        <v>265.71055000000001</v>
      </c>
      <c r="AF1180" s="86">
        <f>IF(verze!$E$1="CZK",AD1180,IF(verze!$E$1="SK",AE1180,""))</f>
        <v>265.71055000000001</v>
      </c>
    </row>
    <row r="1181" spans="27:32" ht="15">
      <c r="AA1181" s="463" t="s">
        <v>4755</v>
      </c>
      <c r="AB1181" s="462" t="s">
        <v>4756</v>
      </c>
      <c r="AC1181" s="462" t="s">
        <v>4757</v>
      </c>
      <c r="AD1181" s="464">
        <v>45.929659999999998</v>
      </c>
      <c r="AE1181" s="465">
        <v>2.2093699999999998</v>
      </c>
      <c r="AF1181" s="86">
        <f>IF(verze!$E$1="CZK",AD1181,IF(verze!$E$1="SK",AE1181,""))</f>
        <v>2.2093699999999998</v>
      </c>
    </row>
    <row r="1182" spans="27:32" ht="15">
      <c r="AA1182" s="463" t="s">
        <v>4758</v>
      </c>
      <c r="AB1182" s="462" t="s">
        <v>4759</v>
      </c>
      <c r="AC1182" s="462" t="s">
        <v>4760</v>
      </c>
      <c r="AD1182" s="464">
        <v>47.402279999999998</v>
      </c>
      <c r="AE1182" s="465">
        <v>2.2802199999999999</v>
      </c>
      <c r="AF1182" s="86">
        <f>IF(verze!$E$1="CZK",AD1182,IF(verze!$E$1="SK",AE1182,""))</f>
        <v>2.2802199999999999</v>
      </c>
    </row>
    <row r="1183" spans="27:32" ht="15">
      <c r="AA1183" s="463" t="s">
        <v>4761</v>
      </c>
      <c r="AB1183" s="462" t="s">
        <v>4762</v>
      </c>
      <c r="AC1183" s="462" t="s">
        <v>4763</v>
      </c>
      <c r="AD1183" s="464">
        <v>68.889420000000001</v>
      </c>
      <c r="AE1183" s="465">
        <v>3.3138200000000002</v>
      </c>
      <c r="AF1183" s="86">
        <f>IF(verze!$E$1="CZK",AD1183,IF(verze!$E$1="SK",AE1183,""))</f>
        <v>3.3138200000000002</v>
      </c>
    </row>
    <row r="1184" spans="27:32" ht="15">
      <c r="AA1184" s="463" t="s">
        <v>4764</v>
      </c>
      <c r="AB1184" s="462" t="s">
        <v>4765</v>
      </c>
      <c r="AC1184" s="462" t="s">
        <v>4766</v>
      </c>
      <c r="AD1184" s="464">
        <v>81.528000000000006</v>
      </c>
      <c r="AE1184" s="465">
        <v>3.9217900000000001</v>
      </c>
      <c r="AF1184" s="86">
        <f>IF(verze!$E$1="CZK",AD1184,IF(verze!$E$1="SK",AE1184,""))</f>
        <v>3.9217900000000001</v>
      </c>
    </row>
    <row r="1185" spans="27:32" ht="15">
      <c r="AA1185" s="463" t="s">
        <v>4767</v>
      </c>
      <c r="AB1185" s="462" t="s">
        <v>4768</v>
      </c>
      <c r="AC1185" s="462" t="s">
        <v>4769</v>
      </c>
      <c r="AD1185" s="464">
        <v>13.155110000000001</v>
      </c>
      <c r="AE1185" s="465">
        <v>0.53954000000000002</v>
      </c>
      <c r="AF1185" s="86">
        <f>IF(verze!$E$1="CZK",AD1185,IF(verze!$E$1="SK",AE1185,""))</f>
        <v>0.53954000000000002</v>
      </c>
    </row>
    <row r="1186" spans="27:32" ht="15">
      <c r="AA1186" s="463" t="s">
        <v>4770</v>
      </c>
      <c r="AB1186" s="462" t="s">
        <v>4771</v>
      </c>
      <c r="AC1186" s="462" t="s">
        <v>4772</v>
      </c>
      <c r="AD1186" s="464">
        <v>106.66383</v>
      </c>
      <c r="AE1186" s="465">
        <v>5.1309100000000001</v>
      </c>
      <c r="AF1186" s="86">
        <f>IF(verze!$E$1="CZK",AD1186,IF(verze!$E$1="SK",AE1186,""))</f>
        <v>5.1309100000000001</v>
      </c>
    </row>
    <row r="1187" spans="27:32" ht="15">
      <c r="AA1187" s="463" t="s">
        <v>4773</v>
      </c>
      <c r="AB1187" s="462" t="s">
        <v>4774</v>
      </c>
      <c r="AC1187" s="462" t="s">
        <v>4775</v>
      </c>
      <c r="AD1187" s="464">
        <v>7.0414500000000002</v>
      </c>
      <c r="AE1187" s="465">
        <v>0.33871000000000001</v>
      </c>
      <c r="AF1187" s="86">
        <f>IF(verze!$E$1="CZK",AD1187,IF(verze!$E$1="SK",AE1187,""))</f>
        <v>0.33871000000000001</v>
      </c>
    </row>
    <row r="1188" spans="27:32" ht="15">
      <c r="AA1188" s="463" t="s">
        <v>4776</v>
      </c>
      <c r="AB1188" s="462" t="s">
        <v>4777</v>
      </c>
      <c r="AC1188" s="462" t="s">
        <v>4778</v>
      </c>
      <c r="AD1188" s="464">
        <v>22.676559999999998</v>
      </c>
      <c r="AE1188" s="465">
        <v>1.0908199999999999</v>
      </c>
      <c r="AF1188" s="86">
        <f>IF(verze!$E$1="CZK",AD1188,IF(verze!$E$1="SK",AE1188,""))</f>
        <v>1.0908199999999999</v>
      </c>
    </row>
    <row r="1189" spans="27:32" ht="15">
      <c r="AA1189" s="463" t="s">
        <v>4779</v>
      </c>
      <c r="AB1189" s="462" t="s">
        <v>4780</v>
      </c>
      <c r="AC1189" s="462" t="s">
        <v>4781</v>
      </c>
      <c r="AD1189" s="464">
        <v>89.475229999999996</v>
      </c>
      <c r="AE1189" s="465">
        <v>4.3040799999999999</v>
      </c>
      <c r="AF1189" s="86">
        <f>IF(verze!$E$1="CZK",AD1189,IF(verze!$E$1="SK",AE1189,""))</f>
        <v>4.3040799999999999</v>
      </c>
    </row>
    <row r="1190" spans="27:32" ht="15">
      <c r="AA1190" s="463" t="s">
        <v>4782</v>
      </c>
      <c r="AB1190" s="462" t="s">
        <v>4783</v>
      </c>
      <c r="AC1190" s="462" t="s">
        <v>4784</v>
      </c>
      <c r="AD1190" s="464">
        <v>24.083210000000001</v>
      </c>
      <c r="AE1190" s="465">
        <v>1.15849</v>
      </c>
      <c r="AF1190" s="86">
        <f>IF(verze!$E$1="CZK",AD1190,IF(verze!$E$1="SK",AE1190,""))</f>
        <v>1.15849</v>
      </c>
    </row>
    <row r="1191" spans="27:32" ht="15">
      <c r="AA1191" s="463" t="s">
        <v>4785</v>
      </c>
      <c r="AB1191" s="462" t="s">
        <v>4786</v>
      </c>
      <c r="AC1191" s="462" t="s">
        <v>4787</v>
      </c>
      <c r="AD1191" s="464">
        <v>28.755469999999999</v>
      </c>
      <c r="AE1191" s="465">
        <v>1.17936</v>
      </c>
      <c r="AF1191" s="86">
        <f>IF(verze!$E$1="CZK",AD1191,IF(verze!$E$1="SK",AE1191,""))</f>
        <v>1.17936</v>
      </c>
    </row>
    <row r="1192" spans="27:32" ht="15">
      <c r="AA1192" s="463" t="s">
        <v>4788</v>
      </c>
      <c r="AB1192" s="462" t="s">
        <v>4789</v>
      </c>
      <c r="AC1192" s="462" t="s">
        <v>4790</v>
      </c>
      <c r="AD1192" s="464">
        <v>313.87387999999999</v>
      </c>
      <c r="AE1192" s="465">
        <v>13.65326</v>
      </c>
      <c r="AF1192" s="86">
        <f>IF(verze!$E$1="CZK",AD1192,IF(verze!$E$1="SK",AE1192,""))</f>
        <v>13.65326</v>
      </c>
    </row>
    <row r="1193" spans="27:32" ht="15">
      <c r="AA1193" s="463" t="s">
        <v>4791</v>
      </c>
      <c r="AB1193" s="462" t="s">
        <v>4792</v>
      </c>
      <c r="AC1193" s="462" t="s">
        <v>4793</v>
      </c>
      <c r="AD1193" s="464">
        <v>204.13</v>
      </c>
      <c r="AE1193" s="465">
        <v>8.8794799999999992</v>
      </c>
      <c r="AF1193" s="86">
        <f>IF(verze!$E$1="CZK",AD1193,IF(verze!$E$1="SK",AE1193,""))</f>
        <v>8.8794799999999992</v>
      </c>
    </row>
    <row r="1194" spans="27:32" ht="15">
      <c r="AA1194" s="463" t="s">
        <v>4794</v>
      </c>
      <c r="AB1194" s="462" t="s">
        <v>4795</v>
      </c>
      <c r="AC1194" s="462" t="s">
        <v>4796</v>
      </c>
      <c r="AD1194" s="464">
        <v>1.9777400000000001</v>
      </c>
      <c r="AE1194" s="465">
        <v>9.5130000000000006E-2</v>
      </c>
      <c r="AF1194" s="86">
        <f>IF(verze!$E$1="CZK",AD1194,IF(verze!$E$1="SK",AE1194,""))</f>
        <v>9.5130000000000006E-2</v>
      </c>
    </row>
    <row r="1195" spans="27:32" ht="15">
      <c r="AA1195" s="463" t="s">
        <v>4797</v>
      </c>
      <c r="AB1195" s="462" t="s">
        <v>4798</v>
      </c>
      <c r="AC1195" s="462" t="s">
        <v>4799</v>
      </c>
      <c r="AD1195" s="464">
        <v>3.3996300000000002</v>
      </c>
      <c r="AE1195" s="465">
        <v>0.13941999999999999</v>
      </c>
      <c r="AF1195" s="86">
        <f>IF(verze!$E$1="CZK",AD1195,IF(verze!$E$1="SK",AE1195,""))</f>
        <v>0.13941999999999999</v>
      </c>
    </row>
    <row r="1196" spans="27:32" ht="15">
      <c r="AA1196" s="463" t="s">
        <v>4800</v>
      </c>
      <c r="AB1196" s="462" t="s">
        <v>4801</v>
      </c>
      <c r="AC1196" s="462" t="s">
        <v>4802</v>
      </c>
      <c r="AD1196" s="464">
        <v>3.0063599999999999</v>
      </c>
      <c r="AE1196" s="465">
        <v>0.12330000000000001</v>
      </c>
      <c r="AF1196" s="86">
        <f>IF(verze!$E$1="CZK",AD1196,IF(verze!$E$1="SK",AE1196,""))</f>
        <v>0.12330000000000001</v>
      </c>
    </row>
    <row r="1197" spans="27:32" ht="15">
      <c r="AA1197" s="463" t="s">
        <v>4803</v>
      </c>
      <c r="AB1197" s="462" t="s">
        <v>4804</v>
      </c>
      <c r="AC1197" s="462" t="s">
        <v>4805</v>
      </c>
      <c r="AD1197" s="464">
        <v>2.0983999999999998</v>
      </c>
      <c r="AE1197" s="465">
        <v>8.6080000000000004E-2</v>
      </c>
      <c r="AF1197" s="86">
        <f>IF(verze!$E$1="CZK",AD1197,IF(verze!$E$1="SK",AE1197,""))</f>
        <v>8.6080000000000004E-2</v>
      </c>
    </row>
    <row r="1198" spans="27:32" ht="15">
      <c r="AA1198" s="463" t="s">
        <v>4806</v>
      </c>
      <c r="AB1198" s="462" t="s">
        <v>4807</v>
      </c>
      <c r="AC1198" s="462" t="s">
        <v>4808</v>
      </c>
      <c r="AD1198" s="464">
        <v>2.54528</v>
      </c>
      <c r="AE1198" s="465">
        <v>0.10440000000000001</v>
      </c>
      <c r="AF1198" s="86">
        <f>IF(verze!$E$1="CZK",AD1198,IF(verze!$E$1="SK",AE1198,""))</f>
        <v>0.10440000000000001</v>
      </c>
    </row>
    <row r="1199" spans="27:32" ht="15">
      <c r="AA1199" s="463" t="s">
        <v>4809</v>
      </c>
      <c r="AB1199" s="462" t="s">
        <v>4810</v>
      </c>
      <c r="AC1199" s="462" t="s">
        <v>4811</v>
      </c>
      <c r="AD1199" s="464">
        <v>2.9527700000000001</v>
      </c>
      <c r="AE1199" s="465">
        <v>0.1211</v>
      </c>
      <c r="AF1199" s="86">
        <f>IF(verze!$E$1="CZK",AD1199,IF(verze!$E$1="SK",AE1199,""))</f>
        <v>0.1211</v>
      </c>
    </row>
    <row r="1200" spans="27:32" ht="15">
      <c r="AA1200" s="463" t="s">
        <v>4812</v>
      </c>
      <c r="AB1200" s="462" t="s">
        <v>4813</v>
      </c>
      <c r="AC1200" s="462" t="s">
        <v>4814</v>
      </c>
      <c r="AD1200" s="464">
        <v>3.5462099999999999</v>
      </c>
      <c r="AE1200" s="465">
        <v>0.14544000000000001</v>
      </c>
      <c r="AF1200" s="86">
        <f>IF(verze!$E$1="CZK",AD1200,IF(verze!$E$1="SK",AE1200,""))</f>
        <v>0.14544000000000001</v>
      </c>
    </row>
    <row r="1201" spans="27:32" ht="15">
      <c r="AA1201" s="463" t="s">
        <v>4815</v>
      </c>
      <c r="AB1201" s="462" t="s">
        <v>4816</v>
      </c>
      <c r="AC1201" s="462" t="s">
        <v>4817</v>
      </c>
      <c r="AD1201" s="464">
        <v>6.6061399999999999</v>
      </c>
      <c r="AE1201" s="465">
        <v>0.27094000000000001</v>
      </c>
      <c r="AF1201" s="86">
        <f>IF(verze!$E$1="CZK",AD1201,IF(verze!$E$1="SK",AE1201,""))</f>
        <v>0.27094000000000001</v>
      </c>
    </row>
    <row r="1202" spans="27:32" ht="15">
      <c r="AA1202" s="463" t="s">
        <v>4818</v>
      </c>
      <c r="AB1202" s="462" t="s">
        <v>4819</v>
      </c>
      <c r="AC1202" s="462" t="s">
        <v>4820</v>
      </c>
      <c r="AD1202" s="464">
        <v>6.6204599999999996</v>
      </c>
      <c r="AE1202" s="465">
        <v>0.27151999999999998</v>
      </c>
      <c r="AF1202" s="86">
        <f>IF(verze!$E$1="CZK",AD1202,IF(verze!$E$1="SK",AE1202,""))</f>
        <v>0.27151999999999998</v>
      </c>
    </row>
    <row r="1203" spans="27:32" ht="15">
      <c r="AA1203" s="463" t="s">
        <v>4821</v>
      </c>
      <c r="AB1203" s="462" t="s">
        <v>4822</v>
      </c>
      <c r="AC1203" s="462" t="s">
        <v>4823</v>
      </c>
      <c r="AD1203" s="464">
        <v>5.4157999999999999</v>
      </c>
      <c r="AE1203" s="465">
        <v>0.22212000000000001</v>
      </c>
      <c r="AF1203" s="86">
        <f>IF(verze!$E$1="CZK",AD1203,IF(verze!$E$1="SK",AE1203,""))</f>
        <v>0.22212000000000001</v>
      </c>
    </row>
    <row r="1204" spans="27:32" ht="15">
      <c r="AA1204" s="463" t="s">
        <v>4824</v>
      </c>
      <c r="AB1204" s="462" t="s">
        <v>4825</v>
      </c>
      <c r="AC1204" s="462" t="s">
        <v>4826</v>
      </c>
      <c r="AD1204" s="464">
        <v>4.6186100000000003</v>
      </c>
      <c r="AE1204" s="465">
        <v>0.18942000000000001</v>
      </c>
      <c r="AF1204" s="86">
        <f>IF(verze!$E$1="CZK",AD1204,IF(verze!$E$1="SK",AE1204,""))</f>
        <v>0.18942000000000001</v>
      </c>
    </row>
    <row r="1205" spans="27:32" ht="15">
      <c r="AA1205" s="463" t="s">
        <v>4827</v>
      </c>
      <c r="AB1205" s="462" t="s">
        <v>4828</v>
      </c>
      <c r="AC1205" s="462" t="s">
        <v>4829</v>
      </c>
      <c r="AD1205" s="464">
        <v>0.75434000000000001</v>
      </c>
      <c r="AE1205" s="465">
        <v>3.092E-2</v>
      </c>
      <c r="AF1205" s="86">
        <f>IF(verze!$E$1="CZK",AD1205,IF(verze!$E$1="SK",AE1205,""))</f>
        <v>3.092E-2</v>
      </c>
    </row>
    <row r="1206" spans="27:32" ht="15">
      <c r="AA1206" s="463" t="s">
        <v>4830</v>
      </c>
      <c r="AB1206" s="462" t="s">
        <v>4831</v>
      </c>
      <c r="AC1206" s="462" t="s">
        <v>4832</v>
      </c>
      <c r="AD1206" s="464">
        <v>0.75434000000000001</v>
      </c>
      <c r="AE1206" s="465">
        <v>3.092E-2</v>
      </c>
      <c r="AF1206" s="86">
        <f>IF(verze!$E$1="CZK",AD1206,IF(verze!$E$1="SK",AE1206,""))</f>
        <v>3.092E-2</v>
      </c>
    </row>
    <row r="1207" spans="27:32" ht="15">
      <c r="AA1207" s="463" t="s">
        <v>4833</v>
      </c>
      <c r="AB1207" s="462" t="s">
        <v>4834</v>
      </c>
      <c r="AC1207" s="462" t="s">
        <v>4835</v>
      </c>
      <c r="AD1207" s="464">
        <v>4.1753299999999998</v>
      </c>
      <c r="AE1207" s="465">
        <v>0.17124</v>
      </c>
      <c r="AF1207" s="86">
        <f>IF(verze!$E$1="CZK",AD1207,IF(verze!$E$1="SK",AE1207,""))</f>
        <v>0.17124</v>
      </c>
    </row>
    <row r="1208" spans="27:32" ht="15">
      <c r="AA1208" s="463" t="s">
        <v>4836</v>
      </c>
      <c r="AB1208" s="462" t="s">
        <v>4837</v>
      </c>
      <c r="AC1208" s="462" t="s">
        <v>4838</v>
      </c>
      <c r="AD1208" s="464">
        <v>4.1753299999999998</v>
      </c>
      <c r="AE1208" s="465">
        <v>0.17124</v>
      </c>
      <c r="AF1208" s="86">
        <f>IF(verze!$E$1="CZK",AD1208,IF(verze!$E$1="SK",AE1208,""))</f>
        <v>0.17124</v>
      </c>
    </row>
    <row r="1209" spans="27:32" ht="15">
      <c r="AA1209" s="463" t="s">
        <v>4839</v>
      </c>
      <c r="AB1209" s="462" t="s">
        <v>4840</v>
      </c>
      <c r="AC1209" s="462" t="s">
        <v>4841</v>
      </c>
      <c r="AD1209" s="464">
        <v>1.0116799999999999</v>
      </c>
      <c r="AE1209" s="465">
        <v>4.1500000000000002E-2</v>
      </c>
      <c r="AF1209" s="86">
        <f>IF(verze!$E$1="CZK",AD1209,IF(verze!$E$1="SK",AE1209,""))</f>
        <v>4.1500000000000002E-2</v>
      </c>
    </row>
    <row r="1210" spans="27:32" ht="15">
      <c r="AA1210" s="463" t="s">
        <v>4842</v>
      </c>
      <c r="AB1210" s="462" t="s">
        <v>4843</v>
      </c>
      <c r="AC1210" s="462" t="s">
        <v>4844</v>
      </c>
      <c r="AD1210" s="464">
        <v>1.2583800000000001</v>
      </c>
      <c r="AE1210" s="465">
        <v>5.16E-2</v>
      </c>
      <c r="AF1210" s="86">
        <f>IF(verze!$E$1="CZK",AD1210,IF(verze!$E$1="SK",AE1210,""))</f>
        <v>5.16E-2</v>
      </c>
    </row>
    <row r="1211" spans="27:32" ht="15">
      <c r="AA1211" s="463" t="s">
        <v>4845</v>
      </c>
      <c r="AB1211" s="462" t="s">
        <v>4846</v>
      </c>
      <c r="AC1211" s="462" t="s">
        <v>4847</v>
      </c>
      <c r="AD1211" s="464">
        <v>1.5907899999999999</v>
      </c>
      <c r="AE1211" s="465">
        <v>6.5240000000000006E-2</v>
      </c>
      <c r="AF1211" s="86">
        <f>IF(verze!$E$1="CZK",AD1211,IF(verze!$E$1="SK",AE1211,""))</f>
        <v>6.5240000000000006E-2</v>
      </c>
    </row>
    <row r="1212" spans="27:32" ht="15">
      <c r="AA1212" s="463" t="s">
        <v>4848</v>
      </c>
      <c r="AB1212" s="462" t="s">
        <v>4849</v>
      </c>
      <c r="AC1212" s="462" t="s">
        <v>4850</v>
      </c>
      <c r="AD1212" s="464">
        <v>0.80434000000000005</v>
      </c>
      <c r="AE1212" s="465">
        <v>3.2980000000000002E-2</v>
      </c>
      <c r="AF1212" s="86">
        <f>IF(verze!$E$1="CZK",AD1212,IF(verze!$E$1="SK",AE1212,""))</f>
        <v>3.2980000000000002E-2</v>
      </c>
    </row>
    <row r="1213" spans="27:32" ht="15">
      <c r="AA1213" s="463" t="s">
        <v>4851</v>
      </c>
      <c r="AB1213" s="462" t="s">
        <v>4852</v>
      </c>
      <c r="AC1213" s="462" t="s">
        <v>4853</v>
      </c>
      <c r="AD1213" s="464">
        <v>1.1331800000000001</v>
      </c>
      <c r="AE1213" s="465">
        <v>4.6460000000000001E-2</v>
      </c>
      <c r="AF1213" s="86">
        <f>IF(verze!$E$1="CZK",AD1213,IF(verze!$E$1="SK",AE1213,""))</f>
        <v>4.6460000000000001E-2</v>
      </c>
    </row>
    <row r="1214" spans="27:32" ht="15">
      <c r="AA1214" s="463" t="s">
        <v>4854</v>
      </c>
      <c r="AB1214" s="462" t="s">
        <v>4855</v>
      </c>
      <c r="AC1214" s="462" t="s">
        <v>4856</v>
      </c>
      <c r="AD1214" s="464">
        <v>14.309760000000001</v>
      </c>
      <c r="AE1214" s="465">
        <v>0.58689999999999998</v>
      </c>
      <c r="AF1214" s="86">
        <f>IF(verze!$E$1="CZK",AD1214,IF(verze!$E$1="SK",AE1214,""))</f>
        <v>0.58689999999999998</v>
      </c>
    </row>
    <row r="1215" spans="27:32" ht="15">
      <c r="AA1215" s="463" t="s">
        <v>4857</v>
      </c>
      <c r="AB1215" s="462" t="s">
        <v>4858</v>
      </c>
      <c r="AC1215" s="462" t="s">
        <v>4859</v>
      </c>
      <c r="AD1215" s="464">
        <v>14.420640000000001</v>
      </c>
      <c r="AE1215" s="465">
        <v>0.59143999999999997</v>
      </c>
      <c r="AF1215" s="86">
        <f>IF(verze!$E$1="CZK",AD1215,IF(verze!$E$1="SK",AE1215,""))</f>
        <v>0.59143999999999997</v>
      </c>
    </row>
    <row r="1216" spans="27:32" ht="15">
      <c r="AA1216" s="463" t="s">
        <v>4860</v>
      </c>
      <c r="AB1216" s="462" t="s">
        <v>4861</v>
      </c>
      <c r="AC1216" s="462" t="s">
        <v>4862</v>
      </c>
      <c r="AD1216" s="464">
        <v>15.63246</v>
      </c>
      <c r="AE1216" s="465">
        <v>0.64114000000000004</v>
      </c>
      <c r="AF1216" s="86">
        <f>IF(verze!$E$1="CZK",AD1216,IF(verze!$E$1="SK",AE1216,""))</f>
        <v>0.64114000000000004</v>
      </c>
    </row>
    <row r="1217" spans="27:32" ht="15">
      <c r="AA1217" s="463" t="s">
        <v>4863</v>
      </c>
      <c r="AB1217" s="462" t="s">
        <v>4864</v>
      </c>
      <c r="AC1217" s="462" t="s">
        <v>4865</v>
      </c>
      <c r="AD1217" s="464">
        <v>21.913350000000001</v>
      </c>
      <c r="AE1217" s="465">
        <v>0.89873999999999998</v>
      </c>
      <c r="AF1217" s="86">
        <f>IF(verze!$E$1="CZK",AD1217,IF(verze!$E$1="SK",AE1217,""))</f>
        <v>0.89873999999999998</v>
      </c>
    </row>
    <row r="1218" spans="27:32" ht="15">
      <c r="AA1218" s="463" t="s">
        <v>4866</v>
      </c>
      <c r="AB1218" s="462" t="s">
        <v>4867</v>
      </c>
      <c r="AC1218" s="462" t="s">
        <v>4868</v>
      </c>
      <c r="AD1218" s="464">
        <v>15.185600000000001</v>
      </c>
      <c r="AE1218" s="465">
        <v>0.62282000000000004</v>
      </c>
      <c r="AF1218" s="86">
        <f>IF(verze!$E$1="CZK",AD1218,IF(verze!$E$1="SK",AE1218,""))</f>
        <v>0.62282000000000004</v>
      </c>
    </row>
    <row r="1219" spans="27:32" ht="15">
      <c r="AA1219" s="463" t="s">
        <v>4869</v>
      </c>
      <c r="AB1219" s="462" t="s">
        <v>4870</v>
      </c>
      <c r="AC1219" s="462" t="s">
        <v>4871</v>
      </c>
      <c r="AD1219" s="464">
        <v>7.4069099999999999</v>
      </c>
      <c r="AE1219" s="465">
        <v>0.30377999999999999</v>
      </c>
      <c r="AF1219" s="86">
        <f>IF(verze!$E$1="CZK",AD1219,IF(verze!$E$1="SK",AE1219,""))</f>
        <v>0.30377999999999999</v>
      </c>
    </row>
    <row r="1220" spans="27:32" ht="15">
      <c r="AA1220" s="463" t="s">
        <v>4872</v>
      </c>
      <c r="AB1220" s="462" t="s">
        <v>4873</v>
      </c>
      <c r="AC1220" s="462" t="s">
        <v>4874</v>
      </c>
      <c r="AD1220" s="464">
        <v>6.1307400000000003</v>
      </c>
      <c r="AE1220" s="465">
        <v>0.25146000000000002</v>
      </c>
      <c r="AF1220" s="86">
        <f>IF(verze!$E$1="CZK",AD1220,IF(verze!$E$1="SK",AE1220,""))</f>
        <v>0.25146000000000002</v>
      </c>
    </row>
    <row r="1221" spans="27:32" ht="15">
      <c r="AA1221" s="463" t="s">
        <v>4875</v>
      </c>
      <c r="AB1221" s="462" t="s">
        <v>4876</v>
      </c>
      <c r="AC1221" s="462" t="s">
        <v>4877</v>
      </c>
      <c r="AD1221" s="464">
        <v>5.9162699999999999</v>
      </c>
      <c r="AE1221" s="465">
        <v>0.24265999999999999</v>
      </c>
      <c r="AF1221" s="86">
        <f>IF(verze!$E$1="CZK",AD1221,IF(verze!$E$1="SK",AE1221,""))</f>
        <v>0.24265999999999999</v>
      </c>
    </row>
    <row r="1222" spans="27:32" ht="15">
      <c r="AA1222" s="463" t="s">
        <v>4878</v>
      </c>
      <c r="AB1222" s="462" t="s">
        <v>4879</v>
      </c>
      <c r="AC1222" s="462" t="s">
        <v>4880</v>
      </c>
      <c r="AD1222" s="464">
        <v>7.1388199999999999</v>
      </c>
      <c r="AE1222" s="465">
        <v>0.29277999999999998</v>
      </c>
      <c r="AF1222" s="86">
        <f>IF(verze!$E$1="CZK",AD1222,IF(verze!$E$1="SK",AE1222,""))</f>
        <v>0.29277999999999998</v>
      </c>
    </row>
    <row r="1223" spans="27:32" ht="15">
      <c r="AA1223" s="463" t="s">
        <v>4881</v>
      </c>
      <c r="AB1223" s="462" t="s">
        <v>4882</v>
      </c>
      <c r="AC1223" s="462" t="s">
        <v>4883</v>
      </c>
      <c r="AD1223" s="464">
        <v>8.3078099999999999</v>
      </c>
      <c r="AE1223" s="465">
        <v>0.34072000000000002</v>
      </c>
      <c r="AF1223" s="86">
        <f>IF(verze!$E$1="CZK",AD1223,IF(verze!$E$1="SK",AE1223,""))</f>
        <v>0.34072000000000002</v>
      </c>
    </row>
    <row r="1224" spans="27:32" ht="15">
      <c r="AA1224" s="463" t="s">
        <v>4884</v>
      </c>
      <c r="AB1224" s="462" t="s">
        <v>4885</v>
      </c>
      <c r="AC1224" s="462" t="s">
        <v>4886</v>
      </c>
      <c r="AD1224" s="464">
        <v>7.0315399999999997</v>
      </c>
      <c r="AE1224" s="465">
        <v>0.28839999999999999</v>
      </c>
      <c r="AF1224" s="86">
        <f>IF(verze!$E$1="CZK",AD1224,IF(verze!$E$1="SK",AE1224,""))</f>
        <v>0.28839999999999999</v>
      </c>
    </row>
    <row r="1225" spans="27:32" ht="15">
      <c r="AA1225" s="463" t="s">
        <v>4887</v>
      </c>
      <c r="AB1225" s="462" t="s">
        <v>4888</v>
      </c>
      <c r="AC1225" s="462" t="s">
        <v>4889</v>
      </c>
      <c r="AD1225" s="464">
        <v>8.7224599999999999</v>
      </c>
      <c r="AE1225" s="465">
        <v>0.35774</v>
      </c>
      <c r="AF1225" s="86">
        <f>IF(verze!$E$1="CZK",AD1225,IF(verze!$E$1="SK",AE1225,""))</f>
        <v>0.35774</v>
      </c>
    </row>
    <row r="1226" spans="27:32" ht="15">
      <c r="AA1226" s="463" t="s">
        <v>4890</v>
      </c>
      <c r="AB1226" s="462" t="s">
        <v>4891</v>
      </c>
      <c r="AC1226" s="462" t="s">
        <v>4892</v>
      </c>
      <c r="AD1226" s="464">
        <v>7.0315399999999997</v>
      </c>
      <c r="AE1226" s="465">
        <v>0.28839999999999999</v>
      </c>
      <c r="AF1226" s="86">
        <f>IF(verze!$E$1="CZK",AD1226,IF(verze!$E$1="SK",AE1226,""))</f>
        <v>0.28839999999999999</v>
      </c>
    </row>
    <row r="1227" spans="27:32" ht="15">
      <c r="AA1227" s="463" t="s">
        <v>4893</v>
      </c>
      <c r="AB1227" s="462" t="s">
        <v>4894</v>
      </c>
      <c r="AC1227" s="462" t="s">
        <v>4895</v>
      </c>
      <c r="AD1227" s="464">
        <v>3.1279699999999999</v>
      </c>
      <c r="AE1227" s="465">
        <v>0.1283</v>
      </c>
      <c r="AF1227" s="86">
        <f>IF(verze!$E$1="CZK",AD1227,IF(verze!$E$1="SK",AE1227,""))</f>
        <v>0.1283</v>
      </c>
    </row>
    <row r="1228" spans="27:32" ht="15">
      <c r="AA1228" s="463" t="s">
        <v>4896</v>
      </c>
      <c r="AB1228" s="462" t="s">
        <v>4897</v>
      </c>
      <c r="AC1228" s="462" t="s">
        <v>4898</v>
      </c>
      <c r="AD1228" s="464">
        <v>4.5328099999999996</v>
      </c>
      <c r="AE1228" s="465">
        <v>0.18592</v>
      </c>
      <c r="AF1228" s="86">
        <f>IF(verze!$E$1="CZK",AD1228,IF(verze!$E$1="SK",AE1228,""))</f>
        <v>0.18592</v>
      </c>
    </row>
    <row r="1229" spans="27:32" ht="15">
      <c r="AA1229" s="463" t="s">
        <v>4899</v>
      </c>
      <c r="AB1229" s="462" t="s">
        <v>4900</v>
      </c>
      <c r="AC1229" s="462" t="s">
        <v>4901</v>
      </c>
      <c r="AD1229" s="464">
        <v>5.2799699999999996</v>
      </c>
      <c r="AE1229" s="465">
        <v>0.21654000000000001</v>
      </c>
      <c r="AF1229" s="86">
        <f>IF(verze!$E$1="CZK",AD1229,IF(verze!$E$1="SK",AE1229,""))</f>
        <v>0.21654000000000001</v>
      </c>
    </row>
    <row r="1230" spans="27:32" ht="15">
      <c r="AA1230" s="463" t="s">
        <v>4902</v>
      </c>
      <c r="AB1230" s="462" t="s">
        <v>4903</v>
      </c>
      <c r="AC1230" s="462" t="s">
        <v>4904</v>
      </c>
      <c r="AD1230" s="464">
        <v>4.7651899999999996</v>
      </c>
      <c r="AE1230" s="465">
        <v>0.19544</v>
      </c>
      <c r="AF1230" s="86">
        <f>IF(verze!$E$1="CZK",AD1230,IF(verze!$E$1="SK",AE1230,""))</f>
        <v>0.19544</v>
      </c>
    </row>
    <row r="1231" spans="27:32" ht="15">
      <c r="AA1231" s="463" t="s">
        <v>4905</v>
      </c>
      <c r="AB1231" s="462" t="s">
        <v>4906</v>
      </c>
      <c r="AC1231" s="462" t="s">
        <v>4907</v>
      </c>
      <c r="AD1231" s="464">
        <v>8.9584100000000007</v>
      </c>
      <c r="AE1231" s="465">
        <v>0.36742000000000002</v>
      </c>
      <c r="AF1231" s="86">
        <f>IF(verze!$E$1="CZK",AD1231,IF(verze!$E$1="SK",AE1231,""))</f>
        <v>0.36742000000000002</v>
      </c>
    </row>
    <row r="1232" spans="27:32" ht="15">
      <c r="AA1232" s="463" t="s">
        <v>4908</v>
      </c>
      <c r="AB1232" s="462" t="s">
        <v>4909</v>
      </c>
      <c r="AC1232" s="462" t="s">
        <v>4910</v>
      </c>
      <c r="AD1232" s="464">
        <v>9.3302200000000006</v>
      </c>
      <c r="AE1232" s="465">
        <v>0.38266</v>
      </c>
      <c r="AF1232" s="86">
        <f>IF(verze!$E$1="CZK",AD1232,IF(verze!$E$1="SK",AE1232,""))</f>
        <v>0.38266</v>
      </c>
    </row>
    <row r="1233" spans="27:32" ht="15">
      <c r="AA1233" s="463" t="s">
        <v>4911</v>
      </c>
      <c r="AB1233" s="462" t="s">
        <v>4912</v>
      </c>
      <c r="AC1233" s="462" t="s">
        <v>4913</v>
      </c>
      <c r="AD1233" s="464">
        <v>7.3712099999999996</v>
      </c>
      <c r="AE1233" s="465">
        <v>0.30231999999999998</v>
      </c>
      <c r="AF1233" s="86">
        <f>IF(verze!$E$1="CZK",AD1233,IF(verze!$E$1="SK",AE1233,""))</f>
        <v>0.30231999999999998</v>
      </c>
    </row>
    <row r="1234" spans="27:32" ht="15">
      <c r="AA1234" s="463" t="s">
        <v>4914</v>
      </c>
      <c r="AB1234" s="462" t="s">
        <v>4915</v>
      </c>
      <c r="AC1234" s="462" t="s">
        <v>4916</v>
      </c>
      <c r="AD1234" s="464">
        <v>14.132009999999999</v>
      </c>
      <c r="AE1234" s="465">
        <v>0.57962000000000002</v>
      </c>
      <c r="AF1234" s="86">
        <f>IF(verze!$E$1="CZK",AD1234,IF(verze!$E$1="SK",AE1234,""))</f>
        <v>0.57962000000000002</v>
      </c>
    </row>
    <row r="1235" spans="27:32" ht="15">
      <c r="AA1235" s="463" t="s">
        <v>4917</v>
      </c>
      <c r="AB1235" s="462" t="s">
        <v>4918</v>
      </c>
      <c r="AC1235" s="462" t="s">
        <v>4919</v>
      </c>
      <c r="AD1235" s="464">
        <v>11.021599999999999</v>
      </c>
      <c r="AE1235" s="465">
        <v>0.45201999999999998</v>
      </c>
      <c r="AF1235" s="86">
        <f>IF(verze!$E$1="CZK",AD1235,IF(verze!$E$1="SK",AE1235,""))</f>
        <v>0.45201999999999998</v>
      </c>
    </row>
    <row r="1236" spans="27:32" ht="15">
      <c r="AA1236" s="463" t="s">
        <v>4920</v>
      </c>
      <c r="AB1236" s="462" t="s">
        <v>4921</v>
      </c>
      <c r="AC1236" s="462" t="s">
        <v>4922</v>
      </c>
      <c r="AD1236" s="464">
        <v>7.4668400000000004</v>
      </c>
      <c r="AE1236" s="465">
        <v>0.6</v>
      </c>
      <c r="AF1236" s="86">
        <f>IF(verze!$E$1="CZK",AD1236,IF(verze!$E$1="SK",AE1236,""))</f>
        <v>0.6</v>
      </c>
    </row>
    <row r="1237" spans="27:32" ht="15">
      <c r="AA1237" s="463" t="s">
        <v>4923</v>
      </c>
      <c r="AB1237" s="462" t="s">
        <v>4924</v>
      </c>
      <c r="AC1237" s="462" t="s">
        <v>4925</v>
      </c>
      <c r="AD1237" s="464">
        <v>43.087859999999999</v>
      </c>
      <c r="AE1237" s="465">
        <v>1.76718</v>
      </c>
      <c r="AF1237" s="86">
        <f>IF(verze!$E$1="CZK",AD1237,IF(verze!$E$1="SK",AE1237,""))</f>
        <v>1.76718</v>
      </c>
    </row>
    <row r="1238" spans="27:32" ht="15">
      <c r="AA1238" s="463" t="s">
        <v>4926</v>
      </c>
      <c r="AB1238" s="462" t="s">
        <v>4927</v>
      </c>
      <c r="AC1238" s="462" t="s">
        <v>4928</v>
      </c>
      <c r="AD1238" s="464">
        <v>31.569510000000001</v>
      </c>
      <c r="AE1238" s="465">
        <v>1.29478</v>
      </c>
      <c r="AF1238" s="86">
        <f>IF(verze!$E$1="CZK",AD1238,IF(verze!$E$1="SK",AE1238,""))</f>
        <v>1.29478</v>
      </c>
    </row>
    <row r="1239" spans="27:32" ht="15">
      <c r="AA1239" s="463" t="s">
        <v>4929</v>
      </c>
      <c r="AB1239" s="462" t="s">
        <v>4930</v>
      </c>
      <c r="AC1239" s="462" t="s">
        <v>4931</v>
      </c>
      <c r="AD1239" s="464">
        <v>9.7465799999999998</v>
      </c>
      <c r="AE1239" s="465">
        <v>0.39973999999999998</v>
      </c>
      <c r="AF1239" s="86">
        <f>IF(verze!$E$1="CZK",AD1239,IF(verze!$E$1="SK",AE1239,""))</f>
        <v>0.39973999999999998</v>
      </c>
    </row>
    <row r="1240" spans="27:32" ht="15">
      <c r="AA1240" s="463" t="s">
        <v>4932</v>
      </c>
      <c r="AB1240" s="462" t="s">
        <v>4933</v>
      </c>
      <c r="AC1240" s="462" t="s">
        <v>4934</v>
      </c>
      <c r="AD1240" s="464">
        <v>1.37273</v>
      </c>
      <c r="AE1240" s="465">
        <v>5.6300000000000003E-2</v>
      </c>
      <c r="AF1240" s="86">
        <f>IF(verze!$E$1="CZK",AD1240,IF(verze!$E$1="SK",AE1240,""))</f>
        <v>5.6300000000000003E-2</v>
      </c>
    </row>
    <row r="1241" spans="27:32" ht="15">
      <c r="AA1241" s="463" t="s">
        <v>4935</v>
      </c>
      <c r="AB1241" s="462" t="s">
        <v>4936</v>
      </c>
      <c r="AC1241" s="462" t="s">
        <v>4937</v>
      </c>
      <c r="AD1241" s="464">
        <v>1.8303400000000001</v>
      </c>
      <c r="AE1241" s="465">
        <v>7.5060000000000002E-2</v>
      </c>
      <c r="AF1241" s="86">
        <f>IF(verze!$E$1="CZK",AD1241,IF(verze!$E$1="SK",AE1241,""))</f>
        <v>7.5060000000000002E-2</v>
      </c>
    </row>
    <row r="1242" spans="27:32" ht="15">
      <c r="AA1242" s="463" t="s">
        <v>4938</v>
      </c>
      <c r="AB1242" s="462" t="s">
        <v>4939</v>
      </c>
      <c r="AC1242" s="462" t="s">
        <v>4940</v>
      </c>
      <c r="AD1242" s="464">
        <v>5.7125300000000001</v>
      </c>
      <c r="AE1242" s="465">
        <v>0.23430000000000001</v>
      </c>
      <c r="AF1242" s="86">
        <f>IF(verze!$E$1="CZK",AD1242,IF(verze!$E$1="SK",AE1242,""))</f>
        <v>0.23430000000000001</v>
      </c>
    </row>
    <row r="1243" spans="27:32" ht="15">
      <c r="AA1243" s="463" t="s">
        <v>4941</v>
      </c>
      <c r="AB1243" s="462" t="s">
        <v>4942</v>
      </c>
      <c r="AC1243" s="462" t="s">
        <v>4943</v>
      </c>
      <c r="AD1243" s="464">
        <v>54.357999999999997</v>
      </c>
      <c r="AE1243" s="465">
        <v>2.2294</v>
      </c>
      <c r="AF1243" s="86">
        <f>IF(verze!$E$1="CZK",AD1243,IF(verze!$E$1="SK",AE1243,""))</f>
        <v>2.2294</v>
      </c>
    </row>
    <row r="1244" spans="27:32" ht="15">
      <c r="AA1244" s="463" t="s">
        <v>4944</v>
      </c>
      <c r="AB1244" s="462" t="s">
        <v>4945</v>
      </c>
      <c r="AC1244" s="462" t="s">
        <v>4946</v>
      </c>
      <c r="AD1244" s="464">
        <v>52.188110000000002</v>
      </c>
      <c r="AE1244" s="465">
        <v>2.1404200000000002</v>
      </c>
      <c r="AF1244" s="86">
        <f>IF(verze!$E$1="CZK",AD1244,IF(verze!$E$1="SK",AE1244,""))</f>
        <v>2.1404200000000002</v>
      </c>
    </row>
    <row r="1245" spans="27:32" ht="15">
      <c r="AA1245" s="463" t="s">
        <v>4947</v>
      </c>
      <c r="AB1245" s="462" t="s">
        <v>4948</v>
      </c>
      <c r="AC1245" s="462" t="s">
        <v>4949</v>
      </c>
      <c r="AD1245" s="464">
        <v>163.4787</v>
      </c>
      <c r="AE1245" s="465">
        <v>6.7048399999999999</v>
      </c>
      <c r="AF1245" s="86">
        <f>IF(verze!$E$1="CZK",AD1245,IF(verze!$E$1="SK",AE1245,""))</f>
        <v>6.7048399999999999</v>
      </c>
    </row>
    <row r="1246" spans="27:32" ht="15">
      <c r="AA1246" s="463" t="s">
        <v>4950</v>
      </c>
      <c r="AB1246" s="462" t="s">
        <v>4951</v>
      </c>
      <c r="AC1246" s="462" t="s">
        <v>4952</v>
      </c>
      <c r="AD1246" s="464">
        <v>200.93940000000001</v>
      </c>
      <c r="AE1246" s="465">
        <v>8.2412399999999995</v>
      </c>
      <c r="AF1246" s="86">
        <f>IF(verze!$E$1="CZK",AD1246,IF(verze!$E$1="SK",AE1246,""))</f>
        <v>8.2412399999999995</v>
      </c>
    </row>
    <row r="1247" spans="27:32" ht="15">
      <c r="AA1247" s="463" t="s">
        <v>4953</v>
      </c>
      <c r="AB1247" s="462" t="s">
        <v>4954</v>
      </c>
      <c r="AC1247" s="462" t="s">
        <v>4955</v>
      </c>
      <c r="AD1247" s="464">
        <v>2.0480499999999999</v>
      </c>
      <c r="AE1247" s="465">
        <v>8.4000000000000005E-2</v>
      </c>
      <c r="AF1247" s="86">
        <f>IF(verze!$E$1="CZK",AD1247,IF(verze!$E$1="SK",AE1247,""))</f>
        <v>8.4000000000000005E-2</v>
      </c>
    </row>
    <row r="1248" spans="27:32" ht="15">
      <c r="AA1248" s="463" t="s">
        <v>4956</v>
      </c>
      <c r="AB1248" s="462" t="s">
        <v>4957</v>
      </c>
      <c r="AC1248" s="462" t="s">
        <v>4958</v>
      </c>
      <c r="AD1248" s="464">
        <v>1.9884500000000001</v>
      </c>
      <c r="AE1248" s="465">
        <v>8.1559999999999994E-2</v>
      </c>
      <c r="AF1248" s="86">
        <f>IF(verze!$E$1="CZK",AD1248,IF(verze!$E$1="SK",AE1248,""))</f>
        <v>8.1559999999999994E-2</v>
      </c>
    </row>
    <row r="1249" spans="27:32" ht="15">
      <c r="AA1249" s="463" t="s">
        <v>4959</v>
      </c>
      <c r="AB1249" s="462" t="s">
        <v>4960</v>
      </c>
      <c r="AC1249" s="462" t="s">
        <v>4961</v>
      </c>
      <c r="AD1249" s="464">
        <v>85.913650000000004</v>
      </c>
      <c r="AE1249" s="465">
        <v>3.5236200000000002</v>
      </c>
      <c r="AF1249" s="86">
        <f>IF(verze!$E$1="CZK",AD1249,IF(verze!$E$1="SK",AE1249,""))</f>
        <v>3.5236200000000002</v>
      </c>
    </row>
    <row r="1250" spans="27:32" ht="15">
      <c r="AA1250" s="463" t="s">
        <v>4962</v>
      </c>
      <c r="AB1250" s="462" t="s">
        <v>4963</v>
      </c>
      <c r="AC1250" s="462" t="s">
        <v>4964</v>
      </c>
      <c r="AD1250" s="464">
        <v>10.780200000000001</v>
      </c>
      <c r="AE1250" s="465">
        <v>0.44212000000000001</v>
      </c>
      <c r="AF1250" s="86">
        <f>IF(verze!$E$1="CZK",AD1250,IF(verze!$E$1="SK",AE1250,""))</f>
        <v>0.44212000000000001</v>
      </c>
    </row>
    <row r="1251" spans="27:32" ht="15">
      <c r="AA1251" s="463" t="s">
        <v>4965</v>
      </c>
      <c r="AB1251" s="462" t="s">
        <v>4966</v>
      </c>
      <c r="AC1251" s="462" t="s">
        <v>4967</v>
      </c>
      <c r="AD1251" s="464">
        <v>10.780200000000001</v>
      </c>
      <c r="AE1251" s="465">
        <v>0.44212000000000001</v>
      </c>
      <c r="AF1251" s="86">
        <f>IF(verze!$E$1="CZK",AD1251,IF(verze!$E$1="SK",AE1251,""))</f>
        <v>0.44212000000000001</v>
      </c>
    </row>
    <row r="1252" spans="27:32" ht="15">
      <c r="AA1252" s="463" t="s">
        <v>4968</v>
      </c>
      <c r="AB1252" s="462" t="s">
        <v>4969</v>
      </c>
      <c r="AC1252" s="462" t="s">
        <v>4970</v>
      </c>
      <c r="AD1252" s="464">
        <v>272.61989</v>
      </c>
      <c r="AE1252" s="465">
        <v>10.90616</v>
      </c>
      <c r="AF1252" s="86">
        <f>IF(verze!$E$1="CZK",AD1252,IF(verze!$E$1="SK",AE1252,""))</f>
        <v>10.90616</v>
      </c>
    </row>
    <row r="1253" spans="27:32" ht="15">
      <c r="AA1253" s="463" t="s">
        <v>4971</v>
      </c>
      <c r="AB1253" s="462" t="s">
        <v>4972</v>
      </c>
      <c r="AC1253" s="462" t="s">
        <v>4973</v>
      </c>
      <c r="AD1253" s="464">
        <v>28.813880000000001</v>
      </c>
      <c r="AE1253" s="465">
        <v>1.1527000000000001</v>
      </c>
      <c r="AF1253" s="86">
        <f>IF(verze!$E$1="CZK",AD1253,IF(verze!$E$1="SK",AE1253,""))</f>
        <v>1.1527000000000001</v>
      </c>
    </row>
    <row r="1254" spans="27:32" ht="15">
      <c r="AA1254" s="463" t="s">
        <v>4974</v>
      </c>
      <c r="AB1254" s="462" t="s">
        <v>4975</v>
      </c>
      <c r="AC1254" s="462" t="s">
        <v>4976</v>
      </c>
      <c r="AD1254" s="464">
        <v>480.27107999999998</v>
      </c>
      <c r="AE1254" s="465">
        <v>22.00264</v>
      </c>
      <c r="AF1254" s="86">
        <f>IF(verze!$E$1="CZK",AD1254,IF(verze!$E$1="SK",AE1254,""))</f>
        <v>22.00264</v>
      </c>
    </row>
    <row r="1255" spans="27:32" ht="15">
      <c r="AA1255" s="463" t="s">
        <v>4974</v>
      </c>
      <c r="AB1255" s="462" t="s">
        <v>4977</v>
      </c>
      <c r="AC1255" s="462" t="s">
        <v>4978</v>
      </c>
      <c r="AD1255" s="464">
        <v>467.49790999999999</v>
      </c>
      <c r="AE1255" s="465">
        <v>17.565860000000001</v>
      </c>
      <c r="AF1255" s="86">
        <f>IF(verze!$E$1="CZK",AD1255,IF(verze!$E$1="SK",AE1255,""))</f>
        <v>17.565860000000001</v>
      </c>
    </row>
    <row r="1256" spans="27:32" ht="15">
      <c r="AA1256" s="463" t="s">
        <v>4979</v>
      </c>
      <c r="AB1256" s="462" t="s">
        <v>4980</v>
      </c>
      <c r="AC1256" s="462" t="s">
        <v>4981</v>
      </c>
      <c r="AD1256" s="464">
        <v>0</v>
      </c>
      <c r="AE1256" s="465">
        <v>0</v>
      </c>
      <c r="AF1256" s="86">
        <f>IF(verze!$E$1="CZK",AD1256,IF(verze!$E$1="SK",AE1256,""))</f>
        <v>0</v>
      </c>
    </row>
    <row r="1257" spans="27:32" ht="15">
      <c r="AA1257" s="463" t="s">
        <v>4979</v>
      </c>
      <c r="AB1257" s="462" t="s">
        <v>4982</v>
      </c>
      <c r="AC1257" s="462" t="s">
        <v>4983</v>
      </c>
      <c r="AD1257" s="464">
        <v>1.7689699999999999</v>
      </c>
      <c r="AE1257" s="465">
        <v>8.5089999999999999E-2</v>
      </c>
      <c r="AF1257" s="86">
        <f>IF(verze!$E$1="CZK",AD1257,IF(verze!$E$1="SK",AE1257,""))</f>
        <v>8.5089999999999999E-2</v>
      </c>
    </row>
    <row r="1258" spans="27:32" ht="15">
      <c r="AA1258" s="463" t="s">
        <v>4984</v>
      </c>
      <c r="AB1258" s="462" t="s">
        <v>4985</v>
      </c>
      <c r="AC1258" s="462" t="s">
        <v>4986</v>
      </c>
      <c r="AD1258" s="464">
        <v>55.00694</v>
      </c>
      <c r="AE1258" s="465">
        <v>2.64602</v>
      </c>
      <c r="AF1258" s="86">
        <f>IF(verze!$E$1="CZK",AD1258,IF(verze!$E$1="SK",AE1258,""))</f>
        <v>2.64602</v>
      </c>
    </row>
    <row r="1259" spans="27:32" ht="15">
      <c r="AA1259" s="463" t="s">
        <v>4987</v>
      </c>
      <c r="AB1259" s="462" t="s">
        <v>4988</v>
      </c>
      <c r="AC1259" s="462" t="s">
        <v>4989</v>
      </c>
      <c r="AD1259" s="464">
        <v>55.00694</v>
      </c>
      <c r="AE1259" s="465">
        <v>2.64602</v>
      </c>
      <c r="AF1259" s="86">
        <f>IF(verze!$E$1="CZK",AD1259,IF(verze!$E$1="SK",AE1259,""))</f>
        <v>2.64602</v>
      </c>
    </row>
    <row r="1260" spans="27:32" ht="15">
      <c r="AA1260" s="463" t="s">
        <v>4990</v>
      </c>
      <c r="AB1260" s="462" t="s">
        <v>4991</v>
      </c>
      <c r="AC1260" s="462" t="s">
        <v>4992</v>
      </c>
      <c r="AD1260" s="464">
        <v>98.891670000000005</v>
      </c>
      <c r="AE1260" s="465">
        <v>4.7570699999999997</v>
      </c>
      <c r="AF1260" s="86">
        <f>IF(verze!$E$1="CZK",AD1260,IF(verze!$E$1="SK",AE1260,""))</f>
        <v>4.7570699999999997</v>
      </c>
    </row>
    <row r="1261" spans="27:32" ht="15">
      <c r="AA1261" s="463" t="s">
        <v>4993</v>
      </c>
      <c r="AB1261" s="462" t="s">
        <v>4994</v>
      </c>
      <c r="AC1261" s="462" t="s">
        <v>4995</v>
      </c>
      <c r="AD1261" s="464">
        <v>130.67775</v>
      </c>
      <c r="AE1261" s="465">
        <v>6.2860800000000001</v>
      </c>
      <c r="AF1261" s="86">
        <f>IF(verze!$E$1="CZK",AD1261,IF(verze!$E$1="SK",AE1261,""))</f>
        <v>6.2860800000000001</v>
      </c>
    </row>
    <row r="1262" spans="27:32" ht="15">
      <c r="AA1262" s="463" t="s">
        <v>4996</v>
      </c>
      <c r="AB1262" s="462" t="s">
        <v>4997</v>
      </c>
      <c r="AC1262" s="462" t="s">
        <v>4998</v>
      </c>
      <c r="AD1262" s="464">
        <v>141.27314999999999</v>
      </c>
      <c r="AE1262" s="465">
        <v>6.79575</v>
      </c>
      <c r="AF1262" s="86">
        <f>IF(verze!$E$1="CZK",AD1262,IF(verze!$E$1="SK",AE1262,""))</f>
        <v>6.79575</v>
      </c>
    </row>
    <row r="1263" spans="27:32" ht="15">
      <c r="AA1263" s="463" t="s">
        <v>4999</v>
      </c>
      <c r="AB1263" s="462" t="s">
        <v>5000</v>
      </c>
      <c r="AC1263" s="462" t="s">
        <v>5001</v>
      </c>
      <c r="AD1263" s="464">
        <v>49.693429999999999</v>
      </c>
      <c r="AE1263" s="465">
        <v>1.988</v>
      </c>
      <c r="AF1263" s="86">
        <f>IF(verze!$E$1="CZK",AD1263,IF(verze!$E$1="SK",AE1263,""))</f>
        <v>1.988</v>
      </c>
    </row>
    <row r="1264" spans="27:32" ht="15">
      <c r="AA1264" s="463" t="s">
        <v>5002</v>
      </c>
      <c r="AB1264" s="462" t="s">
        <v>5003</v>
      </c>
      <c r="AC1264" s="462" t="s">
        <v>5004</v>
      </c>
      <c r="AD1264" s="464">
        <v>4.2647199999999996</v>
      </c>
      <c r="AE1264" s="465">
        <v>0.1749</v>
      </c>
      <c r="AF1264" s="86">
        <f>IF(verze!$E$1="CZK",AD1264,IF(verze!$E$1="SK",AE1264,""))</f>
        <v>0.1749</v>
      </c>
    </row>
    <row r="1265" spans="27:32" ht="15">
      <c r="AA1265" s="463" t="s">
        <v>5005</v>
      </c>
      <c r="AB1265" s="462" t="s">
        <v>5006</v>
      </c>
      <c r="AC1265" s="462" t="s">
        <v>5007</v>
      </c>
      <c r="AD1265" s="464">
        <v>33.958829999999999</v>
      </c>
      <c r="AE1265" s="465">
        <v>1.6335500000000001</v>
      </c>
      <c r="AF1265" s="86">
        <f>IF(verze!$E$1="CZK",AD1265,IF(verze!$E$1="SK",AE1265,""))</f>
        <v>1.6335500000000001</v>
      </c>
    </row>
    <row r="1266" spans="27:32" ht="15">
      <c r="AA1266" s="463" t="s">
        <v>5008</v>
      </c>
      <c r="AB1266" s="462" t="s">
        <v>5009</v>
      </c>
      <c r="AC1266" s="462" t="s">
        <v>5010</v>
      </c>
      <c r="AD1266" s="464">
        <v>11.32117</v>
      </c>
      <c r="AE1266" s="465">
        <v>0</v>
      </c>
      <c r="AF1266" s="86">
        <f>IF(verze!$E$1="CZK",AD1266,IF(verze!$E$1="SK",AE1266,""))</f>
        <v>0</v>
      </c>
    </row>
    <row r="1267" spans="27:32" ht="15">
      <c r="AA1267" s="463" t="s">
        <v>5011</v>
      </c>
      <c r="AB1267" s="462" t="s">
        <v>5012</v>
      </c>
      <c r="AC1267" s="462" t="s">
        <v>5013</v>
      </c>
      <c r="AD1267" s="464">
        <v>21.10229</v>
      </c>
      <c r="AE1267" s="465">
        <v>1.0150999999999999</v>
      </c>
      <c r="AF1267" s="86">
        <f>IF(verze!$E$1="CZK",AD1267,IF(verze!$E$1="SK",AE1267,""))</f>
        <v>1.0150999999999999</v>
      </c>
    </row>
    <row r="1268" spans="27:32" ht="15">
      <c r="AA1268" s="463" t="s">
        <v>5014</v>
      </c>
      <c r="AB1268" s="462" t="s">
        <v>5015</v>
      </c>
      <c r="AC1268" s="462" t="s">
        <v>5016</v>
      </c>
      <c r="AD1268" s="464">
        <v>168.48760999999999</v>
      </c>
      <c r="AE1268" s="465">
        <v>6.7403500000000003</v>
      </c>
      <c r="AF1268" s="86">
        <f>IF(verze!$E$1="CZK",AD1268,IF(verze!$E$1="SK",AE1268,""))</f>
        <v>6.7403500000000003</v>
      </c>
    </row>
    <row r="1269" spans="27:32" ht="15">
      <c r="AA1269" s="463" t="s">
        <v>5017</v>
      </c>
      <c r="AB1269" s="462" t="s">
        <v>5018</v>
      </c>
      <c r="AC1269" s="462" t="s">
        <v>5019</v>
      </c>
      <c r="AD1269" s="464">
        <v>67.034710000000004</v>
      </c>
      <c r="AE1269" s="465">
        <v>2.6817199999999999</v>
      </c>
      <c r="AF1269" s="86">
        <f>IF(verze!$E$1="CZK",AD1269,IF(verze!$E$1="SK",AE1269,""))</f>
        <v>2.6817199999999999</v>
      </c>
    </row>
    <row r="1270" spans="27:32" ht="15">
      <c r="AA1270" s="463" t="s">
        <v>5020</v>
      </c>
      <c r="AB1270" s="462" t="s">
        <v>5021</v>
      </c>
      <c r="AC1270" s="462" t="s">
        <v>5022</v>
      </c>
      <c r="AD1270" s="464">
        <v>71.8947</v>
      </c>
      <c r="AE1270" s="465">
        <v>2.87615</v>
      </c>
      <c r="AF1270" s="86">
        <f>IF(verze!$E$1="CZK",AD1270,IF(verze!$E$1="SK",AE1270,""))</f>
        <v>2.87615</v>
      </c>
    </row>
    <row r="1271" spans="27:32" ht="15">
      <c r="AA1271" s="463" t="s">
        <v>5023</v>
      </c>
      <c r="AB1271" s="462" t="s">
        <v>5024</v>
      </c>
      <c r="AC1271" s="462" t="s">
        <v>5025</v>
      </c>
      <c r="AD1271" s="464">
        <v>48.626739999999998</v>
      </c>
      <c r="AE1271" s="465">
        <v>2.2886000000000002</v>
      </c>
      <c r="AF1271" s="86">
        <f>IF(verze!$E$1="CZK",AD1271,IF(verze!$E$1="SK",AE1271,""))</f>
        <v>2.2886000000000002</v>
      </c>
    </row>
    <row r="1272" spans="27:32" ht="15">
      <c r="AA1272" s="463" t="s">
        <v>5023</v>
      </c>
      <c r="AB1272" s="462" t="s">
        <v>5026</v>
      </c>
      <c r="AC1272" s="462" t="s">
        <v>5027</v>
      </c>
      <c r="AD1272" s="464">
        <v>46.974339999999998</v>
      </c>
      <c r="AE1272" s="465">
        <v>2.8904800000000002</v>
      </c>
      <c r="AF1272" s="86">
        <f>IF(verze!$E$1="CZK",AD1272,IF(verze!$E$1="SK",AE1272,""))</f>
        <v>2.8904800000000002</v>
      </c>
    </row>
    <row r="1273" spans="27:32" ht="15">
      <c r="AA1273" s="463" t="s">
        <v>5028</v>
      </c>
      <c r="AB1273" s="462" t="s">
        <v>5029</v>
      </c>
      <c r="AC1273" s="462" t="s">
        <v>5030</v>
      </c>
      <c r="AD1273" s="464">
        <v>48.626739999999998</v>
      </c>
      <c r="AE1273" s="465">
        <v>2.2886000000000002</v>
      </c>
      <c r="AF1273" s="86">
        <f>IF(verze!$E$1="CZK",AD1273,IF(verze!$E$1="SK",AE1273,""))</f>
        <v>2.2886000000000002</v>
      </c>
    </row>
    <row r="1274" spans="27:32" ht="15">
      <c r="AA1274" s="463" t="s">
        <v>5028</v>
      </c>
      <c r="AB1274" s="462" t="s">
        <v>5031</v>
      </c>
      <c r="AC1274" s="462" t="s">
        <v>5032</v>
      </c>
      <c r="AD1274" s="464">
        <v>46.974339999999998</v>
      </c>
      <c r="AE1274" s="465">
        <v>2.8904800000000002</v>
      </c>
      <c r="AF1274" s="86">
        <f>IF(verze!$E$1="CZK",AD1274,IF(verze!$E$1="SK",AE1274,""))</f>
        <v>2.8904800000000002</v>
      </c>
    </row>
    <row r="1275" spans="27:32" ht="15">
      <c r="AA1275" s="463" t="s">
        <v>5033</v>
      </c>
      <c r="AB1275" s="462" t="s">
        <v>5034</v>
      </c>
      <c r="AC1275" s="462" t="s">
        <v>5035</v>
      </c>
      <c r="AD1275" s="464">
        <v>411.53805</v>
      </c>
      <c r="AE1275" s="465">
        <v>16.878620000000002</v>
      </c>
      <c r="AF1275" s="86">
        <f>IF(verze!$E$1="CZK",AD1275,IF(verze!$E$1="SK",AE1275,""))</f>
        <v>16.878620000000002</v>
      </c>
    </row>
    <row r="1276" spans="27:32" ht="15">
      <c r="AA1276" s="463" t="s">
        <v>5036</v>
      </c>
      <c r="AB1276" s="462" t="s">
        <v>5037</v>
      </c>
      <c r="AC1276" s="462" t="s">
        <v>5038</v>
      </c>
      <c r="AD1276" s="464">
        <v>3.0135200000000002</v>
      </c>
      <c r="AE1276" s="465">
        <v>0.1236</v>
      </c>
      <c r="AF1276" s="86">
        <f>IF(verze!$E$1="CZK",AD1276,IF(verze!$E$1="SK",AE1276,""))</f>
        <v>0.1236</v>
      </c>
    </row>
    <row r="1277" spans="27:32" ht="15">
      <c r="AA1277" s="463" t="s">
        <v>5036</v>
      </c>
      <c r="AB1277" s="462" t="s">
        <v>5039</v>
      </c>
      <c r="AC1277" s="462" t="s">
        <v>5040</v>
      </c>
      <c r="AD1277" s="464">
        <v>2.6260699999999999</v>
      </c>
      <c r="AE1277" s="465">
        <v>8.7859999999999994E-2</v>
      </c>
      <c r="AF1277" s="86">
        <f>IF(verze!$E$1="CZK",AD1277,IF(verze!$E$1="SK",AE1277,""))</f>
        <v>8.7859999999999994E-2</v>
      </c>
    </row>
    <row r="1278" spans="27:32" ht="15">
      <c r="AA1278" s="463" t="s">
        <v>5041</v>
      </c>
      <c r="AB1278" s="462" t="s">
        <v>5042</v>
      </c>
      <c r="AC1278" s="462" t="s">
        <v>5043</v>
      </c>
      <c r="AD1278" s="464">
        <v>175.84441000000001</v>
      </c>
      <c r="AE1278" s="465">
        <v>7.0346700000000002</v>
      </c>
      <c r="AF1278" s="86">
        <f>IF(verze!$E$1="CZK",AD1278,IF(verze!$E$1="SK",AE1278,""))</f>
        <v>7.0346700000000002</v>
      </c>
    </row>
    <row r="1279" spans="27:32" ht="15">
      <c r="AA1279" s="463" t="s">
        <v>5044</v>
      </c>
      <c r="AB1279" s="462" t="s">
        <v>5045</v>
      </c>
      <c r="AC1279" s="462" t="s">
        <v>5046</v>
      </c>
      <c r="AD1279" s="464">
        <v>953.36838</v>
      </c>
      <c r="AE1279" s="465">
        <v>38.139479999999999</v>
      </c>
      <c r="AF1279" s="86">
        <f>IF(verze!$E$1="CZK",AD1279,IF(verze!$E$1="SK",AE1279,""))</f>
        <v>38.139479999999999</v>
      </c>
    </row>
    <row r="1280" spans="27:32" ht="15">
      <c r="AA1280" s="463" t="s">
        <v>5047</v>
      </c>
      <c r="AB1280" s="462" t="s">
        <v>5048</v>
      </c>
      <c r="AC1280" s="462" t="s">
        <v>5049</v>
      </c>
      <c r="AD1280" s="464">
        <v>1084.1150399999999</v>
      </c>
      <c r="AE1280" s="465">
        <v>43.369990000000001</v>
      </c>
      <c r="AF1280" s="86">
        <f>IF(verze!$E$1="CZK",AD1280,IF(verze!$E$1="SK",AE1280,""))</f>
        <v>43.369990000000001</v>
      </c>
    </row>
    <row r="1281" spans="27:32" ht="15">
      <c r="AA1281" s="463" t="s">
        <v>5050</v>
      </c>
      <c r="AB1281" s="462" t="s">
        <v>5051</v>
      </c>
      <c r="AC1281" s="462" t="s">
        <v>5052</v>
      </c>
      <c r="AD1281" s="464">
        <v>1096.2664199999999</v>
      </c>
      <c r="AE1281" s="465">
        <v>43.856110000000001</v>
      </c>
      <c r="AF1281" s="86">
        <f>IF(verze!$E$1="CZK",AD1281,IF(verze!$E$1="SK",AE1281,""))</f>
        <v>43.856110000000001</v>
      </c>
    </row>
    <row r="1282" spans="27:32" ht="15">
      <c r="AA1282" s="463" t="s">
        <v>5053</v>
      </c>
      <c r="AB1282" s="462" t="s">
        <v>5054</v>
      </c>
      <c r="AC1282" s="462" t="s">
        <v>5055</v>
      </c>
      <c r="AD1282" s="464">
        <v>1129.21279</v>
      </c>
      <c r="AE1282" s="465">
        <v>45.174129999999998</v>
      </c>
      <c r="AF1282" s="86">
        <f>IF(verze!$E$1="CZK",AD1282,IF(verze!$E$1="SK",AE1282,""))</f>
        <v>45.174129999999998</v>
      </c>
    </row>
    <row r="1283" spans="27:32" ht="15">
      <c r="AA1283" s="463" t="s">
        <v>5056</v>
      </c>
      <c r="AB1283" s="462" t="s">
        <v>5057</v>
      </c>
      <c r="AC1283" s="462" t="s">
        <v>5058</v>
      </c>
      <c r="AD1283" s="464">
        <v>1306.4987100000001</v>
      </c>
      <c r="AE1283" s="465">
        <v>0</v>
      </c>
      <c r="AF1283" s="86">
        <f>IF(verze!$E$1="CZK",AD1283,IF(verze!$E$1="SK",AE1283,""))</f>
        <v>0</v>
      </c>
    </row>
    <row r="1284" spans="27:32" ht="15">
      <c r="AA1284" s="463" t="s">
        <v>5059</v>
      </c>
      <c r="AB1284" s="462" t="s">
        <v>5060</v>
      </c>
      <c r="AC1284" s="462" t="s">
        <v>5061</v>
      </c>
      <c r="AD1284" s="464">
        <v>1170.42353</v>
      </c>
      <c r="AE1284" s="465">
        <v>46.822780000000002</v>
      </c>
      <c r="AF1284" s="86">
        <f>IF(verze!$E$1="CZK",AD1284,IF(verze!$E$1="SK",AE1284,""))</f>
        <v>46.822780000000002</v>
      </c>
    </row>
    <row r="1285" spans="27:32" ht="15">
      <c r="AA1285" s="463" t="s">
        <v>5062</v>
      </c>
      <c r="AB1285" s="462" t="s">
        <v>5063</v>
      </c>
      <c r="AC1285" s="462" t="s">
        <v>5064</v>
      </c>
      <c r="AD1285" s="464">
        <v>61.435639999999999</v>
      </c>
      <c r="AE1285" s="465">
        <v>2.9552900000000002</v>
      </c>
      <c r="AF1285" s="86">
        <f>IF(verze!$E$1="CZK",AD1285,IF(verze!$E$1="SK",AE1285,""))</f>
        <v>2.9552900000000002</v>
      </c>
    </row>
    <row r="1286" spans="27:32" ht="15">
      <c r="AA1286" s="463" t="s">
        <v>5065</v>
      </c>
      <c r="AB1286" s="462" t="s">
        <v>5066</v>
      </c>
      <c r="AC1286" s="462" t="s">
        <v>5067</v>
      </c>
      <c r="AD1286" s="464">
        <v>204.84522999999999</v>
      </c>
      <c r="AE1286" s="465">
        <v>9.85379</v>
      </c>
      <c r="AF1286" s="86">
        <f>IF(verze!$E$1="CZK",AD1286,IF(verze!$E$1="SK",AE1286,""))</f>
        <v>9.85379</v>
      </c>
    </row>
    <row r="1287" spans="27:32" ht="15">
      <c r="AA1287" s="463" t="s">
        <v>5068</v>
      </c>
      <c r="AB1287" s="462" t="s">
        <v>5069</v>
      </c>
      <c r="AC1287" s="462" t="s">
        <v>5070</v>
      </c>
      <c r="AD1287" s="464">
        <v>19.602889999999999</v>
      </c>
      <c r="AE1287" s="465">
        <v>0.80398000000000003</v>
      </c>
      <c r="AF1287" s="86">
        <f>IF(verze!$E$1="CZK",AD1287,IF(verze!$E$1="SK",AE1287,""))</f>
        <v>0.80398000000000003</v>
      </c>
    </row>
    <row r="1288" spans="27:32" ht="15">
      <c r="AA1288" s="463" t="s">
        <v>5071</v>
      </c>
      <c r="AB1288" s="462" t="s">
        <v>5072</v>
      </c>
      <c r="AC1288" s="462" t="s">
        <v>5073</v>
      </c>
      <c r="AD1288" s="464">
        <v>1.43147</v>
      </c>
      <c r="AE1288" s="465">
        <v>6.8860000000000005E-2</v>
      </c>
      <c r="AF1288" s="86">
        <f>IF(verze!$E$1="CZK",AD1288,IF(verze!$E$1="SK",AE1288,""))</f>
        <v>6.8860000000000005E-2</v>
      </c>
    </row>
    <row r="1289" spans="27:32" ht="15">
      <c r="AA1289" s="463" t="s">
        <v>5074</v>
      </c>
      <c r="AB1289" s="462" t="s">
        <v>5075</v>
      </c>
      <c r="AC1289" s="462" t="s">
        <v>5076</v>
      </c>
      <c r="AD1289" s="464">
        <v>81.407529999999994</v>
      </c>
      <c r="AE1289" s="465">
        <v>3.83142</v>
      </c>
      <c r="AF1289" s="86">
        <f>IF(verze!$E$1="CZK",AD1289,IF(verze!$E$1="SK",AE1289,""))</f>
        <v>3.83142</v>
      </c>
    </row>
    <row r="1290" spans="27:32" ht="15">
      <c r="AA1290" s="463" t="s">
        <v>5074</v>
      </c>
      <c r="AB1290" s="462" t="s">
        <v>5077</v>
      </c>
      <c r="AC1290" s="462" t="s">
        <v>5078</v>
      </c>
      <c r="AD1290" s="464">
        <v>78.639690000000002</v>
      </c>
      <c r="AE1290" s="465">
        <v>3.6235499999999998</v>
      </c>
      <c r="AF1290" s="86">
        <f>IF(verze!$E$1="CZK",AD1290,IF(verze!$E$1="SK",AE1290,""))</f>
        <v>3.6235499999999998</v>
      </c>
    </row>
    <row r="1291" spans="27:32" ht="15">
      <c r="AA1291" s="463" t="s">
        <v>5079</v>
      </c>
      <c r="AB1291" s="462" t="s">
        <v>5080</v>
      </c>
      <c r="AC1291" s="462" t="s">
        <v>5081</v>
      </c>
      <c r="AD1291" s="464">
        <v>81.407529999999994</v>
      </c>
      <c r="AE1291" s="465">
        <v>3.83142</v>
      </c>
      <c r="AF1291" s="86">
        <f>IF(verze!$E$1="CZK",AD1291,IF(verze!$E$1="SK",AE1291,""))</f>
        <v>3.83142</v>
      </c>
    </row>
    <row r="1292" spans="27:32" ht="15">
      <c r="AA1292" s="463" t="s">
        <v>5079</v>
      </c>
      <c r="AB1292" s="462" t="s">
        <v>5082</v>
      </c>
      <c r="AC1292" s="462" t="s">
        <v>5083</v>
      </c>
      <c r="AD1292" s="464">
        <v>78.639690000000002</v>
      </c>
      <c r="AE1292" s="465">
        <v>3.6235499999999998</v>
      </c>
      <c r="AF1292" s="86">
        <f>IF(verze!$E$1="CZK",AD1292,IF(verze!$E$1="SK",AE1292,""))</f>
        <v>3.6235499999999998</v>
      </c>
    </row>
    <row r="1293" spans="27:32" ht="15">
      <c r="AA1293" s="463" t="s">
        <v>5084</v>
      </c>
      <c r="AB1293" s="462" t="s">
        <v>5085</v>
      </c>
      <c r="AC1293" s="462" t="s">
        <v>5086</v>
      </c>
      <c r="AD1293" s="464">
        <v>164.89742000000001</v>
      </c>
      <c r="AE1293" s="465">
        <v>0</v>
      </c>
      <c r="AF1293" s="86">
        <f>IF(verze!$E$1="CZK",AD1293,IF(verze!$E$1="SK",AE1293,""))</f>
        <v>0</v>
      </c>
    </row>
    <row r="1294" spans="27:32" ht="15">
      <c r="AA1294" s="463" t="s">
        <v>5087</v>
      </c>
      <c r="AB1294" s="462" t="s">
        <v>5088</v>
      </c>
      <c r="AC1294" s="462" t="s">
        <v>5089</v>
      </c>
      <c r="AD1294" s="464">
        <v>42.119390000000003</v>
      </c>
      <c r="AE1294" s="465">
        <v>1.72746</v>
      </c>
      <c r="AF1294" s="86">
        <f>IF(verze!$E$1="CZK",AD1294,IF(verze!$E$1="SK",AE1294,""))</f>
        <v>1.72746</v>
      </c>
    </row>
    <row r="1295" spans="27:32" ht="15">
      <c r="AA1295" s="463" t="s">
        <v>5090</v>
      </c>
      <c r="AB1295" s="462" t="s">
        <v>5091</v>
      </c>
      <c r="AC1295" s="462" t="s">
        <v>5092</v>
      </c>
      <c r="AD1295" s="464">
        <v>190.74785</v>
      </c>
      <c r="AE1295" s="465">
        <v>7.1195700000000004</v>
      </c>
      <c r="AF1295" s="86">
        <f>IF(verze!$E$1="CZK",AD1295,IF(verze!$E$1="SK",AE1295,""))</f>
        <v>7.1195700000000004</v>
      </c>
    </row>
    <row r="1296" spans="27:32" ht="15">
      <c r="AA1296" s="463" t="s">
        <v>5093</v>
      </c>
      <c r="AB1296" s="462" t="s">
        <v>5094</v>
      </c>
      <c r="AC1296" s="462" t="s">
        <v>5095</v>
      </c>
      <c r="AD1296" s="464">
        <v>17.713450000000002</v>
      </c>
      <c r="AE1296" s="465">
        <v>0.85209999999999997</v>
      </c>
      <c r="AF1296" s="86">
        <f>IF(verze!$E$1="CZK",AD1296,IF(verze!$E$1="SK",AE1296,""))</f>
        <v>0.85209999999999997</v>
      </c>
    </row>
    <row r="1297" spans="27:32" ht="15">
      <c r="AA1297" s="463" t="s">
        <v>5096</v>
      </c>
      <c r="AB1297" s="462" t="s">
        <v>5097</v>
      </c>
      <c r="AC1297" s="462" t="s">
        <v>5098</v>
      </c>
      <c r="AD1297" s="464">
        <v>671.42084999999997</v>
      </c>
      <c r="AE1297" s="465">
        <v>26.860189999999999</v>
      </c>
      <c r="AF1297" s="86">
        <f>IF(verze!$E$1="CZK",AD1297,IF(verze!$E$1="SK",AE1297,""))</f>
        <v>26.860189999999999</v>
      </c>
    </row>
    <row r="1298" spans="27:32" ht="15">
      <c r="AA1298" s="463" t="s">
        <v>5099</v>
      </c>
      <c r="AB1298" s="462" t="s">
        <v>5100</v>
      </c>
      <c r="AC1298" s="462" t="s">
        <v>5101</v>
      </c>
      <c r="AD1298" s="464">
        <v>651.86897999999997</v>
      </c>
      <c r="AE1298" s="465">
        <v>26.077999999999999</v>
      </c>
      <c r="AF1298" s="86">
        <f>IF(verze!$E$1="CZK",AD1298,IF(verze!$E$1="SK",AE1298,""))</f>
        <v>26.077999999999999</v>
      </c>
    </row>
    <row r="1299" spans="27:32" ht="15">
      <c r="AA1299" s="463" t="s">
        <v>5102</v>
      </c>
      <c r="AB1299" s="462" t="s">
        <v>5103</v>
      </c>
      <c r="AC1299" s="462" t="s">
        <v>5104</v>
      </c>
      <c r="AD1299" s="464">
        <v>19.929729999999999</v>
      </c>
      <c r="AE1299" s="465">
        <v>0.95869000000000004</v>
      </c>
      <c r="AF1299" s="86">
        <f>IF(verze!$E$1="CZK",AD1299,IF(verze!$E$1="SK",AE1299,""))</f>
        <v>0.95869000000000004</v>
      </c>
    </row>
    <row r="1300" spans="27:32" ht="15">
      <c r="AA1300" s="463" t="s">
        <v>5105</v>
      </c>
      <c r="AB1300" s="462" t="s">
        <v>5106</v>
      </c>
      <c r="AC1300" s="462" t="s">
        <v>5107</v>
      </c>
      <c r="AD1300" s="464">
        <v>20.441770000000002</v>
      </c>
      <c r="AE1300" s="465">
        <v>0.98333000000000004</v>
      </c>
      <c r="AF1300" s="86">
        <f>IF(verze!$E$1="CZK",AD1300,IF(verze!$E$1="SK",AE1300,""))</f>
        <v>0.98333000000000004</v>
      </c>
    </row>
    <row r="1301" spans="27:32" ht="15">
      <c r="AA1301" s="463" t="s">
        <v>5108</v>
      </c>
      <c r="AB1301" s="462" t="s">
        <v>5109</v>
      </c>
      <c r="AC1301" s="462" t="s">
        <v>5110</v>
      </c>
      <c r="AD1301" s="464">
        <v>74.604100000000003</v>
      </c>
      <c r="AE1301" s="465">
        <v>2.98454</v>
      </c>
      <c r="AF1301" s="86">
        <f>IF(verze!$E$1="CZK",AD1301,IF(verze!$E$1="SK",AE1301,""))</f>
        <v>2.98454</v>
      </c>
    </row>
    <row r="1302" spans="27:32" ht="15">
      <c r="AA1302" s="463" t="s">
        <v>5111</v>
      </c>
      <c r="AB1302" s="462" t="s">
        <v>5112</v>
      </c>
      <c r="AC1302" s="462" t="s">
        <v>5113</v>
      </c>
      <c r="AD1302" s="464">
        <v>76.844660000000005</v>
      </c>
      <c r="AE1302" s="465">
        <v>3.07416</v>
      </c>
      <c r="AF1302" s="86">
        <f>IF(verze!$E$1="CZK",AD1302,IF(verze!$E$1="SK",AE1302,""))</f>
        <v>3.07416</v>
      </c>
    </row>
    <row r="1303" spans="27:32" ht="15">
      <c r="AA1303" s="463" t="s">
        <v>5114</v>
      </c>
      <c r="AB1303" s="462" t="s">
        <v>5115</v>
      </c>
      <c r="AC1303" s="462" t="s">
        <v>5116</v>
      </c>
      <c r="AD1303" s="464">
        <v>85.013819999999996</v>
      </c>
      <c r="AE1303" s="465">
        <v>3.4009900000000002</v>
      </c>
      <c r="AF1303" s="86">
        <f>IF(verze!$E$1="CZK",AD1303,IF(verze!$E$1="SK",AE1303,""))</f>
        <v>3.4009900000000002</v>
      </c>
    </row>
    <row r="1304" spans="27:32" ht="15">
      <c r="AA1304" s="463" t="s">
        <v>5117</v>
      </c>
      <c r="AB1304" s="462" t="s">
        <v>5118</v>
      </c>
      <c r="AC1304" s="462" t="s">
        <v>5119</v>
      </c>
      <c r="AD1304" s="464">
        <v>293.09582</v>
      </c>
      <c r="AE1304" s="465">
        <v>11.725289999999999</v>
      </c>
      <c r="AF1304" s="86">
        <f>IF(verze!$E$1="CZK",AD1304,IF(verze!$E$1="SK",AE1304,""))</f>
        <v>11.725289999999999</v>
      </c>
    </row>
    <row r="1305" spans="27:32" ht="15">
      <c r="AA1305" s="463" t="s">
        <v>5120</v>
      </c>
      <c r="AB1305" s="462" t="s">
        <v>5121</v>
      </c>
      <c r="AC1305" s="462" t="s">
        <v>5122</v>
      </c>
      <c r="AD1305" s="464">
        <v>294.07715999999999</v>
      </c>
      <c r="AE1305" s="465">
        <v>11.764559999999999</v>
      </c>
      <c r="AF1305" s="86">
        <f>IF(verze!$E$1="CZK",AD1305,IF(verze!$E$1="SK",AE1305,""))</f>
        <v>11.764559999999999</v>
      </c>
    </row>
    <row r="1306" spans="27:32" ht="15">
      <c r="AA1306" s="463" t="s">
        <v>5123</v>
      </c>
      <c r="AB1306" s="462" t="s">
        <v>5124</v>
      </c>
      <c r="AC1306" s="462" t="s">
        <v>5125</v>
      </c>
      <c r="AD1306" s="464">
        <v>371.43151</v>
      </c>
      <c r="AE1306" s="465">
        <v>14.859109999999999</v>
      </c>
      <c r="AF1306" s="86">
        <f>IF(verze!$E$1="CZK",AD1306,IF(verze!$E$1="SK",AE1306,""))</f>
        <v>14.859109999999999</v>
      </c>
    </row>
    <row r="1307" spans="27:32" ht="15">
      <c r="AA1307" s="463" t="s">
        <v>5126</v>
      </c>
      <c r="AB1307" s="462" t="s">
        <v>5127</v>
      </c>
      <c r="AC1307" s="462" t="s">
        <v>5128</v>
      </c>
      <c r="AD1307" s="464">
        <v>390.00214999999997</v>
      </c>
      <c r="AE1307" s="465">
        <v>15.602040000000001</v>
      </c>
      <c r="AF1307" s="86">
        <f>IF(verze!$E$1="CZK",AD1307,IF(verze!$E$1="SK",AE1307,""))</f>
        <v>15.602040000000001</v>
      </c>
    </row>
    <row r="1308" spans="27:32" ht="15">
      <c r="AA1308" s="463" t="s">
        <v>5129</v>
      </c>
      <c r="AB1308" s="462" t="s">
        <v>5130</v>
      </c>
      <c r="AC1308" s="462" t="s">
        <v>5131</v>
      </c>
      <c r="AD1308" s="464">
        <v>568.93835000000001</v>
      </c>
      <c r="AE1308" s="465">
        <v>22.907540000000001</v>
      </c>
      <c r="AF1308" s="86">
        <f>IF(verze!$E$1="CZK",AD1308,IF(verze!$E$1="SK",AE1308,""))</f>
        <v>22.907540000000001</v>
      </c>
    </row>
    <row r="1309" spans="27:32" ht="15">
      <c r="AA1309" s="463" t="s">
        <v>5132</v>
      </c>
      <c r="AB1309" s="462" t="s">
        <v>5133</v>
      </c>
      <c r="AC1309" s="462" t="s">
        <v>5134</v>
      </c>
      <c r="AD1309" s="464">
        <v>143.23588000000001</v>
      </c>
      <c r="AE1309" s="465">
        <v>6.8901599999999998</v>
      </c>
      <c r="AF1309" s="86">
        <f>IF(verze!$E$1="CZK",AD1309,IF(verze!$E$1="SK",AE1309,""))</f>
        <v>6.8901599999999998</v>
      </c>
    </row>
    <row r="1310" spans="27:32" ht="15">
      <c r="AA1310" s="463" t="s">
        <v>5135</v>
      </c>
      <c r="AB1310" s="462" t="s">
        <v>5136</v>
      </c>
      <c r="AC1310" s="462" t="s">
        <v>5137</v>
      </c>
      <c r="AD1310" s="464">
        <v>37.328749999999999</v>
      </c>
      <c r="AE1310" s="465">
        <v>1.79565</v>
      </c>
      <c r="AF1310" s="86">
        <f>IF(verze!$E$1="CZK",AD1310,IF(verze!$E$1="SK",AE1310,""))</f>
        <v>1.79565</v>
      </c>
    </row>
    <row r="1311" spans="27:32" ht="15">
      <c r="AA1311" s="463" t="s">
        <v>5138</v>
      </c>
      <c r="AB1311" s="462" t="s">
        <v>5139</v>
      </c>
      <c r="AC1311" s="462" t="s">
        <v>5140</v>
      </c>
      <c r="AD1311" s="464">
        <v>37.357390000000002</v>
      </c>
      <c r="AE1311" s="465">
        <v>1.79701</v>
      </c>
      <c r="AF1311" s="86">
        <f>IF(verze!$E$1="CZK",AD1311,IF(verze!$E$1="SK",AE1311,""))</f>
        <v>1.79701</v>
      </c>
    </row>
    <row r="1312" spans="27:32" ht="15">
      <c r="AA1312" s="463" t="s">
        <v>5141</v>
      </c>
      <c r="AB1312" s="462" t="s">
        <v>5142</v>
      </c>
      <c r="AC1312" s="462" t="s">
        <v>5143</v>
      </c>
      <c r="AD1312" s="464">
        <v>99.988740000000007</v>
      </c>
      <c r="AE1312" s="465">
        <v>4.8098200000000002</v>
      </c>
      <c r="AF1312" s="86">
        <f>IF(verze!$E$1="CZK",AD1312,IF(verze!$E$1="SK",AE1312,""))</f>
        <v>4.8098200000000002</v>
      </c>
    </row>
    <row r="1313" spans="27:32" ht="15">
      <c r="AA1313" s="463" t="s">
        <v>5144</v>
      </c>
      <c r="AB1313" s="462" t="s">
        <v>5145</v>
      </c>
      <c r="AC1313" s="462" t="s">
        <v>5146</v>
      </c>
      <c r="AD1313" s="464">
        <v>35.261580000000002</v>
      </c>
      <c r="AE1313" s="465">
        <v>1.69621</v>
      </c>
      <c r="AF1313" s="86">
        <f>IF(verze!$E$1="CZK",AD1313,IF(verze!$E$1="SK",AE1313,""))</f>
        <v>1.69621</v>
      </c>
    </row>
    <row r="1314" spans="27:32" ht="15">
      <c r="AA1314" s="463" t="s">
        <v>5147</v>
      </c>
      <c r="AB1314" s="462" t="s">
        <v>5148</v>
      </c>
      <c r="AC1314" s="462" t="s">
        <v>5149</v>
      </c>
      <c r="AD1314" s="464">
        <v>39.440179999999998</v>
      </c>
      <c r="AE1314" s="465">
        <v>1.8972199999999999</v>
      </c>
      <c r="AF1314" s="86">
        <f>IF(verze!$E$1="CZK",AD1314,IF(verze!$E$1="SK",AE1314,""))</f>
        <v>1.8972199999999999</v>
      </c>
    </row>
    <row r="1315" spans="27:32" ht="15">
      <c r="AA1315" s="463" t="s">
        <v>5150</v>
      </c>
      <c r="AB1315" s="462" t="s">
        <v>5151</v>
      </c>
      <c r="AC1315" s="462" t="s">
        <v>5152</v>
      </c>
      <c r="AD1315" s="464">
        <v>47.867579999999997</v>
      </c>
      <c r="AE1315" s="465">
        <v>0</v>
      </c>
      <c r="AF1315" s="86">
        <f>IF(verze!$E$1="CZK",AD1315,IF(verze!$E$1="SK",AE1315,""))</f>
        <v>0</v>
      </c>
    </row>
    <row r="1316" spans="27:32" ht="15">
      <c r="AA1316" s="463" t="s">
        <v>5153</v>
      </c>
      <c r="AB1316" s="462" t="s">
        <v>5154</v>
      </c>
      <c r="AC1316" s="462" t="s">
        <v>5155</v>
      </c>
      <c r="AD1316" s="464">
        <v>89.752970000000005</v>
      </c>
      <c r="AE1316" s="465">
        <v>4.3174299999999999</v>
      </c>
      <c r="AF1316" s="86">
        <f>IF(verze!$E$1="CZK",AD1316,IF(verze!$E$1="SK",AE1316,""))</f>
        <v>4.3174299999999999</v>
      </c>
    </row>
    <row r="1317" spans="27:32" ht="15">
      <c r="AA1317" s="463" t="s">
        <v>5156</v>
      </c>
      <c r="AB1317" s="462" t="s">
        <v>5157</v>
      </c>
      <c r="AC1317" s="462" t="s">
        <v>5158</v>
      </c>
      <c r="AD1317" s="464">
        <v>92.561310000000006</v>
      </c>
      <c r="AE1317" s="465">
        <v>4.4525499999999996</v>
      </c>
      <c r="AF1317" s="86">
        <f>IF(verze!$E$1="CZK",AD1317,IF(verze!$E$1="SK",AE1317,""))</f>
        <v>4.4525499999999996</v>
      </c>
    </row>
    <row r="1318" spans="27:32" ht="15">
      <c r="AA1318" s="463" t="s">
        <v>5159</v>
      </c>
      <c r="AB1318" s="462" t="s">
        <v>5160</v>
      </c>
      <c r="AC1318" s="462" t="s">
        <v>5161</v>
      </c>
      <c r="AD1318" s="464">
        <v>89.004649999999998</v>
      </c>
      <c r="AE1318" s="465">
        <v>4.2814399999999999</v>
      </c>
      <c r="AF1318" s="86">
        <f>IF(verze!$E$1="CZK",AD1318,IF(verze!$E$1="SK",AE1318,""))</f>
        <v>4.2814399999999999</v>
      </c>
    </row>
    <row r="1319" spans="27:32" ht="15">
      <c r="AA1319" s="463" t="s">
        <v>5162</v>
      </c>
      <c r="AB1319" s="462" t="s">
        <v>5163</v>
      </c>
      <c r="AC1319" s="462" t="s">
        <v>5164</v>
      </c>
      <c r="AD1319" s="464">
        <v>84.083020000000005</v>
      </c>
      <c r="AE1319" s="465">
        <v>4.0447100000000002</v>
      </c>
      <c r="AF1319" s="86">
        <f>IF(verze!$E$1="CZK",AD1319,IF(verze!$E$1="SK",AE1319,""))</f>
        <v>4.0447100000000002</v>
      </c>
    </row>
    <row r="1320" spans="27:32" ht="15">
      <c r="AA1320" s="463" t="s">
        <v>5165</v>
      </c>
      <c r="AB1320" s="462" t="s">
        <v>5166</v>
      </c>
      <c r="AC1320" s="462" t="s">
        <v>5167</v>
      </c>
      <c r="AD1320" s="464">
        <v>84.083020000000005</v>
      </c>
      <c r="AE1320" s="465">
        <v>4.0447100000000002</v>
      </c>
      <c r="AF1320" s="86">
        <f>IF(verze!$E$1="CZK",AD1320,IF(verze!$E$1="SK",AE1320,""))</f>
        <v>4.0447100000000002</v>
      </c>
    </row>
    <row r="1321" spans="27:32" ht="15">
      <c r="AA1321" s="463" t="s">
        <v>5168</v>
      </c>
      <c r="AB1321" s="462" t="s">
        <v>5169</v>
      </c>
      <c r="AC1321" s="462" t="s">
        <v>5170</v>
      </c>
      <c r="AD1321" s="464">
        <v>95.402119999999996</v>
      </c>
      <c r="AE1321" s="465">
        <v>4.5891900000000003</v>
      </c>
      <c r="AF1321" s="86">
        <f>IF(verze!$E$1="CZK",AD1321,IF(verze!$E$1="SK",AE1321,""))</f>
        <v>4.5891900000000003</v>
      </c>
    </row>
    <row r="1322" spans="27:32" ht="15">
      <c r="AA1322" s="463" t="s">
        <v>5171</v>
      </c>
      <c r="AB1322" s="462" t="s">
        <v>5172</v>
      </c>
      <c r="AC1322" s="462" t="s">
        <v>5173</v>
      </c>
      <c r="AD1322" s="464">
        <v>99.962890000000002</v>
      </c>
      <c r="AE1322" s="465">
        <v>4.8085800000000001</v>
      </c>
      <c r="AF1322" s="86">
        <f>IF(verze!$E$1="CZK",AD1322,IF(verze!$E$1="SK",AE1322,""))</f>
        <v>4.8085800000000001</v>
      </c>
    </row>
    <row r="1323" spans="27:32" ht="15">
      <c r="AA1323" s="463" t="s">
        <v>5174</v>
      </c>
      <c r="AB1323" s="462" t="s">
        <v>5175</v>
      </c>
      <c r="AC1323" s="462" t="s">
        <v>5176</v>
      </c>
      <c r="AD1323" s="464">
        <v>89.752970000000005</v>
      </c>
      <c r="AE1323" s="465">
        <v>4.3174299999999999</v>
      </c>
      <c r="AF1323" s="86">
        <f>IF(verze!$E$1="CZK",AD1323,IF(verze!$E$1="SK",AE1323,""))</f>
        <v>4.3174299999999999</v>
      </c>
    </row>
    <row r="1324" spans="27:32" ht="15">
      <c r="AA1324" s="463" t="s">
        <v>5177</v>
      </c>
      <c r="AB1324" s="462" t="s">
        <v>5178</v>
      </c>
      <c r="AC1324" s="462" t="s">
        <v>5179</v>
      </c>
      <c r="AD1324" s="464">
        <v>83.212299999999999</v>
      </c>
      <c r="AE1324" s="465">
        <v>4.0028100000000002</v>
      </c>
      <c r="AF1324" s="86">
        <f>IF(verze!$E$1="CZK",AD1324,IF(verze!$E$1="SK",AE1324,""))</f>
        <v>4.0028100000000002</v>
      </c>
    </row>
    <row r="1325" spans="27:32" ht="15">
      <c r="AA1325" s="463" t="s">
        <v>5180</v>
      </c>
      <c r="AB1325" s="462" t="s">
        <v>5181</v>
      </c>
      <c r="AC1325" s="462" t="s">
        <v>5182</v>
      </c>
      <c r="AD1325" s="464">
        <v>37.089579999999998</v>
      </c>
      <c r="AE1325" s="465">
        <v>1.78416</v>
      </c>
      <c r="AF1325" s="86">
        <f>IF(verze!$E$1="CZK",AD1325,IF(verze!$E$1="SK",AE1325,""))</f>
        <v>1.78416</v>
      </c>
    </row>
    <row r="1326" spans="27:32" ht="15">
      <c r="AA1326" s="463" t="s">
        <v>5183</v>
      </c>
      <c r="AB1326" s="462" t="s">
        <v>5184</v>
      </c>
      <c r="AC1326" s="462" t="s">
        <v>5185</v>
      </c>
      <c r="AD1326" s="464">
        <v>36.974600000000002</v>
      </c>
      <c r="AE1326" s="465">
        <v>0</v>
      </c>
      <c r="AF1326" s="86">
        <f>IF(verze!$E$1="CZK",AD1326,IF(verze!$E$1="SK",AE1326,""))</f>
        <v>0</v>
      </c>
    </row>
    <row r="1327" spans="27:32" ht="15">
      <c r="AA1327" s="463" t="s">
        <v>5186</v>
      </c>
      <c r="AB1327" s="462" t="s">
        <v>5187</v>
      </c>
      <c r="AC1327" s="462" t="s">
        <v>5188</v>
      </c>
      <c r="AD1327" s="464">
        <v>0</v>
      </c>
      <c r="AE1327" s="465">
        <v>0</v>
      </c>
      <c r="AF1327" s="86">
        <f>IF(verze!$E$1="CZK",AD1327,IF(verze!$E$1="SK",AE1327,""))</f>
        <v>0</v>
      </c>
    </row>
    <row r="1328" spans="27:32" ht="15">
      <c r="AA1328" s="463" t="s">
        <v>5189</v>
      </c>
      <c r="AB1328" s="462" t="s">
        <v>5190</v>
      </c>
      <c r="AC1328" s="462" t="s">
        <v>5191</v>
      </c>
      <c r="AD1328" s="464">
        <v>0</v>
      </c>
      <c r="AE1328" s="465">
        <v>0</v>
      </c>
      <c r="AF1328" s="86">
        <f>IF(verze!$E$1="CZK",AD1328,IF(verze!$E$1="SK",AE1328,""))</f>
        <v>0</v>
      </c>
    </row>
    <row r="1329" spans="27:32" ht="15">
      <c r="AA1329" s="463" t="s">
        <v>5192</v>
      </c>
      <c r="AB1329" s="462" t="s">
        <v>5193</v>
      </c>
      <c r="AC1329" s="462" t="s">
        <v>5194</v>
      </c>
      <c r="AD1329" s="464">
        <v>0</v>
      </c>
      <c r="AE1329" s="465">
        <v>0</v>
      </c>
      <c r="AF1329" s="86">
        <f>IF(verze!$E$1="CZK",AD1329,IF(verze!$E$1="SK",AE1329,""))</f>
        <v>0</v>
      </c>
    </row>
    <row r="1330" spans="27:32" ht="15">
      <c r="AA1330" s="463" t="s">
        <v>5195</v>
      </c>
      <c r="AB1330" s="462" t="s">
        <v>5196</v>
      </c>
      <c r="AC1330" s="462" t="s">
        <v>5197</v>
      </c>
      <c r="AD1330" s="464">
        <v>0</v>
      </c>
      <c r="AE1330" s="465">
        <v>0</v>
      </c>
      <c r="AF1330" s="86">
        <f>IF(verze!$E$1="CZK",AD1330,IF(verze!$E$1="SK",AE1330,""))</f>
        <v>0</v>
      </c>
    </row>
    <row r="1331" spans="27:32" ht="15">
      <c r="AA1331" s="463" t="s">
        <v>5198</v>
      </c>
      <c r="AB1331" s="462" t="s">
        <v>5199</v>
      </c>
      <c r="AC1331" s="462" t="s">
        <v>5200</v>
      </c>
      <c r="AD1331" s="464">
        <v>0</v>
      </c>
      <c r="AE1331" s="465">
        <v>0</v>
      </c>
      <c r="AF1331" s="86">
        <f>IF(verze!$E$1="CZK",AD1331,IF(verze!$E$1="SK",AE1331,""))</f>
        <v>0</v>
      </c>
    </row>
    <row r="1332" spans="27:32" ht="15">
      <c r="AA1332" s="463" t="s">
        <v>5201</v>
      </c>
      <c r="AB1332" s="462" t="s">
        <v>5202</v>
      </c>
      <c r="AC1332" s="462" t="s">
        <v>5203</v>
      </c>
      <c r="AD1332" s="464">
        <v>0</v>
      </c>
      <c r="AE1332" s="465">
        <v>0</v>
      </c>
      <c r="AF1332" s="86">
        <f>IF(verze!$E$1="CZK",AD1332,IF(verze!$E$1="SK",AE1332,""))</f>
        <v>0</v>
      </c>
    </row>
    <row r="1333" spans="27:32" ht="15">
      <c r="AA1333" s="463" t="s">
        <v>5204</v>
      </c>
      <c r="AB1333" s="462" t="s">
        <v>5205</v>
      </c>
      <c r="AC1333" s="462" t="s">
        <v>5206</v>
      </c>
      <c r="AD1333" s="464">
        <v>0</v>
      </c>
      <c r="AE1333" s="465">
        <v>0</v>
      </c>
      <c r="AF1333" s="86">
        <f>IF(verze!$E$1="CZK",AD1333,IF(verze!$E$1="SK",AE1333,""))</f>
        <v>0</v>
      </c>
    </row>
    <row r="1334" spans="27:32" ht="15">
      <c r="AA1334" s="463" t="s">
        <v>5207</v>
      </c>
      <c r="AB1334" s="462" t="s">
        <v>5208</v>
      </c>
      <c r="AC1334" s="462" t="s">
        <v>5209</v>
      </c>
      <c r="AD1334" s="464">
        <v>197.90357</v>
      </c>
      <c r="AE1334" s="465">
        <v>0</v>
      </c>
      <c r="AF1334" s="86">
        <f>IF(verze!$E$1="CZK",AD1334,IF(verze!$E$1="SK",AE1334,""))</f>
        <v>0</v>
      </c>
    </row>
    <row r="1335" spans="27:32" ht="15">
      <c r="AA1335" s="463" t="s">
        <v>5210</v>
      </c>
      <c r="AB1335" s="462" t="s">
        <v>5211</v>
      </c>
      <c r="AC1335" s="462" t="s">
        <v>5212</v>
      </c>
      <c r="AD1335" s="464">
        <v>283.98489999999998</v>
      </c>
      <c r="AE1335" s="465">
        <v>0</v>
      </c>
      <c r="AF1335" s="86">
        <f>IF(verze!$E$1="CZK",AD1335,IF(verze!$E$1="SK",AE1335,""))</f>
        <v>0</v>
      </c>
    </row>
    <row r="1336" spans="27:32" ht="15">
      <c r="AA1336" s="463" t="s">
        <v>5213</v>
      </c>
      <c r="AB1336" s="462" t="s">
        <v>5214</v>
      </c>
      <c r="AC1336" s="462" t="s">
        <v>5215</v>
      </c>
      <c r="AD1336" s="464">
        <v>249.85856000000001</v>
      </c>
      <c r="AE1336" s="465">
        <v>12.0191</v>
      </c>
      <c r="AF1336" s="86">
        <f>IF(verze!$E$1="CZK",AD1336,IF(verze!$E$1="SK",AE1336,""))</f>
        <v>12.0191</v>
      </c>
    </row>
    <row r="1337" spans="27:32" ht="15">
      <c r="AA1337" s="463" t="s">
        <v>5216</v>
      </c>
      <c r="AB1337" s="462" t="s">
        <v>5217</v>
      </c>
      <c r="AC1337" s="462" t="s">
        <v>5218</v>
      </c>
      <c r="AD1337" s="464">
        <v>249.85856000000001</v>
      </c>
      <c r="AE1337" s="465">
        <v>12.0191</v>
      </c>
      <c r="AF1337" s="86">
        <f>IF(verze!$E$1="CZK",AD1337,IF(verze!$E$1="SK",AE1337,""))</f>
        <v>12.0191</v>
      </c>
    </row>
    <row r="1338" spans="27:32" ht="15">
      <c r="AA1338" s="463" t="s">
        <v>5219</v>
      </c>
      <c r="AB1338" s="462" t="s">
        <v>5220</v>
      </c>
      <c r="AC1338" s="462" t="s">
        <v>5221</v>
      </c>
      <c r="AD1338" s="464">
        <v>248.47799000000001</v>
      </c>
      <c r="AE1338" s="465">
        <v>9.2430000000000003</v>
      </c>
      <c r="AF1338" s="86">
        <f>IF(verze!$E$1="CZK",AD1338,IF(verze!$E$1="SK",AE1338,""))</f>
        <v>9.2430000000000003</v>
      </c>
    </row>
    <row r="1339" spans="27:32" ht="15">
      <c r="AA1339" s="463" t="s">
        <v>5219</v>
      </c>
      <c r="AB1339" s="462" t="s">
        <v>5222</v>
      </c>
      <c r="AC1339" s="462" t="s">
        <v>5223</v>
      </c>
      <c r="AD1339" s="464">
        <v>255.267</v>
      </c>
      <c r="AE1339" s="465">
        <v>12.279249999999999</v>
      </c>
      <c r="AF1339" s="86">
        <f>IF(verze!$E$1="CZK",AD1339,IF(verze!$E$1="SK",AE1339,""))</f>
        <v>12.279249999999999</v>
      </c>
    </row>
    <row r="1340" spans="27:32" ht="15">
      <c r="AA1340" s="463" t="s">
        <v>5224</v>
      </c>
      <c r="AB1340" s="462" t="s">
        <v>5225</v>
      </c>
      <c r="AC1340" s="462" t="s">
        <v>5226</v>
      </c>
      <c r="AD1340" s="464">
        <v>248.47799000000001</v>
      </c>
      <c r="AE1340" s="465">
        <v>9.2430000000000003</v>
      </c>
      <c r="AF1340" s="86">
        <f>IF(verze!$E$1="CZK",AD1340,IF(verze!$E$1="SK",AE1340,""))</f>
        <v>9.2430000000000003</v>
      </c>
    </row>
    <row r="1341" spans="27:32" ht="15">
      <c r="AA1341" s="463" t="s">
        <v>5227</v>
      </c>
      <c r="AB1341" s="462" t="s">
        <v>5228</v>
      </c>
      <c r="AC1341" s="462" t="s">
        <v>5229</v>
      </c>
      <c r="AD1341" s="464">
        <v>260.67007000000001</v>
      </c>
      <c r="AE1341" s="465">
        <v>12.53918</v>
      </c>
      <c r="AF1341" s="86">
        <f>IF(verze!$E$1="CZK",AD1341,IF(verze!$E$1="SK",AE1341,""))</f>
        <v>12.53918</v>
      </c>
    </row>
    <row r="1342" spans="27:32" ht="15">
      <c r="AA1342" s="463" t="s">
        <v>5227</v>
      </c>
      <c r="AB1342" s="462" t="s">
        <v>5230</v>
      </c>
      <c r="AC1342" s="462" t="s">
        <v>5231</v>
      </c>
      <c r="AD1342" s="464">
        <v>253.73734999999999</v>
      </c>
      <c r="AE1342" s="465">
        <v>9.4386399999999995</v>
      </c>
      <c r="AF1342" s="86">
        <f>IF(verze!$E$1="CZK",AD1342,IF(verze!$E$1="SK",AE1342,""))</f>
        <v>9.4386399999999995</v>
      </c>
    </row>
    <row r="1343" spans="27:32" ht="15">
      <c r="AA1343" s="463" t="s">
        <v>5232</v>
      </c>
      <c r="AB1343" s="462" t="s">
        <v>5233</v>
      </c>
      <c r="AC1343" s="462" t="s">
        <v>5234</v>
      </c>
      <c r="AD1343" s="464">
        <v>260.67007000000001</v>
      </c>
      <c r="AE1343" s="465">
        <v>12.53918</v>
      </c>
      <c r="AF1343" s="86">
        <f>IF(verze!$E$1="CZK",AD1343,IF(verze!$E$1="SK",AE1343,""))</f>
        <v>12.53918</v>
      </c>
    </row>
    <row r="1344" spans="27:32" ht="15">
      <c r="AA1344" s="463" t="s">
        <v>5232</v>
      </c>
      <c r="AB1344" s="462" t="s">
        <v>5235</v>
      </c>
      <c r="AC1344" s="462" t="s">
        <v>5236</v>
      </c>
      <c r="AD1344" s="464">
        <v>253.73734999999999</v>
      </c>
      <c r="AE1344" s="465">
        <v>9.4386399999999995</v>
      </c>
      <c r="AF1344" s="86">
        <f>IF(verze!$E$1="CZK",AD1344,IF(verze!$E$1="SK",AE1344,""))</f>
        <v>9.4386399999999995</v>
      </c>
    </row>
    <row r="1345" spans="27:32" ht="15">
      <c r="AA1345" s="463" t="s">
        <v>5237</v>
      </c>
      <c r="AB1345" s="462" t="s">
        <v>5238</v>
      </c>
      <c r="AC1345" s="462" t="s">
        <v>5239</v>
      </c>
      <c r="AD1345" s="464">
        <v>258.99680999999998</v>
      </c>
      <c r="AE1345" s="465">
        <v>12.18962</v>
      </c>
      <c r="AF1345" s="86">
        <f>IF(verze!$E$1="CZK",AD1345,IF(verze!$E$1="SK",AE1345,""))</f>
        <v>12.18962</v>
      </c>
    </row>
    <row r="1346" spans="27:32" ht="15">
      <c r="AA1346" s="463" t="s">
        <v>5237</v>
      </c>
      <c r="AB1346" s="462" t="s">
        <v>5240</v>
      </c>
      <c r="AC1346" s="462" t="s">
        <v>5241</v>
      </c>
      <c r="AD1346" s="464">
        <v>258.99680999999998</v>
      </c>
      <c r="AE1346" s="465">
        <v>9.63429</v>
      </c>
      <c r="AF1346" s="86">
        <f>IF(verze!$E$1="CZK",AD1346,IF(verze!$E$1="SK",AE1346,""))</f>
        <v>9.63429</v>
      </c>
    </row>
    <row r="1347" spans="27:32" ht="15">
      <c r="AA1347" s="463" t="s">
        <v>5237</v>
      </c>
      <c r="AB1347" s="462" t="s">
        <v>5242</v>
      </c>
      <c r="AC1347" s="462" t="s">
        <v>5243</v>
      </c>
      <c r="AD1347" s="464">
        <v>258.99680999999998</v>
      </c>
      <c r="AE1347" s="465">
        <v>9.63429</v>
      </c>
      <c r="AF1347" s="86">
        <f>IF(verze!$E$1="CZK",AD1347,IF(verze!$E$1="SK",AE1347,""))</f>
        <v>9.63429</v>
      </c>
    </row>
    <row r="1348" spans="27:32" ht="15">
      <c r="AA1348" s="463" t="s">
        <v>5244</v>
      </c>
      <c r="AB1348" s="462" t="s">
        <v>5245</v>
      </c>
      <c r="AC1348" s="462" t="s">
        <v>5246</v>
      </c>
      <c r="AD1348" s="464">
        <v>258.99680999999998</v>
      </c>
      <c r="AE1348" s="465">
        <v>12.18962</v>
      </c>
      <c r="AF1348" s="86">
        <f>IF(verze!$E$1="CZK",AD1348,IF(verze!$E$1="SK",AE1348,""))</f>
        <v>12.18962</v>
      </c>
    </row>
    <row r="1349" spans="27:32" ht="15">
      <c r="AA1349" s="463" t="s">
        <v>5244</v>
      </c>
      <c r="AB1349" s="462" t="s">
        <v>5247</v>
      </c>
      <c r="AC1349" s="462" t="s">
        <v>5248</v>
      </c>
      <c r="AD1349" s="464">
        <v>258.99680999999998</v>
      </c>
      <c r="AE1349" s="465">
        <v>9.63429</v>
      </c>
      <c r="AF1349" s="86">
        <f>IF(verze!$E$1="CZK",AD1349,IF(verze!$E$1="SK",AE1349,""))</f>
        <v>9.63429</v>
      </c>
    </row>
    <row r="1350" spans="27:32" ht="15">
      <c r="AA1350" s="463" t="s">
        <v>5249</v>
      </c>
      <c r="AB1350" s="462" t="s">
        <v>5250</v>
      </c>
      <c r="AC1350" s="462" t="s">
        <v>5251</v>
      </c>
      <c r="AD1350" s="464">
        <v>153.82202000000001</v>
      </c>
      <c r="AE1350" s="465">
        <v>5.9207400000000003</v>
      </c>
      <c r="AF1350" s="86">
        <f>IF(verze!$E$1="CZK",AD1350,IF(verze!$E$1="SK",AE1350,""))</f>
        <v>5.9207400000000003</v>
      </c>
    </row>
    <row r="1351" spans="27:32" ht="15">
      <c r="AA1351" s="463" t="s">
        <v>5244</v>
      </c>
      <c r="AB1351" s="462" t="s">
        <v>5252</v>
      </c>
      <c r="AC1351" s="462" t="s">
        <v>5253</v>
      </c>
      <c r="AD1351" s="464">
        <v>258.99680999999998</v>
      </c>
      <c r="AE1351" s="465">
        <v>9.63429</v>
      </c>
      <c r="AF1351" s="86">
        <f>IF(verze!$E$1="CZK",AD1351,IF(verze!$E$1="SK",AE1351,""))</f>
        <v>9.63429</v>
      </c>
    </row>
    <row r="1352" spans="27:32" ht="15">
      <c r="AA1352" s="463" t="s">
        <v>5254</v>
      </c>
      <c r="AB1352" s="462" t="s">
        <v>5255</v>
      </c>
      <c r="AC1352" s="462" t="s">
        <v>5256</v>
      </c>
      <c r="AD1352" s="464">
        <v>264.25628</v>
      </c>
      <c r="AE1352" s="465">
        <v>12.437139999999999</v>
      </c>
      <c r="AF1352" s="86">
        <f>IF(verze!$E$1="CZK",AD1352,IF(verze!$E$1="SK",AE1352,""))</f>
        <v>12.437139999999999</v>
      </c>
    </row>
    <row r="1353" spans="27:32" ht="15">
      <c r="AA1353" s="463" t="s">
        <v>5257</v>
      </c>
      <c r="AB1353" s="462" t="s">
        <v>5258</v>
      </c>
      <c r="AC1353" s="462" t="s">
        <v>5259</v>
      </c>
      <c r="AD1353" s="464">
        <v>264.25628</v>
      </c>
      <c r="AE1353" s="465">
        <v>12.437139999999999</v>
      </c>
      <c r="AF1353" s="86">
        <f>IF(verze!$E$1="CZK",AD1353,IF(verze!$E$1="SK",AE1353,""))</f>
        <v>12.437139999999999</v>
      </c>
    </row>
    <row r="1354" spans="27:32" ht="15">
      <c r="AA1354" s="463" t="s">
        <v>5260</v>
      </c>
      <c r="AB1354" s="462" t="s">
        <v>5261</v>
      </c>
      <c r="AC1354" s="462" t="s">
        <v>5262</v>
      </c>
      <c r="AD1354" s="464">
        <v>281.21048000000002</v>
      </c>
      <c r="AE1354" s="465">
        <v>13.527229999999999</v>
      </c>
      <c r="AF1354" s="86">
        <f>IF(verze!$E$1="CZK",AD1354,IF(verze!$E$1="SK",AE1354,""))</f>
        <v>13.527229999999999</v>
      </c>
    </row>
    <row r="1355" spans="27:32" ht="15">
      <c r="AA1355" s="463" t="s">
        <v>5260</v>
      </c>
      <c r="AB1355" s="462" t="s">
        <v>5263</v>
      </c>
      <c r="AC1355" s="462" t="s">
        <v>5264</v>
      </c>
      <c r="AD1355" s="464">
        <v>273.73147</v>
      </c>
      <c r="AE1355" s="465">
        <v>10.18239</v>
      </c>
      <c r="AF1355" s="86">
        <f>IF(verze!$E$1="CZK",AD1355,IF(verze!$E$1="SK",AE1355,""))</f>
        <v>10.18239</v>
      </c>
    </row>
    <row r="1356" spans="27:32" ht="15">
      <c r="AA1356" s="463" t="s">
        <v>5265</v>
      </c>
      <c r="AB1356" s="462" t="s">
        <v>5266</v>
      </c>
      <c r="AC1356" s="462" t="s">
        <v>5267</v>
      </c>
      <c r="AD1356" s="464">
        <v>281.21048000000002</v>
      </c>
      <c r="AE1356" s="465">
        <v>13.527229999999999</v>
      </c>
      <c r="AF1356" s="86">
        <f>IF(verze!$E$1="CZK",AD1356,IF(verze!$E$1="SK",AE1356,""))</f>
        <v>13.527229999999999</v>
      </c>
    </row>
    <row r="1357" spans="27:32" ht="15">
      <c r="AA1357" s="463" t="s">
        <v>5265</v>
      </c>
      <c r="AB1357" s="462" t="s">
        <v>5268</v>
      </c>
      <c r="AC1357" s="462" t="s">
        <v>5269</v>
      </c>
      <c r="AD1357" s="464">
        <v>273.73147</v>
      </c>
      <c r="AE1357" s="465">
        <v>10.18239</v>
      </c>
      <c r="AF1357" s="86">
        <f>IF(verze!$E$1="CZK",AD1357,IF(verze!$E$1="SK",AE1357,""))</f>
        <v>10.18239</v>
      </c>
    </row>
    <row r="1358" spans="27:32" ht="15">
      <c r="AA1358" s="463" t="s">
        <v>5270</v>
      </c>
      <c r="AB1358" s="462" t="s">
        <v>5271</v>
      </c>
      <c r="AC1358" s="462" t="s">
        <v>5272</v>
      </c>
      <c r="AD1358" s="464">
        <v>2.1055700000000002</v>
      </c>
      <c r="AE1358" s="465">
        <v>8.6360000000000006E-2</v>
      </c>
      <c r="AF1358" s="86">
        <f>IF(verze!$E$1="CZK",AD1358,IF(verze!$E$1="SK",AE1358,""))</f>
        <v>8.6360000000000006E-2</v>
      </c>
    </row>
    <row r="1359" spans="27:32" ht="15">
      <c r="AA1359" s="463" t="s">
        <v>5270</v>
      </c>
      <c r="AB1359" s="462" t="s">
        <v>5273</v>
      </c>
      <c r="AC1359" s="462" t="s">
        <v>5274</v>
      </c>
      <c r="AD1359" s="464">
        <v>2.1055700000000002</v>
      </c>
      <c r="AE1359" s="465">
        <v>8.6360000000000006E-2</v>
      </c>
      <c r="AF1359" s="86">
        <f>IF(verze!$E$1="CZK",AD1359,IF(verze!$E$1="SK",AE1359,""))</f>
        <v>8.6360000000000006E-2</v>
      </c>
    </row>
    <row r="1360" spans="27:32" ht="15">
      <c r="AA1360" s="463" t="s">
        <v>5275</v>
      </c>
      <c r="AB1360" s="462" t="s">
        <v>5276</v>
      </c>
      <c r="AC1360" s="462" t="s">
        <v>5277</v>
      </c>
      <c r="AD1360" s="464">
        <v>1.9804900000000001</v>
      </c>
      <c r="AE1360" s="465">
        <v>8.1220000000000001E-2</v>
      </c>
      <c r="AF1360" s="86">
        <f>IF(verze!$E$1="CZK",AD1360,IF(verze!$E$1="SK",AE1360,""))</f>
        <v>8.1220000000000001E-2</v>
      </c>
    </row>
    <row r="1361" spans="27:32" ht="15">
      <c r="AA1361" s="463" t="s">
        <v>5278</v>
      </c>
      <c r="AB1361" s="462" t="s">
        <v>5279</v>
      </c>
      <c r="AC1361" s="462" t="s">
        <v>5280</v>
      </c>
      <c r="AD1361" s="464">
        <v>248.77575999999999</v>
      </c>
      <c r="AE1361" s="465">
        <v>11.96702</v>
      </c>
      <c r="AF1361" s="86">
        <f>IF(verze!$E$1="CZK",AD1361,IF(verze!$E$1="SK",AE1361,""))</f>
        <v>11.96702</v>
      </c>
    </row>
    <row r="1362" spans="27:32" ht="15">
      <c r="AA1362" s="463" t="s">
        <v>5281</v>
      </c>
      <c r="AB1362" s="462" t="s">
        <v>5282</v>
      </c>
      <c r="AC1362" s="462" t="s">
        <v>5283</v>
      </c>
      <c r="AD1362" s="464">
        <v>248.77575999999999</v>
      </c>
      <c r="AE1362" s="465">
        <v>11.96702</v>
      </c>
      <c r="AF1362" s="86">
        <f>IF(verze!$E$1="CZK",AD1362,IF(verze!$E$1="SK",AE1362,""))</f>
        <v>11.96702</v>
      </c>
    </row>
    <row r="1363" spans="27:32" ht="15">
      <c r="AA1363" s="463" t="s">
        <v>5284</v>
      </c>
      <c r="AB1363" s="462" t="s">
        <v>5285</v>
      </c>
      <c r="AC1363" s="462" t="s">
        <v>5286</v>
      </c>
      <c r="AD1363" s="464">
        <v>156.15083000000001</v>
      </c>
      <c r="AE1363" s="465">
        <v>6.2468000000000004</v>
      </c>
      <c r="AF1363" s="86">
        <f>IF(verze!$E$1="CZK",AD1363,IF(verze!$E$1="SK",AE1363,""))</f>
        <v>6.2468000000000004</v>
      </c>
    </row>
    <row r="1364" spans="27:32" ht="15">
      <c r="AA1364" s="463" t="s">
        <v>5287</v>
      </c>
      <c r="AB1364" s="462" t="s">
        <v>5288</v>
      </c>
      <c r="AC1364" s="462" t="s">
        <v>5289</v>
      </c>
      <c r="AD1364" s="464">
        <v>223.93845999999999</v>
      </c>
      <c r="AE1364" s="465">
        <v>10.77224</v>
      </c>
      <c r="AF1364" s="86">
        <f>IF(verze!$E$1="CZK",AD1364,IF(verze!$E$1="SK",AE1364,""))</f>
        <v>10.77224</v>
      </c>
    </row>
    <row r="1365" spans="27:32" ht="15">
      <c r="AA1365" s="463" t="s">
        <v>5290</v>
      </c>
      <c r="AB1365" s="462" t="s">
        <v>5291</v>
      </c>
      <c r="AC1365" s="462" t="s">
        <v>5292</v>
      </c>
      <c r="AD1365" s="464">
        <v>245.01799</v>
      </c>
      <c r="AE1365" s="465">
        <v>11.786250000000001</v>
      </c>
      <c r="AF1365" s="86">
        <f>IF(verze!$E$1="CZK",AD1365,IF(verze!$E$1="SK",AE1365,""))</f>
        <v>11.786250000000001</v>
      </c>
    </row>
    <row r="1366" spans="27:32" ht="15">
      <c r="AA1366" s="463" t="s">
        <v>5293</v>
      </c>
      <c r="AB1366" s="462" t="s">
        <v>5294</v>
      </c>
      <c r="AC1366" s="462" t="s">
        <v>5295</v>
      </c>
      <c r="AD1366" s="464">
        <v>266.47379000000001</v>
      </c>
      <c r="AE1366" s="465">
        <v>12.81836</v>
      </c>
      <c r="AF1366" s="86">
        <f>IF(verze!$E$1="CZK",AD1366,IF(verze!$E$1="SK",AE1366,""))</f>
        <v>12.81836</v>
      </c>
    </row>
    <row r="1367" spans="27:32" ht="15">
      <c r="AA1367" s="463" t="s">
        <v>5296</v>
      </c>
      <c r="AB1367" s="462" t="s">
        <v>5297</v>
      </c>
      <c r="AC1367" s="462" t="s">
        <v>5298</v>
      </c>
      <c r="AD1367" s="464">
        <v>287.17728</v>
      </c>
      <c r="AE1367" s="465">
        <v>13.814260000000001</v>
      </c>
      <c r="AF1367" s="86">
        <f>IF(verze!$E$1="CZK",AD1367,IF(verze!$E$1="SK",AE1367,""))</f>
        <v>13.814260000000001</v>
      </c>
    </row>
    <row r="1368" spans="27:32" ht="15">
      <c r="AA1368" s="463" t="s">
        <v>5299</v>
      </c>
      <c r="AB1368" s="462" t="s">
        <v>5300</v>
      </c>
      <c r="AC1368" s="462" t="s">
        <v>5301</v>
      </c>
      <c r="AD1368" s="464">
        <v>312.02087</v>
      </c>
      <c r="AE1368" s="465">
        <v>15.00933</v>
      </c>
      <c r="AF1368" s="86">
        <f>IF(verze!$E$1="CZK",AD1368,IF(verze!$E$1="SK",AE1368,""))</f>
        <v>15.00933</v>
      </c>
    </row>
    <row r="1369" spans="27:32" ht="15">
      <c r="AA1369" s="463" t="s">
        <v>5302</v>
      </c>
      <c r="AB1369" s="462" t="s">
        <v>5303</v>
      </c>
      <c r="AC1369" s="462" t="s">
        <v>5304</v>
      </c>
      <c r="AD1369" s="464">
        <v>560.74288999999999</v>
      </c>
      <c r="AE1369" s="465">
        <v>22.432500000000001</v>
      </c>
      <c r="AF1369" s="86">
        <f>IF(verze!$E$1="CZK",AD1369,IF(verze!$E$1="SK",AE1369,""))</f>
        <v>22.432500000000001</v>
      </c>
    </row>
    <row r="1370" spans="27:32" ht="15">
      <c r="AA1370" s="463" t="s">
        <v>5305</v>
      </c>
      <c r="AB1370" s="462" t="s">
        <v>5306</v>
      </c>
      <c r="AC1370" s="462" t="s">
        <v>5307</v>
      </c>
      <c r="AD1370" s="464">
        <v>488.10892999999999</v>
      </c>
      <c r="AE1370" s="465">
        <v>19.526779999999999</v>
      </c>
      <c r="AF1370" s="86">
        <f>IF(verze!$E$1="CZK",AD1370,IF(verze!$E$1="SK",AE1370,""))</f>
        <v>19.526779999999999</v>
      </c>
    </row>
    <row r="1371" spans="27:32" ht="15">
      <c r="AA1371" s="463" t="s">
        <v>5305</v>
      </c>
      <c r="AB1371" s="462" t="s">
        <v>5308</v>
      </c>
      <c r="AC1371" s="462" t="s">
        <v>5309</v>
      </c>
      <c r="AD1371" s="464">
        <v>488.10892999999999</v>
      </c>
      <c r="AE1371" s="465">
        <v>19.526779999999999</v>
      </c>
      <c r="AF1371" s="86">
        <f>IF(verze!$E$1="CZK",AD1371,IF(verze!$E$1="SK",AE1371,""))</f>
        <v>19.526779999999999</v>
      </c>
    </row>
    <row r="1372" spans="27:32" ht="15">
      <c r="AA1372" s="463" t="s">
        <v>5310</v>
      </c>
      <c r="AB1372" s="462" t="s">
        <v>5311</v>
      </c>
      <c r="AC1372" s="462" t="s">
        <v>5312</v>
      </c>
      <c r="AD1372" s="464">
        <v>619.53288999999995</v>
      </c>
      <c r="AE1372" s="465">
        <v>28.382639999999999</v>
      </c>
      <c r="AF1372" s="86">
        <f>IF(verze!$E$1="CZK",AD1372,IF(verze!$E$1="SK",AE1372,""))</f>
        <v>28.382639999999999</v>
      </c>
    </row>
    <row r="1373" spans="27:32" ht="15">
      <c r="AA1373" s="463" t="s">
        <v>5313</v>
      </c>
      <c r="AB1373" s="462" t="s">
        <v>5314</v>
      </c>
      <c r="AC1373" s="462" t="s">
        <v>5315</v>
      </c>
      <c r="AD1373" s="464">
        <v>666.42840000000001</v>
      </c>
      <c r="AE1373" s="465">
        <v>29.375499999999999</v>
      </c>
      <c r="AF1373" s="86">
        <f>IF(verze!$E$1="CZK",AD1373,IF(verze!$E$1="SK",AE1373,""))</f>
        <v>29.375499999999999</v>
      </c>
    </row>
    <row r="1374" spans="27:32" ht="15">
      <c r="AA1374" s="463" t="s">
        <v>5316</v>
      </c>
      <c r="AB1374" s="462" t="s">
        <v>5317</v>
      </c>
      <c r="AC1374" s="462" t="s">
        <v>5318</v>
      </c>
      <c r="AD1374" s="464">
        <v>4.1717599999999999</v>
      </c>
      <c r="AE1374" s="465">
        <v>0.1711</v>
      </c>
      <c r="AF1374" s="86">
        <f>IF(verze!$E$1="CZK",AD1374,IF(verze!$E$1="SK",AE1374,""))</f>
        <v>0.1711</v>
      </c>
    </row>
    <row r="1375" spans="27:32" ht="15">
      <c r="AA1375" s="463" t="s">
        <v>5319</v>
      </c>
      <c r="AB1375" s="462" t="s">
        <v>5320</v>
      </c>
      <c r="AC1375" s="462" t="s">
        <v>5321</v>
      </c>
      <c r="AD1375" s="464">
        <v>662.36334999999997</v>
      </c>
      <c r="AE1375" s="465">
        <v>30.344819999999999</v>
      </c>
      <c r="AF1375" s="86">
        <f>IF(verze!$E$1="CZK",AD1375,IF(verze!$E$1="SK",AE1375,""))</f>
        <v>30.344819999999999</v>
      </c>
    </row>
    <row r="1376" spans="27:32" ht="15">
      <c r="AA1376" s="463" t="s">
        <v>5322</v>
      </c>
      <c r="AB1376" s="462" t="s">
        <v>5323</v>
      </c>
      <c r="AC1376" s="462" t="s">
        <v>5324</v>
      </c>
      <c r="AD1376" s="464">
        <v>662.36334999999997</v>
      </c>
      <c r="AE1376" s="465">
        <v>30.344819999999999</v>
      </c>
      <c r="AF1376" s="86">
        <f>IF(verze!$E$1="CZK",AD1376,IF(verze!$E$1="SK",AE1376,""))</f>
        <v>30.344819999999999</v>
      </c>
    </row>
    <row r="1377" spans="27:32" ht="15">
      <c r="AA1377" s="463" t="s">
        <v>5325</v>
      </c>
      <c r="AB1377" s="462" t="s">
        <v>5326</v>
      </c>
      <c r="AC1377" s="462" t="s">
        <v>5327</v>
      </c>
      <c r="AD1377" s="464">
        <v>279.08373999999998</v>
      </c>
      <c r="AE1377" s="465">
        <v>12.78566</v>
      </c>
      <c r="AF1377" s="86">
        <f>IF(verze!$E$1="CZK",AD1377,IF(verze!$E$1="SK",AE1377,""))</f>
        <v>12.78566</v>
      </c>
    </row>
    <row r="1378" spans="27:32" ht="15">
      <c r="AA1378" s="463" t="s">
        <v>5328</v>
      </c>
      <c r="AB1378" s="462" t="s">
        <v>5329</v>
      </c>
      <c r="AC1378" s="462" t="s">
        <v>5330</v>
      </c>
      <c r="AD1378" s="464">
        <v>266.95078999999998</v>
      </c>
      <c r="AE1378" s="465">
        <v>12.229799999999999</v>
      </c>
      <c r="AF1378" s="86">
        <f>IF(verze!$E$1="CZK",AD1378,IF(verze!$E$1="SK",AE1378,""))</f>
        <v>12.229799999999999</v>
      </c>
    </row>
    <row r="1379" spans="27:32" ht="15">
      <c r="AA1379" s="463" t="s">
        <v>5331</v>
      </c>
      <c r="AB1379" s="462" t="s">
        <v>5332</v>
      </c>
      <c r="AC1379" s="462" t="s">
        <v>5333</v>
      </c>
      <c r="AD1379" s="464">
        <v>315.28242999999998</v>
      </c>
      <c r="AE1379" s="465">
        <v>14.44402</v>
      </c>
      <c r="AF1379" s="86">
        <f>IF(verze!$E$1="CZK",AD1379,IF(verze!$E$1="SK",AE1379,""))</f>
        <v>14.44402</v>
      </c>
    </row>
    <row r="1380" spans="27:32" ht="15">
      <c r="AA1380" s="463" t="s">
        <v>5334</v>
      </c>
      <c r="AB1380" s="462" t="s">
        <v>5335</v>
      </c>
      <c r="AC1380" s="462" t="s">
        <v>5336</v>
      </c>
      <c r="AD1380" s="464">
        <v>278.90589999999997</v>
      </c>
      <c r="AE1380" s="465">
        <v>12.7775</v>
      </c>
      <c r="AF1380" s="86">
        <f>IF(verze!$E$1="CZK",AD1380,IF(verze!$E$1="SK",AE1380,""))</f>
        <v>12.7775</v>
      </c>
    </row>
    <row r="1381" spans="27:32" ht="15">
      <c r="AA1381" s="463" t="s">
        <v>5337</v>
      </c>
      <c r="AB1381" s="462" t="s">
        <v>5338</v>
      </c>
      <c r="AC1381" s="462" t="s">
        <v>5339</v>
      </c>
      <c r="AD1381" s="464">
        <v>193.01140000000001</v>
      </c>
      <c r="AE1381" s="465">
        <v>8.8424399999999999</v>
      </c>
      <c r="AF1381" s="86">
        <f>IF(verze!$E$1="CZK",AD1381,IF(verze!$E$1="SK",AE1381,""))</f>
        <v>8.8424399999999999</v>
      </c>
    </row>
    <row r="1382" spans="27:32" ht="15">
      <c r="AA1382" s="463" t="s">
        <v>5340</v>
      </c>
      <c r="AB1382" s="462" t="s">
        <v>5341</v>
      </c>
      <c r="AC1382" s="462" t="s">
        <v>5342</v>
      </c>
      <c r="AD1382" s="464">
        <v>224.82915</v>
      </c>
      <c r="AE1382" s="465">
        <v>8.9942899999999995</v>
      </c>
      <c r="AF1382" s="86">
        <f>IF(verze!$E$1="CZK",AD1382,IF(verze!$E$1="SK",AE1382,""))</f>
        <v>8.9942899999999995</v>
      </c>
    </row>
    <row r="1383" spans="27:32" ht="15">
      <c r="AA1383" s="463" t="s">
        <v>5343</v>
      </c>
      <c r="AB1383" s="462" t="s">
        <v>5344</v>
      </c>
      <c r="AC1383" s="462" t="s">
        <v>5345</v>
      </c>
      <c r="AD1383" s="464">
        <v>2297.90236</v>
      </c>
      <c r="AE1383" s="465">
        <v>105.27370000000001</v>
      </c>
      <c r="AF1383" s="86">
        <f>IF(verze!$E$1="CZK",AD1383,IF(verze!$E$1="SK",AE1383,""))</f>
        <v>105.27370000000001</v>
      </c>
    </row>
    <row r="1384" spans="27:32" ht="15">
      <c r="AA1384" s="463" t="s">
        <v>5346</v>
      </c>
      <c r="AB1384" s="462" t="s">
        <v>5347</v>
      </c>
      <c r="AC1384" s="462" t="s">
        <v>5348</v>
      </c>
      <c r="AD1384" s="464">
        <v>2490.1541900000002</v>
      </c>
      <c r="AE1384" s="465">
        <v>114.08134</v>
      </c>
      <c r="AF1384" s="86">
        <f>IF(verze!$E$1="CZK",AD1384,IF(verze!$E$1="SK",AE1384,""))</f>
        <v>114.08134</v>
      </c>
    </row>
    <row r="1385" spans="27:32" ht="15">
      <c r="AA1385" s="463" t="s">
        <v>5349</v>
      </c>
      <c r="AB1385" s="462" t="s">
        <v>5350</v>
      </c>
      <c r="AC1385" s="462" t="s">
        <v>5351</v>
      </c>
      <c r="AD1385" s="464">
        <v>237.13756000000001</v>
      </c>
      <c r="AE1385" s="465">
        <v>10.863960000000001</v>
      </c>
      <c r="AF1385" s="86">
        <f>IF(verze!$E$1="CZK",AD1385,IF(verze!$E$1="SK",AE1385,""))</f>
        <v>10.863960000000001</v>
      </c>
    </row>
    <row r="1386" spans="27:32" ht="15">
      <c r="AA1386" s="463" t="s">
        <v>5352</v>
      </c>
      <c r="AB1386" s="462" t="s">
        <v>5353</v>
      </c>
      <c r="AC1386" s="462" t="s">
        <v>5354</v>
      </c>
      <c r="AD1386" s="464">
        <v>306.60903000000002</v>
      </c>
      <c r="AE1386" s="465">
        <v>14.04668</v>
      </c>
      <c r="AF1386" s="86">
        <f>IF(verze!$E$1="CZK",AD1386,IF(verze!$E$1="SK",AE1386,""))</f>
        <v>14.04668</v>
      </c>
    </row>
    <row r="1387" spans="27:32" ht="15">
      <c r="AA1387" s="463" t="s">
        <v>5355</v>
      </c>
      <c r="AB1387" s="462" t="s">
        <v>5356</v>
      </c>
      <c r="AC1387" s="462" t="s">
        <v>5357</v>
      </c>
      <c r="AD1387" s="464">
        <v>0</v>
      </c>
      <c r="AE1387" s="465">
        <v>0</v>
      </c>
      <c r="AF1387" s="86">
        <f>IF(verze!$E$1="CZK",AD1387,IF(verze!$E$1="SK",AE1387,""))</f>
        <v>0</v>
      </c>
    </row>
    <row r="1388" spans="27:32" ht="15">
      <c r="AA1388" s="463" t="s">
        <v>5358</v>
      </c>
      <c r="AB1388" s="462" t="s">
        <v>5359</v>
      </c>
      <c r="AC1388" s="462" t="s">
        <v>5360</v>
      </c>
      <c r="AD1388" s="464">
        <v>0</v>
      </c>
      <c r="AE1388" s="465">
        <v>0</v>
      </c>
      <c r="AF1388" s="86">
        <f>IF(verze!$E$1="CZK",AD1388,IF(verze!$E$1="SK",AE1388,""))</f>
        <v>0</v>
      </c>
    </row>
    <row r="1389" spans="27:32" ht="15">
      <c r="AA1389" s="463" t="s">
        <v>5361</v>
      </c>
      <c r="AB1389" s="462" t="s">
        <v>5362</v>
      </c>
      <c r="AC1389" s="462" t="s">
        <v>5363</v>
      </c>
      <c r="AD1389" s="464">
        <v>178.17825999999999</v>
      </c>
      <c r="AE1389" s="465">
        <v>8.5710200000000007</v>
      </c>
      <c r="AF1389" s="86">
        <f>IF(verze!$E$1="CZK",AD1389,IF(verze!$E$1="SK",AE1389,""))</f>
        <v>8.5710200000000007</v>
      </c>
    </row>
    <row r="1390" spans="27:32" ht="15">
      <c r="AA1390" s="463" t="s">
        <v>5364</v>
      </c>
      <c r="AB1390" s="462" t="s">
        <v>5365</v>
      </c>
      <c r="AC1390" s="462" t="s">
        <v>5366</v>
      </c>
      <c r="AD1390" s="464">
        <v>178.17825999999999</v>
      </c>
      <c r="AE1390" s="465">
        <v>8.5710200000000007</v>
      </c>
      <c r="AF1390" s="86">
        <f>IF(verze!$E$1="CZK",AD1390,IF(verze!$E$1="SK",AE1390,""))</f>
        <v>8.5710200000000007</v>
      </c>
    </row>
    <row r="1391" spans="27:32" ht="15">
      <c r="AA1391" s="463" t="s">
        <v>5367</v>
      </c>
      <c r="AB1391" s="462" t="s">
        <v>5368</v>
      </c>
      <c r="AC1391" s="462" t="s">
        <v>5369</v>
      </c>
      <c r="AD1391" s="464">
        <v>237.13756000000001</v>
      </c>
      <c r="AE1391" s="465">
        <v>10.863960000000001</v>
      </c>
      <c r="AF1391" s="86">
        <f>IF(verze!$E$1="CZK",AD1391,IF(verze!$E$1="SK",AE1391,""))</f>
        <v>10.863960000000001</v>
      </c>
    </row>
    <row r="1392" spans="27:32" ht="15">
      <c r="AA1392" s="463" t="s">
        <v>5370</v>
      </c>
      <c r="AB1392" s="462" t="s">
        <v>5371</v>
      </c>
      <c r="AC1392" s="462" t="s">
        <v>5372</v>
      </c>
      <c r="AD1392" s="464">
        <v>1613.8533399999999</v>
      </c>
      <c r="AE1392" s="465">
        <v>73.935400000000001</v>
      </c>
      <c r="AF1392" s="86">
        <f>IF(verze!$E$1="CZK",AD1392,IF(verze!$E$1="SK",AE1392,""))</f>
        <v>73.935400000000001</v>
      </c>
    </row>
    <row r="1393" spans="27:32" ht="15">
      <c r="AA1393" s="463" t="s">
        <v>5373</v>
      </c>
      <c r="AB1393" s="462" t="s">
        <v>5374</v>
      </c>
      <c r="AC1393" s="462" t="s">
        <v>5375</v>
      </c>
      <c r="AD1393" s="464">
        <v>415.50805000000003</v>
      </c>
      <c r="AE1393" s="465">
        <v>19.03566</v>
      </c>
      <c r="AF1393" s="86">
        <f>IF(verze!$E$1="CZK",AD1393,IF(verze!$E$1="SK",AE1393,""))</f>
        <v>19.03566</v>
      </c>
    </row>
    <row r="1394" spans="27:32" ht="15">
      <c r="AA1394" s="463" t="s">
        <v>5376</v>
      </c>
      <c r="AB1394" s="462" t="s">
        <v>5377</v>
      </c>
      <c r="AC1394" s="462" t="s">
        <v>5378</v>
      </c>
      <c r="AD1394" s="464">
        <v>446.93585999999999</v>
      </c>
      <c r="AE1394" s="465">
        <v>20.475460000000002</v>
      </c>
      <c r="AF1394" s="86">
        <f>IF(verze!$E$1="CZK",AD1394,IF(verze!$E$1="SK",AE1394,""))</f>
        <v>20.475460000000002</v>
      </c>
    </row>
    <row r="1395" spans="27:32" ht="15">
      <c r="AA1395" s="463" t="s">
        <v>5379</v>
      </c>
      <c r="AB1395" s="462" t="s">
        <v>5380</v>
      </c>
      <c r="AC1395" s="462" t="s">
        <v>5381</v>
      </c>
      <c r="AD1395" s="464">
        <v>478.43034999999998</v>
      </c>
      <c r="AE1395" s="465">
        <v>21.918320000000001</v>
      </c>
      <c r="AF1395" s="86">
        <f>IF(verze!$E$1="CZK",AD1395,IF(verze!$E$1="SK",AE1395,""))</f>
        <v>21.918320000000001</v>
      </c>
    </row>
    <row r="1396" spans="27:32" ht="15">
      <c r="AA1396" s="463" t="s">
        <v>5382</v>
      </c>
      <c r="AB1396" s="462" t="s">
        <v>5383</v>
      </c>
      <c r="AC1396" s="462" t="s">
        <v>5384</v>
      </c>
      <c r="AD1396" s="464">
        <v>509.85816</v>
      </c>
      <c r="AE1396" s="465">
        <v>23.3581</v>
      </c>
      <c r="AF1396" s="86">
        <f>IF(verze!$E$1="CZK",AD1396,IF(verze!$E$1="SK",AE1396,""))</f>
        <v>23.3581</v>
      </c>
    </row>
    <row r="1397" spans="27:32" ht="15">
      <c r="AA1397" s="463" t="s">
        <v>5385</v>
      </c>
      <c r="AB1397" s="462" t="s">
        <v>5386</v>
      </c>
      <c r="AC1397" s="462" t="s">
        <v>5387</v>
      </c>
      <c r="AD1397" s="464">
        <v>604.28242</v>
      </c>
      <c r="AE1397" s="465">
        <v>27.683959999999999</v>
      </c>
      <c r="AF1397" s="86">
        <f>IF(verze!$E$1="CZK",AD1397,IF(verze!$E$1="SK",AE1397,""))</f>
        <v>27.683959999999999</v>
      </c>
    </row>
    <row r="1398" spans="27:32" ht="15">
      <c r="AA1398" s="463" t="s">
        <v>5388</v>
      </c>
      <c r="AB1398" s="462" t="s">
        <v>5389</v>
      </c>
      <c r="AC1398" s="462" t="s">
        <v>5390</v>
      </c>
      <c r="AD1398" s="464">
        <v>112.68481</v>
      </c>
      <c r="AE1398" s="465">
        <v>5.1624400000000001</v>
      </c>
      <c r="AF1398" s="86">
        <f>IF(verze!$E$1="CZK",AD1398,IF(verze!$E$1="SK",AE1398,""))</f>
        <v>5.1624400000000001</v>
      </c>
    </row>
    <row r="1399" spans="27:32" ht="15">
      <c r="AA1399" s="463" t="s">
        <v>5391</v>
      </c>
      <c r="AB1399" s="462" t="s">
        <v>5392</v>
      </c>
      <c r="AC1399" s="462" t="s">
        <v>5393</v>
      </c>
      <c r="AD1399" s="464">
        <v>130.40043</v>
      </c>
      <c r="AE1399" s="465">
        <v>5.9740399999999996</v>
      </c>
      <c r="AF1399" s="86">
        <f>IF(verze!$E$1="CZK",AD1399,IF(verze!$E$1="SK",AE1399,""))</f>
        <v>5.9740399999999996</v>
      </c>
    </row>
    <row r="1400" spans="27:32" ht="15">
      <c r="AA1400" s="463" t="s">
        <v>5394</v>
      </c>
      <c r="AB1400" s="462" t="s">
        <v>5395</v>
      </c>
      <c r="AC1400" s="462" t="s">
        <v>5396</v>
      </c>
      <c r="AD1400" s="464">
        <v>195.19108</v>
      </c>
      <c r="AE1400" s="465">
        <v>8.9422800000000002</v>
      </c>
      <c r="AF1400" s="86">
        <f>IF(verze!$E$1="CZK",AD1400,IF(verze!$E$1="SK",AE1400,""))</f>
        <v>8.9422800000000002</v>
      </c>
    </row>
    <row r="1401" spans="27:32" ht="15">
      <c r="AA1401" s="463" t="s">
        <v>5397</v>
      </c>
      <c r="AB1401" s="462" t="s">
        <v>5398</v>
      </c>
      <c r="AC1401" s="462" t="s">
        <v>5399</v>
      </c>
      <c r="AD1401" s="464">
        <v>256.28951000000001</v>
      </c>
      <c r="AE1401" s="465">
        <v>11.741400000000001</v>
      </c>
      <c r="AF1401" s="86">
        <f>IF(verze!$E$1="CZK",AD1401,IF(verze!$E$1="SK",AE1401,""))</f>
        <v>11.741400000000001</v>
      </c>
    </row>
    <row r="1402" spans="27:32" ht="15">
      <c r="AA1402" s="463" t="s">
        <v>5400</v>
      </c>
      <c r="AB1402" s="462" t="s">
        <v>5401</v>
      </c>
      <c r="AC1402" s="462" t="s">
        <v>5402</v>
      </c>
      <c r="AD1402" s="464">
        <v>150.155</v>
      </c>
      <c r="AE1402" s="465">
        <v>6.8790399999999998</v>
      </c>
      <c r="AF1402" s="86">
        <f>IF(verze!$E$1="CZK",AD1402,IF(verze!$E$1="SK",AE1402,""))</f>
        <v>6.8790399999999998</v>
      </c>
    </row>
    <row r="1403" spans="27:32" ht="15">
      <c r="AA1403" s="463" t="s">
        <v>5403</v>
      </c>
      <c r="AB1403" s="462" t="s">
        <v>5404</v>
      </c>
      <c r="AC1403" s="462" t="s">
        <v>5405</v>
      </c>
      <c r="AD1403" s="464">
        <v>104.8112</v>
      </c>
      <c r="AE1403" s="465">
        <v>4.8017200000000004</v>
      </c>
      <c r="AF1403" s="86">
        <f>IF(verze!$E$1="CZK",AD1403,IF(verze!$E$1="SK",AE1403,""))</f>
        <v>4.8017200000000004</v>
      </c>
    </row>
    <row r="1404" spans="27:32" ht="15">
      <c r="AA1404" s="463" t="s">
        <v>5406</v>
      </c>
      <c r="AB1404" s="462" t="s">
        <v>5407</v>
      </c>
      <c r="AC1404" s="462" t="s">
        <v>5408</v>
      </c>
      <c r="AD1404" s="464">
        <v>164.33414999999999</v>
      </c>
      <c r="AE1404" s="465">
        <v>7.5286400000000002</v>
      </c>
      <c r="AF1404" s="86">
        <f>IF(verze!$E$1="CZK",AD1404,IF(verze!$E$1="SK",AE1404,""))</f>
        <v>7.5286400000000002</v>
      </c>
    </row>
    <row r="1405" spans="27:32" ht="15">
      <c r="AA1405" s="463" t="s">
        <v>5409</v>
      </c>
      <c r="AB1405" s="462" t="s">
        <v>5410</v>
      </c>
      <c r="AC1405" s="462" t="s">
        <v>5411</v>
      </c>
      <c r="AD1405" s="464">
        <v>150.155</v>
      </c>
      <c r="AE1405" s="465">
        <v>6.8790399999999998</v>
      </c>
      <c r="AF1405" s="86">
        <f>IF(verze!$E$1="CZK",AD1405,IF(verze!$E$1="SK",AE1405,""))</f>
        <v>6.8790399999999998</v>
      </c>
    </row>
    <row r="1406" spans="27:32" ht="15">
      <c r="AA1406" s="463" t="s">
        <v>5412</v>
      </c>
      <c r="AB1406" s="462" t="s">
        <v>5413</v>
      </c>
      <c r="AC1406" s="462" t="s">
        <v>5414</v>
      </c>
      <c r="AD1406" s="464">
        <v>268.88218999999998</v>
      </c>
      <c r="AE1406" s="465">
        <v>12.31828</v>
      </c>
      <c r="AF1406" s="86">
        <f>IF(verze!$E$1="CZK",AD1406,IF(verze!$E$1="SK",AE1406,""))</f>
        <v>12.31828</v>
      </c>
    </row>
    <row r="1407" spans="27:32" ht="15">
      <c r="AA1407" s="463" t="s">
        <v>5415</v>
      </c>
      <c r="AB1407" s="462" t="s">
        <v>5416</v>
      </c>
      <c r="AC1407" s="462" t="s">
        <v>5417</v>
      </c>
      <c r="AD1407" s="464">
        <v>164.33414999999999</v>
      </c>
      <c r="AE1407" s="465">
        <v>7.5286400000000002</v>
      </c>
      <c r="AF1407" s="86">
        <f>IF(verze!$E$1="CZK",AD1407,IF(verze!$E$1="SK",AE1407,""))</f>
        <v>7.5286400000000002</v>
      </c>
    </row>
    <row r="1408" spans="27:32" ht="15">
      <c r="AA1408" s="463" t="s">
        <v>5418</v>
      </c>
      <c r="AB1408" s="462" t="s">
        <v>5419</v>
      </c>
      <c r="AC1408" s="462" t="s">
        <v>5420</v>
      </c>
      <c r="AD1408" s="464">
        <v>287.92495000000002</v>
      </c>
      <c r="AE1408" s="465">
        <v>13.1907</v>
      </c>
      <c r="AF1408" s="86">
        <f>IF(verze!$E$1="CZK",AD1408,IF(verze!$E$1="SK",AE1408,""))</f>
        <v>13.1907</v>
      </c>
    </row>
    <row r="1409" spans="27:32" ht="15">
      <c r="AA1409" s="463" t="s">
        <v>5421</v>
      </c>
      <c r="AB1409" s="462" t="s">
        <v>5422</v>
      </c>
      <c r="AC1409" s="462" t="s">
        <v>5423</v>
      </c>
      <c r="AD1409" s="464">
        <v>171.80376000000001</v>
      </c>
      <c r="AE1409" s="465">
        <v>7.8708400000000003</v>
      </c>
      <c r="AF1409" s="86">
        <f>IF(verze!$E$1="CZK",AD1409,IF(verze!$E$1="SK",AE1409,""))</f>
        <v>7.8708400000000003</v>
      </c>
    </row>
    <row r="1410" spans="27:32" ht="15">
      <c r="AA1410" s="463" t="s">
        <v>5424</v>
      </c>
      <c r="AB1410" s="462" t="s">
        <v>5425</v>
      </c>
      <c r="AC1410" s="462" t="s">
        <v>5426</v>
      </c>
      <c r="AD1410" s="464">
        <v>63.674869999999999</v>
      </c>
      <c r="AE1410" s="465">
        <v>2.9171399999999998</v>
      </c>
      <c r="AF1410" s="86">
        <f>IF(verze!$E$1="CZK",AD1410,IF(verze!$E$1="SK",AE1410,""))</f>
        <v>2.9171399999999998</v>
      </c>
    </row>
    <row r="1411" spans="27:32" ht="15">
      <c r="AA1411" s="463" t="s">
        <v>5427</v>
      </c>
      <c r="AB1411" s="462" t="s">
        <v>5428</v>
      </c>
      <c r="AC1411" s="462" t="s">
        <v>5429</v>
      </c>
      <c r="AD1411" s="464">
        <v>91.062010000000001</v>
      </c>
      <c r="AE1411" s="465">
        <v>4.1718200000000003</v>
      </c>
      <c r="AF1411" s="86">
        <f>IF(verze!$E$1="CZK",AD1411,IF(verze!$E$1="SK",AE1411,""))</f>
        <v>4.1718200000000003</v>
      </c>
    </row>
    <row r="1412" spans="27:32" ht="15">
      <c r="AA1412" s="463" t="s">
        <v>5430</v>
      </c>
      <c r="AB1412" s="462" t="s">
        <v>5431</v>
      </c>
      <c r="AC1412" s="462" t="s">
        <v>5432</v>
      </c>
      <c r="AD1412" s="464">
        <v>47.975740000000002</v>
      </c>
      <c r="AE1412" s="465">
        <v>2.1979199999999999</v>
      </c>
      <c r="AF1412" s="86">
        <f>IF(verze!$E$1="CZK",AD1412,IF(verze!$E$1="SK",AE1412,""))</f>
        <v>2.1979199999999999</v>
      </c>
    </row>
    <row r="1413" spans="27:32" ht="15">
      <c r="AA1413" s="463" t="s">
        <v>5433</v>
      </c>
      <c r="AB1413" s="462" t="s">
        <v>5434</v>
      </c>
      <c r="AC1413" s="462" t="s">
        <v>5435</v>
      </c>
      <c r="AD1413" s="464">
        <v>150.155</v>
      </c>
      <c r="AE1413" s="465">
        <v>6.8790399999999998</v>
      </c>
      <c r="AF1413" s="86">
        <f>IF(verze!$E$1="CZK",AD1413,IF(verze!$E$1="SK",AE1413,""))</f>
        <v>6.8790399999999998</v>
      </c>
    </row>
    <row r="1414" spans="27:32" ht="15">
      <c r="AA1414" s="463" t="s">
        <v>5436</v>
      </c>
      <c r="AB1414" s="462" t="s">
        <v>5437</v>
      </c>
      <c r="AC1414" s="462" t="s">
        <v>5438</v>
      </c>
      <c r="AD1414" s="464">
        <v>86.424520000000001</v>
      </c>
      <c r="AE1414" s="465">
        <v>3.9593600000000002</v>
      </c>
      <c r="AF1414" s="86">
        <f>IF(verze!$E$1="CZK",AD1414,IF(verze!$E$1="SK",AE1414,""))</f>
        <v>3.9593600000000002</v>
      </c>
    </row>
    <row r="1415" spans="27:32" ht="15">
      <c r="AA1415" s="463" t="s">
        <v>5439</v>
      </c>
      <c r="AB1415" s="462" t="s">
        <v>5440</v>
      </c>
      <c r="AC1415" s="462" t="s">
        <v>5441</v>
      </c>
      <c r="AD1415" s="464">
        <v>47.975740000000002</v>
      </c>
      <c r="AE1415" s="465">
        <v>2.1979199999999999</v>
      </c>
      <c r="AF1415" s="86">
        <f>IF(verze!$E$1="CZK",AD1415,IF(verze!$E$1="SK",AE1415,""))</f>
        <v>2.1979199999999999</v>
      </c>
    </row>
    <row r="1416" spans="27:32" ht="15">
      <c r="AA1416" s="463" t="s">
        <v>5442</v>
      </c>
      <c r="AB1416" s="462" t="s">
        <v>5443</v>
      </c>
      <c r="AC1416" s="462" t="s">
        <v>5444</v>
      </c>
      <c r="AD1416" s="464">
        <v>164.33414999999999</v>
      </c>
      <c r="AE1416" s="465">
        <v>7.5286400000000002</v>
      </c>
      <c r="AF1416" s="86">
        <f>IF(verze!$E$1="CZK",AD1416,IF(verze!$E$1="SK",AE1416,""))</f>
        <v>7.5286400000000002</v>
      </c>
    </row>
    <row r="1417" spans="27:32" ht="15">
      <c r="AA1417" s="463" t="s">
        <v>5445</v>
      </c>
      <c r="AB1417" s="462" t="s">
        <v>5446</v>
      </c>
      <c r="AC1417" s="462" t="s">
        <v>5447</v>
      </c>
      <c r="AD1417" s="464">
        <v>55.085729999999998</v>
      </c>
      <c r="AE1417" s="465">
        <v>2.5236399999999999</v>
      </c>
      <c r="AF1417" s="86">
        <f>IF(verze!$E$1="CZK",AD1417,IF(verze!$E$1="SK",AE1417,""))</f>
        <v>2.5236399999999999</v>
      </c>
    </row>
    <row r="1418" spans="27:32" ht="15">
      <c r="AA1418" s="463" t="s">
        <v>5448</v>
      </c>
      <c r="AB1418" s="462" t="s">
        <v>5449</v>
      </c>
      <c r="AC1418" s="462" t="s">
        <v>5450</v>
      </c>
      <c r="AD1418" s="464">
        <v>66.569950000000006</v>
      </c>
      <c r="AE1418" s="465">
        <v>3.04976</v>
      </c>
      <c r="AF1418" s="86">
        <f>IF(verze!$E$1="CZK",AD1418,IF(verze!$E$1="SK",AE1418,""))</f>
        <v>3.04976</v>
      </c>
    </row>
    <row r="1419" spans="27:32" ht="15">
      <c r="AA1419" s="463" t="s">
        <v>5451</v>
      </c>
      <c r="AB1419" s="462" t="s">
        <v>5452</v>
      </c>
      <c r="AC1419" s="462" t="s">
        <v>5453</v>
      </c>
      <c r="AD1419" s="464">
        <v>90.290949999999995</v>
      </c>
      <c r="AE1419" s="465">
        <v>4.1364999999999998</v>
      </c>
      <c r="AF1419" s="86">
        <f>IF(verze!$E$1="CZK",AD1419,IF(verze!$E$1="SK",AE1419,""))</f>
        <v>4.1364999999999998</v>
      </c>
    </row>
    <row r="1420" spans="27:32" ht="15">
      <c r="AA1420" s="463" t="s">
        <v>5454</v>
      </c>
      <c r="AB1420" s="462" t="s">
        <v>5455</v>
      </c>
      <c r="AC1420" s="462" t="s">
        <v>5456</v>
      </c>
      <c r="AD1420" s="464">
        <v>97.990319999999997</v>
      </c>
      <c r="AE1420" s="465">
        <v>4.4892200000000004</v>
      </c>
      <c r="AF1420" s="86">
        <f>IF(verze!$E$1="CZK",AD1420,IF(verze!$E$1="SK",AE1420,""))</f>
        <v>4.4892200000000004</v>
      </c>
    </row>
    <row r="1421" spans="27:32" ht="15">
      <c r="AA1421" s="463" t="s">
        <v>5457</v>
      </c>
      <c r="AB1421" s="462" t="s">
        <v>5458</v>
      </c>
      <c r="AC1421" s="462" t="s">
        <v>5459</v>
      </c>
      <c r="AD1421" s="464">
        <v>163.66317000000001</v>
      </c>
      <c r="AE1421" s="465">
        <v>7.4978999999999996</v>
      </c>
      <c r="AF1421" s="86">
        <f>IF(verze!$E$1="CZK",AD1421,IF(verze!$E$1="SK",AE1421,""))</f>
        <v>7.4978999999999996</v>
      </c>
    </row>
    <row r="1422" spans="27:32" ht="15">
      <c r="AA1422" s="463" t="s">
        <v>5460</v>
      </c>
      <c r="AB1422" s="462" t="s">
        <v>5461</v>
      </c>
      <c r="AC1422" s="462" t="s">
        <v>5462</v>
      </c>
      <c r="AD1422" s="464">
        <v>183.79217</v>
      </c>
      <c r="AE1422" s="465">
        <v>8.4200599999999994</v>
      </c>
      <c r="AF1422" s="86">
        <f>IF(verze!$E$1="CZK",AD1422,IF(verze!$E$1="SK",AE1422,""))</f>
        <v>8.4200599999999994</v>
      </c>
    </row>
    <row r="1423" spans="27:32" ht="15">
      <c r="AA1423" s="463" t="s">
        <v>5463</v>
      </c>
      <c r="AB1423" s="462" t="s">
        <v>5464</v>
      </c>
      <c r="AC1423" s="462" t="s">
        <v>5465</v>
      </c>
      <c r="AD1423" s="464">
        <v>304.86952000000002</v>
      </c>
      <c r="AE1423" s="465">
        <v>13.96698</v>
      </c>
      <c r="AF1423" s="86">
        <f>IF(verze!$E$1="CZK",AD1423,IF(verze!$E$1="SK",AE1423,""))</f>
        <v>13.96698</v>
      </c>
    </row>
    <row r="1424" spans="27:32" ht="15">
      <c r="AA1424" s="463" t="s">
        <v>5466</v>
      </c>
      <c r="AB1424" s="462" t="s">
        <v>5467</v>
      </c>
      <c r="AC1424" s="462" t="s">
        <v>5468</v>
      </c>
      <c r="AD1424" s="464">
        <v>233.90311</v>
      </c>
      <c r="AE1424" s="465">
        <v>10.715780000000001</v>
      </c>
      <c r="AF1424" s="86">
        <f>IF(verze!$E$1="CZK",AD1424,IF(verze!$E$1="SK",AE1424,""))</f>
        <v>10.715780000000001</v>
      </c>
    </row>
    <row r="1425" spans="27:32" ht="15">
      <c r="AA1425" s="463" t="s">
        <v>5469</v>
      </c>
      <c r="AB1425" s="462" t="s">
        <v>5470</v>
      </c>
      <c r="AC1425" s="462" t="s">
        <v>5471</v>
      </c>
      <c r="AD1425" s="464">
        <v>317.56963999999999</v>
      </c>
      <c r="AE1425" s="465">
        <v>14.5488</v>
      </c>
      <c r="AF1425" s="86">
        <f>IF(verze!$E$1="CZK",AD1425,IF(verze!$E$1="SK",AE1425,""))</f>
        <v>14.5488</v>
      </c>
    </row>
    <row r="1426" spans="27:32" ht="15">
      <c r="AA1426" s="463" t="s">
        <v>5472</v>
      </c>
      <c r="AB1426" s="462" t="s">
        <v>5473</v>
      </c>
      <c r="AC1426" s="462" t="s">
        <v>5474</v>
      </c>
      <c r="AD1426" s="464">
        <v>334.51429999999999</v>
      </c>
      <c r="AE1426" s="465">
        <v>15.32508</v>
      </c>
      <c r="AF1426" s="86">
        <f>IF(verze!$E$1="CZK",AD1426,IF(verze!$E$1="SK",AE1426,""))</f>
        <v>15.32508</v>
      </c>
    </row>
    <row r="1427" spans="27:32" ht="15">
      <c r="AA1427" s="463" t="s">
        <v>5475</v>
      </c>
      <c r="AB1427" s="462" t="s">
        <v>5476</v>
      </c>
      <c r="AC1427" s="462" t="s">
        <v>5477</v>
      </c>
      <c r="AD1427" s="464">
        <v>351.45515</v>
      </c>
      <c r="AE1427" s="465">
        <v>16.101199999999999</v>
      </c>
      <c r="AF1427" s="86">
        <f>IF(verze!$E$1="CZK",AD1427,IF(verze!$E$1="SK",AE1427,""))</f>
        <v>16.101199999999999</v>
      </c>
    </row>
    <row r="1428" spans="27:32" ht="15">
      <c r="AA1428" s="463" t="s">
        <v>5478</v>
      </c>
      <c r="AB1428" s="462" t="s">
        <v>5479</v>
      </c>
      <c r="AC1428" s="462" t="s">
        <v>5480</v>
      </c>
      <c r="AD1428" s="464">
        <v>381.08132000000001</v>
      </c>
      <c r="AE1428" s="465">
        <v>17.458459999999999</v>
      </c>
      <c r="AF1428" s="86">
        <f>IF(verze!$E$1="CZK",AD1428,IF(verze!$E$1="SK",AE1428,""))</f>
        <v>17.458459999999999</v>
      </c>
    </row>
    <row r="1429" spans="27:32" ht="15">
      <c r="AA1429" s="463" t="s">
        <v>5481</v>
      </c>
      <c r="AB1429" s="462" t="s">
        <v>5482</v>
      </c>
      <c r="AC1429" s="462" t="s">
        <v>5483</v>
      </c>
      <c r="AD1429" s="464">
        <v>427.66694999999999</v>
      </c>
      <c r="AE1429" s="465">
        <v>19.592680000000001</v>
      </c>
      <c r="AF1429" s="86">
        <f>IF(verze!$E$1="CZK",AD1429,IF(verze!$E$1="SK",AE1429,""))</f>
        <v>19.592680000000001</v>
      </c>
    </row>
    <row r="1430" spans="27:32" ht="15">
      <c r="AA1430" s="463" t="s">
        <v>5484</v>
      </c>
      <c r="AB1430" s="462" t="s">
        <v>5485</v>
      </c>
      <c r="AC1430" s="462" t="s">
        <v>5486</v>
      </c>
      <c r="AD1430" s="464">
        <v>379.99892999999997</v>
      </c>
      <c r="AE1430" s="465">
        <v>17.40888</v>
      </c>
      <c r="AF1430" s="86">
        <f>IF(verze!$E$1="CZK",AD1430,IF(verze!$E$1="SK",AE1430,""))</f>
        <v>17.40888</v>
      </c>
    </row>
    <row r="1431" spans="27:32" ht="15">
      <c r="AA1431" s="463" t="s">
        <v>5487</v>
      </c>
      <c r="AB1431" s="462" t="s">
        <v>5488</v>
      </c>
      <c r="AC1431" s="462" t="s">
        <v>5489</v>
      </c>
      <c r="AD1431" s="464">
        <v>450.95056</v>
      </c>
      <c r="AE1431" s="465">
        <v>20.659379999999999</v>
      </c>
      <c r="AF1431" s="86">
        <f>IF(verze!$E$1="CZK",AD1431,IF(verze!$E$1="SK",AE1431,""))</f>
        <v>20.659379999999999</v>
      </c>
    </row>
    <row r="1432" spans="27:32" ht="15">
      <c r="AA1432" s="463" t="s">
        <v>5490</v>
      </c>
      <c r="AB1432" s="462" t="s">
        <v>5491</v>
      </c>
      <c r="AC1432" s="462" t="s">
        <v>5492</v>
      </c>
      <c r="AD1432" s="464">
        <v>550.46810000000005</v>
      </c>
      <c r="AE1432" s="465">
        <v>25.21856</v>
      </c>
      <c r="AF1432" s="86">
        <f>IF(verze!$E$1="CZK",AD1432,IF(verze!$E$1="SK",AE1432,""))</f>
        <v>25.21856</v>
      </c>
    </row>
    <row r="1433" spans="27:32" ht="15">
      <c r="AA1433" s="463" t="s">
        <v>5493</v>
      </c>
      <c r="AB1433" s="462" t="s">
        <v>5494</v>
      </c>
      <c r="AC1433" s="462" t="s">
        <v>5495</v>
      </c>
      <c r="AD1433" s="464">
        <v>209.60751999999999</v>
      </c>
      <c r="AE1433" s="465">
        <v>9.6027400000000007</v>
      </c>
      <c r="AF1433" s="86">
        <f>IF(verze!$E$1="CZK",AD1433,IF(verze!$E$1="SK",AE1433,""))</f>
        <v>9.6027400000000007</v>
      </c>
    </row>
    <row r="1434" spans="27:32" ht="15">
      <c r="AA1434" s="463" t="s">
        <v>5496</v>
      </c>
      <c r="AB1434" s="462" t="s">
        <v>5497</v>
      </c>
      <c r="AC1434" s="462" t="s">
        <v>5498</v>
      </c>
      <c r="AD1434" s="464">
        <v>274.48336999999998</v>
      </c>
      <c r="AE1434" s="465">
        <v>12.57488</v>
      </c>
      <c r="AF1434" s="86">
        <f>IF(verze!$E$1="CZK",AD1434,IF(verze!$E$1="SK",AE1434,""))</f>
        <v>12.57488</v>
      </c>
    </row>
    <row r="1435" spans="27:32" ht="15">
      <c r="AA1435" s="463" t="s">
        <v>5499</v>
      </c>
      <c r="AB1435" s="462" t="s">
        <v>5500</v>
      </c>
      <c r="AC1435" s="462" t="s">
        <v>5501</v>
      </c>
      <c r="AD1435" s="464">
        <v>355.31414999999998</v>
      </c>
      <c r="AE1435" s="465">
        <v>16.277999999999999</v>
      </c>
      <c r="AF1435" s="86">
        <f>IF(verze!$E$1="CZK",AD1435,IF(verze!$E$1="SK",AE1435,""))</f>
        <v>16.277999999999999</v>
      </c>
    </row>
    <row r="1436" spans="27:32" ht="15">
      <c r="AA1436" s="463" t="s">
        <v>5502</v>
      </c>
      <c r="AB1436" s="462" t="s">
        <v>5503</v>
      </c>
      <c r="AC1436" s="462" t="s">
        <v>5504</v>
      </c>
      <c r="AD1436" s="464">
        <v>512.25291000000004</v>
      </c>
      <c r="AE1436" s="465">
        <v>23.46782</v>
      </c>
      <c r="AF1436" s="86">
        <f>IF(verze!$E$1="CZK",AD1436,IF(verze!$E$1="SK",AE1436,""))</f>
        <v>23.46782</v>
      </c>
    </row>
    <row r="1437" spans="27:32" ht="15">
      <c r="AA1437" s="463" t="s">
        <v>5505</v>
      </c>
      <c r="AB1437" s="462" t="s">
        <v>5506</v>
      </c>
      <c r="AC1437" s="462" t="s">
        <v>5507</v>
      </c>
      <c r="AD1437" s="464">
        <v>86.365260000000006</v>
      </c>
      <c r="AE1437" s="465">
        <v>3.9566599999999998</v>
      </c>
      <c r="AF1437" s="86">
        <f>IF(verze!$E$1="CZK",AD1437,IF(verze!$E$1="SK",AE1437,""))</f>
        <v>3.9566599999999998</v>
      </c>
    </row>
    <row r="1438" spans="27:32" ht="15">
      <c r="AA1438" s="463" t="s">
        <v>5508</v>
      </c>
      <c r="AB1438" s="462" t="s">
        <v>5509</v>
      </c>
      <c r="AC1438" s="462" t="s">
        <v>5510</v>
      </c>
      <c r="AD1438" s="464">
        <v>730.13067000000001</v>
      </c>
      <c r="AE1438" s="465">
        <v>33.449460000000002</v>
      </c>
      <c r="AF1438" s="86">
        <f>IF(verze!$E$1="CZK",AD1438,IF(verze!$E$1="SK",AE1438,""))</f>
        <v>33.449460000000002</v>
      </c>
    </row>
    <row r="1439" spans="27:32" ht="15">
      <c r="AA1439" s="463" t="s">
        <v>5511</v>
      </c>
      <c r="AB1439" s="462" t="s">
        <v>5512</v>
      </c>
      <c r="AC1439" s="462" t="s">
        <v>5513</v>
      </c>
      <c r="AD1439" s="464">
        <v>148.83904000000001</v>
      </c>
      <c r="AE1439" s="465">
        <v>6.8187600000000002</v>
      </c>
      <c r="AF1439" s="86">
        <f>IF(verze!$E$1="CZK",AD1439,IF(verze!$E$1="SK",AE1439,""))</f>
        <v>6.8187600000000002</v>
      </c>
    </row>
    <row r="1440" spans="27:32" ht="15">
      <c r="AA1440" s="463" t="s">
        <v>5514</v>
      </c>
      <c r="AB1440" s="462" t="s">
        <v>5515</v>
      </c>
      <c r="AC1440" s="462" t="s">
        <v>5516</v>
      </c>
      <c r="AD1440" s="464">
        <v>166.81046000000001</v>
      </c>
      <c r="AE1440" s="465">
        <v>7.64208</v>
      </c>
      <c r="AF1440" s="86">
        <f>IF(verze!$E$1="CZK",AD1440,IF(verze!$E$1="SK",AE1440,""))</f>
        <v>7.64208</v>
      </c>
    </row>
    <row r="1441" spans="27:32" ht="15">
      <c r="AA1441" s="463" t="s">
        <v>5517</v>
      </c>
      <c r="AB1441" s="462" t="s">
        <v>5518</v>
      </c>
      <c r="AC1441" s="462" t="s">
        <v>5519</v>
      </c>
      <c r="AD1441" s="464">
        <v>217.19202000000001</v>
      </c>
      <c r="AE1441" s="465">
        <v>9.9502000000000006</v>
      </c>
      <c r="AF1441" s="86">
        <f>IF(verze!$E$1="CZK",AD1441,IF(verze!$E$1="SK",AE1441,""))</f>
        <v>9.9502000000000006</v>
      </c>
    </row>
    <row r="1442" spans="27:32" ht="15">
      <c r="AA1442" s="463" t="s">
        <v>5520</v>
      </c>
      <c r="AB1442" s="462" t="s">
        <v>5521</v>
      </c>
      <c r="AC1442" s="462" t="s">
        <v>5522</v>
      </c>
      <c r="AD1442" s="464">
        <v>89.753469999999993</v>
      </c>
      <c r="AE1442" s="465">
        <v>4.1118600000000001</v>
      </c>
      <c r="AF1442" s="86">
        <f>IF(verze!$E$1="CZK",AD1442,IF(verze!$E$1="SK",AE1442,""))</f>
        <v>4.1118600000000001</v>
      </c>
    </row>
    <row r="1443" spans="27:32" ht="15">
      <c r="AA1443" s="463" t="s">
        <v>5523</v>
      </c>
      <c r="AB1443" s="462" t="s">
        <v>5524</v>
      </c>
      <c r="AC1443" s="462" t="s">
        <v>5525</v>
      </c>
      <c r="AD1443" s="464">
        <v>129.42920000000001</v>
      </c>
      <c r="AE1443" s="465">
        <v>5.9295400000000003</v>
      </c>
      <c r="AF1443" s="86">
        <f>IF(verze!$E$1="CZK",AD1443,IF(verze!$E$1="SK",AE1443,""))</f>
        <v>5.9295400000000003</v>
      </c>
    </row>
    <row r="1444" spans="27:32" ht="15">
      <c r="AA1444" s="463" t="s">
        <v>5526</v>
      </c>
      <c r="AB1444" s="462" t="s">
        <v>5527</v>
      </c>
      <c r="AC1444" s="462" t="s">
        <v>5528</v>
      </c>
      <c r="AD1444" s="464">
        <v>168.53414000000001</v>
      </c>
      <c r="AE1444" s="465">
        <v>7.7210400000000003</v>
      </c>
      <c r="AF1444" s="86">
        <f>IF(verze!$E$1="CZK",AD1444,IF(verze!$E$1="SK",AE1444,""))</f>
        <v>7.7210400000000003</v>
      </c>
    </row>
    <row r="1445" spans="27:32" ht="15">
      <c r="AA1445" s="463" t="s">
        <v>5529</v>
      </c>
      <c r="AB1445" s="462" t="s">
        <v>5530</v>
      </c>
      <c r="AC1445" s="462" t="s">
        <v>5531</v>
      </c>
      <c r="AD1445" s="464">
        <v>274.23500000000001</v>
      </c>
      <c r="AE1445" s="465">
        <v>12.56352</v>
      </c>
      <c r="AF1445" s="86">
        <f>IF(verze!$E$1="CZK",AD1445,IF(verze!$E$1="SK",AE1445,""))</f>
        <v>12.56352</v>
      </c>
    </row>
    <row r="1446" spans="27:32" ht="15">
      <c r="AA1446" s="463" t="s">
        <v>5532</v>
      </c>
      <c r="AB1446" s="462" t="s">
        <v>5533</v>
      </c>
      <c r="AC1446" s="462" t="s">
        <v>5534</v>
      </c>
      <c r="AD1446" s="464">
        <v>63.674869999999999</v>
      </c>
      <c r="AE1446" s="465">
        <v>2.9171399999999998</v>
      </c>
      <c r="AF1446" s="86">
        <f>IF(verze!$E$1="CZK",AD1446,IF(verze!$E$1="SK",AE1446,""))</f>
        <v>2.9171399999999998</v>
      </c>
    </row>
    <row r="1447" spans="27:32" ht="15">
      <c r="AA1447" s="463" t="s">
        <v>5535</v>
      </c>
      <c r="AB1447" s="462" t="s">
        <v>5536</v>
      </c>
      <c r="AC1447" s="462" t="s">
        <v>5537</v>
      </c>
      <c r="AD1447" s="464">
        <v>55.085729999999998</v>
      </c>
      <c r="AE1447" s="465">
        <v>2.5236399999999999</v>
      </c>
      <c r="AF1447" s="86">
        <f>IF(verze!$E$1="CZK",AD1447,IF(verze!$E$1="SK",AE1447,""))</f>
        <v>2.5236399999999999</v>
      </c>
    </row>
    <row r="1448" spans="27:32" ht="15">
      <c r="AA1448" s="463" t="s">
        <v>5538</v>
      </c>
      <c r="AB1448" s="462" t="s">
        <v>5539</v>
      </c>
      <c r="AC1448" s="462" t="s">
        <v>5540</v>
      </c>
      <c r="AD1448" s="464">
        <v>59.233840000000001</v>
      </c>
      <c r="AE1448" s="465">
        <v>2.7136800000000001</v>
      </c>
      <c r="AF1448" s="86">
        <f>IF(verze!$E$1="CZK",AD1448,IF(verze!$E$1="SK",AE1448,""))</f>
        <v>2.7136800000000001</v>
      </c>
    </row>
    <row r="1449" spans="27:32" ht="15">
      <c r="AA1449" s="463" t="s">
        <v>5541</v>
      </c>
      <c r="AB1449" s="462" t="s">
        <v>5542</v>
      </c>
      <c r="AC1449" s="462" t="s">
        <v>5543</v>
      </c>
      <c r="AD1449" s="464">
        <v>108.25867</v>
      </c>
      <c r="AE1449" s="465">
        <v>4.9596600000000004</v>
      </c>
      <c r="AF1449" s="86">
        <f>IF(verze!$E$1="CZK",AD1449,IF(verze!$E$1="SK",AE1449,""))</f>
        <v>4.9596600000000004</v>
      </c>
    </row>
    <row r="1450" spans="27:32" ht="15">
      <c r="AA1450" s="463" t="s">
        <v>5544</v>
      </c>
      <c r="AB1450" s="462" t="s">
        <v>5545</v>
      </c>
      <c r="AC1450" s="462" t="s">
        <v>5546</v>
      </c>
      <c r="AD1450" s="464">
        <v>78.521249999999995</v>
      </c>
      <c r="AE1450" s="465">
        <v>3.5973000000000002</v>
      </c>
      <c r="AF1450" s="86">
        <f>IF(verze!$E$1="CZK",AD1450,IF(verze!$E$1="SK",AE1450,""))</f>
        <v>3.5973000000000002</v>
      </c>
    </row>
    <row r="1451" spans="27:32" ht="15">
      <c r="AA1451" s="463" t="s">
        <v>5547</v>
      </c>
      <c r="AB1451" s="462" t="s">
        <v>5548</v>
      </c>
      <c r="AC1451" s="462" t="s">
        <v>5549</v>
      </c>
      <c r="AD1451" s="464">
        <v>170.29504</v>
      </c>
      <c r="AE1451" s="465">
        <v>7.8017200000000004</v>
      </c>
      <c r="AF1451" s="86">
        <f>IF(verze!$E$1="CZK",AD1451,IF(verze!$E$1="SK",AE1451,""))</f>
        <v>7.8017200000000004</v>
      </c>
    </row>
    <row r="1452" spans="27:32" ht="15">
      <c r="AA1452" s="463" t="s">
        <v>5550</v>
      </c>
      <c r="AB1452" s="462" t="s">
        <v>5551</v>
      </c>
      <c r="AC1452" s="462" t="s">
        <v>5552</v>
      </c>
      <c r="AD1452" s="464">
        <v>292.80327</v>
      </c>
      <c r="AE1452" s="465">
        <v>13.414199999999999</v>
      </c>
      <c r="AF1452" s="86">
        <f>IF(verze!$E$1="CZK",AD1452,IF(verze!$E$1="SK",AE1452,""))</f>
        <v>13.414199999999999</v>
      </c>
    </row>
    <row r="1453" spans="27:32" ht="15">
      <c r="AA1453" s="463" t="s">
        <v>5553</v>
      </c>
      <c r="AB1453" s="462" t="s">
        <v>5554</v>
      </c>
      <c r="AC1453" s="462" t="s">
        <v>5555</v>
      </c>
      <c r="AD1453" s="464">
        <v>147.95820000000001</v>
      </c>
      <c r="AE1453" s="465">
        <v>6.5218600000000002</v>
      </c>
      <c r="AF1453" s="86">
        <f>IF(verze!$E$1="CZK",AD1453,IF(verze!$E$1="SK",AE1453,""))</f>
        <v>6.5218600000000002</v>
      </c>
    </row>
    <row r="1454" spans="27:32" ht="15">
      <c r="AA1454" s="463" t="s">
        <v>5556</v>
      </c>
      <c r="AB1454" s="462" t="s">
        <v>5557</v>
      </c>
      <c r="AC1454" s="462" t="s">
        <v>5558</v>
      </c>
      <c r="AD1454" s="464">
        <v>161.78749999999999</v>
      </c>
      <c r="AE1454" s="465">
        <v>7.4119599999999997</v>
      </c>
      <c r="AF1454" s="86">
        <f>IF(verze!$E$1="CZK",AD1454,IF(verze!$E$1="SK",AE1454,""))</f>
        <v>7.4119599999999997</v>
      </c>
    </row>
    <row r="1455" spans="27:32" ht="15">
      <c r="AA1455" s="463" t="s">
        <v>5559</v>
      </c>
      <c r="AB1455" s="462" t="s">
        <v>5560</v>
      </c>
      <c r="AC1455" s="462" t="s">
        <v>5561</v>
      </c>
      <c r="AD1455" s="464">
        <v>390.8974</v>
      </c>
      <c r="AE1455" s="465">
        <v>17.908180000000002</v>
      </c>
      <c r="AF1455" s="86">
        <f>IF(verze!$E$1="CZK",AD1455,IF(verze!$E$1="SK",AE1455,""))</f>
        <v>17.908180000000002</v>
      </c>
    </row>
    <row r="1456" spans="27:32" ht="15">
      <c r="AA1456" s="463" t="s">
        <v>5562</v>
      </c>
      <c r="AB1456" s="462" t="s">
        <v>5563</v>
      </c>
      <c r="AC1456" s="462" t="s">
        <v>5564</v>
      </c>
      <c r="AD1456" s="464">
        <v>180.94814</v>
      </c>
      <c r="AE1456" s="465">
        <v>8.7042699999999993</v>
      </c>
      <c r="AF1456" s="86">
        <f>IF(verze!$E$1="CZK",AD1456,IF(verze!$E$1="SK",AE1456,""))</f>
        <v>8.7042699999999993</v>
      </c>
    </row>
    <row r="1457" spans="27:32" ht="15">
      <c r="AA1457" s="463" t="s">
        <v>5565</v>
      </c>
      <c r="AB1457" s="462" t="s">
        <v>5566</v>
      </c>
      <c r="AC1457" s="462" t="s">
        <v>5567</v>
      </c>
      <c r="AD1457" s="464">
        <v>201.86256</v>
      </c>
      <c r="AE1457" s="465">
        <v>9.7103199999999994</v>
      </c>
      <c r="AF1457" s="86">
        <f>IF(verze!$E$1="CZK",AD1457,IF(verze!$E$1="SK",AE1457,""))</f>
        <v>9.7103199999999994</v>
      </c>
    </row>
    <row r="1458" spans="27:32" ht="15">
      <c r="AA1458" s="463" t="s">
        <v>5568</v>
      </c>
      <c r="AB1458" s="462" t="s">
        <v>5569</v>
      </c>
      <c r="AC1458" s="462" t="s">
        <v>5570</v>
      </c>
      <c r="AD1458" s="464">
        <v>124.70650999999999</v>
      </c>
      <c r="AE1458" s="465">
        <v>5.7131800000000004</v>
      </c>
      <c r="AF1458" s="86">
        <f>IF(verze!$E$1="CZK",AD1458,IF(verze!$E$1="SK",AE1458,""))</f>
        <v>5.7131800000000004</v>
      </c>
    </row>
    <row r="1459" spans="27:32" ht="15">
      <c r="AA1459" s="463" t="s">
        <v>5571</v>
      </c>
      <c r="AB1459" s="462" t="s">
        <v>5572</v>
      </c>
      <c r="AC1459" s="462" t="s">
        <v>5573</v>
      </c>
      <c r="AD1459" s="464">
        <v>173.01410999999999</v>
      </c>
      <c r="AE1459" s="465">
        <v>7.6262999999999996</v>
      </c>
      <c r="AF1459" s="86">
        <f>IF(verze!$E$1="CZK",AD1459,IF(verze!$E$1="SK",AE1459,""))</f>
        <v>7.6262999999999996</v>
      </c>
    </row>
    <row r="1460" spans="27:32" ht="15">
      <c r="AA1460" s="463" t="s">
        <v>5574</v>
      </c>
      <c r="AB1460" s="462" t="s">
        <v>5575</v>
      </c>
      <c r="AC1460" s="462" t="s">
        <v>5576</v>
      </c>
      <c r="AD1460" s="464">
        <v>319.70857000000001</v>
      </c>
      <c r="AE1460" s="465">
        <v>14.646800000000001</v>
      </c>
      <c r="AF1460" s="86">
        <f>IF(verze!$E$1="CZK",AD1460,IF(verze!$E$1="SK",AE1460,""))</f>
        <v>14.646800000000001</v>
      </c>
    </row>
    <row r="1461" spans="27:32" ht="15">
      <c r="AA1461" s="463" t="s">
        <v>5577</v>
      </c>
      <c r="AB1461" s="462" t="s">
        <v>5578</v>
      </c>
      <c r="AC1461" s="462" t="s">
        <v>5579</v>
      </c>
      <c r="AD1461" s="464">
        <v>223.92759000000001</v>
      </c>
      <c r="AE1461" s="465">
        <v>10.25878</v>
      </c>
      <c r="AF1461" s="86">
        <f>IF(verze!$E$1="CZK",AD1461,IF(verze!$E$1="SK",AE1461,""))</f>
        <v>10.25878</v>
      </c>
    </row>
    <row r="1462" spans="27:32" ht="15">
      <c r="AA1462" s="463" t="s">
        <v>5580</v>
      </c>
      <c r="AB1462" s="462" t="s">
        <v>5581</v>
      </c>
      <c r="AC1462" s="462" t="s">
        <v>5582</v>
      </c>
      <c r="AD1462" s="464">
        <v>59.233840000000001</v>
      </c>
      <c r="AE1462" s="465">
        <v>2.7136800000000001</v>
      </c>
      <c r="AF1462" s="86">
        <f>IF(verze!$E$1="CZK",AD1462,IF(verze!$E$1="SK",AE1462,""))</f>
        <v>2.7136800000000001</v>
      </c>
    </row>
    <row r="1463" spans="27:32" ht="15">
      <c r="AA1463" s="463" t="s">
        <v>5583</v>
      </c>
      <c r="AB1463" s="462" t="s">
        <v>5584</v>
      </c>
      <c r="AC1463" s="462" t="s">
        <v>5585</v>
      </c>
      <c r="AD1463" s="464">
        <v>59.233840000000001</v>
      </c>
      <c r="AE1463" s="465">
        <v>2.7136800000000001</v>
      </c>
      <c r="AF1463" s="86">
        <f>IF(verze!$E$1="CZK",AD1463,IF(verze!$E$1="SK",AE1463,""))</f>
        <v>2.7136800000000001</v>
      </c>
    </row>
    <row r="1464" spans="27:32" ht="15">
      <c r="AA1464" s="463" t="s">
        <v>5586</v>
      </c>
      <c r="AB1464" s="462" t="s">
        <v>5587</v>
      </c>
      <c r="AC1464" s="462" t="s">
        <v>5588</v>
      </c>
      <c r="AD1464" s="464">
        <v>223.92759000000001</v>
      </c>
      <c r="AE1464" s="465">
        <v>10.25878</v>
      </c>
      <c r="AF1464" s="86">
        <f>IF(verze!$E$1="CZK",AD1464,IF(verze!$E$1="SK",AE1464,""))</f>
        <v>10.25878</v>
      </c>
    </row>
    <row r="1465" spans="27:32" ht="15">
      <c r="AA1465" s="463" t="s">
        <v>5589</v>
      </c>
      <c r="AB1465" s="462" t="s">
        <v>5590</v>
      </c>
      <c r="AC1465" s="462" t="s">
        <v>5591</v>
      </c>
      <c r="AD1465" s="464">
        <v>189.97165000000001</v>
      </c>
      <c r="AE1465" s="465">
        <v>8.7031600000000005</v>
      </c>
      <c r="AF1465" s="86">
        <f>IF(verze!$E$1="CZK",AD1465,IF(verze!$E$1="SK",AE1465,""))</f>
        <v>8.7031600000000005</v>
      </c>
    </row>
    <row r="1466" spans="27:32" ht="15">
      <c r="AA1466" s="463" t="s">
        <v>5592</v>
      </c>
      <c r="AB1466" s="462" t="s">
        <v>5593</v>
      </c>
      <c r="AC1466" s="462" t="s">
        <v>5594</v>
      </c>
      <c r="AD1466" s="464">
        <v>219.2568</v>
      </c>
      <c r="AE1466" s="465">
        <v>10.0448</v>
      </c>
      <c r="AF1466" s="86">
        <f>IF(verze!$E$1="CZK",AD1466,IF(verze!$E$1="SK",AE1466,""))</f>
        <v>10.0448</v>
      </c>
    </row>
    <row r="1467" spans="27:32" ht="15">
      <c r="AA1467" s="463" t="s">
        <v>5595</v>
      </c>
      <c r="AB1467" s="462" t="s">
        <v>5596</v>
      </c>
      <c r="AC1467" s="462" t="s">
        <v>5597</v>
      </c>
      <c r="AD1467" s="464">
        <v>68.041659999999993</v>
      </c>
      <c r="AE1467" s="465">
        <v>3.1172</v>
      </c>
      <c r="AF1467" s="86">
        <f>IF(verze!$E$1="CZK",AD1467,IF(verze!$E$1="SK",AE1467,""))</f>
        <v>3.1172</v>
      </c>
    </row>
    <row r="1468" spans="27:32" ht="15">
      <c r="AA1468" s="463" t="s">
        <v>5598</v>
      </c>
      <c r="AB1468" s="462" t="s">
        <v>5599</v>
      </c>
      <c r="AC1468" s="462" t="s">
        <v>5600</v>
      </c>
      <c r="AD1468" s="464">
        <v>68.041659999999993</v>
      </c>
      <c r="AE1468" s="465">
        <v>3.1172</v>
      </c>
      <c r="AF1468" s="86">
        <f>IF(verze!$E$1="CZK",AD1468,IF(verze!$E$1="SK",AE1468,""))</f>
        <v>3.1172</v>
      </c>
    </row>
    <row r="1469" spans="27:32" ht="15">
      <c r="AA1469" s="463" t="s">
        <v>5601</v>
      </c>
      <c r="AB1469" s="462" t="s">
        <v>5602</v>
      </c>
      <c r="AC1469" s="462" t="s">
        <v>5603</v>
      </c>
      <c r="AD1469" s="464">
        <v>209.7225</v>
      </c>
      <c r="AE1469" s="465">
        <v>9.6080199999999998</v>
      </c>
      <c r="AF1469" s="86">
        <f>IF(verze!$E$1="CZK",AD1469,IF(verze!$E$1="SK",AE1469,""))</f>
        <v>9.6080199999999998</v>
      </c>
    </row>
    <row r="1470" spans="27:32" ht="15">
      <c r="AA1470" s="463" t="s">
        <v>5604</v>
      </c>
      <c r="AB1470" s="462" t="s">
        <v>5605</v>
      </c>
      <c r="AC1470" s="462" t="s">
        <v>5606</v>
      </c>
      <c r="AD1470" s="464">
        <v>68.041659999999993</v>
      </c>
      <c r="AE1470" s="465">
        <v>3.1172</v>
      </c>
      <c r="AF1470" s="86">
        <f>IF(verze!$E$1="CZK",AD1470,IF(verze!$E$1="SK",AE1470,""))</f>
        <v>3.1172</v>
      </c>
    </row>
    <row r="1471" spans="27:32" ht="15">
      <c r="AA1471" s="463" t="s">
        <v>5607</v>
      </c>
      <c r="AB1471" s="462" t="s">
        <v>5608</v>
      </c>
      <c r="AC1471" s="462" t="s">
        <v>5609</v>
      </c>
      <c r="AD1471" s="464">
        <v>78.521249999999995</v>
      </c>
      <c r="AE1471" s="465">
        <v>3.5973000000000002</v>
      </c>
      <c r="AF1471" s="86">
        <f>IF(verze!$E$1="CZK",AD1471,IF(verze!$E$1="SK",AE1471,""))</f>
        <v>3.5973000000000002</v>
      </c>
    </row>
    <row r="1472" spans="27:32" ht="15">
      <c r="AA1472" s="463" t="s">
        <v>5610</v>
      </c>
      <c r="AB1472" s="462" t="s">
        <v>5611</v>
      </c>
      <c r="AC1472" s="462" t="s">
        <v>5612</v>
      </c>
      <c r="AD1472" s="464">
        <v>95.202650000000006</v>
      </c>
      <c r="AE1472" s="465">
        <v>4.3615199999999996</v>
      </c>
      <c r="AF1472" s="86">
        <f>IF(verze!$E$1="CZK",AD1472,IF(verze!$E$1="SK",AE1472,""))</f>
        <v>4.3615199999999996</v>
      </c>
    </row>
    <row r="1473" spans="27:32" ht="15">
      <c r="AA1473" s="463" t="s">
        <v>5613</v>
      </c>
      <c r="AB1473" s="462" t="s">
        <v>5614</v>
      </c>
      <c r="AC1473" s="462" t="s">
        <v>5615</v>
      </c>
      <c r="AD1473" s="464">
        <v>91.062010000000001</v>
      </c>
      <c r="AE1473" s="465">
        <v>4.1718200000000003</v>
      </c>
      <c r="AF1473" s="86">
        <f>IF(verze!$E$1="CZK",AD1473,IF(verze!$E$1="SK",AE1473,""))</f>
        <v>4.1718200000000003</v>
      </c>
    </row>
    <row r="1474" spans="27:32" ht="15">
      <c r="AA1474" s="463" t="s">
        <v>5616</v>
      </c>
      <c r="AB1474" s="462" t="s">
        <v>5617</v>
      </c>
      <c r="AC1474" s="462" t="s">
        <v>5618</v>
      </c>
      <c r="AD1474" s="464">
        <v>66.481030000000004</v>
      </c>
      <c r="AE1474" s="465">
        <v>3.0457000000000001</v>
      </c>
      <c r="AF1474" s="86">
        <f>IF(verze!$E$1="CZK",AD1474,IF(verze!$E$1="SK",AE1474,""))</f>
        <v>3.0457000000000001</v>
      </c>
    </row>
    <row r="1475" spans="27:32" ht="15">
      <c r="AA1475" s="463" t="s">
        <v>5619</v>
      </c>
      <c r="AB1475" s="462" t="s">
        <v>5620</v>
      </c>
      <c r="AC1475" s="462" t="s">
        <v>5621</v>
      </c>
      <c r="AD1475" s="464">
        <v>91.062010000000001</v>
      </c>
      <c r="AE1475" s="465">
        <v>4.1718200000000003</v>
      </c>
      <c r="AF1475" s="86">
        <f>IF(verze!$E$1="CZK",AD1475,IF(verze!$E$1="SK",AE1475,""))</f>
        <v>4.1718200000000003</v>
      </c>
    </row>
    <row r="1476" spans="27:32" ht="15">
      <c r="AA1476" s="463" t="s">
        <v>5622</v>
      </c>
      <c r="AB1476" s="462" t="s">
        <v>5623</v>
      </c>
      <c r="AC1476" s="462" t="s">
        <v>5624</v>
      </c>
      <c r="AD1476" s="464">
        <v>288.37722000000002</v>
      </c>
      <c r="AE1476" s="465">
        <v>13.21142</v>
      </c>
      <c r="AF1476" s="86">
        <f>IF(verze!$E$1="CZK",AD1476,IF(verze!$E$1="SK",AE1476,""))</f>
        <v>13.21142</v>
      </c>
    </row>
    <row r="1477" spans="27:32" ht="15">
      <c r="AA1477" s="463" t="s">
        <v>5625</v>
      </c>
      <c r="AB1477" s="462" t="s">
        <v>5626</v>
      </c>
      <c r="AC1477" s="462" t="s">
        <v>5627</v>
      </c>
      <c r="AD1477" s="464">
        <v>66.481030000000004</v>
      </c>
      <c r="AE1477" s="465">
        <v>3.0457000000000001</v>
      </c>
      <c r="AF1477" s="86">
        <f>IF(verze!$E$1="CZK",AD1477,IF(verze!$E$1="SK",AE1477,""))</f>
        <v>3.0457000000000001</v>
      </c>
    </row>
    <row r="1478" spans="27:32" ht="15">
      <c r="AA1478" s="463" t="s">
        <v>5628</v>
      </c>
      <c r="AB1478" s="462" t="s">
        <v>5629</v>
      </c>
      <c r="AC1478" s="462" t="s">
        <v>5630</v>
      </c>
      <c r="AD1478" s="464">
        <v>66.481030000000004</v>
      </c>
      <c r="AE1478" s="465">
        <v>3.0457000000000001</v>
      </c>
      <c r="AF1478" s="86">
        <f>IF(verze!$E$1="CZK",AD1478,IF(verze!$E$1="SK",AE1478,""))</f>
        <v>3.0457000000000001</v>
      </c>
    </row>
    <row r="1479" spans="27:32" ht="15">
      <c r="AA1479" s="463" t="s">
        <v>5631</v>
      </c>
      <c r="AB1479" s="462" t="s">
        <v>5632</v>
      </c>
      <c r="AC1479" s="462" t="s">
        <v>5633</v>
      </c>
      <c r="AD1479" s="464">
        <v>227.18603999999999</v>
      </c>
      <c r="AE1479" s="465">
        <v>10.40808</v>
      </c>
      <c r="AF1479" s="86">
        <f>IF(verze!$E$1="CZK",AD1479,IF(verze!$E$1="SK",AE1479,""))</f>
        <v>10.40808</v>
      </c>
    </row>
    <row r="1480" spans="27:32" ht="15">
      <c r="AA1480" s="463" t="s">
        <v>5634</v>
      </c>
      <c r="AB1480" s="462" t="s">
        <v>5635</v>
      </c>
      <c r="AC1480" s="462" t="s">
        <v>5636</v>
      </c>
      <c r="AD1480" s="464">
        <v>104.8112</v>
      </c>
      <c r="AE1480" s="465">
        <v>4.8017200000000004</v>
      </c>
      <c r="AF1480" s="86">
        <f>IF(verze!$E$1="CZK",AD1480,IF(verze!$E$1="SK",AE1480,""))</f>
        <v>4.8017200000000004</v>
      </c>
    </row>
    <row r="1481" spans="27:32" ht="15">
      <c r="AA1481" s="463" t="s">
        <v>5637</v>
      </c>
      <c r="AB1481" s="462" t="s">
        <v>5638</v>
      </c>
      <c r="AC1481" s="462" t="s">
        <v>5639</v>
      </c>
      <c r="AD1481" s="464">
        <v>69.505889999999994</v>
      </c>
      <c r="AE1481" s="465">
        <v>3.1842800000000002</v>
      </c>
      <c r="AF1481" s="86">
        <f>IF(verze!$E$1="CZK",AD1481,IF(verze!$E$1="SK",AE1481,""))</f>
        <v>3.1842800000000002</v>
      </c>
    </row>
    <row r="1482" spans="27:32" ht="15">
      <c r="AA1482" s="463" t="s">
        <v>5640</v>
      </c>
      <c r="AB1482" s="462" t="s">
        <v>5641</v>
      </c>
      <c r="AC1482" s="462" t="s">
        <v>5642</v>
      </c>
      <c r="AD1482" s="464">
        <v>98.283150000000006</v>
      </c>
      <c r="AE1482" s="465">
        <v>4.5026400000000004</v>
      </c>
      <c r="AF1482" s="86">
        <f>IF(verze!$E$1="CZK",AD1482,IF(verze!$E$1="SK",AE1482,""))</f>
        <v>4.5026400000000004</v>
      </c>
    </row>
    <row r="1483" spans="27:32" ht="15">
      <c r="AA1483" s="463" t="s">
        <v>5643</v>
      </c>
      <c r="AB1483" s="462" t="s">
        <v>5644</v>
      </c>
      <c r="AC1483" s="462" t="s">
        <v>5645</v>
      </c>
      <c r="AD1483" s="464">
        <v>104.8112</v>
      </c>
      <c r="AE1483" s="465">
        <v>4.8017200000000004</v>
      </c>
      <c r="AF1483" s="86">
        <f>IF(verze!$E$1="CZK",AD1483,IF(verze!$E$1="SK",AE1483,""))</f>
        <v>4.8017200000000004</v>
      </c>
    </row>
    <row r="1484" spans="27:32" ht="15">
      <c r="AA1484" s="463" t="s">
        <v>5646</v>
      </c>
      <c r="AB1484" s="462" t="s">
        <v>5647</v>
      </c>
      <c r="AC1484" s="462" t="s">
        <v>5648</v>
      </c>
      <c r="AD1484" s="464">
        <v>326.62954999999999</v>
      </c>
      <c r="AE1484" s="465">
        <v>14.96388</v>
      </c>
      <c r="AF1484" s="86">
        <f>IF(verze!$E$1="CZK",AD1484,IF(verze!$E$1="SK",AE1484,""))</f>
        <v>14.96388</v>
      </c>
    </row>
    <row r="1485" spans="27:32" ht="15">
      <c r="AA1485" s="463" t="s">
        <v>5649</v>
      </c>
      <c r="AB1485" s="462" t="s">
        <v>5650</v>
      </c>
      <c r="AC1485" s="462" t="s">
        <v>5651</v>
      </c>
      <c r="AD1485" s="464">
        <v>116.28798</v>
      </c>
      <c r="AE1485" s="465">
        <v>5.3274999999999997</v>
      </c>
      <c r="AF1485" s="86">
        <f>IF(verze!$E$1="CZK",AD1485,IF(verze!$E$1="SK",AE1485,""))</f>
        <v>5.3274999999999997</v>
      </c>
    </row>
    <row r="1486" spans="27:32" ht="15">
      <c r="AA1486" s="463" t="s">
        <v>5652</v>
      </c>
      <c r="AB1486" s="462" t="s">
        <v>5653</v>
      </c>
      <c r="AC1486" s="462" t="s">
        <v>5654</v>
      </c>
      <c r="AD1486" s="464">
        <v>86.643320000000003</v>
      </c>
      <c r="AE1486" s="465">
        <v>3.9693800000000001</v>
      </c>
      <c r="AF1486" s="86">
        <f>IF(verze!$E$1="CZK",AD1486,IF(verze!$E$1="SK",AE1486,""))</f>
        <v>3.9693800000000001</v>
      </c>
    </row>
    <row r="1487" spans="27:32" ht="15">
      <c r="AA1487" s="463" t="s">
        <v>5655</v>
      </c>
      <c r="AB1487" s="462" t="s">
        <v>5656</v>
      </c>
      <c r="AC1487" s="462" t="s">
        <v>5657</v>
      </c>
      <c r="AD1487" s="464">
        <v>121.57411</v>
      </c>
      <c r="AE1487" s="465">
        <v>5.56968</v>
      </c>
      <c r="AF1487" s="86">
        <f>IF(verze!$E$1="CZK",AD1487,IF(verze!$E$1="SK",AE1487,""))</f>
        <v>5.56968</v>
      </c>
    </row>
    <row r="1488" spans="27:32" ht="15">
      <c r="AA1488" s="463" t="s">
        <v>5658</v>
      </c>
      <c r="AB1488" s="462" t="s">
        <v>5659</v>
      </c>
      <c r="AC1488" s="462" t="s">
        <v>5660</v>
      </c>
      <c r="AD1488" s="464">
        <v>116.28798</v>
      </c>
      <c r="AE1488" s="465">
        <v>5.3274999999999997</v>
      </c>
      <c r="AF1488" s="86">
        <f>IF(verze!$E$1="CZK",AD1488,IF(verze!$E$1="SK",AE1488,""))</f>
        <v>5.3274999999999997</v>
      </c>
    </row>
    <row r="1489" spans="27:32" ht="15">
      <c r="AA1489" s="463" t="s">
        <v>5661</v>
      </c>
      <c r="AB1489" s="462" t="s">
        <v>5662</v>
      </c>
      <c r="AC1489" s="462" t="s">
        <v>5663</v>
      </c>
      <c r="AD1489" s="464">
        <v>106.63497</v>
      </c>
      <c r="AE1489" s="465">
        <v>4.8852599999999997</v>
      </c>
      <c r="AF1489" s="86">
        <f>IF(verze!$E$1="CZK",AD1489,IF(verze!$E$1="SK",AE1489,""))</f>
        <v>4.8852599999999997</v>
      </c>
    </row>
    <row r="1490" spans="27:32" ht="15">
      <c r="AA1490" s="463" t="s">
        <v>5664</v>
      </c>
      <c r="AB1490" s="462" t="s">
        <v>5665</v>
      </c>
      <c r="AC1490" s="462" t="s">
        <v>5666</v>
      </c>
      <c r="AD1490" s="464">
        <v>105.71565</v>
      </c>
      <c r="AE1490" s="465">
        <v>4.8431600000000001</v>
      </c>
      <c r="AF1490" s="86">
        <f>IF(verze!$E$1="CZK",AD1490,IF(verze!$E$1="SK",AE1490,""))</f>
        <v>4.8431600000000001</v>
      </c>
    </row>
    <row r="1491" spans="27:32" ht="15">
      <c r="AA1491" s="463" t="s">
        <v>5667</v>
      </c>
      <c r="AB1491" s="462" t="s">
        <v>5668</v>
      </c>
      <c r="AC1491" s="462" t="s">
        <v>5669</v>
      </c>
      <c r="AD1491" s="464">
        <v>126.77502</v>
      </c>
      <c r="AE1491" s="465">
        <v>5.8079400000000003</v>
      </c>
      <c r="AF1491" s="86">
        <f>IF(verze!$E$1="CZK",AD1491,IF(verze!$E$1="SK",AE1491,""))</f>
        <v>5.8079400000000003</v>
      </c>
    </row>
    <row r="1492" spans="27:32" ht="15">
      <c r="AA1492" s="463" t="s">
        <v>5670</v>
      </c>
      <c r="AB1492" s="462" t="s">
        <v>5671</v>
      </c>
      <c r="AC1492" s="462" t="s">
        <v>5672</v>
      </c>
      <c r="AD1492" s="464">
        <v>57.587919999999997</v>
      </c>
      <c r="AE1492" s="465">
        <v>2.63828</v>
      </c>
      <c r="AF1492" s="86">
        <f>IF(verze!$E$1="CZK",AD1492,IF(verze!$E$1="SK",AE1492,""))</f>
        <v>2.63828</v>
      </c>
    </row>
    <row r="1493" spans="27:32" ht="15">
      <c r="AA1493" s="463" t="s">
        <v>5673</v>
      </c>
      <c r="AB1493" s="462" t="s">
        <v>5674</v>
      </c>
      <c r="AC1493" s="462" t="s">
        <v>5675</v>
      </c>
      <c r="AD1493" s="464">
        <v>50.155410000000003</v>
      </c>
      <c r="AE1493" s="465">
        <v>2.2977799999999999</v>
      </c>
      <c r="AF1493" s="86">
        <f>IF(verze!$E$1="CZK",AD1493,IF(verze!$E$1="SK",AE1493,""))</f>
        <v>2.2977799999999999</v>
      </c>
    </row>
    <row r="1494" spans="27:32" ht="15">
      <c r="AA1494" s="463" t="s">
        <v>5676</v>
      </c>
      <c r="AB1494" s="462" t="s">
        <v>5677</v>
      </c>
      <c r="AC1494" s="462" t="s">
        <v>5678</v>
      </c>
      <c r="AD1494" s="464">
        <v>78.521249999999995</v>
      </c>
      <c r="AE1494" s="465">
        <v>3.5973000000000002</v>
      </c>
      <c r="AF1494" s="86">
        <f>IF(verze!$E$1="CZK",AD1494,IF(verze!$E$1="SK",AE1494,""))</f>
        <v>3.5973000000000002</v>
      </c>
    </row>
    <row r="1495" spans="27:32" ht="15">
      <c r="AA1495" s="463" t="s">
        <v>5679</v>
      </c>
      <c r="AB1495" s="462" t="s">
        <v>5680</v>
      </c>
      <c r="AC1495" s="462" t="s">
        <v>5681</v>
      </c>
      <c r="AD1495" s="464">
        <v>216.10963000000001</v>
      </c>
      <c r="AE1495" s="465">
        <v>9.90062</v>
      </c>
      <c r="AF1495" s="86">
        <f>IF(verze!$E$1="CZK",AD1495,IF(verze!$E$1="SK",AE1495,""))</f>
        <v>9.90062</v>
      </c>
    </row>
    <row r="1496" spans="27:32" ht="15">
      <c r="AA1496" s="463" t="s">
        <v>5682</v>
      </c>
      <c r="AB1496" s="462" t="s">
        <v>5683</v>
      </c>
      <c r="AC1496" s="462" t="s">
        <v>5684</v>
      </c>
      <c r="AD1496" s="464">
        <v>82.091120000000004</v>
      </c>
      <c r="AE1496" s="465">
        <v>3.76084</v>
      </c>
      <c r="AF1496" s="86">
        <f>IF(verze!$E$1="CZK",AD1496,IF(verze!$E$1="SK",AE1496,""))</f>
        <v>3.76084</v>
      </c>
    </row>
    <row r="1497" spans="27:32" ht="15">
      <c r="AA1497" s="463" t="s">
        <v>5685</v>
      </c>
      <c r="AB1497" s="462" t="s">
        <v>5686</v>
      </c>
      <c r="AC1497" s="462" t="s">
        <v>5687</v>
      </c>
      <c r="AD1497" s="464">
        <v>86.413449999999997</v>
      </c>
      <c r="AE1497" s="465">
        <v>3.95886</v>
      </c>
      <c r="AF1497" s="86">
        <f>IF(verze!$E$1="CZK",AD1497,IF(verze!$E$1="SK",AE1497,""))</f>
        <v>3.95886</v>
      </c>
    </row>
    <row r="1498" spans="27:32" ht="15">
      <c r="AA1498" s="463" t="s">
        <v>5688</v>
      </c>
      <c r="AB1498" s="462" t="s">
        <v>5689</v>
      </c>
      <c r="AC1498" s="462" t="s">
        <v>5690</v>
      </c>
      <c r="AD1498" s="464">
        <v>158.1472</v>
      </c>
      <c r="AE1498" s="465">
        <v>7.2451999999999996</v>
      </c>
      <c r="AF1498" s="86">
        <f>IF(verze!$E$1="CZK",AD1498,IF(verze!$E$1="SK",AE1498,""))</f>
        <v>7.2451999999999996</v>
      </c>
    </row>
    <row r="1499" spans="27:32" ht="15">
      <c r="AA1499" s="463" t="s">
        <v>5691</v>
      </c>
      <c r="AB1499" s="462" t="s">
        <v>5692</v>
      </c>
      <c r="AC1499" s="462" t="s">
        <v>5693</v>
      </c>
      <c r="AD1499" s="464">
        <v>215.17912000000001</v>
      </c>
      <c r="AE1499" s="465">
        <v>9.8580000000000005</v>
      </c>
      <c r="AF1499" s="86">
        <f>IF(verze!$E$1="CZK",AD1499,IF(verze!$E$1="SK",AE1499,""))</f>
        <v>9.8580000000000005</v>
      </c>
    </row>
    <row r="1500" spans="27:32" ht="15">
      <c r="AA1500" s="463" t="s">
        <v>5694</v>
      </c>
      <c r="AB1500" s="462" t="s">
        <v>5695</v>
      </c>
      <c r="AC1500" s="462" t="s">
        <v>5696</v>
      </c>
      <c r="AD1500" s="464">
        <v>237.42471</v>
      </c>
      <c r="AE1500" s="465">
        <v>10.877140000000001</v>
      </c>
      <c r="AF1500" s="86">
        <f>IF(verze!$E$1="CZK",AD1500,IF(verze!$E$1="SK",AE1500,""))</f>
        <v>10.877140000000001</v>
      </c>
    </row>
    <row r="1501" spans="27:32" ht="15">
      <c r="AA1501" s="463" t="s">
        <v>5697</v>
      </c>
      <c r="AB1501" s="462" t="s">
        <v>5698</v>
      </c>
      <c r="AC1501" s="462" t="s">
        <v>5699</v>
      </c>
      <c r="AD1501" s="464">
        <v>67.23348</v>
      </c>
      <c r="AE1501" s="465">
        <v>3.0801599999999998</v>
      </c>
      <c r="AF1501" s="86">
        <f>IF(verze!$E$1="CZK",AD1501,IF(verze!$E$1="SK",AE1501,""))</f>
        <v>3.0801599999999998</v>
      </c>
    </row>
    <row r="1502" spans="27:32" ht="15">
      <c r="AA1502" s="463" t="s">
        <v>5700</v>
      </c>
      <c r="AB1502" s="462" t="s">
        <v>5701</v>
      </c>
      <c r="AC1502" s="462" t="s">
        <v>5702</v>
      </c>
      <c r="AD1502" s="464">
        <v>75.585310000000007</v>
      </c>
      <c r="AE1502" s="465">
        <v>3.46278</v>
      </c>
      <c r="AF1502" s="86">
        <f>IF(verze!$E$1="CZK",AD1502,IF(verze!$E$1="SK",AE1502,""))</f>
        <v>3.46278</v>
      </c>
    </row>
    <row r="1503" spans="27:32" ht="15">
      <c r="AA1503" s="463" t="s">
        <v>5703</v>
      </c>
      <c r="AB1503" s="462" t="s">
        <v>5704</v>
      </c>
      <c r="AC1503" s="462" t="s">
        <v>5705</v>
      </c>
      <c r="AD1503" s="464">
        <v>188.12926999999999</v>
      </c>
      <c r="AE1503" s="465">
        <v>8.61876</v>
      </c>
      <c r="AF1503" s="86">
        <f>IF(verze!$E$1="CZK",AD1503,IF(verze!$E$1="SK",AE1503,""))</f>
        <v>8.61876</v>
      </c>
    </row>
    <row r="1504" spans="27:32" ht="15">
      <c r="AA1504" s="463" t="s">
        <v>5706</v>
      </c>
      <c r="AB1504" s="462" t="s">
        <v>5707</v>
      </c>
      <c r="AC1504" s="462" t="s">
        <v>5708</v>
      </c>
      <c r="AD1504" s="464">
        <v>167.67789999999999</v>
      </c>
      <c r="AE1504" s="465">
        <v>7.6818200000000001</v>
      </c>
      <c r="AF1504" s="86">
        <f>IF(verze!$E$1="CZK",AD1504,IF(verze!$E$1="SK",AE1504,""))</f>
        <v>7.6818200000000001</v>
      </c>
    </row>
    <row r="1505" spans="27:32" ht="15">
      <c r="AA1505" s="463" t="s">
        <v>5709</v>
      </c>
      <c r="AB1505" s="462" t="s">
        <v>5710</v>
      </c>
      <c r="AC1505" s="462" t="s">
        <v>5711</v>
      </c>
      <c r="AD1505" s="464">
        <v>148.63513</v>
      </c>
      <c r="AE1505" s="465">
        <v>6.8094200000000003</v>
      </c>
      <c r="AF1505" s="86">
        <f>IF(verze!$E$1="CZK",AD1505,IF(verze!$E$1="SK",AE1505,""))</f>
        <v>6.8094200000000003</v>
      </c>
    </row>
    <row r="1506" spans="27:32" ht="15">
      <c r="AA1506" s="463" t="s">
        <v>5712</v>
      </c>
      <c r="AB1506" s="462" t="s">
        <v>5713</v>
      </c>
      <c r="AC1506" s="462" t="s">
        <v>5714</v>
      </c>
      <c r="AD1506" s="464">
        <v>280.20325000000003</v>
      </c>
      <c r="AE1506" s="465">
        <v>12.83694</v>
      </c>
      <c r="AF1506" s="86">
        <f>IF(verze!$E$1="CZK",AD1506,IF(verze!$E$1="SK",AE1506,""))</f>
        <v>12.83694</v>
      </c>
    </row>
    <row r="1507" spans="27:32" ht="15">
      <c r="AA1507" s="463" t="s">
        <v>5715</v>
      </c>
      <c r="AB1507" s="462" t="s">
        <v>5716</v>
      </c>
      <c r="AC1507" s="462" t="s">
        <v>5717</v>
      </c>
      <c r="AD1507" s="464">
        <v>215.05681000000001</v>
      </c>
      <c r="AE1507" s="465">
        <v>9.8523999999999994</v>
      </c>
      <c r="AF1507" s="86">
        <f>IF(verze!$E$1="CZK",AD1507,IF(verze!$E$1="SK",AE1507,""))</f>
        <v>9.8523999999999994</v>
      </c>
    </row>
    <row r="1508" spans="27:32" ht="15">
      <c r="AA1508" s="463" t="s">
        <v>5718</v>
      </c>
      <c r="AB1508" s="462" t="s">
        <v>5719</v>
      </c>
      <c r="AC1508" s="462" t="s">
        <v>5720</v>
      </c>
      <c r="AD1508" s="464">
        <v>230.34066000000001</v>
      </c>
      <c r="AE1508" s="465">
        <v>10.552580000000001</v>
      </c>
      <c r="AF1508" s="86">
        <f>IF(verze!$E$1="CZK",AD1508,IF(verze!$E$1="SK",AE1508,""))</f>
        <v>10.552580000000001</v>
      </c>
    </row>
    <row r="1509" spans="27:32" ht="15">
      <c r="AA1509" s="463" t="s">
        <v>5721</v>
      </c>
      <c r="AB1509" s="462" t="s">
        <v>5722</v>
      </c>
      <c r="AC1509" s="462" t="s">
        <v>5723</v>
      </c>
      <c r="AD1509" s="464">
        <v>175.66274000000001</v>
      </c>
      <c r="AE1509" s="465">
        <v>8.0476200000000002</v>
      </c>
      <c r="AF1509" s="86">
        <f>IF(verze!$E$1="CZK",AD1509,IF(verze!$E$1="SK",AE1509,""))</f>
        <v>8.0476200000000002</v>
      </c>
    </row>
    <row r="1510" spans="27:32" ht="15">
      <c r="AA1510" s="463" t="s">
        <v>5724</v>
      </c>
      <c r="AB1510" s="462" t="s">
        <v>5725</v>
      </c>
      <c r="AC1510" s="462" t="s">
        <v>5726</v>
      </c>
      <c r="AD1510" s="464">
        <v>133.99627000000001</v>
      </c>
      <c r="AE1510" s="465">
        <v>6.1387600000000004</v>
      </c>
      <c r="AF1510" s="86">
        <f>IF(verze!$E$1="CZK",AD1510,IF(verze!$E$1="SK",AE1510,""))</f>
        <v>6.1387600000000004</v>
      </c>
    </row>
    <row r="1511" spans="27:32" ht="15">
      <c r="AA1511" s="463" t="s">
        <v>5727</v>
      </c>
      <c r="AB1511" s="462" t="s">
        <v>5728</v>
      </c>
      <c r="AC1511" s="462" t="s">
        <v>5729</v>
      </c>
      <c r="AD1511" s="464">
        <v>332.64226000000002</v>
      </c>
      <c r="AE1511" s="465">
        <v>15.239319999999999</v>
      </c>
      <c r="AF1511" s="86">
        <f>IF(verze!$E$1="CZK",AD1511,IF(verze!$E$1="SK",AE1511,""))</f>
        <v>15.239319999999999</v>
      </c>
    </row>
    <row r="1512" spans="27:32" ht="15">
      <c r="AA1512" s="463" t="s">
        <v>5730</v>
      </c>
      <c r="AB1512" s="462" t="s">
        <v>5731</v>
      </c>
      <c r="AC1512" s="462" t="s">
        <v>5732</v>
      </c>
      <c r="AD1512" s="464">
        <v>122.86422</v>
      </c>
      <c r="AE1512" s="465">
        <v>5.6287799999999999</v>
      </c>
      <c r="AF1512" s="86">
        <f>IF(verze!$E$1="CZK",AD1512,IF(verze!$E$1="SK",AE1512,""))</f>
        <v>5.6287799999999999</v>
      </c>
    </row>
    <row r="1513" spans="27:32" ht="15">
      <c r="AA1513" s="463" t="s">
        <v>5733</v>
      </c>
      <c r="AB1513" s="462" t="s">
        <v>5734</v>
      </c>
      <c r="AC1513" s="462" t="s">
        <v>5735</v>
      </c>
      <c r="AD1513" s="464">
        <v>433.49808999999999</v>
      </c>
      <c r="AE1513" s="465">
        <v>19.859839999999998</v>
      </c>
      <c r="AF1513" s="86">
        <f>IF(verze!$E$1="CZK",AD1513,IF(verze!$E$1="SK",AE1513,""))</f>
        <v>19.859839999999998</v>
      </c>
    </row>
    <row r="1514" spans="27:32" ht="15">
      <c r="AA1514" s="463" t="s">
        <v>5736</v>
      </c>
      <c r="AB1514" s="462" t="s">
        <v>5737</v>
      </c>
      <c r="AC1514" s="462" t="s">
        <v>5738</v>
      </c>
      <c r="AD1514" s="464">
        <v>95.058099999999996</v>
      </c>
      <c r="AE1514" s="465">
        <v>4.3548999999999998</v>
      </c>
      <c r="AF1514" s="86">
        <f>IF(verze!$E$1="CZK",AD1514,IF(verze!$E$1="SK",AE1514,""))</f>
        <v>4.3548999999999998</v>
      </c>
    </row>
    <row r="1515" spans="27:32" ht="15">
      <c r="AA1515" s="463" t="s">
        <v>5739</v>
      </c>
      <c r="AB1515" s="462" t="s">
        <v>5740</v>
      </c>
      <c r="AC1515" s="462" t="s">
        <v>5741</v>
      </c>
      <c r="AD1515" s="464">
        <v>215.17912000000001</v>
      </c>
      <c r="AE1515" s="465">
        <v>9.8580000000000005</v>
      </c>
      <c r="AF1515" s="86">
        <f>IF(verze!$E$1="CZK",AD1515,IF(verze!$E$1="SK",AE1515,""))</f>
        <v>9.8580000000000005</v>
      </c>
    </row>
    <row r="1516" spans="27:32" ht="15">
      <c r="AA1516" s="463" t="s">
        <v>5742</v>
      </c>
      <c r="AB1516" s="462" t="s">
        <v>5743</v>
      </c>
      <c r="AC1516" s="462" t="s">
        <v>5744</v>
      </c>
      <c r="AD1516" s="464">
        <v>230.19238999999999</v>
      </c>
      <c r="AE1516" s="465">
        <v>10.545780000000001</v>
      </c>
      <c r="AF1516" s="86">
        <f>IF(verze!$E$1="CZK",AD1516,IF(verze!$E$1="SK",AE1516,""))</f>
        <v>10.545780000000001</v>
      </c>
    </row>
    <row r="1517" spans="27:32" ht="15">
      <c r="AA1517" s="463" t="s">
        <v>5745</v>
      </c>
      <c r="AB1517" s="462" t="s">
        <v>5746</v>
      </c>
      <c r="AC1517" s="462" t="s">
        <v>5747</v>
      </c>
      <c r="AD1517" s="464">
        <v>158.1472</v>
      </c>
      <c r="AE1517" s="465">
        <v>7.2451999999999996</v>
      </c>
      <c r="AF1517" s="86">
        <f>IF(verze!$E$1="CZK",AD1517,IF(verze!$E$1="SK",AE1517,""))</f>
        <v>7.2451999999999996</v>
      </c>
    </row>
    <row r="1518" spans="27:32" ht="15">
      <c r="AA1518" s="463" t="s">
        <v>5748</v>
      </c>
      <c r="AB1518" s="462" t="s">
        <v>5749</v>
      </c>
      <c r="AC1518" s="462" t="s">
        <v>5750</v>
      </c>
      <c r="AD1518" s="464">
        <v>178.13525000000001</v>
      </c>
      <c r="AE1518" s="465">
        <v>8.1608999999999998</v>
      </c>
      <c r="AF1518" s="86">
        <f>IF(verze!$E$1="CZK",AD1518,IF(verze!$E$1="SK",AE1518,""))</f>
        <v>8.1608999999999998</v>
      </c>
    </row>
    <row r="1519" spans="27:32" ht="15">
      <c r="AA1519" s="463" t="s">
        <v>5751</v>
      </c>
      <c r="AB1519" s="462" t="s">
        <v>5752</v>
      </c>
      <c r="AC1519" s="462" t="s">
        <v>5753</v>
      </c>
      <c r="AD1519" s="464">
        <v>154.22150999999999</v>
      </c>
      <c r="AE1519" s="465">
        <v>7.06534</v>
      </c>
      <c r="AF1519" s="86">
        <f>IF(verze!$E$1="CZK",AD1519,IF(verze!$E$1="SK",AE1519,""))</f>
        <v>7.06534</v>
      </c>
    </row>
    <row r="1520" spans="27:32" ht="15">
      <c r="AA1520" s="463" t="s">
        <v>5754</v>
      </c>
      <c r="AB1520" s="462" t="s">
        <v>5755</v>
      </c>
      <c r="AC1520" s="462" t="s">
        <v>5756</v>
      </c>
      <c r="AD1520" s="464">
        <v>130.38937000000001</v>
      </c>
      <c r="AE1520" s="465">
        <v>5.9735399999999998</v>
      </c>
      <c r="AF1520" s="86">
        <f>IF(verze!$E$1="CZK",AD1520,IF(verze!$E$1="SK",AE1520,""))</f>
        <v>5.9735399999999998</v>
      </c>
    </row>
    <row r="1521" spans="27:32" ht="15">
      <c r="AA1521" s="463" t="s">
        <v>5757</v>
      </c>
      <c r="AB1521" s="462" t="s">
        <v>5758</v>
      </c>
      <c r="AC1521" s="462" t="s">
        <v>5759</v>
      </c>
      <c r="AD1521" s="464">
        <v>119.00152</v>
      </c>
      <c r="AE1521" s="465">
        <v>5.4518000000000004</v>
      </c>
      <c r="AF1521" s="86">
        <f>IF(verze!$E$1="CZK",AD1521,IF(verze!$E$1="SK",AE1521,""))</f>
        <v>5.4518000000000004</v>
      </c>
    </row>
    <row r="1522" spans="27:32" ht="15">
      <c r="AA1522" s="463" t="s">
        <v>5760</v>
      </c>
      <c r="AB1522" s="462" t="s">
        <v>5761</v>
      </c>
      <c r="AC1522" s="462" t="s">
        <v>5762</v>
      </c>
      <c r="AD1522" s="464">
        <v>107.63216</v>
      </c>
      <c r="AE1522" s="465">
        <v>4.9309599999999998</v>
      </c>
      <c r="AF1522" s="86">
        <f>IF(verze!$E$1="CZK",AD1522,IF(verze!$E$1="SK",AE1522,""))</f>
        <v>4.9309599999999998</v>
      </c>
    </row>
    <row r="1523" spans="27:32" ht="15">
      <c r="AA1523" s="463" t="s">
        <v>5763</v>
      </c>
      <c r="AB1523" s="462" t="s">
        <v>5764</v>
      </c>
      <c r="AC1523" s="462" t="s">
        <v>5765</v>
      </c>
      <c r="AD1523" s="464">
        <v>238.21799999999999</v>
      </c>
      <c r="AE1523" s="465">
        <v>10.913460000000001</v>
      </c>
      <c r="AF1523" s="86">
        <f>IF(verze!$E$1="CZK",AD1523,IF(verze!$E$1="SK",AE1523,""))</f>
        <v>10.913460000000001</v>
      </c>
    </row>
    <row r="1524" spans="27:32" ht="15">
      <c r="AA1524" s="463" t="s">
        <v>5766</v>
      </c>
      <c r="AB1524" s="462" t="s">
        <v>5767</v>
      </c>
      <c r="AC1524" s="462" t="s">
        <v>5768</v>
      </c>
      <c r="AD1524" s="464">
        <v>90.339129999999997</v>
      </c>
      <c r="AE1524" s="465">
        <v>4.1387</v>
      </c>
      <c r="AF1524" s="86">
        <f>IF(verze!$E$1="CZK",AD1524,IF(verze!$E$1="SK",AE1524,""))</f>
        <v>4.1387</v>
      </c>
    </row>
    <row r="1525" spans="27:32" ht="15">
      <c r="AA1525" s="463" t="s">
        <v>5769</v>
      </c>
      <c r="AB1525" s="462" t="s">
        <v>5770</v>
      </c>
      <c r="AC1525" s="462" t="s">
        <v>5771</v>
      </c>
      <c r="AD1525" s="464">
        <v>99.380430000000004</v>
      </c>
      <c r="AE1525" s="465">
        <v>4.5529200000000003</v>
      </c>
      <c r="AF1525" s="86">
        <f>IF(verze!$E$1="CZK",AD1525,IF(verze!$E$1="SK",AE1525,""))</f>
        <v>4.5529200000000003</v>
      </c>
    </row>
    <row r="1526" spans="27:32" ht="15">
      <c r="AA1526" s="463" t="s">
        <v>5772</v>
      </c>
      <c r="AB1526" s="462" t="s">
        <v>5773</v>
      </c>
      <c r="AC1526" s="462" t="s">
        <v>5774</v>
      </c>
      <c r="AD1526" s="464">
        <v>112.52173999999999</v>
      </c>
      <c r="AE1526" s="465">
        <v>5.1549399999999999</v>
      </c>
      <c r="AF1526" s="86">
        <f>IF(verze!$E$1="CZK",AD1526,IF(verze!$E$1="SK",AE1526,""))</f>
        <v>5.1549399999999999</v>
      </c>
    </row>
    <row r="1527" spans="27:32" ht="15">
      <c r="AA1527" s="463" t="s">
        <v>5775</v>
      </c>
      <c r="AB1527" s="462" t="s">
        <v>5776</v>
      </c>
      <c r="AC1527" s="462" t="s">
        <v>5777</v>
      </c>
      <c r="AD1527" s="464">
        <v>161.23141000000001</v>
      </c>
      <c r="AE1527" s="465">
        <v>7.3864999999999998</v>
      </c>
      <c r="AF1527" s="86">
        <f>IF(verze!$E$1="CZK",AD1527,IF(verze!$E$1="SK",AE1527,""))</f>
        <v>7.3864999999999998</v>
      </c>
    </row>
    <row r="1528" spans="27:32" ht="15">
      <c r="AA1528" s="463" t="s">
        <v>5778</v>
      </c>
      <c r="AB1528" s="462" t="s">
        <v>5779</v>
      </c>
      <c r="AC1528" s="462" t="s">
        <v>5780</v>
      </c>
      <c r="AD1528" s="464">
        <v>240.65719999999999</v>
      </c>
      <c r="AE1528" s="465">
        <v>11.025219999999999</v>
      </c>
      <c r="AF1528" s="86">
        <f>IF(verze!$E$1="CZK",AD1528,IF(verze!$E$1="SK",AE1528,""))</f>
        <v>11.025219999999999</v>
      </c>
    </row>
    <row r="1529" spans="27:32" ht="15">
      <c r="AA1529" s="463" t="s">
        <v>5781</v>
      </c>
      <c r="AB1529" s="462" t="s">
        <v>5782</v>
      </c>
      <c r="AC1529" s="462" t="s">
        <v>5783</v>
      </c>
      <c r="AD1529" s="464">
        <v>136.31676999999999</v>
      </c>
      <c r="AE1529" s="465">
        <v>6.2450799999999997</v>
      </c>
      <c r="AF1529" s="86">
        <f>IF(verze!$E$1="CZK",AD1529,IF(verze!$E$1="SK",AE1529,""))</f>
        <v>6.2450799999999997</v>
      </c>
    </row>
    <row r="1530" spans="27:32" ht="15">
      <c r="AA1530" s="463" t="s">
        <v>5784</v>
      </c>
      <c r="AB1530" s="462" t="s">
        <v>5785</v>
      </c>
      <c r="AC1530" s="462" t="s">
        <v>5786</v>
      </c>
      <c r="AD1530" s="464">
        <v>186.23137</v>
      </c>
      <c r="AE1530" s="465">
        <v>8.5318000000000005</v>
      </c>
      <c r="AF1530" s="86">
        <f>IF(verze!$E$1="CZK",AD1530,IF(verze!$E$1="SK",AE1530,""))</f>
        <v>8.5318000000000005</v>
      </c>
    </row>
    <row r="1531" spans="27:32" ht="15">
      <c r="AA1531" s="463" t="s">
        <v>5787</v>
      </c>
      <c r="AB1531" s="462" t="s">
        <v>5788</v>
      </c>
      <c r="AC1531" s="462" t="s">
        <v>5789</v>
      </c>
      <c r="AD1531" s="464">
        <v>218.57105999999999</v>
      </c>
      <c r="AE1531" s="465">
        <v>10.013400000000001</v>
      </c>
      <c r="AF1531" s="86">
        <f>IF(verze!$E$1="CZK",AD1531,IF(verze!$E$1="SK",AE1531,""))</f>
        <v>10.013400000000001</v>
      </c>
    </row>
    <row r="1532" spans="27:32" ht="15">
      <c r="AA1532" s="463" t="s">
        <v>5790</v>
      </c>
      <c r="AB1532" s="462" t="s">
        <v>5791</v>
      </c>
      <c r="AC1532" s="462" t="s">
        <v>5792</v>
      </c>
      <c r="AD1532" s="464">
        <v>218.57105999999999</v>
      </c>
      <c r="AE1532" s="465">
        <v>10.013400000000001</v>
      </c>
      <c r="AF1532" s="86">
        <f>IF(verze!$E$1="CZK",AD1532,IF(verze!$E$1="SK",AE1532,""))</f>
        <v>10.013400000000001</v>
      </c>
    </row>
    <row r="1533" spans="27:32" ht="15">
      <c r="AA1533" s="463" t="s">
        <v>5793</v>
      </c>
      <c r="AB1533" s="462" t="s">
        <v>5794</v>
      </c>
      <c r="AC1533" s="462" t="s">
        <v>5795</v>
      </c>
      <c r="AD1533" s="464">
        <v>50.237000000000002</v>
      </c>
      <c r="AE1533" s="465">
        <v>2.3014999999999999</v>
      </c>
      <c r="AF1533" s="86">
        <f>IF(verze!$E$1="CZK",AD1533,IF(verze!$E$1="SK",AE1533,""))</f>
        <v>2.3014999999999999</v>
      </c>
    </row>
    <row r="1534" spans="27:32" ht="15">
      <c r="AA1534" s="463" t="s">
        <v>5796</v>
      </c>
      <c r="AB1534" s="462" t="s">
        <v>5797</v>
      </c>
      <c r="AC1534" s="462" t="s">
        <v>5798</v>
      </c>
      <c r="AD1534" s="464">
        <v>78.272880000000001</v>
      </c>
      <c r="AE1534" s="465">
        <v>3.5859200000000002</v>
      </c>
      <c r="AF1534" s="86">
        <f>IF(verze!$E$1="CZK",AD1534,IF(verze!$E$1="SK",AE1534,""))</f>
        <v>3.5859200000000002</v>
      </c>
    </row>
    <row r="1535" spans="27:32" ht="15">
      <c r="AA1535" s="463" t="s">
        <v>5799</v>
      </c>
      <c r="AB1535" s="462" t="s">
        <v>5800</v>
      </c>
      <c r="AC1535" s="462" t="s">
        <v>5801</v>
      </c>
      <c r="AD1535" s="464">
        <v>166.75483</v>
      </c>
      <c r="AE1535" s="465">
        <v>7.6395200000000001</v>
      </c>
      <c r="AF1535" s="86">
        <f>IF(verze!$E$1="CZK",AD1535,IF(verze!$E$1="SK",AE1535,""))</f>
        <v>7.6395200000000001</v>
      </c>
    </row>
    <row r="1536" spans="27:32" ht="15">
      <c r="AA1536" s="463" t="s">
        <v>5802</v>
      </c>
      <c r="AB1536" s="462" t="s">
        <v>5803</v>
      </c>
      <c r="AC1536" s="462" t="s">
        <v>5804</v>
      </c>
      <c r="AD1536" s="464">
        <v>182.124</v>
      </c>
      <c r="AE1536" s="465">
        <v>8.3436400000000006</v>
      </c>
      <c r="AF1536" s="86">
        <f>IF(verze!$E$1="CZK",AD1536,IF(verze!$E$1="SK",AE1536,""))</f>
        <v>8.3436400000000006</v>
      </c>
    </row>
    <row r="1537" spans="27:32" ht="15">
      <c r="AA1537" s="463" t="s">
        <v>5805</v>
      </c>
      <c r="AB1537" s="462" t="s">
        <v>5806</v>
      </c>
      <c r="AC1537" s="462" t="s">
        <v>5807</v>
      </c>
      <c r="AD1537" s="464">
        <v>182.04615000000001</v>
      </c>
      <c r="AE1537" s="465">
        <v>8.3400800000000004</v>
      </c>
      <c r="AF1537" s="86">
        <f>IF(verze!$E$1="CZK",AD1537,IF(verze!$E$1="SK",AE1537,""))</f>
        <v>8.3400800000000004</v>
      </c>
    </row>
    <row r="1538" spans="27:32" ht="15">
      <c r="AA1538" s="463" t="s">
        <v>5808</v>
      </c>
      <c r="AB1538" s="462" t="s">
        <v>5809</v>
      </c>
      <c r="AC1538" s="462" t="s">
        <v>5810</v>
      </c>
      <c r="AD1538" s="464">
        <v>197.77856</v>
      </c>
      <c r="AE1538" s="465">
        <v>9.0608199999999997</v>
      </c>
      <c r="AF1538" s="86">
        <f>IF(verze!$E$1="CZK",AD1538,IF(verze!$E$1="SK",AE1538,""))</f>
        <v>9.0608199999999997</v>
      </c>
    </row>
    <row r="1539" spans="27:32" ht="15">
      <c r="AA1539" s="463" t="s">
        <v>5811</v>
      </c>
      <c r="AB1539" s="462" t="s">
        <v>5812</v>
      </c>
      <c r="AC1539" s="462" t="s">
        <v>5813</v>
      </c>
      <c r="AD1539" s="464">
        <v>213.36269999999999</v>
      </c>
      <c r="AE1539" s="465">
        <v>9.7747799999999998</v>
      </c>
      <c r="AF1539" s="86">
        <f>IF(verze!$E$1="CZK",AD1539,IF(verze!$E$1="SK",AE1539,""))</f>
        <v>9.7747799999999998</v>
      </c>
    </row>
    <row r="1540" spans="27:32" ht="15">
      <c r="AA1540" s="463" t="s">
        <v>5814</v>
      </c>
      <c r="AB1540" s="462" t="s">
        <v>5815</v>
      </c>
      <c r="AC1540" s="462" t="s">
        <v>5816</v>
      </c>
      <c r="AD1540" s="464">
        <v>55.797440000000002</v>
      </c>
      <c r="AE1540" s="465">
        <v>2.5562399999999998</v>
      </c>
      <c r="AF1540" s="86">
        <f>IF(verze!$E$1="CZK",AD1540,IF(verze!$E$1="SK",AE1540,""))</f>
        <v>2.5562399999999998</v>
      </c>
    </row>
    <row r="1541" spans="27:32" ht="15">
      <c r="AA1541" s="463" t="s">
        <v>5817</v>
      </c>
      <c r="AB1541" s="462" t="s">
        <v>5818</v>
      </c>
      <c r="AC1541" s="462" t="s">
        <v>5819</v>
      </c>
      <c r="AD1541" s="464">
        <v>343.38137999999998</v>
      </c>
      <c r="AE1541" s="465">
        <v>15.73132</v>
      </c>
      <c r="AF1541" s="86">
        <f>IF(verze!$E$1="CZK",AD1541,IF(verze!$E$1="SK",AE1541,""))</f>
        <v>15.73132</v>
      </c>
    </row>
    <row r="1542" spans="27:32" ht="15">
      <c r="AA1542" s="463" t="s">
        <v>5820</v>
      </c>
      <c r="AB1542" s="462" t="s">
        <v>5821</v>
      </c>
      <c r="AC1542" s="462" t="s">
        <v>5822</v>
      </c>
      <c r="AD1542" s="464">
        <v>212.59908999999999</v>
      </c>
      <c r="AE1542" s="465">
        <v>9.7397799999999997</v>
      </c>
      <c r="AF1542" s="86">
        <f>IF(verze!$E$1="CZK",AD1542,IF(verze!$E$1="SK",AE1542,""))</f>
        <v>9.7397799999999997</v>
      </c>
    </row>
    <row r="1543" spans="27:32" ht="15">
      <c r="AA1543" s="463" t="s">
        <v>5823</v>
      </c>
      <c r="AB1543" s="462" t="s">
        <v>5824</v>
      </c>
      <c r="AC1543" s="462" t="s">
        <v>5825</v>
      </c>
      <c r="AD1543" s="464">
        <v>50.907960000000003</v>
      </c>
      <c r="AE1543" s="465">
        <v>2.3322400000000001</v>
      </c>
      <c r="AF1543" s="86">
        <f>IF(verze!$E$1="CZK",AD1543,IF(verze!$E$1="SK",AE1543,""))</f>
        <v>2.3322400000000001</v>
      </c>
    </row>
    <row r="1544" spans="27:32" ht="15">
      <c r="AA1544" s="463" t="s">
        <v>5826</v>
      </c>
      <c r="AB1544" s="462" t="s">
        <v>5827</v>
      </c>
      <c r="AC1544" s="462" t="s">
        <v>5828</v>
      </c>
      <c r="AD1544" s="464">
        <v>229.35463999999999</v>
      </c>
      <c r="AE1544" s="465">
        <v>10.50742</v>
      </c>
      <c r="AF1544" s="86">
        <f>IF(verze!$E$1="CZK",AD1544,IF(verze!$E$1="SK",AE1544,""))</f>
        <v>10.50742</v>
      </c>
    </row>
    <row r="1545" spans="27:32" ht="15">
      <c r="AA1545" s="463" t="s">
        <v>5829</v>
      </c>
      <c r="AB1545" s="462" t="s">
        <v>5830</v>
      </c>
      <c r="AC1545" s="462" t="s">
        <v>5831</v>
      </c>
      <c r="AD1545" s="464">
        <v>48.694899999999997</v>
      </c>
      <c r="AE1545" s="465">
        <v>2.2308599999999998</v>
      </c>
      <c r="AF1545" s="86">
        <f>IF(verze!$E$1="CZK",AD1545,IF(verze!$E$1="SK",AE1545,""))</f>
        <v>2.2308599999999998</v>
      </c>
    </row>
    <row r="1546" spans="27:32" ht="15">
      <c r="AA1546" s="463" t="s">
        <v>5832</v>
      </c>
      <c r="AB1546" s="462" t="s">
        <v>5833</v>
      </c>
      <c r="AC1546" s="462" t="s">
        <v>5834</v>
      </c>
      <c r="AD1546" s="464">
        <v>48.694899999999997</v>
      </c>
      <c r="AE1546" s="465">
        <v>2.2308599999999998</v>
      </c>
      <c r="AF1546" s="86">
        <f>IF(verze!$E$1="CZK",AD1546,IF(verze!$E$1="SK",AE1546,""))</f>
        <v>2.2308599999999998</v>
      </c>
    </row>
    <row r="1547" spans="27:32" ht="15">
      <c r="AA1547" s="463" t="s">
        <v>5835</v>
      </c>
      <c r="AB1547" s="462" t="s">
        <v>5836</v>
      </c>
      <c r="AC1547" s="462" t="s">
        <v>5837</v>
      </c>
      <c r="AD1547" s="464">
        <v>244.64223999999999</v>
      </c>
      <c r="AE1547" s="465">
        <v>11.20778</v>
      </c>
      <c r="AF1547" s="86">
        <f>IF(verze!$E$1="CZK",AD1547,IF(verze!$E$1="SK",AE1547,""))</f>
        <v>11.20778</v>
      </c>
    </row>
    <row r="1548" spans="27:32" ht="15">
      <c r="AA1548" s="463" t="s">
        <v>5838</v>
      </c>
      <c r="AB1548" s="462" t="s">
        <v>5839</v>
      </c>
      <c r="AC1548" s="462" t="s">
        <v>5840</v>
      </c>
      <c r="AD1548" s="464">
        <v>231.16736</v>
      </c>
      <c r="AE1548" s="465">
        <v>10.59046</v>
      </c>
      <c r="AF1548" s="86">
        <f>IF(verze!$E$1="CZK",AD1548,IF(verze!$E$1="SK",AE1548,""))</f>
        <v>10.59046</v>
      </c>
    </row>
    <row r="1549" spans="27:32" ht="15">
      <c r="AA1549" s="463" t="s">
        <v>5841</v>
      </c>
      <c r="AB1549" s="462" t="s">
        <v>5842</v>
      </c>
      <c r="AC1549" s="462" t="s">
        <v>5843</v>
      </c>
      <c r="AD1549" s="464">
        <v>282.70179999999999</v>
      </c>
      <c r="AE1549" s="465">
        <v>12.951420000000001</v>
      </c>
      <c r="AF1549" s="86">
        <f>IF(verze!$E$1="CZK",AD1549,IF(verze!$E$1="SK",AE1549,""))</f>
        <v>12.951420000000001</v>
      </c>
    </row>
    <row r="1550" spans="27:32" ht="15">
      <c r="AA1550" s="463" t="s">
        <v>5844</v>
      </c>
      <c r="AB1550" s="462" t="s">
        <v>5845</v>
      </c>
      <c r="AC1550" s="462" t="s">
        <v>5846</v>
      </c>
      <c r="AD1550" s="464">
        <v>281.21159999999998</v>
      </c>
      <c r="AE1550" s="465">
        <v>12.883139999999999</v>
      </c>
      <c r="AF1550" s="86">
        <f>IF(verze!$E$1="CZK",AD1550,IF(verze!$E$1="SK",AE1550,""))</f>
        <v>12.883139999999999</v>
      </c>
    </row>
    <row r="1551" spans="27:32" ht="15">
      <c r="AA1551" s="463" t="s">
        <v>5847</v>
      </c>
      <c r="AB1551" s="462" t="s">
        <v>5848</v>
      </c>
      <c r="AC1551" s="462" t="s">
        <v>5849</v>
      </c>
      <c r="AD1551" s="464">
        <v>298.15989999999999</v>
      </c>
      <c r="AE1551" s="465">
        <v>13.65958</v>
      </c>
      <c r="AF1551" s="86">
        <f>IF(verze!$E$1="CZK",AD1551,IF(verze!$E$1="SK",AE1551,""))</f>
        <v>13.65958</v>
      </c>
    </row>
    <row r="1552" spans="27:32" ht="15">
      <c r="AA1552" s="463" t="s">
        <v>5850</v>
      </c>
      <c r="AB1552" s="462" t="s">
        <v>5851</v>
      </c>
      <c r="AC1552" s="462" t="s">
        <v>5852</v>
      </c>
      <c r="AD1552" s="464">
        <v>70.288120000000006</v>
      </c>
      <c r="AE1552" s="465">
        <v>3.2201200000000001</v>
      </c>
      <c r="AF1552" s="86">
        <f>IF(verze!$E$1="CZK",AD1552,IF(verze!$E$1="SK",AE1552,""))</f>
        <v>3.2201200000000001</v>
      </c>
    </row>
    <row r="1553" spans="27:32" ht="15">
      <c r="AA1553" s="463" t="s">
        <v>5853</v>
      </c>
      <c r="AB1553" s="462" t="s">
        <v>5854</v>
      </c>
      <c r="AC1553" s="462" t="s">
        <v>5855</v>
      </c>
      <c r="AD1553" s="464">
        <v>301.49991999999997</v>
      </c>
      <c r="AE1553" s="465">
        <v>13.812620000000001</v>
      </c>
      <c r="AF1553" s="86">
        <f>IF(verze!$E$1="CZK",AD1553,IF(verze!$E$1="SK",AE1553,""))</f>
        <v>13.812620000000001</v>
      </c>
    </row>
    <row r="1554" spans="27:32" ht="15">
      <c r="AA1554" s="463" t="s">
        <v>5856</v>
      </c>
      <c r="AB1554" s="462" t="s">
        <v>5857</v>
      </c>
      <c r="AC1554" s="462" t="s">
        <v>5858</v>
      </c>
      <c r="AD1554" s="464">
        <v>399.87572</v>
      </c>
      <c r="AE1554" s="465">
        <v>18.319500000000001</v>
      </c>
      <c r="AF1554" s="86">
        <f>IF(verze!$E$1="CZK",AD1554,IF(verze!$E$1="SK",AE1554,""))</f>
        <v>18.319500000000001</v>
      </c>
    </row>
    <row r="1555" spans="27:32" ht="15">
      <c r="AA1555" s="463" t="s">
        <v>5859</v>
      </c>
      <c r="AB1555" s="462" t="s">
        <v>5860</v>
      </c>
      <c r="AC1555" s="462" t="s">
        <v>5861</v>
      </c>
      <c r="AD1555" s="464">
        <v>67.23348</v>
      </c>
      <c r="AE1555" s="465">
        <v>3.0801599999999998</v>
      </c>
      <c r="AF1555" s="86">
        <f>IF(verze!$E$1="CZK",AD1555,IF(verze!$E$1="SK",AE1555,""))</f>
        <v>3.0801599999999998</v>
      </c>
    </row>
    <row r="1556" spans="27:32" ht="15">
      <c r="AA1556" s="463" t="s">
        <v>5862</v>
      </c>
      <c r="AB1556" s="462" t="s">
        <v>5863</v>
      </c>
      <c r="AC1556" s="462" t="s">
        <v>5864</v>
      </c>
      <c r="AD1556" s="464">
        <v>209.18493000000001</v>
      </c>
      <c r="AE1556" s="465">
        <v>9.5833999999999993</v>
      </c>
      <c r="AF1556" s="86">
        <f>IF(verze!$E$1="CZK",AD1556,IF(verze!$E$1="SK",AE1556,""))</f>
        <v>9.5833999999999993</v>
      </c>
    </row>
    <row r="1557" spans="27:32" ht="15">
      <c r="AA1557" s="463" t="s">
        <v>5865</v>
      </c>
      <c r="AB1557" s="462" t="s">
        <v>5866</v>
      </c>
      <c r="AC1557" s="462" t="s">
        <v>5867</v>
      </c>
      <c r="AD1557" s="464">
        <v>230.48150000000001</v>
      </c>
      <c r="AE1557" s="465">
        <v>10.55904</v>
      </c>
      <c r="AF1557" s="86">
        <f>IF(verze!$E$1="CZK",AD1557,IF(verze!$E$1="SK",AE1557,""))</f>
        <v>10.55904</v>
      </c>
    </row>
    <row r="1558" spans="27:32" ht="15">
      <c r="AA1558" s="463" t="s">
        <v>5868</v>
      </c>
      <c r="AB1558" s="462" t="s">
        <v>5869</v>
      </c>
      <c r="AC1558" s="462" t="s">
        <v>5870</v>
      </c>
      <c r="AD1558" s="464">
        <v>251.55577</v>
      </c>
      <c r="AE1558" s="465">
        <v>11.524520000000001</v>
      </c>
      <c r="AF1558" s="86">
        <f>IF(verze!$E$1="CZK",AD1558,IF(verze!$E$1="SK",AE1558,""))</f>
        <v>11.524520000000001</v>
      </c>
    </row>
    <row r="1559" spans="27:32" ht="15">
      <c r="AA1559" s="463" t="s">
        <v>5871</v>
      </c>
      <c r="AB1559" s="462" t="s">
        <v>5872</v>
      </c>
      <c r="AC1559" s="462" t="s">
        <v>5873</v>
      </c>
      <c r="AD1559" s="464">
        <v>273.0154</v>
      </c>
      <c r="AE1559" s="465">
        <v>12.50764</v>
      </c>
      <c r="AF1559" s="86">
        <f>IF(verze!$E$1="CZK",AD1559,IF(verze!$E$1="SK",AE1559,""))</f>
        <v>12.50764</v>
      </c>
    </row>
    <row r="1560" spans="27:32" ht="15">
      <c r="AA1560" s="463" t="s">
        <v>5874</v>
      </c>
      <c r="AB1560" s="462" t="s">
        <v>5875</v>
      </c>
      <c r="AC1560" s="462" t="s">
        <v>5876</v>
      </c>
      <c r="AD1560" s="464">
        <v>487.73863</v>
      </c>
      <c r="AE1560" s="465">
        <v>22.344760000000001</v>
      </c>
      <c r="AF1560" s="86">
        <f>IF(verze!$E$1="CZK",AD1560,IF(verze!$E$1="SK",AE1560,""))</f>
        <v>22.344760000000001</v>
      </c>
    </row>
    <row r="1561" spans="27:32" ht="15">
      <c r="AA1561" s="463" t="s">
        <v>5877</v>
      </c>
      <c r="AB1561" s="462" t="s">
        <v>5878</v>
      </c>
      <c r="AC1561" s="462" t="s">
        <v>5879</v>
      </c>
      <c r="AD1561" s="464">
        <v>298.18585999999999</v>
      </c>
      <c r="AE1561" s="465">
        <v>13.660780000000001</v>
      </c>
      <c r="AF1561" s="86">
        <f>IF(verze!$E$1="CZK",AD1561,IF(verze!$E$1="SK",AE1561,""))</f>
        <v>13.660780000000001</v>
      </c>
    </row>
    <row r="1562" spans="27:32" ht="15">
      <c r="AA1562" s="463" t="s">
        <v>5880</v>
      </c>
      <c r="AB1562" s="462" t="s">
        <v>5881</v>
      </c>
      <c r="AC1562" s="462" t="s">
        <v>5882</v>
      </c>
      <c r="AD1562" s="464">
        <v>530.53567999999996</v>
      </c>
      <c r="AE1562" s="465">
        <v>24.305399999999999</v>
      </c>
      <c r="AF1562" s="86">
        <f>IF(verze!$E$1="CZK",AD1562,IF(verze!$E$1="SK",AE1562,""))</f>
        <v>24.305399999999999</v>
      </c>
    </row>
    <row r="1563" spans="27:32" ht="15">
      <c r="AA1563" s="463" t="s">
        <v>5883</v>
      </c>
      <c r="AB1563" s="462" t="s">
        <v>5884</v>
      </c>
      <c r="AC1563" s="462" t="s">
        <v>5885</v>
      </c>
      <c r="AD1563" s="464">
        <v>48.694899999999997</v>
      </c>
      <c r="AE1563" s="465">
        <v>2.2308599999999998</v>
      </c>
      <c r="AF1563" s="86">
        <f>IF(verze!$E$1="CZK",AD1563,IF(verze!$E$1="SK",AE1563,""))</f>
        <v>2.2308599999999998</v>
      </c>
    </row>
    <row r="1564" spans="27:32" ht="15">
      <c r="AA1564" s="463" t="s">
        <v>5886</v>
      </c>
      <c r="AB1564" s="462" t="s">
        <v>5887</v>
      </c>
      <c r="AC1564" s="462" t="s">
        <v>5888</v>
      </c>
      <c r="AD1564" s="464">
        <v>67.23348</v>
      </c>
      <c r="AE1564" s="465">
        <v>3.0801599999999998</v>
      </c>
      <c r="AF1564" s="86">
        <f>IF(verze!$E$1="CZK",AD1564,IF(verze!$E$1="SK",AE1564,""))</f>
        <v>3.0801599999999998</v>
      </c>
    </row>
    <row r="1565" spans="27:32" ht="15">
      <c r="AA1565" s="463" t="s">
        <v>5889</v>
      </c>
      <c r="AB1565" s="462" t="s">
        <v>5890</v>
      </c>
      <c r="AC1565" s="462" t="s">
        <v>5891</v>
      </c>
      <c r="AD1565" s="464">
        <v>319.44913000000003</v>
      </c>
      <c r="AE1565" s="465">
        <v>14.6349</v>
      </c>
      <c r="AF1565" s="86">
        <f>IF(verze!$E$1="CZK",AD1565,IF(verze!$E$1="SK",AE1565,""))</f>
        <v>14.6349</v>
      </c>
    </row>
    <row r="1566" spans="27:32" ht="15">
      <c r="AA1566" s="463" t="s">
        <v>5892</v>
      </c>
      <c r="AB1566" s="462" t="s">
        <v>5893</v>
      </c>
      <c r="AC1566" s="462" t="s">
        <v>5894</v>
      </c>
      <c r="AD1566" s="464">
        <v>79.017979999999994</v>
      </c>
      <c r="AE1566" s="465">
        <v>3.6200600000000001</v>
      </c>
      <c r="AF1566" s="86">
        <f>IF(verze!$E$1="CZK",AD1566,IF(verze!$E$1="SK",AE1566,""))</f>
        <v>3.6200600000000001</v>
      </c>
    </row>
    <row r="1567" spans="27:32" ht="15">
      <c r="AA1567" s="463" t="s">
        <v>5895</v>
      </c>
      <c r="AB1567" s="462" t="s">
        <v>5896</v>
      </c>
      <c r="AC1567" s="462" t="s">
        <v>5897</v>
      </c>
      <c r="AD1567" s="464">
        <v>75.585310000000007</v>
      </c>
      <c r="AE1567" s="465">
        <v>3.46278</v>
      </c>
      <c r="AF1567" s="86">
        <f>IF(verze!$E$1="CZK",AD1567,IF(verze!$E$1="SK",AE1567,""))</f>
        <v>3.46278</v>
      </c>
    </row>
    <row r="1568" spans="27:32" ht="15">
      <c r="AA1568" s="463" t="s">
        <v>5898</v>
      </c>
      <c r="AB1568" s="462" t="s">
        <v>5899</v>
      </c>
      <c r="AC1568" s="462" t="s">
        <v>5900</v>
      </c>
      <c r="AD1568" s="464">
        <v>343.81876</v>
      </c>
      <c r="AE1568" s="465">
        <v>15.75136</v>
      </c>
      <c r="AF1568" s="86">
        <f>IF(verze!$E$1="CZK",AD1568,IF(verze!$E$1="SK",AE1568,""))</f>
        <v>15.75136</v>
      </c>
    </row>
    <row r="1569" spans="27:32" ht="15">
      <c r="AA1569" s="463" t="s">
        <v>5901</v>
      </c>
      <c r="AB1569" s="462" t="s">
        <v>5902</v>
      </c>
      <c r="AC1569" s="462" t="s">
        <v>5903</v>
      </c>
      <c r="AD1569" s="464">
        <v>367.05419000000001</v>
      </c>
      <c r="AE1569" s="465">
        <v>16.815840000000001</v>
      </c>
      <c r="AF1569" s="86">
        <f>IF(verze!$E$1="CZK",AD1569,IF(verze!$E$1="SK",AE1569,""))</f>
        <v>16.815840000000001</v>
      </c>
    </row>
    <row r="1570" spans="27:32" ht="15">
      <c r="AA1570" s="463" t="s">
        <v>5904</v>
      </c>
      <c r="AB1570" s="462" t="s">
        <v>5905</v>
      </c>
      <c r="AC1570" s="462" t="s">
        <v>5906</v>
      </c>
      <c r="AD1570" s="464">
        <v>388.49531000000002</v>
      </c>
      <c r="AE1570" s="465">
        <v>17.798120000000001</v>
      </c>
      <c r="AF1570" s="86">
        <f>IF(verze!$E$1="CZK",AD1570,IF(verze!$E$1="SK",AE1570,""))</f>
        <v>17.798120000000001</v>
      </c>
    </row>
    <row r="1571" spans="27:32" ht="15">
      <c r="AA1571" s="463" t="s">
        <v>5907</v>
      </c>
      <c r="AB1571" s="462" t="s">
        <v>5908</v>
      </c>
      <c r="AC1571" s="462" t="s">
        <v>5909</v>
      </c>
      <c r="AD1571" s="464">
        <v>409.76231999999999</v>
      </c>
      <c r="AE1571" s="465">
        <v>18.77242</v>
      </c>
      <c r="AF1571" s="86">
        <f>IF(verze!$E$1="CZK",AD1571,IF(verze!$E$1="SK",AE1571,""))</f>
        <v>18.77242</v>
      </c>
    </row>
    <row r="1572" spans="27:32" ht="15">
      <c r="AA1572" s="463" t="s">
        <v>5910</v>
      </c>
      <c r="AB1572" s="462" t="s">
        <v>5911</v>
      </c>
      <c r="AC1572" s="462" t="s">
        <v>5912</v>
      </c>
      <c r="AD1572" s="464">
        <v>452.30356</v>
      </c>
      <c r="AE1572" s="465">
        <v>20.72138</v>
      </c>
      <c r="AF1572" s="86">
        <f>IF(verze!$E$1="CZK",AD1572,IF(verze!$E$1="SK",AE1572,""))</f>
        <v>20.72138</v>
      </c>
    </row>
    <row r="1573" spans="27:32" ht="15">
      <c r="AA1573" s="463" t="s">
        <v>5913</v>
      </c>
      <c r="AB1573" s="462" t="s">
        <v>5914</v>
      </c>
      <c r="AC1573" s="462" t="s">
        <v>5915</v>
      </c>
      <c r="AD1573" s="464">
        <v>481.70731000000001</v>
      </c>
      <c r="AE1573" s="465">
        <v>22.068439999999999</v>
      </c>
      <c r="AF1573" s="86">
        <f>IF(verze!$E$1="CZK",AD1573,IF(verze!$E$1="SK",AE1573,""))</f>
        <v>22.068439999999999</v>
      </c>
    </row>
    <row r="1574" spans="27:32" ht="15">
      <c r="AA1574" s="463" t="s">
        <v>5916</v>
      </c>
      <c r="AB1574" s="462" t="s">
        <v>5917</v>
      </c>
      <c r="AC1574" s="462" t="s">
        <v>5918</v>
      </c>
      <c r="AD1574" s="464">
        <v>595.40419999999995</v>
      </c>
      <c r="AE1574" s="465">
        <v>27.27722</v>
      </c>
      <c r="AF1574" s="86">
        <f>IF(verze!$E$1="CZK",AD1574,IF(verze!$E$1="SK",AE1574,""))</f>
        <v>27.27722</v>
      </c>
    </row>
    <row r="1575" spans="27:32" ht="15">
      <c r="AA1575" s="463" t="s">
        <v>5919</v>
      </c>
      <c r="AB1575" s="462" t="s">
        <v>5920</v>
      </c>
      <c r="AC1575" s="462" t="s">
        <v>5921</v>
      </c>
      <c r="AD1575" s="464">
        <v>58.333019999999998</v>
      </c>
      <c r="AE1575" s="465">
        <v>2.6724000000000001</v>
      </c>
      <c r="AF1575" s="86">
        <f>IF(verze!$E$1="CZK",AD1575,IF(verze!$E$1="SK",AE1575,""))</f>
        <v>2.6724000000000001</v>
      </c>
    </row>
    <row r="1576" spans="27:32" ht="15">
      <c r="AA1576" s="463" t="s">
        <v>5922</v>
      </c>
      <c r="AB1576" s="462" t="s">
        <v>5923</v>
      </c>
      <c r="AC1576" s="462" t="s">
        <v>5924</v>
      </c>
      <c r="AD1576" s="464">
        <v>659.40144999999995</v>
      </c>
      <c r="AE1576" s="465">
        <v>30.209119999999999</v>
      </c>
      <c r="AF1576" s="86">
        <f>IF(verze!$E$1="CZK",AD1576,IF(verze!$E$1="SK",AE1576,""))</f>
        <v>30.209119999999999</v>
      </c>
    </row>
    <row r="1577" spans="27:32" ht="15">
      <c r="AA1577" s="463" t="s">
        <v>5925</v>
      </c>
      <c r="AB1577" s="462" t="s">
        <v>5926</v>
      </c>
      <c r="AC1577" s="462" t="s">
        <v>5927</v>
      </c>
      <c r="AD1577" s="464">
        <v>828.22108000000003</v>
      </c>
      <c r="AE1577" s="465">
        <v>37.943260000000002</v>
      </c>
      <c r="AF1577" s="86">
        <f>IF(verze!$E$1="CZK",AD1577,IF(verze!$E$1="SK",AE1577,""))</f>
        <v>37.943260000000002</v>
      </c>
    </row>
    <row r="1578" spans="27:32" ht="15">
      <c r="AA1578" s="463" t="s">
        <v>5928</v>
      </c>
      <c r="AB1578" s="462" t="s">
        <v>5929</v>
      </c>
      <c r="AC1578" s="462" t="s">
        <v>5930</v>
      </c>
      <c r="AD1578" s="464">
        <v>1300.3385499999999</v>
      </c>
      <c r="AE1578" s="465">
        <v>59.572360000000003</v>
      </c>
      <c r="AF1578" s="86">
        <f>IF(verze!$E$1="CZK",AD1578,IF(verze!$E$1="SK",AE1578,""))</f>
        <v>59.572360000000003</v>
      </c>
    </row>
    <row r="1579" spans="27:32" ht="15">
      <c r="AA1579" s="463" t="s">
        <v>5931</v>
      </c>
      <c r="AB1579" s="462" t="s">
        <v>5932</v>
      </c>
      <c r="AC1579" s="462" t="s">
        <v>5933</v>
      </c>
      <c r="AD1579" s="464">
        <v>251.95613</v>
      </c>
      <c r="AE1579" s="465">
        <v>11.542859999999999</v>
      </c>
      <c r="AF1579" s="86">
        <f>IF(verze!$E$1="CZK",AD1579,IF(verze!$E$1="SK",AE1579,""))</f>
        <v>11.542859999999999</v>
      </c>
    </row>
    <row r="1580" spans="27:32" ht="15">
      <c r="AA1580" s="463" t="s">
        <v>5934</v>
      </c>
      <c r="AB1580" s="462" t="s">
        <v>5935</v>
      </c>
      <c r="AC1580" s="462" t="s">
        <v>5936</v>
      </c>
      <c r="AD1580" s="464">
        <v>282.24209000000002</v>
      </c>
      <c r="AE1580" s="465">
        <v>12.930339999999999</v>
      </c>
      <c r="AF1580" s="86">
        <f>IF(verze!$E$1="CZK",AD1580,IF(verze!$E$1="SK",AE1580,""))</f>
        <v>12.930339999999999</v>
      </c>
    </row>
    <row r="1581" spans="27:32" ht="15">
      <c r="AA1581" s="463" t="s">
        <v>5937</v>
      </c>
      <c r="AB1581" s="462" t="s">
        <v>5938</v>
      </c>
      <c r="AC1581" s="462" t="s">
        <v>5939</v>
      </c>
      <c r="AD1581" s="464">
        <v>92.581879999999998</v>
      </c>
      <c r="AE1581" s="465">
        <v>4.24146</v>
      </c>
      <c r="AF1581" s="86">
        <f>IF(verze!$E$1="CZK",AD1581,IF(verze!$E$1="SK",AE1581,""))</f>
        <v>4.24146</v>
      </c>
    </row>
    <row r="1582" spans="27:32" ht="15">
      <c r="AA1582" s="463" t="s">
        <v>5940</v>
      </c>
      <c r="AB1582" s="462" t="s">
        <v>5941</v>
      </c>
      <c r="AC1582" s="462" t="s">
        <v>5942</v>
      </c>
      <c r="AD1582" s="464">
        <v>335.12220000000002</v>
      </c>
      <c r="AE1582" s="465">
        <v>15.35294</v>
      </c>
      <c r="AF1582" s="86">
        <f>IF(verze!$E$1="CZK",AD1582,IF(verze!$E$1="SK",AE1582,""))</f>
        <v>15.35294</v>
      </c>
    </row>
    <row r="1583" spans="27:32" ht="15">
      <c r="AA1583" s="463" t="s">
        <v>5943</v>
      </c>
      <c r="AB1583" s="462" t="s">
        <v>5944</v>
      </c>
      <c r="AC1583" s="462" t="s">
        <v>5945</v>
      </c>
      <c r="AD1583" s="464">
        <v>368.68522000000002</v>
      </c>
      <c r="AE1583" s="465">
        <v>16.890560000000001</v>
      </c>
      <c r="AF1583" s="86">
        <f>IF(verze!$E$1="CZK",AD1583,IF(verze!$E$1="SK",AE1583,""))</f>
        <v>16.890560000000001</v>
      </c>
    </row>
    <row r="1584" spans="27:32" ht="15">
      <c r="AA1584" s="463" t="s">
        <v>5946</v>
      </c>
      <c r="AB1584" s="462" t="s">
        <v>5947</v>
      </c>
      <c r="AC1584" s="462" t="s">
        <v>5948</v>
      </c>
      <c r="AD1584" s="464">
        <v>417.26895000000002</v>
      </c>
      <c r="AE1584" s="465">
        <v>19.116320000000002</v>
      </c>
      <c r="AF1584" s="86">
        <f>IF(verze!$E$1="CZK",AD1584,IF(verze!$E$1="SK",AE1584,""))</f>
        <v>19.116320000000002</v>
      </c>
    </row>
    <row r="1585" spans="27:32" ht="15">
      <c r="AA1585" s="463" t="s">
        <v>5949</v>
      </c>
      <c r="AB1585" s="462" t="s">
        <v>5950</v>
      </c>
      <c r="AC1585" s="462" t="s">
        <v>5951</v>
      </c>
      <c r="AD1585" s="464">
        <v>445.68657999999999</v>
      </c>
      <c r="AE1585" s="465">
        <v>20.418220000000002</v>
      </c>
      <c r="AF1585" s="86">
        <f>IF(verze!$E$1="CZK",AD1585,IF(verze!$E$1="SK",AE1585,""))</f>
        <v>20.418220000000002</v>
      </c>
    </row>
    <row r="1586" spans="27:32" ht="15">
      <c r="AA1586" s="463" t="s">
        <v>5952</v>
      </c>
      <c r="AB1586" s="462" t="s">
        <v>5953</v>
      </c>
      <c r="AC1586" s="462" t="s">
        <v>5954</v>
      </c>
      <c r="AD1586" s="464">
        <v>472.22863000000001</v>
      </c>
      <c r="AE1586" s="465">
        <v>21.634180000000001</v>
      </c>
      <c r="AF1586" s="86">
        <f>IF(verze!$E$1="CZK",AD1586,IF(verze!$E$1="SK",AE1586,""))</f>
        <v>21.634180000000001</v>
      </c>
    </row>
    <row r="1587" spans="27:32" ht="15">
      <c r="AA1587" s="463" t="s">
        <v>5955</v>
      </c>
      <c r="AB1587" s="462" t="s">
        <v>5956</v>
      </c>
      <c r="AC1587" s="462" t="s">
        <v>5957</v>
      </c>
      <c r="AD1587" s="464">
        <v>551.96202000000005</v>
      </c>
      <c r="AE1587" s="465">
        <v>25.287019999999998</v>
      </c>
      <c r="AF1587" s="86">
        <f>IF(verze!$E$1="CZK",AD1587,IF(verze!$E$1="SK",AE1587,""))</f>
        <v>25.287019999999998</v>
      </c>
    </row>
    <row r="1588" spans="27:32" ht="15">
      <c r="AA1588" s="463" t="s">
        <v>5958</v>
      </c>
      <c r="AB1588" s="462" t="s">
        <v>5959</v>
      </c>
      <c r="AC1588" s="462" t="s">
        <v>5960</v>
      </c>
      <c r="AD1588" s="464">
        <v>212.46933000000001</v>
      </c>
      <c r="AE1588" s="465">
        <v>9.73386</v>
      </c>
      <c r="AF1588" s="86">
        <f>IF(verze!$E$1="CZK",AD1588,IF(verze!$E$1="SK",AE1588,""))</f>
        <v>9.73386</v>
      </c>
    </row>
    <row r="1589" spans="27:32" ht="15">
      <c r="AA1589" s="463" t="s">
        <v>5961</v>
      </c>
      <c r="AB1589" s="462" t="s">
        <v>5962</v>
      </c>
      <c r="AC1589" s="462" t="s">
        <v>5963</v>
      </c>
      <c r="AD1589" s="464">
        <v>88.556100000000001</v>
      </c>
      <c r="AE1589" s="465">
        <v>4.0570199999999996</v>
      </c>
      <c r="AF1589" s="86">
        <f>IF(verze!$E$1="CZK",AD1589,IF(verze!$E$1="SK",AE1589,""))</f>
        <v>4.0570199999999996</v>
      </c>
    </row>
    <row r="1590" spans="27:32" ht="15">
      <c r="AA1590" s="463" t="s">
        <v>5964</v>
      </c>
      <c r="AB1590" s="462" t="s">
        <v>5965</v>
      </c>
      <c r="AC1590" s="462" t="s">
        <v>5966</v>
      </c>
      <c r="AD1590" s="464">
        <v>55.797440000000002</v>
      </c>
      <c r="AE1590" s="465">
        <v>2.5562399999999998</v>
      </c>
      <c r="AF1590" s="86">
        <f>IF(verze!$E$1="CZK",AD1590,IF(verze!$E$1="SK",AE1590,""))</f>
        <v>2.5562399999999998</v>
      </c>
    </row>
    <row r="1591" spans="27:32" ht="15">
      <c r="AA1591" s="463" t="s">
        <v>5967</v>
      </c>
      <c r="AB1591" s="462" t="s">
        <v>5968</v>
      </c>
      <c r="AC1591" s="462" t="s">
        <v>5969</v>
      </c>
      <c r="AD1591" s="464">
        <v>88.556100000000001</v>
      </c>
      <c r="AE1591" s="465">
        <v>4.0570199999999996</v>
      </c>
      <c r="AF1591" s="86">
        <f>IF(verze!$E$1="CZK",AD1591,IF(verze!$E$1="SK",AE1591,""))</f>
        <v>4.0570199999999996</v>
      </c>
    </row>
    <row r="1592" spans="27:32" ht="15">
      <c r="AA1592" s="463" t="s">
        <v>5970</v>
      </c>
      <c r="AB1592" s="462" t="s">
        <v>5971</v>
      </c>
      <c r="AC1592" s="462" t="s">
        <v>5972</v>
      </c>
      <c r="AD1592" s="464">
        <v>238.27735000000001</v>
      </c>
      <c r="AE1592" s="465">
        <v>10.9162</v>
      </c>
      <c r="AF1592" s="86">
        <f>IF(verze!$E$1="CZK",AD1592,IF(verze!$E$1="SK",AE1592,""))</f>
        <v>10.9162</v>
      </c>
    </row>
    <row r="1593" spans="27:32" ht="15">
      <c r="AA1593" s="463" t="s">
        <v>5973</v>
      </c>
      <c r="AB1593" s="462" t="s">
        <v>5974</v>
      </c>
      <c r="AC1593" s="462" t="s">
        <v>5975</v>
      </c>
      <c r="AD1593" s="464">
        <v>265.15669000000003</v>
      </c>
      <c r="AE1593" s="465">
        <v>12.14762</v>
      </c>
      <c r="AF1593" s="86">
        <f>IF(verze!$E$1="CZK",AD1593,IF(verze!$E$1="SK",AE1593,""))</f>
        <v>12.14762</v>
      </c>
    </row>
    <row r="1594" spans="27:32" ht="15">
      <c r="AA1594" s="463" t="s">
        <v>5976</v>
      </c>
      <c r="AB1594" s="462" t="s">
        <v>5977</v>
      </c>
      <c r="AC1594" s="462" t="s">
        <v>5978</v>
      </c>
      <c r="AD1594" s="464">
        <v>291.03874000000002</v>
      </c>
      <c r="AE1594" s="465">
        <v>13.33334</v>
      </c>
      <c r="AF1594" s="86">
        <f>IF(verze!$E$1="CZK",AD1594,IF(verze!$E$1="SK",AE1594,""))</f>
        <v>13.33334</v>
      </c>
    </row>
    <row r="1595" spans="27:32" ht="15">
      <c r="AA1595" s="463" t="s">
        <v>5979</v>
      </c>
      <c r="AB1595" s="462" t="s">
        <v>5980</v>
      </c>
      <c r="AC1595" s="462" t="s">
        <v>5981</v>
      </c>
      <c r="AD1595" s="464">
        <v>586.88921000000005</v>
      </c>
      <c r="AE1595" s="465">
        <v>26.887139999999999</v>
      </c>
      <c r="AF1595" s="86">
        <f>IF(verze!$E$1="CZK",AD1595,IF(verze!$E$1="SK",AE1595,""))</f>
        <v>26.887139999999999</v>
      </c>
    </row>
    <row r="1596" spans="27:32" ht="15">
      <c r="AA1596" s="463" t="s">
        <v>5982</v>
      </c>
      <c r="AB1596" s="462" t="s">
        <v>5983</v>
      </c>
      <c r="AC1596" s="462" t="s">
        <v>5984</v>
      </c>
      <c r="AD1596" s="464">
        <v>725.68974000000003</v>
      </c>
      <c r="AE1596" s="465">
        <v>33.246000000000002</v>
      </c>
      <c r="AF1596" s="86">
        <f>IF(verze!$E$1="CZK",AD1596,IF(verze!$E$1="SK",AE1596,""))</f>
        <v>33.246000000000002</v>
      </c>
    </row>
    <row r="1597" spans="27:32" ht="15">
      <c r="AA1597" s="463" t="s">
        <v>5985</v>
      </c>
      <c r="AB1597" s="462" t="s">
        <v>5986</v>
      </c>
      <c r="AC1597" s="462" t="s">
        <v>5987</v>
      </c>
      <c r="AD1597" s="464">
        <v>1014.6304</v>
      </c>
      <c r="AE1597" s="465">
        <v>46.483220000000003</v>
      </c>
      <c r="AF1597" s="86">
        <f>IF(verze!$E$1="CZK",AD1597,IF(verze!$E$1="SK",AE1597,""))</f>
        <v>46.483220000000003</v>
      </c>
    </row>
    <row r="1598" spans="27:32" ht="15">
      <c r="AA1598" s="463" t="s">
        <v>5988</v>
      </c>
      <c r="AB1598" s="462" t="s">
        <v>5989</v>
      </c>
      <c r="AC1598" s="462" t="s">
        <v>5990</v>
      </c>
      <c r="AD1598" s="464">
        <v>1574.5698199999999</v>
      </c>
      <c r="AE1598" s="465">
        <v>72.135720000000006</v>
      </c>
      <c r="AF1598" s="86">
        <f>IF(verze!$E$1="CZK",AD1598,IF(verze!$E$1="SK",AE1598,""))</f>
        <v>72.135720000000006</v>
      </c>
    </row>
    <row r="1599" spans="27:32" ht="15">
      <c r="AA1599" s="463" t="s">
        <v>5991</v>
      </c>
      <c r="AB1599" s="462" t="s">
        <v>5992</v>
      </c>
      <c r="AC1599" s="462" t="s">
        <v>5993</v>
      </c>
      <c r="AD1599" s="464">
        <v>73.654060000000001</v>
      </c>
      <c r="AE1599" s="465">
        <v>2.7489300000000001</v>
      </c>
      <c r="AF1599" s="86">
        <f>IF(verze!$E$1="CZK",AD1599,IF(verze!$E$1="SK",AE1599,""))</f>
        <v>2.7489300000000001</v>
      </c>
    </row>
    <row r="1600" spans="27:32" ht="15">
      <c r="AA1600" s="463" t="s">
        <v>5991</v>
      </c>
      <c r="AB1600" s="462" t="s">
        <v>5994</v>
      </c>
      <c r="AC1600" s="462" t="s">
        <v>5995</v>
      </c>
      <c r="AD1600" s="464">
        <v>73.654060000000001</v>
      </c>
      <c r="AE1600" s="465">
        <v>3.4664999999999999</v>
      </c>
      <c r="AF1600" s="86">
        <f>IF(verze!$E$1="CZK",AD1600,IF(verze!$E$1="SK",AE1600,""))</f>
        <v>3.4664999999999999</v>
      </c>
    </row>
    <row r="1601" spans="27:32" ht="15">
      <c r="AA1601" s="463" t="s">
        <v>5991</v>
      </c>
      <c r="AB1601" s="462" t="s">
        <v>5996</v>
      </c>
      <c r="AC1601" s="462" t="s">
        <v>5997</v>
      </c>
      <c r="AD1601" s="464">
        <v>72.180980000000005</v>
      </c>
      <c r="AE1601" s="465">
        <v>3.3971800000000001</v>
      </c>
      <c r="AF1601" s="86">
        <f>IF(verze!$E$1="CZK",AD1601,IF(verze!$E$1="SK",AE1601,""))</f>
        <v>3.3971800000000001</v>
      </c>
    </row>
    <row r="1602" spans="27:32" ht="15">
      <c r="AA1602" s="463" t="s">
        <v>5998</v>
      </c>
      <c r="AB1602" s="462" t="s">
        <v>5999</v>
      </c>
      <c r="AC1602" s="462" t="s">
        <v>6000</v>
      </c>
      <c r="AD1602" s="464">
        <v>78.387140000000002</v>
      </c>
      <c r="AE1602" s="465">
        <v>3.6892800000000001</v>
      </c>
      <c r="AF1602" s="86">
        <f>IF(verze!$E$1="CZK",AD1602,IF(verze!$E$1="SK",AE1602,""))</f>
        <v>3.6892800000000001</v>
      </c>
    </row>
    <row r="1603" spans="27:32" ht="15">
      <c r="AA1603" s="463" t="s">
        <v>6001</v>
      </c>
      <c r="AB1603" s="462" t="s">
        <v>6002</v>
      </c>
      <c r="AC1603" s="462" t="s">
        <v>6003</v>
      </c>
      <c r="AD1603" s="464">
        <v>83.122720000000001</v>
      </c>
      <c r="AE1603" s="465">
        <v>3.91214</v>
      </c>
      <c r="AF1603" s="86">
        <f>IF(verze!$E$1="CZK",AD1603,IF(verze!$E$1="SK",AE1603,""))</f>
        <v>3.91214</v>
      </c>
    </row>
    <row r="1604" spans="27:32" ht="15">
      <c r="AA1604" s="463" t="s">
        <v>6004</v>
      </c>
      <c r="AB1604" s="462" t="s">
        <v>6005</v>
      </c>
      <c r="AC1604" s="462" t="s">
        <v>6006</v>
      </c>
      <c r="AD1604" s="464">
        <v>79.821600000000004</v>
      </c>
      <c r="AE1604" s="465">
        <v>3.8397000000000001</v>
      </c>
      <c r="AF1604" s="86">
        <f>IF(verze!$E$1="CZK",AD1604,IF(verze!$E$1="SK",AE1604,""))</f>
        <v>3.8397000000000001</v>
      </c>
    </row>
    <row r="1605" spans="27:32" ht="15">
      <c r="AA1605" s="463" t="s">
        <v>6007</v>
      </c>
      <c r="AB1605" s="462" t="s">
        <v>6008</v>
      </c>
      <c r="AC1605" s="462" t="s">
        <v>6009</v>
      </c>
      <c r="AD1605" s="464">
        <v>89.551640000000006</v>
      </c>
      <c r="AE1605" s="465">
        <v>4.3077699999999997</v>
      </c>
      <c r="AF1605" s="86">
        <f>IF(verze!$E$1="CZK",AD1605,IF(verze!$E$1="SK",AE1605,""))</f>
        <v>4.3077699999999997</v>
      </c>
    </row>
    <row r="1606" spans="27:32" ht="15">
      <c r="AA1606" s="463" t="s">
        <v>6010</v>
      </c>
      <c r="AB1606" s="462" t="s">
        <v>6011</v>
      </c>
      <c r="AC1606" s="462" t="s">
        <v>6012</v>
      </c>
      <c r="AD1606" s="464">
        <v>49.9</v>
      </c>
      <c r="AE1606" s="465">
        <v>2.1436299999999999</v>
      </c>
      <c r="AF1606" s="86">
        <f>IF(verze!$E$1="CZK",AD1606,IF(verze!$E$1="SK",AE1606,""))</f>
        <v>2.1436299999999999</v>
      </c>
    </row>
    <row r="1607" spans="27:32" ht="15">
      <c r="AA1607" s="463" t="s">
        <v>6013</v>
      </c>
      <c r="AB1607" s="462" t="s">
        <v>6014</v>
      </c>
      <c r="AC1607" s="462" t="s">
        <v>6015</v>
      </c>
      <c r="AD1607" s="464">
        <v>100.68962000000001</v>
      </c>
      <c r="AE1607" s="465">
        <v>0</v>
      </c>
      <c r="AF1607" s="86">
        <f>IF(verze!$E$1="CZK",AD1607,IF(verze!$E$1="SK",AE1607,""))</f>
        <v>0</v>
      </c>
    </row>
    <row r="1608" spans="27:32" ht="15">
      <c r="AA1608" s="463" t="s">
        <v>6016</v>
      </c>
      <c r="AB1608" s="462" t="s">
        <v>6017</v>
      </c>
      <c r="AC1608" s="462" t="s">
        <v>6018</v>
      </c>
      <c r="AD1608" s="464">
        <v>78.365409999999997</v>
      </c>
      <c r="AE1608" s="465">
        <v>3.7696499999999999</v>
      </c>
      <c r="AF1608" s="86">
        <f>IF(verze!$E$1="CZK",AD1608,IF(verze!$E$1="SK",AE1608,""))</f>
        <v>3.7696499999999999</v>
      </c>
    </row>
    <row r="1609" spans="27:32" ht="15">
      <c r="AA1609" s="463" t="s">
        <v>6016</v>
      </c>
      <c r="AB1609" s="462" t="s">
        <v>6019</v>
      </c>
      <c r="AC1609" s="462" t="s">
        <v>6020</v>
      </c>
      <c r="AD1609" s="464">
        <v>78.365409999999997</v>
      </c>
      <c r="AE1609" s="465">
        <v>3.7696499999999999</v>
      </c>
      <c r="AF1609" s="86">
        <f>IF(verze!$E$1="CZK",AD1609,IF(verze!$E$1="SK",AE1609,""))</f>
        <v>3.7696499999999999</v>
      </c>
    </row>
    <row r="1610" spans="27:32" ht="15">
      <c r="AA1610" s="463" t="s">
        <v>6021</v>
      </c>
      <c r="AB1610" s="462" t="s">
        <v>6022</v>
      </c>
      <c r="AC1610" s="462" t="s">
        <v>6023</v>
      </c>
      <c r="AD1610" s="464">
        <v>54.048209999999997</v>
      </c>
      <c r="AE1610" s="465">
        <v>2.5999300000000001</v>
      </c>
      <c r="AF1610" s="86">
        <f>IF(verze!$E$1="CZK",AD1610,IF(verze!$E$1="SK",AE1610,""))</f>
        <v>2.5999300000000001</v>
      </c>
    </row>
    <row r="1611" spans="27:32" ht="15">
      <c r="AA1611" s="463" t="s">
        <v>6024</v>
      </c>
      <c r="AB1611" s="462" t="s">
        <v>6025</v>
      </c>
      <c r="AC1611" s="462" t="s">
        <v>6026</v>
      </c>
      <c r="AD1611" s="464">
        <v>58.910609999999998</v>
      </c>
      <c r="AE1611" s="465">
        <v>2.8338000000000001</v>
      </c>
      <c r="AF1611" s="86">
        <f>IF(verze!$E$1="CZK",AD1611,IF(verze!$E$1="SK",AE1611,""))</f>
        <v>2.8338000000000001</v>
      </c>
    </row>
    <row r="1612" spans="27:32" ht="15">
      <c r="AA1612" s="463" t="s">
        <v>6027</v>
      </c>
      <c r="AB1612" s="462" t="s">
        <v>6028</v>
      </c>
      <c r="AC1612" s="462" t="s">
        <v>6029</v>
      </c>
      <c r="AD1612" s="464">
        <v>63.772979999999997</v>
      </c>
      <c r="AE1612" s="465">
        <v>3.06772</v>
      </c>
      <c r="AF1612" s="86">
        <f>IF(verze!$E$1="CZK",AD1612,IF(verze!$E$1="SK",AE1612,""))</f>
        <v>3.06772</v>
      </c>
    </row>
    <row r="1613" spans="27:32" ht="15">
      <c r="AA1613" s="463" t="s">
        <v>6030</v>
      </c>
      <c r="AB1613" s="462" t="s">
        <v>6031</v>
      </c>
      <c r="AC1613" s="462" t="s">
        <v>6032</v>
      </c>
      <c r="AD1613" s="464">
        <v>58.20335</v>
      </c>
      <c r="AE1613" s="465">
        <v>2.7997999999999998</v>
      </c>
      <c r="AF1613" s="86">
        <f>IF(verze!$E$1="CZK",AD1613,IF(verze!$E$1="SK",AE1613,""))</f>
        <v>2.7997999999999998</v>
      </c>
    </row>
    <row r="1614" spans="27:32" ht="15">
      <c r="AA1614" s="463" t="s">
        <v>6033</v>
      </c>
      <c r="AB1614" s="462" t="s">
        <v>6034</v>
      </c>
      <c r="AC1614" s="462" t="s">
        <v>6035</v>
      </c>
      <c r="AD1614" s="464">
        <v>59.451479999999997</v>
      </c>
      <c r="AE1614" s="465">
        <v>2.8598400000000002</v>
      </c>
      <c r="AF1614" s="86">
        <f>IF(verze!$E$1="CZK",AD1614,IF(verze!$E$1="SK",AE1614,""))</f>
        <v>2.8598400000000002</v>
      </c>
    </row>
    <row r="1615" spans="27:32" ht="15">
      <c r="AA1615" s="463" t="s">
        <v>6036</v>
      </c>
      <c r="AB1615" s="462" t="s">
        <v>6037</v>
      </c>
      <c r="AC1615" s="462" t="s">
        <v>6038</v>
      </c>
      <c r="AD1615" s="464">
        <v>64.313879999999997</v>
      </c>
      <c r="AE1615" s="465">
        <v>3.0937199999999998</v>
      </c>
      <c r="AF1615" s="86">
        <f>IF(verze!$E$1="CZK",AD1615,IF(verze!$E$1="SK",AE1615,""))</f>
        <v>3.0937199999999998</v>
      </c>
    </row>
    <row r="1616" spans="27:32" ht="15">
      <c r="AA1616" s="463" t="s">
        <v>6039</v>
      </c>
      <c r="AB1616" s="462" t="s">
        <v>6040</v>
      </c>
      <c r="AC1616" s="462" t="s">
        <v>6041</v>
      </c>
      <c r="AD1616" s="464">
        <v>8.3674499999999998</v>
      </c>
      <c r="AE1616" s="465">
        <v>0.40250999999999998</v>
      </c>
      <c r="AF1616" s="86">
        <f>IF(verze!$E$1="CZK",AD1616,IF(verze!$E$1="SK",AE1616,""))</f>
        <v>0.40250999999999998</v>
      </c>
    </row>
    <row r="1617" spans="27:32" ht="15">
      <c r="AA1617" s="463" t="s">
        <v>6042</v>
      </c>
      <c r="AB1617" s="462" t="s">
        <v>6043</v>
      </c>
      <c r="AC1617" s="462" t="s">
        <v>6044</v>
      </c>
      <c r="AD1617" s="464">
        <v>8.1449099999999994</v>
      </c>
      <c r="AE1617" s="465">
        <v>0.38334000000000001</v>
      </c>
      <c r="AF1617" s="86">
        <f>IF(verze!$E$1="CZK",AD1617,IF(verze!$E$1="SK",AE1617,""))</f>
        <v>0.38334000000000001</v>
      </c>
    </row>
    <row r="1618" spans="27:32" ht="15">
      <c r="AA1618" s="463" t="s">
        <v>6042</v>
      </c>
      <c r="AB1618" s="462" t="s">
        <v>6045</v>
      </c>
      <c r="AC1618" s="462" t="s">
        <v>6046</v>
      </c>
      <c r="AD1618" s="464">
        <v>8.1449099999999994</v>
      </c>
      <c r="AE1618" s="465">
        <v>0.38334000000000001</v>
      </c>
      <c r="AF1618" s="86">
        <f>IF(verze!$E$1="CZK",AD1618,IF(verze!$E$1="SK",AE1618,""))</f>
        <v>0.38334000000000001</v>
      </c>
    </row>
    <row r="1619" spans="27:32" ht="15">
      <c r="AA1619" s="463" t="s">
        <v>6042</v>
      </c>
      <c r="AB1619" s="462" t="s">
        <v>6047</v>
      </c>
      <c r="AC1619" s="462" t="s">
        <v>6048</v>
      </c>
      <c r="AD1619" s="464">
        <v>8.1449099999999994</v>
      </c>
      <c r="AE1619" s="465">
        <v>0.38334000000000001</v>
      </c>
      <c r="AF1619" s="86">
        <f>IF(verze!$E$1="CZK",AD1619,IF(verze!$E$1="SK",AE1619,""))</f>
        <v>0.38334000000000001</v>
      </c>
    </row>
    <row r="1620" spans="27:32" ht="15">
      <c r="AA1620" s="463" t="s">
        <v>6049</v>
      </c>
      <c r="AB1620" s="462" t="s">
        <v>6050</v>
      </c>
      <c r="AC1620" s="462" t="s">
        <v>6051</v>
      </c>
      <c r="AD1620" s="464">
        <v>9.7725100000000005</v>
      </c>
      <c r="AE1620" s="465">
        <v>0.36502000000000001</v>
      </c>
      <c r="AF1620" s="86">
        <f>IF(verze!$E$1="CZK",AD1620,IF(verze!$E$1="SK",AE1620,""))</f>
        <v>0.36502000000000001</v>
      </c>
    </row>
    <row r="1621" spans="27:32" ht="15">
      <c r="AA1621" s="463" t="s">
        <v>6049</v>
      </c>
      <c r="AB1621" s="462" t="s">
        <v>6052</v>
      </c>
      <c r="AC1621" s="462" t="s">
        <v>6053</v>
      </c>
      <c r="AD1621" s="464">
        <v>10.03952</v>
      </c>
      <c r="AE1621" s="465">
        <v>0.48296</v>
      </c>
      <c r="AF1621" s="86">
        <f>IF(verze!$E$1="CZK",AD1621,IF(verze!$E$1="SK",AE1621,""))</f>
        <v>0.48296</v>
      </c>
    </row>
    <row r="1622" spans="27:32" ht="15">
      <c r="AA1622" s="463" t="s">
        <v>6054</v>
      </c>
      <c r="AB1622" s="462" t="s">
        <v>6055</v>
      </c>
      <c r="AC1622" s="462" t="s">
        <v>6056</v>
      </c>
      <c r="AD1622" s="464">
        <v>13.79946</v>
      </c>
      <c r="AE1622" s="465">
        <v>0.66381000000000001</v>
      </c>
      <c r="AF1622" s="86">
        <f>IF(verze!$E$1="CZK",AD1622,IF(verze!$E$1="SK",AE1622,""))</f>
        <v>0.66381000000000001</v>
      </c>
    </row>
    <row r="1623" spans="27:32" ht="15">
      <c r="AA1623" s="463" t="s">
        <v>6057</v>
      </c>
      <c r="AB1623" s="462" t="s">
        <v>6058</v>
      </c>
      <c r="AC1623" s="462" t="s">
        <v>6059</v>
      </c>
      <c r="AD1623" s="464">
        <v>8.9910399999999999</v>
      </c>
      <c r="AE1623" s="465">
        <v>0.4325</v>
      </c>
      <c r="AF1623" s="86">
        <f>IF(verze!$E$1="CZK",AD1623,IF(verze!$E$1="SK",AE1623,""))</f>
        <v>0.4325</v>
      </c>
    </row>
    <row r="1624" spans="27:32" ht="15">
      <c r="AA1624" s="463" t="s">
        <v>6060</v>
      </c>
      <c r="AB1624" s="462" t="s">
        <v>6061</v>
      </c>
      <c r="AC1624" s="462" t="s">
        <v>6062</v>
      </c>
      <c r="AD1624" s="464">
        <v>8.9910399999999999</v>
      </c>
      <c r="AE1624" s="465">
        <v>0.4325</v>
      </c>
      <c r="AF1624" s="86">
        <f>IF(verze!$E$1="CZK",AD1624,IF(verze!$E$1="SK",AE1624,""))</f>
        <v>0.4325</v>
      </c>
    </row>
    <row r="1625" spans="27:32" ht="15">
      <c r="AA1625" s="463" t="s">
        <v>6063</v>
      </c>
      <c r="AB1625" s="462" t="s">
        <v>6064</v>
      </c>
      <c r="AC1625" s="462" t="s">
        <v>6065</v>
      </c>
      <c r="AD1625" s="464">
        <v>10.66541</v>
      </c>
      <c r="AE1625" s="465">
        <v>0.51305000000000001</v>
      </c>
      <c r="AF1625" s="86">
        <f>IF(verze!$E$1="CZK",AD1625,IF(verze!$E$1="SK",AE1625,""))</f>
        <v>0.51305000000000001</v>
      </c>
    </row>
    <row r="1626" spans="27:32" ht="15">
      <c r="AA1626" s="463" t="s">
        <v>6063</v>
      </c>
      <c r="AB1626" s="462" t="s">
        <v>6066</v>
      </c>
      <c r="AC1626" s="462" t="s">
        <v>6067</v>
      </c>
      <c r="AD1626" s="464">
        <v>10.38175</v>
      </c>
      <c r="AE1626" s="465">
        <v>0.38779999999999998</v>
      </c>
      <c r="AF1626" s="86">
        <f>IF(verze!$E$1="CZK",AD1626,IF(verze!$E$1="SK",AE1626,""))</f>
        <v>0.38779999999999998</v>
      </c>
    </row>
    <row r="1627" spans="27:32" ht="15">
      <c r="AA1627" s="463" t="s">
        <v>6068</v>
      </c>
      <c r="AB1627" s="462" t="s">
        <v>6069</v>
      </c>
      <c r="AC1627" s="462" t="s">
        <v>6070</v>
      </c>
      <c r="AD1627" s="464">
        <v>14.43</v>
      </c>
      <c r="AE1627" s="465">
        <v>0.69413000000000002</v>
      </c>
      <c r="AF1627" s="86">
        <f>IF(verze!$E$1="CZK",AD1627,IF(verze!$E$1="SK",AE1627,""))</f>
        <v>0.69413000000000002</v>
      </c>
    </row>
    <row r="1628" spans="27:32" ht="15">
      <c r="AA1628" s="463" t="s">
        <v>6071</v>
      </c>
      <c r="AB1628" s="462" t="s">
        <v>6072</v>
      </c>
      <c r="AC1628" s="462" t="s">
        <v>6073</v>
      </c>
      <c r="AD1628" s="464">
        <v>8.9910399999999999</v>
      </c>
      <c r="AE1628" s="465">
        <v>0.4325</v>
      </c>
      <c r="AF1628" s="86">
        <f>IF(verze!$E$1="CZK",AD1628,IF(verze!$E$1="SK",AE1628,""))</f>
        <v>0.4325</v>
      </c>
    </row>
    <row r="1629" spans="27:32" ht="15">
      <c r="AA1629" s="463" t="s">
        <v>6074</v>
      </c>
      <c r="AB1629" s="462" t="s">
        <v>6075</v>
      </c>
      <c r="AC1629" s="462" t="s">
        <v>6076</v>
      </c>
      <c r="AD1629" s="464">
        <v>10.66541</v>
      </c>
      <c r="AE1629" s="465">
        <v>0.51305000000000001</v>
      </c>
      <c r="AF1629" s="86">
        <f>IF(verze!$E$1="CZK",AD1629,IF(verze!$E$1="SK",AE1629,""))</f>
        <v>0.51305000000000001</v>
      </c>
    </row>
    <row r="1630" spans="27:32" ht="15">
      <c r="AA1630" s="463" t="s">
        <v>6077</v>
      </c>
      <c r="AB1630" s="462" t="s">
        <v>6078</v>
      </c>
      <c r="AC1630" s="462" t="s">
        <v>6079</v>
      </c>
      <c r="AD1630" s="464">
        <v>14.43</v>
      </c>
      <c r="AE1630" s="465">
        <v>0.69413000000000002</v>
      </c>
      <c r="AF1630" s="86">
        <f>IF(verze!$E$1="CZK",AD1630,IF(verze!$E$1="SK",AE1630,""))</f>
        <v>0.69413000000000002</v>
      </c>
    </row>
    <row r="1631" spans="27:32" ht="15">
      <c r="AA1631" s="463" t="s">
        <v>6080</v>
      </c>
      <c r="AB1631" s="462" t="s">
        <v>6081</v>
      </c>
      <c r="AC1631" s="462" t="s">
        <v>6082</v>
      </c>
      <c r="AD1631" s="464">
        <v>8.7258300000000002</v>
      </c>
      <c r="AE1631" s="465">
        <v>0</v>
      </c>
      <c r="AF1631" s="86">
        <f>IF(verze!$E$1="CZK",AD1631,IF(verze!$E$1="SK",AE1631,""))</f>
        <v>0</v>
      </c>
    </row>
    <row r="1632" spans="27:32" ht="15">
      <c r="AA1632" s="463" t="s">
        <v>6083</v>
      </c>
      <c r="AB1632" s="462" t="s">
        <v>6084</v>
      </c>
      <c r="AC1632" s="462" t="s">
        <v>6085</v>
      </c>
      <c r="AD1632" s="464">
        <v>8.9910399999999999</v>
      </c>
      <c r="AE1632" s="465">
        <v>0.4325</v>
      </c>
      <c r="AF1632" s="86">
        <f>IF(verze!$E$1="CZK",AD1632,IF(verze!$E$1="SK",AE1632,""))</f>
        <v>0.4325</v>
      </c>
    </row>
    <row r="1633" spans="27:32" ht="15">
      <c r="AA1633" s="463" t="s">
        <v>6086</v>
      </c>
      <c r="AB1633" s="462" t="s">
        <v>6087</v>
      </c>
      <c r="AC1633" s="462" t="s">
        <v>6088</v>
      </c>
      <c r="AD1633" s="464">
        <v>14.43</v>
      </c>
      <c r="AE1633" s="465">
        <v>0.69413000000000002</v>
      </c>
      <c r="AF1633" s="86">
        <f>IF(verze!$E$1="CZK",AD1633,IF(verze!$E$1="SK",AE1633,""))</f>
        <v>0.69413000000000002</v>
      </c>
    </row>
    <row r="1634" spans="27:32" ht="15">
      <c r="AA1634" s="463" t="s">
        <v>6089</v>
      </c>
      <c r="AB1634" s="462" t="s">
        <v>6090</v>
      </c>
      <c r="AC1634" s="462" t="s">
        <v>6091</v>
      </c>
      <c r="AD1634" s="464">
        <v>8.7831200000000003</v>
      </c>
      <c r="AE1634" s="465">
        <v>0.42249999999999999</v>
      </c>
      <c r="AF1634" s="86">
        <f>IF(verze!$E$1="CZK",AD1634,IF(verze!$E$1="SK",AE1634,""))</f>
        <v>0.42249999999999999</v>
      </c>
    </row>
    <row r="1635" spans="27:32" ht="15">
      <c r="AA1635" s="463" t="s">
        <v>6089</v>
      </c>
      <c r="AB1635" s="462" t="s">
        <v>6092</v>
      </c>
      <c r="AC1635" s="462" t="s">
        <v>6093</v>
      </c>
      <c r="AD1635" s="464">
        <v>8.5495199999999993</v>
      </c>
      <c r="AE1635" s="465">
        <v>0.31938</v>
      </c>
      <c r="AF1635" s="86">
        <f>IF(verze!$E$1="CZK",AD1635,IF(verze!$E$1="SK",AE1635,""))</f>
        <v>0.31938</v>
      </c>
    </row>
    <row r="1636" spans="27:32" ht="15">
      <c r="AA1636" s="463" t="s">
        <v>6094</v>
      </c>
      <c r="AB1636" s="462" t="s">
        <v>6095</v>
      </c>
      <c r="AC1636" s="462" t="s">
        <v>6096</v>
      </c>
      <c r="AD1636" s="464">
        <v>8.7831200000000003</v>
      </c>
      <c r="AE1636" s="465">
        <v>0.42249999999999999</v>
      </c>
      <c r="AF1636" s="86">
        <f>IF(verze!$E$1="CZK",AD1636,IF(verze!$E$1="SK",AE1636,""))</f>
        <v>0.42249999999999999</v>
      </c>
    </row>
    <row r="1637" spans="27:32" ht="15">
      <c r="AA1637" s="463" t="s">
        <v>6094</v>
      </c>
      <c r="AB1637" s="462" t="s">
        <v>6097</v>
      </c>
      <c r="AC1637" s="462" t="s">
        <v>6098</v>
      </c>
      <c r="AD1637" s="464">
        <v>8.5495199999999993</v>
      </c>
      <c r="AE1637" s="465">
        <v>0.31938</v>
      </c>
      <c r="AF1637" s="86">
        <f>IF(verze!$E$1="CZK",AD1637,IF(verze!$E$1="SK",AE1637,""))</f>
        <v>0.31938</v>
      </c>
    </row>
    <row r="1638" spans="27:32" ht="15">
      <c r="AA1638" s="463" t="s">
        <v>6094</v>
      </c>
      <c r="AB1638" s="462" t="s">
        <v>6099</v>
      </c>
      <c r="AC1638" s="462" t="s">
        <v>6100</v>
      </c>
      <c r="AD1638" s="464">
        <v>8.5495199999999993</v>
      </c>
      <c r="AE1638" s="465">
        <v>0.40238000000000002</v>
      </c>
      <c r="AF1638" s="86">
        <f>IF(verze!$E$1="CZK",AD1638,IF(verze!$E$1="SK",AE1638,""))</f>
        <v>0.40238000000000002</v>
      </c>
    </row>
    <row r="1639" spans="27:32" ht="15">
      <c r="AA1639" s="463" t="s">
        <v>6101</v>
      </c>
      <c r="AB1639" s="462" t="s">
        <v>6102</v>
      </c>
      <c r="AC1639" s="462" t="s">
        <v>6103</v>
      </c>
      <c r="AD1639" s="464">
        <v>10.45519</v>
      </c>
      <c r="AE1639" s="465">
        <v>0.50292999999999999</v>
      </c>
      <c r="AF1639" s="86">
        <f>IF(verze!$E$1="CZK",AD1639,IF(verze!$E$1="SK",AE1639,""))</f>
        <v>0.50292999999999999</v>
      </c>
    </row>
    <row r="1640" spans="27:32" ht="15">
      <c r="AA1640" s="463" t="s">
        <v>6104</v>
      </c>
      <c r="AB1640" s="462" t="s">
        <v>6105</v>
      </c>
      <c r="AC1640" s="462" t="s">
        <v>6106</v>
      </c>
      <c r="AD1640" s="464">
        <v>14.21977</v>
      </c>
      <c r="AE1640" s="465">
        <v>0.68403000000000003</v>
      </c>
      <c r="AF1640" s="86">
        <f>IF(verze!$E$1="CZK",AD1640,IF(verze!$E$1="SK",AE1640,""))</f>
        <v>0.68403000000000003</v>
      </c>
    </row>
    <row r="1641" spans="27:32" ht="15">
      <c r="AA1641" s="463" t="s">
        <v>6107</v>
      </c>
      <c r="AB1641" s="462" t="s">
        <v>6108</v>
      </c>
      <c r="AC1641" s="462" t="s">
        <v>6109</v>
      </c>
      <c r="AD1641" s="464">
        <v>16.730229999999999</v>
      </c>
      <c r="AE1641" s="465">
        <v>0.80478000000000005</v>
      </c>
      <c r="AF1641" s="86">
        <f>IF(verze!$E$1="CZK",AD1641,IF(verze!$E$1="SK",AE1641,""))</f>
        <v>0.80478000000000005</v>
      </c>
    </row>
    <row r="1642" spans="27:32" ht="15">
      <c r="AA1642" s="463" t="s">
        <v>6110</v>
      </c>
      <c r="AB1642" s="462" t="s">
        <v>6111</v>
      </c>
      <c r="AC1642" s="462" t="s">
        <v>6112</v>
      </c>
      <c r="AD1642" s="464">
        <v>17.145990000000001</v>
      </c>
      <c r="AE1642" s="465">
        <v>0.82479999999999998</v>
      </c>
      <c r="AF1642" s="86">
        <f>IF(verze!$E$1="CZK",AD1642,IF(verze!$E$1="SK",AE1642,""))</f>
        <v>0.82479999999999998</v>
      </c>
    </row>
    <row r="1643" spans="27:32" ht="15">
      <c r="AA1643" s="463" t="s">
        <v>6113</v>
      </c>
      <c r="AB1643" s="462" t="s">
        <v>6114</v>
      </c>
      <c r="AC1643" s="462" t="s">
        <v>6115</v>
      </c>
      <c r="AD1643" s="464">
        <v>17.145990000000001</v>
      </c>
      <c r="AE1643" s="465">
        <v>0.82479999999999998</v>
      </c>
      <c r="AF1643" s="86">
        <f>IF(verze!$E$1="CZK",AD1643,IF(verze!$E$1="SK",AE1643,""))</f>
        <v>0.82479999999999998</v>
      </c>
    </row>
    <row r="1644" spans="27:32" ht="15">
      <c r="AA1644" s="463" t="s">
        <v>6116</v>
      </c>
      <c r="AB1644" s="462" t="s">
        <v>6117</v>
      </c>
      <c r="AC1644" s="462" t="s">
        <v>6118</v>
      </c>
      <c r="AD1644" s="464">
        <v>18.820360000000001</v>
      </c>
      <c r="AE1644" s="465">
        <v>0.90532999999999997</v>
      </c>
      <c r="AF1644" s="86">
        <f>IF(verze!$E$1="CZK",AD1644,IF(verze!$E$1="SK",AE1644,""))</f>
        <v>0.90532999999999997</v>
      </c>
    </row>
    <row r="1645" spans="27:32" ht="15">
      <c r="AA1645" s="463" t="s">
        <v>6119</v>
      </c>
      <c r="AB1645" s="462" t="s">
        <v>6120</v>
      </c>
      <c r="AC1645" s="462" t="s">
        <v>6121</v>
      </c>
      <c r="AD1645" s="464">
        <v>22.587219999999999</v>
      </c>
      <c r="AE1645" s="465">
        <v>1.0865199999999999</v>
      </c>
      <c r="AF1645" s="86">
        <f>IF(verze!$E$1="CZK",AD1645,IF(verze!$E$1="SK",AE1645,""))</f>
        <v>1.0865199999999999</v>
      </c>
    </row>
    <row r="1646" spans="27:32" ht="15">
      <c r="AA1646" s="463" t="s">
        <v>6122</v>
      </c>
      <c r="AB1646" s="462" t="s">
        <v>6123</v>
      </c>
      <c r="AC1646" s="462" t="s">
        <v>6124</v>
      </c>
      <c r="AD1646" s="464">
        <v>17.145990000000001</v>
      </c>
      <c r="AE1646" s="465">
        <v>0.82479999999999998</v>
      </c>
      <c r="AF1646" s="86">
        <f>IF(verze!$E$1="CZK",AD1646,IF(verze!$E$1="SK",AE1646,""))</f>
        <v>0.82479999999999998</v>
      </c>
    </row>
    <row r="1647" spans="27:32" ht="15">
      <c r="AA1647" s="463" t="s">
        <v>6125</v>
      </c>
      <c r="AB1647" s="462" t="s">
        <v>6126</v>
      </c>
      <c r="AC1647" s="462" t="s">
        <v>6127</v>
      </c>
      <c r="AD1647" s="464">
        <v>17.145990000000001</v>
      </c>
      <c r="AE1647" s="465">
        <v>0.82479999999999998</v>
      </c>
      <c r="AF1647" s="86">
        <f>IF(verze!$E$1="CZK",AD1647,IF(verze!$E$1="SK",AE1647,""))</f>
        <v>0.82479999999999998</v>
      </c>
    </row>
    <row r="1648" spans="27:32" ht="15">
      <c r="AA1648" s="463" t="s">
        <v>6128</v>
      </c>
      <c r="AB1648" s="462" t="s">
        <v>6129</v>
      </c>
      <c r="AC1648" s="462" t="s">
        <v>6130</v>
      </c>
      <c r="AD1648" s="464">
        <v>16.689979999999998</v>
      </c>
      <c r="AE1648" s="465">
        <v>0.78552</v>
      </c>
      <c r="AF1648" s="86">
        <f>IF(verze!$E$1="CZK",AD1648,IF(verze!$E$1="SK",AE1648,""))</f>
        <v>0.78552</v>
      </c>
    </row>
    <row r="1649" spans="27:32" ht="15">
      <c r="AA1649" s="463" t="s">
        <v>6131</v>
      </c>
      <c r="AB1649" s="462" t="s">
        <v>6132</v>
      </c>
      <c r="AC1649" s="462" t="s">
        <v>6133</v>
      </c>
      <c r="AD1649" s="464">
        <v>18.820360000000001</v>
      </c>
      <c r="AE1649" s="465">
        <v>0.90532999999999997</v>
      </c>
      <c r="AF1649" s="86">
        <f>IF(verze!$E$1="CZK",AD1649,IF(verze!$E$1="SK",AE1649,""))</f>
        <v>0.90532999999999997</v>
      </c>
    </row>
    <row r="1650" spans="27:32" ht="15">
      <c r="AA1650" s="463" t="s">
        <v>6134</v>
      </c>
      <c r="AB1650" s="462" t="s">
        <v>6135</v>
      </c>
      <c r="AC1650" s="462" t="s">
        <v>6136</v>
      </c>
      <c r="AD1650" s="464">
        <v>22.587219999999999</v>
      </c>
      <c r="AE1650" s="465">
        <v>1.0865199999999999</v>
      </c>
      <c r="AF1650" s="86">
        <f>IF(verze!$E$1="CZK",AD1650,IF(verze!$E$1="SK",AE1650,""))</f>
        <v>1.0865199999999999</v>
      </c>
    </row>
    <row r="1651" spans="27:32" ht="15">
      <c r="AA1651" s="463" t="s">
        <v>6137</v>
      </c>
      <c r="AB1651" s="462" t="s">
        <v>6138</v>
      </c>
      <c r="AC1651" s="462" t="s">
        <v>6139</v>
      </c>
      <c r="AD1651" s="464">
        <v>17.145990000000001</v>
      </c>
      <c r="AE1651" s="465">
        <v>0.82479999999999998</v>
      </c>
      <c r="AF1651" s="86">
        <f>IF(verze!$E$1="CZK",AD1651,IF(verze!$E$1="SK",AE1651,""))</f>
        <v>0.82479999999999998</v>
      </c>
    </row>
    <row r="1652" spans="27:32" ht="15">
      <c r="AA1652" s="463" t="s">
        <v>6140</v>
      </c>
      <c r="AB1652" s="462" t="s">
        <v>6141</v>
      </c>
      <c r="AC1652" s="462" t="s">
        <v>6142</v>
      </c>
      <c r="AD1652" s="464">
        <v>18.820360000000001</v>
      </c>
      <c r="AE1652" s="465">
        <v>0.90532999999999997</v>
      </c>
      <c r="AF1652" s="86">
        <f>IF(verze!$E$1="CZK",AD1652,IF(verze!$E$1="SK",AE1652,""))</f>
        <v>0.90532999999999997</v>
      </c>
    </row>
    <row r="1653" spans="27:32" ht="15">
      <c r="AA1653" s="463" t="s">
        <v>6143</v>
      </c>
      <c r="AB1653" s="462" t="s">
        <v>6144</v>
      </c>
      <c r="AC1653" s="462" t="s">
        <v>6145</v>
      </c>
      <c r="AD1653" s="464">
        <v>16.93807</v>
      </c>
      <c r="AE1653" s="465">
        <v>0.81477999999999995</v>
      </c>
      <c r="AF1653" s="86">
        <f>IF(verze!$E$1="CZK",AD1653,IF(verze!$E$1="SK",AE1653,""))</f>
        <v>0.81477999999999995</v>
      </c>
    </row>
    <row r="1654" spans="27:32" ht="15">
      <c r="AA1654" s="463" t="s">
        <v>6146</v>
      </c>
      <c r="AB1654" s="462" t="s">
        <v>6147</v>
      </c>
      <c r="AC1654" s="462" t="s">
        <v>6148</v>
      </c>
      <c r="AD1654" s="464">
        <v>16.93807</v>
      </c>
      <c r="AE1654" s="465">
        <v>0.81477999999999995</v>
      </c>
      <c r="AF1654" s="86">
        <f>IF(verze!$E$1="CZK",AD1654,IF(verze!$E$1="SK",AE1654,""))</f>
        <v>0.81477999999999995</v>
      </c>
    </row>
    <row r="1655" spans="27:32" ht="15">
      <c r="AA1655" s="463" t="s">
        <v>6149</v>
      </c>
      <c r="AB1655" s="462" t="s">
        <v>6150</v>
      </c>
      <c r="AC1655" s="462" t="s">
        <v>6151</v>
      </c>
      <c r="AD1655" s="464">
        <v>18.610140000000001</v>
      </c>
      <c r="AE1655" s="465">
        <v>0.89522999999999997</v>
      </c>
      <c r="AF1655" s="86">
        <f>IF(verze!$E$1="CZK",AD1655,IF(verze!$E$1="SK",AE1655,""))</f>
        <v>0.89522999999999997</v>
      </c>
    </row>
    <row r="1656" spans="27:32" ht="15">
      <c r="AA1656" s="463" t="s">
        <v>6152</v>
      </c>
      <c r="AB1656" s="462" t="s">
        <v>6153</v>
      </c>
      <c r="AC1656" s="462" t="s">
        <v>6154</v>
      </c>
      <c r="AD1656" s="464">
        <v>22.376999999999999</v>
      </c>
      <c r="AE1656" s="465">
        <v>1.0764</v>
      </c>
      <c r="AF1656" s="86">
        <f>IF(verze!$E$1="CZK",AD1656,IF(verze!$E$1="SK",AE1656,""))</f>
        <v>1.0764</v>
      </c>
    </row>
    <row r="1657" spans="27:32" ht="15">
      <c r="AA1657" s="463" t="s">
        <v>6155</v>
      </c>
      <c r="AB1657" s="462" t="s">
        <v>6156</v>
      </c>
      <c r="AC1657" s="462" t="s">
        <v>6157</v>
      </c>
      <c r="AD1657" s="464">
        <v>17.145990000000001</v>
      </c>
      <c r="AE1657" s="465">
        <v>0.82479999999999998</v>
      </c>
      <c r="AF1657" s="86">
        <f>IF(verze!$E$1="CZK",AD1657,IF(verze!$E$1="SK",AE1657,""))</f>
        <v>0.82479999999999998</v>
      </c>
    </row>
    <row r="1658" spans="27:32" ht="15">
      <c r="AA1658" s="463" t="s">
        <v>6158</v>
      </c>
      <c r="AB1658" s="462" t="s">
        <v>6159</v>
      </c>
      <c r="AC1658" s="462" t="s">
        <v>6160</v>
      </c>
      <c r="AD1658" s="464">
        <v>17.145990000000001</v>
      </c>
      <c r="AE1658" s="465">
        <v>0.82479999999999998</v>
      </c>
      <c r="AF1658" s="86">
        <f>IF(verze!$E$1="CZK",AD1658,IF(verze!$E$1="SK",AE1658,""))</f>
        <v>0.82479999999999998</v>
      </c>
    </row>
    <row r="1659" spans="27:32" ht="15">
      <c r="AA1659" s="463" t="s">
        <v>6161</v>
      </c>
      <c r="AB1659" s="462" t="s">
        <v>6162</v>
      </c>
      <c r="AC1659" s="462" t="s">
        <v>6163</v>
      </c>
      <c r="AD1659" s="464">
        <v>18.820360000000001</v>
      </c>
      <c r="AE1659" s="465">
        <v>0.90532999999999997</v>
      </c>
      <c r="AF1659" s="86">
        <f>IF(verze!$E$1="CZK",AD1659,IF(verze!$E$1="SK",AE1659,""))</f>
        <v>0.90532999999999997</v>
      </c>
    </row>
    <row r="1660" spans="27:32" ht="15">
      <c r="AA1660" s="463" t="s">
        <v>6164</v>
      </c>
      <c r="AB1660" s="462" t="s">
        <v>6165</v>
      </c>
      <c r="AC1660" s="462" t="s">
        <v>6166</v>
      </c>
      <c r="AD1660" s="464">
        <v>22.587219999999999</v>
      </c>
      <c r="AE1660" s="465">
        <v>1.0865199999999999</v>
      </c>
      <c r="AF1660" s="86">
        <f>IF(verze!$E$1="CZK",AD1660,IF(verze!$E$1="SK",AE1660,""))</f>
        <v>1.0865199999999999</v>
      </c>
    </row>
    <row r="1661" spans="27:32" ht="15">
      <c r="AA1661" s="463" t="s">
        <v>6167</v>
      </c>
      <c r="AB1661" s="462" t="s">
        <v>6168</v>
      </c>
      <c r="AC1661" s="462" t="s">
        <v>6169</v>
      </c>
      <c r="AD1661" s="464">
        <v>17.145990000000001</v>
      </c>
      <c r="AE1661" s="465">
        <v>0.82479999999999998</v>
      </c>
      <c r="AF1661" s="86">
        <f>IF(verze!$E$1="CZK",AD1661,IF(verze!$E$1="SK",AE1661,""))</f>
        <v>0.82479999999999998</v>
      </c>
    </row>
    <row r="1662" spans="27:32" ht="15">
      <c r="AA1662" s="463" t="s">
        <v>6170</v>
      </c>
      <c r="AB1662" s="462" t="s">
        <v>6171</v>
      </c>
      <c r="AC1662" s="462" t="s">
        <v>6172</v>
      </c>
      <c r="AD1662" s="464">
        <v>281.02622000000002</v>
      </c>
      <c r="AE1662" s="465">
        <v>12.874639999999999</v>
      </c>
      <c r="AF1662" s="86">
        <f>IF(verze!$E$1="CZK",AD1662,IF(verze!$E$1="SK",AE1662,""))</f>
        <v>12.874639999999999</v>
      </c>
    </row>
    <row r="1663" spans="27:32" ht="15">
      <c r="AA1663" s="463" t="s">
        <v>6173</v>
      </c>
      <c r="AB1663" s="462" t="s">
        <v>6174</v>
      </c>
      <c r="AC1663" s="462" t="s">
        <v>6175</v>
      </c>
      <c r="AD1663" s="464">
        <v>281.02622000000002</v>
      </c>
      <c r="AE1663" s="465">
        <v>12.874639999999999</v>
      </c>
      <c r="AF1663" s="86">
        <f>IF(verze!$E$1="CZK",AD1663,IF(verze!$E$1="SK",AE1663,""))</f>
        <v>12.874639999999999</v>
      </c>
    </row>
    <row r="1664" spans="27:32" ht="15">
      <c r="AA1664" s="463" t="s">
        <v>6176</v>
      </c>
      <c r="AB1664" s="462" t="s">
        <v>6177</v>
      </c>
      <c r="AC1664" s="462" t="s">
        <v>6178</v>
      </c>
      <c r="AD1664" s="464">
        <v>281.02622000000002</v>
      </c>
      <c r="AE1664" s="465">
        <v>12.874639999999999</v>
      </c>
      <c r="AF1664" s="86">
        <f>IF(verze!$E$1="CZK",AD1664,IF(verze!$E$1="SK",AE1664,""))</f>
        <v>12.874639999999999</v>
      </c>
    </row>
    <row r="1665" spans="27:32" ht="15">
      <c r="AA1665" s="463" t="s">
        <v>6179</v>
      </c>
      <c r="AB1665" s="462" t="s">
        <v>6180</v>
      </c>
      <c r="AC1665" s="462" t="s">
        <v>6181</v>
      </c>
      <c r="AD1665" s="464">
        <v>322.50740000000002</v>
      </c>
      <c r="AE1665" s="465">
        <v>14.775</v>
      </c>
      <c r="AF1665" s="86">
        <f>IF(verze!$E$1="CZK",AD1665,IF(verze!$E$1="SK",AE1665,""))</f>
        <v>14.775</v>
      </c>
    </row>
    <row r="1666" spans="27:32" ht="15">
      <c r="AA1666" s="463" t="s">
        <v>6182</v>
      </c>
      <c r="AB1666" s="462" t="s">
        <v>6183</v>
      </c>
      <c r="AC1666" s="462" t="s">
        <v>6184</v>
      </c>
      <c r="AD1666" s="464">
        <v>322.50740000000002</v>
      </c>
      <c r="AE1666" s="465">
        <v>14.775</v>
      </c>
      <c r="AF1666" s="86">
        <f>IF(verze!$E$1="CZK",AD1666,IF(verze!$E$1="SK",AE1666,""))</f>
        <v>14.775</v>
      </c>
    </row>
    <row r="1667" spans="27:32" ht="15">
      <c r="AA1667" s="463" t="s">
        <v>6185</v>
      </c>
      <c r="AB1667" s="462" t="s">
        <v>6186</v>
      </c>
      <c r="AC1667" s="462" t="s">
        <v>6187</v>
      </c>
      <c r="AD1667" s="464">
        <v>322.50740000000002</v>
      </c>
      <c r="AE1667" s="465">
        <v>14.775</v>
      </c>
      <c r="AF1667" s="86">
        <f>IF(verze!$E$1="CZK",AD1667,IF(verze!$E$1="SK",AE1667,""))</f>
        <v>14.775</v>
      </c>
    </row>
    <row r="1668" spans="27:32" ht="15">
      <c r="AA1668" s="463" t="s">
        <v>6188</v>
      </c>
      <c r="AB1668" s="462" t="s">
        <v>6189</v>
      </c>
      <c r="AC1668" s="462" t="s">
        <v>6190</v>
      </c>
      <c r="AD1668" s="464">
        <v>289.14456000000001</v>
      </c>
      <c r="AE1668" s="465">
        <v>13.246560000000001</v>
      </c>
      <c r="AF1668" s="86">
        <f>IF(verze!$E$1="CZK",AD1668,IF(verze!$E$1="SK",AE1668,""))</f>
        <v>13.246560000000001</v>
      </c>
    </row>
    <row r="1669" spans="27:32" ht="15">
      <c r="AA1669" s="463" t="s">
        <v>6191</v>
      </c>
      <c r="AB1669" s="462" t="s">
        <v>6192</v>
      </c>
      <c r="AC1669" s="462" t="s">
        <v>6193</v>
      </c>
      <c r="AD1669" s="464">
        <v>289.14456000000001</v>
      </c>
      <c r="AE1669" s="465">
        <v>13.246560000000001</v>
      </c>
      <c r="AF1669" s="86">
        <f>IF(verze!$E$1="CZK",AD1669,IF(verze!$E$1="SK",AE1669,""))</f>
        <v>13.246560000000001</v>
      </c>
    </row>
    <row r="1670" spans="27:32" ht="15">
      <c r="AA1670" s="463" t="s">
        <v>6194</v>
      </c>
      <c r="AB1670" s="462" t="s">
        <v>6195</v>
      </c>
      <c r="AC1670" s="462" t="s">
        <v>6196</v>
      </c>
      <c r="AD1670" s="464">
        <v>289.14456000000001</v>
      </c>
      <c r="AE1670" s="465">
        <v>13.246560000000001</v>
      </c>
      <c r="AF1670" s="86">
        <f>IF(verze!$E$1="CZK",AD1670,IF(verze!$E$1="SK",AE1670,""))</f>
        <v>13.246560000000001</v>
      </c>
    </row>
    <row r="1671" spans="27:32" ht="15">
      <c r="AA1671" s="463" t="s">
        <v>6197</v>
      </c>
      <c r="AB1671" s="462" t="s">
        <v>6198</v>
      </c>
      <c r="AC1671" s="462" t="s">
        <v>6199</v>
      </c>
      <c r="AD1671" s="464">
        <v>264.67847</v>
      </c>
      <c r="AE1671" s="465">
        <v>12.125719999999999</v>
      </c>
      <c r="AF1671" s="86">
        <f>IF(verze!$E$1="CZK",AD1671,IF(verze!$E$1="SK",AE1671,""))</f>
        <v>12.125719999999999</v>
      </c>
    </row>
    <row r="1672" spans="27:32" ht="15">
      <c r="AA1672" s="463" t="s">
        <v>6200</v>
      </c>
      <c r="AB1672" s="462" t="s">
        <v>6201</v>
      </c>
      <c r="AC1672" s="462" t="s">
        <v>6202</v>
      </c>
      <c r="AD1672" s="464">
        <v>264.67847</v>
      </c>
      <c r="AE1672" s="465">
        <v>12.125719999999999</v>
      </c>
      <c r="AF1672" s="86">
        <f>IF(verze!$E$1="CZK",AD1672,IF(verze!$E$1="SK",AE1672,""))</f>
        <v>12.125719999999999</v>
      </c>
    </row>
    <row r="1673" spans="27:32" ht="15">
      <c r="AA1673" s="463" t="s">
        <v>6203</v>
      </c>
      <c r="AB1673" s="462" t="s">
        <v>6204</v>
      </c>
      <c r="AC1673" s="462" t="s">
        <v>6205</v>
      </c>
      <c r="AD1673" s="464">
        <v>576.20817</v>
      </c>
      <c r="AE1673" s="465">
        <v>25.398700000000002</v>
      </c>
      <c r="AF1673" s="86">
        <f>IF(verze!$E$1="CZK",AD1673,IF(verze!$E$1="SK",AE1673,""))</f>
        <v>25.398700000000002</v>
      </c>
    </row>
    <row r="1674" spans="27:32" ht="15">
      <c r="AA1674" s="463" t="s">
        <v>6206</v>
      </c>
      <c r="AB1674" s="462" t="s">
        <v>6207</v>
      </c>
      <c r="AC1674" s="462" t="s">
        <v>6208</v>
      </c>
      <c r="AD1674" s="464">
        <v>2.95641</v>
      </c>
      <c r="AE1674" s="465">
        <v>0.14221</v>
      </c>
      <c r="AF1674" s="86">
        <f>IF(verze!$E$1="CZK",AD1674,IF(verze!$E$1="SK",AE1674,""))</f>
        <v>0.14221</v>
      </c>
    </row>
    <row r="1675" spans="27:32" ht="15">
      <c r="AA1675" s="463" t="s">
        <v>6209</v>
      </c>
      <c r="AB1675" s="462" t="s">
        <v>6210</v>
      </c>
      <c r="AC1675" s="462" t="s">
        <v>6211</v>
      </c>
      <c r="AD1675" s="464">
        <v>108.09116</v>
      </c>
      <c r="AE1675" s="465">
        <v>5.1995800000000001</v>
      </c>
      <c r="AF1675" s="86">
        <f>IF(verze!$E$1="CZK",AD1675,IF(verze!$E$1="SK",AE1675,""))</f>
        <v>5.1995800000000001</v>
      </c>
    </row>
    <row r="1676" spans="27:32" ht="15">
      <c r="AA1676" s="463" t="s">
        <v>6212</v>
      </c>
      <c r="AB1676" s="462" t="s">
        <v>6213</v>
      </c>
      <c r="AC1676" s="462" t="s">
        <v>6214</v>
      </c>
      <c r="AD1676" s="464">
        <v>112.95623000000001</v>
      </c>
      <c r="AE1676" s="465">
        <v>5.4336000000000002</v>
      </c>
      <c r="AF1676" s="86">
        <f>IF(verze!$E$1="CZK",AD1676,IF(verze!$E$1="SK",AE1676,""))</f>
        <v>5.4336000000000002</v>
      </c>
    </row>
    <row r="1677" spans="27:32" ht="15">
      <c r="AA1677" s="463" t="s">
        <v>6215</v>
      </c>
      <c r="AB1677" s="462" t="s">
        <v>6216</v>
      </c>
      <c r="AC1677" s="462" t="s">
        <v>6217</v>
      </c>
      <c r="AD1677" s="464">
        <v>117.8212</v>
      </c>
      <c r="AE1677" s="465">
        <v>5.6676299999999999</v>
      </c>
      <c r="AF1677" s="86">
        <f>IF(verze!$E$1="CZK",AD1677,IF(verze!$E$1="SK",AE1677,""))</f>
        <v>5.6676299999999999</v>
      </c>
    </row>
    <row r="1678" spans="27:32" ht="15">
      <c r="AA1678" s="463" t="s">
        <v>6218</v>
      </c>
      <c r="AB1678" s="462" t="s">
        <v>6219</v>
      </c>
      <c r="AC1678" s="462" t="s">
        <v>6220</v>
      </c>
      <c r="AD1678" s="464">
        <v>86.472909999999999</v>
      </c>
      <c r="AE1678" s="465">
        <v>4.1596599999999997</v>
      </c>
      <c r="AF1678" s="86">
        <f>IF(verze!$E$1="CZK",AD1678,IF(verze!$E$1="SK",AE1678,""))</f>
        <v>4.1596599999999997</v>
      </c>
    </row>
    <row r="1679" spans="27:32" ht="15">
      <c r="AA1679" s="463" t="s">
        <v>6221</v>
      </c>
      <c r="AB1679" s="462" t="s">
        <v>6222</v>
      </c>
      <c r="AC1679" s="462" t="s">
        <v>6223</v>
      </c>
      <c r="AD1679" s="464">
        <v>91.337980000000002</v>
      </c>
      <c r="AE1679" s="465">
        <v>4.3936799999999998</v>
      </c>
      <c r="AF1679" s="86">
        <f>IF(verze!$E$1="CZK",AD1679,IF(verze!$E$1="SK",AE1679,""))</f>
        <v>4.3936799999999998</v>
      </c>
    </row>
    <row r="1680" spans="27:32" ht="15">
      <c r="AA1680" s="463" t="s">
        <v>6224</v>
      </c>
      <c r="AB1680" s="462" t="s">
        <v>6225</v>
      </c>
      <c r="AC1680" s="462" t="s">
        <v>6226</v>
      </c>
      <c r="AD1680" s="464">
        <v>96.202950000000001</v>
      </c>
      <c r="AE1680" s="465">
        <v>4.6277100000000004</v>
      </c>
      <c r="AF1680" s="86">
        <f>IF(verze!$E$1="CZK",AD1680,IF(verze!$E$1="SK",AE1680,""))</f>
        <v>4.6277100000000004</v>
      </c>
    </row>
    <row r="1681" spans="27:32" ht="15">
      <c r="AA1681" s="463" t="s">
        <v>6227</v>
      </c>
      <c r="AB1681" s="462" t="s">
        <v>6228</v>
      </c>
      <c r="AC1681" s="462" t="s">
        <v>6229</v>
      </c>
      <c r="AD1681" s="464">
        <v>91.876180000000005</v>
      </c>
      <c r="AE1681" s="465">
        <v>4.4195799999999998</v>
      </c>
      <c r="AF1681" s="86">
        <f>IF(verze!$E$1="CZK",AD1681,IF(verze!$E$1="SK",AE1681,""))</f>
        <v>4.4195799999999998</v>
      </c>
    </row>
    <row r="1682" spans="27:32" ht="15">
      <c r="AA1682" s="463" t="s">
        <v>6230</v>
      </c>
      <c r="AB1682" s="462" t="s">
        <v>6231</v>
      </c>
      <c r="AC1682" s="462" t="s">
        <v>6232</v>
      </c>
      <c r="AD1682" s="464">
        <v>96.743840000000006</v>
      </c>
      <c r="AE1682" s="465">
        <v>4.6537300000000004</v>
      </c>
      <c r="AF1682" s="86">
        <f>IF(verze!$E$1="CZK",AD1682,IF(verze!$E$1="SK",AE1682,""))</f>
        <v>4.6537300000000004</v>
      </c>
    </row>
    <row r="1683" spans="27:32" ht="15">
      <c r="AA1683" s="463" t="s">
        <v>6233</v>
      </c>
      <c r="AB1683" s="462" t="s">
        <v>6234</v>
      </c>
      <c r="AC1683" s="462" t="s">
        <v>6235</v>
      </c>
      <c r="AD1683" s="464">
        <v>101.60621999999999</v>
      </c>
      <c r="AE1683" s="465">
        <v>4.8876200000000001</v>
      </c>
      <c r="AF1683" s="86">
        <f>IF(verze!$E$1="CZK",AD1683,IF(verze!$E$1="SK",AE1683,""))</f>
        <v>4.8876200000000001</v>
      </c>
    </row>
    <row r="1684" spans="27:32" ht="15">
      <c r="AA1684" s="463" t="s">
        <v>6236</v>
      </c>
      <c r="AB1684" s="462" t="s">
        <v>6237</v>
      </c>
      <c r="AC1684" s="462" t="s">
        <v>6238</v>
      </c>
      <c r="AD1684" s="464">
        <v>23.99831</v>
      </c>
      <c r="AE1684" s="465">
        <v>1.15439</v>
      </c>
      <c r="AF1684" s="86">
        <f>IF(verze!$E$1="CZK",AD1684,IF(verze!$E$1="SK",AE1684,""))</f>
        <v>1.15439</v>
      </c>
    </row>
    <row r="1685" spans="27:32" ht="15">
      <c r="AA1685" s="463" t="s">
        <v>6236</v>
      </c>
      <c r="AB1685" s="462" t="s">
        <v>6239</v>
      </c>
      <c r="AC1685" s="462" t="s">
        <v>6240</v>
      </c>
      <c r="AD1685" s="464">
        <v>23.99831</v>
      </c>
      <c r="AE1685" s="465">
        <v>1.15439</v>
      </c>
      <c r="AF1685" s="86">
        <f>IF(verze!$E$1="CZK",AD1685,IF(verze!$E$1="SK",AE1685,""))</f>
        <v>1.15439</v>
      </c>
    </row>
    <row r="1686" spans="27:32" ht="15">
      <c r="AA1686" s="463" t="s">
        <v>6241</v>
      </c>
      <c r="AB1686" s="462" t="s">
        <v>6242</v>
      </c>
      <c r="AC1686" s="462" t="s">
        <v>6243</v>
      </c>
      <c r="AD1686" s="464">
        <v>25.852900000000002</v>
      </c>
      <c r="AE1686" s="465">
        <v>1.2436199999999999</v>
      </c>
      <c r="AF1686" s="86">
        <f>IF(verze!$E$1="CZK",AD1686,IF(verze!$E$1="SK",AE1686,""))</f>
        <v>1.2436199999999999</v>
      </c>
    </row>
    <row r="1687" spans="27:32" ht="15">
      <c r="AA1687" s="463" t="s">
        <v>6241</v>
      </c>
      <c r="AB1687" s="462" t="s">
        <v>6244</v>
      </c>
      <c r="AC1687" s="462" t="s">
        <v>6245</v>
      </c>
      <c r="AD1687" s="464">
        <v>25.852900000000002</v>
      </c>
      <c r="AE1687" s="465">
        <v>1.2436199999999999</v>
      </c>
      <c r="AF1687" s="86">
        <f>IF(verze!$E$1="CZK",AD1687,IF(verze!$E$1="SK",AE1687,""))</f>
        <v>1.2436199999999999</v>
      </c>
    </row>
    <row r="1688" spans="27:32" ht="15">
      <c r="AA1688" s="463" t="s">
        <v>6246</v>
      </c>
      <c r="AB1688" s="462" t="s">
        <v>6247</v>
      </c>
      <c r="AC1688" s="462" t="s">
        <v>6248</v>
      </c>
      <c r="AD1688" s="464">
        <v>27.69125</v>
      </c>
      <c r="AE1688" s="465">
        <v>1.33205</v>
      </c>
      <c r="AF1688" s="86">
        <f>IF(verze!$E$1="CZK",AD1688,IF(verze!$E$1="SK",AE1688,""))</f>
        <v>1.33205</v>
      </c>
    </row>
    <row r="1689" spans="27:32" ht="15">
      <c r="AA1689" s="463" t="s">
        <v>6249</v>
      </c>
      <c r="AB1689" s="462" t="s">
        <v>6250</v>
      </c>
      <c r="AC1689" s="462" t="s">
        <v>6251</v>
      </c>
      <c r="AD1689" s="464">
        <v>31.386559999999999</v>
      </c>
      <c r="AE1689" s="465">
        <v>1.5098</v>
      </c>
      <c r="AF1689" s="86">
        <f>IF(verze!$E$1="CZK",AD1689,IF(verze!$E$1="SK",AE1689,""))</f>
        <v>1.5098</v>
      </c>
    </row>
    <row r="1690" spans="27:32" ht="15">
      <c r="AA1690" s="463" t="s">
        <v>6252</v>
      </c>
      <c r="AB1690" s="462" t="s">
        <v>6253</v>
      </c>
      <c r="AC1690" s="462" t="s">
        <v>6254</v>
      </c>
      <c r="AD1690" s="464">
        <v>31.386559999999999</v>
      </c>
      <c r="AE1690" s="465">
        <v>1.5098</v>
      </c>
      <c r="AF1690" s="86">
        <f>IF(verze!$E$1="CZK",AD1690,IF(verze!$E$1="SK",AE1690,""))</f>
        <v>1.5098</v>
      </c>
    </row>
    <row r="1691" spans="27:32" ht="15">
      <c r="AA1691" s="463" t="s">
        <v>6255</v>
      </c>
      <c r="AB1691" s="462" t="s">
        <v>6256</v>
      </c>
      <c r="AC1691" s="462" t="s">
        <v>6257</v>
      </c>
      <c r="AD1691" s="464">
        <v>33.231839999999998</v>
      </c>
      <c r="AE1691" s="465">
        <v>1.5985799999999999</v>
      </c>
      <c r="AF1691" s="86">
        <f>IF(verze!$E$1="CZK",AD1691,IF(verze!$E$1="SK",AE1691,""))</f>
        <v>1.5985799999999999</v>
      </c>
    </row>
    <row r="1692" spans="27:32" ht="15">
      <c r="AA1692" s="463" t="s">
        <v>6258</v>
      </c>
      <c r="AB1692" s="462" t="s">
        <v>6259</v>
      </c>
      <c r="AC1692" s="462" t="s">
        <v>6260</v>
      </c>
      <c r="AD1692" s="464">
        <v>35.077120000000001</v>
      </c>
      <c r="AE1692" s="465">
        <v>1.68733</v>
      </c>
      <c r="AF1692" s="86">
        <f>IF(verze!$E$1="CZK",AD1692,IF(verze!$E$1="SK",AE1692,""))</f>
        <v>1.68733</v>
      </c>
    </row>
    <row r="1693" spans="27:32" ht="15">
      <c r="AA1693" s="463" t="s">
        <v>6261</v>
      </c>
      <c r="AB1693" s="462" t="s">
        <v>6262</v>
      </c>
      <c r="AC1693" s="462" t="s">
        <v>6263</v>
      </c>
      <c r="AD1693" s="464">
        <v>2.95641</v>
      </c>
      <c r="AE1693" s="465">
        <v>0.14221</v>
      </c>
      <c r="AF1693" s="86">
        <f>IF(verze!$E$1="CZK",AD1693,IF(verze!$E$1="SK",AE1693,""))</f>
        <v>0.14221</v>
      </c>
    </row>
    <row r="1694" spans="27:32" ht="15">
      <c r="AA1694" s="463" t="s">
        <v>6261</v>
      </c>
      <c r="AB1694" s="462" t="s">
        <v>6264</v>
      </c>
      <c r="AC1694" s="462" t="s">
        <v>6265</v>
      </c>
      <c r="AD1694" s="464">
        <v>2.95641</v>
      </c>
      <c r="AE1694" s="465">
        <v>0.14221</v>
      </c>
      <c r="AF1694" s="86">
        <f>IF(verze!$E$1="CZK",AD1694,IF(verze!$E$1="SK",AE1694,""))</f>
        <v>0.14221</v>
      </c>
    </row>
    <row r="1695" spans="27:32" ht="15">
      <c r="AA1695" s="463" t="s">
        <v>6266</v>
      </c>
      <c r="AB1695" s="462" t="s">
        <v>6267</v>
      </c>
      <c r="AC1695" s="462" t="s">
        <v>6268</v>
      </c>
      <c r="AD1695" s="464">
        <v>2.95641</v>
      </c>
      <c r="AE1695" s="465">
        <v>0.14221</v>
      </c>
      <c r="AF1695" s="86">
        <f>IF(verze!$E$1="CZK",AD1695,IF(verze!$E$1="SK",AE1695,""))</f>
        <v>0.14221</v>
      </c>
    </row>
    <row r="1696" spans="27:32" ht="15">
      <c r="AA1696" s="463" t="s">
        <v>6269</v>
      </c>
      <c r="AB1696" s="462" t="s">
        <v>6270</v>
      </c>
      <c r="AC1696" s="462" t="s">
        <v>6271</v>
      </c>
      <c r="AD1696" s="464">
        <v>2.95641</v>
      </c>
      <c r="AE1696" s="465">
        <v>0.14221</v>
      </c>
      <c r="AF1696" s="86">
        <f>IF(verze!$E$1="CZK",AD1696,IF(verze!$E$1="SK",AE1696,""))</f>
        <v>0.14221</v>
      </c>
    </row>
    <row r="1697" spans="27:32" ht="15">
      <c r="AA1697" s="463" t="s">
        <v>6272</v>
      </c>
      <c r="AB1697" s="462" t="s">
        <v>6273</v>
      </c>
      <c r="AC1697" s="462" t="s">
        <v>6274</v>
      </c>
      <c r="AD1697" s="464">
        <v>60.301960000000001</v>
      </c>
      <c r="AE1697" s="465">
        <v>2.9007499999999999</v>
      </c>
      <c r="AF1697" s="86">
        <f>IF(verze!$E$1="CZK",AD1697,IF(verze!$E$1="SK",AE1697,""))</f>
        <v>2.9007499999999999</v>
      </c>
    </row>
    <row r="1698" spans="27:32" ht="15">
      <c r="AA1698" s="463" t="s">
        <v>6275</v>
      </c>
      <c r="AB1698" s="462" t="s">
        <v>6276</v>
      </c>
      <c r="AC1698" s="462" t="s">
        <v>6277</v>
      </c>
      <c r="AD1698" s="464">
        <v>61.805700000000002</v>
      </c>
      <c r="AE1698" s="465">
        <v>2.9730799999999999</v>
      </c>
      <c r="AF1698" s="86">
        <f>IF(verze!$E$1="CZK",AD1698,IF(verze!$E$1="SK",AE1698,""))</f>
        <v>2.9730799999999999</v>
      </c>
    </row>
    <row r="1699" spans="27:32" ht="15">
      <c r="AA1699" s="463" t="s">
        <v>6278</v>
      </c>
      <c r="AB1699" s="462" t="s">
        <v>6279</v>
      </c>
      <c r="AC1699" s="462" t="s">
        <v>6280</v>
      </c>
      <c r="AD1699" s="464">
        <v>66.115110000000001</v>
      </c>
      <c r="AE1699" s="465">
        <v>3.1803900000000001</v>
      </c>
      <c r="AF1699" s="86">
        <f>IF(verze!$E$1="CZK",AD1699,IF(verze!$E$1="SK",AE1699,""))</f>
        <v>3.1803900000000001</v>
      </c>
    </row>
    <row r="1700" spans="27:32" ht="15">
      <c r="AA1700" s="463" t="s">
        <v>6281</v>
      </c>
      <c r="AB1700" s="462" t="s">
        <v>6282</v>
      </c>
      <c r="AC1700" s="462" t="s">
        <v>6283</v>
      </c>
      <c r="AD1700" s="464">
        <v>254.12092000000001</v>
      </c>
      <c r="AE1700" s="465">
        <v>12.22414</v>
      </c>
      <c r="AF1700" s="86">
        <f>IF(verze!$E$1="CZK",AD1700,IF(verze!$E$1="SK",AE1700,""))</f>
        <v>12.22414</v>
      </c>
    </row>
    <row r="1701" spans="27:32" ht="15">
      <c r="AA1701" s="463" t="s">
        <v>6284</v>
      </c>
      <c r="AB1701" s="462" t="s">
        <v>6285</v>
      </c>
      <c r="AC1701" s="462" t="s">
        <v>6286</v>
      </c>
      <c r="AD1701" s="464">
        <v>126.33360999999999</v>
      </c>
      <c r="AE1701" s="465">
        <v>6.0771100000000002</v>
      </c>
      <c r="AF1701" s="86">
        <f>IF(verze!$E$1="CZK",AD1701,IF(verze!$E$1="SK",AE1701,""))</f>
        <v>6.0771100000000002</v>
      </c>
    </row>
    <row r="1702" spans="27:32" ht="15">
      <c r="AA1702" s="463" t="s">
        <v>6287</v>
      </c>
      <c r="AB1702" s="462" t="s">
        <v>6288</v>
      </c>
      <c r="AC1702" s="462" t="s">
        <v>6289</v>
      </c>
      <c r="AD1702" s="464">
        <v>28.472429999999999</v>
      </c>
      <c r="AE1702" s="465">
        <v>1.3696200000000001</v>
      </c>
      <c r="AF1702" s="86">
        <f>IF(verze!$E$1="CZK",AD1702,IF(verze!$E$1="SK",AE1702,""))</f>
        <v>1.3696200000000001</v>
      </c>
    </row>
    <row r="1703" spans="27:32" ht="15">
      <c r="AA1703" s="463" t="s">
        <v>6290</v>
      </c>
      <c r="AB1703" s="462" t="s">
        <v>6291</v>
      </c>
      <c r="AC1703" s="462" t="s">
        <v>6292</v>
      </c>
      <c r="AD1703" s="464">
        <v>38.631480000000003</v>
      </c>
      <c r="AE1703" s="465">
        <v>1.85833</v>
      </c>
      <c r="AF1703" s="86">
        <f>IF(verze!$E$1="CZK",AD1703,IF(verze!$E$1="SK",AE1703,""))</f>
        <v>1.85833</v>
      </c>
    </row>
    <row r="1704" spans="27:32" ht="15">
      <c r="AA1704" s="463" t="s">
        <v>6293</v>
      </c>
      <c r="AB1704" s="462" t="s">
        <v>6294</v>
      </c>
      <c r="AC1704" s="462" t="s">
        <v>6295</v>
      </c>
      <c r="AD1704" s="464">
        <v>54.815240000000003</v>
      </c>
      <c r="AE1704" s="465">
        <v>2.6368</v>
      </c>
      <c r="AF1704" s="86">
        <f>IF(verze!$E$1="CZK",AD1704,IF(verze!$E$1="SK",AE1704,""))</f>
        <v>2.6368</v>
      </c>
    </row>
    <row r="1705" spans="27:32" ht="15">
      <c r="AA1705" s="463" t="s">
        <v>6296</v>
      </c>
      <c r="AB1705" s="462" t="s">
        <v>6297</v>
      </c>
      <c r="AC1705" s="462" t="s">
        <v>6298</v>
      </c>
      <c r="AD1705" s="464">
        <v>81.485720000000001</v>
      </c>
      <c r="AE1705" s="465">
        <v>3.9197600000000001</v>
      </c>
      <c r="AF1705" s="86">
        <f>IF(verze!$E$1="CZK",AD1705,IF(verze!$E$1="SK",AE1705,""))</f>
        <v>3.9197600000000001</v>
      </c>
    </row>
    <row r="1706" spans="27:32" ht="15">
      <c r="AA1706" s="463" t="s">
        <v>6299</v>
      </c>
      <c r="AB1706" s="462" t="s">
        <v>6300</v>
      </c>
      <c r="AC1706" s="462" t="s">
        <v>6301</v>
      </c>
      <c r="AD1706" s="464">
        <v>3.65137</v>
      </c>
      <c r="AE1706" s="465">
        <v>0.17563999999999999</v>
      </c>
      <c r="AF1706" s="86">
        <f>IF(verze!$E$1="CZK",AD1706,IF(verze!$E$1="SK",AE1706,""))</f>
        <v>0.17563999999999999</v>
      </c>
    </row>
    <row r="1707" spans="27:32" ht="15">
      <c r="AA1707" s="463" t="s">
        <v>6302</v>
      </c>
      <c r="AB1707" s="462" t="s">
        <v>6303</v>
      </c>
      <c r="AC1707" s="462" t="s">
        <v>6304</v>
      </c>
      <c r="AD1707" s="464">
        <v>3.65137</v>
      </c>
      <c r="AE1707" s="465">
        <v>0.17563999999999999</v>
      </c>
      <c r="AF1707" s="86">
        <f>IF(verze!$E$1="CZK",AD1707,IF(verze!$E$1="SK",AE1707,""))</f>
        <v>0.17563999999999999</v>
      </c>
    </row>
    <row r="1708" spans="27:32" ht="15">
      <c r="AA1708" s="463" t="s">
        <v>6305</v>
      </c>
      <c r="AB1708" s="462" t="s">
        <v>6306</v>
      </c>
      <c r="AC1708" s="462" t="s">
        <v>6307</v>
      </c>
      <c r="AD1708" s="464">
        <v>3.65137</v>
      </c>
      <c r="AE1708" s="465">
        <v>0.17563999999999999</v>
      </c>
      <c r="AF1708" s="86">
        <f>IF(verze!$E$1="CZK",AD1708,IF(verze!$E$1="SK",AE1708,""))</f>
        <v>0.17563999999999999</v>
      </c>
    </row>
    <row r="1709" spans="27:32" ht="15">
      <c r="AA1709" s="463" t="s">
        <v>6308</v>
      </c>
      <c r="AB1709" s="462" t="s">
        <v>6309</v>
      </c>
      <c r="AC1709" s="462" t="s">
        <v>6310</v>
      </c>
      <c r="AD1709" s="464">
        <v>3.65137</v>
      </c>
      <c r="AE1709" s="465">
        <v>0.17563999999999999</v>
      </c>
      <c r="AF1709" s="86">
        <f>IF(verze!$E$1="CZK",AD1709,IF(verze!$E$1="SK",AE1709,""))</f>
        <v>0.17563999999999999</v>
      </c>
    </row>
    <row r="1710" spans="27:32" ht="15">
      <c r="AA1710" s="463" t="s">
        <v>6311</v>
      </c>
      <c r="AB1710" s="462" t="s">
        <v>6312</v>
      </c>
      <c r="AC1710" s="462" t="s">
        <v>6313</v>
      </c>
      <c r="AD1710" s="464">
        <v>76.281229999999994</v>
      </c>
      <c r="AE1710" s="465">
        <v>3.5901399999999999</v>
      </c>
      <c r="AF1710" s="86">
        <f>IF(verze!$E$1="CZK",AD1710,IF(verze!$E$1="SK",AE1710,""))</f>
        <v>3.5901399999999999</v>
      </c>
    </row>
    <row r="1711" spans="27:32" ht="15">
      <c r="AA1711" s="463" t="s">
        <v>6314</v>
      </c>
      <c r="AB1711" s="462" t="s">
        <v>6315</v>
      </c>
      <c r="AC1711" s="462" t="s">
        <v>6316</v>
      </c>
      <c r="AD1711" s="464">
        <v>83.230500000000006</v>
      </c>
      <c r="AE1711" s="465">
        <v>4.0036899999999997</v>
      </c>
      <c r="AF1711" s="86">
        <f>IF(verze!$E$1="CZK",AD1711,IF(verze!$E$1="SK",AE1711,""))</f>
        <v>4.0036899999999997</v>
      </c>
    </row>
    <row r="1712" spans="27:32" ht="15">
      <c r="AA1712" s="463" t="s">
        <v>6317</v>
      </c>
      <c r="AB1712" s="462" t="s">
        <v>6318</v>
      </c>
      <c r="AC1712" s="462" t="s">
        <v>6319</v>
      </c>
      <c r="AD1712" s="464">
        <v>82.525810000000007</v>
      </c>
      <c r="AE1712" s="465">
        <v>3.9698000000000002</v>
      </c>
      <c r="AF1712" s="86">
        <f>IF(verze!$E$1="CZK",AD1712,IF(verze!$E$1="SK",AE1712,""))</f>
        <v>3.9698000000000002</v>
      </c>
    </row>
    <row r="1713" spans="27:32" ht="15">
      <c r="AA1713" s="463" t="s">
        <v>6320</v>
      </c>
      <c r="AB1713" s="462" t="s">
        <v>6321</v>
      </c>
      <c r="AC1713" s="462" t="s">
        <v>6322</v>
      </c>
      <c r="AD1713" s="464">
        <v>87.388210000000001</v>
      </c>
      <c r="AE1713" s="465">
        <v>4.17774</v>
      </c>
      <c r="AF1713" s="86">
        <f>IF(verze!$E$1="CZK",AD1713,IF(verze!$E$1="SK",AE1713,""))</f>
        <v>4.17774</v>
      </c>
    </row>
    <row r="1714" spans="27:32" ht="15">
      <c r="AA1714" s="463" t="s">
        <v>6323</v>
      </c>
      <c r="AB1714" s="462" t="s">
        <v>6324</v>
      </c>
      <c r="AC1714" s="462" t="s">
        <v>6325</v>
      </c>
      <c r="AD1714" s="464">
        <v>0</v>
      </c>
      <c r="AE1714" s="465">
        <v>4.1240399999999999</v>
      </c>
      <c r="AF1714" s="86">
        <f>IF(verze!$E$1="CZK",AD1714,IF(verze!$E$1="SK",AE1714,""))</f>
        <v>4.1240399999999999</v>
      </c>
    </row>
    <row r="1715" spans="27:32" ht="15">
      <c r="AA1715" s="463" t="s">
        <v>6326</v>
      </c>
      <c r="AB1715" s="462" t="s">
        <v>6327</v>
      </c>
      <c r="AC1715" s="462" t="s">
        <v>6328</v>
      </c>
      <c r="AD1715" s="464">
        <v>92.294839999999994</v>
      </c>
      <c r="AE1715" s="465">
        <v>4.4397200000000003</v>
      </c>
      <c r="AF1715" s="86">
        <f>IF(verze!$E$1="CZK",AD1715,IF(verze!$E$1="SK",AE1715,""))</f>
        <v>4.4397200000000003</v>
      </c>
    </row>
    <row r="1716" spans="27:32" ht="15">
      <c r="AA1716" s="463" t="s">
        <v>6329</v>
      </c>
      <c r="AB1716" s="462" t="s">
        <v>6330</v>
      </c>
      <c r="AC1716" s="462" t="s">
        <v>6331</v>
      </c>
      <c r="AD1716" s="464">
        <v>85.934709999999995</v>
      </c>
      <c r="AE1716" s="465">
        <v>4.1337700000000002</v>
      </c>
      <c r="AF1716" s="86">
        <f>IF(verze!$E$1="CZK",AD1716,IF(verze!$E$1="SK",AE1716,""))</f>
        <v>4.1337700000000002</v>
      </c>
    </row>
    <row r="1717" spans="27:32" ht="15">
      <c r="AA1717" s="463" t="s">
        <v>6332</v>
      </c>
      <c r="AB1717" s="462" t="s">
        <v>6333</v>
      </c>
      <c r="AC1717" s="462" t="s">
        <v>6334</v>
      </c>
      <c r="AD1717" s="464">
        <v>90.7971</v>
      </c>
      <c r="AE1717" s="465">
        <v>4.3676599999999999</v>
      </c>
      <c r="AF1717" s="86">
        <f>IF(verze!$E$1="CZK",AD1717,IF(verze!$E$1="SK",AE1717,""))</f>
        <v>4.3676599999999999</v>
      </c>
    </row>
    <row r="1718" spans="27:32" ht="15">
      <c r="AA1718" s="463" t="s">
        <v>6335</v>
      </c>
      <c r="AB1718" s="462" t="s">
        <v>6336</v>
      </c>
      <c r="AC1718" s="462" t="s">
        <v>6337</v>
      </c>
      <c r="AD1718" s="464">
        <v>85.227450000000005</v>
      </c>
      <c r="AE1718" s="465">
        <v>4.0997500000000002</v>
      </c>
      <c r="AF1718" s="86">
        <f>IF(verze!$E$1="CZK",AD1718,IF(verze!$E$1="SK",AE1718,""))</f>
        <v>4.0997500000000002</v>
      </c>
    </row>
    <row r="1719" spans="27:32" ht="15">
      <c r="AA1719" s="463" t="s">
        <v>6338</v>
      </c>
      <c r="AB1719" s="462" t="s">
        <v>6339</v>
      </c>
      <c r="AC1719" s="462" t="s">
        <v>6340</v>
      </c>
      <c r="AD1719" s="464">
        <v>94.996480000000005</v>
      </c>
      <c r="AE1719" s="465">
        <v>4.5696599999999998</v>
      </c>
      <c r="AF1719" s="86">
        <f>IF(verze!$E$1="CZK",AD1719,IF(verze!$E$1="SK",AE1719,""))</f>
        <v>4.5696599999999998</v>
      </c>
    </row>
    <row r="1720" spans="27:32" ht="15">
      <c r="AA1720" s="463" t="s">
        <v>6341</v>
      </c>
      <c r="AB1720" s="462" t="s">
        <v>6342</v>
      </c>
      <c r="AC1720" s="462" t="s">
        <v>6343</v>
      </c>
      <c r="AD1720" s="464">
        <v>99.858869999999996</v>
      </c>
      <c r="AE1720" s="465">
        <v>4.8035800000000002</v>
      </c>
      <c r="AF1720" s="86">
        <f>IF(verze!$E$1="CZK",AD1720,IF(verze!$E$1="SK",AE1720,""))</f>
        <v>4.8035800000000002</v>
      </c>
    </row>
    <row r="1721" spans="27:32" ht="15">
      <c r="AA1721" s="463" t="s">
        <v>6344</v>
      </c>
      <c r="AB1721" s="462" t="s">
        <v>6345</v>
      </c>
      <c r="AC1721" s="462" t="s">
        <v>6346</v>
      </c>
      <c r="AD1721" s="464">
        <v>104.72653</v>
      </c>
      <c r="AE1721" s="465">
        <v>5.0377299999999998</v>
      </c>
      <c r="AF1721" s="86">
        <f>IF(verze!$E$1="CZK",AD1721,IF(verze!$E$1="SK",AE1721,""))</f>
        <v>5.0377299999999998</v>
      </c>
    </row>
    <row r="1722" spans="27:32" ht="15">
      <c r="AA1722" s="463" t="s">
        <v>6347</v>
      </c>
      <c r="AB1722" s="462" t="s">
        <v>6348</v>
      </c>
      <c r="AC1722" s="462" t="s">
        <v>6349</v>
      </c>
      <c r="AD1722" s="464">
        <v>0</v>
      </c>
      <c r="AE1722" s="465">
        <v>0</v>
      </c>
      <c r="AF1722" s="86">
        <f>IF(verze!$E$1="CZK",AD1722,IF(verze!$E$1="SK",AE1722,""))</f>
        <v>0</v>
      </c>
    </row>
    <row r="1723" spans="27:32" ht="15">
      <c r="AA1723" s="463" t="s">
        <v>6350</v>
      </c>
      <c r="AB1723" s="462" t="s">
        <v>6351</v>
      </c>
      <c r="AC1723" s="462" t="s">
        <v>6352</v>
      </c>
      <c r="AD1723" s="464">
        <v>61.583269999999999</v>
      </c>
      <c r="AE1723" s="465">
        <v>2.9623900000000001</v>
      </c>
      <c r="AF1723" s="86">
        <f>IF(verze!$E$1="CZK",AD1723,IF(verze!$E$1="SK",AE1723,""))</f>
        <v>2.9623900000000001</v>
      </c>
    </row>
    <row r="1724" spans="27:32" ht="15">
      <c r="AA1724" s="463" t="s">
        <v>6353</v>
      </c>
      <c r="AB1724" s="462" t="s">
        <v>6354</v>
      </c>
      <c r="AC1724" s="462" t="s">
        <v>6355</v>
      </c>
      <c r="AD1724" s="464">
        <v>70.674009999999996</v>
      </c>
      <c r="AE1724" s="465">
        <v>3.3996900000000001</v>
      </c>
      <c r="AF1724" s="86">
        <f>IF(verze!$E$1="CZK",AD1724,IF(verze!$E$1="SK",AE1724,""))</f>
        <v>3.3996900000000001</v>
      </c>
    </row>
    <row r="1725" spans="27:32" ht="15">
      <c r="AA1725" s="463" t="s">
        <v>6356</v>
      </c>
      <c r="AB1725" s="462" t="s">
        <v>6357</v>
      </c>
      <c r="AC1725" s="462" t="s">
        <v>6358</v>
      </c>
      <c r="AD1725" s="464">
        <v>59.451479999999997</v>
      </c>
      <c r="AE1725" s="465">
        <v>2.8598400000000002</v>
      </c>
      <c r="AF1725" s="86">
        <f>IF(verze!$E$1="CZK",AD1725,IF(verze!$E$1="SK",AE1725,""))</f>
        <v>2.8598400000000002</v>
      </c>
    </row>
    <row r="1726" spans="27:32" ht="15">
      <c r="AA1726" s="463" t="s">
        <v>6359</v>
      </c>
      <c r="AB1726" s="462" t="s">
        <v>6360</v>
      </c>
      <c r="AC1726" s="462" t="s">
        <v>6361</v>
      </c>
      <c r="AD1726" s="464">
        <v>64.313879999999997</v>
      </c>
      <c r="AE1726" s="465">
        <v>3.0937199999999998</v>
      </c>
      <c r="AF1726" s="86">
        <f>IF(verze!$E$1="CZK",AD1726,IF(verze!$E$1="SK",AE1726,""))</f>
        <v>3.0937199999999998</v>
      </c>
    </row>
    <row r="1727" spans="27:32" ht="15">
      <c r="AA1727" s="463" t="s">
        <v>6362</v>
      </c>
      <c r="AB1727" s="462" t="s">
        <v>6363</v>
      </c>
      <c r="AC1727" s="462" t="s">
        <v>6364</v>
      </c>
      <c r="AD1727" s="464">
        <v>69.178849999999997</v>
      </c>
      <c r="AE1727" s="465">
        <v>3.3277700000000001</v>
      </c>
      <c r="AF1727" s="86">
        <f>IF(verze!$E$1="CZK",AD1727,IF(verze!$E$1="SK",AE1727,""))</f>
        <v>3.3277700000000001</v>
      </c>
    </row>
    <row r="1728" spans="27:32" ht="15">
      <c r="AA1728" s="463" t="s">
        <v>6365</v>
      </c>
      <c r="AB1728" s="462" t="s">
        <v>6366</v>
      </c>
      <c r="AC1728" s="462" t="s">
        <v>6367</v>
      </c>
      <c r="AD1728" s="464">
        <v>73.378219999999999</v>
      </c>
      <c r="AE1728" s="465">
        <v>3.52976</v>
      </c>
      <c r="AF1728" s="86">
        <f>IF(verze!$E$1="CZK",AD1728,IF(verze!$E$1="SK",AE1728,""))</f>
        <v>3.52976</v>
      </c>
    </row>
    <row r="1729" spans="27:32" ht="15">
      <c r="AA1729" s="463" t="s">
        <v>6368</v>
      </c>
      <c r="AB1729" s="462" t="s">
        <v>6369</v>
      </c>
      <c r="AC1729" s="462" t="s">
        <v>6370</v>
      </c>
      <c r="AD1729" s="464">
        <v>78.243189999999998</v>
      </c>
      <c r="AE1729" s="465">
        <v>3.7637700000000001</v>
      </c>
      <c r="AF1729" s="86">
        <f>IF(verze!$E$1="CZK",AD1729,IF(verze!$E$1="SK",AE1729,""))</f>
        <v>3.7637700000000001</v>
      </c>
    </row>
    <row r="1730" spans="27:32" ht="15">
      <c r="AA1730" s="463" t="s">
        <v>6371</v>
      </c>
      <c r="AB1730" s="462" t="s">
        <v>6372</v>
      </c>
      <c r="AC1730" s="462" t="s">
        <v>6373</v>
      </c>
      <c r="AD1730" s="464">
        <v>83.105680000000007</v>
      </c>
      <c r="AE1730" s="465">
        <v>3.99769</v>
      </c>
      <c r="AF1730" s="86">
        <f>IF(verze!$E$1="CZK",AD1730,IF(verze!$E$1="SK",AE1730,""))</f>
        <v>3.99769</v>
      </c>
    </row>
    <row r="1731" spans="27:32" ht="15">
      <c r="AA1731" s="463" t="s">
        <v>6374</v>
      </c>
      <c r="AB1731" s="462" t="s">
        <v>6375</v>
      </c>
      <c r="AC1731" s="462" t="s">
        <v>6376</v>
      </c>
      <c r="AD1731" s="464">
        <v>62.153120000000001</v>
      </c>
      <c r="AE1731" s="465">
        <v>2.9897900000000002</v>
      </c>
      <c r="AF1731" s="86">
        <f>IF(verze!$E$1="CZK",AD1731,IF(verze!$E$1="SK",AE1731,""))</f>
        <v>2.9897900000000002</v>
      </c>
    </row>
    <row r="1732" spans="27:32" ht="15">
      <c r="AA1732" s="463" t="s">
        <v>6377</v>
      </c>
      <c r="AB1732" s="462" t="s">
        <v>6378</v>
      </c>
      <c r="AC1732" s="462" t="s">
        <v>6379</v>
      </c>
      <c r="AD1732" s="464">
        <v>71.880480000000006</v>
      </c>
      <c r="AE1732" s="465">
        <v>3.4577100000000001</v>
      </c>
      <c r="AF1732" s="86">
        <f>IF(verze!$E$1="CZK",AD1732,IF(verze!$E$1="SK",AE1732,""))</f>
        <v>3.4577100000000001</v>
      </c>
    </row>
    <row r="1733" spans="27:32" ht="15">
      <c r="AA1733" s="463" t="s">
        <v>6380</v>
      </c>
      <c r="AB1733" s="462" t="s">
        <v>6381</v>
      </c>
      <c r="AC1733" s="462" t="s">
        <v>6382</v>
      </c>
      <c r="AD1733" s="464">
        <v>0</v>
      </c>
      <c r="AE1733" s="465">
        <v>3.1699899999999999</v>
      </c>
      <c r="AF1733" s="86">
        <f>IF(verze!$E$1="CZK",AD1733,IF(verze!$E$1="SK",AE1733,""))</f>
        <v>3.1699899999999999</v>
      </c>
    </row>
    <row r="1734" spans="27:32" ht="15">
      <c r="AA1734" s="463" t="s">
        <v>6380</v>
      </c>
      <c r="AB1734" s="462" t="s">
        <v>6383</v>
      </c>
      <c r="AC1734" s="462" t="s">
        <v>6384</v>
      </c>
      <c r="AD1734" s="464">
        <v>66.308260000000004</v>
      </c>
      <c r="AE1734" s="465">
        <v>3.18967</v>
      </c>
      <c r="AF1734" s="86">
        <f>IF(verze!$E$1="CZK",AD1734,IF(verze!$E$1="SK",AE1734,""))</f>
        <v>3.18967</v>
      </c>
    </row>
    <row r="1735" spans="27:32" ht="15">
      <c r="AA1735" s="463" t="s">
        <v>6385</v>
      </c>
      <c r="AB1735" s="462" t="s">
        <v>6386</v>
      </c>
      <c r="AC1735" s="462" t="s">
        <v>6387</v>
      </c>
      <c r="AD1735" s="464">
        <v>71.175799999999995</v>
      </c>
      <c r="AE1735" s="465">
        <v>3.4238200000000001</v>
      </c>
      <c r="AF1735" s="86">
        <f>IF(verze!$E$1="CZK",AD1735,IF(verze!$E$1="SK",AE1735,""))</f>
        <v>3.4238200000000001</v>
      </c>
    </row>
    <row r="1736" spans="27:32" ht="15">
      <c r="AA1736" s="463" t="s">
        <v>6388</v>
      </c>
      <c r="AB1736" s="462" t="s">
        <v>6389</v>
      </c>
      <c r="AC1736" s="462" t="s">
        <v>6390</v>
      </c>
      <c r="AD1736" s="464">
        <v>76.038290000000003</v>
      </c>
      <c r="AE1736" s="465">
        <v>3.6577199999999999</v>
      </c>
      <c r="AF1736" s="86">
        <f>IF(verze!$E$1="CZK",AD1736,IF(verze!$E$1="SK",AE1736,""))</f>
        <v>3.6577199999999999</v>
      </c>
    </row>
    <row r="1737" spans="27:32" ht="15">
      <c r="AA1737" s="463" t="s">
        <v>6391</v>
      </c>
      <c r="AB1737" s="462" t="s">
        <v>6392</v>
      </c>
      <c r="AC1737" s="462" t="s">
        <v>6393</v>
      </c>
      <c r="AD1737" s="464">
        <v>85.807320000000004</v>
      </c>
      <c r="AE1737" s="465">
        <v>4.1276599999999997</v>
      </c>
      <c r="AF1737" s="86">
        <f>IF(verze!$E$1="CZK",AD1737,IF(verze!$E$1="SK",AE1737,""))</f>
        <v>4.1276599999999997</v>
      </c>
    </row>
    <row r="1738" spans="27:32" ht="15">
      <c r="AA1738" s="463" t="s">
        <v>6394</v>
      </c>
      <c r="AB1738" s="462" t="s">
        <v>6395</v>
      </c>
      <c r="AC1738" s="462" t="s">
        <v>6396</v>
      </c>
      <c r="AD1738" s="464">
        <v>64.854659999999996</v>
      </c>
      <c r="AE1738" s="465">
        <v>3.1197400000000002</v>
      </c>
      <c r="AF1738" s="86">
        <f>IF(verze!$E$1="CZK",AD1738,IF(verze!$E$1="SK",AE1738,""))</f>
        <v>3.1197400000000002</v>
      </c>
    </row>
    <row r="1739" spans="27:32" ht="15">
      <c r="AA1739" s="463" t="s">
        <v>6397</v>
      </c>
      <c r="AB1739" s="462" t="s">
        <v>6398</v>
      </c>
      <c r="AC1739" s="462" t="s">
        <v>6399</v>
      </c>
      <c r="AD1739" s="464">
        <v>69.717150000000004</v>
      </c>
      <c r="AE1739" s="465">
        <v>3.35364</v>
      </c>
      <c r="AF1739" s="86">
        <f>IF(verze!$E$1="CZK",AD1739,IF(verze!$E$1="SK",AE1739,""))</f>
        <v>3.35364</v>
      </c>
    </row>
    <row r="1740" spans="27:32" ht="15">
      <c r="AA1740" s="463" t="s">
        <v>6400</v>
      </c>
      <c r="AB1740" s="462" t="s">
        <v>6401</v>
      </c>
      <c r="AC1740" s="462" t="s">
        <v>6402</v>
      </c>
      <c r="AD1740" s="464">
        <v>74.584689999999995</v>
      </c>
      <c r="AE1740" s="465">
        <v>3.58779</v>
      </c>
      <c r="AF1740" s="86">
        <f>IF(verze!$E$1="CZK",AD1740,IF(verze!$E$1="SK",AE1740,""))</f>
        <v>3.58779</v>
      </c>
    </row>
    <row r="1741" spans="27:32" ht="15">
      <c r="AA1741" s="463" t="s">
        <v>6403</v>
      </c>
      <c r="AB1741" s="462" t="s">
        <v>6404</v>
      </c>
      <c r="AC1741" s="462" t="s">
        <v>6405</v>
      </c>
      <c r="AD1741" s="464">
        <v>78.784090000000006</v>
      </c>
      <c r="AE1741" s="465">
        <v>3.7898100000000001</v>
      </c>
      <c r="AF1741" s="86">
        <f>IF(verze!$E$1="CZK",AD1741,IF(verze!$E$1="SK",AE1741,""))</f>
        <v>3.7898100000000001</v>
      </c>
    </row>
    <row r="1742" spans="27:32" ht="15">
      <c r="AA1742" s="463" t="s">
        <v>6406</v>
      </c>
      <c r="AB1742" s="462" t="s">
        <v>6407</v>
      </c>
      <c r="AC1742" s="462" t="s">
        <v>6408</v>
      </c>
      <c r="AD1742" s="464">
        <v>83.646460000000005</v>
      </c>
      <c r="AE1742" s="465">
        <v>4.0236799999999997</v>
      </c>
      <c r="AF1742" s="86">
        <f>IF(verze!$E$1="CZK",AD1742,IF(verze!$E$1="SK",AE1742,""))</f>
        <v>4.0236799999999997</v>
      </c>
    </row>
    <row r="1743" spans="27:32" ht="15">
      <c r="AA1743" s="463" t="s">
        <v>6409</v>
      </c>
      <c r="AB1743" s="462" t="s">
        <v>6410</v>
      </c>
      <c r="AC1743" s="462" t="s">
        <v>6411</v>
      </c>
      <c r="AD1743" s="464">
        <v>88.51155</v>
      </c>
      <c r="AE1743" s="465">
        <v>4.2577299999999996</v>
      </c>
      <c r="AF1743" s="86">
        <f>IF(verze!$E$1="CZK",AD1743,IF(verze!$E$1="SK",AE1743,""))</f>
        <v>4.2577299999999996</v>
      </c>
    </row>
    <row r="1744" spans="27:32" ht="15">
      <c r="AA1744" s="463" t="s">
        <v>6412</v>
      </c>
      <c r="AB1744" s="462" t="s">
        <v>6413</v>
      </c>
      <c r="AC1744" s="462" t="s">
        <v>6414</v>
      </c>
      <c r="AD1744" s="464">
        <v>84.187359999999998</v>
      </c>
      <c r="AE1744" s="465">
        <v>4.0497199999999998</v>
      </c>
      <c r="AF1744" s="86">
        <f>IF(verze!$E$1="CZK",AD1744,IF(verze!$E$1="SK",AE1744,""))</f>
        <v>4.0497199999999998</v>
      </c>
    </row>
    <row r="1745" spans="27:32" ht="15">
      <c r="AA1745" s="463" t="s">
        <v>6415</v>
      </c>
      <c r="AB1745" s="462" t="s">
        <v>6416</v>
      </c>
      <c r="AC1745" s="462" t="s">
        <v>6417</v>
      </c>
      <c r="AD1745" s="464">
        <v>67.972380000000001</v>
      </c>
      <c r="AE1745" s="465">
        <v>3.2696999999999998</v>
      </c>
      <c r="AF1745" s="86">
        <f>IF(verze!$E$1="CZK",AD1745,IF(verze!$E$1="SK",AE1745,""))</f>
        <v>3.2696999999999998</v>
      </c>
    </row>
    <row r="1746" spans="27:32" ht="15">
      <c r="AA1746" s="463" t="s">
        <v>6418</v>
      </c>
      <c r="AB1746" s="462" t="s">
        <v>6419</v>
      </c>
      <c r="AC1746" s="462" t="s">
        <v>6420</v>
      </c>
      <c r="AD1746" s="464">
        <v>8.5495199999999993</v>
      </c>
      <c r="AE1746" s="465">
        <v>0.40238000000000002</v>
      </c>
      <c r="AF1746" s="86">
        <f>IF(verze!$E$1="CZK",AD1746,IF(verze!$E$1="SK",AE1746,""))</f>
        <v>0.40238000000000002</v>
      </c>
    </row>
    <row r="1747" spans="27:32" ht="15">
      <c r="AA1747" s="463" t="s">
        <v>6421</v>
      </c>
      <c r="AB1747" s="462" t="s">
        <v>6422</v>
      </c>
      <c r="AC1747" s="462" t="s">
        <v>6423</v>
      </c>
      <c r="AD1747" s="464">
        <v>14.21977</v>
      </c>
      <c r="AE1747" s="465">
        <v>0.68403000000000003</v>
      </c>
      <c r="AF1747" s="86">
        <f>IF(verze!$E$1="CZK",AD1747,IF(verze!$E$1="SK",AE1747,""))</f>
        <v>0.68403000000000003</v>
      </c>
    </row>
    <row r="1748" spans="27:32" ht="15">
      <c r="AA1748" s="463" t="s">
        <v>6424</v>
      </c>
      <c r="AB1748" s="462" t="s">
        <v>6425</v>
      </c>
      <c r="AC1748" s="462" t="s">
        <v>6426</v>
      </c>
      <c r="AD1748" s="464">
        <v>16.730229999999999</v>
      </c>
      <c r="AE1748" s="465">
        <v>0.80478000000000005</v>
      </c>
      <c r="AF1748" s="86">
        <f>IF(verze!$E$1="CZK",AD1748,IF(verze!$E$1="SK",AE1748,""))</f>
        <v>0.80478000000000005</v>
      </c>
    </row>
    <row r="1749" spans="27:32" ht="15">
      <c r="AA1749" s="463" t="s">
        <v>6427</v>
      </c>
      <c r="AB1749" s="462" t="s">
        <v>6428</v>
      </c>
      <c r="AC1749" s="462" t="s">
        <v>6429</v>
      </c>
      <c r="AD1749" s="464">
        <v>9.2034300000000009</v>
      </c>
      <c r="AE1749" s="465">
        <v>0.44272</v>
      </c>
      <c r="AF1749" s="86">
        <f>IF(verze!$E$1="CZK",AD1749,IF(verze!$E$1="SK",AE1749,""))</f>
        <v>0.44272</v>
      </c>
    </row>
    <row r="1750" spans="27:32" ht="15">
      <c r="AA1750" s="463" t="s">
        <v>6430</v>
      </c>
      <c r="AB1750" s="462" t="s">
        <v>6431</v>
      </c>
      <c r="AC1750" s="462" t="s">
        <v>6432</v>
      </c>
      <c r="AD1750" s="464">
        <v>17.566330000000001</v>
      </c>
      <c r="AE1750" s="465">
        <v>0.84501999999999999</v>
      </c>
      <c r="AF1750" s="86">
        <f>IF(verze!$E$1="CZK",AD1750,IF(verze!$E$1="SK",AE1750,""))</f>
        <v>0.84501999999999999</v>
      </c>
    </row>
    <row r="1751" spans="27:32" ht="15">
      <c r="AA1751" s="463" t="s">
        <v>6433</v>
      </c>
      <c r="AB1751" s="462" t="s">
        <v>6434</v>
      </c>
      <c r="AC1751" s="462" t="s">
        <v>6435</v>
      </c>
      <c r="AD1751" s="464">
        <v>19.240670000000001</v>
      </c>
      <c r="AE1751" s="465">
        <v>0.92554999999999998</v>
      </c>
      <c r="AF1751" s="86">
        <f>IF(verze!$E$1="CZK",AD1751,IF(verze!$E$1="SK",AE1751,""))</f>
        <v>0.92554999999999998</v>
      </c>
    </row>
    <row r="1752" spans="27:32" ht="15">
      <c r="AA1752" s="463" t="s">
        <v>6436</v>
      </c>
      <c r="AB1752" s="462" t="s">
        <v>6437</v>
      </c>
      <c r="AC1752" s="462" t="s">
        <v>6438</v>
      </c>
      <c r="AD1752" s="464">
        <v>19.240670000000001</v>
      </c>
      <c r="AE1752" s="465">
        <v>0.92554999999999998</v>
      </c>
      <c r="AF1752" s="86">
        <f>IF(verze!$E$1="CZK",AD1752,IF(verze!$E$1="SK",AE1752,""))</f>
        <v>0.92554999999999998</v>
      </c>
    </row>
    <row r="1753" spans="27:32" ht="15">
      <c r="AA1753" s="463" t="s">
        <v>6439</v>
      </c>
      <c r="AB1753" s="462" t="s">
        <v>6440</v>
      </c>
      <c r="AC1753" s="462" t="s">
        <v>6441</v>
      </c>
      <c r="AD1753" s="464">
        <v>22.795059999999999</v>
      </c>
      <c r="AE1753" s="465">
        <v>1.0965199999999999</v>
      </c>
      <c r="AF1753" s="86">
        <f>IF(verze!$E$1="CZK",AD1753,IF(verze!$E$1="SK",AE1753,""))</f>
        <v>1.0965199999999999</v>
      </c>
    </row>
    <row r="1754" spans="27:32" ht="15">
      <c r="AA1754" s="463" t="s">
        <v>6442</v>
      </c>
      <c r="AB1754" s="462" t="s">
        <v>6443</v>
      </c>
      <c r="AC1754" s="462" t="s">
        <v>6444</v>
      </c>
      <c r="AD1754" s="464">
        <v>17.566330000000001</v>
      </c>
      <c r="AE1754" s="465">
        <v>0.84501999999999999</v>
      </c>
      <c r="AF1754" s="86">
        <f>IF(verze!$E$1="CZK",AD1754,IF(verze!$E$1="SK",AE1754,""))</f>
        <v>0.84501999999999999</v>
      </c>
    </row>
    <row r="1755" spans="27:32" ht="15">
      <c r="AA1755" s="463" t="s">
        <v>6445</v>
      </c>
      <c r="AB1755" s="462" t="s">
        <v>6446</v>
      </c>
      <c r="AC1755" s="462" t="s">
        <v>6447</v>
      </c>
      <c r="AD1755" s="464">
        <v>17.566330000000001</v>
      </c>
      <c r="AE1755" s="465">
        <v>0.84501999999999999</v>
      </c>
      <c r="AF1755" s="86">
        <f>IF(verze!$E$1="CZK",AD1755,IF(verze!$E$1="SK",AE1755,""))</f>
        <v>0.84501999999999999</v>
      </c>
    </row>
    <row r="1756" spans="27:32" ht="15">
      <c r="AA1756" s="463" t="s">
        <v>6448</v>
      </c>
      <c r="AB1756" s="462" t="s">
        <v>6449</v>
      </c>
      <c r="AC1756" s="462" t="s">
        <v>6450</v>
      </c>
      <c r="AD1756" s="464">
        <v>19.240670000000001</v>
      </c>
      <c r="AE1756" s="465">
        <v>0.92554999999999998</v>
      </c>
      <c r="AF1756" s="86">
        <f>IF(verze!$E$1="CZK",AD1756,IF(verze!$E$1="SK",AE1756,""))</f>
        <v>0.92554999999999998</v>
      </c>
    </row>
    <row r="1757" spans="27:32" ht="15">
      <c r="AA1757" s="463" t="s">
        <v>6451</v>
      </c>
      <c r="AB1757" s="462" t="s">
        <v>6452</v>
      </c>
      <c r="AC1757" s="462" t="s">
        <v>6453</v>
      </c>
      <c r="AD1757" s="464">
        <v>23.002890000000001</v>
      </c>
      <c r="AE1757" s="465">
        <v>1.10653</v>
      </c>
      <c r="AF1757" s="86">
        <f>IF(verze!$E$1="CZK",AD1757,IF(verze!$E$1="SK",AE1757,""))</f>
        <v>1.10653</v>
      </c>
    </row>
    <row r="1758" spans="27:32" ht="15">
      <c r="AA1758" s="463" t="s">
        <v>6454</v>
      </c>
      <c r="AB1758" s="462" t="s">
        <v>6455</v>
      </c>
      <c r="AC1758" s="462" t="s">
        <v>6456</v>
      </c>
      <c r="AD1758" s="464">
        <v>0</v>
      </c>
      <c r="AE1758" s="465">
        <v>0</v>
      </c>
      <c r="AF1758" s="86">
        <f>IF(verze!$E$1="CZK",AD1758,IF(verze!$E$1="SK",AE1758,""))</f>
        <v>0</v>
      </c>
    </row>
    <row r="1759" spans="27:32" ht="15">
      <c r="AA1759" s="463" t="s">
        <v>6457</v>
      </c>
      <c r="AB1759" s="462" t="s">
        <v>6458</v>
      </c>
      <c r="AC1759" s="462" t="s">
        <v>6459</v>
      </c>
      <c r="AD1759" s="464">
        <v>1.13368</v>
      </c>
      <c r="AE1759" s="465">
        <v>5.4539999999999998E-2</v>
      </c>
      <c r="AF1759" s="86">
        <f>IF(verze!$E$1="CZK",AD1759,IF(verze!$E$1="SK",AE1759,""))</f>
        <v>5.4539999999999998E-2</v>
      </c>
    </row>
    <row r="1760" spans="27:32" ht="15">
      <c r="AA1760" s="463" t="s">
        <v>6460</v>
      </c>
      <c r="AB1760" s="462" t="s">
        <v>6461</v>
      </c>
      <c r="AC1760" s="462" t="s">
        <v>6462</v>
      </c>
      <c r="AD1760" s="464">
        <v>2.95641</v>
      </c>
      <c r="AE1760" s="465">
        <v>0.14221</v>
      </c>
      <c r="AF1760" s="86">
        <f>IF(verze!$E$1="CZK",AD1760,IF(verze!$E$1="SK",AE1760,""))</f>
        <v>0.14221</v>
      </c>
    </row>
    <row r="1761" spans="27:32" ht="15">
      <c r="AA1761" s="463" t="s">
        <v>6463</v>
      </c>
      <c r="AB1761" s="462" t="s">
        <v>6464</v>
      </c>
      <c r="AC1761" s="462" t="s">
        <v>6465</v>
      </c>
      <c r="AD1761" s="464">
        <v>103.93086</v>
      </c>
      <c r="AE1761" s="465">
        <v>4.9994699999999996</v>
      </c>
      <c r="AF1761" s="86">
        <f>IF(verze!$E$1="CZK",AD1761,IF(verze!$E$1="SK",AE1761,""))</f>
        <v>4.9994699999999996</v>
      </c>
    </row>
    <row r="1762" spans="27:32" ht="15">
      <c r="AA1762" s="463" t="s">
        <v>6466</v>
      </c>
      <c r="AB1762" s="462" t="s">
        <v>6467</v>
      </c>
      <c r="AC1762" s="462" t="s">
        <v>6468</v>
      </c>
      <c r="AD1762" s="464">
        <v>542.65407000000005</v>
      </c>
      <c r="AE1762" s="465">
        <v>26.103629999999999</v>
      </c>
      <c r="AF1762" s="86">
        <f>IF(verze!$E$1="CZK",AD1762,IF(verze!$E$1="SK",AE1762,""))</f>
        <v>26.103629999999999</v>
      </c>
    </row>
    <row r="1763" spans="27:32" ht="15">
      <c r="AA1763" s="463" t="s">
        <v>6469</v>
      </c>
      <c r="AB1763" s="462" t="s">
        <v>6470</v>
      </c>
      <c r="AC1763" s="462" t="s">
        <v>6471</v>
      </c>
      <c r="AD1763" s="464">
        <v>2181.6275000000001</v>
      </c>
      <c r="AE1763" s="465">
        <v>99.946799999999996</v>
      </c>
      <c r="AF1763" s="86">
        <f>IF(verze!$E$1="CZK",AD1763,IF(verze!$E$1="SK",AE1763,""))</f>
        <v>99.946799999999996</v>
      </c>
    </row>
    <row r="1764" spans="27:32" ht="15">
      <c r="AA1764" s="463" t="s">
        <v>6472</v>
      </c>
      <c r="AB1764" s="462" t="s">
        <v>6473</v>
      </c>
      <c r="AC1764" s="462" t="s">
        <v>6474</v>
      </c>
      <c r="AD1764" s="464">
        <v>123.78903</v>
      </c>
      <c r="AE1764" s="465">
        <v>5.6711400000000003</v>
      </c>
      <c r="AF1764" s="86">
        <f>IF(verze!$E$1="CZK",AD1764,IF(verze!$E$1="SK",AE1764,""))</f>
        <v>5.6711400000000003</v>
      </c>
    </row>
    <row r="1765" spans="27:32" ht="15">
      <c r="AA1765" s="463" t="s">
        <v>6475</v>
      </c>
      <c r="AB1765" s="462" t="s">
        <v>6476</v>
      </c>
      <c r="AC1765" s="462" t="s">
        <v>6477</v>
      </c>
      <c r="AD1765" s="464">
        <v>2382.0413100000001</v>
      </c>
      <c r="AE1765" s="465">
        <v>109.12836</v>
      </c>
      <c r="AF1765" s="86">
        <f>IF(verze!$E$1="CZK",AD1765,IF(verze!$E$1="SK",AE1765,""))</f>
        <v>109.12836</v>
      </c>
    </row>
    <row r="1766" spans="27:32" ht="15">
      <c r="AA1766" s="463" t="s">
        <v>6478</v>
      </c>
      <c r="AB1766" s="462" t="s">
        <v>6479</v>
      </c>
      <c r="AC1766" s="462" t="s">
        <v>6480</v>
      </c>
      <c r="AD1766" s="464">
        <v>1.9128099999999999</v>
      </c>
      <c r="AE1766" s="465">
        <v>8.7639999999999996E-2</v>
      </c>
      <c r="AF1766" s="86">
        <f>IF(verze!$E$1="CZK",AD1766,IF(verze!$E$1="SK",AE1766,""))</f>
        <v>8.7639999999999996E-2</v>
      </c>
    </row>
    <row r="1767" spans="27:32" ht="15">
      <c r="AA1767" s="463" t="s">
        <v>6481</v>
      </c>
      <c r="AB1767" s="462" t="s">
        <v>6482</v>
      </c>
      <c r="AC1767" s="462" t="s">
        <v>6483</v>
      </c>
      <c r="AD1767" s="464">
        <v>2841.5379899999998</v>
      </c>
      <c r="AE1767" s="465">
        <v>136.68824000000001</v>
      </c>
      <c r="AF1767" s="86">
        <f>IF(verze!$E$1="CZK",AD1767,IF(verze!$E$1="SK",AE1767,""))</f>
        <v>136.68824000000001</v>
      </c>
    </row>
    <row r="1768" spans="27:32" ht="15">
      <c r="AA1768" s="463" t="s">
        <v>6484</v>
      </c>
      <c r="AB1768" s="462" t="s">
        <v>6485</v>
      </c>
      <c r="AC1768" s="462" t="s">
        <v>6486</v>
      </c>
      <c r="AD1768" s="464">
        <v>513.50382000000002</v>
      </c>
      <c r="AE1768" s="465">
        <v>20.542719999999999</v>
      </c>
      <c r="AF1768" s="86">
        <f>IF(verze!$E$1="CZK",AD1768,IF(verze!$E$1="SK",AE1768,""))</f>
        <v>20.542719999999999</v>
      </c>
    </row>
    <row r="1769" spans="27:32" ht="15">
      <c r="AA1769" s="463" t="s">
        <v>6487</v>
      </c>
      <c r="AB1769" s="462" t="s">
        <v>6488</v>
      </c>
      <c r="AC1769" s="462" t="s">
        <v>6489</v>
      </c>
      <c r="AD1769" s="464">
        <v>667.58568000000002</v>
      </c>
      <c r="AE1769" s="465">
        <v>26.706759999999999</v>
      </c>
      <c r="AF1769" s="86">
        <f>IF(verze!$E$1="CZK",AD1769,IF(verze!$E$1="SK",AE1769,""))</f>
        <v>26.706759999999999</v>
      </c>
    </row>
    <row r="1770" spans="27:32" ht="15">
      <c r="AA1770" s="463" t="s">
        <v>6490</v>
      </c>
      <c r="AB1770" s="462" t="s">
        <v>6491</v>
      </c>
      <c r="AC1770" s="462" t="s">
        <v>6492</v>
      </c>
      <c r="AD1770" s="464">
        <v>13412.40784</v>
      </c>
      <c r="AE1770" s="465">
        <v>536.56309999999996</v>
      </c>
      <c r="AF1770" s="86">
        <f>IF(verze!$E$1="CZK",AD1770,IF(verze!$E$1="SK",AE1770,""))</f>
        <v>536.56309999999996</v>
      </c>
    </row>
    <row r="1771" spans="27:32" ht="15">
      <c r="AA1771" s="463" t="s">
        <v>6493</v>
      </c>
      <c r="AB1771" s="462" t="s">
        <v>6494</v>
      </c>
      <c r="AC1771" s="462" t="s">
        <v>6495</v>
      </c>
      <c r="AD1771" s="464">
        <v>258.26519000000002</v>
      </c>
      <c r="AE1771" s="465">
        <v>10.33189</v>
      </c>
      <c r="AF1771" s="86">
        <f>IF(verze!$E$1="CZK",AD1771,IF(verze!$E$1="SK",AE1771,""))</f>
        <v>10.33189</v>
      </c>
    </row>
    <row r="1772" spans="27:32" ht="15">
      <c r="AA1772" s="463" t="s">
        <v>6496</v>
      </c>
      <c r="AB1772" s="462" t="s">
        <v>6497</v>
      </c>
      <c r="AC1772" s="462" t="s">
        <v>6498</v>
      </c>
      <c r="AD1772" s="464">
        <v>278.03616</v>
      </c>
      <c r="AE1772" s="465">
        <v>11.12283</v>
      </c>
      <c r="AF1772" s="86">
        <f>IF(verze!$E$1="CZK",AD1772,IF(verze!$E$1="SK",AE1772,""))</f>
        <v>11.12283</v>
      </c>
    </row>
    <row r="1773" spans="27:32" ht="15">
      <c r="AA1773" s="463" t="s">
        <v>6499</v>
      </c>
      <c r="AB1773" s="462" t="s">
        <v>6500</v>
      </c>
      <c r="AC1773" s="462" t="s">
        <v>6501</v>
      </c>
      <c r="AD1773" s="464">
        <v>64.140820000000005</v>
      </c>
      <c r="AE1773" s="465">
        <v>2.56595</v>
      </c>
      <c r="AF1773" s="86">
        <f>IF(verze!$E$1="CZK",AD1773,IF(verze!$E$1="SK",AE1773,""))</f>
        <v>2.56595</v>
      </c>
    </row>
    <row r="1774" spans="27:32" ht="15">
      <c r="AA1774" s="463" t="s">
        <v>6502</v>
      </c>
      <c r="AB1774" s="462" t="s">
        <v>6503</v>
      </c>
      <c r="AC1774" s="462" t="s">
        <v>6504</v>
      </c>
      <c r="AD1774" s="464">
        <v>64.140820000000005</v>
      </c>
      <c r="AE1774" s="465">
        <v>2.56595</v>
      </c>
      <c r="AF1774" s="86">
        <f>IF(verze!$E$1="CZK",AD1774,IF(verze!$E$1="SK",AE1774,""))</f>
        <v>2.56595</v>
      </c>
    </row>
    <row r="1775" spans="27:32" ht="15">
      <c r="AA1775" s="463" t="s">
        <v>6505</v>
      </c>
      <c r="AB1775" s="462" t="s">
        <v>6506</v>
      </c>
      <c r="AC1775" s="462" t="s">
        <v>6507</v>
      </c>
      <c r="AD1775" s="464">
        <v>540.59518000000003</v>
      </c>
      <c r="AE1775" s="465">
        <v>21.6265</v>
      </c>
      <c r="AF1775" s="86">
        <f>IF(verze!$E$1="CZK",AD1775,IF(verze!$E$1="SK",AE1775,""))</f>
        <v>21.6265</v>
      </c>
    </row>
    <row r="1776" spans="27:32" ht="15">
      <c r="AA1776" s="463" t="s">
        <v>6508</v>
      </c>
      <c r="AB1776" s="462" t="s">
        <v>6509</v>
      </c>
      <c r="AC1776" s="462" t="s">
        <v>6510</v>
      </c>
      <c r="AD1776" s="464">
        <v>7133.2356</v>
      </c>
      <c r="AE1776" s="465">
        <v>0</v>
      </c>
      <c r="AF1776" s="86">
        <f>IF(verze!$E$1="CZK",AD1776,IF(verze!$E$1="SK",AE1776,""))</f>
        <v>0</v>
      </c>
    </row>
    <row r="1777" spans="27:32" ht="15">
      <c r="AA1777" s="463" t="s">
        <v>6511</v>
      </c>
      <c r="AB1777" s="462" t="s">
        <v>6512</v>
      </c>
      <c r="AC1777" s="462" t="s">
        <v>6513</v>
      </c>
      <c r="AD1777" s="464">
        <v>6772.4500399999997</v>
      </c>
      <c r="AE1777" s="465">
        <v>0</v>
      </c>
      <c r="AF1777" s="86">
        <f>IF(verze!$E$1="CZK",AD1777,IF(verze!$E$1="SK",AE1777,""))</f>
        <v>0</v>
      </c>
    </row>
    <row r="1778" spans="27:32" ht="15">
      <c r="AA1778" s="463" t="s">
        <v>6514</v>
      </c>
      <c r="AB1778" s="462" t="s">
        <v>6515</v>
      </c>
      <c r="AC1778" s="462" t="s">
        <v>6516</v>
      </c>
      <c r="AD1778" s="464">
        <v>135.93346</v>
      </c>
      <c r="AE1778" s="465">
        <v>5.4380100000000002</v>
      </c>
      <c r="AF1778" s="86">
        <f>IF(verze!$E$1="CZK",AD1778,IF(verze!$E$1="SK",AE1778,""))</f>
        <v>5.4380100000000002</v>
      </c>
    </row>
    <row r="1779" spans="27:32" ht="15">
      <c r="AA1779" s="463" t="s">
        <v>6517</v>
      </c>
      <c r="AB1779" s="462" t="s">
        <v>6518</v>
      </c>
      <c r="AC1779" s="462" t="s">
        <v>6519</v>
      </c>
      <c r="AD1779" s="464">
        <v>129.46136999999999</v>
      </c>
      <c r="AE1779" s="465">
        <v>5.1791</v>
      </c>
      <c r="AF1779" s="86">
        <f>IF(verze!$E$1="CZK",AD1779,IF(verze!$E$1="SK",AE1779,""))</f>
        <v>5.1791</v>
      </c>
    </row>
    <row r="1780" spans="27:32" ht="15">
      <c r="AA1780" s="463" t="s">
        <v>6520</v>
      </c>
      <c r="AB1780" s="462" t="s">
        <v>6521</v>
      </c>
      <c r="AC1780" s="462" t="s">
        <v>6522</v>
      </c>
      <c r="AD1780" s="464">
        <v>135.93346</v>
      </c>
      <c r="AE1780" s="465">
        <v>5.4380100000000002</v>
      </c>
      <c r="AF1780" s="86">
        <f>IF(verze!$E$1="CZK",AD1780,IF(verze!$E$1="SK",AE1780,""))</f>
        <v>5.4380100000000002</v>
      </c>
    </row>
    <row r="1781" spans="27:32" ht="15">
      <c r="AA1781" s="463" t="s">
        <v>6523</v>
      </c>
      <c r="AB1781" s="462" t="s">
        <v>6524</v>
      </c>
      <c r="AC1781" s="462" t="s">
        <v>6525</v>
      </c>
      <c r="AD1781" s="464">
        <v>135.93346</v>
      </c>
      <c r="AE1781" s="465">
        <v>5.4380100000000002</v>
      </c>
      <c r="AF1781" s="86">
        <f>IF(verze!$E$1="CZK",AD1781,IF(verze!$E$1="SK",AE1781,""))</f>
        <v>5.4380100000000002</v>
      </c>
    </row>
    <row r="1782" spans="27:32" ht="15">
      <c r="AA1782" s="463" t="s">
        <v>6526</v>
      </c>
      <c r="AB1782" s="462" t="s">
        <v>6527</v>
      </c>
      <c r="AC1782" s="462" t="s">
        <v>6528</v>
      </c>
      <c r="AD1782" s="464">
        <v>135.93346</v>
      </c>
      <c r="AE1782" s="465">
        <v>5.4380100000000002</v>
      </c>
      <c r="AF1782" s="86">
        <f>IF(verze!$E$1="CZK",AD1782,IF(verze!$E$1="SK",AE1782,""))</f>
        <v>5.4380100000000002</v>
      </c>
    </row>
    <row r="1783" spans="27:32" ht="15">
      <c r="AA1783" s="463" t="s">
        <v>6529</v>
      </c>
      <c r="AB1783" s="462" t="s">
        <v>6530</v>
      </c>
      <c r="AC1783" s="462" t="s">
        <v>6531</v>
      </c>
      <c r="AD1783" s="464">
        <v>135.93346</v>
      </c>
      <c r="AE1783" s="465">
        <v>5.4380100000000002</v>
      </c>
      <c r="AF1783" s="86">
        <f>IF(verze!$E$1="CZK",AD1783,IF(verze!$E$1="SK",AE1783,""))</f>
        <v>5.4380100000000002</v>
      </c>
    </row>
    <row r="1784" spans="27:32" ht="15">
      <c r="AA1784" s="463" t="s">
        <v>6532</v>
      </c>
      <c r="AB1784" s="462" t="s">
        <v>6533</v>
      </c>
      <c r="AC1784" s="462" t="s">
        <v>6534</v>
      </c>
      <c r="AD1784" s="464">
        <v>135.93346</v>
      </c>
      <c r="AE1784" s="465">
        <v>5.4380100000000002</v>
      </c>
      <c r="AF1784" s="86">
        <f>IF(verze!$E$1="CZK",AD1784,IF(verze!$E$1="SK",AE1784,""))</f>
        <v>5.4380100000000002</v>
      </c>
    </row>
    <row r="1785" spans="27:32" ht="15">
      <c r="AA1785" s="463" t="s">
        <v>6535</v>
      </c>
      <c r="AB1785" s="462" t="s">
        <v>6536</v>
      </c>
      <c r="AC1785" s="462" t="s">
        <v>6537</v>
      </c>
      <c r="AD1785" s="464">
        <v>135.93346</v>
      </c>
      <c r="AE1785" s="465">
        <v>5.4380100000000002</v>
      </c>
      <c r="AF1785" s="86">
        <f>IF(verze!$E$1="CZK",AD1785,IF(verze!$E$1="SK",AE1785,""))</f>
        <v>5.4380100000000002</v>
      </c>
    </row>
    <row r="1786" spans="27:32" ht="15">
      <c r="AA1786" s="463" t="s">
        <v>6538</v>
      </c>
      <c r="AB1786" s="462" t="s">
        <v>6539</v>
      </c>
      <c r="AC1786" s="462" t="s">
        <v>6540</v>
      </c>
      <c r="AD1786" s="464">
        <v>135.93346</v>
      </c>
      <c r="AE1786" s="465">
        <v>5.4380100000000002</v>
      </c>
      <c r="AF1786" s="86">
        <f>IF(verze!$E$1="CZK",AD1786,IF(verze!$E$1="SK",AE1786,""))</f>
        <v>5.4380100000000002</v>
      </c>
    </row>
    <row r="1787" spans="27:32" ht="15">
      <c r="AA1787" s="463" t="s">
        <v>6541</v>
      </c>
      <c r="AB1787" s="462" t="s">
        <v>6542</v>
      </c>
      <c r="AC1787" s="462" t="s">
        <v>6543</v>
      </c>
      <c r="AD1787" s="464">
        <v>365.68016999999998</v>
      </c>
      <c r="AE1787" s="465">
        <v>14.62903</v>
      </c>
      <c r="AF1787" s="86">
        <f>IF(verze!$E$1="CZK",AD1787,IF(verze!$E$1="SK",AE1787,""))</f>
        <v>14.62903</v>
      </c>
    </row>
    <row r="1788" spans="27:32" ht="15">
      <c r="AA1788" s="463" t="s">
        <v>6544</v>
      </c>
      <c r="AB1788" s="462" t="s">
        <v>6545</v>
      </c>
      <c r="AC1788" s="462" t="s">
        <v>6546</v>
      </c>
      <c r="AD1788" s="464">
        <v>135.93346</v>
      </c>
      <c r="AE1788" s="465">
        <v>5.4380100000000002</v>
      </c>
      <c r="AF1788" s="86">
        <f>IF(verze!$E$1="CZK",AD1788,IF(verze!$E$1="SK",AE1788,""))</f>
        <v>5.4380100000000002</v>
      </c>
    </row>
    <row r="1789" spans="27:32" ht="15">
      <c r="AA1789" s="463" t="s">
        <v>6547</v>
      </c>
      <c r="AB1789" s="462" t="s">
        <v>6548</v>
      </c>
      <c r="AC1789" s="462" t="s">
        <v>6549</v>
      </c>
      <c r="AD1789" s="464">
        <v>135.93346</v>
      </c>
      <c r="AE1789" s="465">
        <v>5.4380100000000002</v>
      </c>
      <c r="AF1789" s="86">
        <f>IF(verze!$E$1="CZK",AD1789,IF(verze!$E$1="SK",AE1789,""))</f>
        <v>5.4380100000000002</v>
      </c>
    </row>
    <row r="1790" spans="27:32" ht="15">
      <c r="AA1790" s="463" t="s">
        <v>6550</v>
      </c>
      <c r="AB1790" s="462" t="s">
        <v>6551</v>
      </c>
      <c r="AC1790" s="462" t="s">
        <v>6552</v>
      </c>
      <c r="AD1790" s="464">
        <v>398.91813000000002</v>
      </c>
      <c r="AE1790" s="465">
        <v>15.95872</v>
      </c>
      <c r="AF1790" s="86">
        <f>IF(verze!$E$1="CZK",AD1790,IF(verze!$E$1="SK",AE1790,""))</f>
        <v>15.95872</v>
      </c>
    </row>
    <row r="1791" spans="27:32" ht="15">
      <c r="AA1791" s="463" t="s">
        <v>6553</v>
      </c>
      <c r="AB1791" s="462" t="s">
        <v>6554</v>
      </c>
      <c r="AC1791" s="462" t="s">
        <v>6555</v>
      </c>
      <c r="AD1791" s="464">
        <v>135.93346</v>
      </c>
      <c r="AE1791" s="465">
        <v>5.4380100000000002</v>
      </c>
      <c r="AF1791" s="86">
        <f>IF(verze!$E$1="CZK",AD1791,IF(verze!$E$1="SK",AE1791,""))</f>
        <v>5.4380100000000002</v>
      </c>
    </row>
    <row r="1792" spans="27:32" ht="15">
      <c r="AA1792" s="463" t="s">
        <v>6556</v>
      </c>
      <c r="AB1792" s="462" t="s">
        <v>6557</v>
      </c>
      <c r="AC1792" s="462" t="s">
        <v>6558</v>
      </c>
      <c r="AD1792" s="464">
        <v>135.93346</v>
      </c>
      <c r="AE1792" s="465">
        <v>5.4380100000000002</v>
      </c>
      <c r="AF1792" s="86">
        <f>IF(verze!$E$1="CZK",AD1792,IF(verze!$E$1="SK",AE1792,""))</f>
        <v>5.4380100000000002</v>
      </c>
    </row>
    <row r="1793" spans="27:32" ht="15">
      <c r="AA1793" s="463" t="s">
        <v>6559</v>
      </c>
      <c r="AB1793" s="462" t="s">
        <v>6560</v>
      </c>
      <c r="AC1793" s="462" t="s">
        <v>6561</v>
      </c>
      <c r="AD1793" s="464">
        <v>135.93346</v>
      </c>
      <c r="AE1793" s="465">
        <v>5.4380100000000002</v>
      </c>
      <c r="AF1793" s="86">
        <f>IF(verze!$E$1="CZK",AD1793,IF(verze!$E$1="SK",AE1793,""))</f>
        <v>5.4380100000000002</v>
      </c>
    </row>
    <row r="1794" spans="27:32" ht="15">
      <c r="AA1794" s="463" t="s">
        <v>6562</v>
      </c>
      <c r="AB1794" s="462" t="s">
        <v>6563</v>
      </c>
      <c r="AC1794" s="462" t="s">
        <v>6564</v>
      </c>
      <c r="AD1794" s="464">
        <v>135.93346</v>
      </c>
      <c r="AE1794" s="465">
        <v>5.4380100000000002</v>
      </c>
      <c r="AF1794" s="86">
        <f>IF(verze!$E$1="CZK",AD1794,IF(verze!$E$1="SK",AE1794,""))</f>
        <v>5.4380100000000002</v>
      </c>
    </row>
    <row r="1795" spans="27:32" ht="15">
      <c r="AA1795" s="463" t="s">
        <v>6565</v>
      </c>
      <c r="AB1795" s="462" t="s">
        <v>6566</v>
      </c>
      <c r="AC1795" s="462" t="s">
        <v>6567</v>
      </c>
      <c r="AD1795" s="464">
        <v>1074.5966800000001</v>
      </c>
      <c r="AE1795" s="465">
        <v>42.989229999999999</v>
      </c>
      <c r="AF1795" s="86">
        <f>IF(verze!$E$1="CZK",AD1795,IF(verze!$E$1="SK",AE1795,""))</f>
        <v>42.989229999999999</v>
      </c>
    </row>
    <row r="1796" spans="27:32" ht="15">
      <c r="AA1796" s="463" t="s">
        <v>6568</v>
      </c>
      <c r="AB1796" s="462" t="s">
        <v>6569</v>
      </c>
      <c r="AC1796" s="462" t="s">
        <v>6570</v>
      </c>
      <c r="AD1796" s="464">
        <v>135.93346</v>
      </c>
      <c r="AE1796" s="465">
        <v>5.4380100000000002</v>
      </c>
      <c r="AF1796" s="86">
        <f>IF(verze!$E$1="CZK",AD1796,IF(verze!$E$1="SK",AE1796,""))</f>
        <v>5.4380100000000002</v>
      </c>
    </row>
    <row r="1797" spans="27:32" ht="15">
      <c r="AA1797" s="463" t="s">
        <v>6571</v>
      </c>
      <c r="AB1797" s="462" t="s">
        <v>6572</v>
      </c>
      <c r="AC1797" s="462" t="s">
        <v>6573</v>
      </c>
      <c r="AD1797" s="464">
        <v>135.93346</v>
      </c>
      <c r="AE1797" s="465">
        <v>5.4380100000000002</v>
      </c>
      <c r="AF1797" s="86">
        <f>IF(verze!$E$1="CZK",AD1797,IF(verze!$E$1="SK",AE1797,""))</f>
        <v>5.4380100000000002</v>
      </c>
    </row>
    <row r="1798" spans="27:32" ht="15">
      <c r="AA1798" s="463" t="s">
        <v>6574</v>
      </c>
      <c r="AB1798" s="462" t="s">
        <v>6575</v>
      </c>
      <c r="AC1798" s="462" t="s">
        <v>6576</v>
      </c>
      <c r="AD1798" s="464">
        <v>135.93346</v>
      </c>
      <c r="AE1798" s="465">
        <v>5.4380100000000002</v>
      </c>
      <c r="AF1798" s="86">
        <f>IF(verze!$E$1="CZK",AD1798,IF(verze!$E$1="SK",AE1798,""))</f>
        <v>5.4380100000000002</v>
      </c>
    </row>
    <row r="1799" spans="27:32" ht="15">
      <c r="AA1799" s="463" t="s">
        <v>6577</v>
      </c>
      <c r="AB1799" s="462" t="s">
        <v>6578</v>
      </c>
      <c r="AC1799" s="462" t="s">
        <v>6579</v>
      </c>
      <c r="AD1799" s="464">
        <v>1089.1467299999999</v>
      </c>
      <c r="AE1799" s="465">
        <v>43.571309999999997</v>
      </c>
      <c r="AF1799" s="86">
        <f>IF(verze!$E$1="CZK",AD1799,IF(verze!$E$1="SK",AE1799,""))</f>
        <v>43.571309999999997</v>
      </c>
    </row>
    <row r="1800" spans="27:32" ht="15">
      <c r="AA1800" s="463" t="s">
        <v>6580</v>
      </c>
      <c r="AB1800" s="462" t="s">
        <v>6581</v>
      </c>
      <c r="AC1800" s="462" t="s">
        <v>6582</v>
      </c>
      <c r="AD1800" s="464">
        <v>135.93346</v>
      </c>
      <c r="AE1800" s="465">
        <v>5.4380100000000002</v>
      </c>
      <c r="AF1800" s="86">
        <f>IF(verze!$E$1="CZK",AD1800,IF(verze!$E$1="SK",AE1800,""))</f>
        <v>5.4380100000000002</v>
      </c>
    </row>
    <row r="1801" spans="27:32" ht="15">
      <c r="AA1801" s="463" t="s">
        <v>6583</v>
      </c>
      <c r="AB1801" s="462" t="s">
        <v>6584</v>
      </c>
      <c r="AC1801" s="462" t="s">
        <v>6585</v>
      </c>
      <c r="AD1801" s="464">
        <v>145.54483999999999</v>
      </c>
      <c r="AE1801" s="465">
        <v>5.8225199999999999</v>
      </c>
      <c r="AF1801" s="86">
        <f>IF(verze!$E$1="CZK",AD1801,IF(verze!$E$1="SK",AE1801,""))</f>
        <v>5.8225199999999999</v>
      </c>
    </row>
    <row r="1802" spans="27:32" ht="15">
      <c r="AA1802" s="463" t="s">
        <v>6586</v>
      </c>
      <c r="AB1802" s="462" t="s">
        <v>6587</v>
      </c>
      <c r="AC1802" s="462" t="s">
        <v>6588</v>
      </c>
      <c r="AD1802" s="464">
        <v>160.09501</v>
      </c>
      <c r="AE1802" s="465">
        <v>6.4046000000000003</v>
      </c>
      <c r="AF1802" s="86">
        <f>IF(verze!$E$1="CZK",AD1802,IF(verze!$E$1="SK",AE1802,""))</f>
        <v>6.4046000000000003</v>
      </c>
    </row>
    <row r="1803" spans="27:32" ht="15">
      <c r="AA1803" s="463" t="s">
        <v>6589</v>
      </c>
      <c r="AB1803" s="462" t="s">
        <v>6590</v>
      </c>
      <c r="AC1803" s="462" t="s">
        <v>6591</v>
      </c>
      <c r="AD1803" s="464">
        <v>447.02238999999997</v>
      </c>
      <c r="AE1803" s="465">
        <v>17.883130000000001</v>
      </c>
      <c r="AF1803" s="86">
        <f>IF(verze!$E$1="CZK",AD1803,IF(verze!$E$1="SK",AE1803,""))</f>
        <v>17.883130000000001</v>
      </c>
    </row>
    <row r="1804" spans="27:32" ht="15">
      <c r="AA1804" s="463" t="s">
        <v>6592</v>
      </c>
      <c r="AB1804" s="462" t="s">
        <v>6593</v>
      </c>
      <c r="AC1804" s="462" t="s">
        <v>6594</v>
      </c>
      <c r="AD1804" s="464">
        <v>461.57799</v>
      </c>
      <c r="AE1804" s="465">
        <v>18.465420000000002</v>
      </c>
      <c r="AF1804" s="86">
        <f>IF(verze!$E$1="CZK",AD1804,IF(verze!$E$1="SK",AE1804,""))</f>
        <v>18.465420000000002</v>
      </c>
    </row>
    <row r="1805" spans="27:32" ht="15">
      <c r="AA1805" s="463" t="s">
        <v>6595</v>
      </c>
      <c r="AB1805" s="462" t="s">
        <v>6596</v>
      </c>
      <c r="AC1805" s="462" t="s">
        <v>6597</v>
      </c>
      <c r="AD1805" s="464">
        <v>1315.45866</v>
      </c>
      <c r="AE1805" s="465">
        <v>52.624890000000001</v>
      </c>
      <c r="AF1805" s="86">
        <f>IF(verze!$E$1="CZK",AD1805,IF(verze!$E$1="SK",AE1805,""))</f>
        <v>52.624890000000001</v>
      </c>
    </row>
    <row r="1806" spans="27:32" ht="15">
      <c r="AA1806" s="463" t="s">
        <v>6598</v>
      </c>
      <c r="AB1806" s="462" t="s">
        <v>6599</v>
      </c>
      <c r="AC1806" s="462" t="s">
        <v>6600</v>
      </c>
      <c r="AD1806" s="464">
        <v>1330.0115499999999</v>
      </c>
      <c r="AE1806" s="465">
        <v>53.207079999999998</v>
      </c>
      <c r="AF1806" s="86">
        <f>IF(verze!$E$1="CZK",AD1806,IF(verze!$E$1="SK",AE1806,""))</f>
        <v>53.207079999999998</v>
      </c>
    </row>
    <row r="1807" spans="27:32" ht="15">
      <c r="AA1807" s="463" t="s">
        <v>6601</v>
      </c>
      <c r="AB1807" s="462" t="s">
        <v>6602</v>
      </c>
      <c r="AC1807" s="462" t="s">
        <v>6603</v>
      </c>
      <c r="AD1807" s="464">
        <v>3828.1113500000001</v>
      </c>
      <c r="AE1807" s="465">
        <v>0</v>
      </c>
      <c r="AF1807" s="86">
        <f>IF(verze!$E$1="CZK",AD1807,IF(verze!$E$1="SK",AE1807,""))</f>
        <v>0</v>
      </c>
    </row>
    <row r="1808" spans="27:32" ht="15">
      <c r="AA1808" s="463" t="s">
        <v>6604</v>
      </c>
      <c r="AB1808" s="462" t="s">
        <v>6605</v>
      </c>
      <c r="AC1808" s="462" t="s">
        <v>6606</v>
      </c>
      <c r="AD1808" s="464">
        <v>555.31380999999999</v>
      </c>
      <c r="AE1808" s="465">
        <v>0</v>
      </c>
      <c r="AF1808" s="86">
        <f>IF(verze!$E$1="CZK",AD1808,IF(verze!$E$1="SK",AE1808,""))</f>
        <v>0</v>
      </c>
    </row>
    <row r="1809" spans="27:32" ht="15">
      <c r="AA1809" s="463" t="s">
        <v>6607</v>
      </c>
      <c r="AB1809" s="462" t="s">
        <v>6608</v>
      </c>
      <c r="AC1809" s="462" t="s">
        <v>6609</v>
      </c>
      <c r="AD1809" s="464">
        <v>135.93346</v>
      </c>
      <c r="AE1809" s="465">
        <v>5.4380100000000002</v>
      </c>
      <c r="AF1809" s="86">
        <f>IF(verze!$E$1="CZK",AD1809,IF(verze!$E$1="SK",AE1809,""))</f>
        <v>5.4380100000000002</v>
      </c>
    </row>
    <row r="1810" spans="27:32" ht="15">
      <c r="AA1810" s="463" t="s">
        <v>6610</v>
      </c>
      <c r="AB1810" s="462" t="s">
        <v>6611</v>
      </c>
      <c r="AC1810" s="462" t="s">
        <v>6612</v>
      </c>
      <c r="AD1810" s="464">
        <v>135.93346</v>
      </c>
      <c r="AE1810" s="465">
        <v>5.4380100000000002</v>
      </c>
      <c r="AF1810" s="86">
        <f>IF(verze!$E$1="CZK",AD1810,IF(verze!$E$1="SK",AE1810,""))</f>
        <v>5.4380100000000002</v>
      </c>
    </row>
    <row r="1811" spans="27:32" ht="15">
      <c r="AA1811" s="463" t="s">
        <v>6613</v>
      </c>
      <c r="AB1811" s="462" t="s">
        <v>6614</v>
      </c>
      <c r="AC1811" s="462" t="s">
        <v>6615</v>
      </c>
      <c r="AD1811" s="464">
        <v>135.93346</v>
      </c>
      <c r="AE1811" s="465">
        <v>5.4380100000000002</v>
      </c>
      <c r="AF1811" s="86">
        <f>IF(verze!$E$1="CZK",AD1811,IF(verze!$E$1="SK",AE1811,""))</f>
        <v>5.4380100000000002</v>
      </c>
    </row>
    <row r="1812" spans="27:32" ht="15">
      <c r="AA1812" s="463" t="s">
        <v>6613</v>
      </c>
      <c r="AB1812" s="462" t="s">
        <v>6616</v>
      </c>
      <c r="AC1812" s="462" t="s">
        <v>6617</v>
      </c>
      <c r="AD1812" s="464">
        <v>135.93346</v>
      </c>
      <c r="AE1812" s="465">
        <v>5.4380100000000002</v>
      </c>
      <c r="AF1812" s="86">
        <f>IF(verze!$E$1="CZK",AD1812,IF(verze!$E$1="SK",AE1812,""))</f>
        <v>5.4380100000000002</v>
      </c>
    </row>
    <row r="1813" spans="27:32" ht="15">
      <c r="AA1813" s="463" t="s">
        <v>6618</v>
      </c>
      <c r="AB1813" s="462" t="s">
        <v>6619</v>
      </c>
      <c r="AC1813" s="462" t="s">
        <v>6620</v>
      </c>
      <c r="AD1813" s="464">
        <v>295.06353000000001</v>
      </c>
      <c r="AE1813" s="465">
        <v>11.80402</v>
      </c>
      <c r="AF1813" s="86">
        <f>IF(verze!$E$1="CZK",AD1813,IF(verze!$E$1="SK",AE1813,""))</f>
        <v>11.80402</v>
      </c>
    </row>
    <row r="1814" spans="27:32" ht="15">
      <c r="AA1814" s="463" t="s">
        <v>6621</v>
      </c>
      <c r="AB1814" s="462" t="s">
        <v>6622</v>
      </c>
      <c r="AC1814" s="462" t="s">
        <v>6623</v>
      </c>
      <c r="AD1814" s="464">
        <v>135.93346</v>
      </c>
      <c r="AE1814" s="465">
        <v>5.4380100000000002</v>
      </c>
      <c r="AF1814" s="86">
        <f>IF(verze!$E$1="CZK",AD1814,IF(verze!$E$1="SK",AE1814,""))</f>
        <v>5.4380100000000002</v>
      </c>
    </row>
    <row r="1815" spans="27:32" ht="15">
      <c r="AA1815" s="463" t="s">
        <v>6624</v>
      </c>
      <c r="AB1815" s="462" t="s">
        <v>6625</v>
      </c>
      <c r="AC1815" s="462" t="s">
        <v>6626</v>
      </c>
      <c r="AD1815" s="464">
        <v>278.10077999999999</v>
      </c>
      <c r="AE1815" s="465">
        <v>11.12543</v>
      </c>
      <c r="AF1815" s="86">
        <f>IF(verze!$E$1="CZK",AD1815,IF(verze!$E$1="SK",AE1815,""))</f>
        <v>11.12543</v>
      </c>
    </row>
    <row r="1816" spans="27:32" ht="15">
      <c r="AA1816" s="463" t="s">
        <v>6624</v>
      </c>
      <c r="AB1816" s="462" t="s">
        <v>6627</v>
      </c>
      <c r="AC1816" s="462" t="s">
        <v>6628</v>
      </c>
      <c r="AD1816" s="464">
        <v>105.14234999999999</v>
      </c>
      <c r="AE1816" s="465">
        <v>4.2176999999999998</v>
      </c>
      <c r="AF1816" s="86">
        <f>IF(verze!$E$1="CZK",AD1816,IF(verze!$E$1="SK",AE1816,""))</f>
        <v>4.2176999999999998</v>
      </c>
    </row>
    <row r="1817" spans="27:32" ht="15">
      <c r="AA1817" s="463" t="s">
        <v>6629</v>
      </c>
      <c r="AB1817" s="462" t="s">
        <v>6630</v>
      </c>
      <c r="AC1817" s="462" t="s">
        <v>6631</v>
      </c>
      <c r="AD1817" s="464">
        <v>135.93346</v>
      </c>
      <c r="AE1817" s="465">
        <v>5.4380100000000002</v>
      </c>
      <c r="AF1817" s="86">
        <f>IF(verze!$E$1="CZK",AD1817,IF(verze!$E$1="SK",AE1817,""))</f>
        <v>5.4380100000000002</v>
      </c>
    </row>
    <row r="1818" spans="27:32" ht="15">
      <c r="AA1818" s="463" t="s">
        <v>6632</v>
      </c>
      <c r="AB1818" s="462" t="s">
        <v>6633</v>
      </c>
      <c r="AC1818" s="462" t="s">
        <v>6634</v>
      </c>
      <c r="AD1818" s="464">
        <v>135.93346</v>
      </c>
      <c r="AE1818" s="465">
        <v>5.4380100000000002</v>
      </c>
      <c r="AF1818" s="86">
        <f>IF(verze!$E$1="CZK",AD1818,IF(verze!$E$1="SK",AE1818,""))</f>
        <v>5.4380100000000002</v>
      </c>
    </row>
    <row r="1819" spans="27:32" ht="15">
      <c r="AA1819" s="463" t="s">
        <v>6635</v>
      </c>
      <c r="AB1819" s="462" t="s">
        <v>6636</v>
      </c>
      <c r="AC1819" s="462" t="s">
        <v>6637</v>
      </c>
      <c r="AD1819" s="464">
        <v>135.93346</v>
      </c>
      <c r="AE1819" s="465">
        <v>5.4380100000000002</v>
      </c>
      <c r="AF1819" s="86">
        <f>IF(verze!$E$1="CZK",AD1819,IF(verze!$E$1="SK",AE1819,""))</f>
        <v>5.4380100000000002</v>
      </c>
    </row>
    <row r="1820" spans="27:32" ht="15">
      <c r="AA1820" s="463" t="s">
        <v>6638</v>
      </c>
      <c r="AB1820" s="462" t="s">
        <v>6639</v>
      </c>
      <c r="AC1820" s="462" t="s">
        <v>6640</v>
      </c>
      <c r="AD1820" s="464">
        <v>135.93346</v>
      </c>
      <c r="AE1820" s="465">
        <v>5.4380100000000002</v>
      </c>
      <c r="AF1820" s="86">
        <f>IF(verze!$E$1="CZK",AD1820,IF(verze!$E$1="SK",AE1820,""))</f>
        <v>5.4380100000000002</v>
      </c>
    </row>
    <row r="1821" spans="27:32" ht="15">
      <c r="AA1821" s="463" t="s">
        <v>6641</v>
      </c>
      <c r="AB1821" s="462" t="s">
        <v>6642</v>
      </c>
      <c r="AC1821" s="462" t="s">
        <v>6643</v>
      </c>
      <c r="AD1821" s="464">
        <v>135.93346</v>
      </c>
      <c r="AE1821" s="465">
        <v>5.4380100000000002</v>
      </c>
      <c r="AF1821" s="86">
        <f>IF(verze!$E$1="CZK",AD1821,IF(verze!$E$1="SK",AE1821,""))</f>
        <v>5.4380100000000002</v>
      </c>
    </row>
    <row r="1822" spans="27:32" ht="15">
      <c r="AA1822" s="463" t="s">
        <v>6644</v>
      </c>
      <c r="AB1822" s="462" t="s">
        <v>6645</v>
      </c>
      <c r="AC1822" s="462" t="s">
        <v>6646</v>
      </c>
      <c r="AD1822" s="464">
        <v>135.93346</v>
      </c>
      <c r="AE1822" s="465">
        <v>5.4380100000000002</v>
      </c>
      <c r="AF1822" s="86">
        <f>IF(verze!$E$1="CZK",AD1822,IF(verze!$E$1="SK",AE1822,""))</f>
        <v>5.4380100000000002</v>
      </c>
    </row>
    <row r="1823" spans="27:32" ht="15">
      <c r="AA1823" s="463" t="s">
        <v>6647</v>
      </c>
      <c r="AB1823" s="462" t="s">
        <v>6648</v>
      </c>
      <c r="AC1823" s="462" t="s">
        <v>6649</v>
      </c>
      <c r="AD1823" s="464">
        <v>171.97239999999999</v>
      </c>
      <c r="AE1823" s="465">
        <v>6.8797499999999996</v>
      </c>
      <c r="AF1823" s="86">
        <f>IF(verze!$E$1="CZK",AD1823,IF(verze!$E$1="SK",AE1823,""))</f>
        <v>6.8797499999999996</v>
      </c>
    </row>
    <row r="1824" spans="27:32" ht="15">
      <c r="AA1824" s="463" t="s">
        <v>6650</v>
      </c>
      <c r="AB1824" s="462" t="s">
        <v>6651</v>
      </c>
      <c r="AC1824" s="462" t="s">
        <v>6652</v>
      </c>
      <c r="AD1824" s="464">
        <v>135.93346</v>
      </c>
      <c r="AE1824" s="465">
        <v>5.4380100000000002</v>
      </c>
      <c r="AF1824" s="86">
        <f>IF(verze!$E$1="CZK",AD1824,IF(verze!$E$1="SK",AE1824,""))</f>
        <v>5.4380100000000002</v>
      </c>
    </row>
    <row r="1825" spans="27:32" ht="15">
      <c r="AA1825" s="463" t="s">
        <v>6653</v>
      </c>
      <c r="AB1825" s="462" t="s">
        <v>6654</v>
      </c>
      <c r="AC1825" s="462" t="s">
        <v>6655</v>
      </c>
      <c r="AD1825" s="464">
        <v>188.14233999999999</v>
      </c>
      <c r="AE1825" s="465">
        <v>7.5266299999999999</v>
      </c>
      <c r="AF1825" s="86">
        <f>IF(verze!$E$1="CZK",AD1825,IF(verze!$E$1="SK",AE1825,""))</f>
        <v>7.5266299999999999</v>
      </c>
    </row>
    <row r="1826" spans="27:32" ht="15">
      <c r="AA1826" s="463" t="s">
        <v>6656</v>
      </c>
      <c r="AB1826" s="462" t="s">
        <v>6657</v>
      </c>
      <c r="AC1826" s="462" t="s">
        <v>6658</v>
      </c>
      <c r="AD1826" s="464">
        <v>135.93346</v>
      </c>
      <c r="AE1826" s="465">
        <v>5.4380100000000002</v>
      </c>
      <c r="AF1826" s="86">
        <f>IF(verze!$E$1="CZK",AD1826,IF(verze!$E$1="SK",AE1826,""))</f>
        <v>5.4380100000000002</v>
      </c>
    </row>
    <row r="1827" spans="27:32" ht="15">
      <c r="AA1827" s="463" t="s">
        <v>6659</v>
      </c>
      <c r="AB1827" s="462" t="s">
        <v>6660</v>
      </c>
      <c r="AC1827" s="462" t="s">
        <v>6661</v>
      </c>
      <c r="AD1827" s="464">
        <v>135.93346</v>
      </c>
      <c r="AE1827" s="465">
        <v>5.4380100000000002</v>
      </c>
      <c r="AF1827" s="86">
        <f>IF(verze!$E$1="CZK",AD1827,IF(verze!$E$1="SK",AE1827,""))</f>
        <v>5.4380100000000002</v>
      </c>
    </row>
    <row r="1828" spans="27:32" ht="15">
      <c r="AA1828" s="463" t="s">
        <v>6662</v>
      </c>
      <c r="AB1828" s="462" t="s">
        <v>6663</v>
      </c>
      <c r="AC1828" s="462" t="s">
        <v>6664</v>
      </c>
      <c r="AD1828" s="464">
        <v>348.57751999999999</v>
      </c>
      <c r="AE1828" s="465">
        <v>13.94483</v>
      </c>
      <c r="AF1828" s="86">
        <f>IF(verze!$E$1="CZK",AD1828,IF(verze!$E$1="SK",AE1828,""))</f>
        <v>13.94483</v>
      </c>
    </row>
    <row r="1829" spans="27:32" ht="15">
      <c r="AA1829" s="463" t="s">
        <v>6665</v>
      </c>
      <c r="AB1829" s="462" t="s">
        <v>6666</v>
      </c>
      <c r="AC1829" s="462" t="s">
        <v>6667</v>
      </c>
      <c r="AD1829" s="464">
        <v>135.93346</v>
      </c>
      <c r="AE1829" s="465">
        <v>5.4380100000000002</v>
      </c>
      <c r="AF1829" s="86">
        <f>IF(verze!$E$1="CZK",AD1829,IF(verze!$E$1="SK",AE1829,""))</f>
        <v>5.4380100000000002</v>
      </c>
    </row>
    <row r="1830" spans="27:32" ht="15">
      <c r="AA1830" s="463" t="s">
        <v>6668</v>
      </c>
      <c r="AB1830" s="462" t="s">
        <v>6669</v>
      </c>
      <c r="AC1830" s="462" t="s">
        <v>6670</v>
      </c>
      <c r="AD1830" s="464">
        <v>135.93346</v>
      </c>
      <c r="AE1830" s="465">
        <v>5.4380100000000002</v>
      </c>
      <c r="AF1830" s="86">
        <f>IF(verze!$E$1="CZK",AD1830,IF(verze!$E$1="SK",AE1830,""))</f>
        <v>5.4380100000000002</v>
      </c>
    </row>
    <row r="1831" spans="27:32" ht="15">
      <c r="AA1831" s="463" t="s">
        <v>6671</v>
      </c>
      <c r="AB1831" s="462" t="s">
        <v>6672</v>
      </c>
      <c r="AC1831" s="462" t="s">
        <v>6673</v>
      </c>
      <c r="AD1831" s="464">
        <v>135.93346</v>
      </c>
      <c r="AE1831" s="465">
        <v>5.4380100000000002</v>
      </c>
      <c r="AF1831" s="86">
        <f>IF(verze!$E$1="CZK",AD1831,IF(verze!$E$1="SK",AE1831,""))</f>
        <v>5.4380100000000002</v>
      </c>
    </row>
    <row r="1832" spans="27:32" ht="15">
      <c r="AA1832" s="463" t="s">
        <v>6674</v>
      </c>
      <c r="AB1832" s="462" t="s">
        <v>6675</v>
      </c>
      <c r="AC1832" s="462" t="s">
        <v>6676</v>
      </c>
      <c r="AD1832" s="464">
        <v>276.44621000000001</v>
      </c>
      <c r="AE1832" s="465">
        <v>11.059229999999999</v>
      </c>
      <c r="AF1832" s="86">
        <f>IF(verze!$E$1="CZK",AD1832,IF(verze!$E$1="SK",AE1832,""))</f>
        <v>11.059229999999999</v>
      </c>
    </row>
    <row r="1833" spans="27:32" ht="15">
      <c r="AA1833" s="463" t="s">
        <v>6677</v>
      </c>
      <c r="AB1833" s="462" t="s">
        <v>6678</v>
      </c>
      <c r="AC1833" s="462" t="s">
        <v>6679</v>
      </c>
      <c r="AD1833" s="464">
        <v>135.93346</v>
      </c>
      <c r="AE1833" s="465">
        <v>5.4380100000000002</v>
      </c>
      <c r="AF1833" s="86">
        <f>IF(verze!$E$1="CZK",AD1833,IF(verze!$E$1="SK",AE1833,""))</f>
        <v>5.4380100000000002</v>
      </c>
    </row>
    <row r="1834" spans="27:32" ht="15">
      <c r="AA1834" s="463" t="s">
        <v>6680</v>
      </c>
      <c r="AB1834" s="462" t="s">
        <v>6681</v>
      </c>
      <c r="AC1834" s="462" t="s">
        <v>6682</v>
      </c>
      <c r="AD1834" s="464">
        <v>135.93346</v>
      </c>
      <c r="AE1834" s="465">
        <v>5.4380100000000002</v>
      </c>
      <c r="AF1834" s="86">
        <f>IF(verze!$E$1="CZK",AD1834,IF(verze!$E$1="SK",AE1834,""))</f>
        <v>5.4380100000000002</v>
      </c>
    </row>
    <row r="1835" spans="27:32" ht="15">
      <c r="AA1835" s="463" t="s">
        <v>6683</v>
      </c>
      <c r="AB1835" s="462" t="s">
        <v>6684</v>
      </c>
      <c r="AC1835" s="462" t="s">
        <v>6685</v>
      </c>
      <c r="AD1835" s="464">
        <v>135.93346</v>
      </c>
      <c r="AE1835" s="465">
        <v>5.4380100000000002</v>
      </c>
      <c r="AF1835" s="86">
        <f>IF(verze!$E$1="CZK",AD1835,IF(verze!$E$1="SK",AE1835,""))</f>
        <v>5.4380100000000002</v>
      </c>
    </row>
    <row r="1836" spans="27:32" ht="15">
      <c r="AA1836" s="463" t="s">
        <v>6686</v>
      </c>
      <c r="AB1836" s="462" t="s">
        <v>6687</v>
      </c>
      <c r="AC1836" s="462" t="s">
        <v>6688</v>
      </c>
      <c r="AD1836" s="464">
        <v>135.93346</v>
      </c>
      <c r="AE1836" s="465">
        <v>5.4380100000000002</v>
      </c>
      <c r="AF1836" s="86">
        <f>IF(verze!$E$1="CZK",AD1836,IF(verze!$E$1="SK",AE1836,""))</f>
        <v>5.4380100000000002</v>
      </c>
    </row>
    <row r="1837" spans="27:32" ht="15">
      <c r="AA1837" s="463" t="s">
        <v>6689</v>
      </c>
      <c r="AB1837" s="462" t="s">
        <v>6690</v>
      </c>
      <c r="AC1837" s="462" t="s">
        <v>6691</v>
      </c>
      <c r="AD1837" s="464">
        <v>135.93346</v>
      </c>
      <c r="AE1837" s="465">
        <v>5.4380100000000002</v>
      </c>
      <c r="AF1837" s="86">
        <f>IF(verze!$E$1="CZK",AD1837,IF(verze!$E$1="SK",AE1837,""))</f>
        <v>5.4380100000000002</v>
      </c>
    </row>
    <row r="1838" spans="27:32" ht="15">
      <c r="AA1838" s="463" t="s">
        <v>6692</v>
      </c>
      <c r="AB1838" s="462" t="s">
        <v>6693</v>
      </c>
      <c r="AC1838" s="462" t="s">
        <v>6694</v>
      </c>
      <c r="AD1838" s="464">
        <v>135.93346</v>
      </c>
      <c r="AE1838" s="465">
        <v>5.4380100000000002</v>
      </c>
      <c r="AF1838" s="86">
        <f>IF(verze!$E$1="CZK",AD1838,IF(verze!$E$1="SK",AE1838,""))</f>
        <v>5.4380100000000002</v>
      </c>
    </row>
    <row r="1839" spans="27:32" ht="15">
      <c r="AA1839" s="463" t="s">
        <v>6695</v>
      </c>
      <c r="AB1839" s="462" t="s">
        <v>6696</v>
      </c>
      <c r="AC1839" s="462" t="s">
        <v>6697</v>
      </c>
      <c r="AD1839" s="464">
        <v>135.93346</v>
      </c>
      <c r="AE1839" s="465">
        <v>5.4380100000000002</v>
      </c>
      <c r="AF1839" s="86">
        <f>IF(verze!$E$1="CZK",AD1839,IF(verze!$E$1="SK",AE1839,""))</f>
        <v>5.4380100000000002</v>
      </c>
    </row>
    <row r="1840" spans="27:32" ht="15">
      <c r="AA1840" s="463" t="s">
        <v>6698</v>
      </c>
      <c r="AB1840" s="462" t="s">
        <v>6699</v>
      </c>
      <c r="AC1840" s="462" t="s">
        <v>6700</v>
      </c>
      <c r="AD1840" s="464">
        <v>135.93346</v>
      </c>
      <c r="AE1840" s="465">
        <v>5.4380100000000002</v>
      </c>
      <c r="AF1840" s="86">
        <f>IF(verze!$E$1="CZK",AD1840,IF(verze!$E$1="SK",AE1840,""))</f>
        <v>5.4380100000000002</v>
      </c>
    </row>
    <row r="1841" spans="27:32" ht="15">
      <c r="AA1841" s="463" t="s">
        <v>6701</v>
      </c>
      <c r="AB1841" s="462" t="s">
        <v>6702</v>
      </c>
      <c r="AC1841" s="462" t="s">
        <v>6703</v>
      </c>
      <c r="AD1841" s="464">
        <v>135.93346</v>
      </c>
      <c r="AE1841" s="465">
        <v>5.4380100000000002</v>
      </c>
      <c r="AF1841" s="86">
        <f>IF(verze!$E$1="CZK",AD1841,IF(verze!$E$1="SK",AE1841,""))</f>
        <v>5.4380100000000002</v>
      </c>
    </row>
    <row r="1842" spans="27:32" ht="15">
      <c r="AA1842" s="463" t="s">
        <v>6704</v>
      </c>
      <c r="AB1842" s="462" t="s">
        <v>6705</v>
      </c>
      <c r="AC1842" s="462" t="s">
        <v>6706</v>
      </c>
      <c r="AD1842" s="464">
        <v>485.64812999999998</v>
      </c>
      <c r="AE1842" s="465">
        <v>19.428349999999998</v>
      </c>
      <c r="AF1842" s="86">
        <f>IF(verze!$E$1="CZK",AD1842,IF(verze!$E$1="SK",AE1842,""))</f>
        <v>19.428349999999998</v>
      </c>
    </row>
    <row r="1843" spans="27:32" ht="15">
      <c r="AA1843" s="463" t="s">
        <v>6707</v>
      </c>
      <c r="AB1843" s="462" t="s">
        <v>6708</v>
      </c>
      <c r="AC1843" s="462" t="s">
        <v>6709</v>
      </c>
      <c r="AD1843" s="464">
        <v>471.43705999999997</v>
      </c>
      <c r="AE1843" s="465">
        <v>18.859819999999999</v>
      </c>
      <c r="AF1843" s="86">
        <f>IF(verze!$E$1="CZK",AD1843,IF(verze!$E$1="SK",AE1843,""))</f>
        <v>18.859819999999999</v>
      </c>
    </row>
    <row r="1844" spans="27:32" ht="15">
      <c r="AA1844" s="463" t="s">
        <v>6710</v>
      </c>
      <c r="AB1844" s="462" t="s">
        <v>6711</v>
      </c>
      <c r="AC1844" s="462" t="s">
        <v>6712</v>
      </c>
      <c r="AD1844" s="464">
        <v>37.883360000000003</v>
      </c>
      <c r="AE1844" s="465">
        <v>1.51553</v>
      </c>
      <c r="AF1844" s="86">
        <f>IF(verze!$E$1="CZK",AD1844,IF(verze!$E$1="SK",AE1844,""))</f>
        <v>1.51553</v>
      </c>
    </row>
    <row r="1845" spans="27:32" ht="15">
      <c r="AA1845" s="463" t="s">
        <v>6713</v>
      </c>
      <c r="AB1845" s="462" t="s">
        <v>6714</v>
      </c>
      <c r="AC1845" s="462" t="s">
        <v>6715</v>
      </c>
      <c r="AD1845" s="464">
        <v>1132.50495</v>
      </c>
      <c r="AE1845" s="465">
        <v>54.47757</v>
      </c>
      <c r="AF1845" s="86">
        <f>IF(verze!$E$1="CZK",AD1845,IF(verze!$E$1="SK",AE1845,""))</f>
        <v>54.47757</v>
      </c>
    </row>
    <row r="1846" spans="27:32" ht="15">
      <c r="AA1846" s="463" t="s">
        <v>6716</v>
      </c>
      <c r="AB1846" s="462" t="s">
        <v>6717</v>
      </c>
      <c r="AC1846" s="462" t="s">
        <v>6718</v>
      </c>
      <c r="AD1846" s="464">
        <v>59.036850000000001</v>
      </c>
      <c r="AE1846" s="465">
        <v>2.8398699999999999</v>
      </c>
      <c r="AF1846" s="86">
        <f>IF(verze!$E$1="CZK",AD1846,IF(verze!$E$1="SK",AE1846,""))</f>
        <v>2.8398699999999999</v>
      </c>
    </row>
    <row r="1847" spans="27:32" ht="15">
      <c r="AA1847" s="463" t="s">
        <v>6719</v>
      </c>
      <c r="AB1847" s="462" t="s">
        <v>6720</v>
      </c>
      <c r="AC1847" s="462" t="s">
        <v>6721</v>
      </c>
      <c r="AD1847" s="464">
        <v>60.320979999999999</v>
      </c>
      <c r="AE1847" s="465">
        <v>2.9016500000000001</v>
      </c>
      <c r="AF1847" s="86">
        <f>IF(verze!$E$1="CZK",AD1847,IF(verze!$E$1="SK",AE1847,""))</f>
        <v>2.9016500000000001</v>
      </c>
    </row>
    <row r="1848" spans="27:32" ht="15">
      <c r="AA1848" s="463" t="s">
        <v>6722</v>
      </c>
      <c r="AB1848" s="462" t="s">
        <v>6723</v>
      </c>
      <c r="AC1848" s="462" t="s">
        <v>6724</v>
      </c>
      <c r="AD1848" s="464">
        <v>42.820529999999998</v>
      </c>
      <c r="AE1848" s="465">
        <v>2.0598299999999998</v>
      </c>
      <c r="AF1848" s="86">
        <f>IF(verze!$E$1="CZK",AD1848,IF(verze!$E$1="SK",AE1848,""))</f>
        <v>2.0598299999999998</v>
      </c>
    </row>
    <row r="1849" spans="27:32" ht="15">
      <c r="AA1849" s="463" t="s">
        <v>6725</v>
      </c>
      <c r="AB1849" s="462" t="s">
        <v>6726</v>
      </c>
      <c r="AC1849" s="462" t="s">
        <v>6727</v>
      </c>
      <c r="AD1849" s="464">
        <v>2.78105</v>
      </c>
      <c r="AE1849" s="465">
        <v>0.13377</v>
      </c>
      <c r="AF1849" s="86">
        <f>IF(verze!$E$1="CZK",AD1849,IF(verze!$E$1="SK",AE1849,""))</f>
        <v>0.13377</v>
      </c>
    </row>
    <row r="1850" spans="27:32" ht="15">
      <c r="AA1850" s="463" t="s">
        <v>6728</v>
      </c>
      <c r="AB1850" s="462" t="s">
        <v>6729</v>
      </c>
      <c r="AC1850" s="462" t="s">
        <v>6730</v>
      </c>
      <c r="AD1850" s="464">
        <v>619.46744000000001</v>
      </c>
      <c r="AE1850" s="465">
        <v>29.79862</v>
      </c>
      <c r="AF1850" s="86">
        <f>IF(verze!$E$1="CZK",AD1850,IF(verze!$E$1="SK",AE1850,""))</f>
        <v>29.79862</v>
      </c>
    </row>
    <row r="1851" spans="27:32" ht="15">
      <c r="AA1851" s="463" t="s">
        <v>6731</v>
      </c>
      <c r="AB1851" s="462" t="s">
        <v>6732</v>
      </c>
      <c r="AC1851" s="462" t="s">
        <v>6733</v>
      </c>
      <c r="AD1851" s="464">
        <v>503.61871000000002</v>
      </c>
      <c r="AE1851" s="465">
        <v>24.22587</v>
      </c>
      <c r="AF1851" s="86">
        <f>IF(verze!$E$1="CZK",AD1851,IF(verze!$E$1="SK",AE1851,""))</f>
        <v>24.22587</v>
      </c>
    </row>
    <row r="1852" spans="27:32" ht="15">
      <c r="AA1852" s="463" t="s">
        <v>6734</v>
      </c>
      <c r="AB1852" s="462" t="s">
        <v>6735</v>
      </c>
      <c r="AC1852" s="462" t="s">
        <v>6736</v>
      </c>
      <c r="AD1852" s="464">
        <v>968.33725000000004</v>
      </c>
      <c r="AE1852" s="465">
        <v>38.738309999999998</v>
      </c>
      <c r="AF1852" s="86">
        <f>IF(verze!$E$1="CZK",AD1852,IF(verze!$E$1="SK",AE1852,""))</f>
        <v>38.738309999999998</v>
      </c>
    </row>
    <row r="1853" spans="27:32" ht="15">
      <c r="AA1853" s="463" t="s">
        <v>6734</v>
      </c>
      <c r="AB1853" s="462" t="s">
        <v>6737</v>
      </c>
      <c r="AC1853" s="462" t="s">
        <v>6738</v>
      </c>
      <c r="AD1853" s="464">
        <v>366.10109999999997</v>
      </c>
      <c r="AE1853" s="465">
        <v>14.685879999999999</v>
      </c>
      <c r="AF1853" s="86">
        <f>IF(verze!$E$1="CZK",AD1853,IF(verze!$E$1="SK",AE1853,""))</f>
        <v>14.685879999999999</v>
      </c>
    </row>
    <row r="1854" spans="27:32" ht="15">
      <c r="AA1854" s="463" t="s">
        <v>6739</v>
      </c>
      <c r="AB1854" s="462" t="s">
        <v>6740</v>
      </c>
      <c r="AC1854" s="462" t="s">
        <v>6741</v>
      </c>
      <c r="AD1854" s="464">
        <v>891.01693999999998</v>
      </c>
      <c r="AE1854" s="465">
        <v>42.861130000000003</v>
      </c>
      <c r="AF1854" s="86">
        <f>IF(verze!$E$1="CZK",AD1854,IF(verze!$E$1="SK",AE1854,""))</f>
        <v>42.861130000000003</v>
      </c>
    </row>
    <row r="1855" spans="27:32" ht="15">
      <c r="AA1855" s="463" t="s">
        <v>6742</v>
      </c>
      <c r="AB1855" s="462" t="s">
        <v>6743</v>
      </c>
      <c r="AC1855" s="462" t="s">
        <v>6744</v>
      </c>
      <c r="AD1855" s="464">
        <v>957.01985000000002</v>
      </c>
      <c r="AE1855" s="465">
        <v>46.036099999999998</v>
      </c>
      <c r="AF1855" s="86">
        <f>IF(verze!$E$1="CZK",AD1855,IF(verze!$E$1="SK",AE1855,""))</f>
        <v>46.036099999999998</v>
      </c>
    </row>
    <row r="1856" spans="27:32" ht="15">
      <c r="AA1856" s="463" t="s">
        <v>6745</v>
      </c>
      <c r="AB1856" s="462" t="s">
        <v>6746</v>
      </c>
      <c r="AC1856" s="462" t="s">
        <v>6747</v>
      </c>
      <c r="AD1856" s="464">
        <v>803.01742999999999</v>
      </c>
      <c r="AE1856" s="465">
        <v>38.628030000000003</v>
      </c>
      <c r="AF1856" s="86">
        <f>IF(verze!$E$1="CZK",AD1856,IF(verze!$E$1="SK",AE1856,""))</f>
        <v>38.628030000000003</v>
      </c>
    </row>
    <row r="1857" spans="27:32" ht="15">
      <c r="AA1857" s="463" t="s">
        <v>6748</v>
      </c>
      <c r="AB1857" s="462" t="s">
        <v>6749</v>
      </c>
      <c r="AC1857" s="462" t="s">
        <v>6750</v>
      </c>
      <c r="AD1857" s="464">
        <v>504.714</v>
      </c>
      <c r="AE1857" s="465">
        <v>19.426870000000001</v>
      </c>
      <c r="AF1857" s="86">
        <f>IF(verze!$E$1="CZK",AD1857,IF(verze!$E$1="SK",AE1857,""))</f>
        <v>19.426870000000001</v>
      </c>
    </row>
    <row r="1858" spans="27:32" ht="15">
      <c r="AA1858" s="463" t="s">
        <v>6748</v>
      </c>
      <c r="AB1858" s="462" t="s">
        <v>6751</v>
      </c>
      <c r="AC1858" s="462" t="s">
        <v>6752</v>
      </c>
      <c r="AD1858" s="464">
        <v>1748.5650000000001</v>
      </c>
      <c r="AE1858" s="465">
        <v>67.303749999999994</v>
      </c>
      <c r="AF1858" s="86">
        <f>IF(verze!$E$1="CZK",AD1858,IF(verze!$E$1="SK",AE1858,""))</f>
        <v>67.303749999999994</v>
      </c>
    </row>
    <row r="1859" spans="27:32" ht="15">
      <c r="AA1859" s="463" t="s">
        <v>6753</v>
      </c>
      <c r="AB1859" s="462" t="s">
        <v>6754</v>
      </c>
      <c r="AC1859" s="462" t="s">
        <v>6755</v>
      </c>
      <c r="AD1859" s="464">
        <v>652.84884</v>
      </c>
      <c r="AE1859" s="465">
        <v>25.95599</v>
      </c>
      <c r="AF1859" s="86">
        <f>IF(verze!$E$1="CZK",AD1859,IF(verze!$E$1="SK",AE1859,""))</f>
        <v>25.95599</v>
      </c>
    </row>
    <row r="1860" spans="27:32" ht="15">
      <c r="AA1860" s="463" t="s">
        <v>6756</v>
      </c>
      <c r="AB1860" s="462" t="s">
        <v>6757</v>
      </c>
      <c r="AC1860" s="462" t="s">
        <v>6758</v>
      </c>
      <c r="AD1860" s="464">
        <v>938.76804000000004</v>
      </c>
      <c r="AE1860" s="465">
        <v>37.323569999999997</v>
      </c>
      <c r="AF1860" s="86">
        <f>IF(verze!$E$1="CZK",AD1860,IF(verze!$E$1="SK",AE1860,""))</f>
        <v>37.323569999999997</v>
      </c>
    </row>
    <row r="1861" spans="27:32" ht="15">
      <c r="AA1861" s="463" t="s">
        <v>6759</v>
      </c>
      <c r="AB1861" s="462" t="s">
        <v>6760</v>
      </c>
      <c r="AC1861" s="462" t="s">
        <v>6761</v>
      </c>
      <c r="AD1861" s="464">
        <v>847.02385000000004</v>
      </c>
      <c r="AE1861" s="465">
        <v>40.744889999999998</v>
      </c>
      <c r="AF1861" s="86">
        <f>IF(verze!$E$1="CZK",AD1861,IF(verze!$E$1="SK",AE1861,""))</f>
        <v>40.744889999999998</v>
      </c>
    </row>
    <row r="1862" spans="27:32" ht="15">
      <c r="AA1862" s="463" t="s">
        <v>6762</v>
      </c>
      <c r="AB1862" s="462" t="s">
        <v>6763</v>
      </c>
      <c r="AC1862" s="462" t="s">
        <v>6764</v>
      </c>
      <c r="AD1862" s="464">
        <v>163.83233999999999</v>
      </c>
      <c r="AE1862" s="465">
        <v>6.5924500000000004</v>
      </c>
      <c r="AF1862" s="86">
        <f>IF(verze!$E$1="CZK",AD1862,IF(verze!$E$1="SK",AE1862,""))</f>
        <v>6.5924500000000004</v>
      </c>
    </row>
    <row r="1863" spans="27:32" ht="15">
      <c r="AA1863" s="463" t="s">
        <v>6765</v>
      </c>
      <c r="AB1863" s="462" t="s">
        <v>6766</v>
      </c>
      <c r="AC1863" s="462" t="s">
        <v>6767</v>
      </c>
      <c r="AD1863" s="464">
        <v>267.78259000000003</v>
      </c>
      <c r="AE1863" s="465">
        <v>10.98272</v>
      </c>
      <c r="AF1863" s="86">
        <f>IF(verze!$E$1="CZK",AD1863,IF(verze!$E$1="SK",AE1863,""))</f>
        <v>10.98272</v>
      </c>
    </row>
    <row r="1864" spans="27:32" ht="15">
      <c r="AA1864" s="463" t="s">
        <v>6768</v>
      </c>
      <c r="AB1864" s="462" t="s">
        <v>6769</v>
      </c>
      <c r="AC1864" s="462" t="s">
        <v>6770</v>
      </c>
      <c r="AD1864" s="464">
        <v>267.78259000000003</v>
      </c>
      <c r="AE1864" s="465">
        <v>10.98272</v>
      </c>
      <c r="AF1864" s="86">
        <f>IF(verze!$E$1="CZK",AD1864,IF(verze!$E$1="SK",AE1864,""))</f>
        <v>10.98272</v>
      </c>
    </row>
    <row r="1865" spans="27:32" ht="15">
      <c r="AA1865" s="463" t="s">
        <v>6771</v>
      </c>
      <c r="AB1865" s="462" t="s">
        <v>6772</v>
      </c>
      <c r="AC1865" s="462" t="s">
        <v>6773</v>
      </c>
      <c r="AD1865" s="464">
        <v>420.28591999999998</v>
      </c>
      <c r="AE1865" s="465">
        <v>17.237400000000001</v>
      </c>
      <c r="AF1865" s="86">
        <f>IF(verze!$E$1="CZK",AD1865,IF(verze!$E$1="SK",AE1865,""))</f>
        <v>17.237400000000001</v>
      </c>
    </row>
    <row r="1866" spans="27:32" ht="15">
      <c r="AA1866" s="463" t="s">
        <v>6774</v>
      </c>
      <c r="AB1866" s="462" t="s">
        <v>6775</v>
      </c>
      <c r="AC1866" s="462" t="s">
        <v>6776</v>
      </c>
      <c r="AD1866" s="464">
        <v>196.81259</v>
      </c>
      <c r="AE1866" s="465">
        <v>8.0719799999999999</v>
      </c>
      <c r="AF1866" s="86">
        <f>IF(verze!$E$1="CZK",AD1866,IF(verze!$E$1="SK",AE1866,""))</f>
        <v>8.0719799999999999</v>
      </c>
    </row>
    <row r="1867" spans="27:32" ht="15">
      <c r="AA1867" s="463" t="s">
        <v>6777</v>
      </c>
      <c r="AB1867" s="462" t="s">
        <v>6778</v>
      </c>
      <c r="AC1867" s="462" t="s">
        <v>6779</v>
      </c>
      <c r="AD1867" s="464">
        <v>222.49377999999999</v>
      </c>
      <c r="AE1867" s="465">
        <v>9.1252600000000008</v>
      </c>
      <c r="AF1867" s="86">
        <f>IF(verze!$E$1="CZK",AD1867,IF(verze!$E$1="SK",AE1867,""))</f>
        <v>9.1252600000000008</v>
      </c>
    </row>
    <row r="1868" spans="27:32" ht="15">
      <c r="AA1868" s="463" t="s">
        <v>6780</v>
      </c>
      <c r="AB1868" s="462" t="s">
        <v>6781</v>
      </c>
      <c r="AC1868" s="462" t="s">
        <v>6782</v>
      </c>
      <c r="AD1868" s="464">
        <v>258.60611999999998</v>
      </c>
      <c r="AE1868" s="465">
        <v>10.606339999999999</v>
      </c>
      <c r="AF1868" s="86">
        <f>IF(verze!$E$1="CZK",AD1868,IF(verze!$E$1="SK",AE1868,""))</f>
        <v>10.606339999999999</v>
      </c>
    </row>
    <row r="1869" spans="27:32" ht="15">
      <c r="AA1869" s="463" t="s">
        <v>6783</v>
      </c>
      <c r="AB1869" s="462" t="s">
        <v>6784</v>
      </c>
      <c r="AC1869" s="462" t="s">
        <v>6785</v>
      </c>
      <c r="AD1869" s="464">
        <v>434.55329999999998</v>
      </c>
      <c r="AE1869" s="465">
        <v>19.908180000000002</v>
      </c>
      <c r="AF1869" s="86">
        <f>IF(verze!$E$1="CZK",AD1869,IF(verze!$E$1="SK",AE1869,""))</f>
        <v>19.908180000000002</v>
      </c>
    </row>
    <row r="1870" spans="27:32" ht="15">
      <c r="AA1870" s="463" t="s">
        <v>6786</v>
      </c>
      <c r="AB1870" s="462" t="s">
        <v>6787</v>
      </c>
      <c r="AC1870" s="462" t="s">
        <v>6788</v>
      </c>
      <c r="AD1870" s="464">
        <v>256.21960000000001</v>
      </c>
      <c r="AE1870" s="465">
        <v>11.145339999999999</v>
      </c>
      <c r="AF1870" s="86">
        <f>IF(verze!$E$1="CZK",AD1870,IF(verze!$E$1="SK",AE1870,""))</f>
        <v>11.145339999999999</v>
      </c>
    </row>
    <row r="1871" spans="27:32" ht="15">
      <c r="AA1871" s="463" t="s">
        <v>6789</v>
      </c>
      <c r="AB1871" s="462" t="s">
        <v>6790</v>
      </c>
      <c r="AC1871" s="462" t="s">
        <v>6791</v>
      </c>
      <c r="AD1871" s="464">
        <v>1416.6142299999999</v>
      </c>
      <c r="AE1871" s="465">
        <v>61.621560000000002</v>
      </c>
      <c r="AF1871" s="86">
        <f>IF(verze!$E$1="CZK",AD1871,IF(verze!$E$1="SK",AE1871,""))</f>
        <v>61.621560000000002</v>
      </c>
    </row>
    <row r="1872" spans="27:32" ht="15">
      <c r="AA1872" s="463" t="s">
        <v>6792</v>
      </c>
      <c r="AB1872" s="462" t="s">
        <v>6793</v>
      </c>
      <c r="AC1872" s="462" t="s">
        <v>6794</v>
      </c>
      <c r="AD1872" s="464">
        <v>1416.6142299999999</v>
      </c>
      <c r="AE1872" s="465">
        <v>61.621560000000002</v>
      </c>
      <c r="AF1872" s="86">
        <f>IF(verze!$E$1="CZK",AD1872,IF(verze!$E$1="SK",AE1872,""))</f>
        <v>61.621560000000002</v>
      </c>
    </row>
    <row r="1873" spans="27:32" ht="15">
      <c r="AA1873" s="463" t="s">
        <v>6795</v>
      </c>
      <c r="AB1873" s="462" t="s">
        <v>6796</v>
      </c>
      <c r="AC1873" s="462" t="s">
        <v>6797</v>
      </c>
      <c r="AD1873" s="464">
        <v>1416.6142299999999</v>
      </c>
      <c r="AE1873" s="465">
        <v>61.621560000000002</v>
      </c>
      <c r="AF1873" s="86">
        <f>IF(verze!$E$1="CZK",AD1873,IF(verze!$E$1="SK",AE1873,""))</f>
        <v>61.621560000000002</v>
      </c>
    </row>
    <row r="1874" spans="27:32" ht="15">
      <c r="AA1874" s="463" t="s">
        <v>6798</v>
      </c>
      <c r="AB1874" s="462" t="s">
        <v>6799</v>
      </c>
      <c r="AC1874" s="462" t="s">
        <v>6800</v>
      </c>
      <c r="AD1874" s="464">
        <v>1416.6142299999999</v>
      </c>
      <c r="AE1874" s="465">
        <v>61.621560000000002</v>
      </c>
      <c r="AF1874" s="86">
        <f>IF(verze!$E$1="CZK",AD1874,IF(verze!$E$1="SK",AE1874,""))</f>
        <v>61.621560000000002</v>
      </c>
    </row>
    <row r="1875" spans="27:32" ht="15">
      <c r="AA1875" s="463" t="s">
        <v>6801</v>
      </c>
      <c r="AB1875" s="462" t="s">
        <v>6802</v>
      </c>
      <c r="AC1875" s="462" t="s">
        <v>6803</v>
      </c>
      <c r="AD1875" s="464">
        <v>1416.6142299999999</v>
      </c>
      <c r="AE1875" s="465">
        <v>61.621560000000002</v>
      </c>
      <c r="AF1875" s="86">
        <f>IF(verze!$E$1="CZK",AD1875,IF(verze!$E$1="SK",AE1875,""))</f>
        <v>61.621560000000002</v>
      </c>
    </row>
    <row r="1876" spans="27:32" ht="15">
      <c r="AA1876" s="463" t="s">
        <v>6804</v>
      </c>
      <c r="AB1876" s="462" t="s">
        <v>6805</v>
      </c>
      <c r="AC1876" s="462" t="s">
        <v>6806</v>
      </c>
      <c r="AD1876" s="464">
        <v>1416.6142299999999</v>
      </c>
      <c r="AE1876" s="465">
        <v>61.621560000000002</v>
      </c>
      <c r="AF1876" s="86">
        <f>IF(verze!$E$1="CZK",AD1876,IF(verze!$E$1="SK",AE1876,""))</f>
        <v>61.621560000000002</v>
      </c>
    </row>
    <row r="1877" spans="27:32" ht="15">
      <c r="AA1877" s="463" t="s">
        <v>6807</v>
      </c>
      <c r="AB1877" s="462" t="s">
        <v>6808</v>
      </c>
      <c r="AC1877" s="462" t="s">
        <v>6809</v>
      </c>
      <c r="AD1877" s="464">
        <v>1416.6142299999999</v>
      </c>
      <c r="AE1877" s="465">
        <v>61.621560000000002</v>
      </c>
      <c r="AF1877" s="86">
        <f>IF(verze!$E$1="CZK",AD1877,IF(verze!$E$1="SK",AE1877,""))</f>
        <v>61.621560000000002</v>
      </c>
    </row>
    <row r="1878" spans="27:32" ht="15">
      <c r="AA1878" s="463" t="s">
        <v>6810</v>
      </c>
      <c r="AB1878" s="462" t="s">
        <v>6811</v>
      </c>
      <c r="AC1878" s="462" t="s">
        <v>6812</v>
      </c>
      <c r="AD1878" s="464">
        <v>1416.6142299999999</v>
      </c>
      <c r="AE1878" s="465">
        <v>61.621560000000002</v>
      </c>
      <c r="AF1878" s="86">
        <f>IF(verze!$E$1="CZK",AD1878,IF(verze!$E$1="SK",AE1878,""))</f>
        <v>61.621560000000002</v>
      </c>
    </row>
    <row r="1879" spans="27:32" ht="15">
      <c r="AA1879" s="463" t="s">
        <v>6813</v>
      </c>
      <c r="AB1879" s="462" t="s">
        <v>6814</v>
      </c>
      <c r="AC1879" s="462" t="s">
        <v>6815</v>
      </c>
      <c r="AD1879" s="464">
        <v>1416.6142299999999</v>
      </c>
      <c r="AE1879" s="465">
        <v>61.621560000000002</v>
      </c>
      <c r="AF1879" s="86">
        <f>IF(verze!$E$1="CZK",AD1879,IF(verze!$E$1="SK",AE1879,""))</f>
        <v>61.621560000000002</v>
      </c>
    </row>
    <row r="1880" spans="27:32" ht="15">
      <c r="AA1880" s="463" t="s">
        <v>6816</v>
      </c>
      <c r="AB1880" s="462" t="s">
        <v>6817</v>
      </c>
      <c r="AC1880" s="462" t="s">
        <v>6818</v>
      </c>
      <c r="AD1880" s="464">
        <v>1416.6142299999999</v>
      </c>
      <c r="AE1880" s="465">
        <v>61.621560000000002</v>
      </c>
      <c r="AF1880" s="86">
        <f>IF(verze!$E$1="CZK",AD1880,IF(verze!$E$1="SK",AE1880,""))</f>
        <v>61.621560000000002</v>
      </c>
    </row>
    <row r="1881" spans="27:32" ht="15">
      <c r="AA1881" s="463" t="s">
        <v>6819</v>
      </c>
      <c r="AB1881" s="462" t="s">
        <v>6820</v>
      </c>
      <c r="AC1881" s="462" t="s">
        <v>6821</v>
      </c>
      <c r="AD1881" s="464">
        <v>1416.6142299999999</v>
      </c>
      <c r="AE1881" s="465">
        <v>61.621560000000002</v>
      </c>
      <c r="AF1881" s="86">
        <f>IF(verze!$E$1="CZK",AD1881,IF(verze!$E$1="SK",AE1881,""))</f>
        <v>61.621560000000002</v>
      </c>
    </row>
    <row r="1882" spans="27:32" ht="15">
      <c r="AA1882" s="463" t="s">
        <v>6822</v>
      </c>
      <c r="AB1882" s="462" t="s">
        <v>6823</v>
      </c>
      <c r="AC1882" s="462" t="s">
        <v>6824</v>
      </c>
      <c r="AD1882" s="464">
        <v>1416.6142299999999</v>
      </c>
      <c r="AE1882" s="465">
        <v>61.621560000000002</v>
      </c>
      <c r="AF1882" s="86">
        <f>IF(verze!$E$1="CZK",AD1882,IF(verze!$E$1="SK",AE1882,""))</f>
        <v>61.621560000000002</v>
      </c>
    </row>
    <row r="1883" spans="27:32" ht="15">
      <c r="AA1883" s="463" t="s">
        <v>6825</v>
      </c>
      <c r="AB1883" s="462" t="s">
        <v>6826</v>
      </c>
      <c r="AC1883" s="462" t="s">
        <v>6827</v>
      </c>
      <c r="AD1883" s="464">
        <v>1749.9262000000001</v>
      </c>
      <c r="AE1883" s="465">
        <v>76.120339999999999</v>
      </c>
      <c r="AF1883" s="86">
        <f>IF(verze!$E$1="CZK",AD1883,IF(verze!$E$1="SK",AE1883,""))</f>
        <v>76.120339999999999</v>
      </c>
    </row>
    <row r="1884" spans="27:32" ht="15">
      <c r="AA1884" s="463" t="s">
        <v>6828</v>
      </c>
      <c r="AB1884" s="462" t="s">
        <v>6829</v>
      </c>
      <c r="AC1884" s="462" t="s">
        <v>6830</v>
      </c>
      <c r="AD1884" s="464">
        <v>1749.9262000000001</v>
      </c>
      <c r="AE1884" s="465">
        <v>76.120339999999999</v>
      </c>
      <c r="AF1884" s="86">
        <f>IF(verze!$E$1="CZK",AD1884,IF(verze!$E$1="SK",AE1884,""))</f>
        <v>76.120339999999999</v>
      </c>
    </row>
    <row r="1885" spans="27:32" ht="15">
      <c r="AA1885" s="463" t="s">
        <v>6831</v>
      </c>
      <c r="AB1885" s="462" t="s">
        <v>6832</v>
      </c>
      <c r="AC1885" s="462" t="s">
        <v>6833</v>
      </c>
      <c r="AD1885" s="464">
        <v>1749.9262000000001</v>
      </c>
      <c r="AE1885" s="465">
        <v>76.120339999999999</v>
      </c>
      <c r="AF1885" s="86">
        <f>IF(verze!$E$1="CZK",AD1885,IF(verze!$E$1="SK",AE1885,""))</f>
        <v>76.120339999999999</v>
      </c>
    </row>
    <row r="1886" spans="27:32" ht="15">
      <c r="AA1886" s="463" t="s">
        <v>6834</v>
      </c>
      <c r="AB1886" s="462" t="s">
        <v>6835</v>
      </c>
      <c r="AC1886" s="462" t="s">
        <v>6836</v>
      </c>
      <c r="AD1886" s="464">
        <v>134.29830999999999</v>
      </c>
      <c r="AE1886" s="465">
        <v>6.4602300000000001</v>
      </c>
      <c r="AF1886" s="86">
        <f>IF(verze!$E$1="CZK",AD1886,IF(verze!$E$1="SK",AE1886,""))</f>
        <v>6.4602300000000001</v>
      </c>
    </row>
    <row r="1887" spans="27:32" ht="15">
      <c r="AA1887" s="463" t="s">
        <v>6837</v>
      </c>
      <c r="AB1887" s="462" t="s">
        <v>6838</v>
      </c>
      <c r="AC1887" s="462" t="s">
        <v>6839</v>
      </c>
      <c r="AD1887" s="464">
        <v>294.86784999999998</v>
      </c>
      <c r="AE1887" s="465">
        <v>13.508760000000001</v>
      </c>
      <c r="AF1887" s="86">
        <f>IF(verze!$E$1="CZK",AD1887,IF(verze!$E$1="SK",AE1887,""))</f>
        <v>13.508760000000001</v>
      </c>
    </row>
    <row r="1888" spans="27:32" ht="15">
      <c r="AA1888" s="463" t="s">
        <v>6840</v>
      </c>
      <c r="AB1888" s="462" t="s">
        <v>6841</v>
      </c>
      <c r="AC1888" s="462" t="s">
        <v>6842</v>
      </c>
      <c r="AD1888" s="464">
        <v>2570.1250799999998</v>
      </c>
      <c r="AE1888" s="465">
        <v>117.74504</v>
      </c>
      <c r="AF1888" s="86">
        <f>IF(verze!$E$1="CZK",AD1888,IF(verze!$E$1="SK",AE1888,""))</f>
        <v>117.74504</v>
      </c>
    </row>
    <row r="1889" spans="27:32" ht="15">
      <c r="AA1889" s="463" t="s">
        <v>6843</v>
      </c>
      <c r="AB1889" s="462" t="s">
        <v>6844</v>
      </c>
      <c r="AC1889" s="462" t="s">
        <v>6845</v>
      </c>
      <c r="AD1889" s="464">
        <v>21.050080000000001</v>
      </c>
      <c r="AE1889" s="465">
        <v>0.96438000000000001</v>
      </c>
      <c r="AF1889" s="86">
        <f>IF(verze!$E$1="CZK",AD1889,IF(verze!$E$1="SK",AE1889,""))</f>
        <v>0.96438000000000001</v>
      </c>
    </row>
    <row r="1890" spans="27:32" ht="15">
      <c r="AA1890" s="463" t="s">
        <v>6846</v>
      </c>
      <c r="AB1890" s="462" t="s">
        <v>6847</v>
      </c>
      <c r="AC1890" s="462" t="s">
        <v>6848</v>
      </c>
      <c r="AD1890" s="464">
        <v>23.44388</v>
      </c>
      <c r="AE1890" s="465">
        <v>1.07402</v>
      </c>
      <c r="AF1890" s="86">
        <f>IF(verze!$E$1="CZK",AD1890,IF(verze!$E$1="SK",AE1890,""))</f>
        <v>1.07402</v>
      </c>
    </row>
    <row r="1891" spans="27:32" ht="15">
      <c r="AA1891" s="463" t="s">
        <v>6849</v>
      </c>
      <c r="AB1891" s="462" t="s">
        <v>6850</v>
      </c>
      <c r="AC1891" s="462" t="s">
        <v>6851</v>
      </c>
      <c r="AD1891" s="464">
        <v>2570.1250799999998</v>
      </c>
      <c r="AE1891" s="465">
        <v>117.74504</v>
      </c>
      <c r="AF1891" s="86">
        <f>IF(verze!$E$1="CZK",AD1891,IF(verze!$E$1="SK",AE1891,""))</f>
        <v>117.74504</v>
      </c>
    </row>
    <row r="1892" spans="27:32" ht="15">
      <c r="AA1892" s="463" t="s">
        <v>6852</v>
      </c>
      <c r="AB1892" s="462" t="s">
        <v>6853</v>
      </c>
      <c r="AC1892" s="462" t="s">
        <v>6854</v>
      </c>
      <c r="AD1892" s="464">
        <v>98.709159999999997</v>
      </c>
      <c r="AE1892" s="465">
        <v>4.5221600000000004</v>
      </c>
      <c r="AF1892" s="86">
        <f>IF(verze!$E$1="CZK",AD1892,IF(verze!$E$1="SK",AE1892,""))</f>
        <v>4.5221600000000004</v>
      </c>
    </row>
    <row r="1893" spans="27:32" ht="15">
      <c r="AA1893" s="463" t="s">
        <v>6855</v>
      </c>
      <c r="AB1893" s="462" t="s">
        <v>6856</v>
      </c>
      <c r="AC1893" s="462" t="s">
        <v>6857</v>
      </c>
      <c r="AD1893" s="464">
        <v>3397.3134100000002</v>
      </c>
      <c r="AE1893" s="465">
        <v>155.64099999999999</v>
      </c>
      <c r="AF1893" s="86">
        <f>IF(verze!$E$1="CZK",AD1893,IF(verze!$E$1="SK",AE1893,""))</f>
        <v>155.64099999999999</v>
      </c>
    </row>
    <row r="1894" spans="27:32" ht="15">
      <c r="AA1894" s="463" t="s">
        <v>6858</v>
      </c>
      <c r="AB1894" s="462" t="s">
        <v>6859</v>
      </c>
      <c r="AC1894" s="462" t="s">
        <v>6860</v>
      </c>
      <c r="AD1894" s="464">
        <v>4425.2942899999998</v>
      </c>
      <c r="AE1894" s="465">
        <v>202.73584</v>
      </c>
      <c r="AF1894" s="86">
        <f>IF(verze!$E$1="CZK",AD1894,IF(verze!$E$1="SK",AE1894,""))</f>
        <v>202.73584</v>
      </c>
    </row>
    <row r="1895" spans="27:32" ht="15">
      <c r="AA1895" s="463" t="s">
        <v>6861</v>
      </c>
      <c r="AB1895" s="462" t="s">
        <v>6862</v>
      </c>
      <c r="AC1895" s="462" t="s">
        <v>6863</v>
      </c>
      <c r="AD1895" s="464">
        <v>1030.10079</v>
      </c>
      <c r="AE1895" s="465">
        <v>47.191980000000001</v>
      </c>
      <c r="AF1895" s="86">
        <f>IF(verze!$E$1="CZK",AD1895,IF(verze!$E$1="SK",AE1895,""))</f>
        <v>47.191980000000001</v>
      </c>
    </row>
    <row r="1896" spans="27:32" ht="15">
      <c r="AA1896" s="463" t="s">
        <v>6864</v>
      </c>
      <c r="AB1896" s="462" t="s">
        <v>6865</v>
      </c>
      <c r="AC1896" s="462" t="s">
        <v>6866</v>
      </c>
      <c r="AD1896" s="464">
        <v>3041.5890800000002</v>
      </c>
      <c r="AE1896" s="465">
        <v>139.3442</v>
      </c>
      <c r="AF1896" s="86">
        <f>IF(verze!$E$1="CZK",AD1896,IF(verze!$E$1="SK",AE1896,""))</f>
        <v>139.3442</v>
      </c>
    </row>
    <row r="1897" spans="27:32" ht="15">
      <c r="AA1897" s="463" t="s">
        <v>6867</v>
      </c>
      <c r="AB1897" s="462" t="s">
        <v>6868</v>
      </c>
      <c r="AC1897" s="462" t="s">
        <v>6869</v>
      </c>
      <c r="AD1897" s="464">
        <v>3041.5890800000002</v>
      </c>
      <c r="AE1897" s="465">
        <v>139.3442</v>
      </c>
      <c r="AF1897" s="86">
        <f>IF(verze!$E$1="CZK",AD1897,IF(verze!$E$1="SK",AE1897,""))</f>
        <v>139.3442</v>
      </c>
    </row>
    <row r="1898" spans="27:32" ht="15">
      <c r="AA1898" s="463" t="s">
        <v>6870</v>
      </c>
      <c r="AB1898" s="462" t="s">
        <v>6871</v>
      </c>
      <c r="AC1898" s="462" t="s">
        <v>6872</v>
      </c>
      <c r="AD1898" s="464">
        <v>233.0514</v>
      </c>
      <c r="AE1898" s="465">
        <v>10.676780000000001</v>
      </c>
      <c r="AF1898" s="86">
        <f>IF(verze!$E$1="CZK",AD1898,IF(verze!$E$1="SK",AE1898,""))</f>
        <v>10.676780000000001</v>
      </c>
    </row>
    <row r="1899" spans="27:32" ht="15">
      <c r="AA1899" s="463" t="s">
        <v>6873</v>
      </c>
      <c r="AB1899" s="462" t="s">
        <v>6874</v>
      </c>
      <c r="AC1899" s="462" t="s">
        <v>6875</v>
      </c>
      <c r="AD1899" s="464">
        <v>3041.5890800000002</v>
      </c>
      <c r="AE1899" s="465">
        <v>139.3442</v>
      </c>
      <c r="AF1899" s="86">
        <f>IF(verze!$E$1="CZK",AD1899,IF(verze!$E$1="SK",AE1899,""))</f>
        <v>139.3442</v>
      </c>
    </row>
    <row r="1900" spans="27:32" ht="15">
      <c r="AA1900" s="463" t="s">
        <v>6876</v>
      </c>
      <c r="AB1900" s="462" t="s">
        <v>6877</v>
      </c>
      <c r="AC1900" s="462" t="s">
        <v>6878</v>
      </c>
      <c r="AD1900" s="464">
        <v>233.0514</v>
      </c>
      <c r="AE1900" s="465">
        <v>10.676780000000001</v>
      </c>
      <c r="AF1900" s="86">
        <f>IF(verze!$E$1="CZK",AD1900,IF(verze!$E$1="SK",AE1900,""))</f>
        <v>10.676780000000001</v>
      </c>
    </row>
    <row r="1901" spans="27:32" ht="15">
      <c r="AA1901" s="463" t="s">
        <v>6879</v>
      </c>
      <c r="AB1901" s="462" t="s">
        <v>6880</v>
      </c>
      <c r="AC1901" s="462" t="s">
        <v>6881</v>
      </c>
      <c r="AD1901" s="464">
        <v>4625.6107899999997</v>
      </c>
      <c r="AE1901" s="465">
        <v>211.91292000000001</v>
      </c>
      <c r="AF1901" s="86">
        <f>IF(verze!$E$1="CZK",AD1901,IF(verze!$E$1="SK",AE1901,""))</f>
        <v>211.91292000000001</v>
      </c>
    </row>
    <row r="1902" spans="27:32" ht="15">
      <c r="AA1902" s="463" t="s">
        <v>6879</v>
      </c>
      <c r="AB1902" s="462" t="s">
        <v>6882</v>
      </c>
      <c r="AC1902" s="462" t="s">
        <v>6883</v>
      </c>
      <c r="AD1902" s="464">
        <v>4502.5892199999998</v>
      </c>
      <c r="AE1902" s="465">
        <v>159.13605000000001</v>
      </c>
      <c r="AF1902" s="86">
        <f>IF(verze!$E$1="CZK",AD1902,IF(verze!$E$1="SK",AE1902,""))</f>
        <v>159.13605000000001</v>
      </c>
    </row>
    <row r="1903" spans="27:32" ht="15">
      <c r="AA1903" s="463" t="s">
        <v>6884</v>
      </c>
      <c r="AB1903" s="462" t="s">
        <v>6885</v>
      </c>
      <c r="AC1903" s="462" t="s">
        <v>6886</v>
      </c>
      <c r="AD1903" s="464">
        <v>249.69540000000001</v>
      </c>
      <c r="AE1903" s="465">
        <v>11.439299999999999</v>
      </c>
      <c r="AF1903" s="86">
        <f>IF(verze!$E$1="CZK",AD1903,IF(verze!$E$1="SK",AE1903,""))</f>
        <v>11.439299999999999</v>
      </c>
    </row>
    <row r="1904" spans="27:32" ht="15">
      <c r="AA1904" s="463" t="s">
        <v>6887</v>
      </c>
      <c r="AB1904" s="462" t="s">
        <v>6888</v>
      </c>
      <c r="AC1904" s="462" t="s">
        <v>6889</v>
      </c>
      <c r="AD1904" s="464">
        <v>1669.3896</v>
      </c>
      <c r="AE1904" s="465">
        <v>76.479680000000002</v>
      </c>
      <c r="AF1904" s="86">
        <f>IF(verze!$E$1="CZK",AD1904,IF(verze!$E$1="SK",AE1904,""))</f>
        <v>76.479680000000002</v>
      </c>
    </row>
    <row r="1905" spans="27:32" ht="15">
      <c r="AA1905" s="463" t="s">
        <v>6890</v>
      </c>
      <c r="AB1905" s="462" t="s">
        <v>6891</v>
      </c>
      <c r="AC1905" s="462" t="s">
        <v>6892</v>
      </c>
      <c r="AD1905" s="464">
        <v>1919.45877</v>
      </c>
      <c r="AE1905" s="465">
        <v>87.936099999999996</v>
      </c>
      <c r="AF1905" s="86">
        <f>IF(verze!$E$1="CZK",AD1905,IF(verze!$E$1="SK",AE1905,""))</f>
        <v>87.936099999999996</v>
      </c>
    </row>
    <row r="1906" spans="27:32" ht="15">
      <c r="AA1906" s="463" t="s">
        <v>6893</v>
      </c>
      <c r="AB1906" s="462" t="s">
        <v>6894</v>
      </c>
      <c r="AC1906" s="462" t="s">
        <v>6895</v>
      </c>
      <c r="AD1906" s="464">
        <v>2226.4588100000001</v>
      </c>
      <c r="AE1906" s="465">
        <v>0</v>
      </c>
      <c r="AF1906" s="86">
        <f>IF(verze!$E$1="CZK",AD1906,IF(verze!$E$1="SK",AE1906,""))</f>
        <v>0</v>
      </c>
    </row>
    <row r="1907" spans="27:32" ht="15">
      <c r="AA1907" s="463" t="s">
        <v>6896</v>
      </c>
      <c r="AB1907" s="462" t="s">
        <v>6897</v>
      </c>
      <c r="AC1907" s="462" t="s">
        <v>6898</v>
      </c>
      <c r="AD1907" s="464">
        <v>1646.2708</v>
      </c>
      <c r="AE1907" s="465">
        <v>75.420519999999996</v>
      </c>
      <c r="AF1907" s="86">
        <f>IF(verze!$E$1="CZK",AD1907,IF(verze!$E$1="SK",AE1907,""))</f>
        <v>75.420519999999996</v>
      </c>
    </row>
    <row r="1908" spans="27:32" ht="15">
      <c r="AA1908" s="463" t="s">
        <v>6899</v>
      </c>
      <c r="AB1908" s="462" t="s">
        <v>6900</v>
      </c>
      <c r="AC1908" s="462" t="s">
        <v>6901</v>
      </c>
      <c r="AD1908" s="464">
        <v>3585.328</v>
      </c>
      <c r="AE1908" s="465">
        <v>164.25448</v>
      </c>
      <c r="AF1908" s="86">
        <f>IF(verze!$E$1="CZK",AD1908,IF(verze!$E$1="SK",AE1908,""))</f>
        <v>164.25448</v>
      </c>
    </row>
    <row r="1909" spans="27:32" ht="15">
      <c r="AA1909" s="463" t="s">
        <v>6902</v>
      </c>
      <c r="AB1909" s="462" t="s">
        <v>6903</v>
      </c>
      <c r="AC1909" s="462" t="s">
        <v>6904</v>
      </c>
      <c r="AD1909" s="464">
        <v>2774.2512700000002</v>
      </c>
      <c r="AE1909" s="465">
        <v>127.09666</v>
      </c>
      <c r="AF1909" s="86">
        <f>IF(verze!$E$1="CZK",AD1909,IF(verze!$E$1="SK",AE1909,""))</f>
        <v>127.09666</v>
      </c>
    </row>
    <row r="1910" spans="27:32" ht="15">
      <c r="AA1910" s="463" t="s">
        <v>6905</v>
      </c>
      <c r="AB1910" s="462" t="s">
        <v>6906</v>
      </c>
      <c r="AC1910" s="462" t="s">
        <v>6907</v>
      </c>
      <c r="AD1910" s="464">
        <v>3409.0570499999999</v>
      </c>
      <c r="AE1910" s="465">
        <v>156.179</v>
      </c>
      <c r="AF1910" s="86">
        <f>IF(verze!$E$1="CZK",AD1910,IF(verze!$E$1="SK",AE1910,""))</f>
        <v>156.179</v>
      </c>
    </row>
    <row r="1911" spans="27:32" ht="15">
      <c r="AA1911" s="463" t="s">
        <v>6908</v>
      </c>
      <c r="AB1911" s="462" t="s">
        <v>6909</v>
      </c>
      <c r="AC1911" s="462" t="s">
        <v>6910</v>
      </c>
      <c r="AD1911" s="464">
        <v>1728.14653</v>
      </c>
      <c r="AE1911" s="465">
        <v>79.171520000000001</v>
      </c>
      <c r="AF1911" s="86">
        <f>IF(verze!$E$1="CZK",AD1911,IF(verze!$E$1="SK",AE1911,""))</f>
        <v>79.171520000000001</v>
      </c>
    </row>
    <row r="1912" spans="27:32" ht="15">
      <c r="AA1912" s="463" t="s">
        <v>6911</v>
      </c>
      <c r="AB1912" s="462" t="s">
        <v>6912</v>
      </c>
      <c r="AC1912" s="462" t="s">
        <v>6913</v>
      </c>
      <c r="AD1912" s="464">
        <v>3684.1242200000002</v>
      </c>
      <c r="AE1912" s="465">
        <v>168.78064000000001</v>
      </c>
      <c r="AF1912" s="86">
        <f>IF(verze!$E$1="CZK",AD1912,IF(verze!$E$1="SK",AE1912,""))</f>
        <v>168.78064000000001</v>
      </c>
    </row>
    <row r="1913" spans="27:32" ht="15">
      <c r="AA1913" s="463" t="s">
        <v>6911</v>
      </c>
      <c r="AB1913" s="462" t="s">
        <v>6914</v>
      </c>
      <c r="AC1913" s="462" t="s">
        <v>6915</v>
      </c>
      <c r="AD1913" s="464">
        <v>3586.14219</v>
      </c>
      <c r="AE1913" s="465">
        <v>126.74585</v>
      </c>
      <c r="AF1913" s="86">
        <f>IF(verze!$E$1="CZK",AD1913,IF(verze!$E$1="SK",AE1913,""))</f>
        <v>126.74585</v>
      </c>
    </row>
    <row r="1914" spans="27:32" ht="15">
      <c r="AA1914" s="463" t="s">
        <v>6916</v>
      </c>
      <c r="AB1914" s="462" t="s">
        <v>6917</v>
      </c>
      <c r="AC1914" s="462" t="s">
        <v>6918</v>
      </c>
      <c r="AD1914" s="464">
        <v>13170.5324</v>
      </c>
      <c r="AE1914" s="465">
        <v>603.38106000000005</v>
      </c>
      <c r="AF1914" s="86">
        <f>IF(verze!$E$1="CZK",AD1914,IF(verze!$E$1="SK",AE1914,""))</f>
        <v>603.38106000000005</v>
      </c>
    </row>
    <row r="1915" spans="27:32" ht="15">
      <c r="AA1915" s="463" t="s">
        <v>6919</v>
      </c>
      <c r="AB1915" s="462" t="s">
        <v>6920</v>
      </c>
      <c r="AC1915" s="462" t="s">
        <v>6921</v>
      </c>
      <c r="AD1915" s="464">
        <v>714.44994999999994</v>
      </c>
      <c r="AE1915" s="465">
        <v>34.367609999999999</v>
      </c>
      <c r="AF1915" s="86">
        <f>IF(verze!$E$1="CZK",AD1915,IF(verze!$E$1="SK",AE1915,""))</f>
        <v>34.367609999999999</v>
      </c>
    </row>
    <row r="1916" spans="27:32" ht="15">
      <c r="AA1916" s="463" t="s">
        <v>6922</v>
      </c>
      <c r="AB1916" s="462" t="s">
        <v>6923</v>
      </c>
      <c r="AC1916" s="462" t="s">
        <v>6924</v>
      </c>
      <c r="AD1916" s="464">
        <v>3599.38357</v>
      </c>
      <c r="AE1916" s="465">
        <v>164.89840000000001</v>
      </c>
      <c r="AF1916" s="86">
        <f>IF(verze!$E$1="CZK",AD1916,IF(verze!$E$1="SK",AE1916,""))</f>
        <v>164.89840000000001</v>
      </c>
    </row>
    <row r="1917" spans="27:32" ht="15">
      <c r="AA1917" s="463" t="s">
        <v>6925</v>
      </c>
      <c r="AB1917" s="462" t="s">
        <v>6926</v>
      </c>
      <c r="AC1917" s="462" t="s">
        <v>6927</v>
      </c>
      <c r="AD1917" s="464">
        <v>4077.7780499999999</v>
      </c>
      <c r="AE1917" s="465">
        <v>186.81507999999999</v>
      </c>
      <c r="AF1917" s="86">
        <f>IF(verze!$E$1="CZK",AD1917,IF(verze!$E$1="SK",AE1917,""))</f>
        <v>186.81507999999999</v>
      </c>
    </row>
    <row r="1918" spans="27:32" ht="15">
      <c r="AA1918" s="463" t="s">
        <v>6928</v>
      </c>
      <c r="AB1918" s="462" t="s">
        <v>6929</v>
      </c>
      <c r="AC1918" s="462" t="s">
        <v>6930</v>
      </c>
      <c r="AD1918" s="464">
        <v>5661.0445300000001</v>
      </c>
      <c r="AE1918" s="465">
        <v>259.3492</v>
      </c>
      <c r="AF1918" s="86">
        <f>IF(verze!$E$1="CZK",AD1918,IF(verze!$E$1="SK",AE1918,""))</f>
        <v>259.3492</v>
      </c>
    </row>
    <row r="1919" spans="27:32" ht="15">
      <c r="AA1919" s="463" t="s">
        <v>6928</v>
      </c>
      <c r="AB1919" s="462" t="s">
        <v>6931</v>
      </c>
      <c r="AC1919" s="462" t="s">
        <v>6932</v>
      </c>
      <c r="AD1919" s="464">
        <v>5510.4848400000001</v>
      </c>
      <c r="AE1919" s="465">
        <v>194.75837999999999</v>
      </c>
      <c r="AF1919" s="86">
        <f>IF(verze!$E$1="CZK",AD1919,IF(verze!$E$1="SK",AE1919,""))</f>
        <v>194.75837999999999</v>
      </c>
    </row>
    <row r="1920" spans="27:32" ht="15">
      <c r="AA1920" s="463" t="s">
        <v>6933</v>
      </c>
      <c r="AB1920" s="462" t="s">
        <v>6934</v>
      </c>
      <c r="AC1920" s="462" t="s">
        <v>6935</v>
      </c>
      <c r="AD1920" s="464">
        <v>4487.8326800000004</v>
      </c>
      <c r="AE1920" s="465">
        <v>205.6009</v>
      </c>
      <c r="AF1920" s="86">
        <f>IF(verze!$E$1="CZK",AD1920,IF(verze!$E$1="SK",AE1920,""))</f>
        <v>205.6009</v>
      </c>
    </row>
    <row r="1921" spans="27:32" ht="15">
      <c r="AA1921" s="463" t="s">
        <v>6936</v>
      </c>
      <c r="AB1921" s="462" t="s">
        <v>6937</v>
      </c>
      <c r="AC1921" s="462" t="s">
        <v>6938</v>
      </c>
      <c r="AD1921" s="464">
        <v>5000.39588</v>
      </c>
      <c r="AE1921" s="465">
        <v>229.08294000000001</v>
      </c>
      <c r="AF1921" s="86">
        <f>IF(verze!$E$1="CZK",AD1921,IF(verze!$E$1="SK",AE1921,""))</f>
        <v>229.08294000000001</v>
      </c>
    </row>
    <row r="1922" spans="27:32" ht="15">
      <c r="AA1922" s="463" t="s">
        <v>6939</v>
      </c>
      <c r="AB1922" s="462" t="s">
        <v>6940</v>
      </c>
      <c r="AC1922" s="462" t="s">
        <v>6941</v>
      </c>
      <c r="AD1922" s="464">
        <v>6128.0562200000004</v>
      </c>
      <c r="AE1922" s="465">
        <v>280.74439999999998</v>
      </c>
      <c r="AF1922" s="86">
        <f>IF(verze!$E$1="CZK",AD1922,IF(verze!$E$1="SK",AE1922,""))</f>
        <v>280.74439999999998</v>
      </c>
    </row>
    <row r="1923" spans="27:32" ht="15">
      <c r="AA1923" s="463" t="s">
        <v>6942</v>
      </c>
      <c r="AB1923" s="462" t="s">
        <v>6943</v>
      </c>
      <c r="AC1923" s="462" t="s">
        <v>6944</v>
      </c>
      <c r="AD1923" s="464">
        <v>9636.5803500000002</v>
      </c>
      <c r="AE1923" s="465">
        <v>441.48027999999999</v>
      </c>
      <c r="AF1923" s="86">
        <f>IF(verze!$E$1="CZK",AD1923,IF(verze!$E$1="SK",AE1923,""))</f>
        <v>441.48027999999999</v>
      </c>
    </row>
    <row r="1924" spans="27:32" ht="15">
      <c r="AA1924" s="463" t="s">
        <v>6945</v>
      </c>
      <c r="AB1924" s="462" t="s">
        <v>6946</v>
      </c>
      <c r="AC1924" s="462" t="s">
        <v>6947</v>
      </c>
      <c r="AD1924" s="464">
        <v>11336.546560000001</v>
      </c>
      <c r="AE1924" s="465">
        <v>519.36076000000003</v>
      </c>
      <c r="AF1924" s="86">
        <f>IF(verze!$E$1="CZK",AD1924,IF(verze!$E$1="SK",AE1924,""))</f>
        <v>519.36076000000003</v>
      </c>
    </row>
    <row r="1925" spans="27:32" ht="15">
      <c r="AA1925" s="463" t="s">
        <v>6948</v>
      </c>
      <c r="AB1925" s="462" t="s">
        <v>6949</v>
      </c>
      <c r="AC1925" s="462" t="s">
        <v>6950</v>
      </c>
      <c r="AD1925" s="464">
        <v>6002.3249999999998</v>
      </c>
      <c r="AE1925" s="465">
        <v>148.62899999999999</v>
      </c>
      <c r="AF1925" s="86">
        <f>IF(verze!$E$1="CZK",AD1925,IF(verze!$E$1="SK",AE1925,""))</f>
        <v>148.62899999999999</v>
      </c>
    </row>
    <row r="1926" spans="27:32" ht="15">
      <c r="AA1926" s="463" t="s">
        <v>6951</v>
      </c>
      <c r="AB1926" s="462" t="s">
        <v>6952</v>
      </c>
      <c r="AC1926" s="462" t="s">
        <v>6953</v>
      </c>
      <c r="AD1926" s="464">
        <v>5389.0419400000001</v>
      </c>
      <c r="AE1926" s="465">
        <v>246.88798</v>
      </c>
      <c r="AF1926" s="86">
        <f>IF(verze!$E$1="CZK",AD1926,IF(verze!$E$1="SK",AE1926,""))</f>
        <v>246.88798</v>
      </c>
    </row>
    <row r="1927" spans="27:32" ht="15">
      <c r="AA1927" s="463" t="s">
        <v>6954</v>
      </c>
      <c r="AB1927" s="462" t="s">
        <v>6955</v>
      </c>
      <c r="AC1927" s="462" t="s">
        <v>6956</v>
      </c>
      <c r="AD1927" s="464">
        <v>967.45993999999996</v>
      </c>
      <c r="AE1927" s="465">
        <v>44.322200000000002</v>
      </c>
      <c r="AF1927" s="86">
        <f>IF(verze!$E$1="CZK",AD1927,IF(verze!$E$1="SK",AE1927,""))</f>
        <v>44.322200000000002</v>
      </c>
    </row>
    <row r="1928" spans="27:32" ht="15">
      <c r="AA1928" s="463" t="s">
        <v>6957</v>
      </c>
      <c r="AB1928" s="462" t="s">
        <v>6958</v>
      </c>
      <c r="AC1928" s="462" t="s">
        <v>6959</v>
      </c>
      <c r="AD1928" s="464">
        <v>142.98531</v>
      </c>
      <c r="AE1928" s="465">
        <v>5.72011</v>
      </c>
      <c r="AF1928" s="86">
        <f>IF(verze!$E$1="CZK",AD1928,IF(verze!$E$1="SK",AE1928,""))</f>
        <v>5.72011</v>
      </c>
    </row>
    <row r="1929" spans="27:32" ht="15">
      <c r="AA1929" s="463" t="s">
        <v>6960</v>
      </c>
      <c r="AB1929" s="462" t="s">
        <v>6961</v>
      </c>
      <c r="AC1929" s="462" t="s">
        <v>6962</v>
      </c>
      <c r="AD1929" s="464">
        <v>156.84582</v>
      </c>
      <c r="AE1929" s="465">
        <v>6.2746199999999996</v>
      </c>
      <c r="AF1929" s="86">
        <f>IF(verze!$E$1="CZK",AD1929,IF(verze!$E$1="SK",AE1929,""))</f>
        <v>6.2746199999999996</v>
      </c>
    </row>
    <row r="1930" spans="27:32" ht="15">
      <c r="AA1930" s="463" t="s">
        <v>6963</v>
      </c>
      <c r="AB1930" s="462" t="s">
        <v>6964</v>
      </c>
      <c r="AC1930" s="462" t="s">
        <v>6965</v>
      </c>
      <c r="AD1930" s="464">
        <v>163.36592999999999</v>
      </c>
      <c r="AE1930" s="465">
        <v>6.53545</v>
      </c>
      <c r="AF1930" s="86">
        <f>IF(verze!$E$1="CZK",AD1930,IF(verze!$E$1="SK",AE1930,""))</f>
        <v>6.53545</v>
      </c>
    </row>
    <row r="1931" spans="27:32" ht="15">
      <c r="AA1931" s="463" t="s">
        <v>6966</v>
      </c>
      <c r="AB1931" s="462" t="s">
        <v>6967</v>
      </c>
      <c r="AC1931" s="462" t="s">
        <v>6968</v>
      </c>
      <c r="AD1931" s="464">
        <v>170.32476</v>
      </c>
      <c r="AE1931" s="465">
        <v>6.8138399999999999</v>
      </c>
      <c r="AF1931" s="86">
        <f>IF(verze!$E$1="CZK",AD1931,IF(verze!$E$1="SK",AE1931,""))</f>
        <v>6.8138399999999999</v>
      </c>
    </row>
    <row r="1932" spans="27:32" ht="15">
      <c r="AA1932" s="463" t="s">
        <v>6969</v>
      </c>
      <c r="AB1932" s="462" t="s">
        <v>6970</v>
      </c>
      <c r="AC1932" s="462" t="s">
        <v>6971</v>
      </c>
      <c r="AD1932" s="464">
        <v>237.09506999999999</v>
      </c>
      <c r="AE1932" s="465">
        <v>9.4849800000000002</v>
      </c>
      <c r="AF1932" s="86">
        <f>IF(verze!$E$1="CZK",AD1932,IF(verze!$E$1="SK",AE1932,""))</f>
        <v>9.4849800000000002</v>
      </c>
    </row>
    <row r="1933" spans="27:32" ht="15">
      <c r="AA1933" s="463" t="s">
        <v>6972</v>
      </c>
      <c r="AB1933" s="462" t="s">
        <v>6973</v>
      </c>
      <c r="AC1933" s="462" t="s">
        <v>6974</v>
      </c>
      <c r="AD1933" s="464">
        <v>250.96101999999999</v>
      </c>
      <c r="AE1933" s="465">
        <v>10.03969</v>
      </c>
      <c r="AF1933" s="86">
        <f>IF(verze!$E$1="CZK",AD1933,IF(verze!$E$1="SK",AE1933,""))</f>
        <v>10.03969</v>
      </c>
    </row>
    <row r="1934" spans="27:32" ht="15">
      <c r="AA1934" s="463" t="s">
        <v>6975</v>
      </c>
      <c r="AB1934" s="462" t="s">
        <v>6976</v>
      </c>
      <c r="AC1934" s="462" t="s">
        <v>6977</v>
      </c>
      <c r="AD1934" s="464">
        <v>543.31363999999996</v>
      </c>
      <c r="AE1934" s="465">
        <v>0</v>
      </c>
      <c r="AF1934" s="86">
        <f>IF(verze!$E$1="CZK",AD1934,IF(verze!$E$1="SK",AE1934,""))</f>
        <v>0</v>
      </c>
    </row>
    <row r="1935" spans="27:32" ht="15">
      <c r="AA1935" s="463" t="s">
        <v>6978</v>
      </c>
      <c r="AB1935" s="462" t="s">
        <v>6979</v>
      </c>
      <c r="AC1935" s="462" t="s">
        <v>6980</v>
      </c>
      <c r="AD1935" s="464">
        <v>1123.60097</v>
      </c>
      <c r="AE1935" s="465">
        <v>54.049250000000001</v>
      </c>
      <c r="AF1935" s="86">
        <f>IF(verze!$E$1="CZK",AD1935,IF(verze!$E$1="SK",AE1935,""))</f>
        <v>54.049250000000001</v>
      </c>
    </row>
    <row r="1936" spans="27:32" ht="15">
      <c r="AA1936" s="463" t="s">
        <v>6981</v>
      </c>
      <c r="AB1936" s="462" t="s">
        <v>6982</v>
      </c>
      <c r="AC1936" s="462" t="s">
        <v>6983</v>
      </c>
      <c r="AD1936" s="464">
        <v>1225.7508600000001</v>
      </c>
      <c r="AE1936" s="465">
        <v>58.963039999999999</v>
      </c>
      <c r="AF1936" s="86">
        <f>IF(verze!$E$1="CZK",AD1936,IF(verze!$E$1="SK",AE1936,""))</f>
        <v>58.963039999999999</v>
      </c>
    </row>
    <row r="1937" spans="27:32" ht="15">
      <c r="AA1937" s="463" t="s">
        <v>6984</v>
      </c>
      <c r="AB1937" s="462" t="s">
        <v>6985</v>
      </c>
      <c r="AC1937" s="462" t="s">
        <v>6986</v>
      </c>
      <c r="AD1937" s="464">
        <v>1327.8932</v>
      </c>
      <c r="AE1937" s="465">
        <v>63.876460000000002</v>
      </c>
      <c r="AF1937" s="86">
        <f>IF(verze!$E$1="CZK",AD1937,IF(verze!$E$1="SK",AE1937,""))</f>
        <v>63.876460000000002</v>
      </c>
    </row>
    <row r="1938" spans="27:32" ht="15">
      <c r="AA1938" s="463" t="s">
        <v>6987</v>
      </c>
      <c r="AB1938" s="462" t="s">
        <v>6988</v>
      </c>
      <c r="AC1938" s="462" t="s">
        <v>6989</v>
      </c>
      <c r="AD1938" s="464">
        <v>1430.04061</v>
      </c>
      <c r="AE1938" s="465">
        <v>68.790099999999995</v>
      </c>
      <c r="AF1938" s="86">
        <f>IF(verze!$E$1="CZK",AD1938,IF(verze!$E$1="SK",AE1938,""))</f>
        <v>68.790099999999995</v>
      </c>
    </row>
    <row r="1939" spans="27:32" ht="15">
      <c r="AA1939" s="463" t="s">
        <v>6990</v>
      </c>
      <c r="AB1939" s="462" t="s">
        <v>6991</v>
      </c>
      <c r="AC1939" s="462" t="s">
        <v>6992</v>
      </c>
      <c r="AD1939" s="464">
        <v>1685.4078</v>
      </c>
      <c r="AE1939" s="465">
        <v>81.074200000000005</v>
      </c>
      <c r="AF1939" s="86">
        <f>IF(verze!$E$1="CZK",AD1939,IF(verze!$E$1="SK",AE1939,""))</f>
        <v>81.074200000000005</v>
      </c>
    </row>
    <row r="1940" spans="27:32" ht="15">
      <c r="AA1940" s="463" t="s">
        <v>6993</v>
      </c>
      <c r="AB1940" s="462" t="s">
        <v>6994</v>
      </c>
      <c r="AC1940" s="462" t="s">
        <v>6995</v>
      </c>
      <c r="AD1940" s="464">
        <v>276.78992</v>
      </c>
      <c r="AE1940" s="465">
        <v>13.31461</v>
      </c>
      <c r="AF1940" s="86">
        <f>IF(verze!$E$1="CZK",AD1940,IF(verze!$E$1="SK",AE1940,""))</f>
        <v>13.31461</v>
      </c>
    </row>
    <row r="1941" spans="27:32" ht="15">
      <c r="AA1941" s="463" t="s">
        <v>6996</v>
      </c>
      <c r="AB1941" s="462" t="s">
        <v>6997</v>
      </c>
      <c r="AC1941" s="462" t="s">
        <v>6998</v>
      </c>
      <c r="AD1941" s="464">
        <v>328.00465000000003</v>
      </c>
      <c r="AE1941" s="465">
        <v>15.7782</v>
      </c>
      <c r="AF1941" s="86">
        <f>IF(verze!$E$1="CZK",AD1941,IF(verze!$E$1="SK",AE1941,""))</f>
        <v>15.7782</v>
      </c>
    </row>
    <row r="1942" spans="27:32" ht="15">
      <c r="AA1942" s="463" t="s">
        <v>6999</v>
      </c>
      <c r="AB1942" s="462" t="s">
        <v>7000</v>
      </c>
      <c r="AC1942" s="462" t="s">
        <v>7001</v>
      </c>
      <c r="AD1942" s="464">
        <v>357.57303000000002</v>
      </c>
      <c r="AE1942" s="465">
        <v>17.20055</v>
      </c>
      <c r="AF1942" s="86">
        <f>IF(verze!$E$1="CZK",AD1942,IF(verze!$E$1="SK",AE1942,""))</f>
        <v>17.20055</v>
      </c>
    </row>
    <row r="1943" spans="27:32" ht="15">
      <c r="AA1943" s="463" t="s">
        <v>7002</v>
      </c>
      <c r="AB1943" s="462" t="s">
        <v>7003</v>
      </c>
      <c r="AC1943" s="462" t="s">
        <v>7004</v>
      </c>
      <c r="AD1943" s="464">
        <v>383.55279000000002</v>
      </c>
      <c r="AE1943" s="465">
        <v>18.450289999999999</v>
      </c>
      <c r="AF1943" s="86">
        <f>IF(verze!$E$1="CZK",AD1943,IF(verze!$E$1="SK",AE1943,""))</f>
        <v>18.450289999999999</v>
      </c>
    </row>
    <row r="1944" spans="27:32" ht="15">
      <c r="AA1944" s="463" t="s">
        <v>7005</v>
      </c>
      <c r="AB1944" s="462" t="s">
        <v>7006</v>
      </c>
      <c r="AC1944" s="462" t="s">
        <v>7007</v>
      </c>
      <c r="AD1944" s="464">
        <v>411.25313999999997</v>
      </c>
      <c r="AE1944" s="465">
        <v>19.78276</v>
      </c>
      <c r="AF1944" s="86">
        <f>IF(verze!$E$1="CZK",AD1944,IF(verze!$E$1="SK",AE1944,""))</f>
        <v>19.78276</v>
      </c>
    </row>
    <row r="1945" spans="27:32" ht="15">
      <c r="AA1945" s="463" t="s">
        <v>7008</v>
      </c>
      <c r="AB1945" s="462" t="s">
        <v>7009</v>
      </c>
      <c r="AC1945" s="462" t="s">
        <v>7010</v>
      </c>
      <c r="AD1945" s="464">
        <v>458.79530999999997</v>
      </c>
      <c r="AE1945" s="465">
        <v>22.06972</v>
      </c>
      <c r="AF1945" s="86">
        <f>IF(verze!$E$1="CZK",AD1945,IF(verze!$E$1="SK",AE1945,""))</f>
        <v>22.06972</v>
      </c>
    </row>
    <row r="1946" spans="27:32" ht="15">
      <c r="AA1946" s="463" t="s">
        <v>7011</v>
      </c>
      <c r="AB1946" s="462" t="s">
        <v>7012</v>
      </c>
      <c r="AC1946" s="462" t="s">
        <v>7013</v>
      </c>
      <c r="AD1946" s="464">
        <v>489.17703</v>
      </c>
      <c r="AE1946" s="465">
        <v>23.531169999999999</v>
      </c>
      <c r="AF1946" s="86">
        <f>IF(verze!$E$1="CZK",AD1946,IF(verze!$E$1="SK",AE1946,""))</f>
        <v>23.531169999999999</v>
      </c>
    </row>
    <row r="1947" spans="27:32" ht="15">
      <c r="AA1947" s="463" t="s">
        <v>7014</v>
      </c>
      <c r="AB1947" s="462" t="s">
        <v>7015</v>
      </c>
      <c r="AC1947" s="462" t="s">
        <v>7016</v>
      </c>
      <c r="AD1947" s="464">
        <v>519.39858000000004</v>
      </c>
      <c r="AE1947" s="465">
        <v>24.984940000000002</v>
      </c>
      <c r="AF1947" s="86">
        <f>IF(verze!$E$1="CZK",AD1947,IF(verze!$E$1="SK",AE1947,""))</f>
        <v>24.984940000000002</v>
      </c>
    </row>
    <row r="1948" spans="27:32" ht="15">
      <c r="AA1948" s="463" t="s">
        <v>7017</v>
      </c>
      <c r="AB1948" s="462" t="s">
        <v>7018</v>
      </c>
      <c r="AC1948" s="462" t="s">
        <v>7019</v>
      </c>
      <c r="AD1948" s="464">
        <v>128.63452000000001</v>
      </c>
      <c r="AE1948" s="465">
        <v>5.1460400000000002</v>
      </c>
      <c r="AF1948" s="86">
        <f>IF(verze!$E$1="CZK",AD1948,IF(verze!$E$1="SK",AE1948,""))</f>
        <v>5.1460400000000002</v>
      </c>
    </row>
    <row r="1949" spans="27:32" ht="15">
      <c r="AA1949" s="463" t="s">
        <v>7020</v>
      </c>
      <c r="AB1949" s="462" t="s">
        <v>7021</v>
      </c>
      <c r="AC1949" s="462" t="s">
        <v>7022</v>
      </c>
      <c r="AD1949" s="464">
        <v>301.26634999999999</v>
      </c>
      <c r="AE1949" s="465">
        <v>13.8019</v>
      </c>
      <c r="AF1949" s="86">
        <f>IF(verze!$E$1="CZK",AD1949,IF(verze!$E$1="SK",AE1949,""))</f>
        <v>13.8019</v>
      </c>
    </row>
    <row r="1950" spans="27:32" ht="15">
      <c r="AA1950" s="463" t="s">
        <v>7023</v>
      </c>
      <c r="AB1950" s="462" t="s">
        <v>7024</v>
      </c>
      <c r="AC1950" s="462" t="s">
        <v>7025</v>
      </c>
      <c r="AD1950" s="464">
        <v>302.89150000000001</v>
      </c>
      <c r="AE1950" s="465">
        <v>13.35116</v>
      </c>
      <c r="AF1950" s="86">
        <f>IF(verze!$E$1="CZK",AD1950,IF(verze!$E$1="SK",AE1950,""))</f>
        <v>13.35116</v>
      </c>
    </row>
    <row r="1951" spans="27:32" ht="15">
      <c r="AA1951" s="463" t="s">
        <v>7026</v>
      </c>
      <c r="AB1951" s="462" t="s">
        <v>7027</v>
      </c>
      <c r="AC1951" s="462" t="s">
        <v>7028</v>
      </c>
      <c r="AD1951" s="464">
        <v>332.79052999999999</v>
      </c>
      <c r="AE1951" s="465">
        <v>15.246119999999999</v>
      </c>
      <c r="AF1951" s="86">
        <f>IF(verze!$E$1="CZK",AD1951,IF(verze!$E$1="SK",AE1951,""))</f>
        <v>15.246119999999999</v>
      </c>
    </row>
    <row r="1952" spans="27:32" ht="15">
      <c r="AA1952" s="463" t="s">
        <v>7029</v>
      </c>
      <c r="AB1952" s="462" t="s">
        <v>7030</v>
      </c>
      <c r="AC1952" s="462" t="s">
        <v>7031</v>
      </c>
      <c r="AD1952" s="464">
        <v>90.077929999999995</v>
      </c>
      <c r="AE1952" s="465">
        <v>3.60358</v>
      </c>
      <c r="AF1952" s="86">
        <f>IF(verze!$E$1="CZK",AD1952,IF(verze!$E$1="SK",AE1952,""))</f>
        <v>3.60358</v>
      </c>
    </row>
    <row r="1953" spans="27:32" ht="15">
      <c r="AA1953" s="463" t="s">
        <v>7032</v>
      </c>
      <c r="AB1953" s="462" t="s">
        <v>7033</v>
      </c>
      <c r="AC1953" s="462" t="s">
        <v>7034</v>
      </c>
      <c r="AD1953" s="464">
        <v>142.74646000000001</v>
      </c>
      <c r="AE1953" s="465">
        <v>5.7105699999999997</v>
      </c>
      <c r="AF1953" s="86">
        <f>IF(verze!$E$1="CZK",AD1953,IF(verze!$E$1="SK",AE1953,""))</f>
        <v>5.7105699999999997</v>
      </c>
    </row>
    <row r="1954" spans="27:32" ht="15">
      <c r="AA1954" s="463" t="s">
        <v>7035</v>
      </c>
      <c r="AB1954" s="462" t="s">
        <v>7036</v>
      </c>
      <c r="AC1954" s="462" t="s">
        <v>7037</v>
      </c>
      <c r="AD1954" s="464">
        <v>70.611919999999998</v>
      </c>
      <c r="AE1954" s="465">
        <v>2.8248199999999999</v>
      </c>
      <c r="AF1954" s="86">
        <f>IF(verze!$E$1="CZK",AD1954,IF(verze!$E$1="SK",AE1954,""))</f>
        <v>2.8248199999999999</v>
      </c>
    </row>
    <row r="1955" spans="27:32" ht="15">
      <c r="AA1955" s="463" t="s">
        <v>7038</v>
      </c>
      <c r="AB1955" s="462" t="s">
        <v>7039</v>
      </c>
      <c r="AC1955" s="462" t="s">
        <v>7040</v>
      </c>
      <c r="AD1955" s="464">
        <v>109.13269</v>
      </c>
      <c r="AE1955" s="465">
        <v>4.3658400000000004</v>
      </c>
      <c r="AF1955" s="86">
        <f>IF(verze!$E$1="CZK",AD1955,IF(verze!$E$1="SK",AE1955,""))</f>
        <v>4.3658400000000004</v>
      </c>
    </row>
    <row r="1956" spans="27:32" ht="15">
      <c r="AA1956" s="463" t="s">
        <v>7041</v>
      </c>
      <c r="AB1956" s="462" t="s">
        <v>7042</v>
      </c>
      <c r="AC1956" s="462" t="s">
        <v>7043</v>
      </c>
      <c r="AD1956" s="464">
        <v>70.611919999999998</v>
      </c>
      <c r="AE1956" s="465">
        <v>2.8248199999999999</v>
      </c>
      <c r="AF1956" s="86">
        <f>IF(verze!$E$1="CZK",AD1956,IF(verze!$E$1="SK",AE1956,""))</f>
        <v>2.8248199999999999</v>
      </c>
    </row>
    <row r="1957" spans="27:32" ht="15">
      <c r="AA1957" s="463" t="s">
        <v>7044</v>
      </c>
      <c r="AB1957" s="462" t="s">
        <v>7045</v>
      </c>
      <c r="AC1957" s="462" t="s">
        <v>7046</v>
      </c>
      <c r="AD1957" s="464">
        <v>93.381690000000006</v>
      </c>
      <c r="AE1957" s="465">
        <v>4.4920099999999996</v>
      </c>
      <c r="AF1957" s="86">
        <f>IF(verze!$E$1="CZK",AD1957,IF(verze!$E$1="SK",AE1957,""))</f>
        <v>4.4920099999999996</v>
      </c>
    </row>
    <row r="1958" spans="27:32" ht="15">
      <c r="AA1958" s="463" t="s">
        <v>7047</v>
      </c>
      <c r="AB1958" s="462" t="s">
        <v>7048</v>
      </c>
      <c r="AC1958" s="462" t="s">
        <v>7049</v>
      </c>
      <c r="AD1958" s="464">
        <v>141.34273999999999</v>
      </c>
      <c r="AE1958" s="465">
        <v>6.7991099999999998</v>
      </c>
      <c r="AF1958" s="86">
        <f>IF(verze!$E$1="CZK",AD1958,IF(verze!$E$1="SK",AE1958,""))</f>
        <v>6.7991099999999998</v>
      </c>
    </row>
    <row r="1959" spans="27:32" ht="15">
      <c r="AA1959" s="463" t="s">
        <v>7050</v>
      </c>
      <c r="AB1959" s="462" t="s">
        <v>7051</v>
      </c>
      <c r="AC1959" s="462" t="s">
        <v>7052</v>
      </c>
      <c r="AD1959" s="464">
        <v>367.18207000000001</v>
      </c>
      <c r="AE1959" s="465">
        <v>14.689109999999999</v>
      </c>
      <c r="AF1959" s="86">
        <f>IF(verze!$E$1="CZK",AD1959,IF(verze!$E$1="SK",AE1959,""))</f>
        <v>14.689109999999999</v>
      </c>
    </row>
    <row r="1960" spans="27:32" ht="15">
      <c r="AA1960" s="463" t="s">
        <v>7053</v>
      </c>
      <c r="AB1960" s="462" t="s">
        <v>7054</v>
      </c>
      <c r="AC1960" s="462" t="s">
        <v>7055</v>
      </c>
      <c r="AD1960" s="464">
        <v>273.87921</v>
      </c>
      <c r="AE1960" s="465">
        <v>12.547219999999999</v>
      </c>
      <c r="AF1960" s="86">
        <f>IF(verze!$E$1="CZK",AD1960,IF(verze!$E$1="SK",AE1960,""))</f>
        <v>12.547219999999999</v>
      </c>
    </row>
    <row r="1961" spans="27:32" ht="15">
      <c r="AA1961" s="463" t="s">
        <v>7056</v>
      </c>
      <c r="AB1961" s="462" t="s">
        <v>7057</v>
      </c>
      <c r="AC1961" s="462" t="s">
        <v>7058</v>
      </c>
      <c r="AD1961" s="464">
        <v>273.87921</v>
      </c>
      <c r="AE1961" s="465">
        <v>12.547219999999999</v>
      </c>
      <c r="AF1961" s="86">
        <f>IF(verze!$E$1="CZK",AD1961,IF(verze!$E$1="SK",AE1961,""))</f>
        <v>12.547219999999999</v>
      </c>
    </row>
    <row r="1962" spans="27:32" ht="15">
      <c r="AA1962" s="463" t="s">
        <v>7059</v>
      </c>
      <c r="AB1962" s="462" t="s">
        <v>7060</v>
      </c>
      <c r="AC1962" s="462" t="s">
        <v>7061</v>
      </c>
      <c r="AD1962" s="464">
        <v>157.37397000000001</v>
      </c>
      <c r="AE1962" s="465">
        <v>7.2097600000000002</v>
      </c>
      <c r="AF1962" s="86">
        <f>IF(verze!$E$1="CZK",AD1962,IF(verze!$E$1="SK",AE1962,""))</f>
        <v>7.2097600000000002</v>
      </c>
    </row>
    <row r="1963" spans="27:32" ht="15">
      <c r="AA1963" s="463" t="s">
        <v>7062</v>
      </c>
      <c r="AB1963" s="462" t="s">
        <v>7063</v>
      </c>
      <c r="AC1963" s="462" t="s">
        <v>7064</v>
      </c>
      <c r="AD1963" s="464">
        <v>4328.8355300000003</v>
      </c>
      <c r="AE1963" s="465">
        <v>198.31675999999999</v>
      </c>
      <c r="AF1963" s="86">
        <f>IF(verze!$E$1="CZK",AD1963,IF(verze!$E$1="SK",AE1963,""))</f>
        <v>198.31675999999999</v>
      </c>
    </row>
    <row r="1964" spans="27:32" ht="15">
      <c r="AA1964" s="463" t="s">
        <v>7065</v>
      </c>
      <c r="AB1964" s="462" t="s">
        <v>7066</v>
      </c>
      <c r="AC1964" s="462" t="s">
        <v>7067</v>
      </c>
      <c r="AD1964" s="464">
        <v>4586.7851199999996</v>
      </c>
      <c r="AE1964" s="465">
        <v>210.13419999999999</v>
      </c>
      <c r="AF1964" s="86">
        <f>IF(verze!$E$1="CZK",AD1964,IF(verze!$E$1="SK",AE1964,""))</f>
        <v>210.13419999999999</v>
      </c>
    </row>
    <row r="1965" spans="27:32" ht="15">
      <c r="AA1965" s="463" t="s">
        <v>7068</v>
      </c>
      <c r="AB1965" s="462" t="s">
        <v>7069</v>
      </c>
      <c r="AC1965" s="462" t="s">
        <v>7070</v>
      </c>
      <c r="AD1965" s="464">
        <v>1625.2949699999999</v>
      </c>
      <c r="AE1965" s="465">
        <v>74.459559999999996</v>
      </c>
      <c r="AF1965" s="86">
        <f>IF(verze!$E$1="CZK",AD1965,IF(verze!$E$1="SK",AE1965,""))</f>
        <v>74.459559999999996</v>
      </c>
    </row>
    <row r="1966" spans="27:32" ht="15">
      <c r="AA1966" s="463" t="s">
        <v>7071</v>
      </c>
      <c r="AB1966" s="462" t="s">
        <v>7072</v>
      </c>
      <c r="AC1966" s="462" t="s">
        <v>7073</v>
      </c>
      <c r="AD1966" s="464">
        <v>1838.2026000000001</v>
      </c>
      <c r="AE1966" s="465">
        <v>84.213499999999996</v>
      </c>
      <c r="AF1966" s="86">
        <f>IF(verze!$E$1="CZK",AD1966,IF(verze!$E$1="SK",AE1966,""))</f>
        <v>84.213499999999996</v>
      </c>
    </row>
    <row r="1967" spans="27:32" ht="15">
      <c r="AA1967" s="463" t="s">
        <v>7074</v>
      </c>
      <c r="AB1967" s="462" t="s">
        <v>7075</v>
      </c>
      <c r="AC1967" s="462" t="s">
        <v>7076</v>
      </c>
      <c r="AD1967" s="464">
        <v>1222.16661</v>
      </c>
      <c r="AE1967" s="465">
        <v>58.790610000000001</v>
      </c>
      <c r="AF1967" s="86">
        <f>IF(verze!$E$1="CZK",AD1967,IF(verze!$E$1="SK",AE1967,""))</f>
        <v>58.790610000000001</v>
      </c>
    </row>
    <row r="1968" spans="27:32" ht="15">
      <c r="AA1968" s="463" t="s">
        <v>7077</v>
      </c>
      <c r="AB1968" s="462" t="s">
        <v>7078</v>
      </c>
      <c r="AC1968" s="462" t="s">
        <v>7079</v>
      </c>
      <c r="AD1968" s="464">
        <v>1235.4541300000001</v>
      </c>
      <c r="AE1968" s="465">
        <v>59.429810000000003</v>
      </c>
      <c r="AF1968" s="86">
        <f>IF(verze!$E$1="CZK",AD1968,IF(verze!$E$1="SK",AE1968,""))</f>
        <v>59.429810000000003</v>
      </c>
    </row>
    <row r="1969" spans="27:32" ht="15">
      <c r="AA1969" s="463" t="s">
        <v>7080</v>
      </c>
      <c r="AB1969" s="462" t="s">
        <v>7081</v>
      </c>
      <c r="AC1969" s="462" t="s">
        <v>7082</v>
      </c>
      <c r="AD1969" s="464">
        <v>486.44333999999998</v>
      </c>
      <c r="AE1969" s="465">
        <v>23.39969</v>
      </c>
      <c r="AF1969" s="86">
        <f>IF(verze!$E$1="CZK",AD1969,IF(verze!$E$1="SK",AE1969,""))</f>
        <v>23.39969</v>
      </c>
    </row>
    <row r="1970" spans="27:32" ht="15">
      <c r="AA1970" s="463" t="s">
        <v>7083</v>
      </c>
      <c r="AB1970" s="462" t="s">
        <v>7084</v>
      </c>
      <c r="AC1970" s="462" t="s">
        <v>7085</v>
      </c>
      <c r="AD1970" s="464">
        <v>1015.3586299999999</v>
      </c>
      <c r="AE1970" s="465">
        <v>48.842410000000001</v>
      </c>
      <c r="AF1970" s="86">
        <f>IF(verze!$E$1="CZK",AD1970,IF(verze!$E$1="SK",AE1970,""))</f>
        <v>48.842410000000001</v>
      </c>
    </row>
    <row r="1971" spans="27:32" ht="15">
      <c r="AA1971" s="463" t="s">
        <v>7086</v>
      </c>
      <c r="AB1971" s="462" t="s">
        <v>7087</v>
      </c>
      <c r="AC1971" s="462" t="s">
        <v>7088</v>
      </c>
      <c r="AD1971" s="464">
        <v>836.12424999999996</v>
      </c>
      <c r="AE1971" s="465">
        <v>40.220590000000001</v>
      </c>
      <c r="AF1971" s="86">
        <f>IF(verze!$E$1="CZK",AD1971,IF(verze!$E$1="SK",AE1971,""))</f>
        <v>40.220590000000001</v>
      </c>
    </row>
    <row r="1972" spans="27:32" ht="15">
      <c r="AA1972" s="463" t="s">
        <v>7089</v>
      </c>
      <c r="AB1972" s="462" t="s">
        <v>7090</v>
      </c>
      <c r="AC1972" s="462" t="s">
        <v>7091</v>
      </c>
      <c r="AD1972" s="464">
        <v>102.2657</v>
      </c>
      <c r="AE1972" s="465">
        <v>4.9193600000000002</v>
      </c>
      <c r="AF1972" s="86">
        <f>IF(verze!$E$1="CZK",AD1972,IF(verze!$E$1="SK",AE1972,""))</f>
        <v>4.9193600000000002</v>
      </c>
    </row>
    <row r="1973" spans="27:32" ht="15">
      <c r="AA1973" s="463" t="s">
        <v>7092</v>
      </c>
      <c r="AB1973" s="462" t="s">
        <v>7093</v>
      </c>
      <c r="AC1973" s="462" t="s">
        <v>7094</v>
      </c>
      <c r="AD1973" s="464">
        <v>1445.3535300000001</v>
      </c>
      <c r="AE1973" s="465">
        <v>69.526719999999997</v>
      </c>
      <c r="AF1973" s="86">
        <f>IF(verze!$E$1="CZK",AD1973,IF(verze!$E$1="SK",AE1973,""))</f>
        <v>69.526719999999997</v>
      </c>
    </row>
    <row r="1974" spans="27:32" ht="15">
      <c r="AA1974" s="463" t="s">
        <v>7095</v>
      </c>
      <c r="AB1974" s="462" t="s">
        <v>7096</v>
      </c>
      <c r="AC1974" s="462" t="s">
        <v>7097</v>
      </c>
      <c r="AD1974" s="464">
        <v>79.806190000000001</v>
      </c>
      <c r="AE1974" s="465">
        <v>3.8389700000000002</v>
      </c>
      <c r="AF1974" s="86">
        <f>IF(verze!$E$1="CZK",AD1974,IF(verze!$E$1="SK",AE1974,""))</f>
        <v>3.8389700000000002</v>
      </c>
    </row>
    <row r="1975" spans="27:32" ht="15">
      <c r="AA1975" s="463" t="s">
        <v>7098</v>
      </c>
      <c r="AB1975" s="462" t="s">
        <v>7099</v>
      </c>
      <c r="AC1975" s="462" t="s">
        <v>7100</v>
      </c>
      <c r="AD1975" s="464">
        <v>28.86009</v>
      </c>
      <c r="AE1975" s="465">
        <v>1.38829</v>
      </c>
      <c r="AF1975" s="86">
        <f>IF(verze!$E$1="CZK",AD1975,IF(verze!$E$1="SK",AE1975,""))</f>
        <v>1.38829</v>
      </c>
    </row>
    <row r="1976" spans="27:32" ht="15">
      <c r="AA1976" s="463" t="s">
        <v>7101</v>
      </c>
      <c r="AB1976" s="462" t="s">
        <v>7102</v>
      </c>
      <c r="AC1976" s="462" t="s">
        <v>7103</v>
      </c>
      <c r="AD1976" s="464">
        <v>231.57543000000001</v>
      </c>
      <c r="AE1976" s="465">
        <v>9.2641799999999996</v>
      </c>
      <c r="AF1976" s="86">
        <f>IF(verze!$E$1="CZK",AD1976,IF(verze!$E$1="SK",AE1976,""))</f>
        <v>9.2641799999999996</v>
      </c>
    </row>
    <row r="1977" spans="27:32" ht="15">
      <c r="AA1977" s="463" t="s">
        <v>7104</v>
      </c>
      <c r="AB1977" s="462" t="s">
        <v>7105</v>
      </c>
      <c r="AC1977" s="462" t="s">
        <v>7106</v>
      </c>
      <c r="AD1977" s="464">
        <v>2.5537700000000001</v>
      </c>
      <c r="AE1977" s="465">
        <v>0.12285</v>
      </c>
      <c r="AF1977" s="86">
        <f>IF(verze!$E$1="CZK",AD1977,IF(verze!$E$1="SK",AE1977,""))</f>
        <v>0.12285</v>
      </c>
    </row>
    <row r="1978" spans="27:32" ht="15">
      <c r="AA1978" s="463" t="s">
        <v>7107</v>
      </c>
      <c r="AB1978" s="462" t="s">
        <v>7108</v>
      </c>
      <c r="AC1978" s="462" t="s">
        <v>7109</v>
      </c>
      <c r="AD1978" s="464">
        <v>3.2477</v>
      </c>
      <c r="AE1978" s="465">
        <v>0.15622</v>
      </c>
      <c r="AF1978" s="86">
        <f>IF(verze!$E$1="CZK",AD1978,IF(verze!$E$1="SK",AE1978,""))</f>
        <v>0.15622</v>
      </c>
    </row>
    <row r="1979" spans="27:32" ht="15">
      <c r="AA1979" s="463" t="s">
        <v>7110</v>
      </c>
      <c r="AB1979" s="462" t="s">
        <v>7111</v>
      </c>
      <c r="AC1979" s="462" t="s">
        <v>7112</v>
      </c>
      <c r="AD1979" s="464">
        <v>0</v>
      </c>
      <c r="AE1979" s="465">
        <v>0</v>
      </c>
      <c r="AF1979" s="86">
        <f>IF(verze!$E$1="CZK",AD1979,IF(verze!$E$1="SK",AE1979,""))</f>
        <v>0</v>
      </c>
    </row>
    <row r="1980" spans="27:32" ht="15">
      <c r="AA1980" s="463" t="s">
        <v>7113</v>
      </c>
      <c r="AB1980" s="462" t="s">
        <v>7114</v>
      </c>
      <c r="AC1980" s="462" t="s">
        <v>7115</v>
      </c>
      <c r="AD1980" s="464">
        <v>182.50297</v>
      </c>
      <c r="AE1980" s="465">
        <v>8.7790499999999998</v>
      </c>
      <c r="AF1980" s="86">
        <f>IF(verze!$E$1="CZK",AD1980,IF(verze!$E$1="SK",AE1980,""))</f>
        <v>8.7790499999999998</v>
      </c>
    </row>
    <row r="1981" spans="27:32" ht="15">
      <c r="AA1981" s="463" t="s">
        <v>7116</v>
      </c>
      <c r="AB1981" s="462" t="s">
        <v>7117</v>
      </c>
      <c r="AC1981" s="462" t="s">
        <v>7118</v>
      </c>
      <c r="AD1981" s="464">
        <v>182.50297</v>
      </c>
      <c r="AE1981" s="465">
        <v>8.7790499999999998</v>
      </c>
      <c r="AF1981" s="86">
        <f>IF(verze!$E$1="CZK",AD1981,IF(verze!$E$1="SK",AE1981,""))</f>
        <v>8.7790499999999998</v>
      </c>
    </row>
    <row r="1982" spans="27:32" ht="15">
      <c r="AA1982" s="463" t="s">
        <v>7119</v>
      </c>
      <c r="AB1982" s="462" t="s">
        <v>7120</v>
      </c>
      <c r="AC1982" s="462" t="s">
        <v>7121</v>
      </c>
      <c r="AD1982" s="464">
        <v>287.41746000000001</v>
      </c>
      <c r="AE1982" s="465">
        <v>11.498139999999999</v>
      </c>
      <c r="AF1982" s="86">
        <f>IF(verze!$E$1="CZK",AD1982,IF(verze!$E$1="SK",AE1982,""))</f>
        <v>11.498139999999999</v>
      </c>
    </row>
    <row r="1983" spans="27:32" ht="15">
      <c r="AA1983" s="463" t="s">
        <v>7119</v>
      </c>
      <c r="AB1983" s="462" t="s">
        <v>7122</v>
      </c>
      <c r="AC1983" s="462" t="s">
        <v>7123</v>
      </c>
      <c r="AD1983" s="464">
        <v>108.6644</v>
      </c>
      <c r="AE1983" s="465">
        <v>4.3768500000000001</v>
      </c>
      <c r="AF1983" s="86">
        <f>IF(verze!$E$1="CZK",AD1983,IF(verze!$E$1="SK",AE1983,""))</f>
        <v>4.3768500000000001</v>
      </c>
    </row>
    <row r="1984" spans="27:32" ht="15">
      <c r="AA1984" s="463" t="s">
        <v>7124</v>
      </c>
      <c r="AB1984" s="462" t="s">
        <v>7125</v>
      </c>
      <c r="AC1984" s="462" t="s">
        <v>7126</v>
      </c>
      <c r="AD1984" s="464">
        <v>197.57621</v>
      </c>
      <c r="AE1984" s="465">
        <v>9.5041399999999996</v>
      </c>
      <c r="AF1984" s="86">
        <f>IF(verze!$E$1="CZK",AD1984,IF(verze!$E$1="SK",AE1984,""))</f>
        <v>9.5041399999999996</v>
      </c>
    </row>
    <row r="1985" spans="27:32" ht="15">
      <c r="AA1985" s="463" t="s">
        <v>7127</v>
      </c>
      <c r="AB1985" s="462" t="s">
        <v>7128</v>
      </c>
      <c r="AC1985" s="462" t="s">
        <v>7129</v>
      </c>
      <c r="AD1985" s="464">
        <v>399.76085</v>
      </c>
      <c r="AE1985" s="465">
        <v>19.229949999999999</v>
      </c>
      <c r="AF1985" s="86">
        <f>IF(verze!$E$1="CZK",AD1985,IF(verze!$E$1="SK",AE1985,""))</f>
        <v>19.229949999999999</v>
      </c>
    </row>
    <row r="1986" spans="27:32" ht="15">
      <c r="AA1986" s="463" t="s">
        <v>7130</v>
      </c>
      <c r="AB1986" s="462" t="s">
        <v>7131</v>
      </c>
      <c r="AC1986" s="462" t="s">
        <v>7132</v>
      </c>
      <c r="AD1986" s="464">
        <v>255.58546000000001</v>
      </c>
      <c r="AE1986" s="465">
        <v>10.48246</v>
      </c>
      <c r="AF1986" s="86">
        <f>IF(verze!$E$1="CZK",AD1986,IF(verze!$E$1="SK",AE1986,""))</f>
        <v>10.48246</v>
      </c>
    </row>
    <row r="1987" spans="27:32" ht="15">
      <c r="AA1987" s="463" t="s">
        <v>7133</v>
      </c>
      <c r="AB1987" s="462" t="s">
        <v>7134</v>
      </c>
      <c r="AC1987" s="462" t="s">
        <v>7135</v>
      </c>
      <c r="AD1987" s="464">
        <v>94.130849999999995</v>
      </c>
      <c r="AE1987" s="465">
        <v>0</v>
      </c>
      <c r="AF1987" s="86">
        <f>IF(verze!$E$1="CZK",AD1987,IF(verze!$E$1="SK",AE1987,""))</f>
        <v>0</v>
      </c>
    </row>
    <row r="1988" spans="27:32" ht="15">
      <c r="AA1988" s="463" t="s">
        <v>7136</v>
      </c>
      <c r="AB1988" s="462" t="s">
        <v>7137</v>
      </c>
      <c r="AC1988" s="462" t="s">
        <v>7138</v>
      </c>
      <c r="AD1988" s="464">
        <v>238.23835</v>
      </c>
      <c r="AE1988" s="465">
        <v>0</v>
      </c>
      <c r="AF1988" s="86">
        <f>IF(verze!$E$1="CZK",AD1988,IF(verze!$E$1="SK",AE1988,""))</f>
        <v>0</v>
      </c>
    </row>
    <row r="1989" spans="27:32" ht="15">
      <c r="AA1989" s="463" t="s">
        <v>7139</v>
      </c>
      <c r="AB1989" s="462" t="s">
        <v>7140</v>
      </c>
      <c r="AC1989" s="462" t="s">
        <v>7141</v>
      </c>
      <c r="AD1989" s="464">
        <v>7493.33734</v>
      </c>
      <c r="AE1989" s="465">
        <v>299.77078999999998</v>
      </c>
      <c r="AF1989" s="86">
        <f>IF(verze!$E$1="CZK",AD1989,IF(verze!$E$1="SK",AE1989,""))</f>
        <v>299.77078999999998</v>
      </c>
    </row>
    <row r="1990" spans="27:32" ht="15">
      <c r="AA1990" s="463" t="s">
        <v>7142</v>
      </c>
      <c r="AB1990" s="462" t="s">
        <v>7143</v>
      </c>
      <c r="AC1990" s="462" t="s">
        <v>7144</v>
      </c>
      <c r="AD1990" s="464">
        <v>1296.3312900000001</v>
      </c>
      <c r="AE1990" s="465">
        <v>59.388779999999997</v>
      </c>
      <c r="AF1990" s="86">
        <f>IF(verze!$E$1="CZK",AD1990,IF(verze!$E$1="SK",AE1990,""))</f>
        <v>59.388779999999997</v>
      </c>
    </row>
    <row r="1991" spans="27:32" ht="15">
      <c r="AA1991" s="463" t="s">
        <v>7145</v>
      </c>
      <c r="AB1991" s="462" t="s">
        <v>7146</v>
      </c>
      <c r="AC1991" s="462" t="s">
        <v>7147</v>
      </c>
      <c r="AD1991" s="464">
        <v>1296.3312900000001</v>
      </c>
      <c r="AE1991" s="465">
        <v>59.388779999999997</v>
      </c>
      <c r="AF1991" s="86">
        <f>IF(verze!$E$1="CZK",AD1991,IF(verze!$E$1="SK",AE1991,""))</f>
        <v>59.388779999999997</v>
      </c>
    </row>
    <row r="1992" spans="27:32" ht="15">
      <c r="AA1992" s="463" t="s">
        <v>7148</v>
      </c>
      <c r="AB1992" s="462" t="s">
        <v>7149</v>
      </c>
      <c r="AC1992" s="462" t="s">
        <v>7150</v>
      </c>
      <c r="AD1992" s="464">
        <v>927.92773</v>
      </c>
      <c r="AE1992" s="465">
        <v>42.511119999999998</v>
      </c>
      <c r="AF1992" s="86">
        <f>IF(verze!$E$1="CZK",AD1992,IF(verze!$E$1="SK",AE1992,""))</f>
        <v>42.511119999999998</v>
      </c>
    </row>
    <row r="1993" spans="27:32" ht="15">
      <c r="AA1993" s="463" t="s">
        <v>7151</v>
      </c>
      <c r="AB1993" s="462" t="s">
        <v>7152</v>
      </c>
      <c r="AC1993" s="462" t="s">
        <v>7153</v>
      </c>
      <c r="AD1993" s="464">
        <v>927.92773</v>
      </c>
      <c r="AE1993" s="465">
        <v>42.511119999999998</v>
      </c>
      <c r="AF1993" s="86">
        <f>IF(verze!$E$1="CZK",AD1993,IF(verze!$E$1="SK",AE1993,""))</f>
        <v>42.511119999999998</v>
      </c>
    </row>
    <row r="1994" spans="27:32" ht="15">
      <c r="AA1994" s="463" t="s">
        <v>7154</v>
      </c>
      <c r="AB1994" s="462" t="s">
        <v>7155</v>
      </c>
      <c r="AC1994" s="462" t="s">
        <v>7156</v>
      </c>
      <c r="AD1994" s="464">
        <v>1132.3714500000001</v>
      </c>
      <c r="AE1994" s="465">
        <v>51.877279999999999</v>
      </c>
      <c r="AF1994" s="86">
        <f>IF(verze!$E$1="CZK",AD1994,IF(verze!$E$1="SK",AE1994,""))</f>
        <v>51.877279999999999</v>
      </c>
    </row>
    <row r="1995" spans="27:32" ht="15">
      <c r="AA1995" s="463" t="s">
        <v>7157</v>
      </c>
      <c r="AB1995" s="462" t="s">
        <v>7158</v>
      </c>
      <c r="AC1995" s="462" t="s">
        <v>7159</v>
      </c>
      <c r="AD1995" s="464">
        <v>763.92727000000002</v>
      </c>
      <c r="AE1995" s="465">
        <v>34.99776</v>
      </c>
      <c r="AF1995" s="86">
        <f>IF(verze!$E$1="CZK",AD1995,IF(verze!$E$1="SK",AE1995,""))</f>
        <v>34.99776</v>
      </c>
    </row>
    <row r="1996" spans="27:32" ht="15">
      <c r="AA1996" s="463" t="s">
        <v>7160</v>
      </c>
      <c r="AB1996" s="462" t="s">
        <v>7161</v>
      </c>
      <c r="AC1996" s="462" t="s">
        <v>7162</v>
      </c>
      <c r="AD1996" s="464">
        <v>763.92727000000002</v>
      </c>
      <c r="AE1996" s="465">
        <v>34.99776</v>
      </c>
      <c r="AF1996" s="86">
        <f>IF(verze!$E$1="CZK",AD1996,IF(verze!$E$1="SK",AE1996,""))</f>
        <v>34.99776</v>
      </c>
    </row>
    <row r="1997" spans="27:32" ht="15">
      <c r="AA1997" s="463" t="s">
        <v>7163</v>
      </c>
      <c r="AB1997" s="462" t="s">
        <v>7164</v>
      </c>
      <c r="AC1997" s="462" t="s">
        <v>7165</v>
      </c>
      <c r="AD1997" s="464">
        <v>43.405050000000003</v>
      </c>
      <c r="AE1997" s="465">
        <v>1.9885200000000001</v>
      </c>
      <c r="AF1997" s="86">
        <f>IF(verze!$E$1="CZK",AD1997,IF(verze!$E$1="SK",AE1997,""))</f>
        <v>1.9885200000000001</v>
      </c>
    </row>
    <row r="1998" spans="27:32" ht="15">
      <c r="AA1998" s="463" t="s">
        <v>7166</v>
      </c>
      <c r="AB1998" s="462" t="s">
        <v>7167</v>
      </c>
      <c r="AC1998" s="462" t="s">
        <v>7168</v>
      </c>
      <c r="AD1998" s="464">
        <v>188.48889</v>
      </c>
      <c r="AE1998" s="465">
        <v>8.6352399999999996</v>
      </c>
      <c r="AF1998" s="86">
        <f>IF(verze!$E$1="CZK",AD1998,IF(verze!$E$1="SK",AE1998,""))</f>
        <v>8.6352399999999996</v>
      </c>
    </row>
    <row r="1999" spans="27:32" ht="15">
      <c r="AA1999" s="463" t="s">
        <v>7169</v>
      </c>
      <c r="AB1999" s="462" t="s">
        <v>7170</v>
      </c>
      <c r="AC1999" s="462" t="s">
        <v>7171</v>
      </c>
      <c r="AD1999" s="464">
        <v>42.982460000000003</v>
      </c>
      <c r="AE1999" s="465">
        <v>1.96916</v>
      </c>
      <c r="AF1999" s="86">
        <f>IF(verze!$E$1="CZK",AD1999,IF(verze!$E$1="SK",AE1999,""))</f>
        <v>1.96916</v>
      </c>
    </row>
    <row r="2000" spans="27:32" ht="15">
      <c r="AA2000" s="463" t="s">
        <v>7172</v>
      </c>
      <c r="AB2000" s="462" t="s">
        <v>7173</v>
      </c>
      <c r="AC2000" s="462" t="s">
        <v>7174</v>
      </c>
      <c r="AD2000" s="464">
        <v>122.15013999999999</v>
      </c>
      <c r="AE2000" s="465">
        <v>5.8758600000000003</v>
      </c>
      <c r="AF2000" s="86">
        <f>IF(verze!$E$1="CZK",AD2000,IF(verze!$E$1="SK",AE2000,""))</f>
        <v>5.8758600000000003</v>
      </c>
    </row>
    <row r="2001" spans="27:32" ht="15">
      <c r="AA2001" s="463" t="s">
        <v>7175</v>
      </c>
      <c r="AB2001" s="462" t="s">
        <v>7176</v>
      </c>
      <c r="AC2001" s="462" t="s">
        <v>7177</v>
      </c>
      <c r="AD2001" s="464">
        <v>155.85626999999999</v>
      </c>
      <c r="AE2001" s="465">
        <v>7.4972500000000002</v>
      </c>
      <c r="AF2001" s="86">
        <f>IF(verze!$E$1="CZK",AD2001,IF(verze!$E$1="SK",AE2001,""))</f>
        <v>7.4972500000000002</v>
      </c>
    </row>
    <row r="2002" spans="27:32" ht="15">
      <c r="AA2002" s="463" t="s">
        <v>7178</v>
      </c>
      <c r="AB2002" s="462" t="s">
        <v>7179</v>
      </c>
      <c r="AC2002" s="462" t="s">
        <v>7180</v>
      </c>
      <c r="AD2002" s="464">
        <v>147.49803</v>
      </c>
      <c r="AE2002" s="465">
        <v>7.0951899999999997</v>
      </c>
      <c r="AF2002" s="86">
        <f>IF(verze!$E$1="CZK",AD2002,IF(verze!$E$1="SK",AE2002,""))</f>
        <v>7.0951899999999997</v>
      </c>
    </row>
    <row r="2003" spans="27:32" ht="15">
      <c r="AA2003" s="463" t="s">
        <v>7181</v>
      </c>
      <c r="AB2003" s="462" t="s">
        <v>7182</v>
      </c>
      <c r="AC2003" s="462" t="s">
        <v>7183</v>
      </c>
      <c r="AD2003" s="464">
        <v>146.10772</v>
      </c>
      <c r="AE2003" s="465">
        <v>7.0282999999999998</v>
      </c>
      <c r="AF2003" s="86">
        <f>IF(verze!$E$1="CZK",AD2003,IF(verze!$E$1="SK",AE2003,""))</f>
        <v>7.0282999999999998</v>
      </c>
    </row>
    <row r="2004" spans="27:32" ht="15">
      <c r="AA2004" s="463" t="s">
        <v>7184</v>
      </c>
      <c r="AB2004" s="462" t="s">
        <v>7185</v>
      </c>
      <c r="AC2004" s="462" t="s">
        <v>7186</v>
      </c>
      <c r="AD2004" s="464">
        <v>147.49803</v>
      </c>
      <c r="AE2004" s="465">
        <v>7.0951899999999997</v>
      </c>
      <c r="AF2004" s="86">
        <f>IF(verze!$E$1="CZK",AD2004,IF(verze!$E$1="SK",AE2004,""))</f>
        <v>7.0951899999999997</v>
      </c>
    </row>
    <row r="2005" spans="27:32" ht="15">
      <c r="AA2005" s="463" t="s">
        <v>7187</v>
      </c>
      <c r="AB2005" s="462" t="s">
        <v>7188</v>
      </c>
      <c r="AC2005" s="462" t="s">
        <v>7189</v>
      </c>
      <c r="AD2005" s="464">
        <v>147.49803</v>
      </c>
      <c r="AE2005" s="465">
        <v>7.0951899999999997</v>
      </c>
      <c r="AF2005" s="86">
        <f>IF(verze!$E$1="CZK",AD2005,IF(verze!$E$1="SK",AE2005,""))</f>
        <v>7.0951899999999997</v>
      </c>
    </row>
    <row r="2006" spans="27:32" ht="15">
      <c r="AA2006" s="463" t="s">
        <v>7190</v>
      </c>
      <c r="AB2006" s="462" t="s">
        <v>7191</v>
      </c>
      <c r="AC2006" s="462" t="s">
        <v>7192</v>
      </c>
      <c r="AD2006" s="464">
        <v>146.10772</v>
      </c>
      <c r="AE2006" s="465">
        <v>7.0282999999999998</v>
      </c>
      <c r="AF2006" s="86">
        <f>IF(verze!$E$1="CZK",AD2006,IF(verze!$E$1="SK",AE2006,""))</f>
        <v>7.0282999999999998</v>
      </c>
    </row>
    <row r="2007" spans="27:32" ht="15">
      <c r="AA2007" s="463" t="s">
        <v>7193</v>
      </c>
      <c r="AB2007" s="462" t="s">
        <v>7194</v>
      </c>
      <c r="AC2007" s="462" t="s">
        <v>7195</v>
      </c>
      <c r="AD2007" s="464">
        <v>147.49803</v>
      </c>
      <c r="AE2007" s="465">
        <v>7.0951899999999997</v>
      </c>
      <c r="AF2007" s="86">
        <f>IF(verze!$E$1="CZK",AD2007,IF(verze!$E$1="SK",AE2007,""))</f>
        <v>7.0951899999999997</v>
      </c>
    </row>
    <row r="2008" spans="27:32" ht="15">
      <c r="AA2008" s="463" t="s">
        <v>7196</v>
      </c>
      <c r="AB2008" s="462" t="s">
        <v>7197</v>
      </c>
      <c r="AC2008" s="462" t="s">
        <v>7198</v>
      </c>
      <c r="AD2008" s="464">
        <v>149.95770999999999</v>
      </c>
      <c r="AE2008" s="465">
        <v>7.2135199999999999</v>
      </c>
      <c r="AF2008" s="86">
        <f>IF(verze!$E$1="CZK",AD2008,IF(verze!$E$1="SK",AE2008,""))</f>
        <v>7.2135199999999999</v>
      </c>
    </row>
    <row r="2009" spans="27:32" ht="15">
      <c r="AA2009" s="463" t="s">
        <v>7199</v>
      </c>
      <c r="AB2009" s="462" t="s">
        <v>7200</v>
      </c>
      <c r="AC2009" s="462" t="s">
        <v>7201</v>
      </c>
      <c r="AD2009" s="464">
        <v>149.95770999999999</v>
      </c>
      <c r="AE2009" s="465">
        <v>7.2135199999999999</v>
      </c>
      <c r="AF2009" s="86">
        <f>IF(verze!$E$1="CZK",AD2009,IF(verze!$E$1="SK",AE2009,""))</f>
        <v>7.2135199999999999</v>
      </c>
    </row>
    <row r="2010" spans="27:32" ht="15">
      <c r="AA2010" s="463" t="s">
        <v>7202</v>
      </c>
      <c r="AB2010" s="462" t="s">
        <v>7203</v>
      </c>
      <c r="AC2010" s="462" t="s">
        <v>7204</v>
      </c>
      <c r="AD2010" s="464">
        <v>149.95770999999999</v>
      </c>
      <c r="AE2010" s="465">
        <v>7.2135199999999999</v>
      </c>
      <c r="AF2010" s="86">
        <f>IF(verze!$E$1="CZK",AD2010,IF(verze!$E$1="SK",AE2010,""))</f>
        <v>7.2135199999999999</v>
      </c>
    </row>
    <row r="2011" spans="27:32" ht="15">
      <c r="AA2011" s="463" t="s">
        <v>7205</v>
      </c>
      <c r="AB2011" s="462" t="s">
        <v>7206</v>
      </c>
      <c r="AC2011" s="462" t="s">
        <v>7207</v>
      </c>
      <c r="AD2011" s="464">
        <v>149.95770999999999</v>
      </c>
      <c r="AE2011" s="465">
        <v>7.2135199999999999</v>
      </c>
      <c r="AF2011" s="86">
        <f>IF(verze!$E$1="CZK",AD2011,IF(verze!$E$1="SK",AE2011,""))</f>
        <v>7.2135199999999999</v>
      </c>
    </row>
    <row r="2012" spans="27:32" ht="15">
      <c r="AA2012" s="463" t="s">
        <v>7208</v>
      </c>
      <c r="AB2012" s="462" t="s">
        <v>7209</v>
      </c>
      <c r="AC2012" s="462" t="s">
        <v>7210</v>
      </c>
      <c r="AD2012" s="464">
        <v>151.28113999999999</v>
      </c>
      <c r="AE2012" s="465">
        <v>7.2771699999999999</v>
      </c>
      <c r="AF2012" s="86">
        <f>IF(verze!$E$1="CZK",AD2012,IF(verze!$E$1="SK",AE2012,""))</f>
        <v>7.2771699999999999</v>
      </c>
    </row>
    <row r="2013" spans="27:32" ht="15">
      <c r="AA2013" s="463" t="s">
        <v>7211</v>
      </c>
      <c r="AB2013" s="462" t="s">
        <v>7212</v>
      </c>
      <c r="AC2013" s="462" t="s">
        <v>7213</v>
      </c>
      <c r="AD2013" s="464">
        <v>151.28113999999999</v>
      </c>
      <c r="AE2013" s="465">
        <v>7.2771699999999999</v>
      </c>
      <c r="AF2013" s="86">
        <f>IF(verze!$E$1="CZK",AD2013,IF(verze!$E$1="SK",AE2013,""))</f>
        <v>7.2771699999999999</v>
      </c>
    </row>
    <row r="2014" spans="27:32" ht="15">
      <c r="AA2014" s="463" t="s">
        <v>7214</v>
      </c>
      <c r="AB2014" s="462" t="s">
        <v>7215</v>
      </c>
      <c r="AC2014" s="462" t="s">
        <v>7216</v>
      </c>
      <c r="AD2014" s="464">
        <v>151.28113999999999</v>
      </c>
      <c r="AE2014" s="465">
        <v>7.2771699999999999</v>
      </c>
      <c r="AF2014" s="86">
        <f>IF(verze!$E$1="CZK",AD2014,IF(verze!$E$1="SK",AE2014,""))</f>
        <v>7.2771699999999999</v>
      </c>
    </row>
    <row r="2015" spans="27:32" ht="15">
      <c r="AA2015" s="463" t="s">
        <v>7217</v>
      </c>
      <c r="AB2015" s="462" t="s">
        <v>7218</v>
      </c>
      <c r="AC2015" s="462" t="s">
        <v>7219</v>
      </c>
      <c r="AD2015" s="464">
        <v>153.73842999999999</v>
      </c>
      <c r="AE2015" s="465">
        <v>7.3953800000000003</v>
      </c>
      <c r="AF2015" s="86">
        <f>IF(verze!$E$1="CZK",AD2015,IF(verze!$E$1="SK",AE2015,""))</f>
        <v>7.3953800000000003</v>
      </c>
    </row>
    <row r="2016" spans="27:32" ht="15">
      <c r="AA2016" s="463" t="s">
        <v>7220</v>
      </c>
      <c r="AB2016" s="462" t="s">
        <v>7221</v>
      </c>
      <c r="AC2016" s="462" t="s">
        <v>7222</v>
      </c>
      <c r="AD2016" s="464">
        <v>162.62545</v>
      </c>
      <c r="AE2016" s="465">
        <v>7.8228799999999996</v>
      </c>
      <c r="AF2016" s="86">
        <f>IF(verze!$E$1="CZK",AD2016,IF(verze!$E$1="SK",AE2016,""))</f>
        <v>7.8228799999999996</v>
      </c>
    </row>
    <row r="2017" spans="27:32" ht="15">
      <c r="AA2017" s="463" t="s">
        <v>7223</v>
      </c>
      <c r="AB2017" s="462" t="s">
        <v>7224</v>
      </c>
      <c r="AC2017" s="462" t="s">
        <v>7225</v>
      </c>
      <c r="AD2017" s="464">
        <v>165.08286000000001</v>
      </c>
      <c r="AE2017" s="465">
        <v>7.94109</v>
      </c>
      <c r="AF2017" s="86">
        <f>IF(verze!$E$1="CZK",AD2017,IF(verze!$E$1="SK",AE2017,""))</f>
        <v>7.94109</v>
      </c>
    </row>
    <row r="2018" spans="27:32" ht="15">
      <c r="AA2018" s="463" t="s">
        <v>7226</v>
      </c>
      <c r="AB2018" s="462" t="s">
        <v>7227</v>
      </c>
      <c r="AC2018" s="462" t="s">
        <v>7228</v>
      </c>
      <c r="AD2018" s="464">
        <v>165.08286000000001</v>
      </c>
      <c r="AE2018" s="465">
        <v>7.94109</v>
      </c>
      <c r="AF2018" s="86">
        <f>IF(verze!$E$1="CZK",AD2018,IF(verze!$E$1="SK",AE2018,""))</f>
        <v>7.94109</v>
      </c>
    </row>
    <row r="2019" spans="27:32" ht="15">
      <c r="AA2019" s="463" t="s">
        <v>7229</v>
      </c>
      <c r="AB2019" s="462" t="s">
        <v>7230</v>
      </c>
      <c r="AC2019" s="462" t="s">
        <v>7231</v>
      </c>
      <c r="AD2019" s="464">
        <v>165.08286000000001</v>
      </c>
      <c r="AE2019" s="465">
        <v>7.94109</v>
      </c>
      <c r="AF2019" s="86">
        <f>IF(verze!$E$1="CZK",AD2019,IF(verze!$E$1="SK",AE2019,""))</f>
        <v>7.94109</v>
      </c>
    </row>
    <row r="2020" spans="27:32" ht="15">
      <c r="AA2020" s="463" t="s">
        <v>7232</v>
      </c>
      <c r="AB2020" s="462" t="s">
        <v>7233</v>
      </c>
      <c r="AC2020" s="462" t="s">
        <v>7234</v>
      </c>
      <c r="AD2020" s="464">
        <v>0</v>
      </c>
      <c r="AE2020" s="465">
        <v>7.3043500000000003</v>
      </c>
      <c r="AF2020" s="86">
        <f>IF(verze!$E$1="CZK",AD2020,IF(verze!$E$1="SK",AE2020,""))</f>
        <v>7.3043500000000003</v>
      </c>
    </row>
    <row r="2021" spans="27:32" ht="15">
      <c r="AA2021" s="463" t="s">
        <v>7235</v>
      </c>
      <c r="AB2021" s="462" t="s">
        <v>7236</v>
      </c>
      <c r="AC2021" s="462" t="s">
        <v>7237</v>
      </c>
      <c r="AD2021" s="464">
        <v>0</v>
      </c>
      <c r="AE2021" s="465">
        <v>7.3043500000000003</v>
      </c>
      <c r="AF2021" s="86">
        <f>IF(verze!$E$1="CZK",AD2021,IF(verze!$E$1="SK",AE2021,""))</f>
        <v>7.3043500000000003</v>
      </c>
    </row>
    <row r="2022" spans="27:32" ht="15">
      <c r="AA2022" s="463" t="s">
        <v>7235</v>
      </c>
      <c r="AB2022" s="462" t="s">
        <v>7238</v>
      </c>
      <c r="AC2022" s="462" t="s">
        <v>7239</v>
      </c>
      <c r="AD2022" s="464">
        <v>152.78922</v>
      </c>
      <c r="AE2022" s="465">
        <v>7.34971</v>
      </c>
      <c r="AF2022" s="86">
        <f>IF(verze!$E$1="CZK",AD2022,IF(verze!$E$1="SK",AE2022,""))</f>
        <v>7.34971</v>
      </c>
    </row>
    <row r="2023" spans="27:32" ht="15">
      <c r="AA2023" s="463" t="s">
        <v>7240</v>
      </c>
      <c r="AB2023" s="462" t="s">
        <v>7241</v>
      </c>
      <c r="AC2023" s="462" t="s">
        <v>7242</v>
      </c>
      <c r="AD2023" s="464">
        <v>127.83011</v>
      </c>
      <c r="AE2023" s="465">
        <v>6.1490900000000002</v>
      </c>
      <c r="AF2023" s="86">
        <f>IF(verze!$E$1="CZK",AD2023,IF(verze!$E$1="SK",AE2023,""))</f>
        <v>6.1490900000000002</v>
      </c>
    </row>
    <row r="2024" spans="27:32" ht="15">
      <c r="AA2024" s="463" t="s">
        <v>7243</v>
      </c>
      <c r="AB2024" s="462" t="s">
        <v>7244</v>
      </c>
      <c r="AC2024" s="462" t="s">
        <v>7245</v>
      </c>
      <c r="AD2024" s="464">
        <v>127.83011</v>
      </c>
      <c r="AE2024" s="465">
        <v>6.1490900000000002</v>
      </c>
      <c r="AF2024" s="86">
        <f>IF(verze!$E$1="CZK",AD2024,IF(verze!$E$1="SK",AE2024,""))</f>
        <v>6.1490900000000002</v>
      </c>
    </row>
    <row r="2025" spans="27:32" ht="15">
      <c r="AA2025" s="463" t="s">
        <v>7246</v>
      </c>
      <c r="AB2025" s="462" t="s">
        <v>7247</v>
      </c>
      <c r="AC2025" s="462" t="s">
        <v>7248</v>
      </c>
      <c r="AD2025" s="464">
        <v>126.62457999999999</v>
      </c>
      <c r="AE2025" s="465">
        <v>6.0911099999999996</v>
      </c>
      <c r="AF2025" s="86">
        <f>IF(verze!$E$1="CZK",AD2025,IF(verze!$E$1="SK",AE2025,""))</f>
        <v>6.0911099999999996</v>
      </c>
    </row>
    <row r="2026" spans="27:32" ht="15">
      <c r="AA2026" s="463" t="s">
        <v>7249</v>
      </c>
      <c r="AB2026" s="462" t="s">
        <v>7250</v>
      </c>
      <c r="AC2026" s="462" t="s">
        <v>7251</v>
      </c>
      <c r="AD2026" s="464">
        <v>127.83011</v>
      </c>
      <c r="AE2026" s="465">
        <v>6.1490900000000002</v>
      </c>
      <c r="AF2026" s="86">
        <f>IF(verze!$E$1="CZK",AD2026,IF(verze!$E$1="SK",AE2026,""))</f>
        <v>6.1490900000000002</v>
      </c>
    </row>
    <row r="2027" spans="27:32" ht="15">
      <c r="AA2027" s="463" t="s">
        <v>7252</v>
      </c>
      <c r="AB2027" s="462" t="s">
        <v>7253</v>
      </c>
      <c r="AC2027" s="462" t="s">
        <v>7254</v>
      </c>
      <c r="AD2027" s="464">
        <v>132.74709999999999</v>
      </c>
      <c r="AE2027" s="465">
        <v>6.3856200000000003</v>
      </c>
      <c r="AF2027" s="86">
        <f>IF(verze!$E$1="CZK",AD2027,IF(verze!$E$1="SK",AE2027,""))</f>
        <v>6.3856200000000003</v>
      </c>
    </row>
    <row r="2028" spans="27:32" ht="15">
      <c r="AA2028" s="463" t="s">
        <v>7255</v>
      </c>
      <c r="AB2028" s="462" t="s">
        <v>7256</v>
      </c>
      <c r="AC2028" s="462" t="s">
        <v>7257</v>
      </c>
      <c r="AD2028" s="464">
        <v>131.49534</v>
      </c>
      <c r="AE2028" s="465">
        <v>6.3254099999999998</v>
      </c>
      <c r="AF2028" s="86">
        <f>IF(verze!$E$1="CZK",AD2028,IF(verze!$E$1="SK",AE2028,""))</f>
        <v>6.3254099999999998</v>
      </c>
    </row>
    <row r="2029" spans="27:32" ht="15">
      <c r="AA2029" s="463" t="s">
        <v>7258</v>
      </c>
      <c r="AB2029" s="462" t="s">
        <v>7259</v>
      </c>
      <c r="AC2029" s="462" t="s">
        <v>7260</v>
      </c>
      <c r="AD2029" s="464">
        <v>132.74709999999999</v>
      </c>
      <c r="AE2029" s="465">
        <v>6.3856200000000003</v>
      </c>
      <c r="AF2029" s="86">
        <f>IF(verze!$E$1="CZK",AD2029,IF(verze!$E$1="SK",AE2029,""))</f>
        <v>6.3856200000000003</v>
      </c>
    </row>
    <row r="2030" spans="27:32" ht="15">
      <c r="AA2030" s="463" t="s">
        <v>7261</v>
      </c>
      <c r="AB2030" s="462" t="s">
        <v>7262</v>
      </c>
      <c r="AC2030" s="462" t="s">
        <v>7263</v>
      </c>
      <c r="AD2030" s="464">
        <v>132.74709999999999</v>
      </c>
      <c r="AE2030" s="465">
        <v>6.3856200000000003</v>
      </c>
      <c r="AF2030" s="86">
        <f>IF(verze!$E$1="CZK",AD2030,IF(verze!$E$1="SK",AE2030,""))</f>
        <v>6.3856200000000003</v>
      </c>
    </row>
    <row r="2031" spans="27:32" ht="15">
      <c r="AA2031" s="463" t="s">
        <v>7264</v>
      </c>
      <c r="AB2031" s="462" t="s">
        <v>7265</v>
      </c>
      <c r="AC2031" s="462" t="s">
        <v>7266</v>
      </c>
      <c r="AD2031" s="464">
        <v>131.49534</v>
      </c>
      <c r="AE2031" s="465">
        <v>6.3254099999999998</v>
      </c>
      <c r="AF2031" s="86">
        <f>IF(verze!$E$1="CZK",AD2031,IF(verze!$E$1="SK",AE2031,""))</f>
        <v>6.3254099999999998</v>
      </c>
    </row>
    <row r="2032" spans="27:32" ht="15">
      <c r="AA2032" s="463" t="s">
        <v>7267</v>
      </c>
      <c r="AB2032" s="462" t="s">
        <v>7268</v>
      </c>
      <c r="AC2032" s="462" t="s">
        <v>7269</v>
      </c>
      <c r="AD2032" s="464">
        <v>132.74709999999999</v>
      </c>
      <c r="AE2032" s="465">
        <v>6.3856200000000003</v>
      </c>
      <c r="AF2032" s="86">
        <f>IF(verze!$E$1="CZK",AD2032,IF(verze!$E$1="SK",AE2032,""))</f>
        <v>6.3856200000000003</v>
      </c>
    </row>
    <row r="2033" spans="27:32" ht="15">
      <c r="AA2033" s="463" t="s">
        <v>7270</v>
      </c>
      <c r="AB2033" s="462" t="s">
        <v>7271</v>
      </c>
      <c r="AC2033" s="462" t="s">
        <v>7272</v>
      </c>
      <c r="AD2033" s="464">
        <v>136.53009</v>
      </c>
      <c r="AE2033" s="465">
        <v>6.5675999999999997</v>
      </c>
      <c r="AF2033" s="86">
        <f>IF(verze!$E$1="CZK",AD2033,IF(verze!$E$1="SK",AE2033,""))</f>
        <v>6.5675999999999997</v>
      </c>
    </row>
    <row r="2034" spans="27:32" ht="15">
      <c r="AA2034" s="463" t="s">
        <v>7273</v>
      </c>
      <c r="AB2034" s="462" t="s">
        <v>7274</v>
      </c>
      <c r="AC2034" s="462" t="s">
        <v>7275</v>
      </c>
      <c r="AD2034" s="464">
        <v>150.33420000000001</v>
      </c>
      <c r="AE2034" s="465">
        <v>7.2316200000000004</v>
      </c>
      <c r="AF2034" s="86">
        <f>IF(verze!$E$1="CZK",AD2034,IF(verze!$E$1="SK",AE2034,""))</f>
        <v>7.2316200000000004</v>
      </c>
    </row>
    <row r="2035" spans="27:32" ht="15">
      <c r="AA2035" s="463" t="s">
        <v>7276</v>
      </c>
      <c r="AB2035" s="462" t="s">
        <v>7277</v>
      </c>
      <c r="AC2035" s="462" t="s">
        <v>7278</v>
      </c>
      <c r="AD2035" s="464">
        <v>0</v>
      </c>
      <c r="AE2035" s="465">
        <v>6.59938</v>
      </c>
      <c r="AF2035" s="86">
        <f>IF(verze!$E$1="CZK",AD2035,IF(verze!$E$1="SK",AE2035,""))</f>
        <v>6.59938</v>
      </c>
    </row>
    <row r="2036" spans="27:32" ht="15">
      <c r="AA2036" s="463" t="s">
        <v>7279</v>
      </c>
      <c r="AB2036" s="462" t="s">
        <v>7280</v>
      </c>
      <c r="AC2036" s="462" t="s">
        <v>7281</v>
      </c>
      <c r="AD2036" s="464">
        <v>21.427790000000002</v>
      </c>
      <c r="AE2036" s="465">
        <v>1.0307599999999999</v>
      </c>
      <c r="AF2036" s="86">
        <f>IF(verze!$E$1="CZK",AD2036,IF(verze!$E$1="SK",AE2036,""))</f>
        <v>1.0307599999999999</v>
      </c>
    </row>
    <row r="2037" spans="27:32" ht="15">
      <c r="AA2037" s="463" t="s">
        <v>7282</v>
      </c>
      <c r="AB2037" s="462" t="s">
        <v>7283</v>
      </c>
      <c r="AC2037" s="462" t="s">
        <v>7284</v>
      </c>
      <c r="AD2037" s="464">
        <v>23.125319999999999</v>
      </c>
      <c r="AE2037" s="465">
        <v>1.1124099999999999</v>
      </c>
      <c r="AF2037" s="86">
        <f>IF(verze!$E$1="CZK",AD2037,IF(verze!$E$1="SK",AE2037,""))</f>
        <v>1.1124099999999999</v>
      </c>
    </row>
    <row r="2038" spans="27:32" ht="15">
      <c r="AA2038" s="463" t="s">
        <v>7285</v>
      </c>
      <c r="AB2038" s="462" t="s">
        <v>7286</v>
      </c>
      <c r="AC2038" s="462" t="s">
        <v>7287</v>
      </c>
      <c r="AD2038" s="464">
        <v>22.487850000000002</v>
      </c>
      <c r="AE2038" s="465">
        <v>1.08175</v>
      </c>
      <c r="AF2038" s="86">
        <f>IF(verze!$E$1="CZK",AD2038,IF(verze!$E$1="SK",AE2038,""))</f>
        <v>1.08175</v>
      </c>
    </row>
    <row r="2039" spans="27:32" ht="15">
      <c r="AA2039" s="463" t="s">
        <v>7288</v>
      </c>
      <c r="AB2039" s="462" t="s">
        <v>7289</v>
      </c>
      <c r="AC2039" s="462" t="s">
        <v>7290</v>
      </c>
      <c r="AD2039" s="464">
        <v>25.035319999999999</v>
      </c>
      <c r="AE2039" s="465">
        <v>1.2042900000000001</v>
      </c>
      <c r="AF2039" s="86">
        <f>IF(verze!$E$1="CZK",AD2039,IF(verze!$E$1="SK",AE2039,""))</f>
        <v>1.2042900000000001</v>
      </c>
    </row>
    <row r="2040" spans="27:32" ht="15">
      <c r="AA2040" s="463" t="s">
        <v>7291</v>
      </c>
      <c r="AB2040" s="462" t="s">
        <v>7292</v>
      </c>
      <c r="AC2040" s="462" t="s">
        <v>7293</v>
      </c>
      <c r="AD2040" s="464">
        <v>3.2477</v>
      </c>
      <c r="AE2040" s="465">
        <v>0.15622</v>
      </c>
      <c r="AF2040" s="86">
        <f>IF(verze!$E$1="CZK",AD2040,IF(verze!$E$1="SK",AE2040,""))</f>
        <v>0.15622</v>
      </c>
    </row>
    <row r="2041" spans="27:32" ht="15">
      <c r="AA2041" s="463" t="s">
        <v>7291</v>
      </c>
      <c r="AB2041" s="462" t="s">
        <v>7294</v>
      </c>
      <c r="AC2041" s="462" t="s">
        <v>7295</v>
      </c>
      <c r="AD2041" s="464">
        <v>0</v>
      </c>
      <c r="AE2041" s="465">
        <v>0.15525</v>
      </c>
      <c r="AF2041" s="86">
        <f>IF(verze!$E$1="CZK",AD2041,IF(verze!$E$1="SK",AE2041,""))</f>
        <v>0.15525</v>
      </c>
    </row>
    <row r="2042" spans="27:32" ht="15">
      <c r="AA2042" s="463" t="s">
        <v>7296</v>
      </c>
      <c r="AB2042" s="462" t="s">
        <v>7297</v>
      </c>
      <c r="AC2042" s="462" t="s">
        <v>7298</v>
      </c>
      <c r="AD2042" s="464">
        <v>3.2477</v>
      </c>
      <c r="AE2042" s="465">
        <v>0.15622</v>
      </c>
      <c r="AF2042" s="86">
        <f>IF(verze!$E$1="CZK",AD2042,IF(verze!$E$1="SK",AE2042,""))</f>
        <v>0.15622</v>
      </c>
    </row>
    <row r="2043" spans="27:32" ht="15">
      <c r="AA2043" s="463" t="s">
        <v>7299</v>
      </c>
      <c r="AB2043" s="462" t="s">
        <v>7300</v>
      </c>
      <c r="AC2043" s="462" t="s">
        <v>7301</v>
      </c>
      <c r="AD2043" s="464">
        <v>4.17591</v>
      </c>
      <c r="AE2043" s="465">
        <v>0.20089000000000001</v>
      </c>
      <c r="AF2043" s="86">
        <f>IF(verze!$E$1="CZK",AD2043,IF(verze!$E$1="SK",AE2043,""))</f>
        <v>0.20089000000000001</v>
      </c>
    </row>
    <row r="2044" spans="27:32" ht="15">
      <c r="AA2044" s="463" t="s">
        <v>7302</v>
      </c>
      <c r="AB2044" s="462" t="s">
        <v>7303</v>
      </c>
      <c r="AC2044" s="462" t="s">
        <v>7304</v>
      </c>
      <c r="AD2044" s="464">
        <v>4.17591</v>
      </c>
      <c r="AE2044" s="465">
        <v>0.20089000000000001</v>
      </c>
      <c r="AF2044" s="86">
        <f>IF(verze!$E$1="CZK",AD2044,IF(verze!$E$1="SK",AE2044,""))</f>
        <v>0.20089000000000001</v>
      </c>
    </row>
    <row r="2045" spans="27:32" ht="15">
      <c r="AA2045" s="463" t="s">
        <v>7305</v>
      </c>
      <c r="AB2045" s="462" t="s">
        <v>7306</v>
      </c>
      <c r="AC2045" s="462" t="s">
        <v>7307</v>
      </c>
      <c r="AD2045" s="464">
        <v>3.1336400000000002</v>
      </c>
      <c r="AE2045" s="465">
        <v>0.15074000000000001</v>
      </c>
      <c r="AF2045" s="86">
        <f>IF(verze!$E$1="CZK",AD2045,IF(verze!$E$1="SK",AE2045,""))</f>
        <v>0.15074000000000001</v>
      </c>
    </row>
    <row r="2046" spans="27:32" ht="15">
      <c r="AA2046" s="463" t="s">
        <v>7308</v>
      </c>
      <c r="AB2046" s="462" t="s">
        <v>7309</v>
      </c>
      <c r="AC2046" s="462" t="s">
        <v>7310</v>
      </c>
      <c r="AD2046" s="464">
        <v>3.1336400000000002</v>
      </c>
      <c r="AE2046" s="465">
        <v>0.15074000000000001</v>
      </c>
      <c r="AF2046" s="86">
        <f>IF(verze!$E$1="CZK",AD2046,IF(verze!$E$1="SK",AE2046,""))</f>
        <v>0.15074000000000001</v>
      </c>
    </row>
    <row r="2047" spans="27:32" ht="15">
      <c r="AA2047" s="463" t="s">
        <v>7311</v>
      </c>
      <c r="AB2047" s="462" t="s">
        <v>7312</v>
      </c>
      <c r="AC2047" s="462" t="s">
        <v>7313</v>
      </c>
      <c r="AD2047" s="464">
        <v>47.202719999999999</v>
      </c>
      <c r="AE2047" s="465">
        <v>2.2706300000000001</v>
      </c>
      <c r="AF2047" s="86">
        <f>IF(verze!$E$1="CZK",AD2047,IF(verze!$E$1="SK",AE2047,""))</f>
        <v>2.2706300000000001</v>
      </c>
    </row>
    <row r="2048" spans="27:32" ht="15">
      <c r="AA2048" s="463" t="s">
        <v>7314</v>
      </c>
      <c r="AB2048" s="462" t="s">
        <v>7315</v>
      </c>
      <c r="AC2048" s="462" t="s">
        <v>7316</v>
      </c>
      <c r="AD2048" s="464">
        <v>83.830520000000007</v>
      </c>
      <c r="AE2048" s="465">
        <v>0</v>
      </c>
      <c r="AF2048" s="86">
        <f>IF(verze!$E$1="CZK",AD2048,IF(verze!$E$1="SK",AE2048,""))</f>
        <v>0</v>
      </c>
    </row>
    <row r="2049" spans="27:32" ht="15">
      <c r="AA2049" s="463" t="s">
        <v>7317</v>
      </c>
      <c r="AB2049" s="462" t="s">
        <v>7318</v>
      </c>
      <c r="AC2049" s="462" t="s">
        <v>7319</v>
      </c>
      <c r="AD2049" s="464">
        <v>95.945269999999994</v>
      </c>
      <c r="AE2049" s="465">
        <v>4.6153199999999996</v>
      </c>
      <c r="AF2049" s="86">
        <f>IF(verze!$E$1="CZK",AD2049,IF(verze!$E$1="SK",AE2049,""))</f>
        <v>4.6153199999999996</v>
      </c>
    </row>
    <row r="2050" spans="27:32" ht="15">
      <c r="AA2050" s="463" t="s">
        <v>7320</v>
      </c>
      <c r="AB2050" s="462" t="s">
        <v>7321</v>
      </c>
      <c r="AC2050" s="462" t="s">
        <v>7322</v>
      </c>
      <c r="AD2050" s="464">
        <v>107.82749</v>
      </c>
      <c r="AE2050" s="465">
        <v>5.1868999999999996</v>
      </c>
      <c r="AF2050" s="86">
        <f>IF(verze!$E$1="CZK",AD2050,IF(verze!$E$1="SK",AE2050,""))</f>
        <v>5.1868999999999996</v>
      </c>
    </row>
    <row r="2051" spans="27:32" ht="15">
      <c r="AA2051" s="463" t="s">
        <v>7323</v>
      </c>
      <c r="AB2051" s="462" t="s">
        <v>7324</v>
      </c>
      <c r="AC2051" s="462" t="s">
        <v>7325</v>
      </c>
      <c r="AD2051" s="464">
        <v>87.550229999999999</v>
      </c>
      <c r="AE2051" s="465">
        <v>4.2114700000000003</v>
      </c>
      <c r="AF2051" s="86">
        <f>IF(verze!$E$1="CZK",AD2051,IF(verze!$E$1="SK",AE2051,""))</f>
        <v>4.2114700000000003</v>
      </c>
    </row>
    <row r="2052" spans="27:32" ht="15">
      <c r="AA2052" s="463" t="s">
        <v>7326</v>
      </c>
      <c r="AB2052" s="462" t="s">
        <v>7327</v>
      </c>
      <c r="AC2052" s="462" t="s">
        <v>7328</v>
      </c>
      <c r="AD2052" s="464">
        <v>96.923339999999996</v>
      </c>
      <c r="AE2052" s="465">
        <v>4.6623599999999996</v>
      </c>
      <c r="AF2052" s="86">
        <f>IF(verze!$E$1="CZK",AD2052,IF(verze!$E$1="SK",AE2052,""))</f>
        <v>4.6623599999999996</v>
      </c>
    </row>
    <row r="2053" spans="27:32" ht="15">
      <c r="AA2053" s="463" t="s">
        <v>7329</v>
      </c>
      <c r="AB2053" s="462" t="s">
        <v>7330</v>
      </c>
      <c r="AC2053" s="462" t="s">
        <v>7331</v>
      </c>
      <c r="AD2053" s="464">
        <v>117.21601</v>
      </c>
      <c r="AE2053" s="465">
        <v>5.6385199999999998</v>
      </c>
      <c r="AF2053" s="86">
        <f>IF(verze!$E$1="CZK",AD2053,IF(verze!$E$1="SK",AE2053,""))</f>
        <v>5.6385199999999998</v>
      </c>
    </row>
    <row r="2054" spans="27:32" ht="15">
      <c r="AA2054" s="463" t="s">
        <v>7332</v>
      </c>
      <c r="AB2054" s="462" t="s">
        <v>7333</v>
      </c>
      <c r="AC2054" s="462" t="s">
        <v>7334</v>
      </c>
      <c r="AD2054" s="464">
        <v>57.37997</v>
      </c>
      <c r="AE2054" s="465">
        <v>2.7601800000000001</v>
      </c>
      <c r="AF2054" s="86">
        <f>IF(verze!$E$1="CZK",AD2054,IF(verze!$E$1="SK",AE2054,""))</f>
        <v>2.7601800000000001</v>
      </c>
    </row>
    <row r="2055" spans="27:32" ht="15">
      <c r="AA2055" s="463" t="s">
        <v>7335</v>
      </c>
      <c r="AB2055" s="462" t="s">
        <v>7336</v>
      </c>
      <c r="AC2055" s="462" t="s">
        <v>7337</v>
      </c>
      <c r="AD2055" s="464">
        <v>110.58982</v>
      </c>
      <c r="AE2055" s="465">
        <v>5.3197599999999996</v>
      </c>
      <c r="AF2055" s="86">
        <f>IF(verze!$E$1="CZK",AD2055,IF(verze!$E$1="SK",AE2055,""))</f>
        <v>5.3197599999999996</v>
      </c>
    </row>
    <row r="2056" spans="27:32" ht="15">
      <c r="AA2056" s="463" t="s">
        <v>7338</v>
      </c>
      <c r="AB2056" s="462" t="s">
        <v>7339</v>
      </c>
      <c r="AC2056" s="462" t="s">
        <v>7340</v>
      </c>
      <c r="AD2056" s="464">
        <v>99.40598</v>
      </c>
      <c r="AE2056" s="465">
        <v>4.7817800000000004</v>
      </c>
      <c r="AF2056" s="86">
        <f>IF(verze!$E$1="CZK",AD2056,IF(verze!$E$1="SK",AE2056,""))</f>
        <v>4.7817800000000004</v>
      </c>
    </row>
    <row r="2057" spans="27:32" ht="15">
      <c r="AA2057" s="463" t="s">
        <v>7341</v>
      </c>
      <c r="AB2057" s="462" t="s">
        <v>7342</v>
      </c>
      <c r="AC2057" s="462" t="s">
        <v>7343</v>
      </c>
      <c r="AD2057" s="464">
        <v>107.82749</v>
      </c>
      <c r="AE2057" s="465">
        <v>5.1868999999999996</v>
      </c>
      <c r="AF2057" s="86">
        <f>IF(verze!$E$1="CZK",AD2057,IF(verze!$E$1="SK",AE2057,""))</f>
        <v>5.1868999999999996</v>
      </c>
    </row>
    <row r="2058" spans="27:32" ht="15">
      <c r="AA2058" s="463" t="s">
        <v>7344</v>
      </c>
      <c r="AB2058" s="462" t="s">
        <v>7345</v>
      </c>
      <c r="AC2058" s="462" t="s">
        <v>7346</v>
      </c>
      <c r="AD2058" s="464">
        <v>87.550229999999999</v>
      </c>
      <c r="AE2058" s="465">
        <v>4.2114700000000003</v>
      </c>
      <c r="AF2058" s="86">
        <f>IF(verze!$E$1="CZK",AD2058,IF(verze!$E$1="SK",AE2058,""))</f>
        <v>4.2114700000000003</v>
      </c>
    </row>
    <row r="2059" spans="27:32" ht="15">
      <c r="AA2059" s="463" t="s">
        <v>7347</v>
      </c>
      <c r="AB2059" s="462" t="s">
        <v>7348</v>
      </c>
      <c r="AC2059" s="462" t="s">
        <v>7349</v>
      </c>
      <c r="AD2059" s="464">
        <v>96.923339999999996</v>
      </c>
      <c r="AE2059" s="465">
        <v>4.6623599999999996</v>
      </c>
      <c r="AF2059" s="86">
        <f>IF(verze!$E$1="CZK",AD2059,IF(verze!$E$1="SK",AE2059,""))</f>
        <v>4.6623599999999996</v>
      </c>
    </row>
    <row r="2060" spans="27:32" ht="15">
      <c r="AA2060" s="463" t="s">
        <v>7350</v>
      </c>
      <c r="AB2060" s="462" t="s">
        <v>7351</v>
      </c>
      <c r="AC2060" s="462" t="s">
        <v>7352</v>
      </c>
      <c r="AD2060" s="464">
        <v>117.21601</v>
      </c>
      <c r="AE2060" s="465">
        <v>5.6385199999999998</v>
      </c>
      <c r="AF2060" s="86">
        <f>IF(verze!$E$1="CZK",AD2060,IF(verze!$E$1="SK",AE2060,""))</f>
        <v>5.6385199999999998</v>
      </c>
    </row>
    <row r="2061" spans="27:32" ht="15">
      <c r="AA2061" s="463" t="s">
        <v>7353</v>
      </c>
      <c r="AB2061" s="462" t="s">
        <v>7354</v>
      </c>
      <c r="AC2061" s="462" t="s">
        <v>7355</v>
      </c>
      <c r="AD2061" s="464">
        <v>108.60733999999999</v>
      </c>
      <c r="AE2061" s="465">
        <v>5.2244200000000003</v>
      </c>
      <c r="AF2061" s="86">
        <f>IF(verze!$E$1="CZK",AD2061,IF(verze!$E$1="SK",AE2061,""))</f>
        <v>5.2244200000000003</v>
      </c>
    </row>
    <row r="2062" spans="27:32" ht="15">
      <c r="AA2062" s="463" t="s">
        <v>7356</v>
      </c>
      <c r="AB2062" s="462" t="s">
        <v>7357</v>
      </c>
      <c r="AC2062" s="462" t="s">
        <v>7358</v>
      </c>
      <c r="AD2062" s="464">
        <v>57.37997</v>
      </c>
      <c r="AE2062" s="465">
        <v>2.7601800000000001</v>
      </c>
      <c r="AF2062" s="86">
        <f>IF(verze!$E$1="CZK",AD2062,IF(verze!$E$1="SK",AE2062,""))</f>
        <v>2.7601800000000001</v>
      </c>
    </row>
    <row r="2063" spans="27:32" ht="15">
      <c r="AA2063" s="463" t="s">
        <v>7359</v>
      </c>
      <c r="AB2063" s="462" t="s">
        <v>7360</v>
      </c>
      <c r="AC2063" s="462" t="s">
        <v>7361</v>
      </c>
      <c r="AD2063" s="464">
        <v>98.401439999999994</v>
      </c>
      <c r="AE2063" s="465">
        <v>4.73346</v>
      </c>
      <c r="AF2063" s="86">
        <f>IF(verze!$E$1="CZK",AD2063,IF(verze!$E$1="SK",AE2063,""))</f>
        <v>4.73346</v>
      </c>
    </row>
    <row r="2064" spans="27:32" ht="15">
      <c r="AA2064" s="463" t="s">
        <v>7362</v>
      </c>
      <c r="AB2064" s="462" t="s">
        <v>7363</v>
      </c>
      <c r="AC2064" s="462" t="s">
        <v>7364</v>
      </c>
      <c r="AD2064" s="464">
        <v>99.40598</v>
      </c>
      <c r="AE2064" s="465">
        <v>4.7817800000000004</v>
      </c>
      <c r="AF2064" s="86">
        <f>IF(verze!$E$1="CZK",AD2064,IF(verze!$E$1="SK",AE2064,""))</f>
        <v>4.7817800000000004</v>
      </c>
    </row>
    <row r="2065" spans="27:32" ht="15">
      <c r="AA2065" s="463" t="s">
        <v>7365</v>
      </c>
      <c r="AB2065" s="462" t="s">
        <v>7366</v>
      </c>
      <c r="AC2065" s="462" t="s">
        <v>7367</v>
      </c>
      <c r="AD2065" s="464">
        <v>117.21601</v>
      </c>
      <c r="AE2065" s="465">
        <v>5.6385199999999998</v>
      </c>
      <c r="AF2065" s="86">
        <f>IF(verze!$E$1="CZK",AD2065,IF(verze!$E$1="SK",AE2065,""))</f>
        <v>5.6385199999999998</v>
      </c>
    </row>
    <row r="2066" spans="27:32" ht="15">
      <c r="AA2066" s="463" t="s">
        <v>7368</v>
      </c>
      <c r="AB2066" s="462" t="s">
        <v>7369</v>
      </c>
      <c r="AC2066" s="462" t="s">
        <v>7370</v>
      </c>
      <c r="AD2066" s="464">
        <v>125.05952000000001</v>
      </c>
      <c r="AE2066" s="465">
        <v>0</v>
      </c>
      <c r="AF2066" s="86">
        <f>IF(verze!$E$1="CZK",AD2066,IF(verze!$E$1="SK",AE2066,""))</f>
        <v>0</v>
      </c>
    </row>
    <row r="2067" spans="27:32" ht="15">
      <c r="AA2067" s="463" t="s">
        <v>7371</v>
      </c>
      <c r="AB2067" s="462" t="s">
        <v>7372</v>
      </c>
      <c r="AC2067" s="462" t="s">
        <v>7373</v>
      </c>
      <c r="AD2067" s="464">
        <v>108.60733999999999</v>
      </c>
      <c r="AE2067" s="465">
        <v>5.2244200000000003</v>
      </c>
      <c r="AF2067" s="86">
        <f>IF(verze!$E$1="CZK",AD2067,IF(verze!$E$1="SK",AE2067,""))</f>
        <v>5.2244200000000003</v>
      </c>
    </row>
    <row r="2068" spans="27:32" ht="15">
      <c r="AA2068" s="463" t="s">
        <v>7374</v>
      </c>
      <c r="AB2068" s="462" t="s">
        <v>7375</v>
      </c>
      <c r="AC2068" s="462" t="s">
        <v>7376</v>
      </c>
      <c r="AD2068" s="464">
        <v>57.37997</v>
      </c>
      <c r="AE2068" s="465">
        <v>2.7601800000000001</v>
      </c>
      <c r="AF2068" s="86">
        <f>IF(verze!$E$1="CZK",AD2068,IF(verze!$E$1="SK",AE2068,""))</f>
        <v>2.7601800000000001</v>
      </c>
    </row>
    <row r="2069" spans="27:32" ht="15">
      <c r="AA2069" s="463" t="s">
        <v>7377</v>
      </c>
      <c r="AB2069" s="462" t="s">
        <v>7378</v>
      </c>
      <c r="AC2069" s="462" t="s">
        <v>7379</v>
      </c>
      <c r="AD2069" s="464">
        <v>106.87663000000001</v>
      </c>
      <c r="AE2069" s="465">
        <v>0</v>
      </c>
      <c r="AF2069" s="86">
        <f>IF(verze!$E$1="CZK",AD2069,IF(verze!$E$1="SK",AE2069,""))</f>
        <v>0</v>
      </c>
    </row>
    <row r="2070" spans="27:32" ht="15">
      <c r="AA2070" s="463" t="s">
        <v>7380</v>
      </c>
      <c r="AB2070" s="462" t="s">
        <v>7381</v>
      </c>
      <c r="AC2070" s="462" t="s">
        <v>7382</v>
      </c>
      <c r="AD2070" s="464">
        <v>89.792670000000001</v>
      </c>
      <c r="AE2070" s="465">
        <v>4.3193599999999996</v>
      </c>
      <c r="AF2070" s="86">
        <f>IF(verze!$E$1="CZK",AD2070,IF(verze!$E$1="SK",AE2070,""))</f>
        <v>4.3193599999999996</v>
      </c>
    </row>
    <row r="2071" spans="27:32" ht="15">
      <c r="AA2071" s="463" t="s">
        <v>7383</v>
      </c>
      <c r="AB2071" s="462" t="s">
        <v>7384</v>
      </c>
      <c r="AC2071" s="462" t="s">
        <v>7385</v>
      </c>
      <c r="AD2071" s="464">
        <v>99.40598</v>
      </c>
      <c r="AE2071" s="465">
        <v>4.7817800000000004</v>
      </c>
      <c r="AF2071" s="86">
        <f>IF(verze!$E$1="CZK",AD2071,IF(verze!$E$1="SK",AE2071,""))</f>
        <v>4.7817800000000004</v>
      </c>
    </row>
    <row r="2072" spans="27:32" ht="15">
      <c r="AA2072" s="463" t="s">
        <v>7386</v>
      </c>
      <c r="AB2072" s="462" t="s">
        <v>7387</v>
      </c>
      <c r="AC2072" s="462" t="s">
        <v>7388</v>
      </c>
      <c r="AD2072" s="464">
        <v>99.962890000000002</v>
      </c>
      <c r="AE2072" s="465">
        <v>4.8085800000000001</v>
      </c>
      <c r="AF2072" s="86">
        <f>IF(verze!$E$1="CZK",AD2072,IF(verze!$E$1="SK",AE2072,""))</f>
        <v>4.8085800000000001</v>
      </c>
    </row>
    <row r="2073" spans="27:32" ht="15">
      <c r="AA2073" s="463" t="s">
        <v>7389</v>
      </c>
      <c r="AB2073" s="462" t="s">
        <v>7390</v>
      </c>
      <c r="AC2073" s="462" t="s">
        <v>7391</v>
      </c>
      <c r="AD2073" s="464">
        <v>94.424369999999996</v>
      </c>
      <c r="AE2073" s="465">
        <v>4.5421500000000004</v>
      </c>
      <c r="AF2073" s="86">
        <f>IF(verze!$E$1="CZK",AD2073,IF(verze!$E$1="SK",AE2073,""))</f>
        <v>4.5421500000000004</v>
      </c>
    </row>
    <row r="2074" spans="27:32" ht="15">
      <c r="AA2074" s="463" t="s">
        <v>7392</v>
      </c>
      <c r="AB2074" s="462" t="s">
        <v>7393</v>
      </c>
      <c r="AC2074" s="462" t="s">
        <v>7394</v>
      </c>
      <c r="AD2074" s="464">
        <v>114.20169</v>
      </c>
      <c r="AE2074" s="465">
        <v>5.4935200000000002</v>
      </c>
      <c r="AF2074" s="86">
        <f>IF(verze!$E$1="CZK",AD2074,IF(verze!$E$1="SK",AE2074,""))</f>
        <v>5.4935200000000002</v>
      </c>
    </row>
    <row r="2075" spans="27:32" ht="15">
      <c r="AA2075" s="463" t="s">
        <v>7395</v>
      </c>
      <c r="AB2075" s="462" t="s">
        <v>7396</v>
      </c>
      <c r="AC2075" s="462" t="s">
        <v>7397</v>
      </c>
      <c r="AD2075" s="464">
        <v>95.402119999999996</v>
      </c>
      <c r="AE2075" s="465">
        <v>4.5891900000000003</v>
      </c>
      <c r="AF2075" s="86">
        <f>IF(verze!$E$1="CZK",AD2075,IF(verze!$E$1="SK",AE2075,""))</f>
        <v>4.5891900000000003</v>
      </c>
    </row>
    <row r="2076" spans="27:32" ht="15">
      <c r="AA2076" s="463" t="s">
        <v>7398</v>
      </c>
      <c r="AB2076" s="462" t="s">
        <v>7399</v>
      </c>
      <c r="AC2076" s="462" t="s">
        <v>7400</v>
      </c>
      <c r="AD2076" s="464">
        <v>98.566580000000002</v>
      </c>
      <c r="AE2076" s="465">
        <v>4.7413999999999996</v>
      </c>
      <c r="AF2076" s="86">
        <f>IF(verze!$E$1="CZK",AD2076,IF(verze!$E$1="SK",AE2076,""))</f>
        <v>4.7413999999999996</v>
      </c>
    </row>
    <row r="2077" spans="27:32" ht="15">
      <c r="AA2077" s="463" t="s">
        <v>7401</v>
      </c>
      <c r="AB2077" s="462" t="s">
        <v>7402</v>
      </c>
      <c r="AC2077" s="462" t="s">
        <v>7403</v>
      </c>
      <c r="AD2077" s="464">
        <v>115.18461000000001</v>
      </c>
      <c r="AE2077" s="465">
        <v>5.5407900000000003</v>
      </c>
      <c r="AF2077" s="86">
        <f>IF(verze!$E$1="CZK",AD2077,IF(verze!$E$1="SK",AE2077,""))</f>
        <v>5.5407900000000003</v>
      </c>
    </row>
    <row r="2078" spans="27:32" ht="15">
      <c r="AA2078" s="463" t="s">
        <v>7404</v>
      </c>
      <c r="AB2078" s="462" t="s">
        <v>7405</v>
      </c>
      <c r="AC2078" s="462" t="s">
        <v>7406</v>
      </c>
      <c r="AD2078" s="464">
        <v>83.771280000000004</v>
      </c>
      <c r="AE2078" s="465">
        <v>4.0296900000000004</v>
      </c>
      <c r="AF2078" s="86">
        <f>IF(verze!$E$1="CZK",AD2078,IF(verze!$E$1="SK",AE2078,""))</f>
        <v>4.0296900000000004</v>
      </c>
    </row>
    <row r="2079" spans="27:32" ht="15">
      <c r="AA2079" s="463" t="s">
        <v>7407</v>
      </c>
      <c r="AB2079" s="462" t="s">
        <v>7408</v>
      </c>
      <c r="AC2079" s="462" t="s">
        <v>7409</v>
      </c>
      <c r="AD2079" s="464">
        <v>88.636340000000004</v>
      </c>
      <c r="AE2079" s="465">
        <v>4.2637400000000003</v>
      </c>
      <c r="AF2079" s="86">
        <f>IF(verze!$E$1="CZK",AD2079,IF(verze!$E$1="SK",AE2079,""))</f>
        <v>4.2637400000000003</v>
      </c>
    </row>
    <row r="2080" spans="27:32" ht="15">
      <c r="AA2080" s="463" t="s">
        <v>7410</v>
      </c>
      <c r="AB2080" s="462" t="s">
        <v>7411</v>
      </c>
      <c r="AC2080" s="462" t="s">
        <v>7412</v>
      </c>
      <c r="AD2080" s="464">
        <v>93.496139999999997</v>
      </c>
      <c r="AE2080" s="465">
        <v>4.4975100000000001</v>
      </c>
      <c r="AF2080" s="86">
        <f>IF(verze!$E$1="CZK",AD2080,IF(verze!$E$1="SK",AE2080,""))</f>
        <v>4.4975100000000001</v>
      </c>
    </row>
    <row r="2081" spans="27:32" ht="15">
      <c r="AA2081" s="463" t="s">
        <v>7413</v>
      </c>
      <c r="AB2081" s="462" t="s">
        <v>7414</v>
      </c>
      <c r="AC2081" s="462" t="s">
        <v>7415</v>
      </c>
      <c r="AD2081" s="464">
        <v>86.472909999999999</v>
      </c>
      <c r="AE2081" s="465">
        <v>4.1596599999999997</v>
      </c>
      <c r="AF2081" s="86">
        <f>IF(verze!$E$1="CZK",AD2081,IF(verze!$E$1="SK",AE2081,""))</f>
        <v>4.1596599999999997</v>
      </c>
    </row>
    <row r="2082" spans="27:32" ht="15">
      <c r="AA2082" s="463" t="s">
        <v>7416</v>
      </c>
      <c r="AB2082" s="462" t="s">
        <v>7417</v>
      </c>
      <c r="AC2082" s="462" t="s">
        <v>7418</v>
      </c>
      <c r="AD2082" s="464">
        <v>90.633309999999994</v>
      </c>
      <c r="AE2082" s="465">
        <v>4.3597900000000003</v>
      </c>
      <c r="AF2082" s="86">
        <f>IF(verze!$E$1="CZK",AD2082,IF(verze!$E$1="SK",AE2082,""))</f>
        <v>4.3597900000000003</v>
      </c>
    </row>
    <row r="2083" spans="27:32" ht="15">
      <c r="AA2083" s="463" t="s">
        <v>7419</v>
      </c>
      <c r="AB2083" s="462" t="s">
        <v>7420</v>
      </c>
      <c r="AC2083" s="462" t="s">
        <v>7421</v>
      </c>
      <c r="AD2083" s="464">
        <v>91.337980000000002</v>
      </c>
      <c r="AE2083" s="465">
        <v>4.3936799999999998</v>
      </c>
      <c r="AF2083" s="86">
        <f>IF(verze!$E$1="CZK",AD2083,IF(verze!$E$1="SK",AE2083,""))</f>
        <v>4.3936799999999998</v>
      </c>
    </row>
    <row r="2084" spans="27:32" ht="15">
      <c r="AA2084" s="463" t="s">
        <v>7422</v>
      </c>
      <c r="AB2084" s="462" t="s">
        <v>7423</v>
      </c>
      <c r="AC2084" s="462" t="s">
        <v>7424</v>
      </c>
      <c r="AD2084" s="464">
        <v>96.202950000000001</v>
      </c>
      <c r="AE2084" s="465">
        <v>4.6277100000000004</v>
      </c>
      <c r="AF2084" s="86">
        <f>IF(verze!$E$1="CZK",AD2084,IF(verze!$E$1="SK",AE2084,""))</f>
        <v>4.6277100000000004</v>
      </c>
    </row>
    <row r="2085" spans="27:32" ht="15">
      <c r="AA2085" s="463" t="s">
        <v>7425</v>
      </c>
      <c r="AB2085" s="462" t="s">
        <v>7426</v>
      </c>
      <c r="AC2085" s="462" t="s">
        <v>7427</v>
      </c>
      <c r="AD2085" s="464">
        <v>69.883660000000006</v>
      </c>
      <c r="AE2085" s="465">
        <v>0</v>
      </c>
      <c r="AF2085" s="86">
        <f>IF(verze!$E$1="CZK",AD2085,IF(verze!$E$1="SK",AE2085,""))</f>
        <v>0</v>
      </c>
    </row>
    <row r="2086" spans="27:32" ht="15">
      <c r="AA2086" s="463" t="s">
        <v>7428</v>
      </c>
      <c r="AB2086" s="462" t="s">
        <v>7429</v>
      </c>
      <c r="AC2086" s="462" t="s">
        <v>7430</v>
      </c>
      <c r="AD2086" s="464">
        <v>3.3164500000000001</v>
      </c>
      <c r="AE2086" s="465">
        <v>0.15953999999999999</v>
      </c>
      <c r="AF2086" s="86">
        <f>IF(verze!$E$1="CZK",AD2086,IF(verze!$E$1="SK",AE2086,""))</f>
        <v>0.15953999999999999</v>
      </c>
    </row>
    <row r="2087" spans="27:32" ht="15">
      <c r="AA2087" s="463" t="s">
        <v>7428</v>
      </c>
      <c r="AB2087" s="462" t="s">
        <v>7431</v>
      </c>
      <c r="AC2087" s="462" t="s">
        <v>7432</v>
      </c>
      <c r="AD2087" s="464">
        <v>3.2282500000000001</v>
      </c>
      <c r="AE2087" s="465">
        <v>0.1206</v>
      </c>
      <c r="AF2087" s="86">
        <f>IF(verze!$E$1="CZK",AD2087,IF(verze!$E$1="SK",AE2087,""))</f>
        <v>0.1206</v>
      </c>
    </row>
    <row r="2088" spans="27:32" ht="15">
      <c r="AA2088" s="463" t="s">
        <v>7433</v>
      </c>
      <c r="AB2088" s="462" t="s">
        <v>7434</v>
      </c>
      <c r="AC2088" s="462" t="s">
        <v>7435</v>
      </c>
      <c r="AD2088" s="464">
        <v>4.7934200000000002</v>
      </c>
      <c r="AE2088" s="465">
        <v>0.23058000000000001</v>
      </c>
      <c r="AF2088" s="86">
        <f>IF(verze!$E$1="CZK",AD2088,IF(verze!$E$1="SK",AE2088,""))</f>
        <v>0.23058000000000001</v>
      </c>
    </row>
    <row r="2089" spans="27:32" ht="15">
      <c r="AA2089" s="463" t="s">
        <v>7436</v>
      </c>
      <c r="AB2089" s="462" t="s">
        <v>7437</v>
      </c>
      <c r="AC2089" s="462" t="s">
        <v>7438</v>
      </c>
      <c r="AD2089" s="464">
        <v>4.3043399999999998</v>
      </c>
      <c r="AE2089" s="465">
        <v>0.20705999999999999</v>
      </c>
      <c r="AF2089" s="86">
        <f>IF(verze!$E$1="CZK",AD2089,IF(verze!$E$1="SK",AE2089,""))</f>
        <v>0.20705999999999999</v>
      </c>
    </row>
    <row r="2090" spans="27:32" ht="15">
      <c r="AA2090" s="463" t="s">
        <v>7439</v>
      </c>
      <c r="AB2090" s="462" t="s">
        <v>7440</v>
      </c>
      <c r="AC2090" s="462" t="s">
        <v>7441</v>
      </c>
      <c r="AD2090" s="464">
        <v>3.3164500000000001</v>
      </c>
      <c r="AE2090" s="465">
        <v>0.15953999999999999</v>
      </c>
      <c r="AF2090" s="86">
        <f>IF(verze!$E$1="CZK",AD2090,IF(verze!$E$1="SK",AE2090,""))</f>
        <v>0.15953999999999999</v>
      </c>
    </row>
    <row r="2091" spans="27:32" ht="15">
      <c r="AA2091" s="463" t="s">
        <v>7439</v>
      </c>
      <c r="AB2091" s="462" t="s">
        <v>7442</v>
      </c>
      <c r="AC2091" s="462" t="s">
        <v>7443</v>
      </c>
      <c r="AD2091" s="464">
        <v>3.2282500000000001</v>
      </c>
      <c r="AE2091" s="465">
        <v>0.1206</v>
      </c>
      <c r="AF2091" s="86">
        <f>IF(verze!$E$1="CZK",AD2091,IF(verze!$E$1="SK",AE2091,""))</f>
        <v>0.1206</v>
      </c>
    </row>
    <row r="2092" spans="27:32" ht="15">
      <c r="AA2092" s="463" t="s">
        <v>7444</v>
      </c>
      <c r="AB2092" s="462" t="s">
        <v>7445</v>
      </c>
      <c r="AC2092" s="462" t="s">
        <v>7446</v>
      </c>
      <c r="AD2092" s="464">
        <v>7.4838899999999997</v>
      </c>
      <c r="AE2092" s="465">
        <v>0.36</v>
      </c>
      <c r="AF2092" s="86">
        <f>IF(verze!$E$1="CZK",AD2092,IF(verze!$E$1="SK",AE2092,""))</f>
        <v>0.36</v>
      </c>
    </row>
    <row r="2093" spans="27:32" ht="15">
      <c r="AA2093" s="463" t="s">
        <v>7447</v>
      </c>
      <c r="AB2093" s="462" t="s">
        <v>7448</v>
      </c>
      <c r="AC2093" s="462" t="s">
        <v>7449</v>
      </c>
      <c r="AD2093" s="464">
        <v>30.03078</v>
      </c>
      <c r="AE2093" s="465">
        <v>1.44459</v>
      </c>
      <c r="AF2093" s="86">
        <f>IF(verze!$E$1="CZK",AD2093,IF(verze!$E$1="SK",AE2093,""))</f>
        <v>1.44459</v>
      </c>
    </row>
    <row r="2094" spans="27:32" ht="15">
      <c r="AA2094" s="463" t="s">
        <v>7450</v>
      </c>
      <c r="AB2094" s="462" t="s">
        <v>7451</v>
      </c>
      <c r="AC2094" s="462" t="s">
        <v>7452</v>
      </c>
      <c r="AD2094" s="464">
        <v>32.53895</v>
      </c>
      <c r="AE2094" s="465">
        <v>1.55558</v>
      </c>
      <c r="AF2094" s="86">
        <f>IF(verze!$E$1="CZK",AD2094,IF(verze!$E$1="SK",AE2094,""))</f>
        <v>1.55558</v>
      </c>
    </row>
    <row r="2095" spans="27:32" ht="15">
      <c r="AA2095" s="463" t="s">
        <v>7453</v>
      </c>
      <c r="AB2095" s="462" t="s">
        <v>7454</v>
      </c>
      <c r="AC2095" s="462" t="s">
        <v>7455</v>
      </c>
      <c r="AD2095" s="464">
        <v>125.52323</v>
      </c>
      <c r="AE2095" s="465">
        <v>5.02156</v>
      </c>
      <c r="AF2095" s="86">
        <f>IF(verze!$E$1="CZK",AD2095,IF(verze!$E$1="SK",AE2095,""))</f>
        <v>5.02156</v>
      </c>
    </row>
    <row r="2096" spans="27:32" ht="15">
      <c r="AA2096" s="463" t="s">
        <v>7456</v>
      </c>
      <c r="AB2096" s="462" t="s">
        <v>7457</v>
      </c>
      <c r="AC2096" s="462" t="s">
        <v>7458</v>
      </c>
      <c r="AD2096" s="464">
        <v>97.284620000000004</v>
      </c>
      <c r="AE2096" s="465">
        <v>4.6797500000000003</v>
      </c>
      <c r="AF2096" s="86">
        <f>IF(verze!$E$1="CZK",AD2096,IF(verze!$E$1="SK",AE2096,""))</f>
        <v>4.6797500000000003</v>
      </c>
    </row>
    <row r="2097" spans="27:32" ht="15">
      <c r="AA2097" s="463" t="s">
        <v>7459</v>
      </c>
      <c r="AB2097" s="462" t="s">
        <v>7460</v>
      </c>
      <c r="AC2097" s="462" t="s">
        <v>7461</v>
      </c>
      <c r="AD2097" s="464">
        <v>136.19434000000001</v>
      </c>
      <c r="AE2097" s="465">
        <v>6.5514299999999999</v>
      </c>
      <c r="AF2097" s="86">
        <f>IF(verze!$E$1="CZK",AD2097,IF(verze!$E$1="SK",AE2097,""))</f>
        <v>6.5514299999999999</v>
      </c>
    </row>
    <row r="2098" spans="27:32" ht="15">
      <c r="AA2098" s="463" t="s">
        <v>7462</v>
      </c>
      <c r="AB2098" s="462" t="s">
        <v>7463</v>
      </c>
      <c r="AC2098" s="462" t="s">
        <v>7464</v>
      </c>
      <c r="AD2098" s="464">
        <v>142.03189</v>
      </c>
      <c r="AE2098" s="465">
        <v>6.8322500000000002</v>
      </c>
      <c r="AF2098" s="86">
        <f>IF(verze!$E$1="CZK",AD2098,IF(verze!$E$1="SK",AE2098,""))</f>
        <v>6.8322500000000002</v>
      </c>
    </row>
    <row r="2099" spans="27:32" ht="15">
      <c r="AA2099" s="463" t="s">
        <v>7465</v>
      </c>
      <c r="AB2099" s="462" t="s">
        <v>7466</v>
      </c>
      <c r="AC2099" s="462" t="s">
        <v>7467</v>
      </c>
      <c r="AD2099" s="464">
        <v>147.87192999999999</v>
      </c>
      <c r="AE2099" s="465">
        <v>7.1131799999999998</v>
      </c>
      <c r="AF2099" s="86">
        <f>IF(verze!$E$1="CZK",AD2099,IF(verze!$E$1="SK",AE2099,""))</f>
        <v>7.1131799999999998</v>
      </c>
    </row>
    <row r="2100" spans="27:32" ht="15">
      <c r="AA2100" s="463" t="s">
        <v>7468</v>
      </c>
      <c r="AB2100" s="462" t="s">
        <v>7469</v>
      </c>
      <c r="AC2100" s="462" t="s">
        <v>7470</v>
      </c>
      <c r="AD2100" s="464">
        <v>116.73954000000001</v>
      </c>
      <c r="AE2100" s="465">
        <v>5.6155900000000001</v>
      </c>
      <c r="AF2100" s="86">
        <f>IF(verze!$E$1="CZK",AD2100,IF(verze!$E$1="SK",AE2100,""))</f>
        <v>5.6155900000000001</v>
      </c>
    </row>
    <row r="2101" spans="27:32" ht="15">
      <c r="AA2101" s="463" t="s">
        <v>7471</v>
      </c>
      <c r="AB2101" s="462" t="s">
        <v>7472</v>
      </c>
      <c r="AC2101" s="462" t="s">
        <v>7473</v>
      </c>
      <c r="AD2101" s="464">
        <v>122.57698000000001</v>
      </c>
      <c r="AE2101" s="465">
        <v>5.8963799999999997</v>
      </c>
      <c r="AF2101" s="86">
        <f>IF(verze!$E$1="CZK",AD2101,IF(verze!$E$1="SK",AE2101,""))</f>
        <v>5.8963799999999997</v>
      </c>
    </row>
    <row r="2102" spans="27:32" ht="15">
      <c r="AA2102" s="463" t="s">
        <v>7474</v>
      </c>
      <c r="AB2102" s="462" t="s">
        <v>7475</v>
      </c>
      <c r="AC2102" s="462" t="s">
        <v>7476</v>
      </c>
      <c r="AD2102" s="464">
        <v>128.41453000000001</v>
      </c>
      <c r="AE2102" s="465">
        <v>6.1772099999999996</v>
      </c>
      <c r="AF2102" s="86">
        <f>IF(verze!$E$1="CZK",AD2102,IF(verze!$E$1="SK",AE2102,""))</f>
        <v>6.1772099999999996</v>
      </c>
    </row>
    <row r="2103" spans="27:32" ht="15">
      <c r="AA2103" s="463" t="s">
        <v>7477</v>
      </c>
      <c r="AB2103" s="462" t="s">
        <v>7478</v>
      </c>
      <c r="AC2103" s="462" t="s">
        <v>7479</v>
      </c>
      <c r="AD2103" s="464">
        <v>89.177120000000002</v>
      </c>
      <c r="AE2103" s="465">
        <v>4.2632500000000002</v>
      </c>
      <c r="AF2103" s="86">
        <f>IF(verze!$E$1="CZK",AD2103,IF(verze!$E$1="SK",AE2103,""))</f>
        <v>4.2632500000000002</v>
      </c>
    </row>
    <row r="2104" spans="27:32" ht="15">
      <c r="AA2104" s="463" t="s">
        <v>7480</v>
      </c>
      <c r="AB2104" s="462" t="s">
        <v>7481</v>
      </c>
      <c r="AC2104" s="462" t="s">
        <v>7482</v>
      </c>
      <c r="AD2104" s="464">
        <v>64.854659999999996</v>
      </c>
      <c r="AE2104" s="465">
        <v>3.1197400000000002</v>
      </c>
      <c r="AF2104" s="86">
        <f>IF(verze!$E$1="CZK",AD2104,IF(verze!$E$1="SK",AE2104,""))</f>
        <v>3.1197400000000002</v>
      </c>
    </row>
    <row r="2105" spans="27:32" ht="15">
      <c r="AA2105" s="463" t="s">
        <v>7483</v>
      </c>
      <c r="AB2105" s="462" t="s">
        <v>7484</v>
      </c>
      <c r="AC2105" s="462" t="s">
        <v>7485</v>
      </c>
      <c r="AD2105" s="464">
        <v>67.56156</v>
      </c>
      <c r="AE2105" s="465">
        <v>3.2499600000000002</v>
      </c>
      <c r="AF2105" s="86">
        <f>IF(verze!$E$1="CZK",AD2105,IF(verze!$E$1="SK",AE2105,""))</f>
        <v>3.2499600000000002</v>
      </c>
    </row>
    <row r="2106" spans="27:32" ht="15">
      <c r="AA2106" s="463" t="s">
        <v>7486</v>
      </c>
      <c r="AB2106" s="462" t="s">
        <v>7487</v>
      </c>
      <c r="AC2106" s="462" t="s">
        <v>7488</v>
      </c>
      <c r="AD2106" s="464">
        <v>72.421360000000007</v>
      </c>
      <c r="AE2106" s="465">
        <v>3.4837099999999999</v>
      </c>
      <c r="AF2106" s="86">
        <f>IF(verze!$E$1="CZK",AD2106,IF(verze!$E$1="SK",AE2106,""))</f>
        <v>3.4837099999999999</v>
      </c>
    </row>
    <row r="2107" spans="27:32" ht="15">
      <c r="AA2107" s="463" t="s">
        <v>7489</v>
      </c>
      <c r="AB2107" s="462" t="s">
        <v>7490</v>
      </c>
      <c r="AC2107" s="462" t="s">
        <v>7491</v>
      </c>
      <c r="AD2107" s="464">
        <v>77.286330000000007</v>
      </c>
      <c r="AE2107" s="465">
        <v>3.7177600000000002</v>
      </c>
      <c r="AF2107" s="86">
        <f>IF(verze!$E$1="CZK",AD2107,IF(verze!$E$1="SK",AE2107,""))</f>
        <v>3.7177600000000002</v>
      </c>
    </row>
    <row r="2108" spans="27:32" ht="15">
      <c r="AA2108" s="463" t="s">
        <v>7492</v>
      </c>
      <c r="AB2108" s="462" t="s">
        <v>7493</v>
      </c>
      <c r="AC2108" s="462" t="s">
        <v>7494</v>
      </c>
      <c r="AD2108" s="464">
        <v>70.260509999999996</v>
      </c>
      <c r="AE2108" s="465">
        <v>3.3797799999999998</v>
      </c>
      <c r="AF2108" s="86">
        <f>IF(verze!$E$1="CZK",AD2108,IF(verze!$E$1="SK",AE2108,""))</f>
        <v>3.3797799999999998</v>
      </c>
    </row>
    <row r="2109" spans="27:32" ht="15">
      <c r="AA2109" s="463" t="s">
        <v>7495</v>
      </c>
      <c r="AB2109" s="462" t="s">
        <v>7496</v>
      </c>
      <c r="AC2109" s="462" t="s">
        <v>7497</v>
      </c>
      <c r="AD2109" s="464">
        <v>72.962140000000005</v>
      </c>
      <c r="AE2109" s="465">
        <v>3.5097499999999999</v>
      </c>
      <c r="AF2109" s="86">
        <f>IF(verze!$E$1="CZK",AD2109,IF(verze!$E$1="SK",AE2109,""))</f>
        <v>3.5097499999999999</v>
      </c>
    </row>
    <row r="2110" spans="27:32" ht="15">
      <c r="AA2110" s="463" t="s">
        <v>7498</v>
      </c>
      <c r="AB2110" s="462" t="s">
        <v>7499</v>
      </c>
      <c r="AC2110" s="462" t="s">
        <v>7500</v>
      </c>
      <c r="AD2110" s="464">
        <v>77.827219999999997</v>
      </c>
      <c r="AE2110" s="465">
        <v>3.7437800000000001</v>
      </c>
      <c r="AF2110" s="86">
        <f>IF(verze!$E$1="CZK",AD2110,IF(verze!$E$1="SK",AE2110,""))</f>
        <v>3.7437800000000001</v>
      </c>
    </row>
    <row r="2111" spans="27:32" ht="15">
      <c r="AA2111" s="463" t="s">
        <v>7501</v>
      </c>
      <c r="AB2111" s="462" t="s">
        <v>7502</v>
      </c>
      <c r="AC2111" s="462" t="s">
        <v>7503</v>
      </c>
      <c r="AD2111" s="464">
        <v>82.692189999999997</v>
      </c>
      <c r="AE2111" s="465">
        <v>3.9777800000000001</v>
      </c>
      <c r="AF2111" s="86">
        <f>IF(verze!$E$1="CZK",AD2111,IF(verze!$E$1="SK",AE2111,""))</f>
        <v>3.9777800000000001</v>
      </c>
    </row>
    <row r="2112" spans="27:32" ht="15">
      <c r="AA2112" s="463" t="s">
        <v>7504</v>
      </c>
      <c r="AB2112" s="462" t="s">
        <v>7505</v>
      </c>
      <c r="AC2112" s="462" t="s">
        <v>7506</v>
      </c>
      <c r="AD2112" s="464">
        <v>90.7971</v>
      </c>
      <c r="AE2112" s="465">
        <v>4.3676599999999999</v>
      </c>
      <c r="AF2112" s="86">
        <f>IF(verze!$E$1="CZK",AD2112,IF(verze!$E$1="SK",AE2112,""))</f>
        <v>4.3676599999999999</v>
      </c>
    </row>
    <row r="2113" spans="27:32" ht="15">
      <c r="AA2113" s="463" t="s">
        <v>7507</v>
      </c>
      <c r="AB2113" s="462" t="s">
        <v>7508</v>
      </c>
      <c r="AC2113" s="462" t="s">
        <v>7509</v>
      </c>
      <c r="AD2113" s="464">
        <v>96.634649999999993</v>
      </c>
      <c r="AE2113" s="465">
        <v>4.6484800000000002</v>
      </c>
      <c r="AF2113" s="86">
        <f>IF(verze!$E$1="CZK",AD2113,IF(verze!$E$1="SK",AE2113,""))</f>
        <v>4.6484800000000002</v>
      </c>
    </row>
    <row r="2114" spans="27:32" ht="15">
      <c r="AA2114" s="463" t="s">
        <v>7510</v>
      </c>
      <c r="AB2114" s="462" t="s">
        <v>7511</v>
      </c>
      <c r="AC2114" s="462" t="s">
        <v>7512</v>
      </c>
      <c r="AD2114" s="464">
        <v>102.47208999999999</v>
      </c>
      <c r="AE2114" s="465">
        <v>4.9292899999999999</v>
      </c>
      <c r="AF2114" s="86">
        <f>IF(verze!$E$1="CZK",AD2114,IF(verze!$E$1="SK",AE2114,""))</f>
        <v>4.9292899999999999</v>
      </c>
    </row>
    <row r="2115" spans="27:32" ht="15">
      <c r="AA2115" s="463" t="s">
        <v>7513</v>
      </c>
      <c r="AB2115" s="462" t="s">
        <v>7514</v>
      </c>
      <c r="AC2115" s="462" t="s">
        <v>7515</v>
      </c>
      <c r="AD2115" s="464">
        <v>71.339699999999993</v>
      </c>
      <c r="AE2115" s="465">
        <v>3.4316900000000001</v>
      </c>
      <c r="AF2115" s="86">
        <f>IF(verze!$E$1="CZK",AD2115,IF(verze!$E$1="SK",AE2115,""))</f>
        <v>3.4316900000000001</v>
      </c>
    </row>
    <row r="2116" spans="27:32" ht="15">
      <c r="AA2116" s="463" t="s">
        <v>7516</v>
      </c>
      <c r="AB2116" s="462" t="s">
        <v>7517</v>
      </c>
      <c r="AC2116" s="462" t="s">
        <v>7518</v>
      </c>
      <c r="AD2116" s="464">
        <v>77.179730000000006</v>
      </c>
      <c r="AE2116" s="465">
        <v>3.7126299999999999</v>
      </c>
      <c r="AF2116" s="86">
        <f>IF(verze!$E$1="CZK",AD2116,IF(verze!$E$1="SK",AE2116,""))</f>
        <v>3.7126299999999999</v>
      </c>
    </row>
    <row r="2117" spans="27:32" ht="15">
      <c r="AA2117" s="463" t="s">
        <v>7519</v>
      </c>
      <c r="AB2117" s="462" t="s">
        <v>7520</v>
      </c>
      <c r="AC2117" s="462" t="s">
        <v>7521</v>
      </c>
      <c r="AD2117" s="464">
        <v>83.014690000000002</v>
      </c>
      <c r="AE2117" s="465">
        <v>3.9933200000000002</v>
      </c>
      <c r="AF2117" s="86">
        <f>IF(verze!$E$1="CZK",AD2117,IF(verze!$E$1="SK",AE2117,""))</f>
        <v>3.9933200000000002</v>
      </c>
    </row>
    <row r="2118" spans="27:32" ht="15">
      <c r="AA2118" s="463" t="s">
        <v>7522</v>
      </c>
      <c r="AB2118" s="462" t="s">
        <v>7523</v>
      </c>
      <c r="AC2118" s="462" t="s">
        <v>7524</v>
      </c>
      <c r="AD2118" s="464">
        <v>129.70681999999999</v>
      </c>
      <c r="AE2118" s="465">
        <v>6.23935</v>
      </c>
      <c r="AF2118" s="86">
        <f>IF(verze!$E$1="CZK",AD2118,IF(verze!$E$1="SK",AE2118,""))</f>
        <v>6.23935</v>
      </c>
    </row>
    <row r="2119" spans="27:32" ht="15">
      <c r="AA2119" s="463" t="s">
        <v>7525</v>
      </c>
      <c r="AB2119" s="462" t="s">
        <v>7526</v>
      </c>
      <c r="AC2119" s="462" t="s">
        <v>7527</v>
      </c>
      <c r="AD2119" s="464">
        <v>176.99775</v>
      </c>
      <c r="AE2119" s="465">
        <v>8.5142399999999991</v>
      </c>
      <c r="AF2119" s="86">
        <f>IF(verze!$E$1="CZK",AD2119,IF(verze!$E$1="SK",AE2119,""))</f>
        <v>8.5142399999999991</v>
      </c>
    </row>
    <row r="2120" spans="27:32" ht="15">
      <c r="AA2120" s="463" t="s">
        <v>7528</v>
      </c>
      <c r="AB2120" s="462" t="s">
        <v>7529</v>
      </c>
      <c r="AC2120" s="462" t="s">
        <v>7530</v>
      </c>
      <c r="AD2120" s="464">
        <v>176.99775</v>
      </c>
      <c r="AE2120" s="465">
        <v>8.5142399999999991</v>
      </c>
      <c r="AF2120" s="86">
        <f>IF(verze!$E$1="CZK",AD2120,IF(verze!$E$1="SK",AE2120,""))</f>
        <v>8.5142399999999991</v>
      </c>
    </row>
    <row r="2121" spans="27:32" ht="15">
      <c r="AA2121" s="463" t="s">
        <v>7531</v>
      </c>
      <c r="AB2121" s="462" t="s">
        <v>7532</v>
      </c>
      <c r="AC2121" s="462" t="s">
        <v>7533</v>
      </c>
      <c r="AD2121" s="464">
        <v>176.99775</v>
      </c>
      <c r="AE2121" s="465">
        <v>8.5142399999999991</v>
      </c>
      <c r="AF2121" s="86">
        <f>IF(verze!$E$1="CZK",AD2121,IF(verze!$E$1="SK",AE2121,""))</f>
        <v>8.5142399999999991</v>
      </c>
    </row>
    <row r="2122" spans="27:32" ht="15">
      <c r="AA2122" s="463" t="s">
        <v>7534</v>
      </c>
      <c r="AB2122" s="462" t="s">
        <v>7535</v>
      </c>
      <c r="AC2122" s="462" t="s">
        <v>7536</v>
      </c>
      <c r="AD2122" s="464">
        <v>176.99775</v>
      </c>
      <c r="AE2122" s="465">
        <v>8.5142399999999991</v>
      </c>
      <c r="AF2122" s="86">
        <f>IF(verze!$E$1="CZK",AD2122,IF(verze!$E$1="SK",AE2122,""))</f>
        <v>8.5142399999999991</v>
      </c>
    </row>
    <row r="2123" spans="27:32" ht="15">
      <c r="AA2123" s="463" t="s">
        <v>7537</v>
      </c>
      <c r="AB2123" s="462" t="s">
        <v>7538</v>
      </c>
      <c r="AC2123" s="462" t="s">
        <v>7539</v>
      </c>
      <c r="AD2123" s="464">
        <v>159.29514</v>
      </c>
      <c r="AE2123" s="465">
        <v>7.6626700000000003</v>
      </c>
      <c r="AF2123" s="86">
        <f>IF(verze!$E$1="CZK",AD2123,IF(verze!$E$1="SK",AE2123,""))</f>
        <v>7.6626700000000003</v>
      </c>
    </row>
    <row r="2124" spans="27:32" ht="15">
      <c r="AA2124" s="463" t="s">
        <v>7540</v>
      </c>
      <c r="AB2124" s="462" t="s">
        <v>7541</v>
      </c>
      <c r="AC2124" s="462" t="s">
        <v>7542</v>
      </c>
      <c r="AD2124" s="464">
        <v>159.29514</v>
      </c>
      <c r="AE2124" s="465">
        <v>7.6626700000000003</v>
      </c>
      <c r="AF2124" s="86">
        <f>IF(verze!$E$1="CZK",AD2124,IF(verze!$E$1="SK",AE2124,""))</f>
        <v>7.6626700000000003</v>
      </c>
    </row>
    <row r="2125" spans="27:32" ht="15">
      <c r="AA2125" s="463" t="s">
        <v>7543</v>
      </c>
      <c r="AB2125" s="462" t="s">
        <v>7544</v>
      </c>
      <c r="AC2125" s="462" t="s">
        <v>7545</v>
      </c>
      <c r="AD2125" s="464">
        <v>100.52455999999999</v>
      </c>
      <c r="AE2125" s="465">
        <v>4.8355899999999998</v>
      </c>
      <c r="AF2125" s="86">
        <f>IF(verze!$E$1="CZK",AD2125,IF(verze!$E$1="SK",AE2125,""))</f>
        <v>4.8355899999999998</v>
      </c>
    </row>
    <row r="2126" spans="27:32" ht="15">
      <c r="AA2126" s="463" t="s">
        <v>7546</v>
      </c>
      <c r="AB2126" s="462" t="s">
        <v>7547</v>
      </c>
      <c r="AC2126" s="462" t="s">
        <v>7548</v>
      </c>
      <c r="AD2126" s="464">
        <v>107.51130000000001</v>
      </c>
      <c r="AE2126" s="465">
        <v>5.1716899999999999</v>
      </c>
      <c r="AF2126" s="86">
        <f>IF(verze!$E$1="CZK",AD2126,IF(verze!$E$1="SK",AE2126,""))</f>
        <v>5.1716899999999999</v>
      </c>
    </row>
    <row r="2127" spans="27:32" ht="15">
      <c r="AA2127" s="463" t="s">
        <v>7549</v>
      </c>
      <c r="AB2127" s="462" t="s">
        <v>7550</v>
      </c>
      <c r="AC2127" s="462" t="s">
        <v>7551</v>
      </c>
      <c r="AD2127" s="464">
        <v>106.36199999999999</v>
      </c>
      <c r="AE2127" s="465">
        <v>5.1163999999999996</v>
      </c>
      <c r="AF2127" s="86">
        <f>IF(verze!$E$1="CZK",AD2127,IF(verze!$E$1="SK",AE2127,""))</f>
        <v>5.1163999999999996</v>
      </c>
    </row>
    <row r="2128" spans="27:32" ht="15">
      <c r="AA2128" s="463" t="s">
        <v>7552</v>
      </c>
      <c r="AB2128" s="462" t="s">
        <v>7553</v>
      </c>
      <c r="AC2128" s="462" t="s">
        <v>7554</v>
      </c>
      <c r="AD2128" s="464">
        <v>112.19955</v>
      </c>
      <c r="AE2128" s="465">
        <v>5.3972100000000003</v>
      </c>
      <c r="AF2128" s="86">
        <f>IF(verze!$E$1="CZK",AD2128,IF(verze!$E$1="SK",AE2128,""))</f>
        <v>5.3972100000000003</v>
      </c>
    </row>
    <row r="2129" spans="27:32" ht="15">
      <c r="AA2129" s="463" t="s">
        <v>7555</v>
      </c>
      <c r="AB2129" s="462" t="s">
        <v>7556</v>
      </c>
      <c r="AC2129" s="462" t="s">
        <v>7557</v>
      </c>
      <c r="AD2129" s="464">
        <v>119.18371</v>
      </c>
      <c r="AE2129" s="465">
        <v>5.7331700000000003</v>
      </c>
      <c r="AF2129" s="86">
        <f>IF(verze!$E$1="CZK",AD2129,IF(verze!$E$1="SK",AE2129,""))</f>
        <v>5.7331700000000003</v>
      </c>
    </row>
    <row r="2130" spans="27:32" ht="15">
      <c r="AA2130" s="463" t="s">
        <v>7558</v>
      </c>
      <c r="AB2130" s="462" t="s">
        <v>7559</v>
      </c>
      <c r="AC2130" s="462" t="s">
        <v>7560</v>
      </c>
      <c r="AD2130" s="464">
        <v>81.067049999999995</v>
      </c>
      <c r="AE2130" s="465">
        <v>3.8996200000000001</v>
      </c>
      <c r="AF2130" s="86">
        <f>IF(verze!$E$1="CZK",AD2130,IF(verze!$E$1="SK",AE2130,""))</f>
        <v>3.8996200000000001</v>
      </c>
    </row>
    <row r="2131" spans="27:32" ht="15">
      <c r="AA2131" s="463" t="s">
        <v>7561</v>
      </c>
      <c r="AB2131" s="462" t="s">
        <v>7562</v>
      </c>
      <c r="AC2131" s="462" t="s">
        <v>7563</v>
      </c>
      <c r="AD2131" s="464">
        <v>92.742050000000006</v>
      </c>
      <c r="AE2131" s="465">
        <v>4.4612400000000001</v>
      </c>
      <c r="AF2131" s="86">
        <f>IF(verze!$E$1="CZK",AD2131,IF(verze!$E$1="SK",AE2131,""))</f>
        <v>4.4612400000000001</v>
      </c>
    </row>
    <row r="2132" spans="27:32" ht="15">
      <c r="AA2132" s="463" t="s">
        <v>7564</v>
      </c>
      <c r="AB2132" s="462" t="s">
        <v>7565</v>
      </c>
      <c r="AC2132" s="462" t="s">
        <v>7566</v>
      </c>
      <c r="AD2132" s="464">
        <v>126.46689000000001</v>
      </c>
      <c r="AE2132" s="465">
        <v>6.0835100000000004</v>
      </c>
      <c r="AF2132" s="86">
        <f>IF(verze!$E$1="CZK",AD2132,IF(verze!$E$1="SK",AE2132,""))</f>
        <v>6.0835100000000004</v>
      </c>
    </row>
    <row r="2133" spans="27:32" ht="15">
      <c r="AA2133" s="463" t="s">
        <v>7567</v>
      </c>
      <c r="AB2133" s="462" t="s">
        <v>7568</v>
      </c>
      <c r="AC2133" s="462" t="s">
        <v>7569</v>
      </c>
      <c r="AD2133" s="464">
        <v>132.30444</v>
      </c>
      <c r="AE2133" s="465">
        <v>6.3643200000000002</v>
      </c>
      <c r="AF2133" s="86">
        <f>IF(verze!$E$1="CZK",AD2133,IF(verze!$E$1="SK",AE2133,""))</f>
        <v>6.3643200000000002</v>
      </c>
    </row>
    <row r="2134" spans="27:32" ht="15">
      <c r="AA2134" s="463" t="s">
        <v>7570</v>
      </c>
      <c r="AB2134" s="462" t="s">
        <v>7571</v>
      </c>
      <c r="AC2134" s="462" t="s">
        <v>7572</v>
      </c>
      <c r="AD2134" s="464">
        <v>138.14188999999999</v>
      </c>
      <c r="AE2134" s="465">
        <v>6.6451399999999996</v>
      </c>
      <c r="AF2134" s="86">
        <f>IF(verze!$E$1="CZK",AD2134,IF(verze!$E$1="SK",AE2134,""))</f>
        <v>6.6451399999999996</v>
      </c>
    </row>
    <row r="2135" spans="27:32" ht="15">
      <c r="AA2135" s="463" t="s">
        <v>7573</v>
      </c>
      <c r="AB2135" s="462" t="s">
        <v>7574</v>
      </c>
      <c r="AC2135" s="462" t="s">
        <v>7575</v>
      </c>
      <c r="AD2135" s="464">
        <v>107.00949</v>
      </c>
      <c r="AE2135" s="465">
        <v>5.1475400000000002</v>
      </c>
      <c r="AF2135" s="86">
        <f>IF(verze!$E$1="CZK",AD2135,IF(verze!$E$1="SK",AE2135,""))</f>
        <v>5.1475400000000002</v>
      </c>
    </row>
    <row r="2136" spans="27:32" ht="15">
      <c r="AA2136" s="463" t="s">
        <v>7576</v>
      </c>
      <c r="AB2136" s="462" t="s">
        <v>7577</v>
      </c>
      <c r="AC2136" s="462" t="s">
        <v>7578</v>
      </c>
      <c r="AD2136" s="464">
        <v>112.84694</v>
      </c>
      <c r="AE2136" s="465">
        <v>5.42835</v>
      </c>
      <c r="AF2136" s="86">
        <f>IF(verze!$E$1="CZK",AD2136,IF(verze!$E$1="SK",AE2136,""))</f>
        <v>5.42835</v>
      </c>
    </row>
    <row r="2137" spans="27:32" ht="15">
      <c r="AA2137" s="463" t="s">
        <v>7579</v>
      </c>
      <c r="AB2137" s="462" t="s">
        <v>7580</v>
      </c>
      <c r="AC2137" s="462" t="s">
        <v>7581</v>
      </c>
      <c r="AD2137" s="464">
        <v>178.57283000000001</v>
      </c>
      <c r="AE2137" s="465">
        <v>8.5900099999999995</v>
      </c>
      <c r="AF2137" s="86">
        <f>IF(verze!$E$1="CZK",AD2137,IF(verze!$E$1="SK",AE2137,""))</f>
        <v>8.5900099999999995</v>
      </c>
    </row>
    <row r="2138" spans="27:32" ht="15">
      <c r="AA2138" s="463" t="s">
        <v>7582</v>
      </c>
      <c r="AB2138" s="462" t="s">
        <v>7583</v>
      </c>
      <c r="AC2138" s="462" t="s">
        <v>7584</v>
      </c>
      <c r="AD2138" s="464">
        <v>183.76</v>
      </c>
      <c r="AE2138" s="465">
        <v>8.8395299999999999</v>
      </c>
      <c r="AF2138" s="86">
        <f>IF(verze!$E$1="CZK",AD2138,IF(verze!$E$1="SK",AE2138,""))</f>
        <v>8.8395299999999999</v>
      </c>
    </row>
    <row r="2139" spans="27:32" ht="15">
      <c r="AA2139" s="463" t="s">
        <v>7585</v>
      </c>
      <c r="AB2139" s="462" t="s">
        <v>7586</v>
      </c>
      <c r="AC2139" s="462" t="s">
        <v>7587</v>
      </c>
      <c r="AD2139" s="464">
        <v>161.29294999999999</v>
      </c>
      <c r="AE2139" s="465">
        <v>7.7587700000000002</v>
      </c>
      <c r="AF2139" s="86">
        <f>IF(verze!$E$1="CZK",AD2139,IF(verze!$E$1="SK",AE2139,""))</f>
        <v>7.7587700000000002</v>
      </c>
    </row>
    <row r="2140" spans="27:32" ht="15">
      <c r="AA2140" s="463" t="s">
        <v>7588</v>
      </c>
      <c r="AB2140" s="462" t="s">
        <v>7589</v>
      </c>
      <c r="AC2140" s="462" t="s">
        <v>7590</v>
      </c>
      <c r="AD2140" s="464">
        <v>166.47783999999999</v>
      </c>
      <c r="AE2140" s="465">
        <v>8.0081799999999994</v>
      </c>
      <c r="AF2140" s="86">
        <f>IF(verze!$E$1="CZK",AD2140,IF(verze!$E$1="SK",AE2140,""))</f>
        <v>8.0081799999999994</v>
      </c>
    </row>
    <row r="2141" spans="27:32" ht="15">
      <c r="AA2141" s="463" t="s">
        <v>7591</v>
      </c>
      <c r="AB2141" s="462" t="s">
        <v>7592</v>
      </c>
      <c r="AC2141" s="462" t="s">
        <v>7593</v>
      </c>
      <c r="AD2141" s="464">
        <v>0</v>
      </c>
      <c r="AE2141" s="465">
        <v>4.6747300000000003</v>
      </c>
      <c r="AF2141" s="86">
        <f>IF(verze!$E$1="CZK",AD2141,IF(verze!$E$1="SK",AE2141,""))</f>
        <v>4.6747300000000003</v>
      </c>
    </row>
    <row r="2142" spans="27:32" ht="15">
      <c r="AA2142" s="463" t="s">
        <v>7591</v>
      </c>
      <c r="AB2142" s="462" t="s">
        <v>7594</v>
      </c>
      <c r="AC2142" s="462" t="s">
        <v>7595</v>
      </c>
      <c r="AD2142" s="464">
        <v>102.93980999999999</v>
      </c>
      <c r="AE2142" s="465">
        <v>4.9010400000000001</v>
      </c>
      <c r="AF2142" s="86">
        <f>IF(verze!$E$1="CZK",AD2142,IF(verze!$E$1="SK",AE2142,""))</f>
        <v>4.9010400000000001</v>
      </c>
    </row>
    <row r="2143" spans="27:32" ht="15">
      <c r="AA2143" s="463" t="s">
        <v>7596</v>
      </c>
      <c r="AB2143" s="462" t="s">
        <v>7597</v>
      </c>
      <c r="AC2143" s="462" t="s">
        <v>7598</v>
      </c>
      <c r="AD2143" s="464">
        <v>103.62139000000001</v>
      </c>
      <c r="AE2143" s="465">
        <v>4.9845600000000001</v>
      </c>
      <c r="AF2143" s="86">
        <f>IF(verze!$E$1="CZK",AD2143,IF(verze!$E$1="SK",AE2143,""))</f>
        <v>4.9845600000000001</v>
      </c>
    </row>
    <row r="2144" spans="27:32" ht="15">
      <c r="AA2144" s="463" t="s">
        <v>7599</v>
      </c>
      <c r="AB2144" s="462" t="s">
        <v>7600</v>
      </c>
      <c r="AC2144" s="462" t="s">
        <v>7601</v>
      </c>
      <c r="AD2144" s="464">
        <v>109.45625</v>
      </c>
      <c r="AE2144" s="465">
        <v>5.2652299999999999</v>
      </c>
      <c r="AF2144" s="86">
        <f>IF(verze!$E$1="CZK",AD2144,IF(verze!$E$1="SK",AE2144,""))</f>
        <v>5.2652299999999999</v>
      </c>
    </row>
    <row r="2145" spans="27:32" ht="15">
      <c r="AA2145" s="463" t="s">
        <v>7602</v>
      </c>
      <c r="AB2145" s="462" t="s">
        <v>7603</v>
      </c>
      <c r="AC2145" s="462" t="s">
        <v>7604</v>
      </c>
      <c r="AD2145" s="464">
        <v>0</v>
      </c>
      <c r="AE2145" s="465">
        <v>3.7445300000000001</v>
      </c>
      <c r="AF2145" s="86">
        <f>IF(verze!$E$1="CZK",AD2145,IF(verze!$E$1="SK",AE2145,""))</f>
        <v>3.7445300000000001</v>
      </c>
    </row>
    <row r="2146" spans="27:32" ht="15">
      <c r="AA2146" s="463" t="s">
        <v>7605</v>
      </c>
      <c r="AB2146" s="462" t="s">
        <v>7606</v>
      </c>
      <c r="AC2146" s="462" t="s">
        <v>7607</v>
      </c>
      <c r="AD2146" s="464">
        <v>84.161299999999997</v>
      </c>
      <c r="AE2146" s="465">
        <v>4.0484600000000004</v>
      </c>
      <c r="AF2146" s="86">
        <f>IF(verze!$E$1="CZK",AD2146,IF(verze!$E$1="SK",AE2146,""))</f>
        <v>4.0484600000000004</v>
      </c>
    </row>
    <row r="2147" spans="27:32" ht="15">
      <c r="AA2147" s="463" t="s">
        <v>7608</v>
      </c>
      <c r="AB2147" s="462" t="s">
        <v>7609</v>
      </c>
      <c r="AC2147" s="462" t="s">
        <v>7610</v>
      </c>
      <c r="AD2147" s="464">
        <v>89.996260000000007</v>
      </c>
      <c r="AE2147" s="465">
        <v>4.3291500000000003</v>
      </c>
      <c r="AF2147" s="86">
        <f>IF(verze!$E$1="CZK",AD2147,IF(verze!$E$1="SK",AE2147,""))</f>
        <v>4.3291500000000003</v>
      </c>
    </row>
    <row r="2148" spans="27:32" ht="15">
      <c r="AA2148" s="463" t="s">
        <v>7611</v>
      </c>
      <c r="AB2148" s="462" t="s">
        <v>7612</v>
      </c>
      <c r="AC2148" s="462" t="s">
        <v>7613</v>
      </c>
      <c r="AD2148" s="464">
        <v>183.35127</v>
      </c>
      <c r="AE2148" s="465">
        <v>8.8198699999999999</v>
      </c>
      <c r="AF2148" s="86">
        <f>IF(verze!$E$1="CZK",AD2148,IF(verze!$E$1="SK",AE2148,""))</f>
        <v>8.8198699999999999</v>
      </c>
    </row>
    <row r="2149" spans="27:32" ht="15">
      <c r="AA2149" s="463" t="s">
        <v>7614</v>
      </c>
      <c r="AB2149" s="462" t="s">
        <v>7615</v>
      </c>
      <c r="AC2149" s="462" t="s">
        <v>7616</v>
      </c>
      <c r="AD2149" s="464">
        <v>183.35127</v>
      </c>
      <c r="AE2149" s="465">
        <v>8.8198699999999999</v>
      </c>
      <c r="AF2149" s="86">
        <f>IF(verze!$E$1="CZK",AD2149,IF(verze!$E$1="SK",AE2149,""))</f>
        <v>8.8198699999999999</v>
      </c>
    </row>
    <row r="2150" spans="27:32" ht="15">
      <c r="AA2150" s="463" t="s">
        <v>7617</v>
      </c>
      <c r="AB2150" s="462" t="s">
        <v>7618</v>
      </c>
      <c r="AC2150" s="462" t="s">
        <v>7619</v>
      </c>
      <c r="AD2150" s="464">
        <v>183.35127</v>
      </c>
      <c r="AE2150" s="465">
        <v>8.7654200000000007</v>
      </c>
      <c r="AF2150" s="86">
        <f>IF(verze!$E$1="CZK",AD2150,IF(verze!$E$1="SK",AE2150,""))</f>
        <v>8.7654200000000007</v>
      </c>
    </row>
    <row r="2151" spans="27:32" ht="15">
      <c r="AA2151" s="463" t="s">
        <v>7620</v>
      </c>
      <c r="AB2151" s="462" t="s">
        <v>7621</v>
      </c>
      <c r="AC2151" s="462" t="s">
        <v>7622</v>
      </c>
      <c r="AD2151" s="464">
        <v>0</v>
      </c>
      <c r="AE2151" s="465">
        <v>8.7654200000000007</v>
      </c>
      <c r="AF2151" s="86">
        <f>IF(verze!$E$1="CZK",AD2151,IF(verze!$E$1="SK",AE2151,""))</f>
        <v>8.7654200000000007</v>
      </c>
    </row>
    <row r="2152" spans="27:32" ht="15">
      <c r="AA2152" s="463" t="s">
        <v>7623</v>
      </c>
      <c r="AB2152" s="462" t="s">
        <v>7624</v>
      </c>
      <c r="AC2152" s="462" t="s">
        <v>7625</v>
      </c>
      <c r="AD2152" s="464">
        <v>165.65093999999999</v>
      </c>
      <c r="AE2152" s="465">
        <v>7.9684100000000004</v>
      </c>
      <c r="AF2152" s="86">
        <f>IF(verze!$E$1="CZK",AD2152,IF(verze!$E$1="SK",AE2152,""))</f>
        <v>7.9684100000000004</v>
      </c>
    </row>
    <row r="2153" spans="27:32" ht="15">
      <c r="AA2153" s="463" t="s">
        <v>7626</v>
      </c>
      <c r="AB2153" s="462" t="s">
        <v>7627</v>
      </c>
      <c r="AC2153" s="462" t="s">
        <v>7628</v>
      </c>
      <c r="AD2153" s="464">
        <v>165.65093999999999</v>
      </c>
      <c r="AE2153" s="465">
        <v>7.9684100000000004</v>
      </c>
      <c r="AF2153" s="86">
        <f>IF(verze!$E$1="CZK",AD2153,IF(verze!$E$1="SK",AE2153,""))</f>
        <v>7.9684100000000004</v>
      </c>
    </row>
    <row r="2154" spans="27:32" ht="15">
      <c r="AA2154" s="463" t="s">
        <v>7629</v>
      </c>
      <c r="AB2154" s="462" t="s">
        <v>7630</v>
      </c>
      <c r="AC2154" s="462" t="s">
        <v>7631</v>
      </c>
      <c r="AD2154" s="464">
        <v>165.65093999999999</v>
      </c>
      <c r="AE2154" s="465">
        <v>7.9684100000000004</v>
      </c>
      <c r="AF2154" s="86">
        <f>IF(verze!$E$1="CZK",AD2154,IF(verze!$E$1="SK",AE2154,""))</f>
        <v>7.9684100000000004</v>
      </c>
    </row>
    <row r="2155" spans="27:32" ht="15">
      <c r="AA2155" s="463" t="s">
        <v>7632</v>
      </c>
      <c r="AB2155" s="462" t="s">
        <v>7633</v>
      </c>
      <c r="AC2155" s="462" t="s">
        <v>7634</v>
      </c>
      <c r="AD2155" s="464">
        <v>113.34625</v>
      </c>
      <c r="AE2155" s="465">
        <v>5.4523599999999997</v>
      </c>
      <c r="AF2155" s="86">
        <f>IF(verze!$E$1="CZK",AD2155,IF(verze!$E$1="SK",AE2155,""))</f>
        <v>5.4523599999999997</v>
      </c>
    </row>
    <row r="2156" spans="27:32" ht="15">
      <c r="AA2156" s="463" t="s">
        <v>7635</v>
      </c>
      <c r="AB2156" s="462" t="s">
        <v>7636</v>
      </c>
      <c r="AC2156" s="462" t="s">
        <v>7637</v>
      </c>
      <c r="AD2156" s="464">
        <v>88.051299999999998</v>
      </c>
      <c r="AE2156" s="465">
        <v>4.2355700000000001</v>
      </c>
      <c r="AF2156" s="86">
        <f>IF(verze!$E$1="CZK",AD2156,IF(verze!$E$1="SK",AE2156,""))</f>
        <v>4.2355700000000001</v>
      </c>
    </row>
    <row r="2157" spans="27:32" ht="15">
      <c r="AA2157" s="463" t="s">
        <v>7638</v>
      </c>
      <c r="AB2157" s="462" t="s">
        <v>7639</v>
      </c>
      <c r="AC2157" s="462" t="s">
        <v>7640</v>
      </c>
      <c r="AD2157" s="464">
        <v>93.89134</v>
      </c>
      <c r="AE2157" s="465">
        <v>4.5165100000000002</v>
      </c>
      <c r="AF2157" s="86">
        <f>IF(verze!$E$1="CZK",AD2157,IF(verze!$E$1="SK",AE2157,""))</f>
        <v>4.5165100000000002</v>
      </c>
    </row>
    <row r="2158" spans="27:32" ht="15">
      <c r="AA2158" s="463" t="s">
        <v>7641</v>
      </c>
      <c r="AB2158" s="462" t="s">
        <v>7642</v>
      </c>
      <c r="AC2158" s="462" t="s">
        <v>7643</v>
      </c>
      <c r="AD2158" s="464">
        <v>99.728890000000007</v>
      </c>
      <c r="AE2158" s="465">
        <v>4.79732</v>
      </c>
      <c r="AF2158" s="86">
        <f>IF(verze!$E$1="CZK",AD2158,IF(verze!$E$1="SK",AE2158,""))</f>
        <v>4.79732</v>
      </c>
    </row>
    <row r="2159" spans="27:32" ht="15">
      <c r="AA2159" s="463" t="s">
        <v>7644</v>
      </c>
      <c r="AB2159" s="462" t="s">
        <v>7645</v>
      </c>
      <c r="AC2159" s="462" t="s">
        <v>7646</v>
      </c>
      <c r="AD2159" s="464">
        <v>0</v>
      </c>
      <c r="AE2159" s="465">
        <v>8.8336500000000004</v>
      </c>
      <c r="AF2159" s="86">
        <f>IF(verze!$E$1="CZK",AD2159,IF(verze!$E$1="SK",AE2159,""))</f>
        <v>8.8336500000000004</v>
      </c>
    </row>
    <row r="2160" spans="27:32" ht="15">
      <c r="AA2160" s="463" t="s">
        <v>7644</v>
      </c>
      <c r="AB2160" s="462" t="s">
        <v>7647</v>
      </c>
      <c r="AC2160" s="462" t="s">
        <v>7648</v>
      </c>
      <c r="AD2160" s="464">
        <v>194.52135999999999</v>
      </c>
      <c r="AE2160" s="465">
        <v>9.2613199999999996</v>
      </c>
      <c r="AF2160" s="86">
        <f>IF(verze!$E$1="CZK",AD2160,IF(verze!$E$1="SK",AE2160,""))</f>
        <v>9.2613199999999996</v>
      </c>
    </row>
    <row r="2161" spans="27:32" ht="15">
      <c r="AA2161" s="463" t="s">
        <v>7649</v>
      </c>
      <c r="AB2161" s="462" t="s">
        <v>7650</v>
      </c>
      <c r="AC2161" s="462" t="s">
        <v>7651</v>
      </c>
      <c r="AD2161" s="464">
        <v>189.96338</v>
      </c>
      <c r="AE2161" s="465">
        <v>9.1379199999999994</v>
      </c>
      <c r="AF2161" s="86">
        <f>IF(verze!$E$1="CZK",AD2161,IF(verze!$E$1="SK",AE2161,""))</f>
        <v>9.1379199999999994</v>
      </c>
    </row>
    <row r="2162" spans="27:32" ht="15">
      <c r="AA2162" s="463" t="s">
        <v>7652</v>
      </c>
      <c r="AB2162" s="462" t="s">
        <v>7653</v>
      </c>
      <c r="AC2162" s="462" t="s">
        <v>7654</v>
      </c>
      <c r="AD2162" s="464">
        <v>0</v>
      </c>
      <c r="AE2162" s="465">
        <v>8.0075500000000002</v>
      </c>
      <c r="AF2162" s="86">
        <f>IF(verze!$E$1="CZK",AD2162,IF(verze!$E$1="SK",AE2162,""))</f>
        <v>8.0075500000000002</v>
      </c>
    </row>
    <row r="2163" spans="27:32" ht="15">
      <c r="AA2163" s="463" t="s">
        <v>7655</v>
      </c>
      <c r="AB2163" s="462" t="s">
        <v>7656</v>
      </c>
      <c r="AC2163" s="462" t="s">
        <v>7657</v>
      </c>
      <c r="AD2163" s="464">
        <v>172.68120999999999</v>
      </c>
      <c r="AE2163" s="465">
        <v>8.3065899999999999</v>
      </c>
      <c r="AF2163" s="86">
        <f>IF(verze!$E$1="CZK",AD2163,IF(verze!$E$1="SK",AE2163,""))</f>
        <v>8.3065899999999999</v>
      </c>
    </row>
    <row r="2164" spans="27:32" ht="15">
      <c r="AA2164" s="463" t="s">
        <v>7658</v>
      </c>
      <c r="AB2164" s="462" t="s">
        <v>7659</v>
      </c>
      <c r="AC2164" s="462" t="s">
        <v>7660</v>
      </c>
      <c r="AD2164" s="464">
        <v>133.45374000000001</v>
      </c>
      <c r="AE2164" s="465">
        <v>6.4196200000000001</v>
      </c>
      <c r="AF2164" s="86">
        <f>IF(verze!$E$1="CZK",AD2164,IF(verze!$E$1="SK",AE2164,""))</f>
        <v>6.4196200000000001</v>
      </c>
    </row>
    <row r="2165" spans="27:32" ht="15">
      <c r="AA2165" s="463" t="s">
        <v>7661</v>
      </c>
      <c r="AB2165" s="462" t="s">
        <v>7662</v>
      </c>
      <c r="AC2165" s="462" t="s">
        <v>7663</v>
      </c>
      <c r="AD2165" s="464">
        <v>139.29116999999999</v>
      </c>
      <c r="AE2165" s="465">
        <v>6.7004099999999998</v>
      </c>
      <c r="AF2165" s="86">
        <f>IF(verze!$E$1="CZK",AD2165,IF(verze!$E$1="SK",AE2165,""))</f>
        <v>6.7004099999999998</v>
      </c>
    </row>
    <row r="2166" spans="27:32" ht="15">
      <c r="AA2166" s="463" t="s">
        <v>7664</v>
      </c>
      <c r="AB2166" s="462" t="s">
        <v>7665</v>
      </c>
      <c r="AC2166" s="462" t="s">
        <v>7666</v>
      </c>
      <c r="AD2166" s="464">
        <v>145.12871999999999</v>
      </c>
      <c r="AE2166" s="465">
        <v>6.9812200000000004</v>
      </c>
      <c r="AF2166" s="86">
        <f>IF(verze!$E$1="CZK",AD2166,IF(verze!$E$1="SK",AE2166,""))</f>
        <v>6.9812200000000004</v>
      </c>
    </row>
    <row r="2167" spans="27:32" ht="15">
      <c r="AA2167" s="463" t="s">
        <v>7667</v>
      </c>
      <c r="AB2167" s="462" t="s">
        <v>7668</v>
      </c>
      <c r="AC2167" s="462" t="s">
        <v>7669</v>
      </c>
      <c r="AD2167" s="464">
        <v>113.99623</v>
      </c>
      <c r="AE2167" s="465">
        <v>5.4836299999999998</v>
      </c>
      <c r="AF2167" s="86">
        <f>IF(verze!$E$1="CZK",AD2167,IF(verze!$E$1="SK",AE2167,""))</f>
        <v>5.4836299999999998</v>
      </c>
    </row>
    <row r="2168" spans="27:32" ht="15">
      <c r="AA2168" s="463" t="s">
        <v>7670</v>
      </c>
      <c r="AB2168" s="462" t="s">
        <v>7671</v>
      </c>
      <c r="AC2168" s="462" t="s">
        <v>7672</v>
      </c>
      <c r="AD2168" s="464">
        <v>119.83378</v>
      </c>
      <c r="AE2168" s="465">
        <v>5.7644399999999996</v>
      </c>
      <c r="AF2168" s="86">
        <f>IF(verze!$E$1="CZK",AD2168,IF(verze!$E$1="SK",AE2168,""))</f>
        <v>5.7644399999999996</v>
      </c>
    </row>
    <row r="2169" spans="27:32" ht="15">
      <c r="AA2169" s="463" t="s">
        <v>7673</v>
      </c>
      <c r="AB2169" s="462" t="s">
        <v>7674</v>
      </c>
      <c r="AC2169" s="462" t="s">
        <v>7675</v>
      </c>
      <c r="AD2169" s="464">
        <v>125.67122999999999</v>
      </c>
      <c r="AE2169" s="465">
        <v>6.0452500000000002</v>
      </c>
      <c r="AF2169" s="86">
        <f>IF(verze!$E$1="CZK",AD2169,IF(verze!$E$1="SK",AE2169,""))</f>
        <v>6.0452500000000002</v>
      </c>
    </row>
    <row r="2170" spans="27:32" ht="15">
      <c r="AA2170" s="463" t="s">
        <v>7676</v>
      </c>
      <c r="AB2170" s="462" t="s">
        <v>7677</v>
      </c>
      <c r="AC2170" s="462" t="s">
        <v>7678</v>
      </c>
      <c r="AD2170" s="464">
        <v>10.26037</v>
      </c>
      <c r="AE2170" s="465">
        <v>0.4829</v>
      </c>
      <c r="AF2170" s="86">
        <f>IF(verze!$E$1="CZK",AD2170,IF(verze!$E$1="SK",AE2170,""))</f>
        <v>0.4829</v>
      </c>
    </row>
    <row r="2171" spans="27:32" ht="15">
      <c r="AA2171" s="463" t="s">
        <v>7679</v>
      </c>
      <c r="AB2171" s="462" t="s">
        <v>7680</v>
      </c>
      <c r="AC2171" s="462" t="s">
        <v>7681</v>
      </c>
      <c r="AD2171" s="464">
        <v>10.26037</v>
      </c>
      <c r="AE2171" s="465">
        <v>0.4829</v>
      </c>
      <c r="AF2171" s="86">
        <f>IF(verze!$E$1="CZK",AD2171,IF(verze!$E$1="SK",AE2171,""))</f>
        <v>0.4829</v>
      </c>
    </row>
    <row r="2172" spans="27:32" ht="15">
      <c r="AA2172" s="463" t="s">
        <v>7682</v>
      </c>
      <c r="AB2172" s="462" t="s">
        <v>7683</v>
      </c>
      <c r="AC2172" s="462" t="s">
        <v>7684</v>
      </c>
      <c r="AD2172" s="464">
        <v>12.213990000000001</v>
      </c>
      <c r="AE2172" s="465">
        <v>0.57484000000000002</v>
      </c>
      <c r="AF2172" s="86">
        <f>IF(verze!$E$1="CZK",AD2172,IF(verze!$E$1="SK",AE2172,""))</f>
        <v>0.57484000000000002</v>
      </c>
    </row>
    <row r="2173" spans="27:32" ht="15">
      <c r="AA2173" s="463" t="s">
        <v>7685</v>
      </c>
      <c r="AB2173" s="462" t="s">
        <v>7686</v>
      </c>
      <c r="AC2173" s="462" t="s">
        <v>7687</v>
      </c>
      <c r="AD2173" s="464">
        <v>16.611280000000001</v>
      </c>
      <c r="AE2173" s="465">
        <v>0.78180000000000005</v>
      </c>
      <c r="AF2173" s="86">
        <f>IF(verze!$E$1="CZK",AD2173,IF(verze!$E$1="SK",AE2173,""))</f>
        <v>0.78180000000000005</v>
      </c>
    </row>
    <row r="2174" spans="27:32" ht="15">
      <c r="AA2174" s="463" t="s">
        <v>7688</v>
      </c>
      <c r="AB2174" s="462" t="s">
        <v>7689</v>
      </c>
      <c r="AC2174" s="462" t="s">
        <v>7690</v>
      </c>
      <c r="AD2174" s="464">
        <v>20.328440000000001</v>
      </c>
      <c r="AE2174" s="465">
        <v>0.97787000000000002</v>
      </c>
      <c r="AF2174" s="86">
        <f>IF(verze!$E$1="CZK",AD2174,IF(verze!$E$1="SK",AE2174,""))</f>
        <v>0.97787000000000002</v>
      </c>
    </row>
    <row r="2175" spans="27:32" ht="15">
      <c r="AA2175" s="463" t="s">
        <v>7691</v>
      </c>
      <c r="AB2175" s="462" t="s">
        <v>7692</v>
      </c>
      <c r="AC2175" s="462" t="s">
        <v>7693</v>
      </c>
      <c r="AD2175" s="464">
        <v>20.328440000000001</v>
      </c>
      <c r="AE2175" s="465">
        <v>0.97787000000000002</v>
      </c>
      <c r="AF2175" s="86">
        <f>IF(verze!$E$1="CZK",AD2175,IF(verze!$E$1="SK",AE2175,""))</f>
        <v>0.97787000000000002</v>
      </c>
    </row>
    <row r="2176" spans="27:32" ht="15">
      <c r="AA2176" s="463" t="s">
        <v>7694</v>
      </c>
      <c r="AB2176" s="462" t="s">
        <v>7695</v>
      </c>
      <c r="AC2176" s="462" t="s">
        <v>7696</v>
      </c>
      <c r="AD2176" s="464">
        <v>22.333159999999999</v>
      </c>
      <c r="AE2176" s="465">
        <v>1.0743199999999999</v>
      </c>
      <c r="AF2176" s="86">
        <f>IF(verze!$E$1="CZK",AD2176,IF(verze!$E$1="SK",AE2176,""))</f>
        <v>1.0743199999999999</v>
      </c>
    </row>
    <row r="2177" spans="27:32" ht="15">
      <c r="AA2177" s="463" t="s">
        <v>7697</v>
      </c>
      <c r="AB2177" s="462" t="s">
        <v>7698</v>
      </c>
      <c r="AC2177" s="462" t="s">
        <v>7699</v>
      </c>
      <c r="AD2177" s="464">
        <v>26.85061</v>
      </c>
      <c r="AE2177" s="465">
        <v>1.2916300000000001</v>
      </c>
      <c r="AF2177" s="86">
        <f>IF(verze!$E$1="CZK",AD2177,IF(verze!$E$1="SK",AE2177,""))</f>
        <v>1.2916300000000001</v>
      </c>
    </row>
    <row r="2178" spans="27:32" ht="15">
      <c r="AA2178" s="463" t="s">
        <v>7700</v>
      </c>
      <c r="AB2178" s="462" t="s">
        <v>7701</v>
      </c>
      <c r="AC2178" s="462" t="s">
        <v>7702</v>
      </c>
      <c r="AD2178" s="464">
        <v>10.79011</v>
      </c>
      <c r="AE2178" s="465">
        <v>0.51905999999999997</v>
      </c>
      <c r="AF2178" s="86">
        <f>IF(verze!$E$1="CZK",AD2178,IF(verze!$E$1="SK",AE2178,""))</f>
        <v>0.51905999999999997</v>
      </c>
    </row>
    <row r="2179" spans="27:32" ht="15">
      <c r="AA2179" s="463" t="s">
        <v>7703</v>
      </c>
      <c r="AB2179" s="462" t="s">
        <v>7704</v>
      </c>
      <c r="AC2179" s="462" t="s">
        <v>7705</v>
      </c>
      <c r="AD2179" s="464">
        <v>20.575569999999999</v>
      </c>
      <c r="AE2179" s="465">
        <v>0.98977000000000004</v>
      </c>
      <c r="AF2179" s="86">
        <f>IF(verze!$E$1="CZK",AD2179,IF(verze!$E$1="SK",AE2179,""))</f>
        <v>0.98977000000000004</v>
      </c>
    </row>
    <row r="2180" spans="27:32" ht="15">
      <c r="AA2180" s="463" t="s">
        <v>7706</v>
      </c>
      <c r="AB2180" s="462" t="s">
        <v>7707</v>
      </c>
      <c r="AC2180" s="462" t="s">
        <v>7708</v>
      </c>
      <c r="AD2180" s="464">
        <v>20.575569999999999</v>
      </c>
      <c r="AE2180" s="465">
        <v>0.98977000000000004</v>
      </c>
      <c r="AF2180" s="86">
        <f>IF(verze!$E$1="CZK",AD2180,IF(verze!$E$1="SK",AE2180,""))</f>
        <v>0.98977000000000004</v>
      </c>
    </row>
    <row r="2181" spans="27:32" ht="15">
      <c r="AA2181" s="463" t="s">
        <v>7709</v>
      </c>
      <c r="AB2181" s="462" t="s">
        <v>7710</v>
      </c>
      <c r="AC2181" s="462" t="s">
        <v>7711</v>
      </c>
      <c r="AD2181" s="464">
        <v>22.587219999999999</v>
      </c>
      <c r="AE2181" s="465">
        <v>1.0865199999999999</v>
      </c>
      <c r="AF2181" s="86">
        <f>IF(verze!$E$1="CZK",AD2181,IF(verze!$E$1="SK",AE2181,""))</f>
        <v>1.0865199999999999</v>
      </c>
    </row>
    <row r="2182" spans="27:32" ht="15">
      <c r="AA2182" s="463" t="s">
        <v>7712</v>
      </c>
      <c r="AB2182" s="462" t="s">
        <v>7713</v>
      </c>
      <c r="AC2182" s="462" t="s">
        <v>7714</v>
      </c>
      <c r="AD2182" s="464">
        <v>27.104659999999999</v>
      </c>
      <c r="AE2182" s="465">
        <v>1.30383</v>
      </c>
      <c r="AF2182" s="86">
        <f>IF(verze!$E$1="CZK",AD2182,IF(verze!$E$1="SK",AE2182,""))</f>
        <v>1.30383</v>
      </c>
    </row>
    <row r="2183" spans="27:32" ht="15">
      <c r="AA2183" s="463" t="s">
        <v>7715</v>
      </c>
      <c r="AB2183" s="462" t="s">
        <v>7716</v>
      </c>
      <c r="AC2183" s="462" t="s">
        <v>7717</v>
      </c>
      <c r="AD2183" s="464">
        <v>24.952190000000002</v>
      </c>
      <c r="AE2183" s="465">
        <v>1.20028</v>
      </c>
      <c r="AF2183" s="86">
        <f>IF(verze!$E$1="CZK",AD2183,IF(verze!$E$1="SK",AE2183,""))</f>
        <v>1.20028</v>
      </c>
    </row>
    <row r="2184" spans="27:32" ht="15">
      <c r="AA2184" s="463" t="s">
        <v>7718</v>
      </c>
      <c r="AB2184" s="462" t="s">
        <v>7719</v>
      </c>
      <c r="AC2184" s="462" t="s">
        <v>7720</v>
      </c>
      <c r="AD2184" s="464">
        <v>4.1138700000000004</v>
      </c>
      <c r="AE2184" s="465">
        <v>0.19788</v>
      </c>
      <c r="AF2184" s="86">
        <f>IF(verze!$E$1="CZK",AD2184,IF(verze!$E$1="SK",AE2184,""))</f>
        <v>0.19788</v>
      </c>
    </row>
    <row r="2185" spans="27:32" ht="15">
      <c r="AA2185" s="463" t="s">
        <v>7721</v>
      </c>
      <c r="AB2185" s="462" t="s">
        <v>7722</v>
      </c>
      <c r="AC2185" s="462" t="s">
        <v>7723</v>
      </c>
      <c r="AD2185" s="464">
        <v>3.9029400000000001</v>
      </c>
      <c r="AE2185" s="465">
        <v>0.18773999999999999</v>
      </c>
      <c r="AF2185" s="86">
        <f>IF(verze!$E$1="CZK",AD2185,IF(verze!$E$1="SK",AE2185,""))</f>
        <v>0.18773999999999999</v>
      </c>
    </row>
    <row r="2186" spans="27:32" ht="15">
      <c r="AA2186" s="463" t="s">
        <v>7724</v>
      </c>
      <c r="AB2186" s="462" t="s">
        <v>7725</v>
      </c>
      <c r="AC2186" s="462" t="s">
        <v>7726</v>
      </c>
      <c r="AD2186" s="464">
        <v>5.0184199999999999</v>
      </c>
      <c r="AE2186" s="465">
        <v>0.2414</v>
      </c>
      <c r="AF2186" s="86">
        <f>IF(verze!$E$1="CZK",AD2186,IF(verze!$E$1="SK",AE2186,""))</f>
        <v>0.2414</v>
      </c>
    </row>
    <row r="2187" spans="27:32" ht="15">
      <c r="AA2187" s="463" t="s">
        <v>7727</v>
      </c>
      <c r="AB2187" s="462" t="s">
        <v>7728</v>
      </c>
      <c r="AC2187" s="462" t="s">
        <v>7729</v>
      </c>
      <c r="AD2187" s="464">
        <v>126.46689000000001</v>
      </c>
      <c r="AE2187" s="465">
        <v>6.0835100000000004</v>
      </c>
      <c r="AF2187" s="86">
        <f>IF(verze!$E$1="CZK",AD2187,IF(verze!$E$1="SK",AE2187,""))</f>
        <v>6.0835100000000004</v>
      </c>
    </row>
    <row r="2188" spans="27:32" ht="15">
      <c r="AA2188" s="463" t="s">
        <v>7730</v>
      </c>
      <c r="AB2188" s="462" t="s">
        <v>7731</v>
      </c>
      <c r="AC2188" s="462" t="s">
        <v>7732</v>
      </c>
      <c r="AD2188" s="464">
        <v>108.09116</v>
      </c>
      <c r="AE2188" s="465">
        <v>5.1995800000000001</v>
      </c>
      <c r="AF2188" s="86">
        <f>IF(verze!$E$1="CZK",AD2188,IF(verze!$E$1="SK",AE2188,""))</f>
        <v>5.1995800000000001</v>
      </c>
    </row>
    <row r="2189" spans="27:32" ht="15">
      <c r="AA2189" s="463" t="s">
        <v>7733</v>
      </c>
      <c r="AB2189" s="462" t="s">
        <v>7734</v>
      </c>
      <c r="AC2189" s="462" t="s">
        <v>7735</v>
      </c>
      <c r="AD2189" s="464">
        <v>113.91309</v>
      </c>
      <c r="AE2189" s="465">
        <v>5.4796399999999998</v>
      </c>
      <c r="AF2189" s="86">
        <f>IF(verze!$E$1="CZK",AD2189,IF(verze!$E$1="SK",AE2189,""))</f>
        <v>5.4796399999999998</v>
      </c>
    </row>
    <row r="2190" spans="27:32" ht="15">
      <c r="AA2190" s="463" t="s">
        <v>7736</v>
      </c>
      <c r="AB2190" s="462" t="s">
        <v>7737</v>
      </c>
      <c r="AC2190" s="462" t="s">
        <v>7738</v>
      </c>
      <c r="AD2190" s="464">
        <v>112.95623000000001</v>
      </c>
      <c r="AE2190" s="465">
        <v>5.4336000000000002</v>
      </c>
      <c r="AF2190" s="86">
        <f>IF(verze!$E$1="CZK",AD2190,IF(verze!$E$1="SK",AE2190,""))</f>
        <v>5.4336000000000002</v>
      </c>
    </row>
    <row r="2191" spans="27:32" ht="15">
      <c r="AA2191" s="463" t="s">
        <v>7739</v>
      </c>
      <c r="AB2191" s="462" t="s">
        <v>7740</v>
      </c>
      <c r="AC2191" s="462" t="s">
        <v>7741</v>
      </c>
      <c r="AD2191" s="464">
        <v>117.11394</v>
      </c>
      <c r="AE2191" s="465">
        <v>5.63361</v>
      </c>
      <c r="AF2191" s="86">
        <f>IF(verze!$E$1="CZK",AD2191,IF(verze!$E$1="SK",AE2191,""))</f>
        <v>5.63361</v>
      </c>
    </row>
    <row r="2192" spans="27:32" ht="15">
      <c r="AA2192" s="463" t="s">
        <v>7742</v>
      </c>
      <c r="AB2192" s="462" t="s">
        <v>7743</v>
      </c>
      <c r="AC2192" s="462" t="s">
        <v>7744</v>
      </c>
      <c r="AD2192" s="464">
        <v>118.77806</v>
      </c>
      <c r="AE2192" s="465">
        <v>5.71366</v>
      </c>
      <c r="AF2192" s="86">
        <f>IF(verze!$E$1="CZK",AD2192,IF(verze!$E$1="SK",AE2192,""))</f>
        <v>5.71366</v>
      </c>
    </row>
    <row r="2193" spans="27:32" ht="15">
      <c r="AA2193" s="463" t="s">
        <v>7745</v>
      </c>
      <c r="AB2193" s="462" t="s">
        <v>7746</v>
      </c>
      <c r="AC2193" s="462" t="s">
        <v>7747</v>
      </c>
      <c r="AD2193" s="464">
        <v>117.8212</v>
      </c>
      <c r="AE2193" s="465">
        <v>5.6676299999999999</v>
      </c>
      <c r="AF2193" s="86">
        <f>IF(verze!$E$1="CZK",AD2193,IF(verze!$E$1="SK",AE2193,""))</f>
        <v>5.6676299999999999</v>
      </c>
    </row>
    <row r="2194" spans="27:32" ht="15">
      <c r="AA2194" s="463" t="s">
        <v>7748</v>
      </c>
      <c r="AB2194" s="462" t="s">
        <v>7749</v>
      </c>
      <c r="AC2194" s="462" t="s">
        <v>7750</v>
      </c>
      <c r="AD2194" s="464">
        <v>121.97633999999999</v>
      </c>
      <c r="AE2194" s="465">
        <v>5.8675100000000002</v>
      </c>
      <c r="AF2194" s="86">
        <f>IF(verze!$E$1="CZK",AD2194,IF(verze!$E$1="SK",AE2194,""))</f>
        <v>5.8675100000000002</v>
      </c>
    </row>
    <row r="2195" spans="27:32" ht="15">
      <c r="AA2195" s="463" t="s">
        <v>7751</v>
      </c>
      <c r="AB2195" s="462" t="s">
        <v>7752</v>
      </c>
      <c r="AC2195" s="462" t="s">
        <v>7753</v>
      </c>
      <c r="AD2195" s="464">
        <v>123.64046</v>
      </c>
      <c r="AE2195" s="465">
        <v>5.9475600000000002</v>
      </c>
      <c r="AF2195" s="86">
        <f>IF(verze!$E$1="CZK",AD2195,IF(verze!$E$1="SK",AE2195,""))</f>
        <v>5.9475600000000002</v>
      </c>
    </row>
    <row r="2196" spans="27:32" ht="15">
      <c r="AA2196" s="463" t="s">
        <v>7754</v>
      </c>
      <c r="AB2196" s="462" t="s">
        <v>7755</v>
      </c>
      <c r="AC2196" s="462" t="s">
        <v>7756</v>
      </c>
      <c r="AD2196" s="464">
        <v>110.79537000000001</v>
      </c>
      <c r="AE2196" s="465">
        <v>5.32965</v>
      </c>
      <c r="AF2196" s="86">
        <f>IF(verze!$E$1="CZK",AD2196,IF(verze!$E$1="SK",AE2196,""))</f>
        <v>5.32965</v>
      </c>
    </row>
    <row r="2197" spans="27:32" ht="15">
      <c r="AA2197" s="463" t="s">
        <v>7757</v>
      </c>
      <c r="AB2197" s="462" t="s">
        <v>7758</v>
      </c>
      <c r="AC2197" s="462" t="s">
        <v>7759</v>
      </c>
      <c r="AD2197" s="464">
        <v>115.65777</v>
      </c>
      <c r="AE2197" s="465">
        <v>5.5635700000000003</v>
      </c>
      <c r="AF2197" s="86">
        <f>IF(verze!$E$1="CZK",AD2197,IF(verze!$E$1="SK",AE2197,""))</f>
        <v>5.5635700000000003</v>
      </c>
    </row>
    <row r="2198" spans="27:32" ht="15">
      <c r="AA2198" s="463" t="s">
        <v>7760</v>
      </c>
      <c r="AB2198" s="462" t="s">
        <v>7761</v>
      </c>
      <c r="AC2198" s="462" t="s">
        <v>7762</v>
      </c>
      <c r="AD2198" s="464">
        <v>120.52283</v>
      </c>
      <c r="AE2198" s="465">
        <v>5.79758</v>
      </c>
      <c r="AF2198" s="86">
        <f>IF(verze!$E$1="CZK",AD2198,IF(verze!$E$1="SK",AE2198,""))</f>
        <v>5.79758</v>
      </c>
    </row>
    <row r="2199" spans="27:32" ht="15">
      <c r="AA2199" s="463" t="s">
        <v>7763</v>
      </c>
      <c r="AB2199" s="462" t="s">
        <v>7764</v>
      </c>
      <c r="AC2199" s="462" t="s">
        <v>7765</v>
      </c>
      <c r="AD2199" s="464">
        <v>86.472909999999999</v>
      </c>
      <c r="AE2199" s="465">
        <v>4.1596599999999997</v>
      </c>
      <c r="AF2199" s="86">
        <f>IF(verze!$E$1="CZK",AD2199,IF(verze!$E$1="SK",AE2199,""))</f>
        <v>4.1596599999999997</v>
      </c>
    </row>
    <row r="2200" spans="27:32" ht="15">
      <c r="AA2200" s="463" t="s">
        <v>7766</v>
      </c>
      <c r="AB2200" s="462" t="s">
        <v>7767</v>
      </c>
      <c r="AC2200" s="462" t="s">
        <v>7768</v>
      </c>
      <c r="AD2200" s="464">
        <v>90.633309999999994</v>
      </c>
      <c r="AE2200" s="465">
        <v>4.3597900000000003</v>
      </c>
      <c r="AF2200" s="86">
        <f>IF(verze!$E$1="CZK",AD2200,IF(verze!$E$1="SK",AE2200,""))</f>
        <v>4.3597900000000003</v>
      </c>
    </row>
    <row r="2201" spans="27:32" ht="15">
      <c r="AA2201" s="463" t="s">
        <v>7769</v>
      </c>
      <c r="AB2201" s="462" t="s">
        <v>7770</v>
      </c>
      <c r="AC2201" s="462" t="s">
        <v>7771</v>
      </c>
      <c r="AD2201" s="464">
        <v>92.294839999999994</v>
      </c>
      <c r="AE2201" s="465">
        <v>4.4397200000000003</v>
      </c>
      <c r="AF2201" s="86">
        <f>IF(verze!$E$1="CZK",AD2201,IF(verze!$E$1="SK",AE2201,""))</f>
        <v>4.4397200000000003</v>
      </c>
    </row>
    <row r="2202" spans="27:32" ht="15">
      <c r="AA2202" s="463" t="s">
        <v>7772</v>
      </c>
      <c r="AB2202" s="462" t="s">
        <v>7773</v>
      </c>
      <c r="AC2202" s="462" t="s">
        <v>7774</v>
      </c>
      <c r="AD2202" s="464">
        <v>91.337980000000002</v>
      </c>
      <c r="AE2202" s="465">
        <v>4.3936799999999998</v>
      </c>
      <c r="AF2202" s="86">
        <f>IF(verze!$E$1="CZK",AD2202,IF(verze!$E$1="SK",AE2202,""))</f>
        <v>4.3936799999999998</v>
      </c>
    </row>
    <row r="2203" spans="27:32" ht="15">
      <c r="AA2203" s="463" t="s">
        <v>7775</v>
      </c>
      <c r="AB2203" s="462" t="s">
        <v>7776</v>
      </c>
      <c r="AC2203" s="462" t="s">
        <v>7777</v>
      </c>
      <c r="AD2203" s="464">
        <v>95.493110000000001</v>
      </c>
      <c r="AE2203" s="465">
        <v>4.5935600000000001</v>
      </c>
      <c r="AF2203" s="86">
        <f>IF(verze!$E$1="CZK",AD2203,IF(verze!$E$1="SK",AE2203,""))</f>
        <v>4.5935600000000001</v>
      </c>
    </row>
    <row r="2204" spans="27:32" ht="15">
      <c r="AA2204" s="463" t="s">
        <v>7778</v>
      </c>
      <c r="AB2204" s="462" t="s">
        <v>7779</v>
      </c>
      <c r="AC2204" s="462" t="s">
        <v>7780</v>
      </c>
      <c r="AD2204" s="464">
        <v>102.28279000000001</v>
      </c>
      <c r="AE2204" s="465">
        <v>4.8898099999999998</v>
      </c>
      <c r="AF2204" s="86">
        <f>IF(verze!$E$1="CZK",AD2204,IF(verze!$E$1="SK",AE2204,""))</f>
        <v>4.8898099999999998</v>
      </c>
    </row>
    <row r="2205" spans="27:32" ht="15">
      <c r="AA2205" s="463" t="s">
        <v>7781</v>
      </c>
      <c r="AB2205" s="462" t="s">
        <v>7782</v>
      </c>
      <c r="AC2205" s="462" t="s">
        <v>7783</v>
      </c>
      <c r="AD2205" s="464">
        <v>96.202950000000001</v>
      </c>
      <c r="AE2205" s="465">
        <v>4.6277100000000004</v>
      </c>
      <c r="AF2205" s="86">
        <f>IF(verze!$E$1="CZK",AD2205,IF(verze!$E$1="SK",AE2205,""))</f>
        <v>4.6277100000000004</v>
      </c>
    </row>
    <row r="2206" spans="27:32" ht="15">
      <c r="AA2206" s="463" t="s">
        <v>7784</v>
      </c>
      <c r="AB2206" s="462" t="s">
        <v>7785</v>
      </c>
      <c r="AC2206" s="462" t="s">
        <v>7786</v>
      </c>
      <c r="AD2206" s="464">
        <v>89.177120000000002</v>
      </c>
      <c r="AE2206" s="465">
        <v>4.2897499999999997</v>
      </c>
      <c r="AF2206" s="86">
        <f>IF(verze!$E$1="CZK",AD2206,IF(verze!$E$1="SK",AE2206,""))</f>
        <v>4.2897499999999997</v>
      </c>
    </row>
    <row r="2207" spans="27:32" ht="15">
      <c r="AA2207" s="463" t="s">
        <v>7787</v>
      </c>
      <c r="AB2207" s="462" t="s">
        <v>7788</v>
      </c>
      <c r="AC2207" s="462" t="s">
        <v>7789</v>
      </c>
      <c r="AD2207" s="464">
        <v>94.042209999999997</v>
      </c>
      <c r="AE2207" s="465">
        <v>4.5237600000000002</v>
      </c>
      <c r="AF2207" s="86">
        <f>IF(verze!$E$1="CZK",AD2207,IF(verze!$E$1="SK",AE2207,""))</f>
        <v>4.5237600000000002</v>
      </c>
    </row>
    <row r="2208" spans="27:32" ht="15">
      <c r="AA2208" s="463" t="s">
        <v>7790</v>
      </c>
      <c r="AB2208" s="462" t="s">
        <v>7791</v>
      </c>
      <c r="AC2208" s="462" t="s">
        <v>7792</v>
      </c>
      <c r="AD2208" s="464">
        <v>98.902010000000004</v>
      </c>
      <c r="AE2208" s="465">
        <v>4.75753</v>
      </c>
      <c r="AF2208" s="86">
        <f>IF(verze!$E$1="CZK",AD2208,IF(verze!$E$1="SK",AE2208,""))</f>
        <v>4.75753</v>
      </c>
    </row>
    <row r="2209" spans="27:32" ht="15">
      <c r="AA2209" s="463" t="s">
        <v>7793</v>
      </c>
      <c r="AB2209" s="462" t="s">
        <v>7794</v>
      </c>
      <c r="AC2209" s="462" t="s">
        <v>7795</v>
      </c>
      <c r="AD2209" s="464">
        <v>91.876180000000005</v>
      </c>
      <c r="AE2209" s="465">
        <v>4.4195799999999998</v>
      </c>
      <c r="AF2209" s="86">
        <f>IF(verze!$E$1="CZK",AD2209,IF(verze!$E$1="SK",AE2209,""))</f>
        <v>4.4195799999999998</v>
      </c>
    </row>
    <row r="2210" spans="27:32" ht="15">
      <c r="AA2210" s="463" t="s">
        <v>7796</v>
      </c>
      <c r="AB2210" s="462" t="s">
        <v>7797</v>
      </c>
      <c r="AC2210" s="462" t="s">
        <v>7798</v>
      </c>
      <c r="AD2210" s="464">
        <v>96.033990000000003</v>
      </c>
      <c r="AE2210" s="465">
        <v>4.61958</v>
      </c>
      <c r="AF2210" s="86">
        <f>IF(verze!$E$1="CZK",AD2210,IF(verze!$E$1="SK",AE2210,""))</f>
        <v>4.61958</v>
      </c>
    </row>
    <row r="2211" spans="27:32" ht="15">
      <c r="AA2211" s="463" t="s">
        <v>7799</v>
      </c>
      <c r="AB2211" s="462" t="s">
        <v>7800</v>
      </c>
      <c r="AC2211" s="462" t="s">
        <v>7801</v>
      </c>
      <c r="AD2211" s="464">
        <v>97.700699999999998</v>
      </c>
      <c r="AE2211" s="465">
        <v>4.6997600000000004</v>
      </c>
      <c r="AF2211" s="86">
        <f>IF(verze!$E$1="CZK",AD2211,IF(verze!$E$1="SK",AE2211,""))</f>
        <v>4.6997600000000004</v>
      </c>
    </row>
    <row r="2212" spans="27:32" ht="15">
      <c r="AA2212" s="463" t="s">
        <v>7802</v>
      </c>
      <c r="AB2212" s="462" t="s">
        <v>7803</v>
      </c>
      <c r="AC2212" s="462" t="s">
        <v>7804</v>
      </c>
      <c r="AD2212" s="464">
        <v>96.743840000000006</v>
      </c>
      <c r="AE2212" s="465">
        <v>4.6537300000000004</v>
      </c>
      <c r="AF2212" s="86">
        <f>IF(verze!$E$1="CZK",AD2212,IF(verze!$E$1="SK",AE2212,""))</f>
        <v>4.6537300000000004</v>
      </c>
    </row>
    <row r="2213" spans="27:32" ht="15">
      <c r="AA2213" s="463" t="s">
        <v>7805</v>
      </c>
      <c r="AB2213" s="462" t="s">
        <v>7806</v>
      </c>
      <c r="AC2213" s="462" t="s">
        <v>7807</v>
      </c>
      <c r="AD2213" s="464">
        <v>100.90156</v>
      </c>
      <c r="AE2213" s="465">
        <v>4.8537299999999997</v>
      </c>
      <c r="AF2213" s="86">
        <f>IF(verze!$E$1="CZK",AD2213,IF(verze!$E$1="SK",AE2213,""))</f>
        <v>4.8537299999999997</v>
      </c>
    </row>
    <row r="2214" spans="27:32" ht="15">
      <c r="AA2214" s="463" t="s">
        <v>7808</v>
      </c>
      <c r="AB2214" s="462" t="s">
        <v>7809</v>
      </c>
      <c r="AC2214" s="462" t="s">
        <v>7810</v>
      </c>
      <c r="AD2214" s="464">
        <v>102.5605</v>
      </c>
      <c r="AE2214" s="465">
        <v>4.9335300000000002</v>
      </c>
      <c r="AF2214" s="86">
        <f>IF(verze!$E$1="CZK",AD2214,IF(verze!$E$1="SK",AE2214,""))</f>
        <v>4.9335300000000002</v>
      </c>
    </row>
    <row r="2215" spans="27:32" ht="15">
      <c r="AA2215" s="463" t="s">
        <v>7811</v>
      </c>
      <c r="AB2215" s="462" t="s">
        <v>7812</v>
      </c>
      <c r="AC2215" s="462" t="s">
        <v>7813</v>
      </c>
      <c r="AD2215" s="464">
        <v>101.60621999999999</v>
      </c>
      <c r="AE2215" s="465">
        <v>4.8876200000000001</v>
      </c>
      <c r="AF2215" s="86">
        <f>IF(verze!$E$1="CZK",AD2215,IF(verze!$E$1="SK",AE2215,""))</f>
        <v>4.8876200000000001</v>
      </c>
    </row>
    <row r="2216" spans="27:32" ht="15">
      <c r="AA2216" s="463" t="s">
        <v>7814</v>
      </c>
      <c r="AB2216" s="462" t="s">
        <v>7815</v>
      </c>
      <c r="AC2216" s="462" t="s">
        <v>7816</v>
      </c>
      <c r="AD2216" s="464">
        <v>107.42816000000001</v>
      </c>
      <c r="AE2216" s="465">
        <v>5.1677</v>
      </c>
      <c r="AF2216" s="86">
        <f>IF(verze!$E$1="CZK",AD2216,IF(verze!$E$1="SK",AE2216,""))</f>
        <v>5.1677</v>
      </c>
    </row>
    <row r="2217" spans="27:32" ht="15">
      <c r="AA2217" s="463" t="s">
        <v>7817</v>
      </c>
      <c r="AB2217" s="462" t="s">
        <v>7818</v>
      </c>
      <c r="AC2217" s="462" t="s">
        <v>7819</v>
      </c>
      <c r="AD2217" s="464">
        <v>94.580389999999994</v>
      </c>
      <c r="AE2217" s="465">
        <v>4.5496699999999999</v>
      </c>
      <c r="AF2217" s="86">
        <f>IF(verze!$E$1="CZK",AD2217,IF(verze!$E$1="SK",AE2217,""))</f>
        <v>4.5496699999999999</v>
      </c>
    </row>
    <row r="2218" spans="27:32" ht="15">
      <c r="AA2218" s="463" t="s">
        <v>7820</v>
      </c>
      <c r="AB2218" s="462" t="s">
        <v>7821</v>
      </c>
      <c r="AC2218" s="462" t="s">
        <v>7822</v>
      </c>
      <c r="AD2218" s="464">
        <v>100.39975</v>
      </c>
      <c r="AE2218" s="465">
        <v>4.82958</v>
      </c>
      <c r="AF2218" s="86">
        <f>IF(verze!$E$1="CZK",AD2218,IF(verze!$E$1="SK",AE2218,""))</f>
        <v>4.82958</v>
      </c>
    </row>
    <row r="2219" spans="27:32" ht="15">
      <c r="AA2219" s="463" t="s">
        <v>7823</v>
      </c>
      <c r="AB2219" s="462" t="s">
        <v>7824</v>
      </c>
      <c r="AC2219" s="462" t="s">
        <v>7825</v>
      </c>
      <c r="AD2219" s="464">
        <v>99.445480000000003</v>
      </c>
      <c r="AE2219" s="465">
        <v>4.7836699999999999</v>
      </c>
      <c r="AF2219" s="86">
        <f>IF(verze!$E$1="CZK",AD2219,IF(verze!$E$1="SK",AE2219,""))</f>
        <v>4.7836699999999999</v>
      </c>
    </row>
    <row r="2220" spans="27:32" ht="15">
      <c r="AA2220" s="463" t="s">
        <v>7826</v>
      </c>
      <c r="AB2220" s="462" t="s">
        <v>7827</v>
      </c>
      <c r="AC2220" s="462" t="s">
        <v>7828</v>
      </c>
      <c r="AD2220" s="464">
        <v>104.31045</v>
      </c>
      <c r="AE2220" s="465">
        <v>5.0177199999999997</v>
      </c>
      <c r="AF2220" s="86">
        <f>IF(verze!$E$1="CZK",AD2220,IF(verze!$E$1="SK",AE2220,""))</f>
        <v>5.0177199999999997</v>
      </c>
    </row>
    <row r="2221" spans="27:32" ht="15">
      <c r="AA2221" s="463" t="s">
        <v>7829</v>
      </c>
      <c r="AB2221" s="462" t="s">
        <v>7830</v>
      </c>
      <c r="AC2221" s="462" t="s">
        <v>7831</v>
      </c>
      <c r="AD2221" s="464">
        <v>458.66109999999998</v>
      </c>
      <c r="AE2221" s="465">
        <v>21.012619999999998</v>
      </c>
      <c r="AF2221" s="86">
        <f>IF(verze!$E$1="CZK",AD2221,IF(verze!$E$1="SK",AE2221,""))</f>
        <v>21.012619999999998</v>
      </c>
    </row>
    <row r="2222" spans="27:32" ht="15">
      <c r="AA2222" s="463" t="s">
        <v>7832</v>
      </c>
      <c r="AB2222" s="462" t="s">
        <v>7833</v>
      </c>
      <c r="AC2222" s="462" t="s">
        <v>7834</v>
      </c>
      <c r="AD2222" s="464">
        <v>481.59244000000001</v>
      </c>
      <c r="AE2222" s="465">
        <v>22.063179999999999</v>
      </c>
      <c r="AF2222" s="86">
        <f>IF(verze!$E$1="CZK",AD2222,IF(verze!$E$1="SK",AE2222,""))</f>
        <v>22.063179999999999</v>
      </c>
    </row>
    <row r="2223" spans="27:32" ht="15">
      <c r="AA2223" s="463" t="s">
        <v>7835</v>
      </c>
      <c r="AB2223" s="462" t="s">
        <v>7836</v>
      </c>
      <c r="AC2223" s="462" t="s">
        <v>7837</v>
      </c>
      <c r="AD2223" s="464">
        <v>94.139200000000002</v>
      </c>
      <c r="AE2223" s="465">
        <v>4.5284399999999998</v>
      </c>
      <c r="AF2223" s="86">
        <f>IF(verze!$E$1="CZK",AD2223,IF(verze!$E$1="SK",AE2223,""))</f>
        <v>4.5284399999999998</v>
      </c>
    </row>
    <row r="2224" spans="27:32" ht="15">
      <c r="AA2224" s="463" t="s">
        <v>7838</v>
      </c>
      <c r="AB2224" s="462" t="s">
        <v>7839</v>
      </c>
      <c r="AC2224" s="462" t="s">
        <v>7840</v>
      </c>
      <c r="AD2224" s="464">
        <v>97.461020000000005</v>
      </c>
      <c r="AE2224" s="465">
        <v>4.6882099999999998</v>
      </c>
      <c r="AF2224" s="86">
        <f>IF(verze!$E$1="CZK",AD2224,IF(verze!$E$1="SK",AE2224,""))</f>
        <v>4.6882099999999998</v>
      </c>
    </row>
    <row r="2225" spans="27:32" ht="15">
      <c r="AA2225" s="463" t="s">
        <v>7841</v>
      </c>
      <c r="AB2225" s="462" t="s">
        <v>7842</v>
      </c>
      <c r="AC2225" s="462" t="s">
        <v>7843</v>
      </c>
      <c r="AD2225" s="464">
        <v>344.31177000000002</v>
      </c>
      <c r="AE2225" s="465">
        <v>15.773960000000001</v>
      </c>
      <c r="AF2225" s="86">
        <f>IF(verze!$E$1="CZK",AD2225,IF(verze!$E$1="SK",AE2225,""))</f>
        <v>15.773960000000001</v>
      </c>
    </row>
    <row r="2226" spans="27:32" ht="15">
      <c r="AA2226" s="463" t="s">
        <v>7844</v>
      </c>
      <c r="AB2226" s="462" t="s">
        <v>7845</v>
      </c>
      <c r="AC2226" s="462" t="s">
        <v>7846</v>
      </c>
      <c r="AD2226" s="464">
        <v>359.96269999999998</v>
      </c>
      <c r="AE2226" s="465">
        <v>16.490960000000001</v>
      </c>
      <c r="AF2226" s="86">
        <f>IF(verze!$E$1="CZK",AD2226,IF(verze!$E$1="SK",AE2226,""))</f>
        <v>16.490960000000001</v>
      </c>
    </row>
    <row r="2227" spans="27:32" ht="15">
      <c r="AA2227" s="463" t="s">
        <v>7847</v>
      </c>
      <c r="AB2227" s="462" t="s">
        <v>7848</v>
      </c>
      <c r="AC2227" s="462" t="s">
        <v>7849</v>
      </c>
      <c r="AD2227" s="464">
        <v>451.00247000000002</v>
      </c>
      <c r="AE2227" s="465">
        <v>20.661760000000001</v>
      </c>
      <c r="AF2227" s="86">
        <f>IF(verze!$E$1="CZK",AD2227,IF(verze!$E$1="SK",AE2227,""))</f>
        <v>20.661760000000001</v>
      </c>
    </row>
    <row r="2228" spans="27:32" ht="15">
      <c r="AA2228" s="463" t="s">
        <v>7850</v>
      </c>
      <c r="AB2228" s="462" t="s">
        <v>7851</v>
      </c>
      <c r="AC2228" s="462" t="s">
        <v>7852</v>
      </c>
      <c r="AD2228" s="464">
        <v>471.50204000000002</v>
      </c>
      <c r="AE2228" s="465">
        <v>21.600899999999999</v>
      </c>
      <c r="AF2228" s="86">
        <f>IF(verze!$E$1="CZK",AD2228,IF(verze!$E$1="SK",AE2228,""))</f>
        <v>21.600899999999999</v>
      </c>
    </row>
    <row r="2229" spans="27:32" ht="15">
      <c r="AA2229" s="463" t="s">
        <v>7853</v>
      </c>
      <c r="AB2229" s="462" t="s">
        <v>7854</v>
      </c>
      <c r="AC2229" s="462" t="s">
        <v>7855</v>
      </c>
      <c r="AD2229" s="464">
        <v>16.077780000000001</v>
      </c>
      <c r="AE2229" s="465">
        <v>0.77339000000000002</v>
      </c>
      <c r="AF2229" s="86">
        <f>IF(verze!$E$1="CZK",AD2229,IF(verze!$E$1="SK",AE2229,""))</f>
        <v>0.77339000000000002</v>
      </c>
    </row>
    <row r="2230" spans="27:32" ht="15">
      <c r="AA2230" s="463" t="s">
        <v>7856</v>
      </c>
      <c r="AB2230" s="462" t="s">
        <v>7857</v>
      </c>
      <c r="AC2230" s="462" t="s">
        <v>7858</v>
      </c>
      <c r="AD2230" s="464">
        <v>566.92561999999998</v>
      </c>
      <c r="AE2230" s="465">
        <v>22.679849999999998</v>
      </c>
      <c r="AF2230" s="86">
        <f>IF(verze!$E$1="CZK",AD2230,IF(verze!$E$1="SK",AE2230,""))</f>
        <v>22.679849999999998</v>
      </c>
    </row>
    <row r="2231" spans="27:32" ht="15">
      <c r="AA2231" s="463" t="s">
        <v>7859</v>
      </c>
      <c r="AB2231" s="462" t="s">
        <v>7860</v>
      </c>
      <c r="AC2231" s="462" t="s">
        <v>7861</v>
      </c>
      <c r="AD2231" s="464">
        <v>1030.4486099999999</v>
      </c>
      <c r="AE2231" s="465">
        <v>44.823659999999997</v>
      </c>
      <c r="AF2231" s="86">
        <f>IF(verze!$E$1="CZK",AD2231,IF(verze!$E$1="SK",AE2231,""))</f>
        <v>44.823659999999997</v>
      </c>
    </row>
    <row r="2232" spans="27:32" ht="15">
      <c r="AA2232" s="463" t="s">
        <v>7862</v>
      </c>
      <c r="AB2232" s="462" t="s">
        <v>7863</v>
      </c>
      <c r="AC2232" s="462" t="s">
        <v>7864</v>
      </c>
      <c r="AD2232" s="464">
        <v>1030.4486099999999</v>
      </c>
      <c r="AE2232" s="465">
        <v>44.823659999999997</v>
      </c>
      <c r="AF2232" s="86">
        <f>IF(verze!$E$1="CZK",AD2232,IF(verze!$E$1="SK",AE2232,""))</f>
        <v>44.823659999999997</v>
      </c>
    </row>
    <row r="2233" spans="27:32" ht="15">
      <c r="AA2233" s="463" t="s">
        <v>7865</v>
      </c>
      <c r="AB2233" s="462" t="s">
        <v>7866</v>
      </c>
      <c r="AC2233" s="462" t="s">
        <v>7867</v>
      </c>
      <c r="AD2233" s="464">
        <v>1030.4486099999999</v>
      </c>
      <c r="AE2233" s="465">
        <v>44.823659999999997</v>
      </c>
      <c r="AF2233" s="86">
        <f>IF(verze!$E$1="CZK",AD2233,IF(verze!$E$1="SK",AE2233,""))</f>
        <v>44.823659999999997</v>
      </c>
    </row>
    <row r="2234" spans="27:32" ht="15">
      <c r="AA2234" s="463" t="s">
        <v>7868</v>
      </c>
      <c r="AB2234" s="462" t="s">
        <v>7869</v>
      </c>
      <c r="AC2234" s="462" t="s">
        <v>7870</v>
      </c>
      <c r="AD2234" s="464">
        <v>141.95956000000001</v>
      </c>
      <c r="AE2234" s="465">
        <v>6.6812800000000001</v>
      </c>
      <c r="AF2234" s="86">
        <f>IF(verze!$E$1="CZK",AD2234,IF(verze!$E$1="SK",AE2234,""))</f>
        <v>6.6812800000000001</v>
      </c>
    </row>
    <row r="2235" spans="27:32" ht="15">
      <c r="AA2235" s="463" t="s">
        <v>7871</v>
      </c>
      <c r="AB2235" s="462" t="s">
        <v>7872</v>
      </c>
      <c r="AC2235" s="462" t="s">
        <v>7873</v>
      </c>
      <c r="AD2235" s="464">
        <v>152.50519</v>
      </c>
      <c r="AE2235" s="465">
        <v>7.3360599999999998</v>
      </c>
      <c r="AF2235" s="86">
        <f>IF(verze!$E$1="CZK",AD2235,IF(verze!$E$1="SK",AE2235,""))</f>
        <v>7.3360599999999998</v>
      </c>
    </row>
    <row r="2236" spans="27:32" ht="15">
      <c r="AA2236" s="463" t="s">
        <v>7874</v>
      </c>
      <c r="AB2236" s="462" t="s">
        <v>7875</v>
      </c>
      <c r="AC2236" s="462" t="s">
        <v>7876</v>
      </c>
      <c r="AD2236" s="464">
        <v>0</v>
      </c>
      <c r="AE2236" s="465">
        <v>7.4496500000000001</v>
      </c>
      <c r="AF2236" s="86">
        <f>IF(verze!$E$1="CZK",AD2236,IF(verze!$E$1="SK",AE2236,""))</f>
        <v>7.4496500000000001</v>
      </c>
    </row>
    <row r="2237" spans="27:32" ht="15">
      <c r="AA2237" s="463" t="s">
        <v>7874</v>
      </c>
      <c r="AB2237" s="462" t="s">
        <v>7877</v>
      </c>
      <c r="AC2237" s="462" t="s">
        <v>7878</v>
      </c>
      <c r="AD2237" s="464">
        <v>155.82856000000001</v>
      </c>
      <c r="AE2237" s="465">
        <v>7.4959300000000004</v>
      </c>
      <c r="AF2237" s="86">
        <f>IF(verze!$E$1="CZK",AD2237,IF(verze!$E$1="SK",AE2237,""))</f>
        <v>7.4959300000000004</v>
      </c>
    </row>
    <row r="2238" spans="27:32" ht="15">
      <c r="AA2238" s="463" t="s">
        <v>7879</v>
      </c>
      <c r="AB2238" s="462" t="s">
        <v>7880</v>
      </c>
      <c r="AC2238" s="462" t="s">
        <v>7881</v>
      </c>
      <c r="AD2238" s="464">
        <v>163.58160000000001</v>
      </c>
      <c r="AE2238" s="465">
        <v>7.8688700000000003</v>
      </c>
      <c r="AF2238" s="86">
        <f>IF(verze!$E$1="CZK",AD2238,IF(verze!$E$1="SK",AE2238,""))</f>
        <v>7.8688700000000003</v>
      </c>
    </row>
    <row r="2239" spans="27:32" ht="15">
      <c r="AA2239" s="463" t="s">
        <v>7882</v>
      </c>
      <c r="AB2239" s="462" t="s">
        <v>7883</v>
      </c>
      <c r="AC2239" s="462" t="s">
        <v>7884</v>
      </c>
      <c r="AD2239" s="464">
        <v>153.98090999999999</v>
      </c>
      <c r="AE2239" s="465">
        <v>7.4070400000000003</v>
      </c>
      <c r="AF2239" s="86">
        <f>IF(verze!$E$1="CZK",AD2239,IF(verze!$E$1="SK",AE2239,""))</f>
        <v>7.4070400000000003</v>
      </c>
    </row>
    <row r="2240" spans="27:32" ht="15">
      <c r="AA2240" s="463" t="s">
        <v>7885</v>
      </c>
      <c r="AB2240" s="462" t="s">
        <v>7886</v>
      </c>
      <c r="AC2240" s="462" t="s">
        <v>7887</v>
      </c>
      <c r="AD2240" s="464">
        <v>153.13105999999999</v>
      </c>
      <c r="AE2240" s="465">
        <v>7.3661500000000002</v>
      </c>
      <c r="AF2240" s="86">
        <f>IF(verze!$E$1="CZK",AD2240,IF(verze!$E$1="SK",AE2240,""))</f>
        <v>7.3661500000000002</v>
      </c>
    </row>
    <row r="2241" spans="27:32" ht="15">
      <c r="AA2241" s="463" t="s">
        <v>7885</v>
      </c>
      <c r="AB2241" s="462" t="s">
        <v>7888</v>
      </c>
      <c r="AC2241" s="462" t="s">
        <v>7889</v>
      </c>
      <c r="AD2241" s="464">
        <v>149.05842000000001</v>
      </c>
      <c r="AE2241" s="465">
        <v>5.5675999999999997</v>
      </c>
      <c r="AF2241" s="86">
        <f>IF(verze!$E$1="CZK",AD2241,IF(verze!$E$1="SK",AE2241,""))</f>
        <v>5.5675999999999997</v>
      </c>
    </row>
    <row r="2242" spans="27:32" ht="15">
      <c r="AA2242" s="463" t="s">
        <v>7890</v>
      </c>
      <c r="AB2242" s="462" t="s">
        <v>7891</v>
      </c>
      <c r="AC2242" s="462" t="s">
        <v>7892</v>
      </c>
      <c r="AD2242" s="464">
        <v>156.82400000000001</v>
      </c>
      <c r="AE2242" s="465">
        <v>7.5437900000000004</v>
      </c>
      <c r="AF2242" s="86">
        <f>IF(verze!$E$1="CZK",AD2242,IF(verze!$E$1="SK",AE2242,""))</f>
        <v>7.5437900000000004</v>
      </c>
    </row>
    <row r="2243" spans="27:32" ht="15">
      <c r="AA2243" s="463" t="s">
        <v>7893</v>
      </c>
      <c r="AB2243" s="462" t="s">
        <v>7894</v>
      </c>
      <c r="AC2243" s="462" t="s">
        <v>7895</v>
      </c>
      <c r="AD2243" s="464">
        <v>167.90278000000001</v>
      </c>
      <c r="AE2243" s="465">
        <v>8.0767500000000005</v>
      </c>
      <c r="AF2243" s="86">
        <f>IF(verze!$E$1="CZK",AD2243,IF(verze!$E$1="SK",AE2243,""))</f>
        <v>8.0767500000000005</v>
      </c>
    </row>
    <row r="2244" spans="27:32" ht="15">
      <c r="AA2244" s="463" t="s">
        <v>7896</v>
      </c>
      <c r="AB2244" s="462" t="s">
        <v>7897</v>
      </c>
      <c r="AC2244" s="462" t="s">
        <v>7898</v>
      </c>
      <c r="AD2244" s="464">
        <v>158.30437000000001</v>
      </c>
      <c r="AE2244" s="465">
        <v>7.6150200000000003</v>
      </c>
      <c r="AF2244" s="86">
        <f>IF(verze!$E$1="CZK",AD2244,IF(verze!$E$1="SK",AE2244,""))</f>
        <v>7.6150200000000003</v>
      </c>
    </row>
    <row r="2245" spans="27:32" ht="15">
      <c r="AA2245" s="463" t="s">
        <v>7899</v>
      </c>
      <c r="AB2245" s="462" t="s">
        <v>7900</v>
      </c>
      <c r="AC2245" s="462" t="s">
        <v>7901</v>
      </c>
      <c r="AD2245" s="464">
        <v>151.21413000000001</v>
      </c>
      <c r="AE2245" s="465">
        <v>7.2739399999999996</v>
      </c>
      <c r="AF2245" s="86">
        <f>IF(verze!$E$1="CZK",AD2245,IF(verze!$E$1="SK",AE2245,""))</f>
        <v>7.2739399999999996</v>
      </c>
    </row>
    <row r="2246" spans="27:32" ht="15">
      <c r="AA2246" s="463" t="s">
        <v>7902</v>
      </c>
      <c r="AB2246" s="462" t="s">
        <v>7903</v>
      </c>
      <c r="AC2246" s="462" t="s">
        <v>7904</v>
      </c>
      <c r="AD2246" s="464">
        <v>154.90477999999999</v>
      </c>
      <c r="AE2246" s="465">
        <v>7.4514699999999996</v>
      </c>
      <c r="AF2246" s="86">
        <f>IF(verze!$E$1="CZK",AD2246,IF(verze!$E$1="SK",AE2246,""))</f>
        <v>7.4514699999999996</v>
      </c>
    </row>
    <row r="2247" spans="27:32" ht="15">
      <c r="AA2247" s="463" t="s">
        <v>7905</v>
      </c>
      <c r="AB2247" s="462" t="s">
        <v>7906</v>
      </c>
      <c r="AC2247" s="462" t="s">
        <v>7907</v>
      </c>
      <c r="AD2247" s="464">
        <v>165.98357999999999</v>
      </c>
      <c r="AE2247" s="465">
        <v>7.9844099999999996</v>
      </c>
      <c r="AF2247" s="86">
        <f>IF(verze!$E$1="CZK",AD2247,IF(verze!$E$1="SK",AE2247,""))</f>
        <v>7.9844099999999996</v>
      </c>
    </row>
    <row r="2248" spans="27:32" ht="15">
      <c r="AA2248" s="463" t="s">
        <v>7908</v>
      </c>
      <c r="AB2248" s="462" t="s">
        <v>7909</v>
      </c>
      <c r="AC2248" s="462" t="s">
        <v>7910</v>
      </c>
      <c r="AD2248" s="464">
        <v>170.30239</v>
      </c>
      <c r="AE2248" s="465">
        <v>8.1921599999999994</v>
      </c>
      <c r="AF2248" s="86">
        <f>IF(verze!$E$1="CZK",AD2248,IF(verze!$E$1="SK",AE2248,""))</f>
        <v>8.1921599999999994</v>
      </c>
    </row>
    <row r="2249" spans="27:32" ht="15">
      <c r="AA2249" s="463" t="s">
        <v>7911</v>
      </c>
      <c r="AB2249" s="462" t="s">
        <v>7912</v>
      </c>
      <c r="AC2249" s="462" t="s">
        <v>7913</v>
      </c>
      <c r="AD2249" s="464">
        <v>160.70169999999999</v>
      </c>
      <c r="AE2249" s="465">
        <v>7.7303300000000004</v>
      </c>
      <c r="AF2249" s="86">
        <f>IF(verze!$E$1="CZK",AD2249,IF(verze!$E$1="SK",AE2249,""))</f>
        <v>7.7303300000000004</v>
      </c>
    </row>
    <row r="2250" spans="27:32" ht="15">
      <c r="AA2250" s="463" t="s">
        <v>7914</v>
      </c>
      <c r="AB2250" s="462" t="s">
        <v>7915</v>
      </c>
      <c r="AC2250" s="462" t="s">
        <v>7916</v>
      </c>
      <c r="AD2250" s="464">
        <v>129.61077</v>
      </c>
      <c r="AE2250" s="465">
        <v>6.23475</v>
      </c>
      <c r="AF2250" s="86">
        <f>IF(verze!$E$1="CZK",AD2250,IF(verze!$E$1="SK",AE2250,""))</f>
        <v>6.23475</v>
      </c>
    </row>
    <row r="2251" spans="27:32" ht="15">
      <c r="AA2251" s="463" t="s">
        <v>7917</v>
      </c>
      <c r="AB2251" s="462" t="s">
        <v>7918</v>
      </c>
      <c r="AC2251" s="462" t="s">
        <v>7919</v>
      </c>
      <c r="AD2251" s="464">
        <v>133.30368999999999</v>
      </c>
      <c r="AE2251" s="465">
        <v>6.4123900000000003</v>
      </c>
      <c r="AF2251" s="86">
        <f>IF(verze!$E$1="CZK",AD2251,IF(verze!$E$1="SK",AE2251,""))</f>
        <v>6.4123900000000003</v>
      </c>
    </row>
    <row r="2252" spans="27:32" ht="15">
      <c r="AA2252" s="463" t="s">
        <v>7920</v>
      </c>
      <c r="AB2252" s="462" t="s">
        <v>7921</v>
      </c>
      <c r="AC2252" s="462" t="s">
        <v>7922</v>
      </c>
      <c r="AD2252" s="464">
        <v>144.38022000000001</v>
      </c>
      <c r="AE2252" s="465">
        <v>6.9451999999999998</v>
      </c>
      <c r="AF2252" s="86">
        <f>IF(verze!$E$1="CZK",AD2252,IF(verze!$E$1="SK",AE2252,""))</f>
        <v>6.9451999999999998</v>
      </c>
    </row>
    <row r="2253" spans="27:32" ht="15">
      <c r="AA2253" s="463" t="s">
        <v>7923</v>
      </c>
      <c r="AB2253" s="462" t="s">
        <v>7924</v>
      </c>
      <c r="AC2253" s="462" t="s">
        <v>7925</v>
      </c>
      <c r="AD2253" s="464">
        <v>133.93195</v>
      </c>
      <c r="AE2253" s="465">
        <v>6.4426100000000002</v>
      </c>
      <c r="AF2253" s="86">
        <f>IF(verze!$E$1="CZK",AD2253,IF(verze!$E$1="SK",AE2253,""))</f>
        <v>6.4426100000000002</v>
      </c>
    </row>
    <row r="2254" spans="27:32" ht="15">
      <c r="AA2254" s="463" t="s">
        <v>7926</v>
      </c>
      <c r="AB2254" s="462" t="s">
        <v>7927</v>
      </c>
      <c r="AC2254" s="462" t="s">
        <v>7928</v>
      </c>
      <c r="AD2254" s="464">
        <v>132.01264</v>
      </c>
      <c r="AE2254" s="465">
        <v>6.3502999999999998</v>
      </c>
      <c r="AF2254" s="86">
        <f>IF(verze!$E$1="CZK",AD2254,IF(verze!$E$1="SK",AE2254,""))</f>
        <v>6.3502999999999998</v>
      </c>
    </row>
    <row r="2255" spans="27:32" ht="15">
      <c r="AA2255" s="463" t="s">
        <v>7929</v>
      </c>
      <c r="AB2255" s="462" t="s">
        <v>7930</v>
      </c>
      <c r="AC2255" s="462" t="s">
        <v>7931</v>
      </c>
      <c r="AD2255" s="464">
        <v>146.78209000000001</v>
      </c>
      <c r="AE2255" s="465">
        <v>7.0607499999999996</v>
      </c>
      <c r="AF2255" s="86">
        <f>IF(verze!$E$1="CZK",AD2255,IF(verze!$E$1="SK",AE2255,""))</f>
        <v>7.0607499999999996</v>
      </c>
    </row>
    <row r="2256" spans="27:32" ht="15">
      <c r="AA2256" s="463" t="s">
        <v>7932</v>
      </c>
      <c r="AB2256" s="462" t="s">
        <v>7933</v>
      </c>
      <c r="AC2256" s="462" t="s">
        <v>7934</v>
      </c>
      <c r="AD2256" s="464">
        <v>134.40997999999999</v>
      </c>
      <c r="AE2256" s="465">
        <v>6.4656099999999999</v>
      </c>
      <c r="AF2256" s="86">
        <f>IF(verze!$E$1="CZK",AD2256,IF(verze!$E$1="SK",AE2256,""))</f>
        <v>6.4656099999999999</v>
      </c>
    </row>
    <row r="2257" spans="27:32" ht="15">
      <c r="AA2257" s="463" t="s">
        <v>7935</v>
      </c>
      <c r="AB2257" s="462" t="s">
        <v>7936</v>
      </c>
      <c r="AC2257" s="462" t="s">
        <v>7937</v>
      </c>
      <c r="AD2257" s="464">
        <v>138.10517999999999</v>
      </c>
      <c r="AE2257" s="465">
        <v>6.6433499999999999</v>
      </c>
      <c r="AF2257" s="86">
        <f>IF(verze!$E$1="CZK",AD2257,IF(verze!$E$1="SK",AE2257,""))</f>
        <v>6.6433499999999999</v>
      </c>
    </row>
    <row r="2258" spans="27:32" ht="15">
      <c r="AA2258" s="463" t="s">
        <v>7938</v>
      </c>
      <c r="AB2258" s="462" t="s">
        <v>7939</v>
      </c>
      <c r="AC2258" s="462" t="s">
        <v>7940</v>
      </c>
      <c r="AD2258" s="464">
        <v>149.18170000000001</v>
      </c>
      <c r="AE2258" s="465">
        <v>7.1761799999999996</v>
      </c>
      <c r="AF2258" s="86">
        <f>IF(verze!$E$1="CZK",AD2258,IF(verze!$E$1="SK",AE2258,""))</f>
        <v>7.1761799999999996</v>
      </c>
    </row>
    <row r="2259" spans="27:32" ht="15">
      <c r="AA2259" s="463" t="s">
        <v>7941</v>
      </c>
      <c r="AB2259" s="462" t="s">
        <v>7942</v>
      </c>
      <c r="AC2259" s="462" t="s">
        <v>7943</v>
      </c>
      <c r="AD2259" s="464">
        <v>0</v>
      </c>
      <c r="AE2259" s="465">
        <v>6.6729000000000003</v>
      </c>
      <c r="AF2259" s="86">
        <f>IF(verze!$E$1="CZK",AD2259,IF(verze!$E$1="SK",AE2259,""))</f>
        <v>6.6729000000000003</v>
      </c>
    </row>
    <row r="2260" spans="27:32" ht="15">
      <c r="AA2260" s="463" t="s">
        <v>7944</v>
      </c>
      <c r="AB2260" s="462" t="s">
        <v>7945</v>
      </c>
      <c r="AC2260" s="462" t="s">
        <v>7946</v>
      </c>
      <c r="AD2260" s="464">
        <v>138.73343</v>
      </c>
      <c r="AE2260" s="465">
        <v>6.6735899999999999</v>
      </c>
      <c r="AF2260" s="86">
        <f>IF(verze!$E$1="CZK",AD2260,IF(verze!$E$1="SK",AE2260,""))</f>
        <v>6.6735899999999999</v>
      </c>
    </row>
    <row r="2261" spans="27:32" ht="15">
      <c r="AA2261" s="463" t="s">
        <v>7947</v>
      </c>
      <c r="AB2261" s="462" t="s">
        <v>7948</v>
      </c>
      <c r="AC2261" s="462" t="s">
        <v>7949</v>
      </c>
      <c r="AD2261" s="464">
        <v>136.81184999999999</v>
      </c>
      <c r="AE2261" s="465">
        <v>6.5811299999999999</v>
      </c>
      <c r="AF2261" s="86">
        <f>IF(verze!$E$1="CZK",AD2261,IF(verze!$E$1="SK",AE2261,""))</f>
        <v>6.5811299999999999</v>
      </c>
    </row>
    <row r="2262" spans="27:32" ht="15">
      <c r="AA2262" s="463" t="s">
        <v>7950</v>
      </c>
      <c r="AB2262" s="462" t="s">
        <v>7951</v>
      </c>
      <c r="AC2262" s="462" t="s">
        <v>7952</v>
      </c>
      <c r="AD2262" s="464">
        <v>151.5813</v>
      </c>
      <c r="AE2262" s="465">
        <v>7.29162</v>
      </c>
      <c r="AF2262" s="86">
        <f>IF(verze!$E$1="CZK",AD2262,IF(verze!$E$1="SK",AE2262,""))</f>
        <v>7.29162</v>
      </c>
    </row>
    <row r="2263" spans="27:32" ht="15">
      <c r="AA2263" s="463" t="s">
        <v>7953</v>
      </c>
      <c r="AB2263" s="462" t="s">
        <v>7954</v>
      </c>
      <c r="AC2263" s="462" t="s">
        <v>7955</v>
      </c>
      <c r="AD2263" s="464">
        <v>129.61077</v>
      </c>
      <c r="AE2263" s="465">
        <v>6.23475</v>
      </c>
      <c r="AF2263" s="86">
        <f>IF(verze!$E$1="CZK",AD2263,IF(verze!$E$1="SK",AE2263,""))</f>
        <v>6.23475</v>
      </c>
    </row>
    <row r="2264" spans="27:32" ht="15">
      <c r="AA2264" s="463" t="s">
        <v>7956</v>
      </c>
      <c r="AB2264" s="462" t="s">
        <v>7957</v>
      </c>
      <c r="AC2264" s="462" t="s">
        <v>7958</v>
      </c>
      <c r="AD2264" s="464">
        <v>133.30368999999999</v>
      </c>
      <c r="AE2264" s="465">
        <v>6.4123900000000003</v>
      </c>
      <c r="AF2264" s="86">
        <f>IF(verze!$E$1="CZK",AD2264,IF(verze!$E$1="SK",AE2264,""))</f>
        <v>6.4123900000000003</v>
      </c>
    </row>
    <row r="2265" spans="27:32" ht="15">
      <c r="AA2265" s="463" t="s">
        <v>7959</v>
      </c>
      <c r="AB2265" s="462" t="s">
        <v>7960</v>
      </c>
      <c r="AC2265" s="462" t="s">
        <v>7961</v>
      </c>
      <c r="AD2265" s="464">
        <v>134.77952999999999</v>
      </c>
      <c r="AE2265" s="465">
        <v>6.4833699999999999</v>
      </c>
      <c r="AF2265" s="86">
        <f>IF(verze!$E$1="CZK",AD2265,IF(verze!$E$1="SK",AE2265,""))</f>
        <v>6.4833699999999999</v>
      </c>
    </row>
    <row r="2266" spans="27:32" ht="15">
      <c r="AA2266" s="463" t="s">
        <v>7962</v>
      </c>
      <c r="AB2266" s="462" t="s">
        <v>7963</v>
      </c>
      <c r="AC2266" s="462" t="s">
        <v>7964</v>
      </c>
      <c r="AD2266" s="464">
        <v>133.93195</v>
      </c>
      <c r="AE2266" s="465">
        <v>6.4426100000000002</v>
      </c>
      <c r="AF2266" s="86">
        <f>IF(verze!$E$1="CZK",AD2266,IF(verze!$E$1="SK",AE2266,""))</f>
        <v>6.4426100000000002</v>
      </c>
    </row>
    <row r="2267" spans="27:32" ht="15">
      <c r="AA2267" s="463" t="s">
        <v>7965</v>
      </c>
      <c r="AB2267" s="462" t="s">
        <v>7966</v>
      </c>
      <c r="AC2267" s="462" t="s">
        <v>7967</v>
      </c>
      <c r="AD2267" s="464">
        <v>134.40997999999999</v>
      </c>
      <c r="AE2267" s="465">
        <v>6.4656099999999999</v>
      </c>
      <c r="AF2267" s="86">
        <f>IF(verze!$E$1="CZK",AD2267,IF(verze!$E$1="SK",AE2267,""))</f>
        <v>6.4656099999999999</v>
      </c>
    </row>
    <row r="2268" spans="27:32" ht="15">
      <c r="AA2268" s="463" t="s">
        <v>7968</v>
      </c>
      <c r="AB2268" s="462" t="s">
        <v>7969</v>
      </c>
      <c r="AC2268" s="462" t="s">
        <v>7970</v>
      </c>
      <c r="AD2268" s="464">
        <v>138.73343</v>
      </c>
      <c r="AE2268" s="465">
        <v>6.6735899999999999</v>
      </c>
      <c r="AF2268" s="86">
        <f>IF(verze!$E$1="CZK",AD2268,IF(verze!$E$1="SK",AE2268,""))</f>
        <v>6.6735899999999999</v>
      </c>
    </row>
    <row r="2269" spans="27:32" ht="15">
      <c r="AA2269" s="463" t="s">
        <v>7971</v>
      </c>
      <c r="AB2269" s="462" t="s">
        <v>7972</v>
      </c>
      <c r="AC2269" s="462" t="s">
        <v>7973</v>
      </c>
      <c r="AD2269" s="464">
        <v>3.4713400000000001</v>
      </c>
      <c r="AE2269" s="465">
        <v>0.16699</v>
      </c>
      <c r="AF2269" s="86">
        <f>IF(verze!$E$1="CZK",AD2269,IF(verze!$E$1="SK",AE2269,""))</f>
        <v>0.16699</v>
      </c>
    </row>
    <row r="2270" spans="27:32" ht="15">
      <c r="AA2270" s="463" t="s">
        <v>7971</v>
      </c>
      <c r="AB2270" s="462" t="s">
        <v>7974</v>
      </c>
      <c r="AC2270" s="462" t="s">
        <v>7975</v>
      </c>
      <c r="AD2270" s="464">
        <v>0</v>
      </c>
      <c r="AE2270" s="465">
        <v>0.16596</v>
      </c>
      <c r="AF2270" s="86">
        <f>IF(verze!$E$1="CZK",AD2270,IF(verze!$E$1="SK",AE2270,""))</f>
        <v>0.16596</v>
      </c>
    </row>
    <row r="2271" spans="27:32" ht="15">
      <c r="AA2271" s="463" t="s">
        <v>7976</v>
      </c>
      <c r="AB2271" s="462" t="s">
        <v>7977</v>
      </c>
      <c r="AC2271" s="462" t="s">
        <v>7978</v>
      </c>
      <c r="AD2271" s="464">
        <v>5.2420799999999996</v>
      </c>
      <c r="AE2271" s="465">
        <v>0.25217000000000001</v>
      </c>
      <c r="AF2271" s="86">
        <f>IF(verze!$E$1="CZK",AD2271,IF(verze!$E$1="SK",AE2271,""))</f>
        <v>0.25217000000000001</v>
      </c>
    </row>
    <row r="2272" spans="27:32" ht="15">
      <c r="AA2272" s="463" t="s">
        <v>7979</v>
      </c>
      <c r="AB2272" s="462" t="s">
        <v>7980</v>
      </c>
      <c r="AC2272" s="462" t="s">
        <v>7981</v>
      </c>
      <c r="AD2272" s="464">
        <v>8.9291199999999993</v>
      </c>
      <c r="AE2272" s="465">
        <v>0.42953000000000002</v>
      </c>
      <c r="AF2272" s="86">
        <f>IF(verze!$E$1="CZK",AD2272,IF(verze!$E$1="SK",AE2272,""))</f>
        <v>0.42953000000000002</v>
      </c>
    </row>
    <row r="2273" spans="27:32" ht="15">
      <c r="AA2273" s="463" t="s">
        <v>7982</v>
      </c>
      <c r="AB2273" s="462" t="s">
        <v>7983</v>
      </c>
      <c r="AC2273" s="462" t="s">
        <v>7984</v>
      </c>
      <c r="AD2273" s="464">
        <v>8.9291199999999993</v>
      </c>
      <c r="AE2273" s="465">
        <v>0.42953000000000002</v>
      </c>
      <c r="AF2273" s="86">
        <f>IF(verze!$E$1="CZK",AD2273,IF(verze!$E$1="SK",AE2273,""))</f>
        <v>0.42953000000000002</v>
      </c>
    </row>
    <row r="2274" spans="27:32" ht="15">
      <c r="AA2274" s="463" t="s">
        <v>7985</v>
      </c>
      <c r="AB2274" s="462" t="s">
        <v>7986</v>
      </c>
      <c r="AC2274" s="462" t="s">
        <v>7987</v>
      </c>
      <c r="AD2274" s="464">
        <v>222.96215000000001</v>
      </c>
      <c r="AE2274" s="465">
        <v>0</v>
      </c>
      <c r="AF2274" s="86">
        <f>IF(verze!$E$1="CZK",AD2274,IF(verze!$E$1="SK",AE2274,""))</f>
        <v>0</v>
      </c>
    </row>
    <row r="2275" spans="27:32" ht="15">
      <c r="AA2275" s="463" t="s">
        <v>7988</v>
      </c>
      <c r="AB2275" s="462" t="s">
        <v>7989</v>
      </c>
      <c r="AC2275" s="462" t="s">
        <v>7990</v>
      </c>
      <c r="AD2275" s="464">
        <v>186.91098</v>
      </c>
      <c r="AE2275" s="465">
        <v>7.4773699999999996</v>
      </c>
      <c r="AF2275" s="86">
        <f>IF(verze!$E$1="CZK",AD2275,IF(verze!$E$1="SK",AE2275,""))</f>
        <v>7.4773699999999996</v>
      </c>
    </row>
    <row r="2276" spans="27:32" ht="15">
      <c r="AA2276" s="463" t="s">
        <v>7991</v>
      </c>
      <c r="AB2276" s="462" t="s">
        <v>7992</v>
      </c>
      <c r="AC2276" s="462" t="s">
        <v>7993</v>
      </c>
      <c r="AD2276" s="464">
        <v>3.1541100000000002</v>
      </c>
      <c r="AE2276" s="465">
        <v>0.15173</v>
      </c>
      <c r="AF2276" s="86">
        <f>IF(verze!$E$1="CZK",AD2276,IF(verze!$E$1="SK",AE2276,""))</f>
        <v>0.15173</v>
      </c>
    </row>
    <row r="2277" spans="27:32" ht="15">
      <c r="AA2277" s="463" t="s">
        <v>7994</v>
      </c>
      <c r="AB2277" s="462" t="s">
        <v>7995</v>
      </c>
      <c r="AC2277" s="462" t="s">
        <v>7996</v>
      </c>
      <c r="AD2277" s="464">
        <v>3.1541100000000002</v>
      </c>
      <c r="AE2277" s="465">
        <v>0.15173</v>
      </c>
      <c r="AF2277" s="86">
        <f>IF(verze!$E$1="CZK",AD2277,IF(verze!$E$1="SK",AE2277,""))</f>
        <v>0.15173</v>
      </c>
    </row>
    <row r="2278" spans="27:32" ht="15">
      <c r="AA2278" s="463" t="s">
        <v>7997</v>
      </c>
      <c r="AB2278" s="462" t="s">
        <v>7998</v>
      </c>
      <c r="AC2278" s="462" t="s">
        <v>7999</v>
      </c>
      <c r="AD2278" s="464">
        <v>0</v>
      </c>
      <c r="AE2278" s="465">
        <v>0</v>
      </c>
      <c r="AF2278" s="86">
        <f>IF(verze!$E$1="CZK",AD2278,IF(verze!$E$1="SK",AE2278,""))</f>
        <v>0</v>
      </c>
    </row>
    <row r="2279" spans="27:32" ht="15">
      <c r="AA2279" s="463" t="s">
        <v>7997</v>
      </c>
      <c r="AB2279" s="462" t="s">
        <v>8000</v>
      </c>
      <c r="AC2279" s="462" t="s">
        <v>7999</v>
      </c>
      <c r="AD2279" s="464">
        <v>0</v>
      </c>
      <c r="AE2279" s="465">
        <v>0</v>
      </c>
      <c r="AF2279" s="86">
        <f>IF(verze!$E$1="CZK",AD2279,IF(verze!$E$1="SK",AE2279,""))</f>
        <v>0</v>
      </c>
    </row>
    <row r="2280" spans="27:32" ht="15">
      <c r="AA2280" s="463" t="s">
        <v>7997</v>
      </c>
      <c r="AB2280" s="462" t="s">
        <v>8001</v>
      </c>
      <c r="AC2280" s="462" t="s">
        <v>8002</v>
      </c>
      <c r="AD2280" s="464">
        <v>0</v>
      </c>
      <c r="AE2280" s="465">
        <v>0</v>
      </c>
      <c r="AF2280" s="86">
        <f>IF(verze!$E$1="CZK",AD2280,IF(verze!$E$1="SK",AE2280,""))</f>
        <v>0</v>
      </c>
    </row>
    <row r="2281" spans="27:32" ht="15">
      <c r="AA2281" s="463" t="s">
        <v>8003</v>
      </c>
      <c r="AB2281" s="462" t="s">
        <v>8004</v>
      </c>
      <c r="AC2281" s="462" t="s">
        <v>8005</v>
      </c>
      <c r="AD2281" s="464">
        <v>0</v>
      </c>
      <c r="AE2281" s="465">
        <v>0</v>
      </c>
      <c r="AF2281" s="86">
        <f>IF(verze!$E$1="CZK",AD2281,IF(verze!$E$1="SK",AE2281,""))</f>
        <v>0</v>
      </c>
    </row>
    <row r="2282" spans="27:32" ht="15">
      <c r="AA2282" s="463" t="s">
        <v>8003</v>
      </c>
      <c r="AB2282" s="462" t="s">
        <v>8006</v>
      </c>
      <c r="AC2282" s="462" t="s">
        <v>8005</v>
      </c>
      <c r="AD2282" s="464">
        <v>0</v>
      </c>
      <c r="AE2282" s="465">
        <v>0</v>
      </c>
      <c r="AF2282" s="86">
        <f>IF(verze!$E$1="CZK",AD2282,IF(verze!$E$1="SK",AE2282,""))</f>
        <v>0</v>
      </c>
    </row>
    <row r="2283" spans="27:32" ht="15">
      <c r="AA2283" s="463" t="s">
        <v>8003</v>
      </c>
      <c r="AB2283" s="462" t="s">
        <v>8007</v>
      </c>
      <c r="AC2283" s="462" t="s">
        <v>8008</v>
      </c>
      <c r="AD2283" s="464">
        <v>0</v>
      </c>
      <c r="AE2283" s="465">
        <v>0</v>
      </c>
      <c r="AF2283" s="86">
        <f>IF(verze!$E$1="CZK",AD2283,IF(verze!$E$1="SK",AE2283,""))</f>
        <v>0</v>
      </c>
    </row>
    <row r="2284" spans="27:32" ht="15">
      <c r="AA2284" s="463" t="s">
        <v>8009</v>
      </c>
      <c r="AB2284" s="462" t="s">
        <v>8010</v>
      </c>
      <c r="AC2284" s="462" t="s">
        <v>8011</v>
      </c>
      <c r="AD2284" s="464">
        <v>2.95641</v>
      </c>
      <c r="AE2284" s="465">
        <v>0.14221</v>
      </c>
      <c r="AF2284" s="86">
        <f>IF(verze!$E$1="CZK",AD2284,IF(verze!$E$1="SK",AE2284,""))</f>
        <v>0.14221</v>
      </c>
    </row>
    <row r="2285" spans="27:32" ht="15">
      <c r="AA2285" s="463" t="s">
        <v>8012</v>
      </c>
      <c r="AB2285" s="462" t="s">
        <v>8013</v>
      </c>
      <c r="AC2285" s="462" t="s">
        <v>8014</v>
      </c>
      <c r="AD2285" s="464">
        <v>103.79333</v>
      </c>
      <c r="AE2285" s="465">
        <v>4.9928299999999997</v>
      </c>
      <c r="AF2285" s="86">
        <f>IF(verze!$E$1="CZK",AD2285,IF(verze!$E$1="SK",AE2285,""))</f>
        <v>4.9928299999999997</v>
      </c>
    </row>
    <row r="2286" spans="27:32" ht="15">
      <c r="AA2286" s="463" t="s">
        <v>8012</v>
      </c>
      <c r="AB2286" s="462" t="s">
        <v>8015</v>
      </c>
      <c r="AC2286" s="462" t="s">
        <v>8016</v>
      </c>
      <c r="AD2286" s="464">
        <v>0</v>
      </c>
      <c r="AE2286" s="465">
        <v>4.9722499999999998</v>
      </c>
      <c r="AF2286" s="86">
        <f>IF(verze!$E$1="CZK",AD2286,IF(verze!$E$1="SK",AE2286,""))</f>
        <v>4.9722499999999998</v>
      </c>
    </row>
    <row r="2287" spans="27:32" ht="15">
      <c r="AA2287" s="463" t="s">
        <v>8017</v>
      </c>
      <c r="AB2287" s="462" t="s">
        <v>8018</v>
      </c>
      <c r="AC2287" s="462" t="s">
        <v>8019</v>
      </c>
      <c r="AD2287" s="464">
        <v>205.74250000000001</v>
      </c>
      <c r="AE2287" s="465">
        <v>0</v>
      </c>
      <c r="AF2287" s="86">
        <f>IF(verze!$E$1="CZK",AD2287,IF(verze!$E$1="SK",AE2287,""))</f>
        <v>0</v>
      </c>
    </row>
    <row r="2288" spans="27:32" ht="15">
      <c r="AA2288" s="463" t="s">
        <v>8020</v>
      </c>
      <c r="AB2288" s="462" t="s">
        <v>8021</v>
      </c>
      <c r="AC2288" s="462" t="s">
        <v>8022</v>
      </c>
      <c r="AD2288" s="464">
        <v>2697.1887000000002</v>
      </c>
      <c r="AE2288" s="465">
        <v>123.56619999999999</v>
      </c>
      <c r="AF2288" s="86">
        <f>IF(verze!$E$1="CZK",AD2288,IF(verze!$E$1="SK",AE2288,""))</f>
        <v>123.56619999999999</v>
      </c>
    </row>
    <row r="2289" spans="27:32" ht="15">
      <c r="AA2289" s="463" t="s">
        <v>8023</v>
      </c>
      <c r="AB2289" s="462" t="s">
        <v>8024</v>
      </c>
      <c r="AC2289" s="462" t="s">
        <v>8025</v>
      </c>
      <c r="AD2289" s="464">
        <v>295.82576</v>
      </c>
      <c r="AE2289" s="465">
        <v>13.922940000000001</v>
      </c>
      <c r="AF2289" s="86">
        <f>IF(verze!$E$1="CZK",AD2289,IF(verze!$E$1="SK",AE2289,""))</f>
        <v>13.922940000000001</v>
      </c>
    </row>
    <row r="2290" spans="27:32" ht="15">
      <c r="AA2290" s="463" t="s">
        <v>8026</v>
      </c>
      <c r="AB2290" s="462" t="s">
        <v>8027</v>
      </c>
      <c r="AC2290" s="462" t="s">
        <v>8028</v>
      </c>
      <c r="AD2290" s="464">
        <v>295.82576</v>
      </c>
      <c r="AE2290" s="465">
        <v>13.922940000000001</v>
      </c>
      <c r="AF2290" s="86">
        <f>IF(verze!$E$1="CZK",AD2290,IF(verze!$E$1="SK",AE2290,""))</f>
        <v>13.922940000000001</v>
      </c>
    </row>
    <row r="2291" spans="27:32" ht="15">
      <c r="AA2291" s="463" t="s">
        <v>8029</v>
      </c>
      <c r="AB2291" s="462" t="s">
        <v>8030</v>
      </c>
      <c r="AC2291" s="462" t="s">
        <v>8031</v>
      </c>
      <c r="AD2291" s="464">
        <v>293.09949999999998</v>
      </c>
      <c r="AE2291" s="465">
        <v>14.09915</v>
      </c>
      <c r="AF2291" s="86">
        <f>IF(verze!$E$1="CZK",AD2291,IF(verze!$E$1="SK",AE2291,""))</f>
        <v>14.09915</v>
      </c>
    </row>
    <row r="2292" spans="27:32" ht="15">
      <c r="AA2292" s="463" t="s">
        <v>8032</v>
      </c>
      <c r="AB2292" s="462" t="s">
        <v>8033</v>
      </c>
      <c r="AC2292" s="462" t="s">
        <v>8034</v>
      </c>
      <c r="AD2292" s="464">
        <v>293.09949999999998</v>
      </c>
      <c r="AE2292" s="465">
        <v>14.09915</v>
      </c>
      <c r="AF2292" s="86">
        <f>IF(verze!$E$1="CZK",AD2292,IF(verze!$E$1="SK",AE2292,""))</f>
        <v>14.09915</v>
      </c>
    </row>
    <row r="2293" spans="27:32" ht="15">
      <c r="AA2293" s="463" t="s">
        <v>8035</v>
      </c>
      <c r="AB2293" s="462" t="s">
        <v>8036</v>
      </c>
      <c r="AC2293" s="462" t="s">
        <v>8037</v>
      </c>
      <c r="AD2293" s="464">
        <v>282.28789999999998</v>
      </c>
      <c r="AE2293" s="465">
        <v>13.57906</v>
      </c>
      <c r="AF2293" s="86">
        <f>IF(verze!$E$1="CZK",AD2293,IF(verze!$E$1="SK",AE2293,""))</f>
        <v>13.57906</v>
      </c>
    </row>
    <row r="2294" spans="27:32" ht="15">
      <c r="AA2294" s="463" t="s">
        <v>8038</v>
      </c>
      <c r="AB2294" s="462" t="s">
        <v>8039</v>
      </c>
      <c r="AC2294" s="462" t="s">
        <v>8040</v>
      </c>
      <c r="AD2294" s="464">
        <v>282.28789999999998</v>
      </c>
      <c r="AE2294" s="465">
        <v>13.57906</v>
      </c>
      <c r="AF2294" s="86">
        <f>IF(verze!$E$1="CZK",AD2294,IF(verze!$E$1="SK",AE2294,""))</f>
        <v>13.57906</v>
      </c>
    </row>
    <row r="2295" spans="27:32" ht="15">
      <c r="AA2295" s="463" t="s">
        <v>8041</v>
      </c>
      <c r="AB2295" s="462" t="s">
        <v>8042</v>
      </c>
      <c r="AC2295" s="462" t="s">
        <v>8043</v>
      </c>
      <c r="AD2295" s="464">
        <v>72.178780000000003</v>
      </c>
      <c r="AE2295" s="465">
        <v>0</v>
      </c>
      <c r="AF2295" s="86">
        <f>IF(verze!$E$1="CZK",AD2295,IF(verze!$E$1="SK",AE2295,""))</f>
        <v>0</v>
      </c>
    </row>
    <row r="2296" spans="27:32" ht="15">
      <c r="AA2296" s="463" t="s">
        <v>8044</v>
      </c>
      <c r="AB2296" s="462" t="s">
        <v>8045</v>
      </c>
      <c r="AC2296" s="462" t="s">
        <v>8046</v>
      </c>
      <c r="AD2296" s="464">
        <v>72.178780000000003</v>
      </c>
      <c r="AE2296" s="465">
        <v>0</v>
      </c>
      <c r="AF2296" s="86">
        <f>IF(verze!$E$1="CZK",AD2296,IF(verze!$E$1="SK",AE2296,""))</f>
        <v>0</v>
      </c>
    </row>
    <row r="2297" spans="27:32" ht="15">
      <c r="AA2297" s="463" t="s">
        <v>8047</v>
      </c>
      <c r="AB2297" s="462" t="s">
        <v>8048</v>
      </c>
      <c r="AC2297" s="462" t="s">
        <v>8049</v>
      </c>
      <c r="AD2297" s="464">
        <v>89.053659999999994</v>
      </c>
      <c r="AE2297" s="465">
        <v>0</v>
      </c>
      <c r="AF2297" s="86">
        <f>IF(verze!$E$1="CZK",AD2297,IF(verze!$E$1="SK",AE2297,""))</f>
        <v>0</v>
      </c>
    </row>
    <row r="2298" spans="27:32" ht="15">
      <c r="AA2298" s="463" t="s">
        <v>8050</v>
      </c>
      <c r="AB2298" s="462" t="s">
        <v>8051</v>
      </c>
      <c r="AC2298" s="462" t="s">
        <v>8052</v>
      </c>
      <c r="AD2298" s="464">
        <v>89.053659999999994</v>
      </c>
      <c r="AE2298" s="465">
        <v>0</v>
      </c>
      <c r="AF2298" s="86">
        <f>IF(verze!$E$1="CZK",AD2298,IF(verze!$E$1="SK",AE2298,""))</f>
        <v>0</v>
      </c>
    </row>
    <row r="2299" spans="27:32" ht="15">
      <c r="AA2299" s="463" t="s">
        <v>8053</v>
      </c>
      <c r="AB2299" s="462" t="s">
        <v>8054</v>
      </c>
      <c r="AC2299" s="462" t="s">
        <v>8055</v>
      </c>
      <c r="AD2299" s="464">
        <v>119.44136</v>
      </c>
      <c r="AE2299" s="465">
        <v>4.4430399999999999</v>
      </c>
      <c r="AF2299" s="86">
        <f>IF(verze!$E$1="CZK",AD2299,IF(verze!$E$1="SK",AE2299,""))</f>
        <v>4.4430399999999999</v>
      </c>
    </row>
    <row r="2300" spans="27:32" ht="15">
      <c r="AA2300" s="463" t="s">
        <v>8056</v>
      </c>
      <c r="AB2300" s="462" t="s">
        <v>8057</v>
      </c>
      <c r="AC2300" s="462" t="s">
        <v>8058</v>
      </c>
      <c r="AD2300" s="464">
        <v>119.44136</v>
      </c>
      <c r="AE2300" s="465">
        <v>4.4430399999999999</v>
      </c>
      <c r="AF2300" s="86">
        <f>IF(verze!$E$1="CZK",AD2300,IF(verze!$E$1="SK",AE2300,""))</f>
        <v>4.4430399999999999</v>
      </c>
    </row>
    <row r="2301" spans="27:32" ht="15">
      <c r="AA2301" s="463" t="s">
        <v>8059</v>
      </c>
      <c r="AB2301" s="462" t="s">
        <v>8060</v>
      </c>
      <c r="AC2301" s="462" t="s">
        <v>8061</v>
      </c>
      <c r="AD2301" s="464">
        <v>127.07259999999999</v>
      </c>
      <c r="AE2301" s="465">
        <v>6.1126399999999999</v>
      </c>
      <c r="AF2301" s="86">
        <f>IF(verze!$E$1="CZK",AD2301,IF(verze!$E$1="SK",AE2301,""))</f>
        <v>6.1126399999999999</v>
      </c>
    </row>
    <row r="2302" spans="27:32" ht="15">
      <c r="AA2302" s="463" t="s">
        <v>8062</v>
      </c>
      <c r="AB2302" s="462" t="s">
        <v>8063</v>
      </c>
      <c r="AC2302" s="462" t="s">
        <v>8064</v>
      </c>
      <c r="AD2302" s="464">
        <v>127.07259999999999</v>
      </c>
      <c r="AE2302" s="465">
        <v>6.1126399999999999</v>
      </c>
      <c r="AF2302" s="86">
        <f>IF(verze!$E$1="CZK",AD2302,IF(verze!$E$1="SK",AE2302,""))</f>
        <v>6.1126399999999999</v>
      </c>
    </row>
    <row r="2303" spans="27:32" ht="15">
      <c r="AA2303" s="463" t="s">
        <v>8065</v>
      </c>
      <c r="AB2303" s="462" t="s">
        <v>8066</v>
      </c>
      <c r="AC2303" s="462" t="s">
        <v>8067</v>
      </c>
      <c r="AD2303" s="464">
        <v>127.93984</v>
      </c>
      <c r="AE2303" s="465">
        <v>4.75915</v>
      </c>
      <c r="AF2303" s="86">
        <f>IF(verze!$E$1="CZK",AD2303,IF(verze!$E$1="SK",AE2303,""))</f>
        <v>4.75915</v>
      </c>
    </row>
    <row r="2304" spans="27:32" ht="15">
      <c r="AA2304" s="463" t="s">
        <v>8068</v>
      </c>
      <c r="AB2304" s="462" t="s">
        <v>8069</v>
      </c>
      <c r="AC2304" s="462" t="s">
        <v>8070</v>
      </c>
      <c r="AD2304" s="464">
        <v>140.16605000000001</v>
      </c>
      <c r="AE2304" s="465">
        <v>6.7424900000000001</v>
      </c>
      <c r="AF2304" s="86">
        <f>IF(verze!$E$1="CZK",AD2304,IF(verze!$E$1="SK",AE2304,""))</f>
        <v>6.7424900000000001</v>
      </c>
    </row>
    <row r="2305" spans="27:32" ht="15">
      <c r="AA2305" s="463" t="s">
        <v>8071</v>
      </c>
      <c r="AB2305" s="462" t="s">
        <v>8072</v>
      </c>
      <c r="AC2305" s="462" t="s">
        <v>8073</v>
      </c>
      <c r="AD2305" s="464">
        <v>140.16605000000001</v>
      </c>
      <c r="AE2305" s="465">
        <v>6.7424900000000001</v>
      </c>
      <c r="AF2305" s="86">
        <f>IF(verze!$E$1="CZK",AD2305,IF(verze!$E$1="SK",AE2305,""))</f>
        <v>6.7424900000000001</v>
      </c>
    </row>
    <row r="2306" spans="27:32" ht="15">
      <c r="AA2306" s="463" t="s">
        <v>8074</v>
      </c>
      <c r="AB2306" s="462" t="s">
        <v>8075</v>
      </c>
      <c r="AC2306" s="462" t="s">
        <v>8076</v>
      </c>
      <c r="AD2306" s="464">
        <v>68.437470000000005</v>
      </c>
      <c r="AE2306" s="465">
        <v>0</v>
      </c>
      <c r="AF2306" s="86">
        <f>IF(verze!$E$1="CZK",AD2306,IF(verze!$E$1="SK",AE2306,""))</f>
        <v>0</v>
      </c>
    </row>
    <row r="2307" spans="27:32" ht="15">
      <c r="AA2307" s="463" t="s">
        <v>8077</v>
      </c>
      <c r="AB2307" s="462" t="s">
        <v>8078</v>
      </c>
      <c r="AC2307" s="462" t="s">
        <v>8079</v>
      </c>
      <c r="AD2307" s="464">
        <v>68.437470000000005</v>
      </c>
      <c r="AE2307" s="465">
        <v>0</v>
      </c>
      <c r="AF2307" s="86">
        <f>IF(verze!$E$1="CZK",AD2307,IF(verze!$E$1="SK",AE2307,""))</f>
        <v>0</v>
      </c>
    </row>
    <row r="2308" spans="27:32" ht="15">
      <c r="AA2308" s="463" t="s">
        <v>8080</v>
      </c>
      <c r="AB2308" s="462" t="s">
        <v>8081</v>
      </c>
      <c r="AC2308" s="462" t="s">
        <v>8082</v>
      </c>
      <c r="AD2308" s="464">
        <v>72.653800000000004</v>
      </c>
      <c r="AE2308" s="465">
        <v>0</v>
      </c>
      <c r="AF2308" s="86">
        <f>IF(verze!$E$1="CZK",AD2308,IF(verze!$E$1="SK",AE2308,""))</f>
        <v>0</v>
      </c>
    </row>
    <row r="2309" spans="27:32" ht="15">
      <c r="AA2309" s="463" t="s">
        <v>8083</v>
      </c>
      <c r="AB2309" s="462" t="s">
        <v>8084</v>
      </c>
      <c r="AC2309" s="462" t="s">
        <v>8085</v>
      </c>
      <c r="AD2309" s="464">
        <v>72.653800000000004</v>
      </c>
      <c r="AE2309" s="465">
        <v>0</v>
      </c>
      <c r="AF2309" s="86">
        <f>IF(verze!$E$1="CZK",AD2309,IF(verze!$E$1="SK",AE2309,""))</f>
        <v>0</v>
      </c>
    </row>
    <row r="2310" spans="27:32" ht="15">
      <c r="AA2310" s="463" t="s">
        <v>8086</v>
      </c>
      <c r="AB2310" s="462" t="s">
        <v>8087</v>
      </c>
      <c r="AC2310" s="462" t="s">
        <v>8088</v>
      </c>
      <c r="AD2310" s="464">
        <v>76.867670000000004</v>
      </c>
      <c r="AE2310" s="465">
        <v>0</v>
      </c>
      <c r="AF2310" s="86">
        <f>IF(verze!$E$1="CZK",AD2310,IF(verze!$E$1="SK",AE2310,""))</f>
        <v>0</v>
      </c>
    </row>
    <row r="2311" spans="27:32" ht="15">
      <c r="AA2311" s="463" t="s">
        <v>8089</v>
      </c>
      <c r="AB2311" s="462" t="s">
        <v>8090</v>
      </c>
      <c r="AC2311" s="462" t="s">
        <v>8091</v>
      </c>
      <c r="AD2311" s="464">
        <v>76.867670000000004</v>
      </c>
      <c r="AE2311" s="465">
        <v>0</v>
      </c>
      <c r="AF2311" s="86">
        <f>IF(verze!$E$1="CZK",AD2311,IF(verze!$E$1="SK",AE2311,""))</f>
        <v>0</v>
      </c>
    </row>
    <row r="2312" spans="27:32" ht="15">
      <c r="AA2312" s="463" t="s">
        <v>8092</v>
      </c>
      <c r="AB2312" s="462" t="s">
        <v>8093</v>
      </c>
      <c r="AC2312" s="462" t="s">
        <v>8094</v>
      </c>
      <c r="AD2312" s="464">
        <v>81.086389999999994</v>
      </c>
      <c r="AE2312" s="465">
        <v>0</v>
      </c>
      <c r="AF2312" s="86">
        <f>IF(verze!$E$1="CZK",AD2312,IF(verze!$E$1="SK",AE2312,""))</f>
        <v>0</v>
      </c>
    </row>
    <row r="2313" spans="27:32" ht="15">
      <c r="AA2313" s="463" t="s">
        <v>8095</v>
      </c>
      <c r="AB2313" s="462" t="s">
        <v>8096</v>
      </c>
      <c r="AC2313" s="462" t="s">
        <v>8097</v>
      </c>
      <c r="AD2313" s="464">
        <v>81.086389999999994</v>
      </c>
      <c r="AE2313" s="465">
        <v>0</v>
      </c>
      <c r="AF2313" s="86">
        <f>IF(verze!$E$1="CZK",AD2313,IF(verze!$E$1="SK",AE2313,""))</f>
        <v>0</v>
      </c>
    </row>
    <row r="2314" spans="27:32" ht="15">
      <c r="AA2314" s="463" t="s">
        <v>8098</v>
      </c>
      <c r="AB2314" s="462" t="s">
        <v>8099</v>
      </c>
      <c r="AC2314" s="462" t="s">
        <v>8100</v>
      </c>
      <c r="AD2314" s="464">
        <v>85.305109999999999</v>
      </c>
      <c r="AE2314" s="465">
        <v>0</v>
      </c>
      <c r="AF2314" s="86">
        <f>IF(verze!$E$1="CZK",AD2314,IF(verze!$E$1="SK",AE2314,""))</f>
        <v>0</v>
      </c>
    </row>
    <row r="2315" spans="27:32" ht="15">
      <c r="AA2315" s="463" t="s">
        <v>8101</v>
      </c>
      <c r="AB2315" s="462" t="s">
        <v>8102</v>
      </c>
      <c r="AC2315" s="462" t="s">
        <v>8103</v>
      </c>
      <c r="AD2315" s="464">
        <v>85.305109999999999</v>
      </c>
      <c r="AE2315" s="465">
        <v>0</v>
      </c>
      <c r="AF2315" s="86">
        <f>IF(verze!$E$1="CZK",AD2315,IF(verze!$E$1="SK",AE2315,""))</f>
        <v>0</v>
      </c>
    </row>
    <row r="2316" spans="27:32" ht="15">
      <c r="AA2316" s="463" t="s">
        <v>8104</v>
      </c>
      <c r="AB2316" s="462" t="s">
        <v>8105</v>
      </c>
      <c r="AC2316" s="462" t="s">
        <v>8106</v>
      </c>
      <c r="AD2316" s="464">
        <v>89.523830000000004</v>
      </c>
      <c r="AE2316" s="465">
        <v>0</v>
      </c>
      <c r="AF2316" s="86">
        <f>IF(verze!$E$1="CZK",AD2316,IF(verze!$E$1="SK",AE2316,""))</f>
        <v>0</v>
      </c>
    </row>
    <row r="2317" spans="27:32" ht="15">
      <c r="AA2317" s="463" t="s">
        <v>8104</v>
      </c>
      <c r="AB2317" s="462" t="s">
        <v>8107</v>
      </c>
      <c r="AC2317" s="462" t="s">
        <v>8108</v>
      </c>
      <c r="AD2317" s="464">
        <v>87.142880000000005</v>
      </c>
      <c r="AE2317" s="465">
        <v>3.3542000000000001</v>
      </c>
      <c r="AF2317" s="86">
        <f>IF(verze!$E$1="CZK",AD2317,IF(verze!$E$1="SK",AE2317,""))</f>
        <v>3.3542000000000001</v>
      </c>
    </row>
    <row r="2318" spans="27:32" ht="15">
      <c r="AA2318" s="463" t="s">
        <v>8109</v>
      </c>
      <c r="AB2318" s="462" t="s">
        <v>8110</v>
      </c>
      <c r="AC2318" s="462" t="s">
        <v>8111</v>
      </c>
      <c r="AD2318" s="464">
        <v>89.523830000000004</v>
      </c>
      <c r="AE2318" s="465">
        <v>0</v>
      </c>
      <c r="AF2318" s="86">
        <f>IF(verze!$E$1="CZK",AD2318,IF(verze!$E$1="SK",AE2318,""))</f>
        <v>0</v>
      </c>
    </row>
    <row r="2319" spans="27:32" ht="15">
      <c r="AA2319" s="463" t="s">
        <v>8109</v>
      </c>
      <c r="AB2319" s="462" t="s">
        <v>8112</v>
      </c>
      <c r="AC2319" s="462" t="s">
        <v>8113</v>
      </c>
      <c r="AD2319" s="464">
        <v>87.142880000000005</v>
      </c>
      <c r="AE2319" s="465">
        <v>3.3542000000000001</v>
      </c>
      <c r="AF2319" s="86">
        <f>IF(verze!$E$1="CZK",AD2319,IF(verze!$E$1="SK",AE2319,""))</f>
        <v>3.3542000000000001</v>
      </c>
    </row>
    <row r="2320" spans="27:32" ht="15">
      <c r="AA2320" s="463" t="s">
        <v>8114</v>
      </c>
      <c r="AB2320" s="462" t="s">
        <v>8115</v>
      </c>
      <c r="AC2320" s="462" t="s">
        <v>8116</v>
      </c>
      <c r="AD2320" s="464">
        <v>114.45811999999999</v>
      </c>
      <c r="AE2320" s="465">
        <v>5.5058400000000001</v>
      </c>
      <c r="AF2320" s="86">
        <f>IF(verze!$E$1="CZK",AD2320,IF(verze!$E$1="SK",AE2320,""))</f>
        <v>5.5058400000000001</v>
      </c>
    </row>
    <row r="2321" spans="27:32" ht="15">
      <c r="AA2321" s="463" t="s">
        <v>8117</v>
      </c>
      <c r="AB2321" s="462" t="s">
        <v>8118</v>
      </c>
      <c r="AC2321" s="462" t="s">
        <v>8119</v>
      </c>
      <c r="AD2321" s="464">
        <v>114.45811999999999</v>
      </c>
      <c r="AE2321" s="465">
        <v>5.5058400000000001</v>
      </c>
      <c r="AF2321" s="86">
        <f>IF(verze!$E$1="CZK",AD2321,IF(verze!$E$1="SK",AE2321,""))</f>
        <v>5.5058400000000001</v>
      </c>
    </row>
    <row r="2322" spans="27:32" ht="15">
      <c r="AA2322" s="463" t="s">
        <v>8120</v>
      </c>
      <c r="AB2322" s="462" t="s">
        <v>8121</v>
      </c>
      <c r="AC2322" s="462" t="s">
        <v>8122</v>
      </c>
      <c r="AD2322" s="464">
        <v>118.82595000000001</v>
      </c>
      <c r="AE2322" s="465">
        <v>5.7159700000000004</v>
      </c>
      <c r="AF2322" s="86">
        <f>IF(verze!$E$1="CZK",AD2322,IF(verze!$E$1="SK",AE2322,""))</f>
        <v>5.7159700000000004</v>
      </c>
    </row>
    <row r="2323" spans="27:32" ht="15">
      <c r="AA2323" s="463" t="s">
        <v>8123</v>
      </c>
      <c r="AB2323" s="462" t="s">
        <v>8124</v>
      </c>
      <c r="AC2323" s="462" t="s">
        <v>8125</v>
      </c>
      <c r="AD2323" s="464">
        <v>118.82595000000001</v>
      </c>
      <c r="AE2323" s="465">
        <v>5.7159700000000004</v>
      </c>
      <c r="AF2323" s="86">
        <f>IF(verze!$E$1="CZK",AD2323,IF(verze!$E$1="SK",AE2323,""))</f>
        <v>5.7159700000000004</v>
      </c>
    </row>
    <row r="2324" spans="27:32" ht="15">
      <c r="AA2324" s="463" t="s">
        <v>8126</v>
      </c>
      <c r="AB2324" s="462" t="s">
        <v>8127</v>
      </c>
      <c r="AC2324" s="462" t="s">
        <v>8128</v>
      </c>
      <c r="AD2324" s="464">
        <v>123.19377</v>
      </c>
      <c r="AE2324" s="465">
        <v>5.9260700000000002</v>
      </c>
      <c r="AF2324" s="86">
        <f>IF(verze!$E$1="CZK",AD2324,IF(verze!$E$1="SK",AE2324,""))</f>
        <v>5.9260700000000002</v>
      </c>
    </row>
    <row r="2325" spans="27:32" ht="15">
      <c r="AA2325" s="463" t="s">
        <v>8129</v>
      </c>
      <c r="AB2325" s="462" t="s">
        <v>8130</v>
      </c>
      <c r="AC2325" s="462" t="s">
        <v>8131</v>
      </c>
      <c r="AD2325" s="464">
        <v>123.19377</v>
      </c>
      <c r="AE2325" s="465">
        <v>5.9260700000000002</v>
      </c>
      <c r="AF2325" s="86">
        <f>IF(verze!$E$1="CZK",AD2325,IF(verze!$E$1="SK",AE2325,""))</f>
        <v>5.9260700000000002</v>
      </c>
    </row>
    <row r="2326" spans="27:32" ht="15">
      <c r="AA2326" s="463" t="s">
        <v>8132</v>
      </c>
      <c r="AB2326" s="462" t="s">
        <v>8133</v>
      </c>
      <c r="AC2326" s="462" t="s">
        <v>8134</v>
      </c>
      <c r="AD2326" s="464">
        <v>127.55651</v>
      </c>
      <c r="AE2326" s="465">
        <v>6.1359300000000001</v>
      </c>
      <c r="AF2326" s="86">
        <f>IF(verze!$E$1="CZK",AD2326,IF(verze!$E$1="SK",AE2326,""))</f>
        <v>6.1359300000000001</v>
      </c>
    </row>
    <row r="2327" spans="27:32" ht="15">
      <c r="AA2327" s="463" t="s">
        <v>8135</v>
      </c>
      <c r="AB2327" s="462" t="s">
        <v>8136</v>
      </c>
      <c r="AC2327" s="462" t="s">
        <v>8137</v>
      </c>
      <c r="AD2327" s="464">
        <v>127.55651</v>
      </c>
      <c r="AE2327" s="465">
        <v>6.1359300000000001</v>
      </c>
      <c r="AF2327" s="86">
        <f>IF(verze!$E$1="CZK",AD2327,IF(verze!$E$1="SK",AE2327,""))</f>
        <v>6.1359300000000001</v>
      </c>
    </row>
    <row r="2328" spans="27:32" ht="15">
      <c r="AA2328" s="463" t="s">
        <v>8138</v>
      </c>
      <c r="AB2328" s="462" t="s">
        <v>8139</v>
      </c>
      <c r="AC2328" s="462" t="s">
        <v>8140</v>
      </c>
      <c r="AD2328" s="464">
        <v>131.91419999999999</v>
      </c>
      <c r="AE2328" s="465">
        <v>6.3455500000000002</v>
      </c>
      <c r="AF2328" s="86">
        <f>IF(verze!$E$1="CZK",AD2328,IF(verze!$E$1="SK",AE2328,""))</f>
        <v>6.3455500000000002</v>
      </c>
    </row>
    <row r="2329" spans="27:32" ht="15">
      <c r="AA2329" s="463" t="s">
        <v>8141</v>
      </c>
      <c r="AB2329" s="462" t="s">
        <v>8142</v>
      </c>
      <c r="AC2329" s="462" t="s">
        <v>8143</v>
      </c>
      <c r="AD2329" s="464">
        <v>131.91419999999999</v>
      </c>
      <c r="AE2329" s="465">
        <v>6.3455500000000002</v>
      </c>
      <c r="AF2329" s="86">
        <f>IF(verze!$E$1="CZK",AD2329,IF(verze!$E$1="SK",AE2329,""))</f>
        <v>6.3455500000000002</v>
      </c>
    </row>
    <row r="2330" spans="27:32" ht="15">
      <c r="AA2330" s="463" t="s">
        <v>8144</v>
      </c>
      <c r="AB2330" s="462" t="s">
        <v>8145</v>
      </c>
      <c r="AC2330" s="462" t="s">
        <v>8146</v>
      </c>
      <c r="AD2330" s="464">
        <v>136.28214</v>
      </c>
      <c r="AE2330" s="465">
        <v>6.5556799999999997</v>
      </c>
      <c r="AF2330" s="86">
        <f>IF(verze!$E$1="CZK",AD2330,IF(verze!$E$1="SK",AE2330,""))</f>
        <v>6.5556799999999997</v>
      </c>
    </row>
    <row r="2331" spans="27:32" ht="15">
      <c r="AA2331" s="463" t="s">
        <v>8147</v>
      </c>
      <c r="AB2331" s="462" t="s">
        <v>8148</v>
      </c>
      <c r="AC2331" s="462" t="s">
        <v>8149</v>
      </c>
      <c r="AD2331" s="464">
        <v>136.28214</v>
      </c>
      <c r="AE2331" s="465">
        <v>6.5556799999999997</v>
      </c>
      <c r="AF2331" s="86">
        <f>IF(verze!$E$1="CZK",AD2331,IF(verze!$E$1="SK",AE2331,""))</f>
        <v>6.5556799999999997</v>
      </c>
    </row>
    <row r="2332" spans="27:32" ht="15">
      <c r="AA2332" s="463" t="s">
        <v>8150</v>
      </c>
      <c r="AB2332" s="462" t="s">
        <v>8151</v>
      </c>
      <c r="AC2332" s="462" t="s">
        <v>8152</v>
      </c>
      <c r="AD2332" s="464">
        <v>523.41090999999994</v>
      </c>
      <c r="AE2332" s="465">
        <v>23.978999999999999</v>
      </c>
      <c r="AF2332" s="86">
        <f>IF(verze!$E$1="CZK",AD2332,IF(verze!$E$1="SK",AE2332,""))</f>
        <v>23.978999999999999</v>
      </c>
    </row>
    <row r="2333" spans="27:32" ht="15">
      <c r="AA2333" s="463" t="s">
        <v>8153</v>
      </c>
      <c r="AB2333" s="462" t="s">
        <v>8154</v>
      </c>
      <c r="AC2333" s="462" t="s">
        <v>8155</v>
      </c>
      <c r="AD2333" s="464">
        <v>523.41090999999994</v>
      </c>
      <c r="AE2333" s="465">
        <v>23.978999999999999</v>
      </c>
      <c r="AF2333" s="86">
        <f>IF(verze!$E$1="CZK",AD2333,IF(verze!$E$1="SK",AE2333,""))</f>
        <v>23.978999999999999</v>
      </c>
    </row>
    <row r="2334" spans="27:32" ht="15">
      <c r="AA2334" s="463" t="s">
        <v>8156</v>
      </c>
      <c r="AB2334" s="462" t="s">
        <v>8157</v>
      </c>
      <c r="AC2334" s="462" t="s">
        <v>8158</v>
      </c>
      <c r="AD2334" s="464">
        <v>276.64454000000001</v>
      </c>
      <c r="AE2334" s="465">
        <v>12.6739</v>
      </c>
      <c r="AF2334" s="86">
        <f>IF(verze!$E$1="CZK",AD2334,IF(verze!$E$1="SK",AE2334,""))</f>
        <v>12.6739</v>
      </c>
    </row>
    <row r="2335" spans="27:32" ht="15">
      <c r="AA2335" s="463" t="s">
        <v>8159</v>
      </c>
      <c r="AB2335" s="462" t="s">
        <v>8160</v>
      </c>
      <c r="AC2335" s="462" t="s">
        <v>8161</v>
      </c>
      <c r="AD2335" s="464">
        <v>281.18938000000003</v>
      </c>
      <c r="AE2335" s="465">
        <v>12.88212</v>
      </c>
      <c r="AF2335" s="86">
        <f>IF(verze!$E$1="CZK",AD2335,IF(verze!$E$1="SK",AE2335,""))</f>
        <v>12.88212</v>
      </c>
    </row>
    <row r="2336" spans="27:32" ht="15">
      <c r="AA2336" s="463" t="s">
        <v>8162</v>
      </c>
      <c r="AB2336" s="462" t="s">
        <v>8163</v>
      </c>
      <c r="AC2336" s="462" t="s">
        <v>8164</v>
      </c>
      <c r="AD2336" s="464">
        <v>276.64454000000001</v>
      </c>
      <c r="AE2336" s="465">
        <v>12.6739</v>
      </c>
      <c r="AF2336" s="86">
        <f>IF(verze!$E$1="CZK",AD2336,IF(verze!$E$1="SK",AE2336,""))</f>
        <v>12.6739</v>
      </c>
    </row>
    <row r="2337" spans="27:32" ht="15">
      <c r="AA2337" s="463" t="s">
        <v>8165</v>
      </c>
      <c r="AB2337" s="462" t="s">
        <v>8166</v>
      </c>
      <c r="AC2337" s="462" t="s">
        <v>8167</v>
      </c>
      <c r="AD2337" s="464">
        <v>281.18938000000003</v>
      </c>
      <c r="AE2337" s="465">
        <v>12.88212</v>
      </c>
      <c r="AF2337" s="86">
        <f>IF(verze!$E$1="CZK",AD2337,IF(verze!$E$1="SK",AE2337,""))</f>
        <v>12.88212</v>
      </c>
    </row>
    <row r="2338" spans="27:32" ht="15">
      <c r="AA2338" s="463" t="s">
        <v>8168</v>
      </c>
      <c r="AB2338" s="462" t="s">
        <v>8169</v>
      </c>
      <c r="AC2338" s="462" t="s">
        <v>8170</v>
      </c>
      <c r="AD2338" s="464">
        <v>147.22649999999999</v>
      </c>
      <c r="AE2338" s="465">
        <v>6.7448800000000002</v>
      </c>
      <c r="AF2338" s="86">
        <f>IF(verze!$E$1="CZK",AD2338,IF(verze!$E$1="SK",AE2338,""))</f>
        <v>6.7448800000000002</v>
      </c>
    </row>
    <row r="2339" spans="27:32" ht="15">
      <c r="AA2339" s="463" t="s">
        <v>8171</v>
      </c>
      <c r="AB2339" s="462" t="s">
        <v>8172</v>
      </c>
      <c r="AC2339" s="462" t="s">
        <v>8173</v>
      </c>
      <c r="AD2339" s="464">
        <v>140.82821999999999</v>
      </c>
      <c r="AE2339" s="465">
        <v>6.4517600000000002</v>
      </c>
      <c r="AF2339" s="86">
        <f>IF(verze!$E$1="CZK",AD2339,IF(verze!$E$1="SK",AE2339,""))</f>
        <v>6.4517600000000002</v>
      </c>
    </row>
    <row r="2340" spans="27:32" ht="15">
      <c r="AA2340" s="463" t="s">
        <v>8174</v>
      </c>
      <c r="AB2340" s="462" t="s">
        <v>8175</v>
      </c>
      <c r="AC2340" s="462" t="s">
        <v>8176</v>
      </c>
      <c r="AD2340" s="464">
        <v>384.59931</v>
      </c>
      <c r="AE2340" s="465">
        <v>17.61964</v>
      </c>
      <c r="AF2340" s="86">
        <f>IF(verze!$E$1="CZK",AD2340,IF(verze!$E$1="SK",AE2340,""))</f>
        <v>17.61964</v>
      </c>
    </row>
    <row r="2341" spans="27:32" ht="15">
      <c r="AA2341" s="463" t="s">
        <v>8177</v>
      </c>
      <c r="AB2341" s="462" t="s">
        <v>8178</v>
      </c>
      <c r="AC2341" s="462" t="s">
        <v>8179</v>
      </c>
      <c r="AD2341" s="464">
        <v>441.65345000000002</v>
      </c>
      <c r="AE2341" s="465">
        <v>20.233440000000002</v>
      </c>
      <c r="AF2341" s="86">
        <f>IF(verze!$E$1="CZK",AD2341,IF(verze!$E$1="SK",AE2341,""))</f>
        <v>20.233440000000002</v>
      </c>
    </row>
    <row r="2342" spans="27:32" ht="15">
      <c r="AA2342" s="463" t="s">
        <v>8180</v>
      </c>
      <c r="AB2342" s="462" t="s">
        <v>8181</v>
      </c>
      <c r="AC2342" s="462" t="s">
        <v>8182</v>
      </c>
      <c r="AD2342" s="464">
        <v>465.53007000000002</v>
      </c>
      <c r="AE2342" s="465">
        <v>21.32732</v>
      </c>
      <c r="AF2342" s="86">
        <f>IF(verze!$E$1="CZK",AD2342,IF(verze!$E$1="SK",AE2342,""))</f>
        <v>21.32732</v>
      </c>
    </row>
    <row r="2343" spans="27:32" ht="15">
      <c r="AA2343" s="463" t="s">
        <v>8183</v>
      </c>
      <c r="AB2343" s="462" t="s">
        <v>8184</v>
      </c>
      <c r="AC2343" s="462" t="s">
        <v>8185</v>
      </c>
      <c r="AD2343" s="464">
        <v>540.19614000000001</v>
      </c>
      <c r="AE2343" s="465">
        <v>24.747979999999998</v>
      </c>
      <c r="AF2343" s="86">
        <f>IF(verze!$E$1="CZK",AD2343,IF(verze!$E$1="SK",AE2343,""))</f>
        <v>24.747979999999998</v>
      </c>
    </row>
    <row r="2344" spans="27:32" ht="15">
      <c r="AA2344" s="463" t="s">
        <v>8186</v>
      </c>
      <c r="AB2344" s="462" t="s">
        <v>8187</v>
      </c>
      <c r="AC2344" s="462" t="s">
        <v>8188</v>
      </c>
      <c r="AD2344" s="464">
        <v>559.94317000000001</v>
      </c>
      <c r="AE2344" s="465">
        <v>25.652660000000001</v>
      </c>
      <c r="AF2344" s="86">
        <f>IF(verze!$E$1="CZK",AD2344,IF(verze!$E$1="SK",AE2344,""))</f>
        <v>25.652660000000001</v>
      </c>
    </row>
    <row r="2345" spans="27:32" ht="15">
      <c r="AA2345" s="463" t="s">
        <v>8189</v>
      </c>
      <c r="AB2345" s="462" t="s">
        <v>8190</v>
      </c>
      <c r="AC2345" s="462" t="s">
        <v>8191</v>
      </c>
      <c r="AD2345" s="464">
        <v>569.12166999999999</v>
      </c>
      <c r="AE2345" s="465">
        <v>26.073160000000001</v>
      </c>
      <c r="AF2345" s="86">
        <f>IF(verze!$E$1="CZK",AD2345,IF(verze!$E$1="SK",AE2345,""))</f>
        <v>26.073160000000001</v>
      </c>
    </row>
    <row r="2346" spans="27:32" ht="15">
      <c r="AA2346" s="463" t="s">
        <v>8192</v>
      </c>
      <c r="AB2346" s="462" t="s">
        <v>8193</v>
      </c>
      <c r="AC2346" s="462" t="s">
        <v>8194</v>
      </c>
      <c r="AD2346" s="464">
        <v>797.12693999999999</v>
      </c>
      <c r="AE2346" s="465">
        <v>36.518740000000001</v>
      </c>
      <c r="AF2346" s="86">
        <f>IF(verze!$E$1="CZK",AD2346,IF(verze!$E$1="SK",AE2346,""))</f>
        <v>36.518740000000001</v>
      </c>
    </row>
    <row r="2347" spans="27:32" ht="15">
      <c r="AA2347" s="463" t="s">
        <v>8195</v>
      </c>
      <c r="AB2347" s="462" t="s">
        <v>8196</v>
      </c>
      <c r="AC2347" s="462" t="s">
        <v>8197</v>
      </c>
      <c r="AD2347" s="464">
        <v>940.14599999999996</v>
      </c>
      <c r="AE2347" s="465">
        <v>43.070880000000002</v>
      </c>
      <c r="AF2347" s="86">
        <f>IF(verze!$E$1="CZK",AD2347,IF(verze!$E$1="SK",AE2347,""))</f>
        <v>43.070880000000002</v>
      </c>
    </row>
    <row r="2348" spans="27:32" ht="15">
      <c r="AA2348" s="463" t="s">
        <v>8198</v>
      </c>
      <c r="AB2348" s="462" t="s">
        <v>8199</v>
      </c>
      <c r="AC2348" s="462" t="s">
        <v>8200</v>
      </c>
      <c r="AD2348" s="464">
        <v>1044.51971</v>
      </c>
      <c r="AE2348" s="465">
        <v>47.852539999999998</v>
      </c>
      <c r="AF2348" s="86">
        <f>IF(verze!$E$1="CZK",AD2348,IF(verze!$E$1="SK",AE2348,""))</f>
        <v>47.852539999999998</v>
      </c>
    </row>
    <row r="2349" spans="27:32" ht="15">
      <c r="AA2349" s="463" t="s">
        <v>8201</v>
      </c>
      <c r="AB2349" s="462" t="s">
        <v>8202</v>
      </c>
      <c r="AC2349" s="462" t="s">
        <v>8203</v>
      </c>
      <c r="AD2349" s="464">
        <v>1253.2746999999999</v>
      </c>
      <c r="AE2349" s="465">
        <v>57.416220000000003</v>
      </c>
      <c r="AF2349" s="86">
        <f>IF(verze!$E$1="CZK",AD2349,IF(verze!$E$1="SK",AE2349,""))</f>
        <v>57.416220000000003</v>
      </c>
    </row>
    <row r="2350" spans="27:32" ht="15">
      <c r="AA2350" s="463" t="s">
        <v>8204</v>
      </c>
      <c r="AB2350" s="462" t="s">
        <v>8205</v>
      </c>
      <c r="AC2350" s="462" t="s">
        <v>8206</v>
      </c>
      <c r="AD2350" s="464">
        <v>390.69358999999997</v>
      </c>
      <c r="AE2350" s="465">
        <v>17.89884</v>
      </c>
      <c r="AF2350" s="86">
        <f>IF(verze!$E$1="CZK",AD2350,IF(verze!$E$1="SK",AE2350,""))</f>
        <v>17.89884</v>
      </c>
    </row>
    <row r="2351" spans="27:32" ht="15">
      <c r="AA2351" s="463" t="s">
        <v>8207</v>
      </c>
      <c r="AB2351" s="462" t="s">
        <v>8208</v>
      </c>
      <c r="AC2351" s="462" t="s">
        <v>8209</v>
      </c>
      <c r="AD2351" s="464">
        <v>411.81594000000001</v>
      </c>
      <c r="AE2351" s="465">
        <v>18.866520000000001</v>
      </c>
      <c r="AF2351" s="86">
        <f>IF(verze!$E$1="CZK",AD2351,IF(verze!$E$1="SK",AE2351,""))</f>
        <v>18.866520000000001</v>
      </c>
    </row>
    <row r="2352" spans="27:32" ht="15">
      <c r="AA2352" s="463" t="s">
        <v>8210</v>
      </c>
      <c r="AB2352" s="462" t="s">
        <v>8211</v>
      </c>
      <c r="AC2352" s="462" t="s">
        <v>8212</v>
      </c>
      <c r="AD2352" s="464">
        <v>477.86320999999998</v>
      </c>
      <c r="AE2352" s="465">
        <v>21.892340000000001</v>
      </c>
      <c r="AF2352" s="86">
        <f>IF(verze!$E$1="CZK",AD2352,IF(verze!$E$1="SK",AE2352,""))</f>
        <v>21.892340000000001</v>
      </c>
    </row>
    <row r="2353" spans="27:32" ht="15">
      <c r="AA2353" s="463" t="s">
        <v>8213</v>
      </c>
      <c r="AB2353" s="462" t="s">
        <v>8214</v>
      </c>
      <c r="AC2353" s="462" t="s">
        <v>8215</v>
      </c>
      <c r="AD2353" s="464">
        <v>495.33418</v>
      </c>
      <c r="AE2353" s="465">
        <v>22.692720000000001</v>
      </c>
      <c r="AF2353" s="86">
        <f>IF(verze!$E$1="CZK",AD2353,IF(verze!$E$1="SK",AE2353,""))</f>
        <v>22.692720000000001</v>
      </c>
    </row>
    <row r="2354" spans="27:32" ht="15">
      <c r="AA2354" s="463" t="s">
        <v>8216</v>
      </c>
      <c r="AB2354" s="462" t="s">
        <v>8217</v>
      </c>
      <c r="AC2354" s="462" t="s">
        <v>8218</v>
      </c>
      <c r="AD2354" s="464">
        <v>503.45625000000001</v>
      </c>
      <c r="AE2354" s="465">
        <v>23.064820000000001</v>
      </c>
      <c r="AF2354" s="86">
        <f>IF(verze!$E$1="CZK",AD2354,IF(verze!$E$1="SK",AE2354,""))</f>
        <v>23.064820000000001</v>
      </c>
    </row>
    <row r="2355" spans="27:32" ht="15">
      <c r="AA2355" s="463" t="s">
        <v>8219</v>
      </c>
      <c r="AB2355" s="462" t="s">
        <v>8220</v>
      </c>
      <c r="AC2355" s="462" t="s">
        <v>8221</v>
      </c>
      <c r="AD2355" s="464">
        <v>705.15305000000001</v>
      </c>
      <c r="AE2355" s="465">
        <v>32.305140000000002</v>
      </c>
      <c r="AF2355" s="86">
        <f>IF(verze!$E$1="CZK",AD2355,IF(verze!$E$1="SK",AE2355,""))</f>
        <v>32.305140000000002</v>
      </c>
    </row>
    <row r="2356" spans="27:32" ht="15">
      <c r="AA2356" s="463" t="s">
        <v>8222</v>
      </c>
      <c r="AB2356" s="462" t="s">
        <v>8223</v>
      </c>
      <c r="AC2356" s="462" t="s">
        <v>8224</v>
      </c>
      <c r="AD2356" s="464">
        <v>923.99832000000004</v>
      </c>
      <c r="AE2356" s="465">
        <v>42.331099999999999</v>
      </c>
      <c r="AF2356" s="86">
        <f>IF(verze!$E$1="CZK",AD2356,IF(verze!$E$1="SK",AE2356,""))</f>
        <v>42.331099999999999</v>
      </c>
    </row>
    <row r="2357" spans="27:32" ht="15">
      <c r="AA2357" s="463" t="s">
        <v>8225</v>
      </c>
      <c r="AB2357" s="462" t="s">
        <v>8226</v>
      </c>
      <c r="AC2357" s="462" t="s">
        <v>8227</v>
      </c>
      <c r="AD2357" s="464">
        <v>1108.66535</v>
      </c>
      <c r="AE2357" s="465">
        <v>50.791240000000002</v>
      </c>
      <c r="AF2357" s="86">
        <f>IF(verze!$E$1="CZK",AD2357,IF(verze!$E$1="SK",AE2357,""))</f>
        <v>50.791240000000002</v>
      </c>
    </row>
    <row r="2358" spans="27:32" ht="15">
      <c r="AA2358" s="463" t="s">
        <v>8228</v>
      </c>
      <c r="AB2358" s="462" t="s">
        <v>8229</v>
      </c>
      <c r="AC2358" s="462" t="s">
        <v>8230</v>
      </c>
      <c r="AD2358" s="464">
        <v>295.84674999999999</v>
      </c>
      <c r="AE2358" s="465">
        <v>13.55362</v>
      </c>
      <c r="AF2358" s="86">
        <f>IF(verze!$E$1="CZK",AD2358,IF(verze!$E$1="SK",AE2358,""))</f>
        <v>13.55362</v>
      </c>
    </row>
    <row r="2359" spans="27:32" ht="15">
      <c r="AA2359" s="463" t="s">
        <v>8231</v>
      </c>
      <c r="AB2359" s="462" t="s">
        <v>8232</v>
      </c>
      <c r="AC2359" s="462" t="s">
        <v>8233</v>
      </c>
      <c r="AD2359" s="464">
        <v>339.73372999999998</v>
      </c>
      <c r="AE2359" s="465">
        <v>15.5642</v>
      </c>
      <c r="AF2359" s="86">
        <f>IF(verze!$E$1="CZK",AD2359,IF(verze!$E$1="SK",AE2359,""))</f>
        <v>15.5642</v>
      </c>
    </row>
    <row r="2360" spans="27:32" ht="15">
      <c r="AA2360" s="463" t="s">
        <v>8234</v>
      </c>
      <c r="AB2360" s="462" t="s">
        <v>8235</v>
      </c>
      <c r="AC2360" s="462" t="s">
        <v>8236</v>
      </c>
      <c r="AD2360" s="464">
        <v>358.10181999999998</v>
      </c>
      <c r="AE2360" s="465">
        <v>16.4057</v>
      </c>
      <c r="AF2360" s="86">
        <f>IF(verze!$E$1="CZK",AD2360,IF(verze!$E$1="SK",AE2360,""))</f>
        <v>16.4057</v>
      </c>
    </row>
    <row r="2361" spans="27:32" ht="15">
      <c r="AA2361" s="463" t="s">
        <v>8237</v>
      </c>
      <c r="AB2361" s="462" t="s">
        <v>8238</v>
      </c>
      <c r="AC2361" s="462" t="s">
        <v>8239</v>
      </c>
      <c r="AD2361" s="464">
        <v>415.53399000000002</v>
      </c>
      <c r="AE2361" s="465">
        <v>19.036840000000002</v>
      </c>
      <c r="AF2361" s="86">
        <f>IF(verze!$E$1="CZK",AD2361,IF(verze!$E$1="SK",AE2361,""))</f>
        <v>19.036840000000002</v>
      </c>
    </row>
    <row r="2362" spans="27:32" ht="15">
      <c r="AA2362" s="463" t="s">
        <v>8240</v>
      </c>
      <c r="AB2362" s="462" t="s">
        <v>8241</v>
      </c>
      <c r="AC2362" s="462" t="s">
        <v>8242</v>
      </c>
      <c r="AD2362" s="464">
        <v>430.72521999999998</v>
      </c>
      <c r="AE2362" s="465">
        <v>19.732800000000001</v>
      </c>
      <c r="AF2362" s="86">
        <f>IF(verze!$E$1="CZK",AD2362,IF(verze!$E$1="SK",AE2362,""))</f>
        <v>19.732800000000001</v>
      </c>
    </row>
    <row r="2363" spans="27:32" ht="15">
      <c r="AA2363" s="463" t="s">
        <v>8243</v>
      </c>
      <c r="AB2363" s="462" t="s">
        <v>8244</v>
      </c>
      <c r="AC2363" s="462" t="s">
        <v>8245</v>
      </c>
      <c r="AD2363" s="464">
        <v>437.78703000000002</v>
      </c>
      <c r="AE2363" s="465">
        <v>20.056319999999999</v>
      </c>
      <c r="AF2363" s="86">
        <f>IF(verze!$E$1="CZK",AD2363,IF(verze!$E$1="SK",AE2363,""))</f>
        <v>20.056319999999999</v>
      </c>
    </row>
    <row r="2364" spans="27:32" ht="15">
      <c r="AA2364" s="463" t="s">
        <v>8246</v>
      </c>
      <c r="AB2364" s="462" t="s">
        <v>8247</v>
      </c>
      <c r="AC2364" s="462" t="s">
        <v>8248</v>
      </c>
      <c r="AD2364" s="464">
        <v>613.17543999999998</v>
      </c>
      <c r="AE2364" s="465">
        <v>28.091380000000001</v>
      </c>
      <c r="AF2364" s="86">
        <f>IF(verze!$E$1="CZK",AD2364,IF(verze!$E$1="SK",AE2364,""))</f>
        <v>28.091380000000001</v>
      </c>
    </row>
    <row r="2365" spans="27:32" ht="15">
      <c r="AA2365" s="463" t="s">
        <v>8249</v>
      </c>
      <c r="AB2365" s="462" t="s">
        <v>8250</v>
      </c>
      <c r="AC2365" s="462" t="s">
        <v>8251</v>
      </c>
      <c r="AD2365" s="464">
        <v>723.19118000000003</v>
      </c>
      <c r="AE2365" s="465">
        <v>33.131520000000002</v>
      </c>
      <c r="AF2365" s="86">
        <f>IF(verze!$E$1="CZK",AD2365,IF(verze!$E$1="SK",AE2365,""))</f>
        <v>33.131520000000002</v>
      </c>
    </row>
    <row r="2366" spans="27:32" ht="15">
      <c r="AA2366" s="463" t="s">
        <v>8252</v>
      </c>
      <c r="AB2366" s="462" t="s">
        <v>8253</v>
      </c>
      <c r="AC2366" s="462" t="s">
        <v>8254</v>
      </c>
      <c r="AD2366" s="464">
        <v>803.47704999999996</v>
      </c>
      <c r="AE2366" s="465">
        <v>36.809660000000001</v>
      </c>
      <c r="AF2366" s="86">
        <f>IF(verze!$E$1="CZK",AD2366,IF(verze!$E$1="SK",AE2366,""))</f>
        <v>36.809660000000001</v>
      </c>
    </row>
    <row r="2367" spans="27:32" ht="15">
      <c r="AA2367" s="463" t="s">
        <v>8255</v>
      </c>
      <c r="AB2367" s="462" t="s">
        <v>8256</v>
      </c>
      <c r="AC2367" s="462" t="s">
        <v>8257</v>
      </c>
      <c r="AD2367" s="464">
        <v>964.05601000000001</v>
      </c>
      <c r="AE2367" s="465">
        <v>44.166260000000001</v>
      </c>
      <c r="AF2367" s="86">
        <f>IF(verze!$E$1="CZK",AD2367,IF(verze!$E$1="SK",AE2367,""))</f>
        <v>44.166260000000001</v>
      </c>
    </row>
    <row r="2368" spans="27:32" ht="15">
      <c r="AA2368" s="463" t="s">
        <v>8258</v>
      </c>
      <c r="AB2368" s="462" t="s">
        <v>8259</v>
      </c>
      <c r="AC2368" s="462" t="s">
        <v>8260</v>
      </c>
      <c r="AD2368" s="464">
        <v>595.82306000000005</v>
      </c>
      <c r="AE2368" s="465">
        <v>27.296420000000001</v>
      </c>
      <c r="AF2368" s="86">
        <f>IF(verze!$E$1="CZK",AD2368,IF(verze!$E$1="SK",AE2368,""))</f>
        <v>27.296420000000001</v>
      </c>
    </row>
    <row r="2369" spans="27:32" ht="15">
      <c r="AA2369" s="463" t="s">
        <v>8261</v>
      </c>
      <c r="AB2369" s="462" t="s">
        <v>8262</v>
      </c>
      <c r="AC2369" s="462" t="s">
        <v>8263</v>
      </c>
      <c r="AD2369" s="464">
        <v>647.17583999999999</v>
      </c>
      <c r="AE2369" s="465">
        <v>29.649039999999999</v>
      </c>
      <c r="AF2369" s="86">
        <f>IF(verze!$E$1="CZK",AD2369,IF(verze!$E$1="SK",AE2369,""))</f>
        <v>29.649039999999999</v>
      </c>
    </row>
    <row r="2370" spans="27:32" ht="15">
      <c r="AA2370" s="463" t="s">
        <v>8264</v>
      </c>
      <c r="AB2370" s="462" t="s">
        <v>8265</v>
      </c>
      <c r="AC2370" s="462" t="s">
        <v>8266</v>
      </c>
      <c r="AD2370" s="464">
        <v>760.20911000000001</v>
      </c>
      <c r="AE2370" s="465">
        <v>34.827440000000003</v>
      </c>
      <c r="AF2370" s="86">
        <f>IF(verze!$E$1="CZK",AD2370,IF(verze!$E$1="SK",AE2370,""))</f>
        <v>34.827440000000003</v>
      </c>
    </row>
    <row r="2371" spans="27:32" ht="15">
      <c r="AA2371" s="463" t="s">
        <v>8267</v>
      </c>
      <c r="AB2371" s="462" t="s">
        <v>8268</v>
      </c>
      <c r="AC2371" s="462" t="s">
        <v>8269</v>
      </c>
      <c r="AD2371" s="464">
        <v>909.11111000000005</v>
      </c>
      <c r="AE2371" s="465">
        <v>41.649059999999999</v>
      </c>
      <c r="AF2371" s="86">
        <f>IF(verze!$E$1="CZK",AD2371,IF(verze!$E$1="SK",AE2371,""))</f>
        <v>41.649059999999999</v>
      </c>
    </row>
    <row r="2372" spans="27:32" ht="15">
      <c r="AA2372" s="463" t="s">
        <v>8270</v>
      </c>
      <c r="AB2372" s="462" t="s">
        <v>8271</v>
      </c>
      <c r="AC2372" s="462" t="s">
        <v>8272</v>
      </c>
      <c r="AD2372" s="464">
        <v>1021.63761</v>
      </c>
      <c r="AE2372" s="465">
        <v>49.144449999999999</v>
      </c>
      <c r="AF2372" s="86">
        <f>IF(verze!$E$1="CZK",AD2372,IF(verze!$E$1="SK",AE2372,""))</f>
        <v>49.144449999999999</v>
      </c>
    </row>
    <row r="2373" spans="27:32" ht="15">
      <c r="AA2373" s="463" t="s">
        <v>8273</v>
      </c>
      <c r="AB2373" s="462" t="s">
        <v>8274</v>
      </c>
      <c r="AC2373" s="462" t="s">
        <v>8275</v>
      </c>
      <c r="AD2373" s="464">
        <v>290.56889999999999</v>
      </c>
      <c r="AE2373" s="465">
        <v>13.67554</v>
      </c>
      <c r="AF2373" s="86">
        <f>IF(verze!$E$1="CZK",AD2373,IF(verze!$E$1="SK",AE2373,""))</f>
        <v>13.67554</v>
      </c>
    </row>
    <row r="2374" spans="27:32" ht="15">
      <c r="AA2374" s="463" t="s">
        <v>8276</v>
      </c>
      <c r="AB2374" s="462" t="s">
        <v>8277</v>
      </c>
      <c r="AC2374" s="462" t="s">
        <v>8278</v>
      </c>
      <c r="AD2374" s="464">
        <v>290.56889999999999</v>
      </c>
      <c r="AE2374" s="465">
        <v>13.67554</v>
      </c>
      <c r="AF2374" s="86">
        <f>IF(verze!$E$1="CZK",AD2374,IF(verze!$E$1="SK",AE2374,""))</f>
        <v>13.67554</v>
      </c>
    </row>
    <row r="2375" spans="27:32" ht="15">
      <c r="AA2375" s="463" t="s">
        <v>8279</v>
      </c>
      <c r="AB2375" s="462" t="s">
        <v>8280</v>
      </c>
      <c r="AC2375" s="462" t="s">
        <v>8281</v>
      </c>
      <c r="AD2375" s="464">
        <v>135.93346</v>
      </c>
      <c r="AE2375" s="465">
        <v>5.4380100000000002</v>
      </c>
      <c r="AF2375" s="86">
        <f>IF(verze!$E$1="CZK",AD2375,IF(verze!$E$1="SK",AE2375,""))</f>
        <v>5.4380100000000002</v>
      </c>
    </row>
    <row r="2376" spans="27:32" ht="15">
      <c r="AA2376" s="463" t="s">
        <v>8282</v>
      </c>
      <c r="AB2376" s="462" t="s">
        <v>8283</v>
      </c>
      <c r="AC2376" s="462" t="s">
        <v>8284</v>
      </c>
      <c r="AD2376" s="464">
        <v>287.69375000000002</v>
      </c>
      <c r="AE2376" s="465">
        <v>13.83911</v>
      </c>
      <c r="AF2376" s="86">
        <f>IF(verze!$E$1="CZK",AD2376,IF(verze!$E$1="SK",AE2376,""))</f>
        <v>13.83911</v>
      </c>
    </row>
    <row r="2377" spans="27:32" ht="15">
      <c r="AA2377" s="463" t="s">
        <v>8282</v>
      </c>
      <c r="AB2377" s="462" t="s">
        <v>8285</v>
      </c>
      <c r="AC2377" s="462" t="s">
        <v>8286</v>
      </c>
      <c r="AD2377" s="464">
        <v>280.04232000000002</v>
      </c>
      <c r="AE2377" s="465">
        <v>10.41714</v>
      </c>
      <c r="AF2377" s="86">
        <f>IF(verze!$E$1="CZK",AD2377,IF(verze!$E$1="SK",AE2377,""))</f>
        <v>10.41714</v>
      </c>
    </row>
    <row r="2378" spans="27:32" ht="15">
      <c r="AA2378" s="463" t="s">
        <v>8287</v>
      </c>
      <c r="AB2378" s="462" t="s">
        <v>8288</v>
      </c>
      <c r="AC2378" s="462" t="s">
        <v>8289</v>
      </c>
      <c r="AD2378" s="464">
        <v>287.69375000000002</v>
      </c>
      <c r="AE2378" s="465">
        <v>13.83911</v>
      </c>
      <c r="AF2378" s="86">
        <f>IF(verze!$E$1="CZK",AD2378,IF(verze!$E$1="SK",AE2378,""))</f>
        <v>13.83911</v>
      </c>
    </row>
    <row r="2379" spans="27:32" ht="15">
      <c r="AA2379" s="463" t="s">
        <v>8287</v>
      </c>
      <c r="AB2379" s="462" t="s">
        <v>8290</v>
      </c>
      <c r="AC2379" s="462" t="s">
        <v>8291</v>
      </c>
      <c r="AD2379" s="464">
        <v>280.04232000000002</v>
      </c>
      <c r="AE2379" s="465">
        <v>10.41714</v>
      </c>
      <c r="AF2379" s="86">
        <f>IF(verze!$E$1="CZK",AD2379,IF(verze!$E$1="SK",AE2379,""))</f>
        <v>10.41714</v>
      </c>
    </row>
    <row r="2380" spans="27:32" ht="15">
      <c r="AA2380" s="463" t="s">
        <v>8292</v>
      </c>
      <c r="AB2380" s="462" t="s">
        <v>8293</v>
      </c>
      <c r="AC2380" s="462" t="s">
        <v>8294</v>
      </c>
      <c r="AD2380" s="464">
        <v>1523.3131900000001</v>
      </c>
      <c r="AE2380" s="465">
        <v>60.94012</v>
      </c>
      <c r="AF2380" s="86">
        <f>IF(verze!$E$1="CZK",AD2380,IF(verze!$E$1="SK",AE2380,""))</f>
        <v>60.94012</v>
      </c>
    </row>
    <row r="2381" spans="27:32" ht="15">
      <c r="AA2381" s="463" t="s">
        <v>8292</v>
      </c>
      <c r="AB2381" s="462" t="s">
        <v>8295</v>
      </c>
      <c r="AC2381" s="462" t="s">
        <v>8296</v>
      </c>
      <c r="AD2381" s="464">
        <v>575.92219999999998</v>
      </c>
      <c r="AE2381" s="465">
        <v>23.102709999999998</v>
      </c>
      <c r="AF2381" s="86">
        <f>IF(verze!$E$1="CZK",AD2381,IF(verze!$E$1="SK",AE2381,""))</f>
        <v>23.102709999999998</v>
      </c>
    </row>
    <row r="2382" spans="27:32" ht="15">
      <c r="AA2382" s="463" t="s">
        <v>8297</v>
      </c>
      <c r="AB2382" s="462" t="s">
        <v>8298</v>
      </c>
      <c r="AC2382" s="462" t="s">
        <v>8299</v>
      </c>
      <c r="AD2382" s="464">
        <v>1384.8766700000001</v>
      </c>
      <c r="AE2382" s="465">
        <v>55.401960000000003</v>
      </c>
      <c r="AF2382" s="86">
        <f>IF(verze!$E$1="CZK",AD2382,IF(verze!$E$1="SK",AE2382,""))</f>
        <v>55.401960000000003</v>
      </c>
    </row>
    <row r="2383" spans="27:32" ht="15">
      <c r="AA2383" s="463" t="s">
        <v>8300</v>
      </c>
      <c r="AB2383" s="462" t="s">
        <v>8301</v>
      </c>
      <c r="AC2383" s="462" t="s">
        <v>8302</v>
      </c>
      <c r="AD2383" s="464">
        <v>1424.07068</v>
      </c>
      <c r="AE2383" s="465">
        <v>56.969909999999999</v>
      </c>
      <c r="AF2383" s="86">
        <f>IF(verze!$E$1="CZK",AD2383,IF(verze!$E$1="SK",AE2383,""))</f>
        <v>56.969909999999999</v>
      </c>
    </row>
    <row r="2384" spans="27:32" ht="15">
      <c r="AA2384" s="463" t="s">
        <v>8303</v>
      </c>
      <c r="AB2384" s="462" t="s">
        <v>8304</v>
      </c>
      <c r="AC2384" s="462" t="s">
        <v>8305</v>
      </c>
      <c r="AD2384" s="464">
        <v>1384.8766700000001</v>
      </c>
      <c r="AE2384" s="465">
        <v>55.401960000000003</v>
      </c>
      <c r="AF2384" s="86">
        <f>IF(verze!$E$1="CZK",AD2384,IF(verze!$E$1="SK",AE2384,""))</f>
        <v>55.401960000000003</v>
      </c>
    </row>
    <row r="2385" spans="27:32" ht="15">
      <c r="AA2385" s="463" t="s">
        <v>8306</v>
      </c>
      <c r="AB2385" s="462" t="s">
        <v>8307</v>
      </c>
      <c r="AC2385" s="462" t="s">
        <v>8308</v>
      </c>
      <c r="AD2385" s="464">
        <v>1424.07068</v>
      </c>
      <c r="AE2385" s="465">
        <v>56.969909999999999</v>
      </c>
      <c r="AF2385" s="86">
        <f>IF(verze!$E$1="CZK",AD2385,IF(verze!$E$1="SK",AE2385,""))</f>
        <v>56.969909999999999</v>
      </c>
    </row>
    <row r="2386" spans="27:32" ht="15">
      <c r="AA2386" s="463" t="s">
        <v>8309</v>
      </c>
      <c r="AB2386" s="462" t="s">
        <v>8310</v>
      </c>
      <c r="AC2386" s="462" t="s">
        <v>8311</v>
      </c>
      <c r="AD2386" s="464">
        <v>1384.8766700000001</v>
      </c>
      <c r="AE2386" s="465">
        <v>55.401960000000003</v>
      </c>
      <c r="AF2386" s="86">
        <f>IF(verze!$E$1="CZK",AD2386,IF(verze!$E$1="SK",AE2386,""))</f>
        <v>55.401960000000003</v>
      </c>
    </row>
    <row r="2387" spans="27:32" ht="15">
      <c r="AA2387" s="463" t="s">
        <v>8312</v>
      </c>
      <c r="AB2387" s="462" t="s">
        <v>8313</v>
      </c>
      <c r="AC2387" s="462" t="s">
        <v>8314</v>
      </c>
      <c r="AD2387" s="464">
        <v>1264.43616</v>
      </c>
      <c r="AE2387" s="465">
        <v>0</v>
      </c>
      <c r="AF2387" s="86">
        <f>IF(verze!$E$1="CZK",AD2387,IF(verze!$E$1="SK",AE2387,""))</f>
        <v>0</v>
      </c>
    </row>
    <row r="2388" spans="27:32" ht="15">
      <c r="AA2388" s="463" t="s">
        <v>8315</v>
      </c>
      <c r="AB2388" s="462" t="s">
        <v>8316</v>
      </c>
      <c r="AC2388" s="462" t="s">
        <v>8317</v>
      </c>
      <c r="AD2388" s="464">
        <v>1305.3980899999999</v>
      </c>
      <c r="AE2388" s="465">
        <v>52.22242</v>
      </c>
      <c r="AF2388" s="86">
        <f>IF(verze!$E$1="CZK",AD2388,IF(verze!$E$1="SK",AE2388,""))</f>
        <v>52.22242</v>
      </c>
    </row>
    <row r="2389" spans="27:32" ht="15">
      <c r="AA2389" s="463" t="s">
        <v>8318</v>
      </c>
      <c r="AB2389" s="462" t="s">
        <v>8319</v>
      </c>
      <c r="AC2389" s="462" t="s">
        <v>8320</v>
      </c>
      <c r="AD2389" s="464">
        <v>827.28260999999998</v>
      </c>
      <c r="AE2389" s="465">
        <v>0</v>
      </c>
      <c r="AF2389" s="86">
        <f>IF(verze!$E$1="CZK",AD2389,IF(verze!$E$1="SK",AE2389,""))</f>
        <v>0</v>
      </c>
    </row>
    <row r="2390" spans="27:32" ht="15">
      <c r="AA2390" s="463" t="s">
        <v>8321</v>
      </c>
      <c r="AB2390" s="462" t="s">
        <v>8322</v>
      </c>
      <c r="AC2390" s="462" t="s">
        <v>8323</v>
      </c>
      <c r="AD2390" s="464">
        <v>1384.8766700000001</v>
      </c>
      <c r="AE2390" s="465">
        <v>55.401960000000003</v>
      </c>
      <c r="AF2390" s="86">
        <f>IF(verze!$E$1="CZK",AD2390,IF(verze!$E$1="SK",AE2390,""))</f>
        <v>55.401960000000003</v>
      </c>
    </row>
    <row r="2391" spans="27:32" ht="15">
      <c r="AA2391" s="463" t="s">
        <v>8324</v>
      </c>
      <c r="AB2391" s="462" t="s">
        <v>8325</v>
      </c>
      <c r="AC2391" s="462" t="s">
        <v>8326</v>
      </c>
      <c r="AD2391" s="464">
        <v>1759.9705100000001</v>
      </c>
      <c r="AE2391" s="465">
        <v>0</v>
      </c>
      <c r="AF2391" s="86">
        <f>IF(verze!$E$1="CZK",AD2391,IF(verze!$E$1="SK",AE2391,""))</f>
        <v>0</v>
      </c>
    </row>
    <row r="2392" spans="27:32" ht="15">
      <c r="AA2392" s="463" t="s">
        <v>8327</v>
      </c>
      <c r="AB2392" s="462" t="s">
        <v>8328</v>
      </c>
      <c r="AC2392" s="462" t="s">
        <v>8329</v>
      </c>
      <c r="AD2392" s="464">
        <v>1550.7583400000001</v>
      </c>
      <c r="AE2392" s="465">
        <v>62.038069999999998</v>
      </c>
      <c r="AF2392" s="86">
        <f>IF(verze!$E$1="CZK",AD2392,IF(verze!$E$1="SK",AE2392,""))</f>
        <v>62.038069999999998</v>
      </c>
    </row>
    <row r="2393" spans="27:32" ht="15">
      <c r="AA2393" s="463" t="s">
        <v>8330</v>
      </c>
      <c r="AB2393" s="462" t="s">
        <v>8331</v>
      </c>
      <c r="AC2393" s="462" t="s">
        <v>8332</v>
      </c>
      <c r="AD2393" s="464">
        <v>1550.7583400000001</v>
      </c>
      <c r="AE2393" s="465">
        <v>62.038069999999998</v>
      </c>
      <c r="AF2393" s="86">
        <f>IF(verze!$E$1="CZK",AD2393,IF(verze!$E$1="SK",AE2393,""))</f>
        <v>62.038069999999998</v>
      </c>
    </row>
    <row r="2394" spans="27:32" ht="15">
      <c r="AA2394" s="463" t="s">
        <v>8333</v>
      </c>
      <c r="AB2394" s="462" t="s">
        <v>8334</v>
      </c>
      <c r="AC2394" s="462" t="s">
        <v>8335</v>
      </c>
      <c r="AD2394" s="464">
        <v>1661.50665</v>
      </c>
      <c r="AE2394" s="465">
        <v>66.468540000000004</v>
      </c>
      <c r="AF2394" s="86">
        <f>IF(verze!$E$1="CZK",AD2394,IF(verze!$E$1="SK",AE2394,""))</f>
        <v>66.468540000000004</v>
      </c>
    </row>
    <row r="2395" spans="27:32" ht="15">
      <c r="AA2395" s="463" t="s">
        <v>8336</v>
      </c>
      <c r="AB2395" s="462" t="s">
        <v>8337</v>
      </c>
      <c r="AC2395" s="462" t="s">
        <v>8338</v>
      </c>
      <c r="AD2395" s="464">
        <v>1740.5309</v>
      </c>
      <c r="AE2395" s="465">
        <v>69.629909999999995</v>
      </c>
      <c r="AF2395" s="86">
        <f>IF(verze!$E$1="CZK",AD2395,IF(verze!$E$1="SK",AE2395,""))</f>
        <v>69.629909999999995</v>
      </c>
    </row>
    <row r="2396" spans="27:32" ht="15">
      <c r="AA2396" s="463" t="s">
        <v>8339</v>
      </c>
      <c r="AB2396" s="462" t="s">
        <v>8340</v>
      </c>
      <c r="AC2396" s="462" t="s">
        <v>8341</v>
      </c>
      <c r="AD2396" s="464">
        <v>1819.64591</v>
      </c>
      <c r="AE2396" s="465">
        <v>72.794880000000006</v>
      </c>
      <c r="AF2396" s="86">
        <f>IF(verze!$E$1="CZK",AD2396,IF(verze!$E$1="SK",AE2396,""))</f>
        <v>72.794880000000006</v>
      </c>
    </row>
    <row r="2397" spans="27:32" ht="15">
      <c r="AA2397" s="463" t="s">
        <v>8342</v>
      </c>
      <c r="AB2397" s="462" t="s">
        <v>8343</v>
      </c>
      <c r="AC2397" s="462" t="s">
        <v>8344</v>
      </c>
      <c r="AD2397" s="464">
        <v>622.90620999999999</v>
      </c>
      <c r="AE2397" s="465">
        <v>28.537179999999999</v>
      </c>
      <c r="AF2397" s="86">
        <f>IF(verze!$E$1="CZK",AD2397,IF(verze!$E$1="SK",AE2397,""))</f>
        <v>28.537179999999999</v>
      </c>
    </row>
    <row r="2398" spans="27:32" ht="15">
      <c r="AA2398" s="463" t="s">
        <v>8345</v>
      </c>
      <c r="AB2398" s="462" t="s">
        <v>8346</v>
      </c>
      <c r="AC2398" s="462" t="s">
        <v>8347</v>
      </c>
      <c r="AD2398" s="464">
        <v>676.59450000000004</v>
      </c>
      <c r="AE2398" s="465">
        <v>30.9968</v>
      </c>
      <c r="AF2398" s="86">
        <f>IF(verze!$E$1="CZK",AD2398,IF(verze!$E$1="SK",AE2398,""))</f>
        <v>30.9968</v>
      </c>
    </row>
    <row r="2399" spans="27:32" ht="15">
      <c r="AA2399" s="463" t="s">
        <v>8348</v>
      </c>
      <c r="AB2399" s="462" t="s">
        <v>8349</v>
      </c>
      <c r="AC2399" s="462" t="s">
        <v>8350</v>
      </c>
      <c r="AD2399" s="464">
        <v>794.76559999999995</v>
      </c>
      <c r="AE2399" s="465">
        <v>36.410559999999997</v>
      </c>
      <c r="AF2399" s="86">
        <f>IF(verze!$E$1="CZK",AD2399,IF(verze!$E$1="SK",AE2399,""))</f>
        <v>36.410559999999997</v>
      </c>
    </row>
    <row r="2400" spans="27:32" ht="15">
      <c r="AA2400" s="463" t="s">
        <v>8351</v>
      </c>
      <c r="AB2400" s="462" t="s">
        <v>8352</v>
      </c>
      <c r="AC2400" s="462" t="s">
        <v>8353</v>
      </c>
      <c r="AD2400" s="464">
        <v>950.43285000000003</v>
      </c>
      <c r="AE2400" s="465">
        <v>43.542140000000003</v>
      </c>
      <c r="AF2400" s="86">
        <f>IF(verze!$E$1="CZK",AD2400,IF(verze!$E$1="SK",AE2400,""))</f>
        <v>43.542140000000003</v>
      </c>
    </row>
    <row r="2401" spans="27:32" ht="15">
      <c r="AA2401" s="463" t="s">
        <v>8354</v>
      </c>
      <c r="AB2401" s="462" t="s">
        <v>8355</v>
      </c>
      <c r="AC2401" s="462" t="s">
        <v>8356</v>
      </c>
      <c r="AD2401" s="464">
        <v>122.44453</v>
      </c>
      <c r="AE2401" s="465">
        <v>5.8900399999999999</v>
      </c>
      <c r="AF2401" s="86">
        <f>IF(verze!$E$1="CZK",AD2401,IF(verze!$E$1="SK",AE2401,""))</f>
        <v>5.8900399999999999</v>
      </c>
    </row>
    <row r="2402" spans="27:32" ht="15">
      <c r="AA2402" s="463" t="s">
        <v>8357</v>
      </c>
      <c r="AB2402" s="462" t="s">
        <v>8358</v>
      </c>
      <c r="AC2402" s="462" t="s">
        <v>8359</v>
      </c>
      <c r="AD2402" s="464">
        <v>122.33141000000001</v>
      </c>
      <c r="AE2402" s="465">
        <v>5.8845999999999998</v>
      </c>
      <c r="AF2402" s="86">
        <f>IF(verze!$E$1="CZK",AD2402,IF(verze!$E$1="SK",AE2402,""))</f>
        <v>5.8845999999999998</v>
      </c>
    </row>
    <row r="2403" spans="27:32" ht="15">
      <c r="AA2403" s="463" t="s">
        <v>8360</v>
      </c>
      <c r="AB2403" s="462" t="s">
        <v>8361</v>
      </c>
      <c r="AC2403" s="462" t="s">
        <v>8362</v>
      </c>
      <c r="AD2403" s="464">
        <v>33.638289999999998</v>
      </c>
      <c r="AE2403" s="465">
        <v>1.6181300000000001</v>
      </c>
      <c r="AF2403" s="86">
        <f>IF(verze!$E$1="CZK",AD2403,IF(verze!$E$1="SK",AE2403,""))</f>
        <v>1.6181300000000001</v>
      </c>
    </row>
    <row r="2404" spans="27:32" ht="15">
      <c r="AA2404" s="463" t="s">
        <v>8363</v>
      </c>
      <c r="AB2404" s="462" t="s">
        <v>8364</v>
      </c>
      <c r="AC2404" s="462" t="s">
        <v>8365</v>
      </c>
      <c r="AD2404" s="464">
        <v>35.264159999999997</v>
      </c>
      <c r="AE2404" s="465">
        <v>1.69634</v>
      </c>
      <c r="AF2404" s="86">
        <f>IF(verze!$E$1="CZK",AD2404,IF(verze!$E$1="SK",AE2404,""))</f>
        <v>1.69634</v>
      </c>
    </row>
    <row r="2405" spans="27:32" ht="15">
      <c r="AA2405" s="463" t="s">
        <v>8366</v>
      </c>
      <c r="AB2405" s="462" t="s">
        <v>8367</v>
      </c>
      <c r="AC2405" s="462" t="s">
        <v>8368</v>
      </c>
      <c r="AD2405" s="464">
        <v>33.231839999999998</v>
      </c>
      <c r="AE2405" s="465">
        <v>1.5985799999999999</v>
      </c>
      <c r="AF2405" s="86">
        <f>IF(verze!$E$1="CZK",AD2405,IF(verze!$E$1="SK",AE2405,""))</f>
        <v>1.5985799999999999</v>
      </c>
    </row>
    <row r="2406" spans="27:32" ht="15">
      <c r="AA2406" s="463" t="s">
        <v>8369</v>
      </c>
      <c r="AB2406" s="462" t="s">
        <v>8370</v>
      </c>
      <c r="AC2406" s="462" t="s">
        <v>8371</v>
      </c>
      <c r="AD2406" s="464">
        <v>33.231839999999998</v>
      </c>
      <c r="AE2406" s="465">
        <v>1.5985799999999999</v>
      </c>
      <c r="AF2406" s="86">
        <f>IF(verze!$E$1="CZK",AD2406,IF(verze!$E$1="SK",AE2406,""))</f>
        <v>1.5985799999999999</v>
      </c>
    </row>
    <row r="2407" spans="27:32" ht="15">
      <c r="AA2407" s="463" t="s">
        <v>8372</v>
      </c>
      <c r="AB2407" s="462" t="s">
        <v>8373</v>
      </c>
      <c r="AC2407" s="462" t="s">
        <v>8374</v>
      </c>
      <c r="AD2407" s="464">
        <v>34.857700000000001</v>
      </c>
      <c r="AE2407" s="465">
        <v>1.67679</v>
      </c>
      <c r="AF2407" s="86">
        <f>IF(verze!$E$1="CZK",AD2407,IF(verze!$E$1="SK",AE2407,""))</f>
        <v>1.67679</v>
      </c>
    </row>
    <row r="2408" spans="27:32" ht="15">
      <c r="AA2408" s="463" t="s">
        <v>8375</v>
      </c>
      <c r="AB2408" s="462" t="s">
        <v>8376</v>
      </c>
      <c r="AC2408" s="462" t="s">
        <v>8377</v>
      </c>
      <c r="AD2408" s="464">
        <v>210.60471000000001</v>
      </c>
      <c r="AE2408" s="465">
        <v>9.6484400000000008</v>
      </c>
      <c r="AF2408" s="86">
        <f>IF(verze!$E$1="CZK",AD2408,IF(verze!$E$1="SK",AE2408,""))</f>
        <v>9.6484400000000008</v>
      </c>
    </row>
    <row r="2409" spans="27:32" ht="15">
      <c r="AA2409" s="463" t="s">
        <v>8378</v>
      </c>
      <c r="AB2409" s="462" t="s">
        <v>8379</v>
      </c>
      <c r="AC2409" s="462" t="s">
        <v>8380</v>
      </c>
      <c r="AD2409" s="464">
        <v>43.327719999999999</v>
      </c>
      <c r="AE2409" s="465">
        <v>1.7333400000000001</v>
      </c>
      <c r="AF2409" s="86">
        <f>IF(verze!$E$1="CZK",AD2409,IF(verze!$E$1="SK",AE2409,""))</f>
        <v>1.7333400000000001</v>
      </c>
    </row>
    <row r="2410" spans="27:32" ht="15">
      <c r="AA2410" s="463" t="s">
        <v>8381</v>
      </c>
      <c r="AB2410" s="462" t="s">
        <v>8382</v>
      </c>
      <c r="AC2410" s="462" t="s">
        <v>8383</v>
      </c>
      <c r="AD2410" s="464">
        <v>4414.2062400000004</v>
      </c>
      <c r="AE2410" s="465">
        <v>176.59021999999999</v>
      </c>
      <c r="AF2410" s="86">
        <f>IF(verze!$E$1="CZK",AD2410,IF(verze!$E$1="SK",AE2410,""))</f>
        <v>176.59021999999999</v>
      </c>
    </row>
    <row r="2411" spans="27:32" ht="15">
      <c r="AA2411" s="463" t="s">
        <v>8384</v>
      </c>
      <c r="AB2411" s="462" t="s">
        <v>8385</v>
      </c>
      <c r="AC2411" s="462" t="s">
        <v>8386</v>
      </c>
      <c r="AD2411" s="464">
        <v>4965.1719899999998</v>
      </c>
      <c r="AE2411" s="465">
        <v>198.63159999999999</v>
      </c>
      <c r="AF2411" s="86">
        <f>IF(verze!$E$1="CZK",AD2411,IF(verze!$E$1="SK",AE2411,""))</f>
        <v>198.63159999999999</v>
      </c>
    </row>
    <row r="2412" spans="27:32" ht="15">
      <c r="AA2412" s="463" t="s">
        <v>8387</v>
      </c>
      <c r="AB2412" s="462" t="s">
        <v>8388</v>
      </c>
      <c r="AC2412" s="462" t="s">
        <v>8389</v>
      </c>
      <c r="AD2412" s="464">
        <v>289.89069999999998</v>
      </c>
      <c r="AE2412" s="465">
        <v>0</v>
      </c>
      <c r="AF2412" s="86">
        <f>IF(verze!$E$1="CZK",AD2412,IF(verze!$E$1="SK",AE2412,""))</f>
        <v>0</v>
      </c>
    </row>
    <row r="2413" spans="27:32" ht="15">
      <c r="AA2413" s="463" t="s">
        <v>8390</v>
      </c>
      <c r="AB2413" s="462" t="s">
        <v>8391</v>
      </c>
      <c r="AC2413" s="462" t="s">
        <v>8392</v>
      </c>
      <c r="AD2413" s="464">
        <v>133.54286999999999</v>
      </c>
      <c r="AE2413" s="465">
        <v>0</v>
      </c>
      <c r="AF2413" s="86">
        <f>IF(verze!$E$1="CZK",AD2413,IF(verze!$E$1="SK",AE2413,""))</f>
        <v>0</v>
      </c>
    </row>
    <row r="2414" spans="27:32" ht="15">
      <c r="AA2414" s="463" t="s">
        <v>8393</v>
      </c>
      <c r="AB2414" s="462" t="s">
        <v>8394</v>
      </c>
      <c r="AC2414" s="462" t="s">
        <v>8395</v>
      </c>
      <c r="AD2414" s="464">
        <v>133.54286999999999</v>
      </c>
      <c r="AE2414" s="465">
        <v>0</v>
      </c>
      <c r="AF2414" s="86">
        <f>IF(verze!$E$1="CZK",AD2414,IF(verze!$E$1="SK",AE2414,""))</f>
        <v>0</v>
      </c>
    </row>
    <row r="2415" spans="27:32" ht="15">
      <c r="AA2415" s="463" t="s">
        <v>8396</v>
      </c>
      <c r="AB2415" s="462" t="s">
        <v>8397</v>
      </c>
      <c r="AC2415" s="462" t="s">
        <v>8398</v>
      </c>
      <c r="AD2415" s="464">
        <v>313.64260000000002</v>
      </c>
      <c r="AE2415" s="465">
        <v>15.08732</v>
      </c>
      <c r="AF2415" s="86">
        <f>IF(verze!$E$1="CZK",AD2415,IF(verze!$E$1="SK",AE2415,""))</f>
        <v>15.08732</v>
      </c>
    </row>
    <row r="2416" spans="27:32" ht="15">
      <c r="AA2416" s="463" t="s">
        <v>8399</v>
      </c>
      <c r="AB2416" s="462" t="s">
        <v>8400</v>
      </c>
      <c r="AC2416" s="462" t="s">
        <v>8401</v>
      </c>
      <c r="AD2416" s="464">
        <v>313.64260000000002</v>
      </c>
      <c r="AE2416" s="465">
        <v>15.08732</v>
      </c>
      <c r="AF2416" s="86">
        <f>IF(verze!$E$1="CZK",AD2416,IF(verze!$E$1="SK",AE2416,""))</f>
        <v>15.08732</v>
      </c>
    </row>
    <row r="2417" spans="27:32" ht="15">
      <c r="AA2417" s="463" t="s">
        <v>8402</v>
      </c>
      <c r="AB2417" s="462" t="s">
        <v>8403</v>
      </c>
      <c r="AC2417" s="462" t="s">
        <v>8404</v>
      </c>
      <c r="AD2417" s="464">
        <v>305.57285000000002</v>
      </c>
      <c r="AE2417" s="465">
        <v>0</v>
      </c>
      <c r="AF2417" s="86">
        <f>IF(verze!$E$1="CZK",AD2417,IF(verze!$E$1="SK",AE2417,""))</f>
        <v>0</v>
      </c>
    </row>
    <row r="2418" spans="27:32" ht="15">
      <c r="AA2418" s="463" t="s">
        <v>8405</v>
      </c>
      <c r="AB2418" s="462" t="s">
        <v>8406</v>
      </c>
      <c r="AC2418" s="462" t="s">
        <v>8407</v>
      </c>
      <c r="AD2418" s="464">
        <v>305.57285000000002</v>
      </c>
      <c r="AE2418" s="465">
        <v>0</v>
      </c>
      <c r="AF2418" s="86">
        <f>IF(verze!$E$1="CZK",AD2418,IF(verze!$E$1="SK",AE2418,""))</f>
        <v>0</v>
      </c>
    </row>
    <row r="2419" spans="27:32" ht="15">
      <c r="AA2419" s="463" t="s">
        <v>8408</v>
      </c>
      <c r="AB2419" s="462" t="s">
        <v>8409</v>
      </c>
      <c r="AC2419" s="462" t="s">
        <v>8410</v>
      </c>
      <c r="AD2419" s="464">
        <v>281.21048000000002</v>
      </c>
      <c r="AE2419" s="465">
        <v>13.527229999999999</v>
      </c>
      <c r="AF2419" s="86">
        <f>IF(verze!$E$1="CZK",AD2419,IF(verze!$E$1="SK",AE2419,""))</f>
        <v>13.527229999999999</v>
      </c>
    </row>
    <row r="2420" spans="27:32" ht="15">
      <c r="AA2420" s="463" t="s">
        <v>8411</v>
      </c>
      <c r="AB2420" s="462" t="s">
        <v>8412</v>
      </c>
      <c r="AC2420" s="462" t="s">
        <v>8413</v>
      </c>
      <c r="AD2420" s="464">
        <v>281.21048000000002</v>
      </c>
      <c r="AE2420" s="465">
        <v>13.527229999999999</v>
      </c>
      <c r="AF2420" s="86">
        <f>IF(verze!$E$1="CZK",AD2420,IF(verze!$E$1="SK",AE2420,""))</f>
        <v>13.527229999999999</v>
      </c>
    </row>
    <row r="2421" spans="27:32" ht="15">
      <c r="AA2421" s="463" t="s">
        <v>8414</v>
      </c>
      <c r="AB2421" s="462" t="s">
        <v>8415</v>
      </c>
      <c r="AC2421" s="462" t="s">
        <v>8416</v>
      </c>
      <c r="AD2421" s="464">
        <v>253.28331</v>
      </c>
      <c r="AE2421" s="465">
        <v>10.1326</v>
      </c>
      <c r="AF2421" s="86">
        <f>IF(verze!$E$1="CZK",AD2421,IF(verze!$E$1="SK",AE2421,""))</f>
        <v>10.1326</v>
      </c>
    </row>
    <row r="2422" spans="27:32" ht="15">
      <c r="AA2422" s="463" t="s">
        <v>8417</v>
      </c>
      <c r="AB2422" s="462" t="s">
        <v>8418</v>
      </c>
      <c r="AC2422" s="462" t="s">
        <v>8419</v>
      </c>
      <c r="AD2422" s="464">
        <v>66.180760000000006</v>
      </c>
      <c r="AE2422" s="465">
        <v>3.0319400000000001</v>
      </c>
      <c r="AF2422" s="86">
        <f>IF(verze!$E$1="CZK",AD2422,IF(verze!$E$1="SK",AE2422,""))</f>
        <v>3.0319400000000001</v>
      </c>
    </row>
    <row r="2423" spans="27:32" ht="15">
      <c r="AA2423" s="463" t="s">
        <v>8420</v>
      </c>
      <c r="AB2423" s="462" t="s">
        <v>8421</v>
      </c>
      <c r="AC2423" s="462" t="s">
        <v>8422</v>
      </c>
      <c r="AD2423" s="464">
        <v>63.300449999999998</v>
      </c>
      <c r="AE2423" s="465">
        <v>2.8999799999999998</v>
      </c>
      <c r="AF2423" s="86">
        <f>IF(verze!$E$1="CZK",AD2423,IF(verze!$E$1="SK",AE2423,""))</f>
        <v>2.8999799999999998</v>
      </c>
    </row>
    <row r="2424" spans="27:32" ht="15">
      <c r="AA2424" s="463" t="s">
        <v>8423</v>
      </c>
      <c r="AB2424" s="462" t="s">
        <v>8424</v>
      </c>
      <c r="AC2424" s="462" t="s">
        <v>8425</v>
      </c>
      <c r="AD2424" s="464">
        <v>63.300449999999998</v>
      </c>
      <c r="AE2424" s="465">
        <v>2.8999799999999998</v>
      </c>
      <c r="AF2424" s="86">
        <f>IF(verze!$E$1="CZK",AD2424,IF(verze!$E$1="SK",AE2424,""))</f>
        <v>2.8999799999999998</v>
      </c>
    </row>
    <row r="2425" spans="27:32" ht="15">
      <c r="AA2425" s="463" t="s">
        <v>8426</v>
      </c>
      <c r="AB2425" s="462" t="s">
        <v>8427</v>
      </c>
      <c r="AC2425" s="462" t="s">
        <v>8428</v>
      </c>
      <c r="AD2425" s="464">
        <v>316.95801999999998</v>
      </c>
      <c r="AE2425" s="465">
        <v>14.520799999999999</v>
      </c>
      <c r="AF2425" s="86">
        <f>IF(verze!$E$1="CZK",AD2425,IF(verze!$E$1="SK",AE2425,""))</f>
        <v>14.520799999999999</v>
      </c>
    </row>
    <row r="2426" spans="27:32" ht="15">
      <c r="AA2426" s="463" t="s">
        <v>8429</v>
      </c>
      <c r="AB2426" s="462" t="s">
        <v>8430</v>
      </c>
      <c r="AC2426" s="462" t="s">
        <v>8431</v>
      </c>
      <c r="AD2426" s="464">
        <v>316.95801999999998</v>
      </c>
      <c r="AE2426" s="465">
        <v>14.520799999999999</v>
      </c>
      <c r="AF2426" s="86">
        <f>IF(verze!$E$1="CZK",AD2426,IF(verze!$E$1="SK",AE2426,""))</f>
        <v>14.520799999999999</v>
      </c>
    </row>
    <row r="2427" spans="27:32" ht="15">
      <c r="AA2427" s="463" t="s">
        <v>8432</v>
      </c>
      <c r="AB2427" s="462" t="s">
        <v>8433</v>
      </c>
      <c r="AC2427" s="462" t="s">
        <v>8434</v>
      </c>
      <c r="AD2427" s="464">
        <v>206.71243000000001</v>
      </c>
      <c r="AE2427" s="465">
        <v>9.4701199999999996</v>
      </c>
      <c r="AF2427" s="86">
        <f>IF(verze!$E$1="CZK",AD2427,IF(verze!$E$1="SK",AE2427,""))</f>
        <v>9.4701199999999996</v>
      </c>
    </row>
    <row r="2428" spans="27:32" ht="15">
      <c r="AA2428" s="463" t="s">
        <v>8435</v>
      </c>
      <c r="AB2428" s="462" t="s">
        <v>8436</v>
      </c>
      <c r="AC2428" s="462" t="s">
        <v>8437</v>
      </c>
      <c r="AD2428" s="464">
        <v>206.71243000000001</v>
      </c>
      <c r="AE2428" s="465">
        <v>9.4701199999999996</v>
      </c>
      <c r="AF2428" s="86">
        <f>IF(verze!$E$1="CZK",AD2428,IF(verze!$E$1="SK",AE2428,""))</f>
        <v>9.4701199999999996</v>
      </c>
    </row>
    <row r="2429" spans="27:32" ht="15">
      <c r="AA2429" s="463" t="s">
        <v>8438</v>
      </c>
      <c r="AB2429" s="462" t="s">
        <v>8439</v>
      </c>
      <c r="AC2429" s="462" t="s">
        <v>8440</v>
      </c>
      <c r="AD2429" s="464">
        <v>206.71243000000001</v>
      </c>
      <c r="AE2429" s="465">
        <v>9.4701199999999996</v>
      </c>
      <c r="AF2429" s="86">
        <f>IF(verze!$E$1="CZK",AD2429,IF(verze!$E$1="SK",AE2429,""))</f>
        <v>9.4701199999999996</v>
      </c>
    </row>
    <row r="2430" spans="27:32" ht="15">
      <c r="AA2430" s="463" t="s">
        <v>8441</v>
      </c>
      <c r="AB2430" s="462" t="s">
        <v>8442</v>
      </c>
      <c r="AC2430" s="462" t="s">
        <v>8443</v>
      </c>
      <c r="AD2430" s="464">
        <v>149.65826000000001</v>
      </c>
      <c r="AE2430" s="465">
        <v>6.8562799999999999</v>
      </c>
      <c r="AF2430" s="86">
        <f>IF(verze!$E$1="CZK",AD2430,IF(verze!$E$1="SK",AE2430,""))</f>
        <v>6.8562799999999999</v>
      </c>
    </row>
    <row r="2431" spans="27:32" ht="15">
      <c r="AA2431" s="463" t="s">
        <v>8444</v>
      </c>
      <c r="AB2431" s="462" t="s">
        <v>8445</v>
      </c>
      <c r="AC2431" s="462" t="s">
        <v>8446</v>
      </c>
      <c r="AD2431" s="464">
        <v>216.99556000000001</v>
      </c>
      <c r="AE2431" s="465">
        <v>9.9412199999999995</v>
      </c>
      <c r="AF2431" s="86">
        <f>IF(verze!$E$1="CZK",AD2431,IF(verze!$E$1="SK",AE2431,""))</f>
        <v>9.9412199999999995</v>
      </c>
    </row>
    <row r="2432" spans="27:32" ht="15">
      <c r="AA2432" s="463" t="s">
        <v>8447</v>
      </c>
      <c r="AB2432" s="462" t="s">
        <v>8448</v>
      </c>
      <c r="AC2432" s="462" t="s">
        <v>8449</v>
      </c>
      <c r="AD2432" s="464">
        <v>253.03852000000001</v>
      </c>
      <c r="AE2432" s="465">
        <v>11.59244</v>
      </c>
      <c r="AF2432" s="86">
        <f>IF(verze!$E$1="CZK",AD2432,IF(verze!$E$1="SK",AE2432,""))</f>
        <v>11.59244</v>
      </c>
    </row>
    <row r="2433" spans="27:32" ht="15">
      <c r="AA2433" s="463" t="s">
        <v>8450</v>
      </c>
      <c r="AB2433" s="462" t="s">
        <v>8451</v>
      </c>
      <c r="AC2433" s="462" t="s">
        <v>8452</v>
      </c>
      <c r="AD2433" s="464">
        <v>206.43438</v>
      </c>
      <c r="AE2433" s="465">
        <v>9.4573599999999995</v>
      </c>
      <c r="AF2433" s="86">
        <f>IF(verze!$E$1="CZK",AD2433,IF(verze!$E$1="SK",AE2433,""))</f>
        <v>9.4573599999999995</v>
      </c>
    </row>
    <row r="2434" spans="27:32" ht="15">
      <c r="AA2434" s="463" t="s">
        <v>8453</v>
      </c>
      <c r="AB2434" s="462" t="s">
        <v>8454</v>
      </c>
      <c r="AC2434" s="462" t="s">
        <v>8455</v>
      </c>
      <c r="AD2434" s="464">
        <v>343.47030000000001</v>
      </c>
      <c r="AE2434" s="465">
        <v>15.735379999999999</v>
      </c>
      <c r="AF2434" s="86">
        <f>IF(verze!$E$1="CZK",AD2434,IF(verze!$E$1="SK",AE2434,""))</f>
        <v>15.735379999999999</v>
      </c>
    </row>
    <row r="2435" spans="27:32" ht="15">
      <c r="AA2435" s="463" t="s">
        <v>8456</v>
      </c>
      <c r="AB2435" s="462" t="s">
        <v>8457</v>
      </c>
      <c r="AC2435" s="462" t="s">
        <v>8458</v>
      </c>
      <c r="AD2435" s="464">
        <v>343.47030000000001</v>
      </c>
      <c r="AE2435" s="465">
        <v>15.735379999999999</v>
      </c>
      <c r="AF2435" s="86">
        <f>IF(verze!$E$1="CZK",AD2435,IF(verze!$E$1="SK",AE2435,""))</f>
        <v>15.735379999999999</v>
      </c>
    </row>
    <row r="2436" spans="27:32" ht="15">
      <c r="AA2436" s="463" t="s">
        <v>8459</v>
      </c>
      <c r="AB2436" s="462" t="s">
        <v>8460</v>
      </c>
      <c r="AC2436" s="462" t="s">
        <v>8461</v>
      </c>
      <c r="AD2436" s="464">
        <v>573.49962000000005</v>
      </c>
      <c r="AE2436" s="465">
        <v>26.273700000000002</v>
      </c>
      <c r="AF2436" s="86">
        <f>IF(verze!$E$1="CZK",AD2436,IF(verze!$E$1="SK",AE2436,""))</f>
        <v>26.273700000000002</v>
      </c>
    </row>
    <row r="2437" spans="27:32" ht="15">
      <c r="AA2437" s="463" t="s">
        <v>8462</v>
      </c>
      <c r="AB2437" s="462" t="s">
        <v>8463</v>
      </c>
      <c r="AC2437" s="462" t="s">
        <v>8464</v>
      </c>
      <c r="AD2437" s="464">
        <v>233.35820000000001</v>
      </c>
      <c r="AE2437" s="465">
        <v>10.69082</v>
      </c>
      <c r="AF2437" s="86">
        <f>IF(verze!$E$1="CZK",AD2437,IF(verze!$E$1="SK",AE2437,""))</f>
        <v>10.69082</v>
      </c>
    </row>
    <row r="2438" spans="27:32" ht="15">
      <c r="AA2438" s="463" t="s">
        <v>8465</v>
      </c>
      <c r="AB2438" s="462" t="s">
        <v>8466</v>
      </c>
      <c r="AC2438" s="462" t="s">
        <v>8467</v>
      </c>
      <c r="AD2438" s="464">
        <v>179.02861999999999</v>
      </c>
      <c r="AE2438" s="465">
        <v>8.2018400000000007</v>
      </c>
      <c r="AF2438" s="86">
        <f>IF(verze!$E$1="CZK",AD2438,IF(verze!$E$1="SK",AE2438,""))</f>
        <v>8.2018400000000007</v>
      </c>
    </row>
    <row r="2439" spans="27:32" ht="15">
      <c r="AA2439" s="463" t="s">
        <v>8468</v>
      </c>
      <c r="AB2439" s="462" t="s">
        <v>8469</v>
      </c>
      <c r="AC2439" s="462" t="s">
        <v>8470</v>
      </c>
      <c r="AD2439" s="464">
        <v>148.33485999999999</v>
      </c>
      <c r="AE2439" s="465">
        <v>6.7956599999999998</v>
      </c>
      <c r="AF2439" s="86">
        <f>IF(verze!$E$1="CZK",AD2439,IF(verze!$E$1="SK",AE2439,""))</f>
        <v>6.7956599999999998</v>
      </c>
    </row>
    <row r="2440" spans="27:32" ht="15">
      <c r="AA2440" s="463" t="s">
        <v>8471</v>
      </c>
      <c r="AB2440" s="462" t="s">
        <v>8472</v>
      </c>
      <c r="AC2440" s="462" t="s">
        <v>8473</v>
      </c>
      <c r="AD2440" s="464">
        <v>155.75256999999999</v>
      </c>
      <c r="AE2440" s="465">
        <v>7.1354800000000003</v>
      </c>
      <c r="AF2440" s="86">
        <f>IF(verze!$E$1="CZK",AD2440,IF(verze!$E$1="SK",AE2440,""))</f>
        <v>7.1354800000000003</v>
      </c>
    </row>
    <row r="2441" spans="27:32" ht="15">
      <c r="AA2441" s="463" t="s">
        <v>8474</v>
      </c>
      <c r="AB2441" s="462" t="s">
        <v>8475</v>
      </c>
      <c r="AC2441" s="462" t="s">
        <v>8476</v>
      </c>
      <c r="AD2441" s="464">
        <v>291.96924999999999</v>
      </c>
      <c r="AE2441" s="465">
        <v>13.37598</v>
      </c>
      <c r="AF2441" s="86">
        <f>IF(verze!$E$1="CZK",AD2441,IF(verze!$E$1="SK",AE2441,""))</f>
        <v>13.37598</v>
      </c>
    </row>
    <row r="2442" spans="27:32" ht="15">
      <c r="AA2442" s="463" t="s">
        <v>8477</v>
      </c>
      <c r="AB2442" s="462" t="s">
        <v>8478</v>
      </c>
      <c r="AC2442" s="462" t="s">
        <v>8479</v>
      </c>
      <c r="AD2442" s="464">
        <v>400.72091</v>
      </c>
      <c r="AE2442" s="465">
        <v>18.3582</v>
      </c>
      <c r="AF2442" s="86">
        <f>IF(verze!$E$1="CZK",AD2442,IF(verze!$E$1="SK",AE2442,""))</f>
        <v>18.3582</v>
      </c>
    </row>
    <row r="2443" spans="27:32" ht="15">
      <c r="AA2443" s="463" t="s">
        <v>8480</v>
      </c>
      <c r="AB2443" s="462" t="s">
        <v>8481</v>
      </c>
      <c r="AC2443" s="462" t="s">
        <v>8482</v>
      </c>
      <c r="AD2443" s="464">
        <v>235.91227000000001</v>
      </c>
      <c r="AE2443" s="465">
        <v>10.807840000000001</v>
      </c>
      <c r="AF2443" s="86">
        <f>IF(verze!$E$1="CZK",AD2443,IF(verze!$E$1="SK",AE2443,""))</f>
        <v>10.807840000000001</v>
      </c>
    </row>
    <row r="2444" spans="27:32" ht="15">
      <c r="AA2444" s="463" t="s">
        <v>8483</v>
      </c>
      <c r="AB2444" s="462" t="s">
        <v>8484</v>
      </c>
      <c r="AC2444" s="462" t="s">
        <v>8485</v>
      </c>
      <c r="AD2444" s="464">
        <v>105.56738</v>
      </c>
      <c r="AE2444" s="465">
        <v>4.83636</v>
      </c>
      <c r="AF2444" s="86">
        <f>IF(verze!$E$1="CZK",AD2444,IF(verze!$E$1="SK",AE2444,""))</f>
        <v>4.83636</v>
      </c>
    </row>
    <row r="2445" spans="27:32" ht="15">
      <c r="AA2445" s="463" t="s">
        <v>8486</v>
      </c>
      <c r="AB2445" s="462" t="s">
        <v>8487</v>
      </c>
      <c r="AC2445" s="462" t="s">
        <v>8488</v>
      </c>
      <c r="AD2445" s="464">
        <v>201.74923000000001</v>
      </c>
      <c r="AE2445" s="465">
        <v>8.8929200000000002</v>
      </c>
      <c r="AF2445" s="86">
        <f>IF(verze!$E$1="CZK",AD2445,IF(verze!$E$1="SK",AE2445,""))</f>
        <v>8.8929200000000002</v>
      </c>
    </row>
    <row r="2446" spans="27:32" ht="15">
      <c r="AA2446" s="463" t="s">
        <v>8489</v>
      </c>
      <c r="AB2446" s="462" t="s">
        <v>8490</v>
      </c>
      <c r="AC2446" s="462" t="s">
        <v>8491</v>
      </c>
      <c r="AD2446" s="464">
        <v>165.07925</v>
      </c>
      <c r="AE2446" s="465">
        <v>7.5627800000000001</v>
      </c>
      <c r="AF2446" s="86">
        <f>IF(verze!$E$1="CZK",AD2446,IF(verze!$E$1="SK",AE2446,""))</f>
        <v>7.5627800000000001</v>
      </c>
    </row>
    <row r="2447" spans="27:32" ht="15">
      <c r="AA2447" s="463" t="s">
        <v>8492</v>
      </c>
      <c r="AB2447" s="462" t="s">
        <v>8493</v>
      </c>
      <c r="AC2447" s="462" t="s">
        <v>8494</v>
      </c>
      <c r="AD2447" s="464">
        <v>203.49099000000001</v>
      </c>
      <c r="AE2447" s="465">
        <v>9.3225200000000008</v>
      </c>
      <c r="AF2447" s="86">
        <f>IF(verze!$E$1="CZK",AD2447,IF(verze!$E$1="SK",AE2447,""))</f>
        <v>9.3225200000000008</v>
      </c>
    </row>
    <row r="2448" spans="27:32" ht="15">
      <c r="AA2448" s="463" t="s">
        <v>8495</v>
      </c>
      <c r="AB2448" s="462" t="s">
        <v>8496</v>
      </c>
      <c r="AC2448" s="462" t="s">
        <v>8497</v>
      </c>
      <c r="AD2448" s="464">
        <v>233.11355</v>
      </c>
      <c r="AE2448" s="465">
        <v>10.67962</v>
      </c>
      <c r="AF2448" s="86">
        <f>IF(verze!$E$1="CZK",AD2448,IF(verze!$E$1="SK",AE2448,""))</f>
        <v>10.67962</v>
      </c>
    </row>
    <row r="2449" spans="27:32" ht="15">
      <c r="AA2449" s="463" t="s">
        <v>8498</v>
      </c>
      <c r="AB2449" s="462" t="s">
        <v>8499</v>
      </c>
      <c r="AC2449" s="462" t="s">
        <v>8500</v>
      </c>
      <c r="AD2449" s="464">
        <v>233.11355</v>
      </c>
      <c r="AE2449" s="465">
        <v>10.67962</v>
      </c>
      <c r="AF2449" s="86">
        <f>IF(verze!$E$1="CZK",AD2449,IF(verze!$E$1="SK",AE2449,""))</f>
        <v>10.67962</v>
      </c>
    </row>
    <row r="2450" spans="27:32" ht="15">
      <c r="AA2450" s="463" t="s">
        <v>8501</v>
      </c>
      <c r="AB2450" s="462" t="s">
        <v>8502</v>
      </c>
      <c r="AC2450" s="462" t="s">
        <v>8503</v>
      </c>
      <c r="AD2450" s="464">
        <v>176.27808999999999</v>
      </c>
      <c r="AE2450" s="465">
        <v>8.0758200000000002</v>
      </c>
      <c r="AF2450" s="86">
        <f>IF(verze!$E$1="CZK",AD2450,IF(verze!$E$1="SK",AE2450,""))</f>
        <v>8.0758200000000002</v>
      </c>
    </row>
    <row r="2451" spans="27:32" ht="15">
      <c r="AA2451" s="463" t="s">
        <v>8504</v>
      </c>
      <c r="AB2451" s="462" t="s">
        <v>8505</v>
      </c>
      <c r="AC2451" s="462" t="s">
        <v>8506</v>
      </c>
      <c r="AD2451" s="464">
        <v>355.89246000000003</v>
      </c>
      <c r="AE2451" s="465">
        <v>16.304500000000001</v>
      </c>
      <c r="AF2451" s="86">
        <f>IF(verze!$E$1="CZK",AD2451,IF(verze!$E$1="SK",AE2451,""))</f>
        <v>16.304500000000001</v>
      </c>
    </row>
    <row r="2452" spans="27:32" ht="15">
      <c r="AA2452" s="463" t="s">
        <v>8507</v>
      </c>
      <c r="AB2452" s="462" t="s">
        <v>8508</v>
      </c>
      <c r="AC2452" s="462" t="s">
        <v>8509</v>
      </c>
      <c r="AD2452" s="464">
        <v>242.45884000000001</v>
      </c>
      <c r="AE2452" s="465">
        <v>11.107760000000001</v>
      </c>
      <c r="AF2452" s="86">
        <f>IF(verze!$E$1="CZK",AD2452,IF(verze!$E$1="SK",AE2452,""))</f>
        <v>11.107760000000001</v>
      </c>
    </row>
    <row r="2453" spans="27:32" ht="15">
      <c r="AA2453" s="463" t="s">
        <v>8510</v>
      </c>
      <c r="AB2453" s="462" t="s">
        <v>8511</v>
      </c>
      <c r="AC2453" s="462" t="s">
        <v>8512</v>
      </c>
      <c r="AD2453" s="464">
        <v>204.05452</v>
      </c>
      <c r="AE2453" s="465">
        <v>9.3483599999999996</v>
      </c>
      <c r="AF2453" s="86">
        <f>IF(verze!$E$1="CZK",AD2453,IF(verze!$E$1="SK",AE2453,""))</f>
        <v>9.3483599999999996</v>
      </c>
    </row>
    <row r="2454" spans="27:32" ht="15">
      <c r="AA2454" s="463" t="s">
        <v>8513</v>
      </c>
      <c r="AB2454" s="462" t="s">
        <v>8514</v>
      </c>
      <c r="AC2454" s="462" t="s">
        <v>8515</v>
      </c>
      <c r="AD2454" s="464">
        <v>114.03046000000001</v>
      </c>
      <c r="AE2454" s="465">
        <v>5.2240599999999997</v>
      </c>
      <c r="AF2454" s="86">
        <f>IF(verze!$E$1="CZK",AD2454,IF(verze!$E$1="SK",AE2454,""))</f>
        <v>5.2240599999999997</v>
      </c>
    </row>
    <row r="2455" spans="27:32" ht="15">
      <c r="AA2455" s="463" t="s">
        <v>8516</v>
      </c>
      <c r="AB2455" s="462" t="s">
        <v>8517</v>
      </c>
      <c r="AC2455" s="462" t="s">
        <v>8518</v>
      </c>
      <c r="AD2455" s="464">
        <v>154.18450000000001</v>
      </c>
      <c r="AE2455" s="465">
        <v>7.0636599999999996</v>
      </c>
      <c r="AF2455" s="86">
        <f>IF(verze!$E$1="CZK",AD2455,IF(verze!$E$1="SK",AE2455,""))</f>
        <v>7.0636599999999996</v>
      </c>
    </row>
    <row r="2456" spans="27:32" ht="15">
      <c r="AA2456" s="463" t="s">
        <v>8519</v>
      </c>
      <c r="AB2456" s="462" t="s">
        <v>8520</v>
      </c>
      <c r="AC2456" s="462" t="s">
        <v>8521</v>
      </c>
      <c r="AD2456" s="464">
        <v>360.75225999999998</v>
      </c>
      <c r="AE2456" s="465">
        <v>16.527139999999999</v>
      </c>
      <c r="AF2456" s="86">
        <f>IF(verze!$E$1="CZK",AD2456,IF(verze!$E$1="SK",AE2456,""))</f>
        <v>16.527139999999999</v>
      </c>
    </row>
    <row r="2457" spans="27:32" ht="15">
      <c r="AA2457" s="463" t="s">
        <v>8522</v>
      </c>
      <c r="AB2457" s="462" t="s">
        <v>8523</v>
      </c>
      <c r="AC2457" s="462" t="s">
        <v>8524</v>
      </c>
      <c r="AD2457" s="464">
        <v>377.15190999999999</v>
      </c>
      <c r="AE2457" s="465">
        <v>17.278459999999999</v>
      </c>
      <c r="AF2457" s="86">
        <f>IF(verze!$E$1="CZK",AD2457,IF(verze!$E$1="SK",AE2457,""))</f>
        <v>17.278459999999999</v>
      </c>
    </row>
    <row r="2458" spans="27:32" ht="15">
      <c r="AA2458" s="463" t="s">
        <v>8525</v>
      </c>
      <c r="AB2458" s="462" t="s">
        <v>8526</v>
      </c>
      <c r="AC2458" s="462" t="s">
        <v>8527</v>
      </c>
      <c r="AD2458" s="464">
        <v>212.32477</v>
      </c>
      <c r="AE2458" s="465">
        <v>9.7272200000000009</v>
      </c>
      <c r="AF2458" s="86">
        <f>IF(verze!$E$1="CZK",AD2458,IF(verze!$E$1="SK",AE2458,""))</f>
        <v>9.7272200000000009</v>
      </c>
    </row>
    <row r="2459" spans="27:32" ht="15">
      <c r="AA2459" s="463" t="s">
        <v>8528</v>
      </c>
      <c r="AB2459" s="462" t="s">
        <v>8529</v>
      </c>
      <c r="AC2459" s="462" t="s">
        <v>8530</v>
      </c>
      <c r="AD2459" s="464">
        <v>203.09434999999999</v>
      </c>
      <c r="AE2459" s="465">
        <v>9.3043600000000009</v>
      </c>
      <c r="AF2459" s="86">
        <f>IF(verze!$E$1="CZK",AD2459,IF(verze!$E$1="SK",AE2459,""))</f>
        <v>9.3043600000000009</v>
      </c>
    </row>
    <row r="2460" spans="27:32" ht="15">
      <c r="AA2460" s="463" t="s">
        <v>8531</v>
      </c>
      <c r="AB2460" s="462" t="s">
        <v>8532</v>
      </c>
      <c r="AC2460" s="462" t="s">
        <v>8533</v>
      </c>
      <c r="AD2460" s="464">
        <v>292.79219999999998</v>
      </c>
      <c r="AE2460" s="465">
        <v>13.413679999999999</v>
      </c>
      <c r="AF2460" s="86">
        <f>IF(verze!$E$1="CZK",AD2460,IF(verze!$E$1="SK",AE2460,""))</f>
        <v>13.413679999999999</v>
      </c>
    </row>
    <row r="2461" spans="27:32" ht="15">
      <c r="AA2461" s="463" t="s">
        <v>8534</v>
      </c>
      <c r="AB2461" s="462" t="s">
        <v>8535</v>
      </c>
      <c r="AC2461" s="462" t="s">
        <v>8536</v>
      </c>
      <c r="AD2461" s="464">
        <v>280.06241999999997</v>
      </c>
      <c r="AE2461" s="465">
        <v>12.83048</v>
      </c>
      <c r="AF2461" s="86">
        <f>IF(verze!$E$1="CZK",AD2461,IF(verze!$E$1="SK",AE2461,""))</f>
        <v>12.83048</v>
      </c>
    </row>
    <row r="2462" spans="27:32" ht="15">
      <c r="AA2462" s="463" t="s">
        <v>8537</v>
      </c>
      <c r="AB2462" s="462" t="s">
        <v>8538</v>
      </c>
      <c r="AC2462" s="462" t="s">
        <v>8539</v>
      </c>
      <c r="AD2462" s="464">
        <v>26.648900000000001</v>
      </c>
      <c r="AE2462" s="465">
        <v>1.06609</v>
      </c>
      <c r="AF2462" s="86">
        <f>IF(verze!$E$1="CZK",AD2462,IF(verze!$E$1="SK",AE2462,""))</f>
        <v>1.06609</v>
      </c>
    </row>
    <row r="2463" spans="27:32" ht="15">
      <c r="AA2463" s="463" t="s">
        <v>8540</v>
      </c>
      <c r="AB2463" s="462" t="s">
        <v>8541</v>
      </c>
      <c r="AC2463" s="462" t="s">
        <v>8542</v>
      </c>
      <c r="AD2463" s="464">
        <v>182.05099999999999</v>
      </c>
      <c r="AE2463" s="465">
        <v>7.28294</v>
      </c>
      <c r="AF2463" s="86">
        <f>IF(verze!$E$1="CZK",AD2463,IF(verze!$E$1="SK",AE2463,""))</f>
        <v>7.28294</v>
      </c>
    </row>
    <row r="2464" spans="27:32" ht="15">
      <c r="AA2464" s="463" t="s">
        <v>8543</v>
      </c>
      <c r="AB2464" s="462" t="s">
        <v>8544</v>
      </c>
      <c r="AC2464" s="462" t="s">
        <v>8545</v>
      </c>
      <c r="AD2464" s="464">
        <v>66.180760000000006</v>
      </c>
      <c r="AE2464" s="465">
        <v>3.0319400000000001</v>
      </c>
      <c r="AF2464" s="86">
        <f>IF(verze!$E$1="CZK",AD2464,IF(verze!$E$1="SK",AE2464,""))</f>
        <v>3.0319400000000001</v>
      </c>
    </row>
    <row r="2465" spans="27:32" ht="15">
      <c r="AA2465" s="463" t="s">
        <v>8546</v>
      </c>
      <c r="AB2465" s="462" t="s">
        <v>8547</v>
      </c>
      <c r="AC2465" s="462" t="s">
        <v>8548</v>
      </c>
      <c r="AD2465" s="464">
        <v>66.180760000000006</v>
      </c>
      <c r="AE2465" s="465">
        <v>3.0319400000000001</v>
      </c>
      <c r="AF2465" s="86">
        <f>IF(verze!$E$1="CZK",AD2465,IF(verze!$E$1="SK",AE2465,""))</f>
        <v>3.0319400000000001</v>
      </c>
    </row>
    <row r="2466" spans="27:32" ht="15">
      <c r="AA2466" s="463" t="s">
        <v>8549</v>
      </c>
      <c r="AB2466" s="462" t="s">
        <v>8550</v>
      </c>
      <c r="AC2466" s="462" t="s">
        <v>8551</v>
      </c>
      <c r="AD2466" s="464">
        <v>102.33126</v>
      </c>
      <c r="AE2466" s="465">
        <v>4.6881000000000004</v>
      </c>
      <c r="AF2466" s="86">
        <f>IF(verze!$E$1="CZK",AD2466,IF(verze!$E$1="SK",AE2466,""))</f>
        <v>4.6881000000000004</v>
      </c>
    </row>
    <row r="2467" spans="27:32" ht="15">
      <c r="AA2467" s="463" t="s">
        <v>8552</v>
      </c>
      <c r="AB2467" s="462" t="s">
        <v>8553</v>
      </c>
      <c r="AC2467" s="462" t="s">
        <v>8554</v>
      </c>
      <c r="AD2467" s="464">
        <v>507.56723</v>
      </c>
      <c r="AE2467" s="465">
        <v>23.253160000000001</v>
      </c>
      <c r="AF2467" s="86">
        <f>IF(verze!$E$1="CZK",AD2467,IF(verze!$E$1="SK",AE2467,""))</f>
        <v>23.253160000000001</v>
      </c>
    </row>
    <row r="2468" spans="27:32" ht="15">
      <c r="AA2468" s="463" t="s">
        <v>8555</v>
      </c>
      <c r="AB2468" s="462" t="s">
        <v>8556</v>
      </c>
      <c r="AC2468" s="462" t="s">
        <v>8557</v>
      </c>
      <c r="AD2468" s="464">
        <v>256.97165000000001</v>
      </c>
      <c r="AE2468" s="465">
        <v>11.772640000000001</v>
      </c>
      <c r="AF2468" s="86">
        <f>IF(verze!$E$1="CZK",AD2468,IF(verze!$E$1="SK",AE2468,""))</f>
        <v>11.772640000000001</v>
      </c>
    </row>
    <row r="2469" spans="27:32" ht="15">
      <c r="AA2469" s="463" t="s">
        <v>8558</v>
      </c>
      <c r="AB2469" s="462" t="s">
        <v>8559</v>
      </c>
      <c r="AC2469" s="462" t="s">
        <v>8560</v>
      </c>
      <c r="AD2469" s="464">
        <v>154.30682999999999</v>
      </c>
      <c r="AE2469" s="465">
        <v>7.0692599999999999</v>
      </c>
      <c r="AF2469" s="86">
        <f>IF(verze!$E$1="CZK",AD2469,IF(verze!$E$1="SK",AE2469,""))</f>
        <v>7.0692599999999999</v>
      </c>
    </row>
    <row r="2470" spans="27:32" ht="15">
      <c r="AA2470" s="463" t="s">
        <v>8561</v>
      </c>
      <c r="AB2470" s="462" t="s">
        <v>8562</v>
      </c>
      <c r="AC2470" s="462" t="s">
        <v>8563</v>
      </c>
      <c r="AD2470" s="464">
        <v>161.32044999999999</v>
      </c>
      <c r="AE2470" s="465">
        <v>7.3905799999999999</v>
      </c>
      <c r="AF2470" s="86">
        <f>IF(verze!$E$1="CZK",AD2470,IF(verze!$E$1="SK",AE2470,""))</f>
        <v>7.3905799999999999</v>
      </c>
    </row>
    <row r="2471" spans="27:32" ht="15">
      <c r="AA2471" s="463" t="s">
        <v>8564</v>
      </c>
      <c r="AB2471" s="462" t="s">
        <v>8565</v>
      </c>
      <c r="AC2471" s="462" t="s">
        <v>8566</v>
      </c>
      <c r="AD2471" s="464">
        <v>398.38551999999999</v>
      </c>
      <c r="AE2471" s="465">
        <v>18.251239999999999</v>
      </c>
      <c r="AF2471" s="86">
        <f>IF(verze!$E$1="CZK",AD2471,IF(verze!$E$1="SK",AE2471,""))</f>
        <v>18.251239999999999</v>
      </c>
    </row>
    <row r="2472" spans="27:32" ht="15">
      <c r="AA2472" s="463" t="s">
        <v>8567</v>
      </c>
      <c r="AB2472" s="462" t="s">
        <v>8568</v>
      </c>
      <c r="AC2472" s="462" t="s">
        <v>8569</v>
      </c>
      <c r="AD2472" s="464">
        <v>101.28951000000001</v>
      </c>
      <c r="AE2472" s="465">
        <v>4.6403800000000004</v>
      </c>
      <c r="AF2472" s="86">
        <f>IF(verze!$E$1="CZK",AD2472,IF(verze!$E$1="SK",AE2472,""))</f>
        <v>4.6403800000000004</v>
      </c>
    </row>
    <row r="2473" spans="27:32" ht="15">
      <c r="AA2473" s="463" t="s">
        <v>8570</v>
      </c>
      <c r="AB2473" s="462" t="s">
        <v>8571</v>
      </c>
      <c r="AC2473" s="462" t="s">
        <v>8572</v>
      </c>
      <c r="AD2473" s="464">
        <v>101.28951000000001</v>
      </c>
      <c r="AE2473" s="465">
        <v>4.6403800000000004</v>
      </c>
      <c r="AF2473" s="86">
        <f>IF(verze!$E$1="CZK",AD2473,IF(verze!$E$1="SK",AE2473,""))</f>
        <v>4.6403800000000004</v>
      </c>
    </row>
    <row r="2474" spans="27:32" ht="15">
      <c r="AA2474" s="463" t="s">
        <v>8573</v>
      </c>
      <c r="AB2474" s="462" t="s">
        <v>8574</v>
      </c>
      <c r="AC2474" s="462" t="s">
        <v>8575</v>
      </c>
      <c r="AD2474" s="464">
        <v>101.28951000000001</v>
      </c>
      <c r="AE2474" s="465">
        <v>4.6403800000000004</v>
      </c>
      <c r="AF2474" s="86">
        <f>IF(verze!$E$1="CZK",AD2474,IF(verze!$E$1="SK",AE2474,""))</f>
        <v>4.6403800000000004</v>
      </c>
    </row>
    <row r="2475" spans="27:32" ht="15">
      <c r="AA2475" s="463" t="s">
        <v>8576</v>
      </c>
      <c r="AB2475" s="462" t="s">
        <v>8577</v>
      </c>
      <c r="AC2475" s="462" t="s">
        <v>8578</v>
      </c>
      <c r="AD2475" s="464">
        <v>101.28951000000001</v>
      </c>
      <c r="AE2475" s="465">
        <v>4.6403800000000004</v>
      </c>
      <c r="AF2475" s="86">
        <f>IF(verze!$E$1="CZK",AD2475,IF(verze!$E$1="SK",AE2475,""))</f>
        <v>4.6403800000000004</v>
      </c>
    </row>
    <row r="2476" spans="27:32" ht="15">
      <c r="AA2476" s="463" t="s">
        <v>8579</v>
      </c>
      <c r="AB2476" s="462" t="s">
        <v>8580</v>
      </c>
      <c r="AC2476" s="462" t="s">
        <v>8581</v>
      </c>
      <c r="AD2476" s="464">
        <v>86.320800000000006</v>
      </c>
      <c r="AE2476" s="465">
        <v>3.9546199999999998</v>
      </c>
      <c r="AF2476" s="86">
        <f>IF(verze!$E$1="CZK",AD2476,IF(verze!$E$1="SK",AE2476,""))</f>
        <v>3.9546199999999998</v>
      </c>
    </row>
    <row r="2477" spans="27:32" ht="15">
      <c r="AA2477" s="463" t="s">
        <v>8582</v>
      </c>
      <c r="AB2477" s="462" t="s">
        <v>8583</v>
      </c>
      <c r="AC2477" s="462" t="s">
        <v>8584</v>
      </c>
      <c r="AD2477" s="464">
        <v>72.983029999999999</v>
      </c>
      <c r="AE2477" s="465">
        <v>3.3435800000000002</v>
      </c>
      <c r="AF2477" s="86">
        <f>IF(verze!$E$1="CZK",AD2477,IF(verze!$E$1="SK",AE2477,""))</f>
        <v>3.3435800000000002</v>
      </c>
    </row>
    <row r="2478" spans="27:32" ht="15">
      <c r="AA2478" s="463" t="s">
        <v>8585</v>
      </c>
      <c r="AB2478" s="462" t="s">
        <v>8586</v>
      </c>
      <c r="AC2478" s="462" t="s">
        <v>8587</v>
      </c>
      <c r="AD2478" s="464">
        <v>72.983029999999999</v>
      </c>
      <c r="AE2478" s="465">
        <v>3.3435800000000002</v>
      </c>
      <c r="AF2478" s="86">
        <f>IF(verze!$E$1="CZK",AD2478,IF(verze!$E$1="SK",AE2478,""))</f>
        <v>3.3435800000000002</v>
      </c>
    </row>
    <row r="2479" spans="27:32" ht="15">
      <c r="AA2479" s="463" t="s">
        <v>8588</v>
      </c>
      <c r="AB2479" s="462" t="s">
        <v>8589</v>
      </c>
      <c r="AC2479" s="462" t="s">
        <v>8590</v>
      </c>
      <c r="AD2479" s="464">
        <v>105.00766</v>
      </c>
      <c r="AE2479" s="465">
        <v>4.8106999999999998</v>
      </c>
      <c r="AF2479" s="86">
        <f>IF(verze!$E$1="CZK",AD2479,IF(verze!$E$1="SK",AE2479,""))</f>
        <v>4.8106999999999998</v>
      </c>
    </row>
    <row r="2480" spans="27:32" ht="15">
      <c r="AA2480" s="463" t="s">
        <v>8591</v>
      </c>
      <c r="AB2480" s="462" t="s">
        <v>8592</v>
      </c>
      <c r="AC2480" s="462" t="s">
        <v>8593</v>
      </c>
      <c r="AD2480" s="464">
        <v>384.00621000000001</v>
      </c>
      <c r="AE2480" s="465">
        <v>17.592459999999999</v>
      </c>
      <c r="AF2480" s="86">
        <f>IF(verze!$E$1="CZK",AD2480,IF(verze!$E$1="SK",AE2480,""))</f>
        <v>17.592459999999999</v>
      </c>
    </row>
    <row r="2481" spans="27:32" ht="15">
      <c r="AA2481" s="463" t="s">
        <v>8594</v>
      </c>
      <c r="AB2481" s="462" t="s">
        <v>8595</v>
      </c>
      <c r="AC2481" s="462" t="s">
        <v>8596</v>
      </c>
      <c r="AD2481" s="464">
        <v>541.36012000000005</v>
      </c>
      <c r="AE2481" s="465">
        <v>24.80132</v>
      </c>
      <c r="AF2481" s="86">
        <f>IF(verze!$E$1="CZK",AD2481,IF(verze!$E$1="SK",AE2481,""))</f>
        <v>24.80132</v>
      </c>
    </row>
    <row r="2482" spans="27:32" ht="15">
      <c r="AA2482" s="463" t="s">
        <v>8597</v>
      </c>
      <c r="AB2482" s="462" t="s">
        <v>8598</v>
      </c>
      <c r="AC2482" s="462" t="s">
        <v>8599</v>
      </c>
      <c r="AD2482" s="464">
        <v>635.71758</v>
      </c>
      <c r="AE2482" s="465">
        <v>29.124099999999999</v>
      </c>
      <c r="AF2482" s="86">
        <f>IF(verze!$E$1="CZK",AD2482,IF(verze!$E$1="SK",AE2482,""))</f>
        <v>29.124099999999999</v>
      </c>
    </row>
    <row r="2483" spans="27:32" ht="15">
      <c r="AA2483" s="463" t="s">
        <v>8600</v>
      </c>
      <c r="AB2483" s="462" t="s">
        <v>8601</v>
      </c>
      <c r="AC2483" s="462" t="s">
        <v>8602</v>
      </c>
      <c r="AD2483" s="464">
        <v>667.21208000000001</v>
      </c>
      <c r="AE2483" s="465">
        <v>30.566960000000002</v>
      </c>
      <c r="AF2483" s="86">
        <f>IF(verze!$E$1="CZK",AD2483,IF(verze!$E$1="SK",AE2483,""))</f>
        <v>30.566960000000002</v>
      </c>
    </row>
    <row r="2484" spans="27:32" ht="15">
      <c r="AA2484" s="463" t="s">
        <v>8603</v>
      </c>
      <c r="AB2484" s="462" t="s">
        <v>8604</v>
      </c>
      <c r="AC2484" s="462" t="s">
        <v>8605</v>
      </c>
      <c r="AD2484" s="464">
        <v>698.66584999999998</v>
      </c>
      <c r="AE2484" s="465">
        <v>32.007959999999997</v>
      </c>
      <c r="AF2484" s="86">
        <f>IF(verze!$E$1="CZK",AD2484,IF(verze!$E$1="SK",AE2484,""))</f>
        <v>32.007959999999997</v>
      </c>
    </row>
    <row r="2485" spans="27:32" ht="15">
      <c r="AA2485" s="463" t="s">
        <v>8606</v>
      </c>
      <c r="AB2485" s="462" t="s">
        <v>8607</v>
      </c>
      <c r="AC2485" s="462" t="s">
        <v>8608</v>
      </c>
      <c r="AD2485" s="464">
        <v>863.83783000000005</v>
      </c>
      <c r="AE2485" s="465">
        <v>39.574979999999996</v>
      </c>
      <c r="AF2485" s="86">
        <f>IF(verze!$E$1="CZK",AD2485,IF(verze!$E$1="SK",AE2485,""))</f>
        <v>39.574979999999996</v>
      </c>
    </row>
    <row r="2486" spans="27:32" ht="15">
      <c r="AA2486" s="463" t="s">
        <v>8609</v>
      </c>
      <c r="AB2486" s="462" t="s">
        <v>8610</v>
      </c>
      <c r="AC2486" s="462" t="s">
        <v>8611</v>
      </c>
      <c r="AD2486" s="464">
        <v>962.12842999999998</v>
      </c>
      <c r="AE2486" s="465">
        <v>44.077939999999998</v>
      </c>
      <c r="AF2486" s="86">
        <f>IF(verze!$E$1="CZK",AD2486,IF(verze!$E$1="SK",AE2486,""))</f>
        <v>44.077939999999998</v>
      </c>
    </row>
    <row r="2487" spans="27:32" ht="15">
      <c r="AA2487" s="463" t="s">
        <v>8612</v>
      </c>
      <c r="AB2487" s="462" t="s">
        <v>8613</v>
      </c>
      <c r="AC2487" s="462" t="s">
        <v>8614</v>
      </c>
      <c r="AD2487" s="464">
        <v>1060.5005000000001</v>
      </c>
      <c r="AE2487" s="465">
        <v>48.58466</v>
      </c>
      <c r="AF2487" s="86">
        <f>IF(verze!$E$1="CZK",AD2487,IF(verze!$E$1="SK",AE2487,""))</f>
        <v>48.58466</v>
      </c>
    </row>
    <row r="2488" spans="27:32" ht="15">
      <c r="AA2488" s="463" t="s">
        <v>8615</v>
      </c>
      <c r="AB2488" s="462" t="s">
        <v>8616</v>
      </c>
      <c r="AC2488" s="462" t="s">
        <v>8617</v>
      </c>
      <c r="AD2488" s="464">
        <v>93.605029999999999</v>
      </c>
      <c r="AE2488" s="465">
        <v>4.2883199999999997</v>
      </c>
      <c r="AF2488" s="86">
        <f>IF(verze!$E$1="CZK",AD2488,IF(verze!$E$1="SK",AE2488,""))</f>
        <v>4.2883199999999997</v>
      </c>
    </row>
    <row r="2489" spans="27:32" ht="15">
      <c r="AA2489" s="463" t="s">
        <v>8618</v>
      </c>
      <c r="AB2489" s="462" t="s">
        <v>8619</v>
      </c>
      <c r="AC2489" s="462" t="s">
        <v>8620</v>
      </c>
      <c r="AD2489" s="464">
        <v>140.06833</v>
      </c>
      <c r="AE2489" s="465">
        <v>6.4169400000000003</v>
      </c>
      <c r="AF2489" s="86">
        <f>IF(verze!$E$1="CZK",AD2489,IF(verze!$E$1="SK",AE2489,""))</f>
        <v>6.4169400000000003</v>
      </c>
    </row>
    <row r="2490" spans="27:32" ht="15">
      <c r="AA2490" s="463" t="s">
        <v>8621</v>
      </c>
      <c r="AB2490" s="462" t="s">
        <v>8622</v>
      </c>
      <c r="AC2490" s="462" t="s">
        <v>8623</v>
      </c>
      <c r="AD2490" s="464">
        <v>144.53521000000001</v>
      </c>
      <c r="AE2490" s="465">
        <v>6.6215999999999999</v>
      </c>
      <c r="AF2490" s="86">
        <f>IF(verze!$E$1="CZK",AD2490,IF(verze!$E$1="SK",AE2490,""))</f>
        <v>6.6215999999999999</v>
      </c>
    </row>
    <row r="2491" spans="27:32" ht="15">
      <c r="AA2491" s="463" t="s">
        <v>8624</v>
      </c>
      <c r="AB2491" s="462" t="s">
        <v>8625</v>
      </c>
      <c r="AC2491" s="462" t="s">
        <v>8626</v>
      </c>
      <c r="AD2491" s="464">
        <v>348.48592000000002</v>
      </c>
      <c r="AE2491" s="465">
        <v>15.965159999999999</v>
      </c>
      <c r="AF2491" s="86">
        <f>IF(verze!$E$1="CZK",AD2491,IF(verze!$E$1="SK",AE2491,""))</f>
        <v>15.965159999999999</v>
      </c>
    </row>
    <row r="2492" spans="27:32" ht="15">
      <c r="AA2492" s="463" t="s">
        <v>8627</v>
      </c>
      <c r="AB2492" s="462" t="s">
        <v>8628</v>
      </c>
      <c r="AC2492" s="462" t="s">
        <v>8629</v>
      </c>
      <c r="AD2492" s="464">
        <v>308.27625</v>
      </c>
      <c r="AE2492" s="465">
        <v>14.123060000000001</v>
      </c>
      <c r="AF2492" s="86">
        <f>IF(verze!$E$1="CZK",AD2492,IF(verze!$E$1="SK",AE2492,""))</f>
        <v>14.123060000000001</v>
      </c>
    </row>
    <row r="2493" spans="27:32" ht="15">
      <c r="AA2493" s="463" t="s">
        <v>8630</v>
      </c>
      <c r="AB2493" s="462" t="s">
        <v>8631</v>
      </c>
      <c r="AC2493" s="462" t="s">
        <v>8632</v>
      </c>
      <c r="AD2493" s="464">
        <v>460.89267999999998</v>
      </c>
      <c r="AE2493" s="465">
        <v>21.114840000000001</v>
      </c>
      <c r="AF2493" s="86">
        <f>IF(verze!$E$1="CZK",AD2493,IF(verze!$E$1="SK",AE2493,""))</f>
        <v>21.114840000000001</v>
      </c>
    </row>
    <row r="2494" spans="27:32" ht="15">
      <c r="AA2494" s="463" t="s">
        <v>8633</v>
      </c>
      <c r="AB2494" s="462" t="s">
        <v>8634</v>
      </c>
      <c r="AC2494" s="462" t="s">
        <v>8635</v>
      </c>
      <c r="AD2494" s="464">
        <v>407.71231</v>
      </c>
      <c r="AE2494" s="465">
        <v>18.6785</v>
      </c>
      <c r="AF2494" s="86">
        <f>IF(verze!$E$1="CZK",AD2494,IF(verze!$E$1="SK",AE2494,""))</f>
        <v>18.6785</v>
      </c>
    </row>
    <row r="2495" spans="27:32" ht="15">
      <c r="AA2495" s="463" t="s">
        <v>8636</v>
      </c>
      <c r="AB2495" s="462" t="s">
        <v>8637</v>
      </c>
      <c r="AC2495" s="462" t="s">
        <v>8638</v>
      </c>
      <c r="AD2495" s="464">
        <v>72.541920000000005</v>
      </c>
      <c r="AE2495" s="465">
        <v>3.3233600000000001</v>
      </c>
      <c r="AF2495" s="86">
        <f>IF(verze!$E$1="CZK",AD2495,IF(verze!$E$1="SK",AE2495,""))</f>
        <v>3.3233600000000001</v>
      </c>
    </row>
    <row r="2496" spans="27:32" ht="15">
      <c r="AA2496" s="463" t="s">
        <v>8639</v>
      </c>
      <c r="AB2496" s="462" t="s">
        <v>8640</v>
      </c>
      <c r="AC2496" s="462" t="s">
        <v>8641</v>
      </c>
      <c r="AD2496" s="464">
        <v>3.16208</v>
      </c>
      <c r="AE2496" s="465">
        <v>0.14488000000000001</v>
      </c>
      <c r="AF2496" s="86">
        <f>IF(verze!$E$1="CZK",AD2496,IF(verze!$E$1="SK",AE2496,""))</f>
        <v>0.14488000000000001</v>
      </c>
    </row>
    <row r="2497" spans="27:32" ht="15">
      <c r="AA2497" s="463" t="s">
        <v>8642</v>
      </c>
      <c r="AB2497" s="462" t="s">
        <v>8643</v>
      </c>
      <c r="AC2497" s="462" t="s">
        <v>8644</v>
      </c>
      <c r="AD2497" s="464">
        <v>165.71317999999999</v>
      </c>
      <c r="AE2497" s="465">
        <v>7.5918200000000002</v>
      </c>
      <c r="AF2497" s="86">
        <f>IF(verze!$E$1="CZK",AD2497,IF(verze!$E$1="SK",AE2497,""))</f>
        <v>7.5918200000000002</v>
      </c>
    </row>
    <row r="2498" spans="27:32" ht="15">
      <c r="AA2498" s="463" t="s">
        <v>8645</v>
      </c>
      <c r="AB2498" s="462" t="s">
        <v>8646</v>
      </c>
      <c r="AC2498" s="462" t="s">
        <v>8647</v>
      </c>
      <c r="AD2498" s="464">
        <v>588.96888000000001</v>
      </c>
      <c r="AE2498" s="465">
        <v>26.982399999999998</v>
      </c>
      <c r="AF2498" s="86">
        <f>IF(verze!$E$1="CZK",AD2498,IF(verze!$E$1="SK",AE2498,""))</f>
        <v>26.982399999999998</v>
      </c>
    </row>
    <row r="2499" spans="27:32" ht="15">
      <c r="AA2499" s="463" t="s">
        <v>8648</v>
      </c>
      <c r="AB2499" s="462" t="s">
        <v>8649</v>
      </c>
      <c r="AC2499" s="462" t="s">
        <v>8650</v>
      </c>
      <c r="AD2499" s="464">
        <v>615.74069999999995</v>
      </c>
      <c r="AE2499" s="465">
        <v>28.2089</v>
      </c>
      <c r="AF2499" s="86">
        <f>IF(verze!$E$1="CZK",AD2499,IF(verze!$E$1="SK",AE2499,""))</f>
        <v>28.2089</v>
      </c>
    </row>
    <row r="2500" spans="27:32" ht="15">
      <c r="AA2500" s="463" t="s">
        <v>8651</v>
      </c>
      <c r="AB2500" s="462" t="s">
        <v>8652</v>
      </c>
      <c r="AC2500" s="462" t="s">
        <v>8653</v>
      </c>
      <c r="AD2500" s="464">
        <v>334.89605999999998</v>
      </c>
      <c r="AE2500" s="465">
        <v>15.34258</v>
      </c>
      <c r="AF2500" s="86">
        <f>IF(verze!$E$1="CZK",AD2500,IF(verze!$E$1="SK",AE2500,""))</f>
        <v>15.34258</v>
      </c>
    </row>
    <row r="2501" spans="27:32" ht="15">
      <c r="AA2501" s="463" t="s">
        <v>8654</v>
      </c>
      <c r="AB2501" s="462" t="s">
        <v>8655</v>
      </c>
      <c r="AC2501" s="462" t="s">
        <v>8656</v>
      </c>
      <c r="AD2501" s="464">
        <v>621.42345</v>
      </c>
      <c r="AE2501" s="465">
        <v>28.469259999999998</v>
      </c>
      <c r="AF2501" s="86">
        <f>IF(verze!$E$1="CZK",AD2501,IF(verze!$E$1="SK",AE2501,""))</f>
        <v>28.469259999999998</v>
      </c>
    </row>
    <row r="2502" spans="27:32" ht="15">
      <c r="AA2502" s="463" t="s">
        <v>8657</v>
      </c>
      <c r="AB2502" s="462" t="s">
        <v>8658</v>
      </c>
      <c r="AC2502" s="462" t="s">
        <v>8659</v>
      </c>
      <c r="AD2502" s="464">
        <v>91.921980000000005</v>
      </c>
      <c r="AE2502" s="465">
        <v>4.2111999999999998</v>
      </c>
      <c r="AF2502" s="86">
        <f>IF(verze!$E$1="CZK",AD2502,IF(verze!$E$1="SK",AE2502,""))</f>
        <v>4.2111999999999998</v>
      </c>
    </row>
    <row r="2503" spans="27:32" ht="15">
      <c r="AA2503" s="463" t="s">
        <v>8660</v>
      </c>
      <c r="AB2503" s="462" t="s">
        <v>8661</v>
      </c>
      <c r="AC2503" s="462" t="s">
        <v>8662</v>
      </c>
      <c r="AD2503" s="464">
        <v>225.39556999999999</v>
      </c>
      <c r="AE2503" s="465">
        <v>10.326040000000001</v>
      </c>
      <c r="AF2503" s="86">
        <f>IF(verze!$E$1="CZK",AD2503,IF(verze!$E$1="SK",AE2503,""))</f>
        <v>10.326040000000001</v>
      </c>
    </row>
    <row r="2504" spans="27:32" ht="15">
      <c r="AA2504" s="463" t="s">
        <v>8663</v>
      </c>
      <c r="AB2504" s="462" t="s">
        <v>8664</v>
      </c>
      <c r="AC2504" s="462" t="s">
        <v>8665</v>
      </c>
      <c r="AD2504" s="464">
        <v>138.57068000000001</v>
      </c>
      <c r="AE2504" s="465">
        <v>6.3483200000000002</v>
      </c>
      <c r="AF2504" s="86">
        <f>IF(verze!$E$1="CZK",AD2504,IF(verze!$E$1="SK",AE2504,""))</f>
        <v>6.3483200000000002</v>
      </c>
    </row>
    <row r="2505" spans="27:32" ht="15">
      <c r="AA2505" s="463" t="s">
        <v>8666</v>
      </c>
      <c r="AB2505" s="462" t="s">
        <v>8667</v>
      </c>
      <c r="AC2505" s="462" t="s">
        <v>8668</v>
      </c>
      <c r="AD2505" s="464">
        <v>291.92478</v>
      </c>
      <c r="AE2505" s="465">
        <v>13.373939999999999</v>
      </c>
      <c r="AF2505" s="86">
        <f>IF(verze!$E$1="CZK",AD2505,IF(verze!$E$1="SK",AE2505,""))</f>
        <v>13.373939999999999</v>
      </c>
    </row>
    <row r="2506" spans="27:32" ht="15">
      <c r="AA2506" s="463" t="s">
        <v>8669</v>
      </c>
      <c r="AB2506" s="462" t="s">
        <v>8670</v>
      </c>
      <c r="AC2506" s="462" t="s">
        <v>8671</v>
      </c>
      <c r="AD2506" s="464">
        <v>633.89369999999997</v>
      </c>
      <c r="AE2506" s="465">
        <v>29.04054</v>
      </c>
      <c r="AF2506" s="86">
        <f>IF(verze!$E$1="CZK",AD2506,IF(verze!$E$1="SK",AE2506,""))</f>
        <v>29.04054</v>
      </c>
    </row>
    <row r="2507" spans="27:32" ht="15">
      <c r="AA2507" s="463" t="s">
        <v>8672</v>
      </c>
      <c r="AB2507" s="462" t="s">
        <v>8673</v>
      </c>
      <c r="AC2507" s="462" t="s">
        <v>8674</v>
      </c>
      <c r="AD2507" s="464">
        <v>658.35978999999998</v>
      </c>
      <c r="AE2507" s="465">
        <v>30.16142</v>
      </c>
      <c r="AF2507" s="86">
        <f>IF(verze!$E$1="CZK",AD2507,IF(verze!$E$1="SK",AE2507,""))</f>
        <v>30.16142</v>
      </c>
    </row>
    <row r="2508" spans="27:32" ht="15">
      <c r="AA2508" s="463" t="s">
        <v>8675</v>
      </c>
      <c r="AB2508" s="462" t="s">
        <v>8676</v>
      </c>
      <c r="AC2508" s="462" t="s">
        <v>8677</v>
      </c>
      <c r="AD2508" s="464">
        <v>142.46297999999999</v>
      </c>
      <c r="AE2508" s="465">
        <v>6.5266400000000004</v>
      </c>
      <c r="AF2508" s="86">
        <f>IF(verze!$E$1="CZK",AD2508,IF(verze!$E$1="SK",AE2508,""))</f>
        <v>6.5266400000000004</v>
      </c>
    </row>
    <row r="2509" spans="27:32" ht="15">
      <c r="AA2509" s="463" t="s">
        <v>8678</v>
      </c>
      <c r="AB2509" s="462" t="s">
        <v>8679</v>
      </c>
      <c r="AC2509" s="462" t="s">
        <v>8680</v>
      </c>
      <c r="AD2509" s="464">
        <v>149.58413999999999</v>
      </c>
      <c r="AE2509" s="465">
        <v>6.8529</v>
      </c>
      <c r="AF2509" s="86">
        <f>IF(verze!$E$1="CZK",AD2509,IF(verze!$E$1="SK",AE2509,""))</f>
        <v>6.8529</v>
      </c>
    </row>
    <row r="2510" spans="27:32" ht="15">
      <c r="AA2510" s="463" t="s">
        <v>8681</v>
      </c>
      <c r="AB2510" s="462" t="s">
        <v>8682</v>
      </c>
      <c r="AC2510" s="462" t="s">
        <v>8683</v>
      </c>
      <c r="AD2510" s="464">
        <v>282.49790000000002</v>
      </c>
      <c r="AE2510" s="465">
        <v>12.942080000000001</v>
      </c>
      <c r="AF2510" s="86">
        <f>IF(verze!$E$1="CZK",AD2510,IF(verze!$E$1="SK",AE2510,""))</f>
        <v>12.942080000000001</v>
      </c>
    </row>
    <row r="2511" spans="27:32" ht="15">
      <c r="AA2511" s="463" t="s">
        <v>8684</v>
      </c>
      <c r="AB2511" s="462" t="s">
        <v>8685</v>
      </c>
      <c r="AC2511" s="462" t="s">
        <v>8686</v>
      </c>
      <c r="AD2511" s="464">
        <v>206.0822</v>
      </c>
      <c r="AE2511" s="465">
        <v>9.4412400000000005</v>
      </c>
      <c r="AF2511" s="86">
        <f>IF(verze!$E$1="CZK",AD2511,IF(verze!$E$1="SK",AE2511,""))</f>
        <v>9.4412400000000005</v>
      </c>
    </row>
    <row r="2512" spans="27:32" ht="15">
      <c r="AA2512" s="463" t="s">
        <v>8687</v>
      </c>
      <c r="AB2512" s="462" t="s">
        <v>8688</v>
      </c>
      <c r="AC2512" s="462" t="s">
        <v>8689</v>
      </c>
      <c r="AD2512" s="464">
        <v>197.12237999999999</v>
      </c>
      <c r="AE2512" s="465">
        <v>9.0307600000000008</v>
      </c>
      <c r="AF2512" s="86">
        <f>IF(verze!$E$1="CZK",AD2512,IF(verze!$E$1="SK",AE2512,""))</f>
        <v>9.0307600000000008</v>
      </c>
    </row>
    <row r="2513" spans="27:32" ht="15">
      <c r="AA2513" s="463" t="s">
        <v>8690</v>
      </c>
      <c r="AB2513" s="462" t="s">
        <v>8691</v>
      </c>
      <c r="AC2513" s="462" t="s">
        <v>8692</v>
      </c>
      <c r="AD2513" s="464">
        <v>2505.9042800000002</v>
      </c>
      <c r="AE2513" s="465">
        <v>114.80289999999999</v>
      </c>
      <c r="AF2513" s="86">
        <f>IF(verze!$E$1="CZK",AD2513,IF(verze!$E$1="SK",AE2513,""))</f>
        <v>114.80289999999999</v>
      </c>
    </row>
    <row r="2514" spans="27:32" ht="15">
      <c r="AA2514" s="463" t="s">
        <v>8693</v>
      </c>
      <c r="AB2514" s="462" t="s">
        <v>8694</v>
      </c>
      <c r="AC2514" s="462" t="s">
        <v>8695</v>
      </c>
      <c r="AD2514" s="464">
        <v>2505.9042800000002</v>
      </c>
      <c r="AE2514" s="465">
        <v>114.80289999999999</v>
      </c>
      <c r="AF2514" s="86">
        <f>IF(verze!$E$1="CZK",AD2514,IF(verze!$E$1="SK",AE2514,""))</f>
        <v>114.80289999999999</v>
      </c>
    </row>
    <row r="2515" spans="27:32" ht="15">
      <c r="AA2515" s="463" t="s">
        <v>8696</v>
      </c>
      <c r="AB2515" s="462" t="s">
        <v>8697</v>
      </c>
      <c r="AC2515" s="462" t="s">
        <v>8698</v>
      </c>
      <c r="AD2515" s="464">
        <v>383.62806</v>
      </c>
      <c r="AE2515" s="465">
        <v>17.575140000000001</v>
      </c>
      <c r="AF2515" s="86">
        <f>IF(verze!$E$1="CZK",AD2515,IF(verze!$E$1="SK",AE2515,""))</f>
        <v>17.575140000000001</v>
      </c>
    </row>
    <row r="2516" spans="27:32" ht="15">
      <c r="AA2516" s="463" t="s">
        <v>8699</v>
      </c>
      <c r="AB2516" s="462" t="s">
        <v>8700</v>
      </c>
      <c r="AC2516" s="462" t="s">
        <v>8701</v>
      </c>
      <c r="AD2516" s="464">
        <v>111.38363</v>
      </c>
      <c r="AE2516" s="465">
        <v>5.1028200000000004</v>
      </c>
      <c r="AF2516" s="86">
        <f>IF(verze!$E$1="CZK",AD2516,IF(verze!$E$1="SK",AE2516,""))</f>
        <v>5.1028200000000004</v>
      </c>
    </row>
    <row r="2517" spans="27:32" ht="15">
      <c r="AA2517" s="463" t="s">
        <v>8702</v>
      </c>
      <c r="AB2517" s="462" t="s">
        <v>8703</v>
      </c>
      <c r="AC2517" s="462" t="s">
        <v>8704</v>
      </c>
      <c r="AD2517" s="464">
        <v>153.5061</v>
      </c>
      <c r="AE2517" s="465">
        <v>7.0325600000000001</v>
      </c>
      <c r="AF2517" s="86">
        <f>IF(verze!$E$1="CZK",AD2517,IF(verze!$E$1="SK",AE2517,""))</f>
        <v>7.0325600000000001</v>
      </c>
    </row>
    <row r="2518" spans="27:32" ht="15">
      <c r="AA2518" s="463" t="s">
        <v>8705</v>
      </c>
      <c r="AB2518" s="462" t="s">
        <v>8706</v>
      </c>
      <c r="AC2518" s="462" t="s">
        <v>8707</v>
      </c>
      <c r="AD2518" s="464">
        <v>269.04525999999998</v>
      </c>
      <c r="AE2518" s="465">
        <v>12.325760000000001</v>
      </c>
      <c r="AF2518" s="86">
        <f>IF(verze!$E$1="CZK",AD2518,IF(verze!$E$1="SK",AE2518,""))</f>
        <v>12.325760000000001</v>
      </c>
    </row>
    <row r="2519" spans="27:32" ht="15">
      <c r="AA2519" s="463" t="s">
        <v>8708</v>
      </c>
      <c r="AB2519" s="462" t="s">
        <v>8709</v>
      </c>
      <c r="AC2519" s="462" t="s">
        <v>8710</v>
      </c>
      <c r="AD2519" s="464">
        <v>229.59183999999999</v>
      </c>
      <c r="AE2519" s="465">
        <v>10.518280000000001</v>
      </c>
      <c r="AF2519" s="86">
        <f>IF(verze!$E$1="CZK",AD2519,IF(verze!$E$1="SK",AE2519,""))</f>
        <v>10.518280000000001</v>
      </c>
    </row>
    <row r="2520" spans="27:32" ht="15">
      <c r="AA2520" s="463" t="s">
        <v>8711</v>
      </c>
      <c r="AB2520" s="462" t="s">
        <v>8712</v>
      </c>
      <c r="AC2520" s="462" t="s">
        <v>8713</v>
      </c>
      <c r="AD2520" s="464">
        <v>204.41777999999999</v>
      </c>
      <c r="AE2520" s="465">
        <v>9.3650000000000002</v>
      </c>
      <c r="AF2520" s="86">
        <f>IF(verze!$E$1="CZK",AD2520,IF(verze!$E$1="SK",AE2520,""))</f>
        <v>9.3650000000000002</v>
      </c>
    </row>
    <row r="2521" spans="27:32" ht="15">
      <c r="AA2521" s="463" t="s">
        <v>8714</v>
      </c>
      <c r="AB2521" s="462" t="s">
        <v>8715</v>
      </c>
      <c r="AC2521" s="462" t="s">
        <v>8716</v>
      </c>
      <c r="AD2521" s="464">
        <v>371.43948</v>
      </c>
      <c r="AE2521" s="465">
        <v>17.016760000000001</v>
      </c>
      <c r="AF2521" s="86">
        <f>IF(verze!$E$1="CZK",AD2521,IF(verze!$E$1="SK",AE2521,""))</f>
        <v>17.016760000000001</v>
      </c>
    </row>
    <row r="2522" spans="27:32" ht="15">
      <c r="AA2522" s="463" t="s">
        <v>8717</v>
      </c>
      <c r="AB2522" s="462" t="s">
        <v>8718</v>
      </c>
      <c r="AC2522" s="462" t="s">
        <v>8719</v>
      </c>
      <c r="AD2522" s="464">
        <v>371.43948</v>
      </c>
      <c r="AE2522" s="465">
        <v>17.016760000000001</v>
      </c>
      <c r="AF2522" s="86">
        <f>IF(verze!$E$1="CZK",AD2522,IF(verze!$E$1="SK",AE2522,""))</f>
        <v>17.016760000000001</v>
      </c>
    </row>
    <row r="2523" spans="27:32" ht="15">
      <c r="AA2523" s="463" t="s">
        <v>8720</v>
      </c>
      <c r="AB2523" s="462" t="s">
        <v>8721</v>
      </c>
      <c r="AC2523" s="462" t="s">
        <v>8722</v>
      </c>
      <c r="AD2523" s="464">
        <v>371.43948</v>
      </c>
      <c r="AE2523" s="465">
        <v>17.016760000000001</v>
      </c>
      <c r="AF2523" s="86">
        <f>IF(verze!$E$1="CZK",AD2523,IF(verze!$E$1="SK",AE2523,""))</f>
        <v>17.016760000000001</v>
      </c>
    </row>
    <row r="2524" spans="27:32" ht="15">
      <c r="AA2524" s="463" t="s">
        <v>8723</v>
      </c>
      <c r="AB2524" s="462" t="s">
        <v>8724</v>
      </c>
      <c r="AC2524" s="462" t="s">
        <v>8725</v>
      </c>
      <c r="AD2524" s="464">
        <v>222.41889</v>
      </c>
      <c r="AE2524" s="465">
        <v>10.189679999999999</v>
      </c>
      <c r="AF2524" s="86">
        <f>IF(verze!$E$1="CZK",AD2524,IF(verze!$E$1="SK",AE2524,""))</f>
        <v>10.189679999999999</v>
      </c>
    </row>
    <row r="2525" spans="27:32" ht="15">
      <c r="AA2525" s="463" t="s">
        <v>8726</v>
      </c>
      <c r="AB2525" s="462" t="s">
        <v>8727</v>
      </c>
      <c r="AC2525" s="462" t="s">
        <v>8728</v>
      </c>
      <c r="AD2525" s="464">
        <v>222.41889</v>
      </c>
      <c r="AE2525" s="465">
        <v>10.189679999999999</v>
      </c>
      <c r="AF2525" s="86">
        <f>IF(verze!$E$1="CZK",AD2525,IF(verze!$E$1="SK",AE2525,""))</f>
        <v>10.189679999999999</v>
      </c>
    </row>
    <row r="2526" spans="27:32" ht="15">
      <c r="AA2526" s="463" t="s">
        <v>8726</v>
      </c>
      <c r="AB2526" s="462" t="s">
        <v>8729</v>
      </c>
      <c r="AC2526" s="462" t="s">
        <v>8730</v>
      </c>
      <c r="AD2526" s="464">
        <v>222.41889</v>
      </c>
      <c r="AE2526" s="465">
        <v>10.189679999999999</v>
      </c>
      <c r="AF2526" s="86">
        <f>IF(verze!$E$1="CZK",AD2526,IF(verze!$E$1="SK",AE2526,""))</f>
        <v>10.189679999999999</v>
      </c>
    </row>
    <row r="2527" spans="27:32" ht="15">
      <c r="AA2527" s="463" t="s">
        <v>8731</v>
      </c>
      <c r="AB2527" s="462" t="s">
        <v>8732</v>
      </c>
      <c r="AC2527" s="462" t="s">
        <v>8733</v>
      </c>
      <c r="AD2527" s="464">
        <v>222.41889</v>
      </c>
      <c r="AE2527" s="465">
        <v>10.189679999999999</v>
      </c>
      <c r="AF2527" s="86">
        <f>IF(verze!$E$1="CZK",AD2527,IF(verze!$E$1="SK",AE2527,""))</f>
        <v>10.189679999999999</v>
      </c>
    </row>
    <row r="2528" spans="27:32" ht="15">
      <c r="AA2528" s="463" t="s">
        <v>8734</v>
      </c>
      <c r="AB2528" s="462" t="s">
        <v>8735</v>
      </c>
      <c r="AC2528" s="462" t="s">
        <v>8736</v>
      </c>
      <c r="AD2528" s="464">
        <v>178.88034999999999</v>
      </c>
      <c r="AE2528" s="465">
        <v>8.1950400000000005</v>
      </c>
      <c r="AF2528" s="86">
        <f>IF(verze!$E$1="CZK",AD2528,IF(verze!$E$1="SK",AE2528,""))</f>
        <v>8.1950400000000005</v>
      </c>
    </row>
    <row r="2529" spans="27:32" ht="15">
      <c r="AA2529" s="463" t="s">
        <v>8737</v>
      </c>
      <c r="AB2529" s="462" t="s">
        <v>8738</v>
      </c>
      <c r="AC2529" s="462" t="s">
        <v>8739</v>
      </c>
      <c r="AD2529" s="464">
        <v>178.88034999999999</v>
      </c>
      <c r="AE2529" s="465">
        <v>8.1950400000000005</v>
      </c>
      <c r="AF2529" s="86">
        <f>IF(verze!$E$1="CZK",AD2529,IF(verze!$E$1="SK",AE2529,""))</f>
        <v>8.1950400000000005</v>
      </c>
    </row>
    <row r="2530" spans="27:32" ht="15">
      <c r="AA2530" s="463" t="s">
        <v>8740</v>
      </c>
      <c r="AB2530" s="462" t="s">
        <v>8741</v>
      </c>
      <c r="AC2530" s="462" t="s">
        <v>8742</v>
      </c>
      <c r="AD2530" s="464">
        <v>178.88034999999999</v>
      </c>
      <c r="AE2530" s="465">
        <v>8.1950400000000005</v>
      </c>
      <c r="AF2530" s="86">
        <f>IF(verze!$E$1="CZK",AD2530,IF(verze!$E$1="SK",AE2530,""))</f>
        <v>8.1950400000000005</v>
      </c>
    </row>
    <row r="2531" spans="27:32" ht="15">
      <c r="AA2531" s="463" t="s">
        <v>8743</v>
      </c>
      <c r="AB2531" s="462" t="s">
        <v>8744</v>
      </c>
      <c r="AC2531" s="462" t="s">
        <v>8745</v>
      </c>
      <c r="AD2531" s="464">
        <v>178.88034999999999</v>
      </c>
      <c r="AE2531" s="465">
        <v>8.1950400000000005</v>
      </c>
      <c r="AF2531" s="86">
        <f>IF(verze!$E$1="CZK",AD2531,IF(verze!$E$1="SK",AE2531,""))</f>
        <v>8.1950400000000005</v>
      </c>
    </row>
    <row r="2532" spans="27:32" ht="15">
      <c r="AA2532" s="463" t="s">
        <v>8746</v>
      </c>
      <c r="AB2532" s="462" t="s">
        <v>8747</v>
      </c>
      <c r="AC2532" s="462" t="s">
        <v>8748</v>
      </c>
      <c r="AD2532" s="464">
        <v>798.47257999999999</v>
      </c>
      <c r="AE2532" s="465">
        <v>36.580399999999997</v>
      </c>
      <c r="AF2532" s="86">
        <f>IF(verze!$E$1="CZK",AD2532,IF(verze!$E$1="SK",AE2532,""))</f>
        <v>36.580399999999997</v>
      </c>
    </row>
    <row r="2533" spans="27:32" ht="15">
      <c r="AA2533" s="463" t="s">
        <v>8749</v>
      </c>
      <c r="AB2533" s="462" t="s">
        <v>8750</v>
      </c>
      <c r="AC2533" s="462" t="s">
        <v>8751</v>
      </c>
      <c r="AD2533" s="464">
        <v>938.88565000000006</v>
      </c>
      <c r="AE2533" s="465">
        <v>43.01314</v>
      </c>
      <c r="AF2533" s="86">
        <f>IF(verze!$E$1="CZK",AD2533,IF(verze!$E$1="SK",AE2533,""))</f>
        <v>43.01314</v>
      </c>
    </row>
    <row r="2534" spans="27:32" ht="15">
      <c r="AA2534" s="463" t="s">
        <v>8752</v>
      </c>
      <c r="AB2534" s="462" t="s">
        <v>8753</v>
      </c>
      <c r="AC2534" s="462" t="s">
        <v>8754</v>
      </c>
      <c r="AD2534" s="464">
        <v>229.59183999999999</v>
      </c>
      <c r="AE2534" s="465">
        <v>10.518280000000001</v>
      </c>
      <c r="AF2534" s="86">
        <f>IF(verze!$E$1="CZK",AD2534,IF(verze!$E$1="SK",AE2534,""))</f>
        <v>10.518280000000001</v>
      </c>
    </row>
    <row r="2535" spans="27:32" ht="15">
      <c r="AA2535" s="463" t="s">
        <v>8755</v>
      </c>
      <c r="AB2535" s="462" t="s">
        <v>8756</v>
      </c>
      <c r="AC2535" s="462" t="s">
        <v>8757</v>
      </c>
      <c r="AD2535" s="464">
        <v>229.59183999999999</v>
      </c>
      <c r="AE2535" s="465">
        <v>10.518280000000001</v>
      </c>
      <c r="AF2535" s="86">
        <f>IF(verze!$E$1="CZK",AD2535,IF(verze!$E$1="SK",AE2535,""))</f>
        <v>10.518280000000001</v>
      </c>
    </row>
    <row r="2536" spans="27:32" ht="15">
      <c r="AA2536" s="463" t="s">
        <v>8758</v>
      </c>
      <c r="AB2536" s="462" t="s">
        <v>8759</v>
      </c>
      <c r="AC2536" s="462" t="s">
        <v>8760</v>
      </c>
      <c r="AD2536" s="464">
        <v>724.17358999999999</v>
      </c>
      <c r="AE2536" s="465">
        <v>33.176540000000003</v>
      </c>
      <c r="AF2536" s="86">
        <f>IF(verze!$E$1="CZK",AD2536,IF(verze!$E$1="SK",AE2536,""))</f>
        <v>33.176540000000003</v>
      </c>
    </row>
    <row r="2537" spans="27:32" ht="15">
      <c r="AA2537" s="463" t="s">
        <v>8761</v>
      </c>
      <c r="AB2537" s="462" t="s">
        <v>8762</v>
      </c>
      <c r="AC2537" s="462" t="s">
        <v>8763</v>
      </c>
      <c r="AD2537" s="464">
        <v>1006.68862</v>
      </c>
      <c r="AE2537" s="465">
        <v>44.373820000000002</v>
      </c>
      <c r="AF2537" s="86">
        <f>IF(verze!$E$1="CZK",AD2537,IF(verze!$E$1="SK",AE2537,""))</f>
        <v>44.373820000000002</v>
      </c>
    </row>
    <row r="2538" spans="27:32" ht="15">
      <c r="AA2538" s="463" t="s">
        <v>8764</v>
      </c>
      <c r="AB2538" s="462" t="s">
        <v>8765</v>
      </c>
      <c r="AC2538" s="462" t="s">
        <v>8766</v>
      </c>
      <c r="AD2538" s="464">
        <v>1015.49781</v>
      </c>
      <c r="AE2538" s="465">
        <v>46.522959999999998</v>
      </c>
      <c r="AF2538" s="86">
        <f>IF(verze!$E$1="CZK",AD2538,IF(verze!$E$1="SK",AE2538,""))</f>
        <v>46.522959999999998</v>
      </c>
    </row>
    <row r="2539" spans="27:32" ht="15">
      <c r="AA2539" s="463" t="s">
        <v>8767</v>
      </c>
      <c r="AB2539" s="462" t="s">
        <v>8768</v>
      </c>
      <c r="AC2539" s="462" t="s">
        <v>8769</v>
      </c>
      <c r="AD2539" s="464">
        <v>204.05452</v>
      </c>
      <c r="AE2539" s="465">
        <v>9.3483599999999996</v>
      </c>
      <c r="AF2539" s="86">
        <f>IF(verze!$E$1="CZK",AD2539,IF(verze!$E$1="SK",AE2539,""))</f>
        <v>9.3483599999999996</v>
      </c>
    </row>
    <row r="2540" spans="27:32" ht="15">
      <c r="AA2540" s="463" t="s">
        <v>8770</v>
      </c>
      <c r="AB2540" s="462" t="s">
        <v>8771</v>
      </c>
      <c r="AC2540" s="462" t="s">
        <v>8772</v>
      </c>
      <c r="AD2540" s="464">
        <v>474.31938000000002</v>
      </c>
      <c r="AE2540" s="465">
        <v>21.729959999999998</v>
      </c>
      <c r="AF2540" s="86">
        <f>IF(verze!$E$1="CZK",AD2540,IF(verze!$E$1="SK",AE2540,""))</f>
        <v>21.729959999999998</v>
      </c>
    </row>
    <row r="2541" spans="27:32" ht="15">
      <c r="AA2541" s="463" t="s">
        <v>8773</v>
      </c>
      <c r="AB2541" s="462" t="s">
        <v>8774</v>
      </c>
      <c r="AC2541" s="462" t="s">
        <v>8775</v>
      </c>
      <c r="AD2541" s="464">
        <v>547.20231000000001</v>
      </c>
      <c r="AE2541" s="465">
        <v>25.068960000000001</v>
      </c>
      <c r="AF2541" s="86">
        <f>IF(verze!$E$1="CZK",AD2541,IF(verze!$E$1="SK",AE2541,""))</f>
        <v>25.068960000000001</v>
      </c>
    </row>
    <row r="2542" spans="27:32" ht="15">
      <c r="AA2542" s="463" t="s">
        <v>8776</v>
      </c>
      <c r="AB2542" s="462" t="s">
        <v>8777</v>
      </c>
      <c r="AC2542" s="462" t="s">
        <v>8778</v>
      </c>
      <c r="AD2542" s="464">
        <v>289.17869000000002</v>
      </c>
      <c r="AE2542" s="465">
        <v>13.91053</v>
      </c>
      <c r="AF2542" s="86">
        <f>IF(verze!$E$1="CZK",AD2542,IF(verze!$E$1="SK",AE2542,""))</f>
        <v>13.91053</v>
      </c>
    </row>
    <row r="2543" spans="27:32" ht="15">
      <c r="AA2543" s="463" t="s">
        <v>8776</v>
      </c>
      <c r="AB2543" s="462" t="s">
        <v>8779</v>
      </c>
      <c r="AC2543" s="462" t="s">
        <v>8780</v>
      </c>
      <c r="AD2543" s="464">
        <v>0</v>
      </c>
      <c r="AE2543" s="465">
        <v>13.85318</v>
      </c>
      <c r="AF2543" s="86">
        <f>IF(verze!$E$1="CZK",AD2543,IF(verze!$E$1="SK",AE2543,""))</f>
        <v>13.85318</v>
      </c>
    </row>
    <row r="2544" spans="27:32" ht="15">
      <c r="AA2544" s="463" t="s">
        <v>8781</v>
      </c>
      <c r="AB2544" s="462" t="s">
        <v>8782</v>
      </c>
      <c r="AC2544" s="462" t="s">
        <v>8783</v>
      </c>
      <c r="AD2544" s="464">
        <v>0</v>
      </c>
      <c r="AE2544" s="465">
        <v>13.85318</v>
      </c>
      <c r="AF2544" s="86">
        <f>IF(verze!$E$1="CZK",AD2544,IF(verze!$E$1="SK",AE2544,""))</f>
        <v>13.85318</v>
      </c>
    </row>
    <row r="2545" spans="27:32" ht="15">
      <c r="AA2545" s="463" t="s">
        <v>8784</v>
      </c>
      <c r="AB2545" s="462" t="s">
        <v>8785</v>
      </c>
      <c r="AC2545" s="462" t="s">
        <v>8786</v>
      </c>
      <c r="AD2545" s="464">
        <v>0</v>
      </c>
      <c r="AE2545" s="465">
        <v>13.56312</v>
      </c>
      <c r="AF2545" s="86">
        <f>IF(verze!$E$1="CZK",AD2545,IF(verze!$E$1="SK",AE2545,""))</f>
        <v>13.56312</v>
      </c>
    </row>
    <row r="2546" spans="27:32" ht="15">
      <c r="AA2546" s="463" t="s">
        <v>8787</v>
      </c>
      <c r="AB2546" s="462" t="s">
        <v>8788</v>
      </c>
      <c r="AC2546" s="462" t="s">
        <v>8789</v>
      </c>
      <c r="AD2546" s="464">
        <v>0</v>
      </c>
      <c r="AE2546" s="465">
        <v>13.56312</v>
      </c>
      <c r="AF2546" s="86">
        <f>IF(verze!$E$1="CZK",AD2546,IF(verze!$E$1="SK",AE2546,""))</f>
        <v>13.56312</v>
      </c>
    </row>
    <row r="2547" spans="27:32" ht="15">
      <c r="AA2547" s="463" t="s">
        <v>8790</v>
      </c>
      <c r="AB2547" s="462" t="s">
        <v>8791</v>
      </c>
      <c r="AC2547" s="462" t="s">
        <v>8792</v>
      </c>
      <c r="AD2547" s="464">
        <v>63.300449999999998</v>
      </c>
      <c r="AE2547" s="465">
        <v>2.8999799999999998</v>
      </c>
      <c r="AF2547" s="86">
        <f>IF(verze!$E$1="CZK",AD2547,IF(verze!$E$1="SK",AE2547,""))</f>
        <v>2.8999799999999998</v>
      </c>
    </row>
    <row r="2548" spans="27:32" ht="15">
      <c r="AA2548" s="463" t="s">
        <v>8793</v>
      </c>
      <c r="AB2548" s="462" t="s">
        <v>8794</v>
      </c>
      <c r="AC2548" s="462" t="s">
        <v>8795</v>
      </c>
      <c r="AD2548" s="464">
        <v>490.46042999999997</v>
      </c>
      <c r="AE2548" s="465">
        <v>23.59291</v>
      </c>
      <c r="AF2548" s="86">
        <f>IF(verze!$E$1="CZK",AD2548,IF(verze!$E$1="SK",AE2548,""))</f>
        <v>23.59291</v>
      </c>
    </row>
    <row r="2549" spans="27:32" ht="15">
      <c r="AA2549" s="463" t="s">
        <v>8796</v>
      </c>
      <c r="AB2549" s="462" t="s">
        <v>8797</v>
      </c>
      <c r="AC2549" s="462" t="s">
        <v>8798</v>
      </c>
      <c r="AD2549" s="464">
        <v>539.50471000000005</v>
      </c>
      <c r="AE2549" s="465">
        <v>25.952120000000001</v>
      </c>
      <c r="AF2549" s="86">
        <f>IF(verze!$E$1="CZK",AD2549,IF(verze!$E$1="SK",AE2549,""))</f>
        <v>25.952120000000001</v>
      </c>
    </row>
    <row r="2550" spans="27:32" ht="15">
      <c r="AA2550" s="463" t="s">
        <v>8799</v>
      </c>
      <c r="AB2550" s="462" t="s">
        <v>8800</v>
      </c>
      <c r="AC2550" s="462" t="s">
        <v>8801</v>
      </c>
      <c r="AD2550" s="464">
        <v>588.55155999999999</v>
      </c>
      <c r="AE2550" s="465">
        <v>28.311440000000001</v>
      </c>
      <c r="AF2550" s="86">
        <f>IF(verze!$E$1="CZK",AD2550,IF(verze!$E$1="SK",AE2550,""))</f>
        <v>28.311440000000001</v>
      </c>
    </row>
    <row r="2551" spans="27:32" ht="15">
      <c r="AA2551" s="463" t="s">
        <v>8799</v>
      </c>
      <c r="AB2551" s="462" t="s">
        <v>8802</v>
      </c>
      <c r="AC2551" s="462" t="s">
        <v>8803</v>
      </c>
      <c r="AD2551" s="464">
        <v>588.55155999999999</v>
      </c>
      <c r="AE2551" s="465">
        <v>28.311440000000001</v>
      </c>
      <c r="AF2551" s="86">
        <f>IF(verze!$E$1="CZK",AD2551,IF(verze!$E$1="SK",AE2551,""))</f>
        <v>28.311440000000001</v>
      </c>
    </row>
    <row r="2552" spans="27:32" ht="15">
      <c r="AA2552" s="463" t="s">
        <v>8804</v>
      </c>
      <c r="AB2552" s="462" t="s">
        <v>8805</v>
      </c>
      <c r="AC2552" s="462" t="s">
        <v>8806</v>
      </c>
      <c r="AD2552" s="464">
        <v>637.59582999999998</v>
      </c>
      <c r="AE2552" s="465">
        <v>30.670649999999998</v>
      </c>
      <c r="AF2552" s="86">
        <f>IF(verze!$E$1="CZK",AD2552,IF(verze!$E$1="SK",AE2552,""))</f>
        <v>30.670649999999998</v>
      </c>
    </row>
    <row r="2553" spans="27:32" ht="15">
      <c r="AA2553" s="463" t="s">
        <v>8804</v>
      </c>
      <c r="AB2553" s="462" t="s">
        <v>8807</v>
      </c>
      <c r="AC2553" s="462" t="s">
        <v>8808</v>
      </c>
      <c r="AD2553" s="464">
        <v>637.59582999999998</v>
      </c>
      <c r="AE2553" s="465">
        <v>30.670649999999998</v>
      </c>
      <c r="AF2553" s="86">
        <f>IF(verze!$E$1="CZK",AD2553,IF(verze!$E$1="SK",AE2553,""))</f>
        <v>30.670649999999998</v>
      </c>
    </row>
    <row r="2554" spans="27:32" ht="15">
      <c r="AA2554" s="463" t="s">
        <v>8809</v>
      </c>
      <c r="AB2554" s="462" t="s">
        <v>8810</v>
      </c>
      <c r="AC2554" s="462" t="s">
        <v>8811</v>
      </c>
      <c r="AD2554" s="464">
        <v>686.64517999999998</v>
      </c>
      <c r="AE2554" s="465">
        <v>33.030119999999997</v>
      </c>
      <c r="AF2554" s="86">
        <f>IF(verze!$E$1="CZK",AD2554,IF(verze!$E$1="SK",AE2554,""))</f>
        <v>33.030119999999997</v>
      </c>
    </row>
    <row r="2555" spans="27:32" ht="15">
      <c r="AA2555" s="463" t="s">
        <v>8809</v>
      </c>
      <c r="AB2555" s="462" t="s">
        <v>8812</v>
      </c>
      <c r="AC2555" s="462" t="s">
        <v>8813</v>
      </c>
      <c r="AD2555" s="464">
        <v>686.64517999999998</v>
      </c>
      <c r="AE2555" s="465">
        <v>33.030119999999997</v>
      </c>
      <c r="AF2555" s="86">
        <f>IF(verze!$E$1="CZK",AD2555,IF(verze!$E$1="SK",AE2555,""))</f>
        <v>33.030119999999997</v>
      </c>
    </row>
    <row r="2556" spans="27:32" ht="15">
      <c r="AA2556" s="463" t="s">
        <v>8814</v>
      </c>
      <c r="AB2556" s="462" t="s">
        <v>8815</v>
      </c>
      <c r="AC2556" s="462" t="s">
        <v>8816</v>
      </c>
      <c r="AD2556" s="464">
        <v>747.95237999999995</v>
      </c>
      <c r="AE2556" s="465">
        <v>35.979219999999998</v>
      </c>
      <c r="AF2556" s="86">
        <f>IF(verze!$E$1="CZK",AD2556,IF(verze!$E$1="SK",AE2556,""))</f>
        <v>35.979219999999998</v>
      </c>
    </row>
    <row r="2557" spans="27:32" ht="15">
      <c r="AA2557" s="463" t="s">
        <v>8814</v>
      </c>
      <c r="AB2557" s="462" t="s">
        <v>8817</v>
      </c>
      <c r="AC2557" s="462" t="s">
        <v>8818</v>
      </c>
      <c r="AD2557" s="464">
        <v>747.95237999999995</v>
      </c>
      <c r="AE2557" s="465">
        <v>35.979219999999998</v>
      </c>
      <c r="AF2557" s="86">
        <f>IF(verze!$E$1="CZK",AD2557,IF(verze!$E$1="SK",AE2557,""))</f>
        <v>35.979219999999998</v>
      </c>
    </row>
    <row r="2558" spans="27:32" ht="15">
      <c r="AA2558" s="463" t="s">
        <v>8819</v>
      </c>
      <c r="AB2558" s="462" t="s">
        <v>8820</v>
      </c>
      <c r="AC2558" s="462" t="s">
        <v>8821</v>
      </c>
      <c r="AD2558" s="464">
        <v>809.26216999999997</v>
      </c>
      <c r="AE2558" s="465">
        <v>38.92841</v>
      </c>
      <c r="AF2558" s="86">
        <f>IF(verze!$E$1="CZK",AD2558,IF(verze!$E$1="SK",AE2558,""))</f>
        <v>38.92841</v>
      </c>
    </row>
    <row r="2559" spans="27:32" ht="15">
      <c r="AA2559" s="463" t="s">
        <v>8819</v>
      </c>
      <c r="AB2559" s="462" t="s">
        <v>8822</v>
      </c>
      <c r="AC2559" s="462" t="s">
        <v>8823</v>
      </c>
      <c r="AD2559" s="464">
        <v>809.26216999999997</v>
      </c>
      <c r="AE2559" s="465">
        <v>38.92841</v>
      </c>
      <c r="AF2559" s="86">
        <f>IF(verze!$E$1="CZK",AD2559,IF(verze!$E$1="SK",AE2559,""))</f>
        <v>38.92841</v>
      </c>
    </row>
    <row r="2560" spans="27:32" ht="15">
      <c r="AA2560" s="463" t="s">
        <v>8824</v>
      </c>
      <c r="AB2560" s="462" t="s">
        <v>8825</v>
      </c>
      <c r="AC2560" s="462" t="s">
        <v>8826</v>
      </c>
      <c r="AD2560" s="464">
        <v>870.56690000000003</v>
      </c>
      <c r="AE2560" s="465">
        <v>41.877420000000001</v>
      </c>
      <c r="AF2560" s="86">
        <f>IF(verze!$E$1="CZK",AD2560,IF(verze!$E$1="SK",AE2560,""))</f>
        <v>41.877420000000001</v>
      </c>
    </row>
    <row r="2561" spans="27:32" ht="15">
      <c r="AA2561" s="463" t="s">
        <v>8827</v>
      </c>
      <c r="AB2561" s="462" t="s">
        <v>8828</v>
      </c>
      <c r="AC2561" s="462" t="s">
        <v>8829</v>
      </c>
      <c r="AD2561" s="464">
        <v>944.1422</v>
      </c>
      <c r="AE2561" s="465">
        <v>45.41666</v>
      </c>
      <c r="AF2561" s="86">
        <f>IF(verze!$E$1="CZK",AD2561,IF(verze!$E$1="SK",AE2561,""))</f>
        <v>45.41666</v>
      </c>
    </row>
    <row r="2562" spans="27:32" ht="15">
      <c r="AA2562" s="463" t="s">
        <v>8830</v>
      </c>
      <c r="AB2562" s="462" t="s">
        <v>8831</v>
      </c>
      <c r="AC2562" s="462" t="s">
        <v>8832</v>
      </c>
      <c r="AD2562" s="464">
        <v>506.67809999999997</v>
      </c>
      <c r="AE2562" s="465">
        <v>24.37304</v>
      </c>
      <c r="AF2562" s="86">
        <f>IF(verze!$E$1="CZK",AD2562,IF(verze!$E$1="SK",AE2562,""))</f>
        <v>24.37304</v>
      </c>
    </row>
    <row r="2563" spans="27:32" ht="15">
      <c r="AA2563" s="463" t="s">
        <v>8833</v>
      </c>
      <c r="AB2563" s="462" t="s">
        <v>8834</v>
      </c>
      <c r="AC2563" s="462" t="s">
        <v>8835</v>
      </c>
      <c r="AD2563" s="464">
        <v>557.34637999999995</v>
      </c>
      <c r="AE2563" s="465">
        <v>26.810359999999999</v>
      </c>
      <c r="AF2563" s="86">
        <f>IF(verze!$E$1="CZK",AD2563,IF(verze!$E$1="SK",AE2563,""))</f>
        <v>26.810359999999999</v>
      </c>
    </row>
    <row r="2564" spans="27:32" ht="15">
      <c r="AA2564" s="463" t="s">
        <v>8836</v>
      </c>
      <c r="AB2564" s="462" t="s">
        <v>8837</v>
      </c>
      <c r="AC2564" s="462" t="s">
        <v>8838</v>
      </c>
      <c r="AD2564" s="464">
        <v>608.00968999999998</v>
      </c>
      <c r="AE2564" s="465">
        <v>29.24746</v>
      </c>
      <c r="AF2564" s="86">
        <f>IF(verze!$E$1="CZK",AD2564,IF(verze!$E$1="SK",AE2564,""))</f>
        <v>29.24746</v>
      </c>
    </row>
    <row r="2565" spans="27:32" ht="15">
      <c r="AA2565" s="463" t="s">
        <v>8839</v>
      </c>
      <c r="AB2565" s="462" t="s">
        <v>8840</v>
      </c>
      <c r="AC2565" s="462" t="s">
        <v>8841</v>
      </c>
      <c r="AD2565" s="464">
        <v>658.68053999999995</v>
      </c>
      <c r="AE2565" s="465">
        <v>31.684909999999999</v>
      </c>
      <c r="AF2565" s="86">
        <f>IF(verze!$E$1="CZK",AD2565,IF(verze!$E$1="SK",AE2565,""))</f>
        <v>31.684909999999999</v>
      </c>
    </row>
    <row r="2566" spans="27:32" ht="15">
      <c r="AA2566" s="463" t="s">
        <v>8842</v>
      </c>
      <c r="AB2566" s="462" t="s">
        <v>8843</v>
      </c>
      <c r="AC2566" s="462" t="s">
        <v>8844</v>
      </c>
      <c r="AD2566" s="464">
        <v>709.34375999999997</v>
      </c>
      <c r="AE2566" s="465">
        <v>34.121980000000001</v>
      </c>
      <c r="AF2566" s="86">
        <f>IF(verze!$E$1="CZK",AD2566,IF(verze!$E$1="SK",AE2566,""))</f>
        <v>34.121980000000001</v>
      </c>
    </row>
    <row r="2567" spans="27:32" ht="15">
      <c r="AA2567" s="463" t="s">
        <v>8845</v>
      </c>
      <c r="AB2567" s="462" t="s">
        <v>8846</v>
      </c>
      <c r="AC2567" s="462" t="s">
        <v>8847</v>
      </c>
      <c r="AD2567" s="464">
        <v>772.68164000000002</v>
      </c>
      <c r="AE2567" s="465">
        <v>37.168779999999998</v>
      </c>
      <c r="AF2567" s="86">
        <f>IF(verze!$E$1="CZK",AD2567,IF(verze!$E$1="SK",AE2567,""))</f>
        <v>37.168779999999998</v>
      </c>
    </row>
    <row r="2568" spans="27:32" ht="15">
      <c r="AA2568" s="463" t="s">
        <v>8848</v>
      </c>
      <c r="AB2568" s="462" t="s">
        <v>8849</v>
      </c>
      <c r="AC2568" s="462" t="s">
        <v>8850</v>
      </c>
      <c r="AD2568" s="464">
        <v>836.01454999999999</v>
      </c>
      <c r="AE2568" s="465">
        <v>40.215319999999998</v>
      </c>
      <c r="AF2568" s="86">
        <f>IF(verze!$E$1="CZK",AD2568,IF(verze!$E$1="SK",AE2568,""))</f>
        <v>40.215319999999998</v>
      </c>
    </row>
    <row r="2569" spans="27:32" ht="15">
      <c r="AA2569" s="463" t="s">
        <v>8851</v>
      </c>
      <c r="AB2569" s="462" t="s">
        <v>8852</v>
      </c>
      <c r="AC2569" s="462" t="s">
        <v>8853</v>
      </c>
      <c r="AD2569" s="464">
        <v>899.34735000000001</v>
      </c>
      <c r="AE2569" s="465">
        <v>43.261850000000003</v>
      </c>
      <c r="AF2569" s="86">
        <f>IF(verze!$E$1="CZK",AD2569,IF(verze!$E$1="SK",AE2569,""))</f>
        <v>43.261850000000003</v>
      </c>
    </row>
    <row r="2570" spans="27:32" ht="15">
      <c r="AA2570" s="463" t="s">
        <v>8854</v>
      </c>
      <c r="AB2570" s="462" t="s">
        <v>8855</v>
      </c>
      <c r="AC2570" s="462" t="s">
        <v>8856</v>
      </c>
      <c r="AD2570" s="464">
        <v>975.34987000000001</v>
      </c>
      <c r="AE2570" s="465">
        <v>46.917839999999998</v>
      </c>
      <c r="AF2570" s="86">
        <f>IF(verze!$E$1="CZK",AD2570,IF(verze!$E$1="SK",AE2570,""))</f>
        <v>46.917839999999998</v>
      </c>
    </row>
    <row r="2571" spans="27:32" ht="15">
      <c r="AA2571" s="463" t="s">
        <v>8857</v>
      </c>
      <c r="AB2571" s="462" t="s">
        <v>8858</v>
      </c>
      <c r="AC2571" s="462" t="s">
        <v>8859</v>
      </c>
      <c r="AD2571" s="464">
        <v>231.4973</v>
      </c>
      <c r="AE2571" s="465">
        <v>10.60558</v>
      </c>
      <c r="AF2571" s="86">
        <f>IF(verze!$E$1="CZK",AD2571,IF(verze!$E$1="SK",AE2571,""))</f>
        <v>10.60558</v>
      </c>
    </row>
    <row r="2572" spans="27:32" ht="15">
      <c r="AA2572" s="463" t="s">
        <v>8860</v>
      </c>
      <c r="AB2572" s="462" t="s">
        <v>8861</v>
      </c>
      <c r="AC2572" s="462" t="s">
        <v>8862</v>
      </c>
      <c r="AD2572" s="464">
        <v>490.46042999999997</v>
      </c>
      <c r="AE2572" s="465">
        <v>23.59291</v>
      </c>
      <c r="AF2572" s="86">
        <f>IF(verze!$E$1="CZK",AD2572,IF(verze!$E$1="SK",AE2572,""))</f>
        <v>23.59291</v>
      </c>
    </row>
    <row r="2573" spans="27:32" ht="15">
      <c r="AA2573" s="463" t="s">
        <v>8863</v>
      </c>
      <c r="AB2573" s="462" t="s">
        <v>8864</v>
      </c>
      <c r="AC2573" s="462" t="s">
        <v>8865</v>
      </c>
      <c r="AD2573" s="464">
        <v>539.50471000000005</v>
      </c>
      <c r="AE2573" s="465">
        <v>25.952120000000001</v>
      </c>
      <c r="AF2573" s="86">
        <f>IF(verze!$E$1="CZK",AD2573,IF(verze!$E$1="SK",AE2573,""))</f>
        <v>25.952120000000001</v>
      </c>
    </row>
    <row r="2574" spans="27:32" ht="15">
      <c r="AA2574" s="463" t="s">
        <v>8866</v>
      </c>
      <c r="AB2574" s="462" t="s">
        <v>8867</v>
      </c>
      <c r="AC2574" s="462" t="s">
        <v>8868</v>
      </c>
      <c r="AD2574" s="464">
        <v>588.55155999999999</v>
      </c>
      <c r="AE2574" s="465">
        <v>28.311440000000001</v>
      </c>
      <c r="AF2574" s="86">
        <f>IF(verze!$E$1="CZK",AD2574,IF(verze!$E$1="SK",AE2574,""))</f>
        <v>28.311440000000001</v>
      </c>
    </row>
    <row r="2575" spans="27:32" ht="15">
      <c r="AA2575" s="463" t="s">
        <v>8869</v>
      </c>
      <c r="AB2575" s="462" t="s">
        <v>8870</v>
      </c>
      <c r="AC2575" s="462" t="s">
        <v>8871</v>
      </c>
      <c r="AD2575" s="464">
        <v>637.59582999999998</v>
      </c>
      <c r="AE2575" s="465">
        <v>30.670649999999998</v>
      </c>
      <c r="AF2575" s="86">
        <f>IF(verze!$E$1="CZK",AD2575,IF(verze!$E$1="SK",AE2575,""))</f>
        <v>30.670649999999998</v>
      </c>
    </row>
    <row r="2576" spans="27:32" ht="15">
      <c r="AA2576" s="463" t="s">
        <v>8872</v>
      </c>
      <c r="AB2576" s="462" t="s">
        <v>8873</v>
      </c>
      <c r="AC2576" s="462" t="s">
        <v>8874</v>
      </c>
      <c r="AD2576" s="464">
        <v>686.64517999999998</v>
      </c>
      <c r="AE2576" s="465">
        <v>33.030119999999997</v>
      </c>
      <c r="AF2576" s="86">
        <f>IF(verze!$E$1="CZK",AD2576,IF(verze!$E$1="SK",AE2576,""))</f>
        <v>33.030119999999997</v>
      </c>
    </row>
    <row r="2577" spans="27:32" ht="15">
      <c r="AA2577" s="463" t="s">
        <v>8875</v>
      </c>
      <c r="AB2577" s="462" t="s">
        <v>8876</v>
      </c>
      <c r="AC2577" s="462" t="s">
        <v>8877</v>
      </c>
      <c r="AD2577" s="464">
        <v>747.95237999999995</v>
      </c>
      <c r="AE2577" s="465">
        <v>35.979219999999998</v>
      </c>
      <c r="AF2577" s="86">
        <f>IF(verze!$E$1="CZK",AD2577,IF(verze!$E$1="SK",AE2577,""))</f>
        <v>35.979219999999998</v>
      </c>
    </row>
    <row r="2578" spans="27:32" ht="15">
      <c r="AA2578" s="463" t="s">
        <v>8878</v>
      </c>
      <c r="AB2578" s="462" t="s">
        <v>8879</v>
      </c>
      <c r="AC2578" s="462" t="s">
        <v>8880</v>
      </c>
      <c r="AD2578" s="464">
        <v>809.26216999999997</v>
      </c>
      <c r="AE2578" s="465">
        <v>38.92841</v>
      </c>
      <c r="AF2578" s="86">
        <f>IF(verze!$E$1="CZK",AD2578,IF(verze!$E$1="SK",AE2578,""))</f>
        <v>38.92841</v>
      </c>
    </row>
    <row r="2579" spans="27:32" ht="15">
      <c r="AA2579" s="463" t="s">
        <v>8881</v>
      </c>
      <c r="AB2579" s="462" t="s">
        <v>8882</v>
      </c>
      <c r="AC2579" s="462" t="s">
        <v>8883</v>
      </c>
      <c r="AD2579" s="464">
        <v>870.56690000000003</v>
      </c>
      <c r="AE2579" s="465">
        <v>41.877420000000001</v>
      </c>
      <c r="AF2579" s="86">
        <f>IF(verze!$E$1="CZK",AD2579,IF(verze!$E$1="SK",AE2579,""))</f>
        <v>41.877420000000001</v>
      </c>
    </row>
    <row r="2580" spans="27:32" ht="15">
      <c r="AA2580" s="463" t="s">
        <v>8884</v>
      </c>
      <c r="AB2580" s="462" t="s">
        <v>8885</v>
      </c>
      <c r="AC2580" s="462" t="s">
        <v>8886</v>
      </c>
      <c r="AD2580" s="464">
        <v>944.1422</v>
      </c>
      <c r="AE2580" s="465">
        <v>45.41666</v>
      </c>
      <c r="AF2580" s="86">
        <f>IF(verze!$E$1="CZK",AD2580,IF(verze!$E$1="SK",AE2580,""))</f>
        <v>45.41666</v>
      </c>
    </row>
    <row r="2581" spans="27:32" ht="15">
      <c r="AA2581" s="463" t="s">
        <v>8887</v>
      </c>
      <c r="AB2581" s="462" t="s">
        <v>8888</v>
      </c>
      <c r="AC2581" s="462" t="s">
        <v>8889</v>
      </c>
      <c r="AD2581" s="464">
        <v>506.67809999999997</v>
      </c>
      <c r="AE2581" s="465">
        <v>24.37304</v>
      </c>
      <c r="AF2581" s="86">
        <f>IF(verze!$E$1="CZK",AD2581,IF(verze!$E$1="SK",AE2581,""))</f>
        <v>24.37304</v>
      </c>
    </row>
    <row r="2582" spans="27:32" ht="15">
      <c r="AA2582" s="463" t="s">
        <v>8890</v>
      </c>
      <c r="AB2582" s="462" t="s">
        <v>8891</v>
      </c>
      <c r="AC2582" s="462" t="s">
        <v>8892</v>
      </c>
      <c r="AD2582" s="464">
        <v>557.34637999999995</v>
      </c>
      <c r="AE2582" s="465">
        <v>26.810359999999999</v>
      </c>
      <c r="AF2582" s="86">
        <f>IF(verze!$E$1="CZK",AD2582,IF(verze!$E$1="SK",AE2582,""))</f>
        <v>26.810359999999999</v>
      </c>
    </row>
    <row r="2583" spans="27:32" ht="15">
      <c r="AA2583" s="463" t="s">
        <v>8893</v>
      </c>
      <c r="AB2583" s="462" t="s">
        <v>8894</v>
      </c>
      <c r="AC2583" s="462" t="s">
        <v>8895</v>
      </c>
      <c r="AD2583" s="464">
        <v>608.00968999999998</v>
      </c>
      <c r="AE2583" s="465">
        <v>29.24746</v>
      </c>
      <c r="AF2583" s="86">
        <f>IF(verze!$E$1="CZK",AD2583,IF(verze!$E$1="SK",AE2583,""))</f>
        <v>29.24746</v>
      </c>
    </row>
    <row r="2584" spans="27:32" ht="15">
      <c r="AA2584" s="463" t="s">
        <v>8896</v>
      </c>
      <c r="AB2584" s="462" t="s">
        <v>8897</v>
      </c>
      <c r="AC2584" s="462" t="s">
        <v>8898</v>
      </c>
      <c r="AD2584" s="464">
        <v>658.68053999999995</v>
      </c>
      <c r="AE2584" s="465">
        <v>31.684909999999999</v>
      </c>
      <c r="AF2584" s="86">
        <f>IF(verze!$E$1="CZK",AD2584,IF(verze!$E$1="SK",AE2584,""))</f>
        <v>31.684909999999999</v>
      </c>
    </row>
    <row r="2585" spans="27:32" ht="15">
      <c r="AA2585" s="463" t="s">
        <v>8899</v>
      </c>
      <c r="AB2585" s="462" t="s">
        <v>8900</v>
      </c>
      <c r="AC2585" s="462" t="s">
        <v>8901</v>
      </c>
      <c r="AD2585" s="464">
        <v>709.34375999999997</v>
      </c>
      <c r="AE2585" s="465">
        <v>34.121980000000001</v>
      </c>
      <c r="AF2585" s="86">
        <f>IF(verze!$E$1="CZK",AD2585,IF(verze!$E$1="SK",AE2585,""))</f>
        <v>34.121980000000001</v>
      </c>
    </row>
    <row r="2586" spans="27:32" ht="15">
      <c r="AA2586" s="463" t="s">
        <v>8902</v>
      </c>
      <c r="AB2586" s="462" t="s">
        <v>8903</v>
      </c>
      <c r="AC2586" s="462" t="s">
        <v>8904</v>
      </c>
      <c r="AD2586" s="464">
        <v>772.68164000000002</v>
      </c>
      <c r="AE2586" s="465">
        <v>37.168779999999998</v>
      </c>
      <c r="AF2586" s="86">
        <f>IF(verze!$E$1="CZK",AD2586,IF(verze!$E$1="SK",AE2586,""))</f>
        <v>37.168779999999998</v>
      </c>
    </row>
    <row r="2587" spans="27:32" ht="15">
      <c r="AA2587" s="463" t="s">
        <v>8905</v>
      </c>
      <c r="AB2587" s="462" t="s">
        <v>8906</v>
      </c>
      <c r="AC2587" s="462" t="s">
        <v>8907</v>
      </c>
      <c r="AD2587" s="464">
        <v>836.01454999999999</v>
      </c>
      <c r="AE2587" s="465">
        <v>40.215319999999998</v>
      </c>
      <c r="AF2587" s="86">
        <f>IF(verze!$E$1="CZK",AD2587,IF(verze!$E$1="SK",AE2587,""))</f>
        <v>40.215319999999998</v>
      </c>
    </row>
    <row r="2588" spans="27:32" ht="15">
      <c r="AA2588" s="463" t="s">
        <v>8908</v>
      </c>
      <c r="AB2588" s="462" t="s">
        <v>8909</v>
      </c>
      <c r="AC2588" s="462" t="s">
        <v>8910</v>
      </c>
      <c r="AD2588" s="464">
        <v>899.34735000000001</v>
      </c>
      <c r="AE2588" s="465">
        <v>43.261850000000003</v>
      </c>
      <c r="AF2588" s="86">
        <f>IF(verze!$E$1="CZK",AD2588,IF(verze!$E$1="SK",AE2588,""))</f>
        <v>43.261850000000003</v>
      </c>
    </row>
    <row r="2589" spans="27:32" ht="15">
      <c r="AA2589" s="463" t="s">
        <v>8911</v>
      </c>
      <c r="AB2589" s="462" t="s">
        <v>8912</v>
      </c>
      <c r="AC2589" s="462" t="s">
        <v>8913</v>
      </c>
      <c r="AD2589" s="464">
        <v>975.34987000000001</v>
      </c>
      <c r="AE2589" s="465">
        <v>46.917839999999998</v>
      </c>
      <c r="AF2589" s="86">
        <f>IF(verze!$E$1="CZK",AD2589,IF(verze!$E$1="SK",AE2589,""))</f>
        <v>46.917839999999998</v>
      </c>
    </row>
    <row r="2590" spans="27:32" ht="15">
      <c r="AA2590" s="463" t="s">
        <v>8914</v>
      </c>
      <c r="AB2590" s="462" t="s">
        <v>8915</v>
      </c>
      <c r="AC2590" s="462" t="s">
        <v>8916</v>
      </c>
      <c r="AD2590" s="464">
        <v>373.18921</v>
      </c>
      <c r="AE2590" s="465">
        <v>17.096920000000001</v>
      </c>
      <c r="AF2590" s="86">
        <f>IF(verze!$E$1="CZK",AD2590,IF(verze!$E$1="SK",AE2590,""))</f>
        <v>17.096920000000001</v>
      </c>
    </row>
    <row r="2591" spans="27:32" ht="15">
      <c r="AA2591" s="463" t="s">
        <v>8917</v>
      </c>
      <c r="AB2591" s="462" t="s">
        <v>8918</v>
      </c>
      <c r="AC2591" s="462" t="s">
        <v>8919</v>
      </c>
      <c r="AD2591" s="464">
        <v>11.73673</v>
      </c>
      <c r="AE2591" s="465">
        <v>0.47236</v>
      </c>
      <c r="AF2591" s="86">
        <f>IF(verze!$E$1="CZK",AD2591,IF(verze!$E$1="SK",AE2591,""))</f>
        <v>0.47236</v>
      </c>
    </row>
    <row r="2592" spans="27:32" ht="15">
      <c r="AA2592" s="463" t="s">
        <v>8920</v>
      </c>
      <c r="AB2592" s="462" t="s">
        <v>8921</v>
      </c>
      <c r="AC2592" s="462" t="s">
        <v>8922</v>
      </c>
      <c r="AD2592" s="464">
        <v>21.657959999999999</v>
      </c>
      <c r="AE2592" s="465">
        <v>0.87158999999999998</v>
      </c>
      <c r="AF2592" s="86">
        <f>IF(verze!$E$1="CZK",AD2592,IF(verze!$E$1="SK",AE2592,""))</f>
        <v>0.87158999999999998</v>
      </c>
    </row>
    <row r="2593" spans="27:32" ht="15">
      <c r="AA2593" s="463" t="s">
        <v>8923</v>
      </c>
      <c r="AB2593" s="462" t="s">
        <v>8924</v>
      </c>
      <c r="AC2593" s="462" t="s">
        <v>8925</v>
      </c>
      <c r="AD2593" s="464">
        <v>21.796510000000001</v>
      </c>
      <c r="AE2593" s="465">
        <v>0.87714000000000003</v>
      </c>
      <c r="AF2593" s="86">
        <f>IF(verze!$E$1="CZK",AD2593,IF(verze!$E$1="SK",AE2593,""))</f>
        <v>0.87714000000000003</v>
      </c>
    </row>
    <row r="2594" spans="27:32" ht="15">
      <c r="AA2594" s="463" t="s">
        <v>8926</v>
      </c>
      <c r="AB2594" s="462" t="s">
        <v>8927</v>
      </c>
      <c r="AC2594" s="462" t="s">
        <v>8928</v>
      </c>
      <c r="AD2594" s="464">
        <v>39.88646</v>
      </c>
      <c r="AE2594" s="465">
        <v>1.60514</v>
      </c>
      <c r="AF2594" s="86">
        <f>IF(verze!$E$1="CZK",AD2594,IF(verze!$E$1="SK",AE2594,""))</f>
        <v>1.60514</v>
      </c>
    </row>
    <row r="2595" spans="27:32" ht="15">
      <c r="AA2595" s="463" t="s">
        <v>8929</v>
      </c>
      <c r="AB2595" s="462" t="s">
        <v>8930</v>
      </c>
      <c r="AC2595" s="462" t="s">
        <v>8931</v>
      </c>
      <c r="AD2595" s="464">
        <v>52.407359999999997</v>
      </c>
      <c r="AE2595" s="465">
        <v>2.0965400000000001</v>
      </c>
      <c r="AF2595" s="86">
        <f>IF(verze!$E$1="CZK",AD2595,IF(verze!$E$1="SK",AE2595,""))</f>
        <v>2.0965400000000001</v>
      </c>
    </row>
    <row r="2596" spans="27:32" ht="15">
      <c r="AA2596" s="463" t="s">
        <v>8932</v>
      </c>
      <c r="AB2596" s="462" t="s">
        <v>8933</v>
      </c>
      <c r="AC2596" s="462" t="s">
        <v>8934</v>
      </c>
      <c r="AD2596" s="464">
        <v>39.88646</v>
      </c>
      <c r="AE2596" s="465">
        <v>1.60514</v>
      </c>
      <c r="AF2596" s="86">
        <f>IF(verze!$E$1="CZK",AD2596,IF(verze!$E$1="SK",AE2596,""))</f>
        <v>1.60514</v>
      </c>
    </row>
    <row r="2597" spans="27:32" ht="15">
      <c r="AA2597" s="463" t="s">
        <v>8935</v>
      </c>
      <c r="AB2597" s="462" t="s">
        <v>8936</v>
      </c>
      <c r="AC2597" s="462" t="s">
        <v>8937</v>
      </c>
      <c r="AD2597" s="464">
        <v>21.657959999999999</v>
      </c>
      <c r="AE2597" s="465">
        <v>0.87158999999999998</v>
      </c>
      <c r="AF2597" s="86">
        <f>IF(verze!$E$1="CZK",AD2597,IF(verze!$E$1="SK",AE2597,""))</f>
        <v>0.87158999999999998</v>
      </c>
    </row>
    <row r="2598" spans="27:32" ht="15">
      <c r="AA2598" s="463" t="s">
        <v>8938</v>
      </c>
      <c r="AB2598" s="462" t="s">
        <v>8939</v>
      </c>
      <c r="AC2598" s="462" t="s">
        <v>8940</v>
      </c>
      <c r="AD2598" s="464">
        <v>288.43151999999998</v>
      </c>
      <c r="AE2598" s="465">
        <v>13.874599999999999</v>
      </c>
      <c r="AF2598" s="86">
        <f>IF(verze!$E$1="CZK",AD2598,IF(verze!$E$1="SK",AE2598,""))</f>
        <v>13.874599999999999</v>
      </c>
    </row>
    <row r="2599" spans="27:32" ht="15">
      <c r="AA2599" s="463" t="s">
        <v>8941</v>
      </c>
      <c r="AB2599" s="462" t="s">
        <v>8942</v>
      </c>
      <c r="AC2599" s="462" t="s">
        <v>8943</v>
      </c>
      <c r="AD2599" s="464">
        <v>1.9232</v>
      </c>
      <c r="AE2599" s="465">
        <v>7.8880000000000006E-2</v>
      </c>
      <c r="AF2599" s="86">
        <f>IF(verze!$E$1="CZK",AD2599,IF(verze!$E$1="SK",AE2599,""))</f>
        <v>7.8880000000000006E-2</v>
      </c>
    </row>
    <row r="2600" spans="27:32" ht="15">
      <c r="AA2600" s="463" t="s">
        <v>8944</v>
      </c>
      <c r="AB2600" s="462" t="s">
        <v>8945</v>
      </c>
      <c r="AC2600" s="462" t="s">
        <v>8946</v>
      </c>
      <c r="AD2600" s="464">
        <v>134.57696000000001</v>
      </c>
      <c r="AE2600" s="465">
        <v>6.47363</v>
      </c>
      <c r="AF2600" s="86">
        <f>IF(verze!$E$1="CZK",AD2600,IF(verze!$E$1="SK",AE2600,""))</f>
        <v>6.47363</v>
      </c>
    </row>
    <row r="2601" spans="27:32" ht="15">
      <c r="AA2601" s="463" t="s">
        <v>8947</v>
      </c>
      <c r="AB2601" s="462" t="s">
        <v>8948</v>
      </c>
      <c r="AC2601" s="462" t="s">
        <v>8949</v>
      </c>
      <c r="AD2601" s="464">
        <v>5.1239999999999997</v>
      </c>
      <c r="AE2601" s="465">
        <v>0.17119999999999999</v>
      </c>
      <c r="AF2601" s="86">
        <f>IF(verze!$E$1="CZK",AD2601,IF(verze!$E$1="SK",AE2601,""))</f>
        <v>0.17119999999999999</v>
      </c>
    </row>
    <row r="2602" spans="27:32" ht="15">
      <c r="AA2602" s="463" t="s">
        <v>8950</v>
      </c>
      <c r="AB2602" s="462" t="s">
        <v>8951</v>
      </c>
      <c r="AC2602" s="462" t="s">
        <v>8952</v>
      </c>
      <c r="AD2602" s="464">
        <v>128.17008999999999</v>
      </c>
      <c r="AE2602" s="465">
        <v>6.1654499999999999</v>
      </c>
      <c r="AF2602" s="86">
        <f>IF(verze!$E$1="CZK",AD2602,IF(verze!$E$1="SK",AE2602,""))</f>
        <v>6.1654499999999999</v>
      </c>
    </row>
    <row r="2603" spans="27:32" ht="15">
      <c r="AA2603" s="463" t="s">
        <v>8953</v>
      </c>
      <c r="AB2603" s="462" t="s">
        <v>8954</v>
      </c>
      <c r="AC2603" s="462" t="s">
        <v>8955</v>
      </c>
      <c r="AD2603" s="464">
        <v>111.83548</v>
      </c>
      <c r="AE2603" s="465">
        <v>5.3796999999999997</v>
      </c>
      <c r="AF2603" s="86">
        <f>IF(verze!$E$1="CZK",AD2603,IF(verze!$E$1="SK",AE2603,""))</f>
        <v>5.3796999999999997</v>
      </c>
    </row>
    <row r="2604" spans="27:32" ht="15">
      <c r="AA2604" s="463" t="s">
        <v>8956</v>
      </c>
      <c r="AB2604" s="462" t="s">
        <v>8957</v>
      </c>
      <c r="AC2604" s="462" t="s">
        <v>8958</v>
      </c>
      <c r="AD2604" s="464">
        <v>0</v>
      </c>
      <c r="AE2604" s="465">
        <v>5.6641000000000004</v>
      </c>
      <c r="AF2604" s="86">
        <f>IF(verze!$E$1="CZK",AD2604,IF(verze!$E$1="SK",AE2604,""))</f>
        <v>5.6641000000000004</v>
      </c>
    </row>
    <row r="2605" spans="27:32" ht="15">
      <c r="AA2605" s="463" t="s">
        <v>8959</v>
      </c>
      <c r="AB2605" s="462" t="s">
        <v>8960</v>
      </c>
      <c r="AC2605" s="462" t="s">
        <v>8961</v>
      </c>
      <c r="AD2605" s="464">
        <v>5.6266999999999996</v>
      </c>
      <c r="AE2605" s="465">
        <v>0.23078000000000001</v>
      </c>
      <c r="AF2605" s="86">
        <f>IF(verze!$E$1="CZK",AD2605,IF(verze!$E$1="SK",AE2605,""))</f>
        <v>0.23078000000000001</v>
      </c>
    </row>
    <row r="2606" spans="27:32" ht="15">
      <c r="AA2606" s="463" t="s">
        <v>8962</v>
      </c>
      <c r="AB2606" s="462" t="s">
        <v>8963</v>
      </c>
      <c r="AC2606" s="462" t="s">
        <v>8964</v>
      </c>
      <c r="AD2606" s="464">
        <v>5.7911700000000002</v>
      </c>
      <c r="AE2606" s="465">
        <v>0.23605999999999999</v>
      </c>
      <c r="AF2606" s="86">
        <f>IF(verze!$E$1="CZK",AD2606,IF(verze!$E$1="SK",AE2606,""))</f>
        <v>0.23605999999999999</v>
      </c>
    </row>
    <row r="2607" spans="27:32" ht="15">
      <c r="AA2607" s="463" t="s">
        <v>8965</v>
      </c>
      <c r="AB2607" s="462" t="s">
        <v>8966</v>
      </c>
      <c r="AC2607" s="462" t="s">
        <v>8967</v>
      </c>
      <c r="AD2607" s="464">
        <v>5.7911700000000002</v>
      </c>
      <c r="AE2607" s="465">
        <v>0.23752000000000001</v>
      </c>
      <c r="AF2607" s="86">
        <f>IF(verze!$E$1="CZK",AD2607,IF(verze!$E$1="SK",AE2607,""))</f>
        <v>0.23752000000000001</v>
      </c>
    </row>
    <row r="2608" spans="27:32" ht="15">
      <c r="AA2608" s="463" t="s">
        <v>8968</v>
      </c>
      <c r="AB2608" s="462" t="s">
        <v>8969</v>
      </c>
      <c r="AC2608" s="462" t="s">
        <v>8970</v>
      </c>
      <c r="AD2608" s="464">
        <v>4.2253499999999997</v>
      </c>
      <c r="AE2608" s="465">
        <v>0.17330000000000001</v>
      </c>
      <c r="AF2608" s="86">
        <f>IF(verze!$E$1="CZK",AD2608,IF(verze!$E$1="SK",AE2608,""))</f>
        <v>0.17330000000000001</v>
      </c>
    </row>
    <row r="2609" spans="27:32" ht="15">
      <c r="AA2609" s="463" t="s">
        <v>8971</v>
      </c>
      <c r="AB2609" s="462" t="s">
        <v>8972</v>
      </c>
      <c r="AC2609" s="462" t="s">
        <v>8973</v>
      </c>
      <c r="AD2609" s="464">
        <v>5711.7572700000001</v>
      </c>
      <c r="AE2609" s="465">
        <v>261.67250000000001</v>
      </c>
      <c r="AF2609" s="86">
        <f>IF(verze!$E$1="CZK",AD2609,IF(verze!$E$1="SK",AE2609,""))</f>
        <v>261.67250000000001</v>
      </c>
    </row>
    <row r="2610" spans="27:32" ht="15">
      <c r="AA2610" s="463" t="s">
        <v>8974</v>
      </c>
      <c r="AB2610" s="462" t="s">
        <v>8975</v>
      </c>
      <c r="AC2610" s="462" t="s">
        <v>8976</v>
      </c>
      <c r="AD2610" s="464">
        <v>4891.6634400000003</v>
      </c>
      <c r="AE2610" s="465">
        <v>224.10159999999999</v>
      </c>
      <c r="AF2610" s="86">
        <f>IF(verze!$E$1="CZK",AD2610,IF(verze!$E$1="SK",AE2610,""))</f>
        <v>224.10159999999999</v>
      </c>
    </row>
    <row r="2611" spans="27:32" ht="15">
      <c r="AA2611" s="463" t="s">
        <v>8977</v>
      </c>
      <c r="AB2611" s="462" t="s">
        <v>8978</v>
      </c>
      <c r="AC2611" s="462" t="s">
        <v>8979</v>
      </c>
      <c r="AD2611" s="464">
        <v>5738.0405099999998</v>
      </c>
      <c r="AE2611" s="465">
        <v>262.87662</v>
      </c>
      <c r="AF2611" s="86">
        <f>IF(verze!$E$1="CZK",AD2611,IF(verze!$E$1="SK",AE2611,""))</f>
        <v>262.87662</v>
      </c>
    </row>
    <row r="2612" spans="27:32" ht="15">
      <c r="AA2612" s="463" t="s">
        <v>8980</v>
      </c>
      <c r="AB2612" s="462" t="s">
        <v>8981</v>
      </c>
      <c r="AC2612" s="462" t="s">
        <v>8982</v>
      </c>
      <c r="AD2612" s="464">
        <v>6229.8274600000004</v>
      </c>
      <c r="AE2612" s="465">
        <v>285.40681999999998</v>
      </c>
      <c r="AF2612" s="86">
        <f>IF(verze!$E$1="CZK",AD2612,IF(verze!$E$1="SK",AE2612,""))</f>
        <v>285.40681999999998</v>
      </c>
    </row>
    <row r="2613" spans="27:32" ht="15">
      <c r="AA2613" s="463" t="s">
        <v>8983</v>
      </c>
      <c r="AB2613" s="462" t="s">
        <v>8984</v>
      </c>
      <c r="AC2613" s="462" t="s">
        <v>8985</v>
      </c>
      <c r="AD2613" s="464">
        <v>293.50328999999999</v>
      </c>
      <c r="AE2613" s="465">
        <v>14.11857</v>
      </c>
      <c r="AF2613" s="86">
        <f>IF(verze!$E$1="CZK",AD2613,IF(verze!$E$1="SK",AE2613,""))</f>
        <v>14.11857</v>
      </c>
    </row>
    <row r="2614" spans="27:32" ht="15">
      <c r="AA2614" s="463" t="s">
        <v>8983</v>
      </c>
      <c r="AB2614" s="462" t="s">
        <v>8986</v>
      </c>
      <c r="AC2614" s="462" t="s">
        <v>8987</v>
      </c>
      <c r="AD2614" s="464">
        <v>0</v>
      </c>
      <c r="AE2614" s="465">
        <v>0</v>
      </c>
      <c r="AF2614" s="86">
        <f>IF(verze!$E$1="CZK",AD2614,IF(verze!$E$1="SK",AE2614,""))</f>
        <v>0</v>
      </c>
    </row>
    <row r="2615" spans="27:32" ht="15">
      <c r="AA2615" s="463" t="s">
        <v>8988</v>
      </c>
      <c r="AB2615" s="462" t="s">
        <v>8989</v>
      </c>
      <c r="AC2615" s="462" t="s">
        <v>8990</v>
      </c>
      <c r="AD2615" s="464">
        <v>293.50328999999999</v>
      </c>
      <c r="AE2615" s="465">
        <v>14.11857</v>
      </c>
      <c r="AF2615" s="86">
        <f>IF(verze!$E$1="CZK",AD2615,IF(verze!$E$1="SK",AE2615,""))</f>
        <v>14.11857</v>
      </c>
    </row>
    <row r="2616" spans="27:32" ht="15">
      <c r="AA2616" s="463" t="s">
        <v>8988</v>
      </c>
      <c r="AB2616" s="462" t="s">
        <v>8991</v>
      </c>
      <c r="AC2616" s="462" t="s">
        <v>8992</v>
      </c>
      <c r="AD2616" s="464">
        <v>0</v>
      </c>
      <c r="AE2616" s="465">
        <v>0</v>
      </c>
      <c r="AF2616" s="86">
        <f>IF(verze!$E$1="CZK",AD2616,IF(verze!$E$1="SK",AE2616,""))</f>
        <v>0</v>
      </c>
    </row>
    <row r="2617" spans="27:32" ht="15">
      <c r="AA2617" s="463" t="s">
        <v>8993</v>
      </c>
      <c r="AB2617" s="462" t="s">
        <v>8994</v>
      </c>
      <c r="AC2617" s="462" t="s">
        <v>8995</v>
      </c>
      <c r="AD2617" s="464">
        <v>28.023790000000002</v>
      </c>
      <c r="AE2617" s="465">
        <v>1.34805</v>
      </c>
      <c r="AF2617" s="86">
        <f>IF(verze!$E$1="CZK",AD2617,IF(verze!$E$1="SK",AE2617,""))</f>
        <v>1.34805</v>
      </c>
    </row>
    <row r="2618" spans="27:32" ht="15">
      <c r="AA2618" s="463" t="s">
        <v>8996</v>
      </c>
      <c r="AB2618" s="462" t="s">
        <v>8997</v>
      </c>
      <c r="AC2618" s="462" t="s">
        <v>8998</v>
      </c>
      <c r="AD2618" s="464">
        <v>29.695969999999999</v>
      </c>
      <c r="AE2618" s="465">
        <v>1.42848</v>
      </c>
      <c r="AF2618" s="86">
        <f>IF(verze!$E$1="CZK",AD2618,IF(verze!$E$1="SK",AE2618,""))</f>
        <v>1.42848</v>
      </c>
    </row>
    <row r="2619" spans="27:32" ht="15">
      <c r="AA2619" s="463" t="s">
        <v>8999</v>
      </c>
      <c r="AB2619" s="462" t="s">
        <v>9000</v>
      </c>
      <c r="AC2619" s="462" t="s">
        <v>9001</v>
      </c>
      <c r="AD2619" s="464">
        <v>28.649660000000001</v>
      </c>
      <c r="AE2619" s="465">
        <v>1.37815</v>
      </c>
      <c r="AF2619" s="86">
        <f>IF(verze!$E$1="CZK",AD2619,IF(verze!$E$1="SK",AE2619,""))</f>
        <v>1.37815</v>
      </c>
    </row>
    <row r="2620" spans="27:32" ht="15">
      <c r="AA2620" s="463" t="s">
        <v>9002</v>
      </c>
      <c r="AB2620" s="462" t="s">
        <v>9003</v>
      </c>
      <c r="AC2620" s="462" t="s">
        <v>9004</v>
      </c>
      <c r="AD2620" s="464">
        <v>351.49630999999999</v>
      </c>
      <c r="AE2620" s="465">
        <v>16.90823</v>
      </c>
      <c r="AF2620" s="86">
        <f>IF(verze!$E$1="CZK",AD2620,IF(verze!$E$1="SK",AE2620,""))</f>
        <v>16.90823</v>
      </c>
    </row>
    <row r="2621" spans="27:32" ht="15">
      <c r="AA2621" s="463" t="s">
        <v>9005</v>
      </c>
      <c r="AB2621" s="462" t="s">
        <v>9006</v>
      </c>
      <c r="AC2621" s="462" t="s">
        <v>9007</v>
      </c>
      <c r="AD2621" s="464">
        <v>351.49630999999999</v>
      </c>
      <c r="AE2621" s="465">
        <v>16.90823</v>
      </c>
      <c r="AF2621" s="86">
        <f>IF(verze!$E$1="CZK",AD2621,IF(verze!$E$1="SK",AE2621,""))</f>
        <v>16.90823</v>
      </c>
    </row>
    <row r="2622" spans="27:32" ht="15">
      <c r="AA2622" s="463" t="s">
        <v>9008</v>
      </c>
      <c r="AB2622" s="462" t="s">
        <v>9009</v>
      </c>
      <c r="AC2622" s="462" t="s">
        <v>9010</v>
      </c>
      <c r="AD2622" s="464">
        <v>363.49712</v>
      </c>
      <c r="AE2622" s="465">
        <v>17.485520000000001</v>
      </c>
      <c r="AF2622" s="86">
        <f>IF(verze!$E$1="CZK",AD2622,IF(verze!$E$1="SK",AE2622,""))</f>
        <v>17.485520000000001</v>
      </c>
    </row>
    <row r="2623" spans="27:32" ht="15">
      <c r="AA2623" s="463" t="s">
        <v>9011</v>
      </c>
      <c r="AB2623" s="462" t="s">
        <v>9012</v>
      </c>
      <c r="AC2623" s="462" t="s">
        <v>9013</v>
      </c>
      <c r="AD2623" s="464">
        <v>363.49712</v>
      </c>
      <c r="AE2623" s="465">
        <v>17.485520000000001</v>
      </c>
      <c r="AF2623" s="86">
        <f>IF(verze!$E$1="CZK",AD2623,IF(verze!$E$1="SK",AE2623,""))</f>
        <v>17.485520000000001</v>
      </c>
    </row>
    <row r="2624" spans="27:32" ht="15">
      <c r="AA2624" s="463" t="s">
        <v>9014</v>
      </c>
      <c r="AB2624" s="462" t="s">
        <v>9015</v>
      </c>
      <c r="AC2624" s="462" t="s">
        <v>9016</v>
      </c>
      <c r="AD2624" s="464">
        <v>0</v>
      </c>
      <c r="AE2624" s="465">
        <v>13.56312</v>
      </c>
      <c r="AF2624" s="86">
        <f>IF(verze!$E$1="CZK",AD2624,IF(verze!$E$1="SK",AE2624,""))</f>
        <v>13.56312</v>
      </c>
    </row>
    <row r="2625" spans="27:32" ht="15">
      <c r="AA2625" s="463" t="s">
        <v>9017</v>
      </c>
      <c r="AB2625" s="462" t="s">
        <v>9018</v>
      </c>
      <c r="AC2625" s="462" t="s">
        <v>9019</v>
      </c>
      <c r="AD2625" s="464">
        <v>0</v>
      </c>
      <c r="AE2625" s="465">
        <v>13.56312</v>
      </c>
      <c r="AF2625" s="86">
        <f>IF(verze!$E$1="CZK",AD2625,IF(verze!$E$1="SK",AE2625,""))</f>
        <v>13.56312</v>
      </c>
    </row>
    <row r="2626" spans="27:32" ht="15">
      <c r="AA2626" s="463" t="s">
        <v>9020</v>
      </c>
      <c r="AB2626" s="462" t="s">
        <v>9021</v>
      </c>
      <c r="AC2626" s="462" t="s">
        <v>9022</v>
      </c>
      <c r="AD2626" s="464">
        <v>35.980620000000002</v>
      </c>
      <c r="AE2626" s="465">
        <v>1.7307999999999999</v>
      </c>
      <c r="AF2626" s="86">
        <f>IF(verze!$E$1="CZK",AD2626,IF(verze!$E$1="SK",AE2626,""))</f>
        <v>1.7307999999999999</v>
      </c>
    </row>
    <row r="2627" spans="27:32" ht="15">
      <c r="AA2627" s="463" t="s">
        <v>9023</v>
      </c>
      <c r="AB2627" s="462" t="s">
        <v>9024</v>
      </c>
      <c r="AC2627" s="462" t="s">
        <v>9025</v>
      </c>
      <c r="AD2627" s="464">
        <v>283.12378999999999</v>
      </c>
      <c r="AE2627" s="465">
        <v>13.61928</v>
      </c>
      <c r="AF2627" s="86">
        <f>IF(verze!$E$1="CZK",AD2627,IF(verze!$E$1="SK",AE2627,""))</f>
        <v>13.61928</v>
      </c>
    </row>
    <row r="2628" spans="27:32" ht="15">
      <c r="AA2628" s="463" t="s">
        <v>9023</v>
      </c>
      <c r="AB2628" s="462" t="s">
        <v>9026</v>
      </c>
      <c r="AC2628" s="462" t="s">
        <v>9027</v>
      </c>
      <c r="AD2628" s="464">
        <v>0</v>
      </c>
      <c r="AE2628" s="465">
        <v>13.56312</v>
      </c>
      <c r="AF2628" s="86">
        <f>IF(verze!$E$1="CZK",AD2628,IF(verze!$E$1="SK",AE2628,""))</f>
        <v>13.56312</v>
      </c>
    </row>
    <row r="2629" spans="27:32" ht="15">
      <c r="AA2629" s="463" t="s">
        <v>9028</v>
      </c>
      <c r="AB2629" s="462" t="s">
        <v>9029</v>
      </c>
      <c r="AC2629" s="462" t="s">
        <v>9030</v>
      </c>
      <c r="AD2629" s="464">
        <v>283.12378999999999</v>
      </c>
      <c r="AE2629" s="465">
        <v>13.61928</v>
      </c>
      <c r="AF2629" s="86">
        <f>IF(verze!$E$1="CZK",AD2629,IF(verze!$E$1="SK",AE2629,""))</f>
        <v>13.61928</v>
      </c>
    </row>
    <row r="2630" spans="27:32" ht="15">
      <c r="AA2630" s="463" t="s">
        <v>9028</v>
      </c>
      <c r="AB2630" s="462" t="s">
        <v>9031</v>
      </c>
      <c r="AC2630" s="462" t="s">
        <v>9032</v>
      </c>
      <c r="AD2630" s="464">
        <v>0</v>
      </c>
      <c r="AE2630" s="465">
        <v>13.56312</v>
      </c>
      <c r="AF2630" s="86">
        <f>IF(verze!$E$1="CZK",AD2630,IF(verze!$E$1="SK",AE2630,""))</f>
        <v>13.56312</v>
      </c>
    </row>
    <row r="2631" spans="27:32" ht="15">
      <c r="AA2631" s="463" t="s">
        <v>9033</v>
      </c>
      <c r="AB2631" s="462" t="s">
        <v>9034</v>
      </c>
      <c r="AC2631" s="462" t="s">
        <v>9035</v>
      </c>
      <c r="AD2631" s="464">
        <v>370.64060999999998</v>
      </c>
      <c r="AE2631" s="465">
        <v>14.92756</v>
      </c>
      <c r="AF2631" s="86">
        <f>IF(verze!$E$1="CZK",AD2631,IF(verze!$E$1="SK",AE2631,""))</f>
        <v>14.92756</v>
      </c>
    </row>
    <row r="2632" spans="27:32" ht="15">
      <c r="AA2632" s="463" t="s">
        <v>9036</v>
      </c>
      <c r="AB2632" s="462" t="s">
        <v>9037</v>
      </c>
      <c r="AC2632" s="462" t="s">
        <v>9038</v>
      </c>
      <c r="AD2632" s="464">
        <v>292.61052999999998</v>
      </c>
      <c r="AE2632" s="465">
        <v>11.78485</v>
      </c>
      <c r="AF2632" s="86">
        <f>IF(verze!$E$1="CZK",AD2632,IF(verze!$E$1="SK",AE2632,""))</f>
        <v>11.78485</v>
      </c>
    </row>
    <row r="2633" spans="27:32" ht="15">
      <c r="AA2633" s="463" t="s">
        <v>9039</v>
      </c>
      <c r="AB2633" s="462" t="s">
        <v>9040</v>
      </c>
      <c r="AC2633" s="462" t="s">
        <v>9041</v>
      </c>
      <c r="AD2633" s="464">
        <v>33.626710000000003</v>
      </c>
      <c r="AE2633" s="465">
        <v>1.61757</v>
      </c>
      <c r="AF2633" s="86">
        <f>IF(verze!$E$1="CZK",AD2633,IF(verze!$E$1="SK",AE2633,""))</f>
        <v>1.61757</v>
      </c>
    </row>
    <row r="2634" spans="27:32" ht="15">
      <c r="AA2634" s="463" t="s">
        <v>9042</v>
      </c>
      <c r="AB2634" s="462" t="s">
        <v>9043</v>
      </c>
      <c r="AC2634" s="462" t="s">
        <v>9044</v>
      </c>
      <c r="AD2634" s="464">
        <v>35.636099999999999</v>
      </c>
      <c r="AE2634" s="465">
        <v>1.7142299999999999</v>
      </c>
      <c r="AF2634" s="86">
        <f>IF(verze!$E$1="CZK",AD2634,IF(verze!$E$1="SK",AE2634,""))</f>
        <v>1.7142299999999999</v>
      </c>
    </row>
    <row r="2635" spans="27:32" ht="15">
      <c r="AA2635" s="463" t="s">
        <v>9045</v>
      </c>
      <c r="AB2635" s="462" t="s">
        <v>9046</v>
      </c>
      <c r="AC2635" s="462" t="s">
        <v>9047</v>
      </c>
      <c r="AD2635" s="464">
        <v>283.12378999999999</v>
      </c>
      <c r="AE2635" s="465">
        <v>13.61928</v>
      </c>
      <c r="AF2635" s="86">
        <f>IF(verze!$E$1="CZK",AD2635,IF(verze!$E$1="SK",AE2635,""))</f>
        <v>13.61928</v>
      </c>
    </row>
    <row r="2636" spans="27:32" ht="15">
      <c r="AA2636" s="463" t="s">
        <v>9048</v>
      </c>
      <c r="AB2636" s="462" t="s">
        <v>9049</v>
      </c>
      <c r="AC2636" s="462" t="s">
        <v>9050</v>
      </c>
      <c r="AD2636" s="464">
        <v>283.12378999999999</v>
      </c>
      <c r="AE2636" s="465">
        <v>13.61928</v>
      </c>
      <c r="AF2636" s="86">
        <f>IF(verze!$E$1="CZK",AD2636,IF(verze!$E$1="SK",AE2636,""))</f>
        <v>13.61928</v>
      </c>
    </row>
    <row r="2637" spans="27:32" ht="15">
      <c r="AA2637" s="463" t="s">
        <v>9051</v>
      </c>
      <c r="AB2637" s="462" t="s">
        <v>9052</v>
      </c>
      <c r="AC2637" s="462" t="s">
        <v>9053</v>
      </c>
      <c r="AD2637" s="464">
        <v>23.324670000000001</v>
      </c>
      <c r="AE2637" s="465">
        <v>1.12201</v>
      </c>
      <c r="AF2637" s="86">
        <f>IF(verze!$E$1="CZK",AD2637,IF(verze!$E$1="SK",AE2637,""))</f>
        <v>1.12201</v>
      </c>
    </row>
    <row r="2638" spans="27:32" ht="15">
      <c r="AA2638" s="463" t="s">
        <v>9054</v>
      </c>
      <c r="AB2638" s="462" t="s">
        <v>9055</v>
      </c>
      <c r="AC2638" s="462" t="s">
        <v>9056</v>
      </c>
      <c r="AD2638" s="464">
        <v>23.324670000000001</v>
      </c>
      <c r="AE2638" s="465">
        <v>1.12201</v>
      </c>
      <c r="AF2638" s="86">
        <f>IF(verze!$E$1="CZK",AD2638,IF(verze!$E$1="SK",AE2638,""))</f>
        <v>1.12201</v>
      </c>
    </row>
    <row r="2639" spans="27:32" ht="15">
      <c r="AA2639" s="463" t="s">
        <v>9057</v>
      </c>
      <c r="AB2639" s="462" t="s">
        <v>9058</v>
      </c>
      <c r="AC2639" s="462" t="s">
        <v>9059</v>
      </c>
      <c r="AD2639" s="464">
        <v>37.489339999999999</v>
      </c>
      <c r="AE2639" s="465">
        <v>1.80338</v>
      </c>
      <c r="AF2639" s="86">
        <f>IF(verze!$E$1="CZK",AD2639,IF(verze!$E$1="SK",AE2639,""))</f>
        <v>1.80338</v>
      </c>
    </row>
    <row r="2640" spans="27:32" ht="15">
      <c r="AA2640" s="463" t="s">
        <v>9060</v>
      </c>
      <c r="AB2640" s="462" t="s">
        <v>9061</v>
      </c>
      <c r="AC2640" s="462" t="s">
        <v>9062</v>
      </c>
      <c r="AD2640" s="464">
        <v>694.54787999999996</v>
      </c>
      <c r="AE2640" s="465">
        <v>0</v>
      </c>
      <c r="AF2640" s="86">
        <f>IF(verze!$E$1="CZK",AD2640,IF(verze!$E$1="SK",AE2640,""))</f>
        <v>0</v>
      </c>
    </row>
    <row r="2641" spans="27:32" ht="15">
      <c r="AA2641" s="463" t="s">
        <v>9063</v>
      </c>
      <c r="AB2641" s="462" t="s">
        <v>9064</v>
      </c>
      <c r="AC2641" s="462" t="s">
        <v>9065</v>
      </c>
      <c r="AD2641" s="464">
        <v>87.554680000000005</v>
      </c>
      <c r="AE2641" s="465">
        <v>4.2117000000000004</v>
      </c>
      <c r="AF2641" s="86">
        <f>IF(verze!$E$1="CZK",AD2641,IF(verze!$E$1="SK",AE2641,""))</f>
        <v>4.2117000000000004</v>
      </c>
    </row>
    <row r="2642" spans="27:32" ht="15">
      <c r="AA2642" s="463" t="s">
        <v>9066</v>
      </c>
      <c r="AB2642" s="462" t="s">
        <v>9067</v>
      </c>
      <c r="AC2642" s="462" t="s">
        <v>9068</v>
      </c>
      <c r="AD2642" s="464">
        <v>94.536249999999995</v>
      </c>
      <c r="AE2642" s="465">
        <v>4.5475500000000002</v>
      </c>
      <c r="AF2642" s="86">
        <f>IF(verze!$E$1="CZK",AD2642,IF(verze!$E$1="SK",AE2642,""))</f>
        <v>4.5475500000000002</v>
      </c>
    </row>
    <row r="2643" spans="27:32" ht="15">
      <c r="AA2643" s="463" t="s">
        <v>9069</v>
      </c>
      <c r="AB2643" s="462" t="s">
        <v>9070</v>
      </c>
      <c r="AC2643" s="462" t="s">
        <v>9071</v>
      </c>
      <c r="AD2643" s="464">
        <v>93.392120000000006</v>
      </c>
      <c r="AE2643" s="465">
        <v>4.4925100000000002</v>
      </c>
      <c r="AF2643" s="86">
        <f>IF(verze!$E$1="CZK",AD2643,IF(verze!$E$1="SK",AE2643,""))</f>
        <v>4.4925100000000002</v>
      </c>
    </row>
    <row r="2644" spans="27:32" ht="15">
      <c r="AA2644" s="463" t="s">
        <v>9072</v>
      </c>
      <c r="AB2644" s="462" t="s">
        <v>9073</v>
      </c>
      <c r="AC2644" s="462" t="s">
        <v>9074</v>
      </c>
      <c r="AD2644" s="464">
        <v>99.229579999999999</v>
      </c>
      <c r="AE2644" s="465">
        <v>4.7732999999999999</v>
      </c>
      <c r="AF2644" s="86">
        <f>IF(verze!$E$1="CZK",AD2644,IF(verze!$E$1="SK",AE2644,""))</f>
        <v>4.7732999999999999</v>
      </c>
    </row>
    <row r="2645" spans="27:32" ht="15">
      <c r="AA2645" s="463" t="s">
        <v>9075</v>
      </c>
      <c r="AB2645" s="462" t="s">
        <v>9076</v>
      </c>
      <c r="AC2645" s="462" t="s">
        <v>9077</v>
      </c>
      <c r="AD2645" s="464">
        <v>26.759620000000002</v>
      </c>
      <c r="AE2645" s="465">
        <v>1.2872399999999999</v>
      </c>
      <c r="AF2645" s="86">
        <f>IF(verze!$E$1="CZK",AD2645,IF(verze!$E$1="SK",AE2645,""))</f>
        <v>1.2872399999999999</v>
      </c>
    </row>
    <row r="2646" spans="27:32" ht="15">
      <c r="AA2646" s="463" t="s">
        <v>9078</v>
      </c>
      <c r="AB2646" s="462" t="s">
        <v>9079</v>
      </c>
      <c r="AC2646" s="462" t="s">
        <v>9080</v>
      </c>
      <c r="AD2646" s="464">
        <v>294.77623999999997</v>
      </c>
      <c r="AE2646" s="465">
        <v>0</v>
      </c>
      <c r="AF2646" s="86">
        <f>IF(verze!$E$1="CZK",AD2646,IF(verze!$E$1="SK",AE2646,""))</f>
        <v>0</v>
      </c>
    </row>
    <row r="2647" spans="27:32" ht="15">
      <c r="AA2647" s="463" t="s">
        <v>9081</v>
      </c>
      <c r="AB2647" s="462" t="s">
        <v>9082</v>
      </c>
      <c r="AC2647" s="462" t="s">
        <v>9083</v>
      </c>
      <c r="AD2647" s="464">
        <v>294.77623999999997</v>
      </c>
      <c r="AE2647" s="465">
        <v>0</v>
      </c>
      <c r="AF2647" s="86">
        <f>IF(verze!$E$1="CZK",AD2647,IF(verze!$E$1="SK",AE2647,""))</f>
        <v>0</v>
      </c>
    </row>
    <row r="2648" spans="27:32" ht="15">
      <c r="AA2648" s="463" t="s">
        <v>9084</v>
      </c>
      <c r="AB2648" s="462" t="s">
        <v>9085</v>
      </c>
      <c r="AC2648" s="462" t="s">
        <v>9086</v>
      </c>
      <c r="AD2648" s="464">
        <v>22.757829999999998</v>
      </c>
      <c r="AE2648" s="465">
        <v>0.91588000000000003</v>
      </c>
      <c r="AF2648" s="86">
        <f>IF(verze!$E$1="CZK",AD2648,IF(verze!$E$1="SK",AE2648,""))</f>
        <v>0.91588000000000003</v>
      </c>
    </row>
    <row r="2649" spans="27:32" ht="15">
      <c r="AA2649" s="463" t="s">
        <v>9087</v>
      </c>
      <c r="AB2649" s="462" t="s">
        <v>9088</v>
      </c>
      <c r="AC2649" s="462" t="s">
        <v>9089</v>
      </c>
      <c r="AD2649" s="464">
        <v>357.40159</v>
      </c>
      <c r="AE2649" s="465">
        <v>15.7539</v>
      </c>
      <c r="AF2649" s="86">
        <f>IF(verze!$E$1="CZK",AD2649,IF(verze!$E$1="SK",AE2649,""))</f>
        <v>15.7539</v>
      </c>
    </row>
    <row r="2650" spans="27:32" ht="15">
      <c r="AA2650" s="463" t="s">
        <v>9090</v>
      </c>
      <c r="AB2650" s="462" t="s">
        <v>9091</v>
      </c>
      <c r="AC2650" s="462" t="s">
        <v>9092</v>
      </c>
      <c r="AD2650" s="464">
        <v>186.65996999999999</v>
      </c>
      <c r="AE2650" s="465">
        <v>8.2278000000000002</v>
      </c>
      <c r="AF2650" s="86">
        <f>IF(verze!$E$1="CZK",AD2650,IF(verze!$E$1="SK",AE2650,""))</f>
        <v>8.2278000000000002</v>
      </c>
    </row>
    <row r="2651" spans="27:32" ht="15">
      <c r="AA2651" s="463" t="s">
        <v>9093</v>
      </c>
      <c r="AB2651" s="462" t="s">
        <v>9094</v>
      </c>
      <c r="AC2651" s="462" t="s">
        <v>9095</v>
      </c>
      <c r="AD2651" s="464">
        <v>254.06165999999999</v>
      </c>
      <c r="AE2651" s="465">
        <v>11.63932</v>
      </c>
      <c r="AF2651" s="86">
        <f>IF(verze!$E$1="CZK",AD2651,IF(verze!$E$1="SK",AE2651,""))</f>
        <v>11.63932</v>
      </c>
    </row>
    <row r="2652" spans="27:32" ht="15">
      <c r="AA2652" s="463" t="s">
        <v>9096</v>
      </c>
      <c r="AB2652" s="462" t="s">
        <v>9097</v>
      </c>
      <c r="AC2652" s="462" t="s">
        <v>9098</v>
      </c>
      <c r="AD2652" s="464">
        <v>275.44483000000002</v>
      </c>
      <c r="AE2652" s="465">
        <v>11.019159999999999</v>
      </c>
      <c r="AF2652" s="86">
        <f>IF(verze!$E$1="CZK",AD2652,IF(verze!$E$1="SK",AE2652,""))</f>
        <v>11.019159999999999</v>
      </c>
    </row>
    <row r="2653" spans="27:32" ht="15">
      <c r="AA2653" s="463" t="s">
        <v>9099</v>
      </c>
      <c r="AB2653" s="462" t="s">
        <v>9100</v>
      </c>
      <c r="AC2653" s="462" t="s">
        <v>9101</v>
      </c>
      <c r="AD2653" s="464">
        <v>291.09852000000001</v>
      </c>
      <c r="AE2653" s="465">
        <v>11.645390000000001</v>
      </c>
      <c r="AF2653" s="86">
        <f>IF(verze!$E$1="CZK",AD2653,IF(verze!$E$1="SK",AE2653,""))</f>
        <v>11.645390000000001</v>
      </c>
    </row>
    <row r="2654" spans="27:32" ht="15">
      <c r="AA2654" s="463" t="s">
        <v>9102</v>
      </c>
      <c r="AB2654" s="462" t="s">
        <v>9103</v>
      </c>
      <c r="AC2654" s="462" t="s">
        <v>9104</v>
      </c>
      <c r="AD2654" s="464">
        <v>316.12876999999997</v>
      </c>
      <c r="AE2654" s="465">
        <v>12.646739999999999</v>
      </c>
      <c r="AF2654" s="86">
        <f>IF(verze!$E$1="CZK",AD2654,IF(verze!$E$1="SK",AE2654,""))</f>
        <v>12.646739999999999</v>
      </c>
    </row>
    <row r="2655" spans="27:32" ht="15">
      <c r="AA2655" s="463" t="s">
        <v>9105</v>
      </c>
      <c r="AB2655" s="462" t="s">
        <v>9106</v>
      </c>
      <c r="AC2655" s="462" t="s">
        <v>9107</v>
      </c>
      <c r="AD2655" s="464">
        <v>345.86822000000001</v>
      </c>
      <c r="AE2655" s="465">
        <v>13.836449999999999</v>
      </c>
      <c r="AF2655" s="86">
        <f>IF(verze!$E$1="CZK",AD2655,IF(verze!$E$1="SK",AE2655,""))</f>
        <v>13.836449999999999</v>
      </c>
    </row>
    <row r="2656" spans="27:32" ht="15">
      <c r="AA2656" s="463" t="s">
        <v>9108</v>
      </c>
      <c r="AB2656" s="462" t="s">
        <v>9109</v>
      </c>
      <c r="AC2656" s="462" t="s">
        <v>9110</v>
      </c>
      <c r="AD2656" s="464">
        <v>449.15645999999998</v>
      </c>
      <c r="AE2656" s="465">
        <v>17.968509999999998</v>
      </c>
      <c r="AF2656" s="86">
        <f>IF(verze!$E$1="CZK",AD2656,IF(verze!$E$1="SK",AE2656,""))</f>
        <v>17.968509999999998</v>
      </c>
    </row>
    <row r="2657" spans="27:32" ht="15">
      <c r="AA2657" s="463" t="s">
        <v>9111</v>
      </c>
      <c r="AB2657" s="462" t="s">
        <v>9112</v>
      </c>
      <c r="AC2657" s="462" t="s">
        <v>9113</v>
      </c>
      <c r="AD2657" s="464">
        <v>298.92275999999998</v>
      </c>
      <c r="AE2657" s="465">
        <v>11.958399999999999</v>
      </c>
      <c r="AF2657" s="86">
        <f>IF(verze!$E$1="CZK",AD2657,IF(verze!$E$1="SK",AE2657,""))</f>
        <v>11.958399999999999</v>
      </c>
    </row>
    <row r="2658" spans="27:32" ht="15">
      <c r="AA2658" s="463" t="s">
        <v>9114</v>
      </c>
      <c r="AB2658" s="462" t="s">
        <v>9115</v>
      </c>
      <c r="AC2658" s="462" t="s">
        <v>9116</v>
      </c>
      <c r="AD2658" s="464">
        <v>317.70454000000001</v>
      </c>
      <c r="AE2658" s="465">
        <v>12.709759999999999</v>
      </c>
      <c r="AF2658" s="86">
        <f>IF(verze!$E$1="CZK",AD2658,IF(verze!$E$1="SK",AE2658,""))</f>
        <v>12.709759999999999</v>
      </c>
    </row>
    <row r="2659" spans="27:32" ht="15">
      <c r="AA2659" s="463" t="s">
        <v>9117</v>
      </c>
      <c r="AB2659" s="462" t="s">
        <v>9118</v>
      </c>
      <c r="AC2659" s="462" t="s">
        <v>9119</v>
      </c>
      <c r="AD2659" s="464">
        <v>342.74002000000002</v>
      </c>
      <c r="AE2659" s="465">
        <v>13.7113</v>
      </c>
      <c r="AF2659" s="86">
        <f>IF(verze!$E$1="CZK",AD2659,IF(verze!$E$1="SK",AE2659,""))</f>
        <v>13.7113</v>
      </c>
    </row>
    <row r="2660" spans="27:32" ht="15">
      <c r="AA2660" s="463" t="s">
        <v>9120</v>
      </c>
      <c r="AB2660" s="462" t="s">
        <v>9121</v>
      </c>
      <c r="AC2660" s="462" t="s">
        <v>9122</v>
      </c>
      <c r="AD2660" s="464">
        <v>242.63906</v>
      </c>
      <c r="AE2660" s="465">
        <v>9.7645800000000005</v>
      </c>
      <c r="AF2660" s="86">
        <f>IF(verze!$E$1="CZK",AD2660,IF(verze!$E$1="SK",AE2660,""))</f>
        <v>9.7645800000000005</v>
      </c>
    </row>
    <row r="2661" spans="27:32" ht="15">
      <c r="AA2661" s="463" t="s">
        <v>9123</v>
      </c>
      <c r="AB2661" s="462" t="s">
        <v>9124</v>
      </c>
      <c r="AC2661" s="462" t="s">
        <v>9125</v>
      </c>
      <c r="AD2661" s="464">
        <v>242.63906</v>
      </c>
      <c r="AE2661" s="465">
        <v>9.7645800000000005</v>
      </c>
      <c r="AF2661" s="86">
        <f>IF(verze!$E$1="CZK",AD2661,IF(verze!$E$1="SK",AE2661,""))</f>
        <v>9.7645800000000005</v>
      </c>
    </row>
    <row r="2662" spans="27:32" ht="15">
      <c r="AA2662" s="463" t="s">
        <v>9126</v>
      </c>
      <c r="AB2662" s="462" t="s">
        <v>9127</v>
      </c>
      <c r="AC2662" s="462" t="s">
        <v>9128</v>
      </c>
      <c r="AD2662" s="464">
        <v>242.63906</v>
      </c>
      <c r="AE2662" s="465">
        <v>9.7645800000000005</v>
      </c>
      <c r="AF2662" s="86">
        <f>IF(verze!$E$1="CZK",AD2662,IF(verze!$E$1="SK",AE2662,""))</f>
        <v>9.7645800000000005</v>
      </c>
    </row>
    <row r="2663" spans="27:32" ht="15">
      <c r="AA2663" s="463" t="s">
        <v>9129</v>
      </c>
      <c r="AB2663" s="462" t="s">
        <v>9130</v>
      </c>
      <c r="AC2663" s="462" t="s">
        <v>9131</v>
      </c>
      <c r="AD2663" s="464">
        <v>242.63906</v>
      </c>
      <c r="AE2663" s="465">
        <v>9.7645800000000005</v>
      </c>
      <c r="AF2663" s="86">
        <f>IF(verze!$E$1="CZK",AD2663,IF(verze!$E$1="SK",AE2663,""))</f>
        <v>9.7645800000000005</v>
      </c>
    </row>
    <row r="2664" spans="27:32" ht="15">
      <c r="AA2664" s="463" t="s">
        <v>9132</v>
      </c>
      <c r="AB2664" s="462" t="s">
        <v>9133</v>
      </c>
      <c r="AC2664" s="462" t="s">
        <v>9134</v>
      </c>
      <c r="AD2664" s="464">
        <v>1638.62445</v>
      </c>
      <c r="AE2664" s="465">
        <v>72.228939999999994</v>
      </c>
      <c r="AF2664" s="86">
        <f>IF(verze!$E$1="CZK",AD2664,IF(verze!$E$1="SK",AE2664,""))</f>
        <v>72.228939999999994</v>
      </c>
    </row>
    <row r="2665" spans="27:32" ht="15">
      <c r="AA2665" s="463" t="s">
        <v>9135</v>
      </c>
      <c r="AB2665" s="462" t="s">
        <v>9136</v>
      </c>
      <c r="AC2665" s="462" t="s">
        <v>9137</v>
      </c>
      <c r="AD2665" s="464">
        <v>400.72091</v>
      </c>
      <c r="AE2665" s="465">
        <v>18.3582</v>
      </c>
      <c r="AF2665" s="86">
        <f>IF(verze!$E$1="CZK",AD2665,IF(verze!$E$1="SK",AE2665,""))</f>
        <v>18.3582</v>
      </c>
    </row>
    <row r="2666" spans="27:32" ht="15">
      <c r="AA2666" s="463" t="s">
        <v>9138</v>
      </c>
      <c r="AB2666" s="462" t="s">
        <v>9139</v>
      </c>
      <c r="AC2666" s="462" t="s">
        <v>9140</v>
      </c>
      <c r="AD2666" s="464">
        <v>240.58775</v>
      </c>
      <c r="AE2666" s="465">
        <v>0</v>
      </c>
      <c r="AF2666" s="86">
        <f>IF(verze!$E$1="CZK",AD2666,IF(verze!$E$1="SK",AE2666,""))</f>
        <v>0</v>
      </c>
    </row>
    <row r="2667" spans="27:32" ht="15">
      <c r="AA2667" s="463" t="s">
        <v>9141</v>
      </c>
      <c r="AB2667" s="462" t="s">
        <v>9142</v>
      </c>
      <c r="AC2667" s="462" t="s">
        <v>9143</v>
      </c>
      <c r="AD2667" s="464">
        <v>240.58775</v>
      </c>
      <c r="AE2667" s="465">
        <v>0</v>
      </c>
      <c r="AF2667" s="86">
        <f>IF(verze!$E$1="CZK",AD2667,IF(verze!$E$1="SK",AE2667,""))</f>
        <v>0</v>
      </c>
    </row>
    <row r="2668" spans="27:32" ht="15">
      <c r="AA2668" s="463" t="s">
        <v>9144</v>
      </c>
      <c r="AB2668" s="462" t="s">
        <v>9145</v>
      </c>
      <c r="AC2668" s="462" t="s">
        <v>9146</v>
      </c>
      <c r="AD2668" s="464">
        <v>217.83226999999999</v>
      </c>
      <c r="AE2668" s="465">
        <v>0</v>
      </c>
      <c r="AF2668" s="86">
        <f>IF(verze!$E$1="CZK",AD2668,IF(verze!$E$1="SK",AE2668,""))</f>
        <v>0</v>
      </c>
    </row>
    <row r="2669" spans="27:32" ht="15">
      <c r="AA2669" s="463" t="s">
        <v>9147</v>
      </c>
      <c r="AB2669" s="462" t="s">
        <v>9148</v>
      </c>
      <c r="AC2669" s="462" t="s">
        <v>9149</v>
      </c>
      <c r="AD2669" s="464">
        <v>217.83226999999999</v>
      </c>
      <c r="AE2669" s="465">
        <v>0</v>
      </c>
      <c r="AF2669" s="86">
        <f>IF(verze!$E$1="CZK",AD2669,IF(verze!$E$1="SK",AE2669,""))</f>
        <v>0</v>
      </c>
    </row>
    <row r="2670" spans="27:32" ht="15">
      <c r="AA2670" s="463" t="s">
        <v>9150</v>
      </c>
      <c r="AB2670" s="462" t="s">
        <v>9151</v>
      </c>
      <c r="AC2670" s="462" t="s">
        <v>9152</v>
      </c>
      <c r="AD2670" s="464">
        <v>143.49542</v>
      </c>
      <c r="AE2670" s="465">
        <v>6.9026399999999999</v>
      </c>
      <c r="AF2670" s="86">
        <f>IF(verze!$E$1="CZK",AD2670,IF(verze!$E$1="SK",AE2670,""))</f>
        <v>6.9026399999999999</v>
      </c>
    </row>
    <row r="2671" spans="27:32" ht="15">
      <c r="AA2671" s="463" t="s">
        <v>9153</v>
      </c>
      <c r="AB2671" s="462" t="s">
        <v>9154</v>
      </c>
      <c r="AC2671" s="462" t="s">
        <v>9155</v>
      </c>
      <c r="AD2671" s="464">
        <v>143.49542</v>
      </c>
      <c r="AE2671" s="465">
        <v>6.9026399999999999</v>
      </c>
      <c r="AF2671" s="86">
        <f>IF(verze!$E$1="CZK",AD2671,IF(verze!$E$1="SK",AE2671,""))</f>
        <v>6.9026399999999999</v>
      </c>
    </row>
    <row r="2672" spans="27:32" ht="15">
      <c r="AA2672" s="463" t="s">
        <v>9156</v>
      </c>
      <c r="AB2672" s="462" t="s">
        <v>9157</v>
      </c>
      <c r="AC2672" s="462" t="s">
        <v>9158</v>
      </c>
      <c r="AD2672" s="464">
        <v>149.34102999999999</v>
      </c>
      <c r="AE2672" s="465">
        <v>7.1838499999999996</v>
      </c>
      <c r="AF2672" s="86">
        <f>IF(verze!$E$1="CZK",AD2672,IF(verze!$E$1="SK",AE2672,""))</f>
        <v>7.1838499999999996</v>
      </c>
    </row>
    <row r="2673" spans="27:32" ht="15">
      <c r="AA2673" s="463" t="s">
        <v>9159</v>
      </c>
      <c r="AB2673" s="462" t="s">
        <v>9160</v>
      </c>
      <c r="AC2673" s="462" t="s">
        <v>9161</v>
      </c>
      <c r="AD2673" s="464">
        <v>149.34102999999999</v>
      </c>
      <c r="AE2673" s="465">
        <v>7.1838499999999996</v>
      </c>
      <c r="AF2673" s="86">
        <f>IF(verze!$E$1="CZK",AD2673,IF(verze!$E$1="SK",AE2673,""))</f>
        <v>7.1838499999999996</v>
      </c>
    </row>
    <row r="2674" spans="27:32" ht="15">
      <c r="AA2674" s="463" t="s">
        <v>9162</v>
      </c>
      <c r="AB2674" s="462" t="s">
        <v>9163</v>
      </c>
      <c r="AC2674" s="462" t="s">
        <v>9164</v>
      </c>
      <c r="AD2674" s="464">
        <v>148.21648999999999</v>
      </c>
      <c r="AE2674" s="465">
        <v>6.9757600000000002</v>
      </c>
      <c r="AF2674" s="86">
        <f>IF(verze!$E$1="CZK",AD2674,IF(verze!$E$1="SK",AE2674,""))</f>
        <v>6.9757600000000002</v>
      </c>
    </row>
    <row r="2675" spans="27:32" ht="15">
      <c r="AA2675" s="463" t="s">
        <v>9165</v>
      </c>
      <c r="AB2675" s="462" t="s">
        <v>9166</v>
      </c>
      <c r="AC2675" s="462" t="s">
        <v>9167</v>
      </c>
      <c r="AD2675" s="464">
        <v>148.21648999999999</v>
      </c>
      <c r="AE2675" s="465">
        <v>6.9757600000000002</v>
      </c>
      <c r="AF2675" s="86">
        <f>IF(verze!$E$1="CZK",AD2675,IF(verze!$E$1="SK",AE2675,""))</f>
        <v>6.9757600000000002</v>
      </c>
    </row>
    <row r="2676" spans="27:32" ht="15">
      <c r="AA2676" s="463" t="s">
        <v>9168</v>
      </c>
      <c r="AB2676" s="462" t="s">
        <v>9169</v>
      </c>
      <c r="AC2676" s="462" t="s">
        <v>9170</v>
      </c>
      <c r="AD2676" s="464">
        <v>222.42964000000001</v>
      </c>
      <c r="AE2676" s="465">
        <v>10.699669999999999</v>
      </c>
      <c r="AF2676" s="86">
        <f>IF(verze!$E$1="CZK",AD2676,IF(verze!$E$1="SK",AE2676,""))</f>
        <v>10.699669999999999</v>
      </c>
    </row>
    <row r="2677" spans="27:32" ht="15">
      <c r="AA2677" s="463" t="s">
        <v>9171</v>
      </c>
      <c r="AB2677" s="462" t="s">
        <v>9172</v>
      </c>
      <c r="AC2677" s="462" t="s">
        <v>9173</v>
      </c>
      <c r="AD2677" s="464">
        <v>222.42964000000001</v>
      </c>
      <c r="AE2677" s="465">
        <v>10.699669999999999</v>
      </c>
      <c r="AF2677" s="86">
        <f>IF(verze!$E$1="CZK",AD2677,IF(verze!$E$1="SK",AE2677,""))</f>
        <v>10.699669999999999</v>
      </c>
    </row>
    <row r="2678" spans="27:32" ht="15">
      <c r="AA2678" s="463" t="s">
        <v>9174</v>
      </c>
      <c r="AB2678" s="462" t="s">
        <v>9175</v>
      </c>
      <c r="AC2678" s="462" t="s">
        <v>9176</v>
      </c>
      <c r="AD2678" s="464">
        <v>225.35244</v>
      </c>
      <c r="AE2678" s="465">
        <v>10.840260000000001</v>
      </c>
      <c r="AF2678" s="86">
        <f>IF(verze!$E$1="CZK",AD2678,IF(verze!$E$1="SK",AE2678,""))</f>
        <v>10.840260000000001</v>
      </c>
    </row>
    <row r="2679" spans="27:32" ht="15">
      <c r="AA2679" s="463" t="s">
        <v>9177</v>
      </c>
      <c r="AB2679" s="462" t="s">
        <v>9178</v>
      </c>
      <c r="AC2679" s="462" t="s">
        <v>9179</v>
      </c>
      <c r="AD2679" s="464">
        <v>225.35244</v>
      </c>
      <c r="AE2679" s="465">
        <v>10.840260000000001</v>
      </c>
      <c r="AF2679" s="86">
        <f>IF(verze!$E$1="CZK",AD2679,IF(verze!$E$1="SK",AE2679,""))</f>
        <v>10.840260000000001</v>
      </c>
    </row>
    <row r="2680" spans="27:32" ht="15">
      <c r="AA2680" s="463" t="s">
        <v>9180</v>
      </c>
      <c r="AB2680" s="462" t="s">
        <v>9181</v>
      </c>
      <c r="AC2680" s="462" t="s">
        <v>9182</v>
      </c>
      <c r="AD2680" s="464">
        <v>149.34102999999999</v>
      </c>
      <c r="AE2680" s="465">
        <v>7.1838499999999996</v>
      </c>
      <c r="AF2680" s="86">
        <f>IF(verze!$E$1="CZK",AD2680,IF(verze!$E$1="SK",AE2680,""))</f>
        <v>7.1838499999999996</v>
      </c>
    </row>
    <row r="2681" spans="27:32" ht="15">
      <c r="AA2681" s="463" t="s">
        <v>9183</v>
      </c>
      <c r="AB2681" s="462" t="s">
        <v>9184</v>
      </c>
      <c r="AC2681" s="462" t="s">
        <v>9185</v>
      </c>
      <c r="AD2681" s="464">
        <v>149.34102999999999</v>
      </c>
      <c r="AE2681" s="465">
        <v>7.1838499999999996</v>
      </c>
      <c r="AF2681" s="86">
        <f>IF(verze!$E$1="CZK",AD2681,IF(verze!$E$1="SK",AE2681,""))</f>
        <v>7.1838499999999996</v>
      </c>
    </row>
    <row r="2682" spans="27:32" ht="15">
      <c r="AA2682" s="463" t="s">
        <v>9186</v>
      </c>
      <c r="AB2682" s="462" t="s">
        <v>9187</v>
      </c>
      <c r="AC2682" s="462" t="s">
        <v>9188</v>
      </c>
      <c r="AD2682" s="464">
        <v>148.21648999999999</v>
      </c>
      <c r="AE2682" s="465">
        <v>6.9757600000000002</v>
      </c>
      <c r="AF2682" s="86">
        <f>IF(verze!$E$1="CZK",AD2682,IF(verze!$E$1="SK",AE2682,""))</f>
        <v>6.9757600000000002</v>
      </c>
    </row>
    <row r="2683" spans="27:32" ht="15">
      <c r="AA2683" s="463" t="s">
        <v>9189</v>
      </c>
      <c r="AB2683" s="462" t="s">
        <v>9190</v>
      </c>
      <c r="AC2683" s="462" t="s">
        <v>9191</v>
      </c>
      <c r="AD2683" s="464">
        <v>148.21648999999999</v>
      </c>
      <c r="AE2683" s="465">
        <v>6.9757600000000002</v>
      </c>
      <c r="AF2683" s="86">
        <f>IF(verze!$E$1="CZK",AD2683,IF(verze!$E$1="SK",AE2683,""))</f>
        <v>6.9757600000000002</v>
      </c>
    </row>
    <row r="2684" spans="27:32" ht="15">
      <c r="AA2684" s="463" t="s">
        <v>9192</v>
      </c>
      <c r="AB2684" s="462" t="s">
        <v>9193</v>
      </c>
      <c r="AC2684" s="462" t="s">
        <v>9194</v>
      </c>
      <c r="AD2684" s="464">
        <v>225.35244</v>
      </c>
      <c r="AE2684" s="465">
        <v>10.840260000000001</v>
      </c>
      <c r="AF2684" s="86">
        <f>IF(verze!$E$1="CZK",AD2684,IF(verze!$E$1="SK",AE2684,""))</f>
        <v>10.840260000000001</v>
      </c>
    </row>
    <row r="2685" spans="27:32" ht="15">
      <c r="AA2685" s="463" t="s">
        <v>9195</v>
      </c>
      <c r="AB2685" s="462" t="s">
        <v>9196</v>
      </c>
      <c r="AC2685" s="462" t="s">
        <v>9197</v>
      </c>
      <c r="AD2685" s="464">
        <v>225.35244</v>
      </c>
      <c r="AE2685" s="465">
        <v>10.840260000000001</v>
      </c>
      <c r="AF2685" s="86">
        <f>IF(verze!$E$1="CZK",AD2685,IF(verze!$E$1="SK",AE2685,""))</f>
        <v>10.840260000000001</v>
      </c>
    </row>
    <row r="2686" spans="27:32" ht="15">
      <c r="AA2686" s="463" t="s">
        <v>9198</v>
      </c>
      <c r="AB2686" s="462" t="s">
        <v>9199</v>
      </c>
      <c r="AC2686" s="462" t="s">
        <v>9200</v>
      </c>
      <c r="AD2686" s="464">
        <v>237.04595</v>
      </c>
      <c r="AE2686" s="465">
        <v>11.40277</v>
      </c>
      <c r="AF2686" s="86">
        <f>IF(verze!$E$1="CZK",AD2686,IF(verze!$E$1="SK",AE2686,""))</f>
        <v>11.40277</v>
      </c>
    </row>
    <row r="2687" spans="27:32" ht="15">
      <c r="AA2687" s="463" t="s">
        <v>9201</v>
      </c>
      <c r="AB2687" s="462" t="s">
        <v>9202</v>
      </c>
      <c r="AC2687" s="462" t="s">
        <v>9203</v>
      </c>
      <c r="AD2687" s="464">
        <v>237.04595</v>
      </c>
      <c r="AE2687" s="465">
        <v>11.40277</v>
      </c>
      <c r="AF2687" s="86">
        <f>IF(verze!$E$1="CZK",AD2687,IF(verze!$E$1="SK",AE2687,""))</f>
        <v>11.40277</v>
      </c>
    </row>
    <row r="2688" spans="27:32" ht="15">
      <c r="AA2688" s="463" t="s">
        <v>9204</v>
      </c>
      <c r="AB2688" s="462" t="s">
        <v>9205</v>
      </c>
      <c r="AC2688" s="462" t="s">
        <v>9206</v>
      </c>
      <c r="AD2688" s="464">
        <v>143.49542</v>
      </c>
      <c r="AE2688" s="465">
        <v>6.9026399999999999</v>
      </c>
      <c r="AF2688" s="86">
        <f>IF(verze!$E$1="CZK",AD2688,IF(verze!$E$1="SK",AE2688,""))</f>
        <v>6.9026399999999999</v>
      </c>
    </row>
    <row r="2689" spans="27:32" ht="15">
      <c r="AA2689" s="463" t="s">
        <v>9207</v>
      </c>
      <c r="AB2689" s="462" t="s">
        <v>9208</v>
      </c>
      <c r="AC2689" s="462" t="s">
        <v>9209</v>
      </c>
      <c r="AD2689" s="464">
        <v>143.49542</v>
      </c>
      <c r="AE2689" s="465">
        <v>6.9026399999999999</v>
      </c>
      <c r="AF2689" s="86">
        <f>IF(verze!$E$1="CZK",AD2689,IF(verze!$E$1="SK",AE2689,""))</f>
        <v>6.9026399999999999</v>
      </c>
    </row>
    <row r="2690" spans="27:32" ht="15">
      <c r="AA2690" s="463" t="s">
        <v>9210</v>
      </c>
      <c r="AB2690" s="462" t="s">
        <v>9211</v>
      </c>
      <c r="AC2690" s="462" t="s">
        <v>9212</v>
      </c>
      <c r="AD2690" s="464">
        <v>149.34102999999999</v>
      </c>
      <c r="AE2690" s="465">
        <v>7.1838499999999996</v>
      </c>
      <c r="AF2690" s="86">
        <f>IF(verze!$E$1="CZK",AD2690,IF(verze!$E$1="SK",AE2690,""))</f>
        <v>7.1838499999999996</v>
      </c>
    </row>
    <row r="2691" spans="27:32" ht="15">
      <c r="AA2691" s="463" t="s">
        <v>9213</v>
      </c>
      <c r="AB2691" s="462" t="s">
        <v>9214</v>
      </c>
      <c r="AC2691" s="462" t="s">
        <v>9215</v>
      </c>
      <c r="AD2691" s="464">
        <v>149.34102999999999</v>
      </c>
      <c r="AE2691" s="465">
        <v>7.1838499999999996</v>
      </c>
      <c r="AF2691" s="86">
        <f>IF(verze!$E$1="CZK",AD2691,IF(verze!$E$1="SK",AE2691,""))</f>
        <v>7.1838499999999996</v>
      </c>
    </row>
    <row r="2692" spans="27:32" ht="15">
      <c r="AA2692" s="463" t="s">
        <v>9216</v>
      </c>
      <c r="AB2692" s="462" t="s">
        <v>9217</v>
      </c>
      <c r="AC2692" s="462" t="s">
        <v>9218</v>
      </c>
      <c r="AD2692" s="464">
        <v>152.26613</v>
      </c>
      <c r="AE2692" s="465">
        <v>7.3245500000000003</v>
      </c>
      <c r="AF2692" s="86">
        <f>IF(verze!$E$1="CZK",AD2692,IF(verze!$E$1="SK",AE2692,""))</f>
        <v>7.3245500000000003</v>
      </c>
    </row>
    <row r="2693" spans="27:32" ht="15">
      <c r="AA2693" s="463" t="s">
        <v>9219</v>
      </c>
      <c r="AB2693" s="462" t="s">
        <v>9220</v>
      </c>
      <c r="AC2693" s="462" t="s">
        <v>9221</v>
      </c>
      <c r="AD2693" s="464">
        <v>152.26613</v>
      </c>
      <c r="AE2693" s="465">
        <v>7.3245500000000003</v>
      </c>
      <c r="AF2693" s="86">
        <f>IF(verze!$E$1="CZK",AD2693,IF(verze!$E$1="SK",AE2693,""))</f>
        <v>7.3245500000000003</v>
      </c>
    </row>
    <row r="2694" spans="27:32" ht="15">
      <c r="AA2694" s="463" t="s">
        <v>9222</v>
      </c>
      <c r="AB2694" s="462" t="s">
        <v>9223</v>
      </c>
      <c r="AC2694" s="462" t="s">
        <v>9224</v>
      </c>
      <c r="AD2694" s="464">
        <v>55.402850000000001</v>
      </c>
      <c r="AE2694" s="465">
        <v>0</v>
      </c>
      <c r="AF2694" s="86">
        <f>IF(verze!$E$1="CZK",AD2694,IF(verze!$E$1="SK",AE2694,""))</f>
        <v>0</v>
      </c>
    </row>
    <row r="2695" spans="27:32" ht="15">
      <c r="AA2695" s="463" t="s">
        <v>9225</v>
      </c>
      <c r="AB2695" s="462" t="s">
        <v>9226</v>
      </c>
      <c r="AC2695" s="462" t="s">
        <v>9227</v>
      </c>
      <c r="AD2695" s="464">
        <v>39.2654</v>
      </c>
      <c r="AE2695" s="465">
        <v>0</v>
      </c>
      <c r="AF2695" s="86">
        <f>IF(verze!$E$1="CZK",AD2695,IF(verze!$E$1="SK",AE2695,""))</f>
        <v>0</v>
      </c>
    </row>
    <row r="2696" spans="27:32" ht="15">
      <c r="AA2696" s="463" t="s">
        <v>9228</v>
      </c>
      <c r="AB2696" s="462" t="s">
        <v>9229</v>
      </c>
      <c r="AC2696" s="462" t="s">
        <v>9230</v>
      </c>
      <c r="AD2696" s="464">
        <v>43.300350000000002</v>
      </c>
      <c r="AE2696" s="465">
        <v>0</v>
      </c>
      <c r="AF2696" s="86">
        <f>IF(verze!$E$1="CZK",AD2696,IF(verze!$E$1="SK",AE2696,""))</f>
        <v>0</v>
      </c>
    </row>
    <row r="2697" spans="27:32" ht="15">
      <c r="AA2697" s="463" t="s">
        <v>9231</v>
      </c>
      <c r="AB2697" s="462" t="s">
        <v>9232</v>
      </c>
      <c r="AC2697" s="462" t="s">
        <v>9233</v>
      </c>
      <c r="AD2697" s="464">
        <v>51.367899999999999</v>
      </c>
      <c r="AE2697" s="465">
        <v>0</v>
      </c>
      <c r="AF2697" s="86">
        <f>IF(verze!$E$1="CZK",AD2697,IF(verze!$E$1="SK",AE2697,""))</f>
        <v>0</v>
      </c>
    </row>
    <row r="2698" spans="27:32" ht="15">
      <c r="AA2698" s="463" t="s">
        <v>9234</v>
      </c>
      <c r="AB2698" s="462" t="s">
        <v>9235</v>
      </c>
      <c r="AC2698" s="462" t="s">
        <v>9236</v>
      </c>
      <c r="AD2698" s="464">
        <v>55.402850000000001</v>
      </c>
      <c r="AE2698" s="465">
        <v>0</v>
      </c>
      <c r="AF2698" s="86">
        <f>IF(verze!$E$1="CZK",AD2698,IF(verze!$E$1="SK",AE2698,""))</f>
        <v>0</v>
      </c>
    </row>
    <row r="2699" spans="27:32" ht="15">
      <c r="AA2699" s="463" t="s">
        <v>9237</v>
      </c>
      <c r="AB2699" s="462" t="s">
        <v>9238</v>
      </c>
      <c r="AC2699" s="462" t="s">
        <v>9239</v>
      </c>
      <c r="AD2699" s="464">
        <v>125.3287</v>
      </c>
      <c r="AE2699" s="465">
        <v>0</v>
      </c>
      <c r="AF2699" s="86">
        <f>IF(verze!$E$1="CZK",AD2699,IF(verze!$E$1="SK",AE2699,""))</f>
        <v>0</v>
      </c>
    </row>
    <row r="2700" spans="27:32" ht="15">
      <c r="AA2700" s="463" t="s">
        <v>9240</v>
      </c>
      <c r="AB2700" s="462" t="s">
        <v>9241</v>
      </c>
      <c r="AC2700" s="462" t="s">
        <v>9242</v>
      </c>
      <c r="AD2700" s="464">
        <v>141.46369999999999</v>
      </c>
      <c r="AE2700" s="465">
        <v>0</v>
      </c>
      <c r="AF2700" s="86">
        <f>IF(verze!$E$1="CZK",AD2700,IF(verze!$E$1="SK",AE2700,""))</f>
        <v>0</v>
      </c>
    </row>
    <row r="2701" spans="27:32" ht="15">
      <c r="AA2701" s="463" t="s">
        <v>9243</v>
      </c>
      <c r="AB2701" s="462" t="s">
        <v>9244</v>
      </c>
      <c r="AC2701" s="462" t="s">
        <v>9245</v>
      </c>
      <c r="AD2701" s="464">
        <v>157.60114999999999</v>
      </c>
      <c r="AE2701" s="465">
        <v>0</v>
      </c>
      <c r="AF2701" s="86">
        <f>IF(verze!$E$1="CZK",AD2701,IF(verze!$E$1="SK",AE2701,""))</f>
        <v>0</v>
      </c>
    </row>
    <row r="2702" spans="27:32" ht="15">
      <c r="AA2702" s="463" t="s">
        <v>9246</v>
      </c>
      <c r="AB2702" s="462" t="s">
        <v>9247</v>
      </c>
      <c r="AC2702" s="462" t="s">
        <v>9248</v>
      </c>
      <c r="AD2702" s="464">
        <v>35.232799999999997</v>
      </c>
      <c r="AE2702" s="465">
        <v>0</v>
      </c>
      <c r="AF2702" s="86">
        <f>IF(verze!$E$1="CZK",AD2702,IF(verze!$E$1="SK",AE2702,""))</f>
        <v>0</v>
      </c>
    </row>
    <row r="2703" spans="27:32" ht="15">
      <c r="AA2703" s="463" t="s">
        <v>9249</v>
      </c>
      <c r="AB2703" s="462" t="s">
        <v>9250</v>
      </c>
      <c r="AC2703" s="462" t="s">
        <v>9251</v>
      </c>
      <c r="AD2703" s="464">
        <v>55.402850000000001</v>
      </c>
      <c r="AE2703" s="465">
        <v>0</v>
      </c>
      <c r="AF2703" s="86">
        <f>IF(verze!$E$1="CZK",AD2703,IF(verze!$E$1="SK",AE2703,""))</f>
        <v>0</v>
      </c>
    </row>
    <row r="2704" spans="27:32" ht="15">
      <c r="AA2704" s="463" t="s">
        <v>9252</v>
      </c>
      <c r="AB2704" s="462" t="s">
        <v>9253</v>
      </c>
      <c r="AC2704" s="462" t="s">
        <v>9254</v>
      </c>
      <c r="AD2704" s="464">
        <v>125.3287</v>
      </c>
      <c r="AE2704" s="465">
        <v>0</v>
      </c>
      <c r="AF2704" s="86">
        <f>IF(verze!$E$1="CZK",AD2704,IF(verze!$E$1="SK",AE2704,""))</f>
        <v>0</v>
      </c>
    </row>
    <row r="2705" spans="27:32" ht="15">
      <c r="AA2705" s="463" t="s">
        <v>9255</v>
      </c>
      <c r="AB2705" s="462" t="s">
        <v>9256</v>
      </c>
      <c r="AC2705" s="462" t="s">
        <v>9257</v>
      </c>
      <c r="AD2705" s="464">
        <v>133.39615000000001</v>
      </c>
      <c r="AE2705" s="465">
        <v>0</v>
      </c>
      <c r="AF2705" s="86">
        <f>IF(verze!$E$1="CZK",AD2705,IF(verze!$E$1="SK",AE2705,""))</f>
        <v>0</v>
      </c>
    </row>
    <row r="2706" spans="27:32" ht="15">
      <c r="AA2706" s="463" t="s">
        <v>9258</v>
      </c>
      <c r="AB2706" s="462" t="s">
        <v>9259</v>
      </c>
      <c r="AC2706" s="462" t="s">
        <v>9260</v>
      </c>
      <c r="AD2706" s="464">
        <v>141.46369999999999</v>
      </c>
      <c r="AE2706" s="465">
        <v>0</v>
      </c>
      <c r="AF2706" s="86">
        <f>IF(verze!$E$1="CZK",AD2706,IF(verze!$E$1="SK",AE2706,""))</f>
        <v>0</v>
      </c>
    </row>
    <row r="2707" spans="27:32" ht="15">
      <c r="AA2707" s="463" t="s">
        <v>9261</v>
      </c>
      <c r="AB2707" s="462" t="s">
        <v>9262</v>
      </c>
      <c r="AC2707" s="462" t="s">
        <v>9263</v>
      </c>
      <c r="AD2707" s="464">
        <v>157.60114999999999</v>
      </c>
      <c r="AE2707" s="465">
        <v>0</v>
      </c>
      <c r="AF2707" s="86">
        <f>IF(verze!$E$1="CZK",AD2707,IF(verze!$E$1="SK",AE2707,""))</f>
        <v>0</v>
      </c>
    </row>
    <row r="2708" spans="27:32" ht="15">
      <c r="AA2708" s="463" t="s">
        <v>9264</v>
      </c>
      <c r="AB2708" s="462" t="s">
        <v>9265</v>
      </c>
      <c r="AC2708" s="462" t="s">
        <v>9266</v>
      </c>
      <c r="AD2708" s="464">
        <v>63.201650000000001</v>
      </c>
      <c r="AE2708" s="465">
        <v>0</v>
      </c>
      <c r="AF2708" s="86">
        <f>IF(verze!$E$1="CZK",AD2708,IF(verze!$E$1="SK",AE2708,""))</f>
        <v>0</v>
      </c>
    </row>
    <row r="2709" spans="27:32" ht="15">
      <c r="AA2709" s="463" t="s">
        <v>9267</v>
      </c>
      <c r="AB2709" s="462" t="s">
        <v>9268</v>
      </c>
      <c r="AC2709" s="462" t="s">
        <v>9269</v>
      </c>
      <c r="AD2709" s="464">
        <v>79.339200000000005</v>
      </c>
      <c r="AE2709" s="465">
        <v>0</v>
      </c>
      <c r="AF2709" s="86">
        <f>IF(verze!$E$1="CZK",AD2709,IF(verze!$E$1="SK",AE2709,""))</f>
        <v>0</v>
      </c>
    </row>
    <row r="2710" spans="27:32" ht="15">
      <c r="AA2710" s="463" t="s">
        <v>9270</v>
      </c>
      <c r="AB2710" s="462" t="s">
        <v>9271</v>
      </c>
      <c r="AC2710" s="462" t="s">
        <v>9272</v>
      </c>
      <c r="AD2710" s="464">
        <v>149.26495</v>
      </c>
      <c r="AE2710" s="465">
        <v>0</v>
      </c>
      <c r="AF2710" s="86">
        <f>IF(verze!$E$1="CZK",AD2710,IF(verze!$E$1="SK",AE2710,""))</f>
        <v>0</v>
      </c>
    </row>
    <row r="2711" spans="27:32" ht="15">
      <c r="AA2711" s="463" t="s">
        <v>9273</v>
      </c>
      <c r="AB2711" s="462" t="s">
        <v>9274</v>
      </c>
      <c r="AC2711" s="462" t="s">
        <v>9275</v>
      </c>
      <c r="AD2711" s="464">
        <v>52.444949999999999</v>
      </c>
      <c r="AE2711" s="465">
        <v>0</v>
      </c>
      <c r="AF2711" s="86">
        <f>IF(verze!$E$1="CZK",AD2711,IF(verze!$E$1="SK",AE2711,""))</f>
        <v>0</v>
      </c>
    </row>
    <row r="2712" spans="27:32" ht="15">
      <c r="AA2712" s="463" t="s">
        <v>9276</v>
      </c>
      <c r="AB2712" s="462" t="s">
        <v>9277</v>
      </c>
      <c r="AC2712" s="462" t="s">
        <v>9278</v>
      </c>
      <c r="AD2712" s="464">
        <v>79.339200000000005</v>
      </c>
      <c r="AE2712" s="465">
        <v>0</v>
      </c>
      <c r="AF2712" s="86">
        <f>IF(verze!$E$1="CZK",AD2712,IF(verze!$E$1="SK",AE2712,""))</f>
        <v>0</v>
      </c>
    </row>
    <row r="2713" spans="27:32" ht="15">
      <c r="AA2713" s="463" t="s">
        <v>9279</v>
      </c>
      <c r="AB2713" s="462" t="s">
        <v>9280</v>
      </c>
      <c r="AC2713" s="462" t="s">
        <v>9281</v>
      </c>
      <c r="AD2713" s="464">
        <v>170.7808</v>
      </c>
      <c r="AE2713" s="465">
        <v>0</v>
      </c>
      <c r="AF2713" s="86">
        <f>IF(verze!$E$1="CZK",AD2713,IF(verze!$E$1="SK",AE2713,""))</f>
        <v>0</v>
      </c>
    </row>
    <row r="2714" spans="27:32" ht="15">
      <c r="AA2714" s="463" t="s">
        <v>9282</v>
      </c>
      <c r="AB2714" s="462" t="s">
        <v>9283</v>
      </c>
      <c r="AC2714" s="462" t="s">
        <v>9284</v>
      </c>
      <c r="AD2714" s="464">
        <v>181.53749999999999</v>
      </c>
      <c r="AE2714" s="465">
        <v>0</v>
      </c>
      <c r="AF2714" s="86">
        <f>IF(verze!$E$1="CZK",AD2714,IF(verze!$E$1="SK",AE2714,""))</f>
        <v>0</v>
      </c>
    </row>
    <row r="2715" spans="27:32" ht="15">
      <c r="AA2715" s="463" t="s">
        <v>9285</v>
      </c>
      <c r="AB2715" s="462" t="s">
        <v>9286</v>
      </c>
      <c r="AC2715" s="462" t="s">
        <v>9287</v>
      </c>
      <c r="AD2715" s="464">
        <v>91.978999999999999</v>
      </c>
      <c r="AE2715" s="465">
        <v>0</v>
      </c>
      <c r="AF2715" s="86">
        <f>IF(verze!$E$1="CZK",AD2715,IF(verze!$E$1="SK",AE2715,""))</f>
        <v>0</v>
      </c>
    </row>
    <row r="2716" spans="27:32" ht="15">
      <c r="AA2716" s="463" t="s">
        <v>9288</v>
      </c>
      <c r="AB2716" s="462" t="s">
        <v>9289</v>
      </c>
      <c r="AC2716" s="462" t="s">
        <v>9290</v>
      </c>
      <c r="AD2716" s="464">
        <v>124.25154999999999</v>
      </c>
      <c r="AE2716" s="465">
        <v>0</v>
      </c>
      <c r="AF2716" s="86">
        <f>IF(verze!$E$1="CZK",AD2716,IF(verze!$E$1="SK",AE2716,""))</f>
        <v>0</v>
      </c>
    </row>
    <row r="2717" spans="27:32" ht="15">
      <c r="AA2717" s="463" t="s">
        <v>9291</v>
      </c>
      <c r="AB2717" s="462" t="s">
        <v>9292</v>
      </c>
      <c r="AC2717" s="462" t="s">
        <v>9293</v>
      </c>
      <c r="AD2717" s="464">
        <v>231.83070000000001</v>
      </c>
      <c r="AE2717" s="465">
        <v>0</v>
      </c>
      <c r="AF2717" s="86">
        <f>IF(verze!$E$1="CZK",AD2717,IF(verze!$E$1="SK",AE2717,""))</f>
        <v>0</v>
      </c>
    </row>
    <row r="2718" spans="27:32" ht="15">
      <c r="AA2718" s="463" t="s">
        <v>9294</v>
      </c>
      <c r="AB2718" s="462" t="s">
        <v>9295</v>
      </c>
      <c r="AC2718" s="462" t="s">
        <v>9296</v>
      </c>
      <c r="AD2718" s="464">
        <v>247.9657</v>
      </c>
      <c r="AE2718" s="465">
        <v>0</v>
      </c>
      <c r="AF2718" s="86">
        <f>IF(verze!$E$1="CZK",AD2718,IF(verze!$E$1="SK",AE2718,""))</f>
        <v>0</v>
      </c>
    </row>
    <row r="2719" spans="27:32" ht="15">
      <c r="AA2719" s="463" t="s">
        <v>9297</v>
      </c>
      <c r="AB2719" s="462" t="s">
        <v>9298</v>
      </c>
      <c r="AC2719" s="462" t="s">
        <v>9299</v>
      </c>
      <c r="AD2719" s="464">
        <v>264.10315000000003</v>
      </c>
      <c r="AE2719" s="465">
        <v>0</v>
      </c>
      <c r="AF2719" s="86">
        <f>IF(verze!$E$1="CZK",AD2719,IF(verze!$E$1="SK",AE2719,""))</f>
        <v>0</v>
      </c>
    </row>
    <row r="2720" spans="27:32" ht="15">
      <c r="AA2720" s="463" t="s">
        <v>9300</v>
      </c>
      <c r="AB2720" s="462" t="s">
        <v>9301</v>
      </c>
      <c r="AC2720" s="462" t="s">
        <v>9302</v>
      </c>
      <c r="AD2720" s="464">
        <v>296.37569999999999</v>
      </c>
      <c r="AE2720" s="465">
        <v>0</v>
      </c>
      <c r="AF2720" s="86">
        <f>IF(verze!$E$1="CZK",AD2720,IF(verze!$E$1="SK",AE2720,""))</f>
        <v>0</v>
      </c>
    </row>
    <row r="2721" spans="27:32" ht="15">
      <c r="AA2721" s="463" t="s">
        <v>9303</v>
      </c>
      <c r="AB2721" s="462" t="s">
        <v>9304</v>
      </c>
      <c r="AC2721" s="462" t="s">
        <v>9305</v>
      </c>
      <c r="AD2721" s="464">
        <v>157.8699</v>
      </c>
      <c r="AE2721" s="465">
        <v>0</v>
      </c>
      <c r="AF2721" s="86">
        <f>IF(verze!$E$1="CZK",AD2721,IF(verze!$E$1="SK",AE2721,""))</f>
        <v>0</v>
      </c>
    </row>
    <row r="2722" spans="27:32" ht="15">
      <c r="AA2722" s="463" t="s">
        <v>9306</v>
      </c>
      <c r="AB2722" s="462" t="s">
        <v>9307</v>
      </c>
      <c r="AC2722" s="462" t="s">
        <v>9308</v>
      </c>
      <c r="AD2722" s="464">
        <v>167.28315000000001</v>
      </c>
      <c r="AE2722" s="465">
        <v>0</v>
      </c>
      <c r="AF2722" s="86">
        <f>IF(verze!$E$1="CZK",AD2722,IF(verze!$E$1="SK",AE2722,""))</f>
        <v>0</v>
      </c>
    </row>
    <row r="2723" spans="27:32" ht="15">
      <c r="AA2723" s="463" t="s">
        <v>9309</v>
      </c>
      <c r="AB2723" s="462" t="s">
        <v>9310</v>
      </c>
      <c r="AC2723" s="462" t="s">
        <v>9311</v>
      </c>
      <c r="AD2723" s="464">
        <v>186.10984999999999</v>
      </c>
      <c r="AE2723" s="465">
        <v>0</v>
      </c>
      <c r="AF2723" s="86">
        <f>IF(verze!$E$1="CZK",AD2723,IF(verze!$E$1="SK",AE2723,""))</f>
        <v>0</v>
      </c>
    </row>
    <row r="2724" spans="27:32" ht="15">
      <c r="AA2724" s="463" t="s">
        <v>9312</v>
      </c>
      <c r="AB2724" s="462" t="s">
        <v>9313</v>
      </c>
      <c r="AC2724" s="462" t="s">
        <v>9314</v>
      </c>
      <c r="AD2724" s="464">
        <v>195.5232</v>
      </c>
      <c r="AE2724" s="465">
        <v>0</v>
      </c>
      <c r="AF2724" s="86">
        <f>IF(verze!$E$1="CZK",AD2724,IF(verze!$E$1="SK",AE2724,""))</f>
        <v>0</v>
      </c>
    </row>
    <row r="2725" spans="27:32" ht="15">
      <c r="AA2725" s="463" t="s">
        <v>9315</v>
      </c>
      <c r="AB2725" s="462" t="s">
        <v>9316</v>
      </c>
      <c r="AC2725" s="462" t="s">
        <v>9317</v>
      </c>
      <c r="AD2725" s="464">
        <v>148.45654999999999</v>
      </c>
      <c r="AE2725" s="465">
        <v>0</v>
      </c>
      <c r="AF2725" s="86">
        <f>IF(verze!$E$1="CZK",AD2725,IF(verze!$E$1="SK",AE2725,""))</f>
        <v>0</v>
      </c>
    </row>
    <row r="2726" spans="27:32" ht="15">
      <c r="AA2726" s="463" t="s">
        <v>9318</v>
      </c>
      <c r="AB2726" s="462" t="s">
        <v>9319</v>
      </c>
      <c r="AC2726" s="462" t="s">
        <v>9320</v>
      </c>
      <c r="AD2726" s="464">
        <v>231.56195</v>
      </c>
      <c r="AE2726" s="465">
        <v>0</v>
      </c>
      <c r="AF2726" s="86">
        <f>IF(verze!$E$1="CZK",AD2726,IF(verze!$E$1="SK",AE2726,""))</f>
        <v>0</v>
      </c>
    </row>
    <row r="2727" spans="27:32" ht="15">
      <c r="AA2727" s="463" t="s">
        <v>9321</v>
      </c>
      <c r="AB2727" s="462" t="s">
        <v>9322</v>
      </c>
      <c r="AC2727" s="462" t="s">
        <v>9323</v>
      </c>
      <c r="AD2727" s="464">
        <v>371.41120000000001</v>
      </c>
      <c r="AE2727" s="465">
        <v>0</v>
      </c>
      <c r="AF2727" s="86">
        <f>IF(verze!$E$1="CZK",AD2727,IF(verze!$E$1="SK",AE2727,""))</f>
        <v>0</v>
      </c>
    </row>
    <row r="2728" spans="27:32" ht="15">
      <c r="AA2728" s="463" t="s">
        <v>9324</v>
      </c>
      <c r="AB2728" s="462" t="s">
        <v>9325</v>
      </c>
      <c r="AC2728" s="462" t="s">
        <v>9326</v>
      </c>
      <c r="AD2728" s="464">
        <v>392.92705000000001</v>
      </c>
      <c r="AE2728" s="465">
        <v>0</v>
      </c>
      <c r="AF2728" s="86">
        <f>IF(verze!$E$1="CZK",AD2728,IF(verze!$E$1="SK",AE2728,""))</f>
        <v>0</v>
      </c>
    </row>
    <row r="2729" spans="27:32" ht="15">
      <c r="AA2729" s="463" t="s">
        <v>9327</v>
      </c>
      <c r="AB2729" s="462" t="s">
        <v>9328</v>
      </c>
      <c r="AC2729" s="462" t="s">
        <v>9329</v>
      </c>
      <c r="AD2729" s="464">
        <v>414.44290000000001</v>
      </c>
      <c r="AE2729" s="465">
        <v>0</v>
      </c>
      <c r="AF2729" s="86">
        <f>IF(verze!$E$1="CZK",AD2729,IF(verze!$E$1="SK",AE2729,""))</f>
        <v>0</v>
      </c>
    </row>
    <row r="2730" spans="27:32" ht="15">
      <c r="AA2730" s="463" t="s">
        <v>9330</v>
      </c>
      <c r="AB2730" s="462" t="s">
        <v>9331</v>
      </c>
      <c r="AC2730" s="462" t="s">
        <v>9332</v>
      </c>
      <c r="AD2730" s="464">
        <v>457.47449999999998</v>
      </c>
      <c r="AE2730" s="465">
        <v>0</v>
      </c>
      <c r="AF2730" s="86">
        <f>IF(verze!$E$1="CZK",AD2730,IF(verze!$E$1="SK",AE2730,""))</f>
        <v>0</v>
      </c>
    </row>
    <row r="2731" spans="27:32" ht="15">
      <c r="AA2731" s="463" t="s">
        <v>9333</v>
      </c>
      <c r="AB2731" s="462" t="s">
        <v>9334</v>
      </c>
      <c r="AC2731" s="462" t="s">
        <v>9335</v>
      </c>
      <c r="AD2731" s="464">
        <v>188.53035</v>
      </c>
      <c r="AE2731" s="465">
        <v>0</v>
      </c>
      <c r="AF2731" s="86">
        <f>IF(verze!$E$1="CZK",AD2731,IF(verze!$E$1="SK",AE2731,""))</f>
        <v>0</v>
      </c>
    </row>
    <row r="2732" spans="27:32" ht="15">
      <c r="AA2732" s="463" t="s">
        <v>9336</v>
      </c>
      <c r="AB2732" s="462" t="s">
        <v>9337</v>
      </c>
      <c r="AC2732" s="462" t="s">
        <v>9338</v>
      </c>
      <c r="AD2732" s="464">
        <v>392.92705000000001</v>
      </c>
      <c r="AE2732" s="465">
        <v>0</v>
      </c>
      <c r="AF2732" s="86">
        <f>IF(verze!$E$1="CZK",AD2732,IF(verze!$E$1="SK",AE2732,""))</f>
        <v>0</v>
      </c>
    </row>
    <row r="2733" spans="27:32" ht="15">
      <c r="AA2733" s="463" t="s">
        <v>9339</v>
      </c>
      <c r="AB2733" s="462" t="s">
        <v>9340</v>
      </c>
      <c r="AC2733" s="462" t="s">
        <v>9341</v>
      </c>
      <c r="AD2733" s="464">
        <v>457.47449999999998</v>
      </c>
      <c r="AE2733" s="465">
        <v>0</v>
      </c>
      <c r="AF2733" s="86">
        <f>IF(verze!$E$1="CZK",AD2733,IF(verze!$E$1="SK",AE2733,""))</f>
        <v>0</v>
      </c>
    </row>
    <row r="2734" spans="27:32" ht="15">
      <c r="AA2734" s="463" t="s">
        <v>9342</v>
      </c>
      <c r="AB2734" s="462" t="s">
        <v>9343</v>
      </c>
      <c r="AC2734" s="462" t="s">
        <v>9344</v>
      </c>
      <c r="AD2734" s="464">
        <v>16.217369999999999</v>
      </c>
      <c r="AE2734" s="465">
        <v>0.78012999999999999</v>
      </c>
      <c r="AF2734" s="86">
        <f>IF(verze!$E$1="CZK",AD2734,IF(verze!$E$1="SK",AE2734,""))</f>
        <v>0.78012999999999999</v>
      </c>
    </row>
    <row r="2735" spans="27:32" ht="15">
      <c r="AA2735" s="463" t="s">
        <v>9345</v>
      </c>
      <c r="AB2735" s="462" t="s">
        <v>9346</v>
      </c>
      <c r="AC2735" s="462" t="s">
        <v>9347</v>
      </c>
      <c r="AD2735" s="464">
        <v>16.217369999999999</v>
      </c>
      <c r="AE2735" s="465">
        <v>0.78012999999999999</v>
      </c>
      <c r="AF2735" s="86">
        <f>IF(verze!$E$1="CZK",AD2735,IF(verze!$E$1="SK",AE2735,""))</f>
        <v>0.78012999999999999</v>
      </c>
    </row>
    <row r="2736" spans="27:32" ht="15">
      <c r="AA2736" s="463" t="s">
        <v>9348</v>
      </c>
      <c r="AB2736" s="462" t="s">
        <v>9349</v>
      </c>
      <c r="AC2736" s="462" t="s">
        <v>9350</v>
      </c>
      <c r="AD2736" s="464">
        <v>16.217369999999999</v>
      </c>
      <c r="AE2736" s="465">
        <v>0.78012999999999999</v>
      </c>
      <c r="AF2736" s="86">
        <f>IF(verze!$E$1="CZK",AD2736,IF(verze!$E$1="SK",AE2736,""))</f>
        <v>0.78012999999999999</v>
      </c>
    </row>
    <row r="2737" spans="27:32" ht="15">
      <c r="AA2737" s="463" t="s">
        <v>9351</v>
      </c>
      <c r="AB2737" s="462" t="s">
        <v>9352</v>
      </c>
      <c r="AC2737" s="462" t="s">
        <v>9353</v>
      </c>
      <c r="AD2737" s="464">
        <v>16.217369999999999</v>
      </c>
      <c r="AE2737" s="465">
        <v>0.78012999999999999</v>
      </c>
      <c r="AF2737" s="86">
        <f>IF(verze!$E$1="CZK",AD2737,IF(verze!$E$1="SK",AE2737,""))</f>
        <v>0.78012999999999999</v>
      </c>
    </row>
    <row r="2738" spans="27:32" ht="15">
      <c r="AA2738" s="463" t="s">
        <v>9354</v>
      </c>
      <c r="AB2738" s="462" t="s">
        <v>9355</v>
      </c>
      <c r="AC2738" s="462" t="s">
        <v>9356</v>
      </c>
      <c r="AD2738" s="464">
        <v>15.786060000000001</v>
      </c>
      <c r="AE2738" s="465">
        <v>0.74297999999999997</v>
      </c>
      <c r="AF2738" s="86">
        <f>IF(verze!$E$1="CZK",AD2738,IF(verze!$E$1="SK",AE2738,""))</f>
        <v>0.74297999999999997</v>
      </c>
    </row>
    <row r="2739" spans="27:32" ht="15">
      <c r="AA2739" s="463" t="s">
        <v>9357</v>
      </c>
      <c r="AB2739" s="462" t="s">
        <v>9358</v>
      </c>
      <c r="AC2739" s="462" t="s">
        <v>9359</v>
      </c>
      <c r="AD2739" s="464">
        <v>15.786060000000001</v>
      </c>
      <c r="AE2739" s="465">
        <v>0.74297999999999997</v>
      </c>
      <c r="AF2739" s="86">
        <f>IF(verze!$E$1="CZK",AD2739,IF(verze!$E$1="SK",AE2739,""))</f>
        <v>0.74297999999999997</v>
      </c>
    </row>
    <row r="2740" spans="27:32" ht="15">
      <c r="AA2740" s="463" t="s">
        <v>9360</v>
      </c>
      <c r="AB2740" s="462" t="s">
        <v>9361</v>
      </c>
      <c r="AC2740" s="462" t="s">
        <v>9362</v>
      </c>
      <c r="AD2740" s="464">
        <v>15.786060000000001</v>
      </c>
      <c r="AE2740" s="465">
        <v>0.74297999999999997</v>
      </c>
      <c r="AF2740" s="86">
        <f>IF(verze!$E$1="CZK",AD2740,IF(verze!$E$1="SK",AE2740,""))</f>
        <v>0.74297999999999997</v>
      </c>
    </row>
    <row r="2741" spans="27:32" ht="15">
      <c r="AA2741" s="463" t="s">
        <v>9363</v>
      </c>
      <c r="AB2741" s="462" t="s">
        <v>9364</v>
      </c>
      <c r="AC2741" s="462" t="s">
        <v>9365</v>
      </c>
      <c r="AD2741" s="464">
        <v>15.786060000000001</v>
      </c>
      <c r="AE2741" s="465">
        <v>0.74297999999999997</v>
      </c>
      <c r="AF2741" s="86">
        <f>IF(verze!$E$1="CZK",AD2741,IF(verze!$E$1="SK",AE2741,""))</f>
        <v>0.74297999999999997</v>
      </c>
    </row>
    <row r="2742" spans="27:32" ht="15">
      <c r="AA2742" s="463" t="s">
        <v>9366</v>
      </c>
      <c r="AB2742" s="462" t="s">
        <v>9367</v>
      </c>
      <c r="AC2742" s="462" t="s">
        <v>9368</v>
      </c>
      <c r="AD2742" s="464">
        <v>16.217369999999999</v>
      </c>
      <c r="AE2742" s="465">
        <v>0.78012999999999999</v>
      </c>
      <c r="AF2742" s="86">
        <f>IF(verze!$E$1="CZK",AD2742,IF(verze!$E$1="SK",AE2742,""))</f>
        <v>0.78012999999999999</v>
      </c>
    </row>
    <row r="2743" spans="27:32" ht="15">
      <c r="AA2743" s="463" t="s">
        <v>9369</v>
      </c>
      <c r="AB2743" s="462" t="s">
        <v>9370</v>
      </c>
      <c r="AC2743" s="462" t="s">
        <v>9371</v>
      </c>
      <c r="AD2743" s="464">
        <v>16.217369999999999</v>
      </c>
      <c r="AE2743" s="465">
        <v>0.78012999999999999</v>
      </c>
      <c r="AF2743" s="86">
        <f>IF(verze!$E$1="CZK",AD2743,IF(verze!$E$1="SK",AE2743,""))</f>
        <v>0.78012999999999999</v>
      </c>
    </row>
    <row r="2744" spans="27:32" ht="15">
      <c r="AA2744" s="463" t="s">
        <v>9372</v>
      </c>
      <c r="AB2744" s="462" t="s">
        <v>9373</v>
      </c>
      <c r="AC2744" s="462" t="s">
        <v>9374</v>
      </c>
      <c r="AD2744" s="464">
        <v>21.621880000000001</v>
      </c>
      <c r="AE2744" s="465">
        <v>1.04009</v>
      </c>
      <c r="AF2744" s="86">
        <f>IF(verze!$E$1="CZK",AD2744,IF(verze!$E$1="SK",AE2744,""))</f>
        <v>1.04009</v>
      </c>
    </row>
    <row r="2745" spans="27:32" ht="15">
      <c r="AA2745" s="463" t="s">
        <v>9375</v>
      </c>
      <c r="AB2745" s="462" t="s">
        <v>9376</v>
      </c>
      <c r="AC2745" s="462" t="s">
        <v>9377</v>
      </c>
      <c r="AD2745" s="464">
        <v>21.621880000000001</v>
      </c>
      <c r="AE2745" s="465">
        <v>1.04009</v>
      </c>
      <c r="AF2745" s="86">
        <f>IF(verze!$E$1="CZK",AD2745,IF(verze!$E$1="SK",AE2745,""))</f>
        <v>1.04009</v>
      </c>
    </row>
    <row r="2746" spans="27:32" ht="15">
      <c r="AA2746" s="463" t="s">
        <v>9378</v>
      </c>
      <c r="AB2746" s="462" t="s">
        <v>9379</v>
      </c>
      <c r="AC2746" s="462" t="s">
        <v>9380</v>
      </c>
      <c r="AD2746" s="464">
        <v>21.621880000000001</v>
      </c>
      <c r="AE2746" s="465">
        <v>1.04009</v>
      </c>
      <c r="AF2746" s="86">
        <f>IF(verze!$E$1="CZK",AD2746,IF(verze!$E$1="SK",AE2746,""))</f>
        <v>1.04009</v>
      </c>
    </row>
    <row r="2747" spans="27:32" ht="15">
      <c r="AA2747" s="463" t="s">
        <v>9381</v>
      </c>
      <c r="AB2747" s="462" t="s">
        <v>9382</v>
      </c>
      <c r="AC2747" s="462" t="s">
        <v>9383</v>
      </c>
      <c r="AD2747" s="464">
        <v>21.621880000000001</v>
      </c>
      <c r="AE2747" s="465">
        <v>1.04009</v>
      </c>
      <c r="AF2747" s="86">
        <f>IF(verze!$E$1="CZK",AD2747,IF(verze!$E$1="SK",AE2747,""))</f>
        <v>1.04009</v>
      </c>
    </row>
    <row r="2748" spans="27:32" ht="15">
      <c r="AA2748" s="463" t="s">
        <v>9384</v>
      </c>
      <c r="AB2748" s="462" t="s">
        <v>9385</v>
      </c>
      <c r="AC2748" s="462" t="s">
        <v>9386</v>
      </c>
      <c r="AD2748" s="464">
        <v>21.621880000000001</v>
      </c>
      <c r="AE2748" s="465">
        <v>1.04009</v>
      </c>
      <c r="AF2748" s="86">
        <f>IF(verze!$E$1="CZK",AD2748,IF(verze!$E$1="SK",AE2748,""))</f>
        <v>1.04009</v>
      </c>
    </row>
    <row r="2749" spans="27:32" ht="15">
      <c r="AA2749" s="463" t="s">
        <v>9387</v>
      </c>
      <c r="AB2749" s="462" t="s">
        <v>9388</v>
      </c>
      <c r="AC2749" s="462" t="s">
        <v>9389</v>
      </c>
      <c r="AD2749" s="464">
        <v>21.621880000000001</v>
      </c>
      <c r="AE2749" s="465">
        <v>1.04009</v>
      </c>
      <c r="AF2749" s="86">
        <f>IF(verze!$E$1="CZK",AD2749,IF(verze!$E$1="SK",AE2749,""))</f>
        <v>1.04009</v>
      </c>
    </row>
    <row r="2750" spans="27:32" ht="15">
      <c r="AA2750" s="463" t="s">
        <v>9390</v>
      </c>
      <c r="AB2750" s="462" t="s">
        <v>9391</v>
      </c>
      <c r="AC2750" s="462" t="s">
        <v>9392</v>
      </c>
      <c r="AD2750" s="464">
        <v>26.311430000000001</v>
      </c>
      <c r="AE2750" s="465">
        <v>1.23834</v>
      </c>
      <c r="AF2750" s="86">
        <f>IF(verze!$E$1="CZK",AD2750,IF(verze!$E$1="SK",AE2750,""))</f>
        <v>1.23834</v>
      </c>
    </row>
    <row r="2751" spans="27:32" ht="15">
      <c r="AA2751" s="463" t="s">
        <v>9393</v>
      </c>
      <c r="AB2751" s="462" t="s">
        <v>9394</v>
      </c>
      <c r="AC2751" s="462" t="s">
        <v>9395</v>
      </c>
      <c r="AD2751" s="464">
        <v>26.311430000000001</v>
      </c>
      <c r="AE2751" s="465">
        <v>1.23834</v>
      </c>
      <c r="AF2751" s="86">
        <f>IF(verze!$E$1="CZK",AD2751,IF(verze!$E$1="SK",AE2751,""))</f>
        <v>1.23834</v>
      </c>
    </row>
    <row r="2752" spans="27:32" ht="15">
      <c r="AA2752" s="463" t="s">
        <v>9396</v>
      </c>
      <c r="AB2752" s="462" t="s">
        <v>9397</v>
      </c>
      <c r="AC2752" s="462" t="s">
        <v>9398</v>
      </c>
      <c r="AD2752" s="464">
        <v>26.311430000000001</v>
      </c>
      <c r="AE2752" s="465">
        <v>1.23834</v>
      </c>
      <c r="AF2752" s="86">
        <f>IF(verze!$E$1="CZK",AD2752,IF(verze!$E$1="SK",AE2752,""))</f>
        <v>1.23834</v>
      </c>
    </row>
    <row r="2753" spans="27:32" ht="15">
      <c r="AA2753" s="463" t="s">
        <v>9399</v>
      </c>
      <c r="AB2753" s="462" t="s">
        <v>9400</v>
      </c>
      <c r="AC2753" s="462" t="s">
        <v>9401</v>
      </c>
      <c r="AD2753" s="464">
        <v>26.311430000000001</v>
      </c>
      <c r="AE2753" s="465">
        <v>1.23834</v>
      </c>
      <c r="AF2753" s="86">
        <f>IF(verze!$E$1="CZK",AD2753,IF(verze!$E$1="SK",AE2753,""))</f>
        <v>1.23834</v>
      </c>
    </row>
    <row r="2754" spans="27:32" ht="15">
      <c r="AA2754" s="463" t="s">
        <v>9402</v>
      </c>
      <c r="AB2754" s="462" t="s">
        <v>9403</v>
      </c>
      <c r="AC2754" s="462" t="s">
        <v>9404</v>
      </c>
      <c r="AD2754" s="464">
        <v>27.03032</v>
      </c>
      <c r="AE2754" s="465">
        <v>1.30026</v>
      </c>
      <c r="AF2754" s="86">
        <f>IF(verze!$E$1="CZK",AD2754,IF(verze!$E$1="SK",AE2754,""))</f>
        <v>1.30026</v>
      </c>
    </row>
    <row r="2755" spans="27:32" ht="15">
      <c r="AA2755" s="463" t="s">
        <v>9405</v>
      </c>
      <c r="AB2755" s="462" t="s">
        <v>9406</v>
      </c>
      <c r="AC2755" s="462" t="s">
        <v>9407</v>
      </c>
      <c r="AD2755" s="464">
        <v>27.03032</v>
      </c>
      <c r="AE2755" s="465">
        <v>1.30026</v>
      </c>
      <c r="AF2755" s="86">
        <f>IF(verze!$E$1="CZK",AD2755,IF(verze!$E$1="SK",AE2755,""))</f>
        <v>1.30026</v>
      </c>
    </row>
    <row r="2756" spans="27:32" ht="15">
      <c r="AA2756" s="463" t="s">
        <v>9408</v>
      </c>
      <c r="AB2756" s="462" t="s">
        <v>9409</v>
      </c>
      <c r="AC2756" s="462" t="s">
        <v>9410</v>
      </c>
      <c r="AD2756" s="464">
        <v>47.358150000000002</v>
      </c>
      <c r="AE2756" s="465">
        <v>2.2288999999999999</v>
      </c>
      <c r="AF2756" s="86">
        <f>IF(verze!$E$1="CZK",AD2756,IF(verze!$E$1="SK",AE2756,""))</f>
        <v>2.2288999999999999</v>
      </c>
    </row>
    <row r="2757" spans="27:32" ht="15">
      <c r="AA2757" s="463" t="s">
        <v>9411</v>
      </c>
      <c r="AB2757" s="462" t="s">
        <v>9412</v>
      </c>
      <c r="AC2757" s="462" t="s">
        <v>9413</v>
      </c>
      <c r="AD2757" s="464">
        <v>47.358150000000002</v>
      </c>
      <c r="AE2757" s="465">
        <v>2.2288999999999999</v>
      </c>
      <c r="AF2757" s="86">
        <f>IF(verze!$E$1="CZK",AD2757,IF(verze!$E$1="SK",AE2757,""))</f>
        <v>2.2288999999999999</v>
      </c>
    </row>
    <row r="2758" spans="27:32" ht="15">
      <c r="AA2758" s="463" t="s">
        <v>9414</v>
      </c>
      <c r="AB2758" s="462" t="s">
        <v>9415</v>
      </c>
      <c r="AC2758" s="462" t="s">
        <v>9416</v>
      </c>
      <c r="AD2758" s="464">
        <v>47.358150000000002</v>
      </c>
      <c r="AE2758" s="465">
        <v>2.2288999999999999</v>
      </c>
      <c r="AF2758" s="86">
        <f>IF(verze!$E$1="CZK",AD2758,IF(verze!$E$1="SK",AE2758,""))</f>
        <v>2.2288999999999999</v>
      </c>
    </row>
    <row r="2759" spans="27:32" ht="15">
      <c r="AA2759" s="463" t="s">
        <v>9417</v>
      </c>
      <c r="AB2759" s="462" t="s">
        <v>9418</v>
      </c>
      <c r="AC2759" s="462" t="s">
        <v>9419</v>
      </c>
      <c r="AD2759" s="464">
        <v>47.358150000000002</v>
      </c>
      <c r="AE2759" s="465">
        <v>2.2288999999999999</v>
      </c>
      <c r="AF2759" s="86">
        <f>IF(verze!$E$1="CZK",AD2759,IF(verze!$E$1="SK",AE2759,""))</f>
        <v>2.2288999999999999</v>
      </c>
    </row>
    <row r="2760" spans="27:32" ht="15">
      <c r="AA2760" s="463" t="s">
        <v>9420</v>
      </c>
      <c r="AB2760" s="462" t="s">
        <v>9421</v>
      </c>
      <c r="AC2760" s="462" t="s">
        <v>9422</v>
      </c>
      <c r="AD2760" s="464">
        <v>48.652090000000001</v>
      </c>
      <c r="AE2760" s="465">
        <v>2.3403499999999999</v>
      </c>
      <c r="AF2760" s="86">
        <f>IF(verze!$E$1="CZK",AD2760,IF(verze!$E$1="SK",AE2760,""))</f>
        <v>2.3403499999999999</v>
      </c>
    </row>
    <row r="2761" spans="27:32" ht="15">
      <c r="AA2761" s="463" t="s">
        <v>9423</v>
      </c>
      <c r="AB2761" s="462" t="s">
        <v>9424</v>
      </c>
      <c r="AC2761" s="462" t="s">
        <v>9425</v>
      </c>
      <c r="AD2761" s="464">
        <v>48.652090000000001</v>
      </c>
      <c r="AE2761" s="465">
        <v>2.3403499999999999</v>
      </c>
      <c r="AF2761" s="86">
        <f>IF(verze!$E$1="CZK",AD2761,IF(verze!$E$1="SK",AE2761,""))</f>
        <v>2.3403499999999999</v>
      </c>
    </row>
    <row r="2762" spans="27:32" ht="15">
      <c r="AA2762" s="463" t="s">
        <v>9426</v>
      </c>
      <c r="AB2762" s="462" t="s">
        <v>9427</v>
      </c>
      <c r="AC2762" s="462" t="s">
        <v>9428</v>
      </c>
      <c r="AD2762" s="464">
        <v>59.465040000000002</v>
      </c>
      <c r="AE2762" s="465">
        <v>2.86049</v>
      </c>
      <c r="AF2762" s="86">
        <f>IF(verze!$E$1="CZK",AD2762,IF(verze!$E$1="SK",AE2762,""))</f>
        <v>2.86049</v>
      </c>
    </row>
    <row r="2763" spans="27:32" ht="15">
      <c r="AA2763" s="463" t="s">
        <v>9429</v>
      </c>
      <c r="AB2763" s="462" t="s">
        <v>9430</v>
      </c>
      <c r="AC2763" s="462" t="s">
        <v>9431</v>
      </c>
      <c r="AD2763" s="464">
        <v>59.465040000000002</v>
      </c>
      <c r="AE2763" s="465">
        <v>2.86049</v>
      </c>
      <c r="AF2763" s="86">
        <f>IF(verze!$E$1="CZK",AD2763,IF(verze!$E$1="SK",AE2763,""))</f>
        <v>2.86049</v>
      </c>
    </row>
    <row r="2764" spans="27:32" ht="15">
      <c r="AA2764" s="463" t="s">
        <v>9432</v>
      </c>
      <c r="AB2764" s="462" t="s">
        <v>9433</v>
      </c>
      <c r="AC2764" s="462" t="s">
        <v>9434</v>
      </c>
      <c r="AD2764" s="464">
        <v>59.465040000000002</v>
      </c>
      <c r="AE2764" s="465">
        <v>2.86049</v>
      </c>
      <c r="AF2764" s="86">
        <f>IF(verze!$E$1="CZK",AD2764,IF(verze!$E$1="SK",AE2764,""))</f>
        <v>2.86049</v>
      </c>
    </row>
    <row r="2765" spans="27:32" ht="15">
      <c r="AA2765" s="463" t="s">
        <v>9435</v>
      </c>
      <c r="AB2765" s="462" t="s">
        <v>9436</v>
      </c>
      <c r="AC2765" s="462" t="s">
        <v>9437</v>
      </c>
      <c r="AD2765" s="464">
        <v>59.465040000000002</v>
      </c>
      <c r="AE2765" s="465">
        <v>2.86049</v>
      </c>
      <c r="AF2765" s="86">
        <f>IF(verze!$E$1="CZK",AD2765,IF(verze!$E$1="SK",AE2765,""))</f>
        <v>2.86049</v>
      </c>
    </row>
    <row r="2766" spans="27:32" ht="15">
      <c r="AA2766" s="463" t="s">
        <v>9438</v>
      </c>
      <c r="AB2766" s="462" t="s">
        <v>9439</v>
      </c>
      <c r="AC2766" s="462" t="s">
        <v>9440</v>
      </c>
      <c r="AD2766" s="464">
        <v>59.465040000000002</v>
      </c>
      <c r="AE2766" s="465">
        <v>2.86049</v>
      </c>
      <c r="AF2766" s="86">
        <f>IF(verze!$E$1="CZK",AD2766,IF(verze!$E$1="SK",AE2766,""))</f>
        <v>2.86049</v>
      </c>
    </row>
    <row r="2767" spans="27:32" ht="15">
      <c r="AA2767" s="463" t="s">
        <v>9441</v>
      </c>
      <c r="AB2767" s="462" t="s">
        <v>9442</v>
      </c>
      <c r="AC2767" s="462" t="s">
        <v>9443</v>
      </c>
      <c r="AD2767" s="464">
        <v>59.465040000000002</v>
      </c>
      <c r="AE2767" s="465">
        <v>2.86049</v>
      </c>
      <c r="AF2767" s="86">
        <f>IF(verze!$E$1="CZK",AD2767,IF(verze!$E$1="SK",AE2767,""))</f>
        <v>2.86049</v>
      </c>
    </row>
    <row r="2768" spans="27:32" ht="15">
      <c r="AA2768" s="463" t="s">
        <v>9444</v>
      </c>
      <c r="AB2768" s="462" t="s">
        <v>9445</v>
      </c>
      <c r="AC2768" s="462" t="s">
        <v>9446</v>
      </c>
      <c r="AD2768" s="464">
        <v>70.277990000000003</v>
      </c>
      <c r="AE2768" s="465">
        <v>3.3806400000000001</v>
      </c>
      <c r="AF2768" s="86">
        <f>IF(verze!$E$1="CZK",AD2768,IF(verze!$E$1="SK",AE2768,""))</f>
        <v>3.3806400000000001</v>
      </c>
    </row>
    <row r="2769" spans="27:32" ht="15">
      <c r="AA2769" s="463" t="s">
        <v>9447</v>
      </c>
      <c r="AB2769" s="462" t="s">
        <v>9448</v>
      </c>
      <c r="AC2769" s="462" t="s">
        <v>9449</v>
      </c>
      <c r="AD2769" s="464">
        <v>70.277990000000003</v>
      </c>
      <c r="AE2769" s="465">
        <v>3.3806400000000001</v>
      </c>
      <c r="AF2769" s="86">
        <f>IF(verze!$E$1="CZK",AD2769,IF(verze!$E$1="SK",AE2769,""))</f>
        <v>3.3806400000000001</v>
      </c>
    </row>
    <row r="2770" spans="27:32" ht="15">
      <c r="AA2770" s="463" t="s">
        <v>9450</v>
      </c>
      <c r="AB2770" s="462" t="s">
        <v>9451</v>
      </c>
      <c r="AC2770" s="462" t="s">
        <v>9452</v>
      </c>
      <c r="AD2770" s="464">
        <v>70.277990000000003</v>
      </c>
      <c r="AE2770" s="465">
        <v>3.3806400000000001</v>
      </c>
      <c r="AF2770" s="86">
        <f>IF(verze!$E$1="CZK",AD2770,IF(verze!$E$1="SK",AE2770,""))</f>
        <v>3.3806400000000001</v>
      </c>
    </row>
    <row r="2771" spans="27:32" ht="15">
      <c r="AA2771" s="463" t="s">
        <v>9453</v>
      </c>
      <c r="AB2771" s="462" t="s">
        <v>9454</v>
      </c>
      <c r="AC2771" s="462" t="s">
        <v>9455</v>
      </c>
      <c r="AD2771" s="464">
        <v>70.277990000000003</v>
      </c>
      <c r="AE2771" s="465">
        <v>3.3806400000000001</v>
      </c>
      <c r="AF2771" s="86">
        <f>IF(verze!$E$1="CZK",AD2771,IF(verze!$E$1="SK",AE2771,""))</f>
        <v>3.3806400000000001</v>
      </c>
    </row>
    <row r="2772" spans="27:32" ht="15">
      <c r="AA2772" s="463" t="s">
        <v>9456</v>
      </c>
      <c r="AB2772" s="462" t="s">
        <v>9457</v>
      </c>
      <c r="AC2772" s="462" t="s">
        <v>9458</v>
      </c>
      <c r="AD2772" s="464">
        <v>70.277990000000003</v>
      </c>
      <c r="AE2772" s="465">
        <v>3.3806400000000001</v>
      </c>
      <c r="AF2772" s="86">
        <f>IF(verze!$E$1="CZK",AD2772,IF(verze!$E$1="SK",AE2772,""))</f>
        <v>3.3806400000000001</v>
      </c>
    </row>
    <row r="2773" spans="27:32" ht="15">
      <c r="AA2773" s="463" t="s">
        <v>9459</v>
      </c>
      <c r="AB2773" s="462" t="s">
        <v>9460</v>
      </c>
      <c r="AC2773" s="462" t="s">
        <v>9461</v>
      </c>
      <c r="AD2773" s="464">
        <v>70.277990000000003</v>
      </c>
      <c r="AE2773" s="465">
        <v>3.3806400000000001</v>
      </c>
      <c r="AF2773" s="86">
        <f>IF(verze!$E$1="CZK",AD2773,IF(verze!$E$1="SK",AE2773,""))</f>
        <v>3.3806400000000001</v>
      </c>
    </row>
    <row r="2774" spans="27:32" ht="15">
      <c r="AA2774" s="463" t="s">
        <v>9462</v>
      </c>
      <c r="AB2774" s="462" t="s">
        <v>9463</v>
      </c>
      <c r="AC2774" s="462" t="s">
        <v>9464</v>
      </c>
      <c r="AD2774" s="464">
        <v>71.718029999999999</v>
      </c>
      <c r="AE2774" s="465">
        <v>3.4498799999999998</v>
      </c>
      <c r="AF2774" s="86">
        <f>IF(verze!$E$1="CZK",AD2774,IF(verze!$E$1="SK",AE2774,""))</f>
        <v>3.4498799999999998</v>
      </c>
    </row>
    <row r="2775" spans="27:32" ht="15">
      <c r="AA2775" s="463" t="s">
        <v>9465</v>
      </c>
      <c r="AB2775" s="462" t="s">
        <v>9466</v>
      </c>
      <c r="AC2775" s="462" t="s">
        <v>9467</v>
      </c>
      <c r="AD2775" s="464">
        <v>71.718029999999999</v>
      </c>
      <c r="AE2775" s="465">
        <v>3.4498799999999998</v>
      </c>
      <c r="AF2775" s="86">
        <f>IF(verze!$E$1="CZK",AD2775,IF(verze!$E$1="SK",AE2775,""))</f>
        <v>3.4498799999999998</v>
      </c>
    </row>
    <row r="2776" spans="27:32" ht="15">
      <c r="AA2776" s="463" t="s">
        <v>9468</v>
      </c>
      <c r="AB2776" s="462" t="s">
        <v>9469</v>
      </c>
      <c r="AC2776" s="462" t="s">
        <v>9470</v>
      </c>
      <c r="AD2776" s="464">
        <v>71.718029999999999</v>
      </c>
      <c r="AE2776" s="465">
        <v>3.4498799999999998</v>
      </c>
      <c r="AF2776" s="86">
        <f>IF(verze!$E$1="CZK",AD2776,IF(verze!$E$1="SK",AE2776,""))</f>
        <v>3.4498799999999998</v>
      </c>
    </row>
    <row r="2777" spans="27:32" ht="15">
      <c r="AA2777" s="463" t="s">
        <v>9471</v>
      </c>
      <c r="AB2777" s="462" t="s">
        <v>9472</v>
      </c>
      <c r="AC2777" s="462" t="s">
        <v>9473</v>
      </c>
      <c r="AD2777" s="464">
        <v>71.718029999999999</v>
      </c>
      <c r="AE2777" s="465">
        <v>3.4498799999999998</v>
      </c>
      <c r="AF2777" s="86">
        <f>IF(verze!$E$1="CZK",AD2777,IF(verze!$E$1="SK",AE2777,""))</f>
        <v>3.4498799999999998</v>
      </c>
    </row>
    <row r="2778" spans="27:32" ht="15">
      <c r="AA2778" s="463" t="s">
        <v>9474</v>
      </c>
      <c r="AB2778" s="462" t="s">
        <v>9475</v>
      </c>
      <c r="AC2778" s="462" t="s">
        <v>9476</v>
      </c>
      <c r="AD2778" s="464">
        <v>71.718029999999999</v>
      </c>
      <c r="AE2778" s="465">
        <v>3.4498799999999998</v>
      </c>
      <c r="AF2778" s="86">
        <f>IF(verze!$E$1="CZK",AD2778,IF(verze!$E$1="SK",AE2778,""))</f>
        <v>3.4498799999999998</v>
      </c>
    </row>
    <row r="2779" spans="27:32" ht="15">
      <c r="AA2779" s="463" t="s">
        <v>9477</v>
      </c>
      <c r="AB2779" s="462" t="s">
        <v>9478</v>
      </c>
      <c r="AC2779" s="462" t="s">
        <v>9479</v>
      </c>
      <c r="AD2779" s="464">
        <v>71.718029999999999</v>
      </c>
      <c r="AE2779" s="465">
        <v>3.4498799999999998</v>
      </c>
      <c r="AF2779" s="86">
        <f>IF(verze!$E$1="CZK",AD2779,IF(verze!$E$1="SK",AE2779,""))</f>
        <v>3.4498799999999998</v>
      </c>
    </row>
    <row r="2780" spans="27:32" ht="15">
      <c r="AA2780" s="463" t="s">
        <v>9480</v>
      </c>
      <c r="AB2780" s="462" t="s">
        <v>9481</v>
      </c>
      <c r="AC2780" s="462" t="s">
        <v>9482</v>
      </c>
      <c r="AD2780" s="464">
        <v>71.718029999999999</v>
      </c>
      <c r="AE2780" s="465">
        <v>3.4498799999999998</v>
      </c>
      <c r="AF2780" s="86">
        <f>IF(verze!$E$1="CZK",AD2780,IF(verze!$E$1="SK",AE2780,""))</f>
        <v>3.4498799999999998</v>
      </c>
    </row>
    <row r="2781" spans="27:32" ht="15">
      <c r="AA2781" s="463" t="s">
        <v>9483</v>
      </c>
      <c r="AB2781" s="462" t="s">
        <v>9484</v>
      </c>
      <c r="AC2781" s="462" t="s">
        <v>9485</v>
      </c>
      <c r="AD2781" s="464">
        <v>71.718029999999999</v>
      </c>
      <c r="AE2781" s="465">
        <v>3.4498799999999998</v>
      </c>
      <c r="AF2781" s="86">
        <f>IF(verze!$E$1="CZK",AD2781,IF(verze!$E$1="SK",AE2781,""))</f>
        <v>3.4498799999999998</v>
      </c>
    </row>
    <row r="2782" spans="27:32" ht="15">
      <c r="AA2782" s="463" t="s">
        <v>9486</v>
      </c>
      <c r="AB2782" s="462" t="s">
        <v>9487</v>
      </c>
      <c r="AC2782" s="462" t="s">
        <v>9488</v>
      </c>
      <c r="AD2782" s="464">
        <v>71.718029999999999</v>
      </c>
      <c r="AE2782" s="465">
        <v>3.4498799999999998</v>
      </c>
      <c r="AF2782" s="86">
        <f>IF(verze!$E$1="CZK",AD2782,IF(verze!$E$1="SK",AE2782,""))</f>
        <v>3.4498799999999998</v>
      </c>
    </row>
    <row r="2783" spans="27:32" ht="15">
      <c r="AA2783" s="463" t="s">
        <v>9489</v>
      </c>
      <c r="AB2783" s="462" t="s">
        <v>9490</v>
      </c>
      <c r="AC2783" s="462" t="s">
        <v>9491</v>
      </c>
      <c r="AD2783" s="464">
        <v>71.718029999999999</v>
      </c>
      <c r="AE2783" s="465">
        <v>3.4498799999999998</v>
      </c>
      <c r="AF2783" s="86">
        <f>IF(verze!$E$1="CZK",AD2783,IF(verze!$E$1="SK",AE2783,""))</f>
        <v>3.4498799999999998</v>
      </c>
    </row>
    <row r="2784" spans="27:32" ht="15">
      <c r="AA2784" s="463" t="s">
        <v>9492</v>
      </c>
      <c r="AB2784" s="462" t="s">
        <v>9493</v>
      </c>
      <c r="AC2784" s="462" t="s">
        <v>9494</v>
      </c>
      <c r="AD2784" s="464">
        <v>71.718029999999999</v>
      </c>
      <c r="AE2784" s="465">
        <v>3.4498799999999998</v>
      </c>
      <c r="AF2784" s="86">
        <f>IF(verze!$E$1="CZK",AD2784,IF(verze!$E$1="SK",AE2784,""))</f>
        <v>3.4498799999999998</v>
      </c>
    </row>
    <row r="2785" spans="27:32" ht="15">
      <c r="AA2785" s="463" t="s">
        <v>9495</v>
      </c>
      <c r="AB2785" s="462" t="s">
        <v>9496</v>
      </c>
      <c r="AC2785" s="462" t="s">
        <v>9497</v>
      </c>
      <c r="AD2785" s="464">
        <v>71.718029999999999</v>
      </c>
      <c r="AE2785" s="465">
        <v>3.4498799999999998</v>
      </c>
      <c r="AF2785" s="86">
        <f>IF(verze!$E$1="CZK",AD2785,IF(verze!$E$1="SK",AE2785,""))</f>
        <v>3.4498799999999998</v>
      </c>
    </row>
    <row r="2786" spans="27:32" ht="15">
      <c r="AA2786" s="463" t="s">
        <v>9498</v>
      </c>
      <c r="AB2786" s="462" t="s">
        <v>9499</v>
      </c>
      <c r="AC2786" s="462" t="s">
        <v>9500</v>
      </c>
      <c r="AD2786" s="464">
        <v>71.718029999999999</v>
      </c>
      <c r="AE2786" s="465">
        <v>3.4498799999999998</v>
      </c>
      <c r="AF2786" s="86">
        <f>IF(verze!$E$1="CZK",AD2786,IF(verze!$E$1="SK",AE2786,""))</f>
        <v>3.4498799999999998</v>
      </c>
    </row>
    <row r="2787" spans="27:32" ht="15">
      <c r="AA2787" s="463" t="s">
        <v>9501</v>
      </c>
      <c r="AB2787" s="462" t="s">
        <v>9502</v>
      </c>
      <c r="AC2787" s="462" t="s">
        <v>9503</v>
      </c>
      <c r="AD2787" s="464">
        <v>71.718029999999999</v>
      </c>
      <c r="AE2787" s="465">
        <v>3.4498799999999998</v>
      </c>
      <c r="AF2787" s="86">
        <f>IF(verze!$E$1="CZK",AD2787,IF(verze!$E$1="SK",AE2787,""))</f>
        <v>3.4498799999999998</v>
      </c>
    </row>
    <row r="2788" spans="27:32" ht="15">
      <c r="AA2788" s="463" t="s">
        <v>9504</v>
      </c>
      <c r="AB2788" s="462" t="s">
        <v>9505</v>
      </c>
      <c r="AC2788" s="462" t="s">
        <v>9506</v>
      </c>
      <c r="AD2788" s="464">
        <v>74.601029999999994</v>
      </c>
      <c r="AE2788" s="465">
        <v>3.5885600000000002</v>
      </c>
      <c r="AF2788" s="86">
        <f>IF(verze!$E$1="CZK",AD2788,IF(verze!$E$1="SK",AE2788,""))</f>
        <v>3.5885600000000002</v>
      </c>
    </row>
    <row r="2789" spans="27:32" ht="15">
      <c r="AA2789" s="463" t="s">
        <v>9507</v>
      </c>
      <c r="AB2789" s="462" t="s">
        <v>9508</v>
      </c>
      <c r="AC2789" s="462" t="s">
        <v>9509</v>
      </c>
      <c r="AD2789" s="464">
        <v>74.601029999999994</v>
      </c>
      <c r="AE2789" s="465">
        <v>3.5885600000000002</v>
      </c>
      <c r="AF2789" s="86">
        <f>IF(verze!$E$1="CZK",AD2789,IF(verze!$E$1="SK",AE2789,""))</f>
        <v>3.5885600000000002</v>
      </c>
    </row>
    <row r="2790" spans="27:32" ht="15">
      <c r="AA2790" s="463" t="s">
        <v>9510</v>
      </c>
      <c r="AB2790" s="462" t="s">
        <v>9511</v>
      </c>
      <c r="AC2790" s="462" t="s">
        <v>9512</v>
      </c>
      <c r="AD2790" s="464">
        <v>74.601029999999994</v>
      </c>
      <c r="AE2790" s="465">
        <v>3.5885600000000002</v>
      </c>
      <c r="AF2790" s="86">
        <f>IF(verze!$E$1="CZK",AD2790,IF(verze!$E$1="SK",AE2790,""))</f>
        <v>3.5885600000000002</v>
      </c>
    </row>
    <row r="2791" spans="27:32" ht="15">
      <c r="AA2791" s="463" t="s">
        <v>9513</v>
      </c>
      <c r="AB2791" s="462" t="s">
        <v>9514</v>
      </c>
      <c r="AC2791" s="462" t="s">
        <v>9515</v>
      </c>
      <c r="AD2791" s="464">
        <v>74.601029999999994</v>
      </c>
      <c r="AE2791" s="465">
        <v>3.5885600000000002</v>
      </c>
      <c r="AF2791" s="86">
        <f>IF(verze!$E$1="CZK",AD2791,IF(verze!$E$1="SK",AE2791,""))</f>
        <v>3.5885600000000002</v>
      </c>
    </row>
    <row r="2792" spans="27:32" ht="15">
      <c r="AA2792" s="463" t="s">
        <v>9516</v>
      </c>
      <c r="AB2792" s="462" t="s">
        <v>9517</v>
      </c>
      <c r="AC2792" s="462" t="s">
        <v>9518</v>
      </c>
      <c r="AD2792" s="464">
        <v>74.601029999999994</v>
      </c>
      <c r="AE2792" s="465">
        <v>3.5885600000000002</v>
      </c>
      <c r="AF2792" s="86">
        <f>IF(verze!$E$1="CZK",AD2792,IF(verze!$E$1="SK",AE2792,""))</f>
        <v>3.5885600000000002</v>
      </c>
    </row>
    <row r="2793" spans="27:32" ht="15">
      <c r="AA2793" s="463" t="s">
        <v>9519</v>
      </c>
      <c r="AB2793" s="462" t="s">
        <v>9520</v>
      </c>
      <c r="AC2793" s="462" t="s">
        <v>9521</v>
      </c>
      <c r="AD2793" s="464">
        <v>74.601029999999994</v>
      </c>
      <c r="AE2793" s="465">
        <v>3.5885600000000002</v>
      </c>
      <c r="AF2793" s="86">
        <f>IF(verze!$E$1="CZK",AD2793,IF(verze!$E$1="SK",AE2793,""))</f>
        <v>3.5885600000000002</v>
      </c>
    </row>
    <row r="2794" spans="27:32" ht="15">
      <c r="AA2794" s="463" t="s">
        <v>9522</v>
      </c>
      <c r="AB2794" s="462" t="s">
        <v>9523</v>
      </c>
      <c r="AC2794" s="462" t="s">
        <v>9524</v>
      </c>
      <c r="AD2794" s="464">
        <v>77.483940000000004</v>
      </c>
      <c r="AE2794" s="465">
        <v>3.7272500000000002</v>
      </c>
      <c r="AF2794" s="86">
        <f>IF(verze!$E$1="CZK",AD2794,IF(verze!$E$1="SK",AE2794,""))</f>
        <v>3.7272500000000002</v>
      </c>
    </row>
    <row r="2795" spans="27:32" ht="15">
      <c r="AA2795" s="463" t="s">
        <v>9525</v>
      </c>
      <c r="AB2795" s="462" t="s">
        <v>9526</v>
      </c>
      <c r="AC2795" s="462" t="s">
        <v>9527</v>
      </c>
      <c r="AD2795" s="464">
        <v>77.483940000000004</v>
      </c>
      <c r="AE2795" s="465">
        <v>3.7272500000000002</v>
      </c>
      <c r="AF2795" s="86">
        <f>IF(verze!$E$1="CZK",AD2795,IF(verze!$E$1="SK",AE2795,""))</f>
        <v>3.7272500000000002</v>
      </c>
    </row>
    <row r="2796" spans="27:32" ht="15">
      <c r="AA2796" s="463" t="s">
        <v>9528</v>
      </c>
      <c r="AB2796" s="462" t="s">
        <v>9529</v>
      </c>
      <c r="AC2796" s="462" t="s">
        <v>9530</v>
      </c>
      <c r="AD2796" s="464">
        <v>77.483940000000004</v>
      </c>
      <c r="AE2796" s="465">
        <v>3.7272500000000002</v>
      </c>
      <c r="AF2796" s="86">
        <f>IF(verze!$E$1="CZK",AD2796,IF(verze!$E$1="SK",AE2796,""))</f>
        <v>3.7272500000000002</v>
      </c>
    </row>
    <row r="2797" spans="27:32" ht="15">
      <c r="AA2797" s="463" t="s">
        <v>9531</v>
      </c>
      <c r="AB2797" s="462" t="s">
        <v>9532</v>
      </c>
      <c r="AC2797" s="462" t="s">
        <v>9533</v>
      </c>
      <c r="AD2797" s="464">
        <v>77.483940000000004</v>
      </c>
      <c r="AE2797" s="465">
        <v>3.7272500000000002</v>
      </c>
      <c r="AF2797" s="86">
        <f>IF(verze!$E$1="CZK",AD2797,IF(verze!$E$1="SK",AE2797,""))</f>
        <v>3.7272500000000002</v>
      </c>
    </row>
    <row r="2798" spans="27:32" ht="15">
      <c r="AA2798" s="463" t="s">
        <v>9534</v>
      </c>
      <c r="AB2798" s="462" t="s">
        <v>9535</v>
      </c>
      <c r="AC2798" s="462" t="s">
        <v>9536</v>
      </c>
      <c r="AD2798" s="464">
        <v>77.483940000000004</v>
      </c>
      <c r="AE2798" s="465">
        <v>3.7272500000000002</v>
      </c>
      <c r="AF2798" s="86">
        <f>IF(verze!$E$1="CZK",AD2798,IF(verze!$E$1="SK",AE2798,""))</f>
        <v>3.7272500000000002</v>
      </c>
    </row>
    <row r="2799" spans="27:32" ht="15">
      <c r="AA2799" s="463" t="s">
        <v>9537</v>
      </c>
      <c r="AB2799" s="462" t="s">
        <v>9538</v>
      </c>
      <c r="AC2799" s="462" t="s">
        <v>9539</v>
      </c>
      <c r="AD2799" s="464">
        <v>77.483940000000004</v>
      </c>
      <c r="AE2799" s="465">
        <v>3.7272500000000002</v>
      </c>
      <c r="AF2799" s="86">
        <f>IF(verze!$E$1="CZK",AD2799,IF(verze!$E$1="SK",AE2799,""))</f>
        <v>3.7272500000000002</v>
      </c>
    </row>
    <row r="2800" spans="27:32" ht="15">
      <c r="AA2800" s="463" t="s">
        <v>9540</v>
      </c>
      <c r="AB2800" s="462" t="s">
        <v>9541</v>
      </c>
      <c r="AC2800" s="462" t="s">
        <v>9542</v>
      </c>
      <c r="AD2800" s="464">
        <v>78.229410000000001</v>
      </c>
      <c r="AE2800" s="465">
        <v>3.6818399999999998</v>
      </c>
      <c r="AF2800" s="86">
        <f>IF(verze!$E$1="CZK",AD2800,IF(verze!$E$1="SK",AE2800,""))</f>
        <v>3.6818399999999998</v>
      </c>
    </row>
    <row r="2801" spans="27:32" ht="15">
      <c r="AA2801" s="463" t="s">
        <v>9543</v>
      </c>
      <c r="AB2801" s="462" t="s">
        <v>9544</v>
      </c>
      <c r="AC2801" s="462" t="s">
        <v>9545</v>
      </c>
      <c r="AD2801" s="464">
        <v>78.229410000000001</v>
      </c>
      <c r="AE2801" s="465">
        <v>3.6818399999999998</v>
      </c>
      <c r="AF2801" s="86">
        <f>IF(verze!$E$1="CZK",AD2801,IF(verze!$E$1="SK",AE2801,""))</f>
        <v>3.6818399999999998</v>
      </c>
    </row>
    <row r="2802" spans="27:32" ht="15">
      <c r="AA2802" s="463" t="s">
        <v>9546</v>
      </c>
      <c r="AB2802" s="462" t="s">
        <v>9547</v>
      </c>
      <c r="AC2802" s="462" t="s">
        <v>9548</v>
      </c>
      <c r="AD2802" s="464">
        <v>80.366820000000004</v>
      </c>
      <c r="AE2802" s="465">
        <v>3.8659300000000001</v>
      </c>
      <c r="AF2802" s="86">
        <f>IF(verze!$E$1="CZK",AD2802,IF(verze!$E$1="SK",AE2802,""))</f>
        <v>3.8659300000000001</v>
      </c>
    </row>
    <row r="2803" spans="27:32" ht="15">
      <c r="AA2803" s="463" t="s">
        <v>9549</v>
      </c>
      <c r="AB2803" s="462" t="s">
        <v>9550</v>
      </c>
      <c r="AC2803" s="462" t="s">
        <v>9551</v>
      </c>
      <c r="AD2803" s="464">
        <v>80.366820000000004</v>
      </c>
      <c r="AE2803" s="465">
        <v>3.8659300000000001</v>
      </c>
      <c r="AF2803" s="86">
        <f>IF(verze!$E$1="CZK",AD2803,IF(verze!$E$1="SK",AE2803,""))</f>
        <v>3.8659300000000001</v>
      </c>
    </row>
    <row r="2804" spans="27:32" ht="15">
      <c r="AA2804" s="463" t="s">
        <v>9552</v>
      </c>
      <c r="AB2804" s="462" t="s">
        <v>9553</v>
      </c>
      <c r="AC2804" s="462" t="s">
        <v>9554</v>
      </c>
      <c r="AD2804" s="464">
        <v>78.229410000000001</v>
      </c>
      <c r="AE2804" s="465">
        <v>3.6818399999999998</v>
      </c>
      <c r="AF2804" s="86">
        <f>IF(verze!$E$1="CZK",AD2804,IF(verze!$E$1="SK",AE2804,""))</f>
        <v>3.6818399999999998</v>
      </c>
    </row>
    <row r="2805" spans="27:32" ht="15">
      <c r="AA2805" s="463" t="s">
        <v>9555</v>
      </c>
      <c r="AB2805" s="462" t="s">
        <v>9556</v>
      </c>
      <c r="AC2805" s="462" t="s">
        <v>9557</v>
      </c>
      <c r="AD2805" s="464">
        <v>78.229410000000001</v>
      </c>
      <c r="AE2805" s="465">
        <v>3.6818399999999998</v>
      </c>
      <c r="AF2805" s="86">
        <f>IF(verze!$E$1="CZK",AD2805,IF(verze!$E$1="SK",AE2805,""))</f>
        <v>3.6818399999999998</v>
      </c>
    </row>
    <row r="2806" spans="27:32" ht="15">
      <c r="AA2806" s="463" t="s">
        <v>9558</v>
      </c>
      <c r="AB2806" s="462" t="s">
        <v>9559</v>
      </c>
      <c r="AC2806" s="462" t="s">
        <v>9560</v>
      </c>
      <c r="AD2806" s="464">
        <v>83.24973</v>
      </c>
      <c r="AE2806" s="465">
        <v>4.0045999999999999</v>
      </c>
      <c r="AF2806" s="86">
        <f>IF(verze!$E$1="CZK",AD2806,IF(verze!$E$1="SK",AE2806,""))</f>
        <v>4.0045999999999999</v>
      </c>
    </row>
    <row r="2807" spans="27:32" ht="15">
      <c r="AA2807" s="463" t="s">
        <v>9561</v>
      </c>
      <c r="AB2807" s="462" t="s">
        <v>9562</v>
      </c>
      <c r="AC2807" s="462" t="s">
        <v>9563</v>
      </c>
      <c r="AD2807" s="464">
        <v>83.24973</v>
      </c>
      <c r="AE2807" s="465">
        <v>4.0045999999999999</v>
      </c>
      <c r="AF2807" s="86">
        <f>IF(verze!$E$1="CZK",AD2807,IF(verze!$E$1="SK",AE2807,""))</f>
        <v>4.0045999999999999</v>
      </c>
    </row>
    <row r="2808" spans="27:32" ht="15">
      <c r="AA2808" s="463" t="s">
        <v>9564</v>
      </c>
      <c r="AB2808" s="462" t="s">
        <v>9565</v>
      </c>
      <c r="AC2808" s="462" t="s">
        <v>9566</v>
      </c>
      <c r="AD2808" s="464">
        <v>83.24973</v>
      </c>
      <c r="AE2808" s="465">
        <v>4.0045999999999999</v>
      </c>
      <c r="AF2808" s="86">
        <f>IF(verze!$E$1="CZK",AD2808,IF(verze!$E$1="SK",AE2808,""))</f>
        <v>4.0045999999999999</v>
      </c>
    </row>
    <row r="2809" spans="27:32" ht="15">
      <c r="AA2809" s="463" t="s">
        <v>9567</v>
      </c>
      <c r="AB2809" s="462" t="s">
        <v>9568</v>
      </c>
      <c r="AC2809" s="462" t="s">
        <v>9569</v>
      </c>
      <c r="AD2809" s="464">
        <v>83.24973</v>
      </c>
      <c r="AE2809" s="465">
        <v>4.0045999999999999</v>
      </c>
      <c r="AF2809" s="86">
        <f>IF(verze!$E$1="CZK",AD2809,IF(verze!$E$1="SK",AE2809,""))</f>
        <v>4.0045999999999999</v>
      </c>
    </row>
    <row r="2810" spans="27:32" ht="15">
      <c r="AA2810" s="463" t="s">
        <v>9570</v>
      </c>
      <c r="AB2810" s="462" t="s">
        <v>9571</v>
      </c>
      <c r="AC2810" s="462" t="s">
        <v>9572</v>
      </c>
      <c r="AD2810" s="464">
        <v>83.24973</v>
      </c>
      <c r="AE2810" s="465">
        <v>4.0045999999999999</v>
      </c>
      <c r="AF2810" s="86">
        <f>IF(verze!$E$1="CZK",AD2810,IF(verze!$E$1="SK",AE2810,""))</f>
        <v>4.0045999999999999</v>
      </c>
    </row>
    <row r="2811" spans="27:32" ht="15">
      <c r="AA2811" s="463" t="s">
        <v>9573</v>
      </c>
      <c r="AB2811" s="462" t="s">
        <v>9574</v>
      </c>
      <c r="AC2811" s="462" t="s">
        <v>9575</v>
      </c>
      <c r="AD2811" s="464">
        <v>83.24973</v>
      </c>
      <c r="AE2811" s="465">
        <v>4.0045999999999999</v>
      </c>
      <c r="AF2811" s="86">
        <f>IF(verze!$E$1="CZK",AD2811,IF(verze!$E$1="SK",AE2811,""))</f>
        <v>4.0045999999999999</v>
      </c>
    </row>
    <row r="2812" spans="27:32" ht="15">
      <c r="AA2812" s="463" t="s">
        <v>9576</v>
      </c>
      <c r="AB2812" s="462" t="s">
        <v>9577</v>
      </c>
      <c r="AC2812" s="462" t="s">
        <v>9578</v>
      </c>
      <c r="AD2812" s="464">
        <v>89.362210000000005</v>
      </c>
      <c r="AE2812" s="465">
        <v>4.2986399999999998</v>
      </c>
      <c r="AF2812" s="86">
        <f>IF(verze!$E$1="CZK",AD2812,IF(verze!$E$1="SK",AE2812,""))</f>
        <v>4.2986399999999998</v>
      </c>
    </row>
    <row r="2813" spans="27:32" ht="15">
      <c r="AA2813" s="463" t="s">
        <v>9579</v>
      </c>
      <c r="AB2813" s="462" t="s">
        <v>9580</v>
      </c>
      <c r="AC2813" s="462" t="s">
        <v>9581</v>
      </c>
      <c r="AD2813" s="464">
        <v>89.362210000000005</v>
      </c>
      <c r="AE2813" s="465">
        <v>4.2986399999999998</v>
      </c>
      <c r="AF2813" s="86">
        <f>IF(verze!$E$1="CZK",AD2813,IF(verze!$E$1="SK",AE2813,""))</f>
        <v>4.2986399999999998</v>
      </c>
    </row>
    <row r="2814" spans="27:32" ht="15">
      <c r="AA2814" s="463" t="s">
        <v>9582</v>
      </c>
      <c r="AB2814" s="462" t="s">
        <v>9583</v>
      </c>
      <c r="AC2814" s="462" t="s">
        <v>9584</v>
      </c>
      <c r="AD2814" s="464">
        <v>89.362210000000005</v>
      </c>
      <c r="AE2814" s="465">
        <v>4.2986399999999998</v>
      </c>
      <c r="AF2814" s="86">
        <f>IF(verze!$E$1="CZK",AD2814,IF(verze!$E$1="SK",AE2814,""))</f>
        <v>4.2986399999999998</v>
      </c>
    </row>
    <row r="2815" spans="27:32" ht="15">
      <c r="AA2815" s="463" t="s">
        <v>9585</v>
      </c>
      <c r="AB2815" s="462" t="s">
        <v>9586</v>
      </c>
      <c r="AC2815" s="462" t="s">
        <v>9587</v>
      </c>
      <c r="AD2815" s="464">
        <v>89.362210000000005</v>
      </c>
      <c r="AE2815" s="465">
        <v>4.2986399999999998</v>
      </c>
      <c r="AF2815" s="86">
        <f>IF(verze!$E$1="CZK",AD2815,IF(verze!$E$1="SK",AE2815,""))</f>
        <v>4.2986399999999998</v>
      </c>
    </row>
    <row r="2816" spans="27:32" ht="15">
      <c r="AA2816" s="463" t="s">
        <v>9588</v>
      </c>
      <c r="AB2816" s="462" t="s">
        <v>9589</v>
      </c>
      <c r="AC2816" s="462" t="s">
        <v>9590</v>
      </c>
      <c r="AD2816" s="464">
        <v>89.362210000000005</v>
      </c>
      <c r="AE2816" s="465">
        <v>4.2986399999999998</v>
      </c>
      <c r="AF2816" s="86">
        <f>IF(verze!$E$1="CZK",AD2816,IF(verze!$E$1="SK",AE2816,""))</f>
        <v>4.2986399999999998</v>
      </c>
    </row>
    <row r="2817" spans="27:32" ht="15">
      <c r="AA2817" s="463" t="s">
        <v>9591</v>
      </c>
      <c r="AB2817" s="462" t="s">
        <v>9592</v>
      </c>
      <c r="AC2817" s="462" t="s">
        <v>9593</v>
      </c>
      <c r="AD2817" s="464">
        <v>89.362210000000005</v>
      </c>
      <c r="AE2817" s="465">
        <v>4.2986399999999998</v>
      </c>
      <c r="AF2817" s="86">
        <f>IF(verze!$E$1="CZK",AD2817,IF(verze!$E$1="SK",AE2817,""))</f>
        <v>4.2986399999999998</v>
      </c>
    </row>
    <row r="2818" spans="27:32" ht="15">
      <c r="AA2818" s="463" t="s">
        <v>9594</v>
      </c>
      <c r="AB2818" s="462" t="s">
        <v>9595</v>
      </c>
      <c r="AC2818" s="462" t="s">
        <v>9596</v>
      </c>
      <c r="AD2818" s="464">
        <v>408.79584999999997</v>
      </c>
      <c r="AE2818" s="465">
        <v>0</v>
      </c>
      <c r="AF2818" s="86">
        <f>IF(verze!$E$1="CZK",AD2818,IF(verze!$E$1="SK",AE2818,""))</f>
        <v>0</v>
      </c>
    </row>
    <row r="2819" spans="27:32" ht="15">
      <c r="AA2819" s="463" t="s">
        <v>9597</v>
      </c>
      <c r="AB2819" s="462" t="s">
        <v>9598</v>
      </c>
      <c r="AC2819" s="462" t="s">
        <v>9599</v>
      </c>
      <c r="AD2819" s="464">
        <v>481.41084999999998</v>
      </c>
      <c r="AE2819" s="465">
        <v>0</v>
      </c>
      <c r="AF2819" s="86">
        <f>IF(verze!$E$1="CZK",AD2819,IF(verze!$E$1="SK",AE2819,""))</f>
        <v>0</v>
      </c>
    </row>
    <row r="2820" spans="27:32" ht="15">
      <c r="AA2820" s="463" t="s">
        <v>9600</v>
      </c>
      <c r="AB2820" s="462" t="s">
        <v>9601</v>
      </c>
      <c r="AC2820" s="462" t="s">
        <v>9602</v>
      </c>
      <c r="AD2820" s="464">
        <v>537.88840000000005</v>
      </c>
      <c r="AE2820" s="465">
        <v>0</v>
      </c>
      <c r="AF2820" s="86">
        <f>IF(verze!$E$1="CZK",AD2820,IF(verze!$E$1="SK",AE2820,""))</f>
        <v>0</v>
      </c>
    </row>
    <row r="2821" spans="27:32" ht="15">
      <c r="AA2821" s="463" t="s">
        <v>9603</v>
      </c>
      <c r="AB2821" s="462" t="s">
        <v>9604</v>
      </c>
      <c r="AC2821" s="462" t="s">
        <v>9605</v>
      </c>
      <c r="AD2821" s="464">
        <v>462.58415000000002</v>
      </c>
      <c r="AE2821" s="465">
        <v>0</v>
      </c>
      <c r="AF2821" s="86">
        <f>IF(verze!$E$1="CZK",AD2821,IF(verze!$E$1="SK",AE2821,""))</f>
        <v>0</v>
      </c>
    </row>
    <row r="2822" spans="27:32" ht="15">
      <c r="AA2822" s="463" t="s">
        <v>9606</v>
      </c>
      <c r="AB2822" s="462" t="s">
        <v>9607</v>
      </c>
      <c r="AC2822" s="462" t="s">
        <v>9608</v>
      </c>
      <c r="AD2822" s="464">
        <v>510.99414999999999</v>
      </c>
      <c r="AE2822" s="465">
        <v>0</v>
      </c>
      <c r="AF2822" s="86">
        <f>IF(verze!$E$1="CZK",AD2822,IF(verze!$E$1="SK",AE2822,""))</f>
        <v>0</v>
      </c>
    </row>
    <row r="2823" spans="27:32" ht="15">
      <c r="AA2823" s="463" t="s">
        <v>9609</v>
      </c>
      <c r="AB2823" s="462" t="s">
        <v>9610</v>
      </c>
      <c r="AC2823" s="462" t="s">
        <v>9611</v>
      </c>
      <c r="AD2823" s="464">
        <v>632.01914999999997</v>
      </c>
      <c r="AE2823" s="465">
        <v>0</v>
      </c>
      <c r="AF2823" s="86">
        <f>IF(verze!$E$1="CZK",AD2823,IF(verze!$E$1="SK",AE2823,""))</f>
        <v>0</v>
      </c>
    </row>
    <row r="2824" spans="27:32" ht="15">
      <c r="AA2824" s="463" t="s">
        <v>9612</v>
      </c>
      <c r="AB2824" s="462" t="s">
        <v>9613</v>
      </c>
      <c r="AC2824" s="462" t="s">
        <v>9614</v>
      </c>
      <c r="AD2824" s="464">
        <v>632.01914999999997</v>
      </c>
      <c r="AE2824" s="465">
        <v>0</v>
      </c>
      <c r="AF2824" s="86">
        <f>IF(verze!$E$1="CZK",AD2824,IF(verze!$E$1="SK",AE2824,""))</f>
        <v>0</v>
      </c>
    </row>
    <row r="2825" spans="27:32" ht="15">
      <c r="AA2825" s="463" t="s">
        <v>9615</v>
      </c>
      <c r="AB2825" s="462" t="s">
        <v>9616</v>
      </c>
      <c r="AC2825" s="462" t="s">
        <v>9617</v>
      </c>
      <c r="AD2825" s="464">
        <v>435.35154</v>
      </c>
      <c r="AE2825" s="465">
        <v>20.941980000000001</v>
      </c>
      <c r="AF2825" s="86">
        <f>IF(verze!$E$1="CZK",AD2825,IF(verze!$E$1="SK",AE2825,""))</f>
        <v>20.941980000000001</v>
      </c>
    </row>
    <row r="2826" spans="27:32" ht="15">
      <c r="AA2826" s="463" t="s">
        <v>9618</v>
      </c>
      <c r="AB2826" s="462" t="s">
        <v>9619</v>
      </c>
      <c r="AC2826" s="462" t="s">
        <v>9620</v>
      </c>
      <c r="AD2826" s="464">
        <v>435.35154</v>
      </c>
      <c r="AE2826" s="465">
        <v>20.941980000000001</v>
      </c>
      <c r="AF2826" s="86">
        <f>IF(verze!$E$1="CZK",AD2826,IF(verze!$E$1="SK",AE2826,""))</f>
        <v>20.941980000000001</v>
      </c>
    </row>
    <row r="2827" spans="27:32" ht="15">
      <c r="AA2827" s="463" t="s">
        <v>9621</v>
      </c>
      <c r="AB2827" s="462" t="s">
        <v>9622</v>
      </c>
      <c r="AC2827" s="462" t="s">
        <v>9623</v>
      </c>
      <c r="AD2827" s="464">
        <v>435.35154</v>
      </c>
      <c r="AE2827" s="465">
        <v>20.941980000000001</v>
      </c>
      <c r="AF2827" s="86">
        <f>IF(verze!$E$1="CZK",AD2827,IF(verze!$E$1="SK",AE2827,""))</f>
        <v>20.941980000000001</v>
      </c>
    </row>
    <row r="2828" spans="27:32" ht="15">
      <c r="AA2828" s="463" t="s">
        <v>9624</v>
      </c>
      <c r="AB2828" s="462" t="s">
        <v>9625</v>
      </c>
      <c r="AC2828" s="462" t="s">
        <v>9626</v>
      </c>
      <c r="AD2828" s="464">
        <v>444.72309999999999</v>
      </c>
      <c r="AE2828" s="465">
        <v>21.392779999999998</v>
      </c>
      <c r="AF2828" s="86">
        <f>IF(verze!$E$1="CZK",AD2828,IF(verze!$E$1="SK",AE2828,""))</f>
        <v>21.392779999999998</v>
      </c>
    </row>
    <row r="2829" spans="27:32" ht="15">
      <c r="AA2829" s="463" t="s">
        <v>9627</v>
      </c>
      <c r="AB2829" s="462" t="s">
        <v>9628</v>
      </c>
      <c r="AC2829" s="462" t="s">
        <v>9629</v>
      </c>
      <c r="AD2829" s="464">
        <v>444.72309999999999</v>
      </c>
      <c r="AE2829" s="465">
        <v>21.392779999999998</v>
      </c>
      <c r="AF2829" s="86">
        <f>IF(verze!$E$1="CZK",AD2829,IF(verze!$E$1="SK",AE2829,""))</f>
        <v>21.392779999999998</v>
      </c>
    </row>
    <row r="2830" spans="27:32" ht="15">
      <c r="AA2830" s="463" t="s">
        <v>9630</v>
      </c>
      <c r="AB2830" s="462" t="s">
        <v>9631</v>
      </c>
      <c r="AC2830" s="462" t="s">
        <v>9632</v>
      </c>
      <c r="AD2830" s="464">
        <v>444.72309999999999</v>
      </c>
      <c r="AE2830" s="465">
        <v>21.392779999999998</v>
      </c>
      <c r="AF2830" s="86">
        <f>IF(verze!$E$1="CZK",AD2830,IF(verze!$E$1="SK",AE2830,""))</f>
        <v>21.392779999999998</v>
      </c>
    </row>
    <row r="2831" spans="27:32" ht="15">
      <c r="AA2831" s="463" t="s">
        <v>9633</v>
      </c>
      <c r="AB2831" s="462" t="s">
        <v>9634</v>
      </c>
      <c r="AC2831" s="462" t="s">
        <v>9635</v>
      </c>
      <c r="AD2831" s="464">
        <v>454.09185000000002</v>
      </c>
      <c r="AE2831" s="465">
        <v>21.843440000000001</v>
      </c>
      <c r="AF2831" s="86">
        <f>IF(verze!$E$1="CZK",AD2831,IF(verze!$E$1="SK",AE2831,""))</f>
        <v>21.843440000000001</v>
      </c>
    </row>
    <row r="2832" spans="27:32" ht="15">
      <c r="AA2832" s="463" t="s">
        <v>9636</v>
      </c>
      <c r="AB2832" s="462" t="s">
        <v>9637</v>
      </c>
      <c r="AC2832" s="462" t="s">
        <v>9638</v>
      </c>
      <c r="AD2832" s="464">
        <v>454.09185000000002</v>
      </c>
      <c r="AE2832" s="465">
        <v>21.843440000000001</v>
      </c>
      <c r="AF2832" s="86">
        <f>IF(verze!$E$1="CZK",AD2832,IF(verze!$E$1="SK",AE2832,""))</f>
        <v>21.843440000000001</v>
      </c>
    </row>
    <row r="2833" spans="27:32" ht="15">
      <c r="AA2833" s="463" t="s">
        <v>9639</v>
      </c>
      <c r="AB2833" s="462" t="s">
        <v>9640</v>
      </c>
      <c r="AC2833" s="462" t="s">
        <v>9641</v>
      </c>
      <c r="AD2833" s="464">
        <v>454.09185000000002</v>
      </c>
      <c r="AE2833" s="465">
        <v>21.843440000000001</v>
      </c>
      <c r="AF2833" s="86">
        <f>IF(verze!$E$1="CZK",AD2833,IF(verze!$E$1="SK",AE2833,""))</f>
        <v>21.843440000000001</v>
      </c>
    </row>
    <row r="2834" spans="27:32" ht="15">
      <c r="AA2834" s="463" t="s">
        <v>9642</v>
      </c>
      <c r="AB2834" s="462" t="s">
        <v>9643</v>
      </c>
      <c r="AC2834" s="462" t="s">
        <v>9644</v>
      </c>
      <c r="AD2834" s="464">
        <v>463.46332000000001</v>
      </c>
      <c r="AE2834" s="465">
        <v>22.294250000000002</v>
      </c>
      <c r="AF2834" s="86">
        <f>IF(verze!$E$1="CZK",AD2834,IF(verze!$E$1="SK",AE2834,""))</f>
        <v>22.294250000000002</v>
      </c>
    </row>
    <row r="2835" spans="27:32" ht="15">
      <c r="AA2835" s="463" t="s">
        <v>9645</v>
      </c>
      <c r="AB2835" s="462" t="s">
        <v>9646</v>
      </c>
      <c r="AC2835" s="462" t="s">
        <v>9647</v>
      </c>
      <c r="AD2835" s="464">
        <v>463.46332000000001</v>
      </c>
      <c r="AE2835" s="465">
        <v>22.294250000000002</v>
      </c>
      <c r="AF2835" s="86">
        <f>IF(verze!$E$1="CZK",AD2835,IF(verze!$E$1="SK",AE2835,""))</f>
        <v>22.294250000000002</v>
      </c>
    </row>
    <row r="2836" spans="27:32" ht="15">
      <c r="AA2836" s="463" t="s">
        <v>9648</v>
      </c>
      <c r="AB2836" s="462" t="s">
        <v>9649</v>
      </c>
      <c r="AC2836" s="462" t="s">
        <v>9650</v>
      </c>
      <c r="AD2836" s="464">
        <v>463.46332000000001</v>
      </c>
      <c r="AE2836" s="465">
        <v>22.294250000000002</v>
      </c>
      <c r="AF2836" s="86">
        <f>IF(verze!$E$1="CZK",AD2836,IF(verze!$E$1="SK",AE2836,""))</f>
        <v>22.294250000000002</v>
      </c>
    </row>
    <row r="2837" spans="27:32" ht="15">
      <c r="AA2837" s="463" t="s">
        <v>9651</v>
      </c>
      <c r="AB2837" s="462" t="s">
        <v>9652</v>
      </c>
      <c r="AC2837" s="462" t="s">
        <v>9653</v>
      </c>
      <c r="AD2837" s="464">
        <v>482.20353</v>
      </c>
      <c r="AE2837" s="465">
        <v>23.195740000000001</v>
      </c>
      <c r="AF2837" s="86">
        <f>IF(verze!$E$1="CZK",AD2837,IF(verze!$E$1="SK",AE2837,""))</f>
        <v>23.195740000000001</v>
      </c>
    </row>
    <row r="2838" spans="27:32" ht="15">
      <c r="AA2838" s="463" t="s">
        <v>9654</v>
      </c>
      <c r="AB2838" s="462" t="s">
        <v>9655</v>
      </c>
      <c r="AC2838" s="462" t="s">
        <v>9656</v>
      </c>
      <c r="AD2838" s="464">
        <v>482.20353</v>
      </c>
      <c r="AE2838" s="465">
        <v>23.195740000000001</v>
      </c>
      <c r="AF2838" s="86">
        <f>IF(verze!$E$1="CZK",AD2838,IF(verze!$E$1="SK",AE2838,""))</f>
        <v>23.195740000000001</v>
      </c>
    </row>
    <row r="2839" spans="27:32" ht="15">
      <c r="AA2839" s="463" t="s">
        <v>9657</v>
      </c>
      <c r="AB2839" s="462" t="s">
        <v>9658</v>
      </c>
      <c r="AC2839" s="462" t="s">
        <v>9659</v>
      </c>
      <c r="AD2839" s="464">
        <v>482.20353</v>
      </c>
      <c r="AE2839" s="465">
        <v>23.195740000000001</v>
      </c>
      <c r="AF2839" s="86">
        <f>IF(verze!$E$1="CZK",AD2839,IF(verze!$E$1="SK",AE2839,""))</f>
        <v>23.195740000000001</v>
      </c>
    </row>
    <row r="2840" spans="27:32" ht="15">
      <c r="AA2840" s="463" t="s">
        <v>9660</v>
      </c>
      <c r="AB2840" s="462" t="s">
        <v>9661</v>
      </c>
      <c r="AC2840" s="462" t="s">
        <v>9662</v>
      </c>
      <c r="AD2840" s="464">
        <v>723.66404</v>
      </c>
      <c r="AE2840" s="465">
        <v>34.810839999999999</v>
      </c>
      <c r="AF2840" s="86">
        <f>IF(verze!$E$1="CZK",AD2840,IF(verze!$E$1="SK",AE2840,""))</f>
        <v>34.810839999999999</v>
      </c>
    </row>
    <row r="2841" spans="27:32" ht="15">
      <c r="AA2841" s="463" t="s">
        <v>9663</v>
      </c>
      <c r="AB2841" s="462" t="s">
        <v>9664</v>
      </c>
      <c r="AC2841" s="462" t="s">
        <v>9665</v>
      </c>
      <c r="AD2841" s="464">
        <v>723.66404</v>
      </c>
      <c r="AE2841" s="465">
        <v>34.810839999999999</v>
      </c>
      <c r="AF2841" s="86">
        <f>IF(verze!$E$1="CZK",AD2841,IF(verze!$E$1="SK",AE2841,""))</f>
        <v>34.810839999999999</v>
      </c>
    </row>
    <row r="2842" spans="27:32" ht="15">
      <c r="AA2842" s="463" t="s">
        <v>9666</v>
      </c>
      <c r="AB2842" s="462" t="s">
        <v>9667</v>
      </c>
      <c r="AC2842" s="462" t="s">
        <v>9668</v>
      </c>
      <c r="AD2842" s="464">
        <v>723.66404</v>
      </c>
      <c r="AE2842" s="465">
        <v>34.810839999999999</v>
      </c>
      <c r="AF2842" s="86">
        <f>IF(verze!$E$1="CZK",AD2842,IF(verze!$E$1="SK",AE2842,""))</f>
        <v>34.810839999999999</v>
      </c>
    </row>
    <row r="2843" spans="27:32" ht="15">
      <c r="AA2843" s="463" t="s">
        <v>9669</v>
      </c>
      <c r="AB2843" s="462" t="s">
        <v>9670</v>
      </c>
      <c r="AC2843" s="462" t="s">
        <v>9671</v>
      </c>
      <c r="AD2843" s="464">
        <v>733.03548000000001</v>
      </c>
      <c r="AE2843" s="465">
        <v>35.261670000000002</v>
      </c>
      <c r="AF2843" s="86">
        <f>IF(verze!$E$1="CZK",AD2843,IF(verze!$E$1="SK",AE2843,""))</f>
        <v>35.261670000000002</v>
      </c>
    </row>
    <row r="2844" spans="27:32" ht="15">
      <c r="AA2844" s="463" t="s">
        <v>9672</v>
      </c>
      <c r="AB2844" s="462" t="s">
        <v>9673</v>
      </c>
      <c r="AC2844" s="462" t="s">
        <v>9674</v>
      </c>
      <c r="AD2844" s="464">
        <v>733.03548000000001</v>
      </c>
      <c r="AE2844" s="465">
        <v>35.261670000000002</v>
      </c>
      <c r="AF2844" s="86">
        <f>IF(verze!$E$1="CZK",AD2844,IF(verze!$E$1="SK",AE2844,""))</f>
        <v>35.261670000000002</v>
      </c>
    </row>
    <row r="2845" spans="27:32" ht="15">
      <c r="AA2845" s="463" t="s">
        <v>9675</v>
      </c>
      <c r="AB2845" s="462" t="s">
        <v>9676</v>
      </c>
      <c r="AC2845" s="462" t="s">
        <v>9677</v>
      </c>
      <c r="AD2845" s="464">
        <v>733.03548000000001</v>
      </c>
      <c r="AE2845" s="465">
        <v>35.261670000000002</v>
      </c>
      <c r="AF2845" s="86">
        <f>IF(verze!$E$1="CZK",AD2845,IF(verze!$E$1="SK",AE2845,""))</f>
        <v>35.261670000000002</v>
      </c>
    </row>
    <row r="2846" spans="27:32" ht="15">
      <c r="AA2846" s="463" t="s">
        <v>9678</v>
      </c>
      <c r="AB2846" s="462" t="s">
        <v>9679</v>
      </c>
      <c r="AC2846" s="462" t="s">
        <v>9680</v>
      </c>
      <c r="AD2846" s="464">
        <v>742.40425000000005</v>
      </c>
      <c r="AE2846" s="465">
        <v>35.712330000000001</v>
      </c>
      <c r="AF2846" s="86">
        <f>IF(verze!$E$1="CZK",AD2846,IF(verze!$E$1="SK",AE2846,""))</f>
        <v>35.712330000000001</v>
      </c>
    </row>
    <row r="2847" spans="27:32" ht="15">
      <c r="AA2847" s="463" t="s">
        <v>9681</v>
      </c>
      <c r="AB2847" s="462" t="s">
        <v>9682</v>
      </c>
      <c r="AC2847" s="462" t="s">
        <v>9683</v>
      </c>
      <c r="AD2847" s="464">
        <v>742.40425000000005</v>
      </c>
      <c r="AE2847" s="465">
        <v>35.712330000000001</v>
      </c>
      <c r="AF2847" s="86">
        <f>IF(verze!$E$1="CZK",AD2847,IF(verze!$E$1="SK",AE2847,""))</f>
        <v>35.712330000000001</v>
      </c>
    </row>
    <row r="2848" spans="27:32" ht="15">
      <c r="AA2848" s="463" t="s">
        <v>9684</v>
      </c>
      <c r="AB2848" s="462" t="s">
        <v>9685</v>
      </c>
      <c r="AC2848" s="462" t="s">
        <v>9686</v>
      </c>
      <c r="AD2848" s="464">
        <v>742.40425000000005</v>
      </c>
      <c r="AE2848" s="465">
        <v>35.712330000000001</v>
      </c>
      <c r="AF2848" s="86">
        <f>IF(verze!$E$1="CZK",AD2848,IF(verze!$E$1="SK",AE2848,""))</f>
        <v>35.712330000000001</v>
      </c>
    </row>
    <row r="2849" spans="27:32" ht="15">
      <c r="AA2849" s="463" t="s">
        <v>9687</v>
      </c>
      <c r="AB2849" s="462" t="s">
        <v>9688</v>
      </c>
      <c r="AC2849" s="462" t="s">
        <v>9689</v>
      </c>
      <c r="AD2849" s="464">
        <v>751.77570000000003</v>
      </c>
      <c r="AE2849" s="465">
        <v>36.163130000000002</v>
      </c>
      <c r="AF2849" s="86">
        <f>IF(verze!$E$1="CZK",AD2849,IF(verze!$E$1="SK",AE2849,""))</f>
        <v>36.163130000000002</v>
      </c>
    </row>
    <row r="2850" spans="27:32" ht="15">
      <c r="AA2850" s="463" t="s">
        <v>9690</v>
      </c>
      <c r="AB2850" s="462" t="s">
        <v>9691</v>
      </c>
      <c r="AC2850" s="462" t="s">
        <v>9692</v>
      </c>
      <c r="AD2850" s="464">
        <v>751.77570000000003</v>
      </c>
      <c r="AE2850" s="465">
        <v>36.163130000000002</v>
      </c>
      <c r="AF2850" s="86">
        <f>IF(verze!$E$1="CZK",AD2850,IF(verze!$E$1="SK",AE2850,""))</f>
        <v>36.163130000000002</v>
      </c>
    </row>
    <row r="2851" spans="27:32" ht="15">
      <c r="AA2851" s="463" t="s">
        <v>9693</v>
      </c>
      <c r="AB2851" s="462" t="s">
        <v>9694</v>
      </c>
      <c r="AC2851" s="462" t="s">
        <v>9695</v>
      </c>
      <c r="AD2851" s="464">
        <v>751.77570000000003</v>
      </c>
      <c r="AE2851" s="465">
        <v>36.163130000000002</v>
      </c>
      <c r="AF2851" s="86">
        <f>IF(verze!$E$1="CZK",AD2851,IF(verze!$E$1="SK",AE2851,""))</f>
        <v>36.163130000000002</v>
      </c>
    </row>
    <row r="2852" spans="27:32" ht="15">
      <c r="AA2852" s="463" t="s">
        <v>9696</v>
      </c>
      <c r="AB2852" s="462" t="s">
        <v>9697</v>
      </c>
      <c r="AC2852" s="462" t="s">
        <v>9698</v>
      </c>
      <c r="AD2852" s="464">
        <v>770.51603</v>
      </c>
      <c r="AE2852" s="465">
        <v>37.064599999999999</v>
      </c>
      <c r="AF2852" s="86">
        <f>IF(verze!$E$1="CZK",AD2852,IF(verze!$E$1="SK",AE2852,""))</f>
        <v>37.064599999999999</v>
      </c>
    </row>
    <row r="2853" spans="27:32" ht="15">
      <c r="AA2853" s="463" t="s">
        <v>9699</v>
      </c>
      <c r="AB2853" s="462" t="s">
        <v>9700</v>
      </c>
      <c r="AC2853" s="462" t="s">
        <v>9701</v>
      </c>
      <c r="AD2853" s="464">
        <v>770.51603</v>
      </c>
      <c r="AE2853" s="465">
        <v>37.064599999999999</v>
      </c>
      <c r="AF2853" s="86">
        <f>IF(verze!$E$1="CZK",AD2853,IF(verze!$E$1="SK",AE2853,""))</f>
        <v>37.064599999999999</v>
      </c>
    </row>
    <row r="2854" spans="27:32" ht="15">
      <c r="AA2854" s="463" t="s">
        <v>9702</v>
      </c>
      <c r="AB2854" s="462" t="s">
        <v>9703</v>
      </c>
      <c r="AC2854" s="462" t="s">
        <v>9704</v>
      </c>
      <c r="AD2854" s="464">
        <v>770.51603</v>
      </c>
      <c r="AE2854" s="465">
        <v>37.064599999999999</v>
      </c>
      <c r="AF2854" s="86">
        <f>IF(verze!$E$1="CZK",AD2854,IF(verze!$E$1="SK",AE2854,""))</f>
        <v>37.064599999999999</v>
      </c>
    </row>
    <row r="2855" spans="27:32" ht="15">
      <c r="AA2855" s="463" t="s">
        <v>9705</v>
      </c>
      <c r="AB2855" s="462" t="s">
        <v>9706</v>
      </c>
      <c r="AC2855" s="462" t="s">
        <v>9707</v>
      </c>
      <c r="AD2855" s="464">
        <v>415.17117000000002</v>
      </c>
      <c r="AE2855" s="465">
        <v>19.971229999999998</v>
      </c>
      <c r="AF2855" s="86">
        <f>IF(verze!$E$1="CZK",AD2855,IF(verze!$E$1="SK",AE2855,""))</f>
        <v>19.971229999999998</v>
      </c>
    </row>
    <row r="2856" spans="27:32" ht="15">
      <c r="AA2856" s="463" t="s">
        <v>9708</v>
      </c>
      <c r="AB2856" s="462" t="s">
        <v>9709</v>
      </c>
      <c r="AC2856" s="462" t="s">
        <v>9710</v>
      </c>
      <c r="AD2856" s="464">
        <v>415.17117000000002</v>
      </c>
      <c r="AE2856" s="465">
        <v>19.971229999999998</v>
      </c>
      <c r="AF2856" s="86">
        <f>IF(verze!$E$1="CZK",AD2856,IF(verze!$E$1="SK",AE2856,""))</f>
        <v>19.971229999999998</v>
      </c>
    </row>
    <row r="2857" spans="27:32" ht="15">
      <c r="AA2857" s="463" t="s">
        <v>9711</v>
      </c>
      <c r="AB2857" s="462" t="s">
        <v>9712</v>
      </c>
      <c r="AC2857" s="462" t="s">
        <v>9713</v>
      </c>
      <c r="AD2857" s="464">
        <v>415.17117000000002</v>
      </c>
      <c r="AE2857" s="465">
        <v>19.971229999999998</v>
      </c>
      <c r="AF2857" s="86">
        <f>IF(verze!$E$1="CZK",AD2857,IF(verze!$E$1="SK",AE2857,""))</f>
        <v>19.971229999999998</v>
      </c>
    </row>
    <row r="2858" spans="27:32" ht="15">
      <c r="AA2858" s="463" t="s">
        <v>9714</v>
      </c>
      <c r="AB2858" s="462" t="s">
        <v>9715</v>
      </c>
      <c r="AC2858" s="462" t="s">
        <v>9716</v>
      </c>
      <c r="AD2858" s="464">
        <v>565.09320000000002</v>
      </c>
      <c r="AE2858" s="465">
        <v>27.183029999999999</v>
      </c>
      <c r="AF2858" s="86">
        <f>IF(verze!$E$1="CZK",AD2858,IF(verze!$E$1="SK",AE2858,""))</f>
        <v>27.183029999999999</v>
      </c>
    </row>
    <row r="2859" spans="27:32" ht="15">
      <c r="AA2859" s="463" t="s">
        <v>9717</v>
      </c>
      <c r="AB2859" s="462" t="s">
        <v>9718</v>
      </c>
      <c r="AC2859" s="462" t="s">
        <v>9719</v>
      </c>
      <c r="AD2859" s="464">
        <v>565.09320000000002</v>
      </c>
      <c r="AE2859" s="465">
        <v>27.183029999999999</v>
      </c>
      <c r="AF2859" s="86">
        <f>IF(verze!$E$1="CZK",AD2859,IF(verze!$E$1="SK",AE2859,""))</f>
        <v>27.183029999999999</v>
      </c>
    </row>
    <row r="2860" spans="27:32" ht="15">
      <c r="AA2860" s="463" t="s">
        <v>9720</v>
      </c>
      <c r="AB2860" s="462" t="s">
        <v>9721</v>
      </c>
      <c r="AC2860" s="462" t="s">
        <v>9722</v>
      </c>
      <c r="AD2860" s="464">
        <v>565.09320000000002</v>
      </c>
      <c r="AE2860" s="465">
        <v>27.183029999999999</v>
      </c>
      <c r="AF2860" s="86">
        <f>IF(verze!$E$1="CZK",AD2860,IF(verze!$E$1="SK",AE2860,""))</f>
        <v>27.183029999999999</v>
      </c>
    </row>
    <row r="2861" spans="27:32" ht="15">
      <c r="AA2861" s="463" t="s">
        <v>9723</v>
      </c>
      <c r="AB2861" s="462" t="s">
        <v>9724</v>
      </c>
      <c r="AC2861" s="462" t="s">
        <v>9725</v>
      </c>
      <c r="AD2861" s="464">
        <v>691.94989999999996</v>
      </c>
      <c r="AE2861" s="465">
        <v>33.285290000000003</v>
      </c>
      <c r="AF2861" s="86">
        <f>IF(verze!$E$1="CZK",AD2861,IF(verze!$E$1="SK",AE2861,""))</f>
        <v>33.285290000000003</v>
      </c>
    </row>
    <row r="2862" spans="27:32" ht="15">
      <c r="AA2862" s="463" t="s">
        <v>9726</v>
      </c>
      <c r="AB2862" s="462" t="s">
        <v>9727</v>
      </c>
      <c r="AC2862" s="462" t="s">
        <v>9728</v>
      </c>
      <c r="AD2862" s="464">
        <v>691.94989999999996</v>
      </c>
      <c r="AE2862" s="465">
        <v>33.285290000000003</v>
      </c>
      <c r="AF2862" s="86">
        <f>IF(verze!$E$1="CZK",AD2862,IF(verze!$E$1="SK",AE2862,""))</f>
        <v>33.285290000000003</v>
      </c>
    </row>
    <row r="2863" spans="27:32" ht="15">
      <c r="AA2863" s="463" t="s">
        <v>9729</v>
      </c>
      <c r="AB2863" s="462" t="s">
        <v>9730</v>
      </c>
      <c r="AC2863" s="462" t="s">
        <v>9731</v>
      </c>
      <c r="AD2863" s="464">
        <v>691.94989999999996</v>
      </c>
      <c r="AE2863" s="465">
        <v>33.285290000000003</v>
      </c>
      <c r="AF2863" s="86">
        <f>IF(verze!$E$1="CZK",AD2863,IF(verze!$E$1="SK",AE2863,""))</f>
        <v>33.285290000000003</v>
      </c>
    </row>
    <row r="2864" spans="27:32" ht="15">
      <c r="AA2864" s="463" t="s">
        <v>9732</v>
      </c>
      <c r="AB2864" s="462" t="s">
        <v>9733</v>
      </c>
      <c r="AC2864" s="462" t="s">
        <v>9734</v>
      </c>
      <c r="AD2864" s="464">
        <v>703.48366999999996</v>
      </c>
      <c r="AE2864" s="465">
        <v>33.840089999999996</v>
      </c>
      <c r="AF2864" s="86">
        <f>IF(verze!$E$1="CZK",AD2864,IF(verze!$E$1="SK",AE2864,""))</f>
        <v>33.840089999999996</v>
      </c>
    </row>
    <row r="2865" spans="27:32" ht="15">
      <c r="AA2865" s="463" t="s">
        <v>9735</v>
      </c>
      <c r="AB2865" s="462" t="s">
        <v>9736</v>
      </c>
      <c r="AC2865" s="462" t="s">
        <v>9737</v>
      </c>
      <c r="AD2865" s="464">
        <v>715.01534000000004</v>
      </c>
      <c r="AE2865" s="465">
        <v>34.39481</v>
      </c>
      <c r="AF2865" s="86">
        <f>IF(verze!$E$1="CZK",AD2865,IF(verze!$E$1="SK",AE2865,""))</f>
        <v>34.39481</v>
      </c>
    </row>
    <row r="2866" spans="27:32" ht="15">
      <c r="AA2866" s="463" t="s">
        <v>9738</v>
      </c>
      <c r="AB2866" s="462" t="s">
        <v>9739</v>
      </c>
      <c r="AC2866" s="462" t="s">
        <v>9740</v>
      </c>
      <c r="AD2866" s="464">
        <v>726.54911000000004</v>
      </c>
      <c r="AE2866" s="465">
        <v>34.949629999999999</v>
      </c>
      <c r="AF2866" s="86">
        <f>IF(verze!$E$1="CZK",AD2866,IF(verze!$E$1="SK",AE2866,""))</f>
        <v>34.949629999999999</v>
      </c>
    </row>
    <row r="2867" spans="27:32" ht="15">
      <c r="AA2867" s="463" t="s">
        <v>9741</v>
      </c>
      <c r="AB2867" s="462" t="s">
        <v>9742</v>
      </c>
      <c r="AC2867" s="462" t="s">
        <v>9743</v>
      </c>
      <c r="AD2867" s="464">
        <v>738.08069</v>
      </c>
      <c r="AE2867" s="465">
        <v>35.504339999999999</v>
      </c>
      <c r="AF2867" s="86">
        <f>IF(verze!$E$1="CZK",AD2867,IF(verze!$E$1="SK",AE2867,""))</f>
        <v>35.504339999999999</v>
      </c>
    </row>
    <row r="2868" spans="27:32" ht="15">
      <c r="AA2868" s="463" t="s">
        <v>9744</v>
      </c>
      <c r="AB2868" s="462" t="s">
        <v>9745</v>
      </c>
      <c r="AC2868" s="462" t="s">
        <v>9746</v>
      </c>
      <c r="AD2868" s="464">
        <v>761.14612</v>
      </c>
      <c r="AE2868" s="465">
        <v>36.613880000000002</v>
      </c>
      <c r="AF2868" s="86">
        <f>IF(verze!$E$1="CZK",AD2868,IF(verze!$E$1="SK",AE2868,""))</f>
        <v>36.613880000000002</v>
      </c>
    </row>
    <row r="2869" spans="27:32" ht="15">
      <c r="AA2869" s="463" t="s">
        <v>9747</v>
      </c>
      <c r="AB2869" s="462" t="s">
        <v>9748</v>
      </c>
      <c r="AC2869" s="462" t="s">
        <v>9749</v>
      </c>
      <c r="AD2869" s="464">
        <v>772.67780000000005</v>
      </c>
      <c r="AE2869" s="465">
        <v>37.168590000000002</v>
      </c>
      <c r="AF2869" s="86">
        <f>IF(verze!$E$1="CZK",AD2869,IF(verze!$E$1="SK",AE2869,""))</f>
        <v>37.168590000000002</v>
      </c>
    </row>
    <row r="2870" spans="27:32" ht="15">
      <c r="AA2870" s="463" t="s">
        <v>9750</v>
      </c>
      <c r="AB2870" s="462" t="s">
        <v>9751</v>
      </c>
      <c r="AC2870" s="462" t="s">
        <v>9752</v>
      </c>
      <c r="AD2870" s="464">
        <v>772.67780000000005</v>
      </c>
      <c r="AE2870" s="465">
        <v>37.168590000000002</v>
      </c>
      <c r="AF2870" s="86">
        <f>IF(verze!$E$1="CZK",AD2870,IF(verze!$E$1="SK",AE2870,""))</f>
        <v>37.168590000000002</v>
      </c>
    </row>
    <row r="2871" spans="27:32" ht="15">
      <c r="AA2871" s="463" t="s">
        <v>9753</v>
      </c>
      <c r="AB2871" s="462" t="s">
        <v>9754</v>
      </c>
      <c r="AC2871" s="462" t="s">
        <v>9755</v>
      </c>
      <c r="AD2871" s="464">
        <v>772.67780000000005</v>
      </c>
      <c r="AE2871" s="465">
        <v>37.168590000000002</v>
      </c>
      <c r="AF2871" s="86">
        <f>IF(verze!$E$1="CZK",AD2871,IF(verze!$E$1="SK",AE2871,""))</f>
        <v>37.168590000000002</v>
      </c>
    </row>
    <row r="2872" spans="27:32" ht="15">
      <c r="AA2872" s="463" t="s">
        <v>9756</v>
      </c>
      <c r="AB2872" s="462" t="s">
        <v>9757</v>
      </c>
      <c r="AC2872" s="462" t="s">
        <v>9758</v>
      </c>
      <c r="AD2872" s="464">
        <v>784.21155999999996</v>
      </c>
      <c r="AE2872" s="465">
        <v>37.723390000000002</v>
      </c>
      <c r="AF2872" s="86">
        <f>IF(verze!$E$1="CZK",AD2872,IF(verze!$E$1="SK",AE2872,""))</f>
        <v>37.723390000000002</v>
      </c>
    </row>
    <row r="2873" spans="27:32" ht="15">
      <c r="AA2873" s="463" t="s">
        <v>9759</v>
      </c>
      <c r="AB2873" s="462" t="s">
        <v>9760</v>
      </c>
      <c r="AC2873" s="462" t="s">
        <v>9761</v>
      </c>
      <c r="AD2873" s="464">
        <v>795.74324000000001</v>
      </c>
      <c r="AE2873" s="465">
        <v>38.278109999999998</v>
      </c>
      <c r="AF2873" s="86">
        <f>IF(verze!$E$1="CZK",AD2873,IF(verze!$E$1="SK",AE2873,""))</f>
        <v>38.278109999999998</v>
      </c>
    </row>
    <row r="2874" spans="27:32" ht="15">
      <c r="AA2874" s="463" t="s">
        <v>9762</v>
      </c>
      <c r="AB2874" s="462" t="s">
        <v>9763</v>
      </c>
      <c r="AC2874" s="462" t="s">
        <v>9764</v>
      </c>
      <c r="AD2874" s="464">
        <v>807.27481999999998</v>
      </c>
      <c r="AE2874" s="465">
        <v>38.832819999999998</v>
      </c>
      <c r="AF2874" s="86">
        <f>IF(verze!$E$1="CZK",AD2874,IF(verze!$E$1="SK",AE2874,""))</f>
        <v>38.832819999999998</v>
      </c>
    </row>
    <row r="2875" spans="27:32" ht="15">
      <c r="AA2875" s="463" t="s">
        <v>9765</v>
      </c>
      <c r="AB2875" s="462" t="s">
        <v>9766</v>
      </c>
      <c r="AC2875" s="462" t="s">
        <v>9767</v>
      </c>
      <c r="AD2875" s="464">
        <v>818.80867999999998</v>
      </c>
      <c r="AE2875" s="465">
        <v>39.387659999999997</v>
      </c>
      <c r="AF2875" s="86">
        <f>IF(verze!$E$1="CZK",AD2875,IF(verze!$E$1="SK",AE2875,""))</f>
        <v>39.387659999999997</v>
      </c>
    </row>
    <row r="2876" spans="27:32" ht="15">
      <c r="AA2876" s="463" t="s">
        <v>9768</v>
      </c>
      <c r="AB2876" s="462" t="s">
        <v>9769</v>
      </c>
      <c r="AC2876" s="462" t="s">
        <v>9770</v>
      </c>
      <c r="AD2876" s="464">
        <v>265.24705999999998</v>
      </c>
      <c r="AE2876" s="465">
        <v>12.75935</v>
      </c>
      <c r="AF2876" s="86">
        <f>IF(verze!$E$1="CZK",AD2876,IF(verze!$E$1="SK",AE2876,""))</f>
        <v>12.75935</v>
      </c>
    </row>
    <row r="2877" spans="27:32" ht="15">
      <c r="AA2877" s="463" t="s">
        <v>9771</v>
      </c>
      <c r="AB2877" s="462" t="s">
        <v>9772</v>
      </c>
      <c r="AC2877" s="462" t="s">
        <v>9773</v>
      </c>
      <c r="AD2877" s="464">
        <v>5.0457099999999997</v>
      </c>
      <c r="AE2877" s="465">
        <v>0.24271999999999999</v>
      </c>
      <c r="AF2877" s="86">
        <f>IF(verze!$E$1="CZK",AD2877,IF(verze!$E$1="SK",AE2877,""))</f>
        <v>0.24271999999999999</v>
      </c>
    </row>
    <row r="2878" spans="27:32" ht="15">
      <c r="AA2878" s="463" t="s">
        <v>9774</v>
      </c>
      <c r="AB2878" s="462" t="s">
        <v>9775</v>
      </c>
      <c r="AC2878" s="462" t="s">
        <v>9776</v>
      </c>
      <c r="AD2878" s="464">
        <v>5.0457099999999997</v>
      </c>
      <c r="AE2878" s="465">
        <v>0.24271999999999999</v>
      </c>
      <c r="AF2878" s="86">
        <f>IF(verze!$E$1="CZK",AD2878,IF(verze!$E$1="SK",AE2878,""))</f>
        <v>0.24271999999999999</v>
      </c>
    </row>
    <row r="2879" spans="27:32" ht="15">
      <c r="AA2879" s="463" t="s">
        <v>9777</v>
      </c>
      <c r="AB2879" s="462" t="s">
        <v>9778</v>
      </c>
      <c r="AC2879" s="462" t="s">
        <v>9779</v>
      </c>
      <c r="AD2879" s="464">
        <v>23.06596</v>
      </c>
      <c r="AE2879" s="465">
        <v>1.1095600000000001</v>
      </c>
      <c r="AF2879" s="86">
        <f>IF(verze!$E$1="CZK",AD2879,IF(verze!$E$1="SK",AE2879,""))</f>
        <v>1.1095600000000001</v>
      </c>
    </row>
    <row r="2880" spans="27:32" ht="15">
      <c r="AA2880" s="463" t="s">
        <v>9780</v>
      </c>
      <c r="AB2880" s="462" t="s">
        <v>9781</v>
      </c>
      <c r="AC2880" s="462" t="s">
        <v>9782</v>
      </c>
      <c r="AD2880" s="464">
        <v>23.06596</v>
      </c>
      <c r="AE2880" s="465">
        <v>1.1095600000000001</v>
      </c>
      <c r="AF2880" s="86">
        <f>IF(verze!$E$1="CZK",AD2880,IF(verze!$E$1="SK",AE2880,""))</f>
        <v>1.1095600000000001</v>
      </c>
    </row>
    <row r="2881" spans="27:32" ht="15">
      <c r="AA2881" s="463" t="s">
        <v>9783</v>
      </c>
      <c r="AB2881" s="462" t="s">
        <v>9784</v>
      </c>
      <c r="AC2881" s="462" t="s">
        <v>9785</v>
      </c>
      <c r="AD2881" s="464">
        <v>23.06596</v>
      </c>
      <c r="AE2881" s="465">
        <v>1.1095600000000001</v>
      </c>
      <c r="AF2881" s="86">
        <f>IF(verze!$E$1="CZK",AD2881,IF(verze!$E$1="SK",AE2881,""))</f>
        <v>1.1095600000000001</v>
      </c>
    </row>
    <row r="2882" spans="27:32" ht="15">
      <c r="AA2882" s="463" t="s">
        <v>9786</v>
      </c>
      <c r="AB2882" s="462" t="s">
        <v>9787</v>
      </c>
      <c r="AC2882" s="462" t="s">
        <v>9788</v>
      </c>
      <c r="AD2882" s="464">
        <v>5.0457099999999997</v>
      </c>
      <c r="AE2882" s="465">
        <v>0.24271999999999999</v>
      </c>
      <c r="AF2882" s="86">
        <f>IF(verze!$E$1="CZK",AD2882,IF(verze!$E$1="SK",AE2882,""))</f>
        <v>0.24271999999999999</v>
      </c>
    </row>
    <row r="2883" spans="27:32" ht="15">
      <c r="AA2883" s="463" t="s">
        <v>9789</v>
      </c>
      <c r="AB2883" s="462" t="s">
        <v>9790</v>
      </c>
      <c r="AC2883" s="462" t="s">
        <v>9791</v>
      </c>
      <c r="AD2883" s="464">
        <v>5.0457099999999997</v>
      </c>
      <c r="AE2883" s="465">
        <v>0.24271999999999999</v>
      </c>
      <c r="AF2883" s="86">
        <f>IF(verze!$E$1="CZK",AD2883,IF(verze!$E$1="SK",AE2883,""))</f>
        <v>0.24271999999999999</v>
      </c>
    </row>
    <row r="2884" spans="27:32" ht="15">
      <c r="AA2884" s="463" t="s">
        <v>9792</v>
      </c>
      <c r="AB2884" s="462" t="s">
        <v>9793</v>
      </c>
      <c r="AC2884" s="462" t="s">
        <v>9794</v>
      </c>
      <c r="AD2884" s="464">
        <v>23.06596</v>
      </c>
      <c r="AE2884" s="465">
        <v>1.1095600000000001</v>
      </c>
      <c r="AF2884" s="86">
        <f>IF(verze!$E$1="CZK",AD2884,IF(verze!$E$1="SK",AE2884,""))</f>
        <v>1.1095600000000001</v>
      </c>
    </row>
    <row r="2885" spans="27:32" ht="15">
      <c r="AA2885" s="463" t="s">
        <v>9795</v>
      </c>
      <c r="AB2885" s="462" t="s">
        <v>9796</v>
      </c>
      <c r="AC2885" s="462" t="s">
        <v>9797</v>
      </c>
      <c r="AD2885" s="464">
        <v>23.06596</v>
      </c>
      <c r="AE2885" s="465">
        <v>1.1095600000000001</v>
      </c>
      <c r="AF2885" s="86">
        <f>IF(verze!$E$1="CZK",AD2885,IF(verze!$E$1="SK",AE2885,""))</f>
        <v>1.1095600000000001</v>
      </c>
    </row>
    <row r="2886" spans="27:32" ht="15">
      <c r="AA2886" s="463" t="s">
        <v>9798</v>
      </c>
      <c r="AB2886" s="462" t="s">
        <v>9799</v>
      </c>
      <c r="AC2886" s="462" t="s">
        <v>9800</v>
      </c>
      <c r="AD2886" s="464">
        <v>23.06596</v>
      </c>
      <c r="AE2886" s="465">
        <v>1.1095600000000001</v>
      </c>
      <c r="AF2886" s="86">
        <f>IF(verze!$E$1="CZK",AD2886,IF(verze!$E$1="SK",AE2886,""))</f>
        <v>1.1095600000000001</v>
      </c>
    </row>
    <row r="2887" spans="27:32" ht="15">
      <c r="AA2887" s="463" t="s">
        <v>9801</v>
      </c>
      <c r="AB2887" s="462" t="s">
        <v>9802</v>
      </c>
      <c r="AC2887" s="462" t="s">
        <v>9803</v>
      </c>
      <c r="AD2887" s="464">
        <v>18.820150000000002</v>
      </c>
      <c r="AE2887" s="465">
        <v>0.90530999999999995</v>
      </c>
      <c r="AF2887" s="86">
        <f>IF(verze!$E$1="CZK",AD2887,IF(verze!$E$1="SK",AE2887,""))</f>
        <v>0.90530999999999995</v>
      </c>
    </row>
    <row r="2888" spans="27:32" ht="15">
      <c r="AA2888" s="463" t="s">
        <v>9804</v>
      </c>
      <c r="AB2888" s="462" t="s">
        <v>9805</v>
      </c>
      <c r="AC2888" s="462" t="s">
        <v>9806</v>
      </c>
      <c r="AD2888" s="464">
        <v>18.820150000000002</v>
      </c>
      <c r="AE2888" s="465">
        <v>0.90530999999999995</v>
      </c>
      <c r="AF2888" s="86">
        <f>IF(verze!$E$1="CZK",AD2888,IF(verze!$E$1="SK",AE2888,""))</f>
        <v>0.90530999999999995</v>
      </c>
    </row>
    <row r="2889" spans="27:32" ht="15">
      <c r="AA2889" s="463" t="s">
        <v>9807</v>
      </c>
      <c r="AB2889" s="462" t="s">
        <v>9808</v>
      </c>
      <c r="AC2889" s="462" t="s">
        <v>9809</v>
      </c>
      <c r="AD2889" s="464">
        <v>841.87401999999997</v>
      </c>
      <c r="AE2889" s="465">
        <v>40.49718</v>
      </c>
      <c r="AF2889" s="86">
        <f>IF(verze!$E$1="CZK",AD2889,IF(verze!$E$1="SK",AE2889,""))</f>
        <v>40.49718</v>
      </c>
    </row>
    <row r="2890" spans="27:32" ht="15">
      <c r="AA2890" s="463" t="s">
        <v>9810</v>
      </c>
      <c r="AB2890" s="462" t="s">
        <v>9811</v>
      </c>
      <c r="AC2890" s="462" t="s">
        <v>9812</v>
      </c>
      <c r="AD2890" s="464">
        <v>168.95105000000001</v>
      </c>
      <c r="AE2890" s="465">
        <v>8.1271699999999996</v>
      </c>
      <c r="AF2890" s="86">
        <f>IF(verze!$E$1="CZK",AD2890,IF(verze!$E$1="SK",AE2890,""))</f>
        <v>8.1271699999999996</v>
      </c>
    </row>
    <row r="2891" spans="27:32" ht="15">
      <c r="AA2891" s="463" t="s">
        <v>9813</v>
      </c>
      <c r="AB2891" s="462" t="s">
        <v>9814</v>
      </c>
      <c r="AC2891" s="462" t="s">
        <v>9815</v>
      </c>
      <c r="AD2891" s="464">
        <v>168.95105000000001</v>
      </c>
      <c r="AE2891" s="465">
        <v>8.1271699999999996</v>
      </c>
      <c r="AF2891" s="86">
        <f>IF(verze!$E$1="CZK",AD2891,IF(verze!$E$1="SK",AE2891,""))</f>
        <v>8.1271699999999996</v>
      </c>
    </row>
    <row r="2892" spans="27:32" ht="15">
      <c r="AA2892" s="463" t="s">
        <v>9816</v>
      </c>
      <c r="AB2892" s="462" t="s">
        <v>9817</v>
      </c>
      <c r="AC2892" s="462" t="s">
        <v>9818</v>
      </c>
      <c r="AD2892" s="464">
        <v>215.15584999999999</v>
      </c>
      <c r="AE2892" s="465">
        <v>0</v>
      </c>
      <c r="AF2892" s="86">
        <f>IF(verze!$E$1="CZK",AD2892,IF(verze!$E$1="SK",AE2892,""))</f>
        <v>0</v>
      </c>
    </row>
    <row r="2893" spans="27:32" ht="15">
      <c r="AA2893" s="463" t="s">
        <v>9819</v>
      </c>
      <c r="AB2893" s="462" t="s">
        <v>9820</v>
      </c>
      <c r="AC2893" s="462" t="s">
        <v>9821</v>
      </c>
      <c r="AD2893" s="464">
        <v>211.18892</v>
      </c>
      <c r="AE2893" s="465">
        <v>10.158939999999999</v>
      </c>
      <c r="AF2893" s="86">
        <f>IF(verze!$E$1="CZK",AD2893,IF(verze!$E$1="SK",AE2893,""))</f>
        <v>10.158939999999999</v>
      </c>
    </row>
    <row r="2894" spans="27:32" ht="15">
      <c r="AA2894" s="463" t="s">
        <v>9822</v>
      </c>
      <c r="AB2894" s="462" t="s">
        <v>9823</v>
      </c>
      <c r="AC2894" s="462" t="s">
        <v>9824</v>
      </c>
      <c r="AD2894" s="464">
        <v>295.66444000000001</v>
      </c>
      <c r="AE2894" s="465">
        <v>14.22254</v>
      </c>
      <c r="AF2894" s="86">
        <f>IF(verze!$E$1="CZK",AD2894,IF(verze!$E$1="SK",AE2894,""))</f>
        <v>14.22254</v>
      </c>
    </row>
    <row r="2895" spans="27:32" ht="15">
      <c r="AA2895" s="463" t="s">
        <v>9825</v>
      </c>
      <c r="AB2895" s="462" t="s">
        <v>9826</v>
      </c>
      <c r="AC2895" s="462" t="s">
        <v>9827</v>
      </c>
      <c r="AD2895" s="464">
        <v>295.66444000000001</v>
      </c>
      <c r="AE2895" s="465">
        <v>14.22254</v>
      </c>
      <c r="AF2895" s="86">
        <f>IF(verze!$E$1="CZK",AD2895,IF(verze!$E$1="SK",AE2895,""))</f>
        <v>14.22254</v>
      </c>
    </row>
    <row r="2896" spans="27:32" ht="15">
      <c r="AA2896" s="463" t="s">
        <v>9828</v>
      </c>
      <c r="AB2896" s="462" t="s">
        <v>9829</v>
      </c>
      <c r="AC2896" s="462" t="s">
        <v>9830</v>
      </c>
      <c r="AD2896" s="464">
        <v>376.52330000000001</v>
      </c>
      <c r="AE2896" s="465">
        <v>0</v>
      </c>
      <c r="AF2896" s="86">
        <f>IF(verze!$E$1="CZK",AD2896,IF(verze!$E$1="SK",AE2896,""))</f>
        <v>0</v>
      </c>
    </row>
    <row r="2897" spans="27:32" ht="15">
      <c r="AA2897" s="463" t="s">
        <v>9831</v>
      </c>
      <c r="AB2897" s="462" t="s">
        <v>9832</v>
      </c>
      <c r="AC2897" s="462" t="s">
        <v>9833</v>
      </c>
      <c r="AD2897" s="464">
        <v>337.90221000000003</v>
      </c>
      <c r="AE2897" s="465">
        <v>16.25432</v>
      </c>
      <c r="AF2897" s="86">
        <f>IF(verze!$E$1="CZK",AD2897,IF(verze!$E$1="SK",AE2897,""))</f>
        <v>16.25432</v>
      </c>
    </row>
    <row r="2898" spans="27:32" ht="15">
      <c r="AA2898" s="463" t="s">
        <v>9834</v>
      </c>
      <c r="AB2898" s="462" t="s">
        <v>9835</v>
      </c>
      <c r="AC2898" s="462" t="s">
        <v>9836</v>
      </c>
      <c r="AD2898" s="464">
        <v>337.90221000000003</v>
      </c>
      <c r="AE2898" s="465">
        <v>16.25432</v>
      </c>
      <c r="AF2898" s="86">
        <f>IF(verze!$E$1="CZK",AD2898,IF(verze!$E$1="SK",AE2898,""))</f>
        <v>16.25432</v>
      </c>
    </row>
    <row r="2899" spans="27:32" ht="15">
      <c r="AA2899" s="463" t="s">
        <v>9837</v>
      </c>
      <c r="AB2899" s="462" t="s">
        <v>9838</v>
      </c>
      <c r="AC2899" s="462" t="s">
        <v>9839</v>
      </c>
      <c r="AD2899" s="464">
        <v>430.31169999999997</v>
      </c>
      <c r="AE2899" s="465">
        <v>0</v>
      </c>
      <c r="AF2899" s="86">
        <f>IF(verze!$E$1="CZK",AD2899,IF(verze!$E$1="SK",AE2899,""))</f>
        <v>0</v>
      </c>
    </row>
    <row r="2900" spans="27:32" ht="15">
      <c r="AA2900" s="463" t="s">
        <v>9840</v>
      </c>
      <c r="AB2900" s="462" t="s">
        <v>9841</v>
      </c>
      <c r="AC2900" s="462" t="s">
        <v>9842</v>
      </c>
      <c r="AD2900" s="464">
        <v>360.19691</v>
      </c>
      <c r="AE2900" s="465">
        <v>17.32676</v>
      </c>
      <c r="AF2900" s="86">
        <f>IF(verze!$E$1="CZK",AD2900,IF(verze!$E$1="SK",AE2900,""))</f>
        <v>17.32676</v>
      </c>
    </row>
    <row r="2901" spans="27:32" ht="15">
      <c r="AA2901" s="463" t="s">
        <v>9843</v>
      </c>
      <c r="AB2901" s="462" t="s">
        <v>9844</v>
      </c>
      <c r="AC2901" s="462" t="s">
        <v>9845</v>
      </c>
      <c r="AD2901" s="464">
        <v>1928.2896499999999</v>
      </c>
      <c r="AE2901" s="465">
        <v>77.141189999999995</v>
      </c>
      <c r="AF2901" s="86">
        <f>IF(verze!$E$1="CZK",AD2901,IF(verze!$E$1="SK",AE2901,""))</f>
        <v>77.141189999999995</v>
      </c>
    </row>
    <row r="2902" spans="27:32" ht="15">
      <c r="AA2902" s="463" t="s">
        <v>9846</v>
      </c>
      <c r="AB2902" s="462" t="s">
        <v>9847</v>
      </c>
      <c r="AC2902" s="462" t="s">
        <v>9848</v>
      </c>
      <c r="AD2902" s="464">
        <v>0</v>
      </c>
      <c r="AE2902" s="465">
        <v>0</v>
      </c>
      <c r="AF2902" s="86">
        <f>IF(verze!$E$1="CZK",AD2902,IF(verze!$E$1="SK",AE2902,""))</f>
        <v>0</v>
      </c>
    </row>
    <row r="2903" spans="27:32" ht="15">
      <c r="AA2903" s="463" t="s">
        <v>9849</v>
      </c>
      <c r="AB2903" s="462" t="s">
        <v>9850</v>
      </c>
      <c r="AC2903" s="462" t="s">
        <v>9851</v>
      </c>
      <c r="AD2903" s="464">
        <v>351.49630999999999</v>
      </c>
      <c r="AE2903" s="465">
        <v>16.90823</v>
      </c>
      <c r="AF2903" s="86">
        <f>IF(verze!$E$1="CZK",AD2903,IF(verze!$E$1="SK",AE2903,""))</f>
        <v>16.90823</v>
      </c>
    </row>
    <row r="2904" spans="27:32" ht="15">
      <c r="AA2904" s="463" t="s">
        <v>9852</v>
      </c>
      <c r="AB2904" s="462" t="s">
        <v>9853</v>
      </c>
      <c r="AC2904" s="462" t="s">
        <v>9854</v>
      </c>
      <c r="AD2904" s="464">
        <v>351.49630999999999</v>
      </c>
      <c r="AE2904" s="465">
        <v>16.90823</v>
      </c>
      <c r="AF2904" s="86">
        <f>IF(verze!$E$1="CZK",AD2904,IF(verze!$E$1="SK",AE2904,""))</f>
        <v>16.90823</v>
      </c>
    </row>
    <row r="2905" spans="27:32" ht="15">
      <c r="AA2905" s="463" t="s">
        <v>9855</v>
      </c>
      <c r="AB2905" s="462" t="s">
        <v>9856</v>
      </c>
      <c r="AC2905" s="462" t="s">
        <v>9857</v>
      </c>
      <c r="AD2905" s="464">
        <v>347.49597</v>
      </c>
      <c r="AE2905" s="465">
        <v>16.715810000000001</v>
      </c>
      <c r="AF2905" s="86">
        <f>IF(verze!$E$1="CZK",AD2905,IF(verze!$E$1="SK",AE2905,""))</f>
        <v>16.715810000000001</v>
      </c>
    </row>
    <row r="2906" spans="27:32" ht="15">
      <c r="AA2906" s="463" t="s">
        <v>9858</v>
      </c>
      <c r="AB2906" s="462" t="s">
        <v>9859</v>
      </c>
      <c r="AC2906" s="462" t="s">
        <v>9860</v>
      </c>
      <c r="AD2906" s="464">
        <v>347.49597</v>
      </c>
      <c r="AE2906" s="465">
        <v>16.715810000000001</v>
      </c>
      <c r="AF2906" s="86">
        <f>IF(verze!$E$1="CZK",AD2906,IF(verze!$E$1="SK",AE2906,""))</f>
        <v>16.715810000000001</v>
      </c>
    </row>
    <row r="2907" spans="27:32" ht="15">
      <c r="AA2907" s="463" t="s">
        <v>9861</v>
      </c>
      <c r="AB2907" s="462" t="s">
        <v>9862</v>
      </c>
      <c r="AC2907" s="462" t="s">
        <v>9863</v>
      </c>
      <c r="AD2907" s="464">
        <v>347.49597</v>
      </c>
      <c r="AE2907" s="465">
        <v>16.715810000000001</v>
      </c>
      <c r="AF2907" s="86">
        <f>IF(verze!$E$1="CZK",AD2907,IF(verze!$E$1="SK",AE2907,""))</f>
        <v>16.715810000000001</v>
      </c>
    </row>
    <row r="2908" spans="27:32" ht="15">
      <c r="AA2908" s="463" t="s">
        <v>9864</v>
      </c>
      <c r="AB2908" s="462" t="s">
        <v>9865</v>
      </c>
      <c r="AC2908" s="462" t="s">
        <v>9866</v>
      </c>
      <c r="AD2908" s="464">
        <v>347.49597</v>
      </c>
      <c r="AE2908" s="465">
        <v>16.715810000000001</v>
      </c>
      <c r="AF2908" s="86">
        <f>IF(verze!$E$1="CZK",AD2908,IF(verze!$E$1="SK",AE2908,""))</f>
        <v>16.715810000000001</v>
      </c>
    </row>
    <row r="2909" spans="27:32" ht="15">
      <c r="AA2909" s="463" t="s">
        <v>9867</v>
      </c>
      <c r="AB2909" s="462" t="s">
        <v>9868</v>
      </c>
      <c r="AC2909" s="462" t="s">
        <v>9869</v>
      </c>
      <c r="AD2909" s="464">
        <v>341.89519999999999</v>
      </c>
      <c r="AE2909" s="465">
        <v>16.446400000000001</v>
      </c>
      <c r="AF2909" s="86">
        <f>IF(verze!$E$1="CZK",AD2909,IF(verze!$E$1="SK",AE2909,""))</f>
        <v>16.446400000000001</v>
      </c>
    </row>
    <row r="2910" spans="27:32" ht="15">
      <c r="AA2910" s="463" t="s">
        <v>9870</v>
      </c>
      <c r="AB2910" s="462" t="s">
        <v>9871</v>
      </c>
      <c r="AC2910" s="462" t="s">
        <v>9872</v>
      </c>
      <c r="AD2910" s="464">
        <v>341.89519999999999</v>
      </c>
      <c r="AE2910" s="465">
        <v>16.446400000000001</v>
      </c>
      <c r="AF2910" s="86">
        <f>IF(verze!$E$1="CZK",AD2910,IF(verze!$E$1="SK",AE2910,""))</f>
        <v>16.446400000000001</v>
      </c>
    </row>
    <row r="2911" spans="27:32" ht="15">
      <c r="AA2911" s="463" t="s">
        <v>9873</v>
      </c>
      <c r="AB2911" s="462" t="s">
        <v>9874</v>
      </c>
      <c r="AC2911" s="462" t="s">
        <v>9875</v>
      </c>
      <c r="AD2911" s="464">
        <v>341.89519999999999</v>
      </c>
      <c r="AE2911" s="465">
        <v>16.446400000000001</v>
      </c>
      <c r="AF2911" s="86">
        <f>IF(verze!$E$1="CZK",AD2911,IF(verze!$E$1="SK",AE2911,""))</f>
        <v>16.446400000000001</v>
      </c>
    </row>
    <row r="2912" spans="27:32" ht="15">
      <c r="AA2912" s="463" t="s">
        <v>9876</v>
      </c>
      <c r="AB2912" s="462" t="s">
        <v>9877</v>
      </c>
      <c r="AC2912" s="462" t="s">
        <v>9878</v>
      </c>
      <c r="AD2912" s="464">
        <v>341.89519999999999</v>
      </c>
      <c r="AE2912" s="465">
        <v>16.446400000000001</v>
      </c>
      <c r="AF2912" s="86">
        <f>IF(verze!$E$1="CZK",AD2912,IF(verze!$E$1="SK",AE2912,""))</f>
        <v>16.446400000000001</v>
      </c>
    </row>
    <row r="2913" spans="27:32" ht="15">
      <c r="AA2913" s="463" t="s">
        <v>9879</v>
      </c>
      <c r="AB2913" s="462" t="s">
        <v>9880</v>
      </c>
      <c r="AC2913" s="462" t="s">
        <v>9881</v>
      </c>
      <c r="AD2913" s="464">
        <v>341.89519999999999</v>
      </c>
      <c r="AE2913" s="465">
        <v>16.446400000000001</v>
      </c>
      <c r="AF2913" s="86">
        <f>IF(verze!$E$1="CZK",AD2913,IF(verze!$E$1="SK",AE2913,""))</f>
        <v>16.446400000000001</v>
      </c>
    </row>
    <row r="2914" spans="27:32" ht="15">
      <c r="AA2914" s="463" t="s">
        <v>9882</v>
      </c>
      <c r="AB2914" s="462" t="s">
        <v>9883</v>
      </c>
      <c r="AC2914" s="462" t="s">
        <v>9884</v>
      </c>
      <c r="AD2914" s="464">
        <v>341.89519999999999</v>
      </c>
      <c r="AE2914" s="465">
        <v>16.446400000000001</v>
      </c>
      <c r="AF2914" s="86">
        <f>IF(verze!$E$1="CZK",AD2914,IF(verze!$E$1="SK",AE2914,""))</f>
        <v>16.446400000000001</v>
      </c>
    </row>
    <row r="2915" spans="27:32" ht="15">
      <c r="AA2915" s="463" t="s">
        <v>9885</v>
      </c>
      <c r="AB2915" s="462" t="s">
        <v>9886</v>
      </c>
      <c r="AC2915" s="462" t="s">
        <v>9887</v>
      </c>
      <c r="AD2915" s="464">
        <v>341.89519999999999</v>
      </c>
      <c r="AE2915" s="465">
        <v>16.446400000000001</v>
      </c>
      <c r="AF2915" s="86">
        <f>IF(verze!$E$1="CZK",AD2915,IF(verze!$E$1="SK",AE2915,""))</f>
        <v>16.446400000000001</v>
      </c>
    </row>
    <row r="2916" spans="27:32" ht="15">
      <c r="AA2916" s="463" t="s">
        <v>9888</v>
      </c>
      <c r="AB2916" s="462" t="s">
        <v>9889</v>
      </c>
      <c r="AC2916" s="462" t="s">
        <v>9890</v>
      </c>
      <c r="AD2916" s="464">
        <v>341.89519999999999</v>
      </c>
      <c r="AE2916" s="465">
        <v>16.446400000000001</v>
      </c>
      <c r="AF2916" s="86">
        <f>IF(verze!$E$1="CZK",AD2916,IF(verze!$E$1="SK",AE2916,""))</f>
        <v>16.446400000000001</v>
      </c>
    </row>
    <row r="2917" spans="27:32" ht="15">
      <c r="AA2917" s="463" t="s">
        <v>9891</v>
      </c>
      <c r="AB2917" s="462" t="s">
        <v>9892</v>
      </c>
      <c r="AC2917" s="462" t="s">
        <v>9893</v>
      </c>
      <c r="AD2917" s="464">
        <v>355.49655000000001</v>
      </c>
      <c r="AE2917" s="465">
        <v>17.100680000000001</v>
      </c>
      <c r="AF2917" s="86">
        <f>IF(verze!$E$1="CZK",AD2917,IF(verze!$E$1="SK",AE2917,""))</f>
        <v>17.100680000000001</v>
      </c>
    </row>
    <row r="2918" spans="27:32" ht="15">
      <c r="AA2918" s="463" t="s">
        <v>9894</v>
      </c>
      <c r="AB2918" s="462" t="s">
        <v>9895</v>
      </c>
      <c r="AC2918" s="462" t="s">
        <v>9896</v>
      </c>
      <c r="AD2918" s="464">
        <v>355.49655000000001</v>
      </c>
      <c r="AE2918" s="465">
        <v>17.100680000000001</v>
      </c>
      <c r="AF2918" s="86">
        <f>IF(verze!$E$1="CZK",AD2918,IF(verze!$E$1="SK",AE2918,""))</f>
        <v>17.100680000000001</v>
      </c>
    </row>
    <row r="2919" spans="27:32" ht="15">
      <c r="AA2919" s="463" t="s">
        <v>9897</v>
      </c>
      <c r="AB2919" s="462" t="s">
        <v>9898</v>
      </c>
      <c r="AC2919" s="462" t="s">
        <v>9899</v>
      </c>
      <c r="AD2919" s="464">
        <v>355.49655000000001</v>
      </c>
      <c r="AE2919" s="465">
        <v>17.100680000000001</v>
      </c>
      <c r="AF2919" s="86">
        <f>IF(verze!$E$1="CZK",AD2919,IF(verze!$E$1="SK",AE2919,""))</f>
        <v>17.100680000000001</v>
      </c>
    </row>
    <row r="2920" spans="27:32" ht="15">
      <c r="AA2920" s="463" t="s">
        <v>9900</v>
      </c>
      <c r="AB2920" s="462" t="s">
        <v>9901</v>
      </c>
      <c r="AC2920" s="462" t="s">
        <v>9902</v>
      </c>
      <c r="AD2920" s="464">
        <v>355.49655000000001</v>
      </c>
      <c r="AE2920" s="465">
        <v>17.100680000000001</v>
      </c>
      <c r="AF2920" s="86">
        <f>IF(verze!$E$1="CZK",AD2920,IF(verze!$E$1="SK",AE2920,""))</f>
        <v>17.100680000000001</v>
      </c>
    </row>
    <row r="2921" spans="27:32" ht="15">
      <c r="AA2921" s="463" t="s">
        <v>9903</v>
      </c>
      <c r="AB2921" s="462" t="s">
        <v>9904</v>
      </c>
      <c r="AC2921" s="462" t="s">
        <v>9905</v>
      </c>
      <c r="AD2921" s="464">
        <v>363.49712</v>
      </c>
      <c r="AE2921" s="465">
        <v>17.485520000000001</v>
      </c>
      <c r="AF2921" s="86">
        <f>IF(verze!$E$1="CZK",AD2921,IF(verze!$E$1="SK",AE2921,""))</f>
        <v>17.485520000000001</v>
      </c>
    </row>
    <row r="2922" spans="27:32" ht="15">
      <c r="AA2922" s="463" t="s">
        <v>9906</v>
      </c>
      <c r="AB2922" s="462" t="s">
        <v>9907</v>
      </c>
      <c r="AC2922" s="462" t="s">
        <v>9908</v>
      </c>
      <c r="AD2922" s="464">
        <v>363.49712</v>
      </c>
      <c r="AE2922" s="465">
        <v>17.485520000000001</v>
      </c>
      <c r="AF2922" s="86">
        <f>IF(verze!$E$1="CZK",AD2922,IF(verze!$E$1="SK",AE2922,""))</f>
        <v>17.485520000000001</v>
      </c>
    </row>
    <row r="2923" spans="27:32" ht="15">
      <c r="AA2923" s="463" t="s">
        <v>9909</v>
      </c>
      <c r="AB2923" s="462" t="s">
        <v>9910</v>
      </c>
      <c r="AC2923" s="462" t="s">
        <v>9911</v>
      </c>
      <c r="AD2923" s="464">
        <v>2.5228700000000002</v>
      </c>
      <c r="AE2923" s="465">
        <v>0.12136</v>
      </c>
      <c r="AF2923" s="86">
        <f>IF(verze!$E$1="CZK",AD2923,IF(verze!$E$1="SK",AE2923,""))</f>
        <v>0.12136</v>
      </c>
    </row>
    <row r="2924" spans="27:32" ht="15">
      <c r="AA2924" s="463" t="s">
        <v>9912</v>
      </c>
      <c r="AB2924" s="462" t="s">
        <v>9913</v>
      </c>
      <c r="AC2924" s="462" t="s">
        <v>9914</v>
      </c>
      <c r="AD2924" s="464">
        <v>2.5228700000000002</v>
      </c>
      <c r="AE2924" s="465">
        <v>0.12136</v>
      </c>
      <c r="AF2924" s="86">
        <f>IF(verze!$E$1="CZK",AD2924,IF(verze!$E$1="SK",AE2924,""))</f>
        <v>0.12136</v>
      </c>
    </row>
    <row r="2925" spans="27:32" ht="15">
      <c r="AA2925" s="463" t="s">
        <v>9915</v>
      </c>
      <c r="AB2925" s="462" t="s">
        <v>9916</v>
      </c>
      <c r="AC2925" s="462" t="s">
        <v>9917</v>
      </c>
      <c r="AD2925" s="464">
        <v>320.72188999999997</v>
      </c>
      <c r="AE2925" s="465">
        <v>15.42788</v>
      </c>
      <c r="AF2925" s="86">
        <f>IF(verze!$E$1="CZK",AD2925,IF(verze!$E$1="SK",AE2925,""))</f>
        <v>15.42788</v>
      </c>
    </row>
    <row r="2926" spans="27:32" ht="15">
      <c r="AA2926" s="463" t="s">
        <v>9918</v>
      </c>
      <c r="AB2926" s="462" t="s">
        <v>9919</v>
      </c>
      <c r="AC2926" s="462" t="s">
        <v>9920</v>
      </c>
      <c r="AD2926" s="464">
        <v>308.08210000000003</v>
      </c>
      <c r="AE2926" s="465">
        <v>0</v>
      </c>
      <c r="AF2926" s="86">
        <f>IF(verze!$E$1="CZK",AD2926,IF(verze!$E$1="SK",AE2926,""))</f>
        <v>0</v>
      </c>
    </row>
    <row r="2927" spans="27:32" ht="15">
      <c r="AA2927" s="463" t="s">
        <v>9921</v>
      </c>
      <c r="AB2927" s="462" t="s">
        <v>9922</v>
      </c>
      <c r="AC2927" s="462" t="s">
        <v>9923</v>
      </c>
      <c r="AD2927" s="464">
        <v>340.14049999999997</v>
      </c>
      <c r="AE2927" s="465">
        <v>16.361979999999999</v>
      </c>
      <c r="AF2927" s="86">
        <f>IF(verze!$E$1="CZK",AD2927,IF(verze!$E$1="SK",AE2927,""))</f>
        <v>16.361979999999999</v>
      </c>
    </row>
    <row r="2928" spans="27:32" ht="15">
      <c r="AA2928" s="463" t="s">
        <v>9924</v>
      </c>
      <c r="AB2928" s="462" t="s">
        <v>9925</v>
      </c>
      <c r="AC2928" s="462" t="s">
        <v>9926</v>
      </c>
      <c r="AD2928" s="464">
        <v>353.09859</v>
      </c>
      <c r="AE2928" s="465">
        <v>16.985330000000001</v>
      </c>
      <c r="AF2928" s="86">
        <f>IF(verze!$E$1="CZK",AD2928,IF(verze!$E$1="SK",AE2928,""))</f>
        <v>16.985330000000001</v>
      </c>
    </row>
    <row r="2929" spans="27:32" ht="15">
      <c r="AA2929" s="463" t="s">
        <v>9927</v>
      </c>
      <c r="AB2929" s="462" t="s">
        <v>9928</v>
      </c>
      <c r="AC2929" s="462" t="s">
        <v>9929</v>
      </c>
      <c r="AD2929" s="464">
        <v>366.03951999999998</v>
      </c>
      <c r="AE2929" s="465">
        <v>17.60783</v>
      </c>
      <c r="AF2929" s="86">
        <f>IF(verze!$E$1="CZK",AD2929,IF(verze!$E$1="SK",AE2929,""))</f>
        <v>17.60783</v>
      </c>
    </row>
    <row r="2930" spans="27:32" ht="15">
      <c r="AA2930" s="463" t="s">
        <v>9930</v>
      </c>
      <c r="AB2930" s="462" t="s">
        <v>9931</v>
      </c>
      <c r="AC2930" s="462" t="s">
        <v>9932</v>
      </c>
      <c r="AD2930" s="464">
        <v>353.09859</v>
      </c>
      <c r="AE2930" s="465">
        <v>16.985330000000001</v>
      </c>
      <c r="AF2930" s="86">
        <f>IF(verze!$E$1="CZK",AD2930,IF(verze!$E$1="SK",AE2930,""))</f>
        <v>16.985330000000001</v>
      </c>
    </row>
    <row r="2931" spans="27:32" ht="15">
      <c r="AA2931" s="463" t="s">
        <v>9933</v>
      </c>
      <c r="AB2931" s="462" t="s">
        <v>9934</v>
      </c>
      <c r="AC2931" s="462" t="s">
        <v>9935</v>
      </c>
      <c r="AD2931" s="464">
        <v>391.93004999999999</v>
      </c>
      <c r="AE2931" s="465">
        <v>18.853249999999999</v>
      </c>
      <c r="AF2931" s="86">
        <f>IF(verze!$E$1="CZK",AD2931,IF(verze!$E$1="SK",AE2931,""))</f>
        <v>18.853249999999999</v>
      </c>
    </row>
    <row r="2932" spans="27:32" ht="15">
      <c r="AA2932" s="463" t="s">
        <v>9936</v>
      </c>
      <c r="AB2932" s="462" t="s">
        <v>9937</v>
      </c>
      <c r="AC2932" s="462" t="s">
        <v>9938</v>
      </c>
      <c r="AD2932" s="464">
        <v>250.10445000000001</v>
      </c>
      <c r="AE2932" s="465">
        <v>12.030939999999999</v>
      </c>
      <c r="AF2932" s="86">
        <f>IF(verze!$E$1="CZK",AD2932,IF(verze!$E$1="SK",AE2932,""))</f>
        <v>12.030939999999999</v>
      </c>
    </row>
    <row r="2933" spans="27:32" ht="15">
      <c r="AA2933" s="463" t="s">
        <v>9939</v>
      </c>
      <c r="AB2933" s="462" t="s">
        <v>9940</v>
      </c>
      <c r="AC2933" s="462" t="s">
        <v>9941</v>
      </c>
      <c r="AD2933" s="464">
        <v>269.52586000000002</v>
      </c>
      <c r="AE2933" s="465">
        <v>12.965170000000001</v>
      </c>
      <c r="AF2933" s="86">
        <f>IF(verze!$E$1="CZK",AD2933,IF(verze!$E$1="SK",AE2933,""))</f>
        <v>12.965170000000001</v>
      </c>
    </row>
    <row r="2934" spans="27:32" ht="15">
      <c r="AA2934" s="463" t="s">
        <v>9942</v>
      </c>
      <c r="AB2934" s="462" t="s">
        <v>9943</v>
      </c>
      <c r="AC2934" s="462" t="s">
        <v>9944</v>
      </c>
      <c r="AD2934" s="464">
        <v>269.52586000000002</v>
      </c>
      <c r="AE2934" s="465">
        <v>12.965170000000001</v>
      </c>
      <c r="AF2934" s="86">
        <f>IF(verze!$E$1="CZK",AD2934,IF(verze!$E$1="SK",AE2934,""))</f>
        <v>12.965170000000001</v>
      </c>
    </row>
    <row r="2935" spans="27:32" ht="15">
      <c r="AA2935" s="463" t="s">
        <v>9945</v>
      </c>
      <c r="AB2935" s="462" t="s">
        <v>9946</v>
      </c>
      <c r="AC2935" s="462" t="s">
        <v>9947</v>
      </c>
      <c r="AD2935" s="464">
        <v>282.46967999999998</v>
      </c>
      <c r="AE2935" s="465">
        <v>13.587820000000001</v>
      </c>
      <c r="AF2935" s="86">
        <f>IF(verze!$E$1="CZK",AD2935,IF(verze!$E$1="SK",AE2935,""))</f>
        <v>13.587820000000001</v>
      </c>
    </row>
    <row r="2936" spans="27:32" ht="15">
      <c r="AA2936" s="463" t="s">
        <v>9948</v>
      </c>
      <c r="AB2936" s="462" t="s">
        <v>9949</v>
      </c>
      <c r="AC2936" s="462" t="s">
        <v>9950</v>
      </c>
      <c r="AD2936" s="464">
        <v>282.46967999999998</v>
      </c>
      <c r="AE2936" s="465">
        <v>13.587820000000001</v>
      </c>
      <c r="AF2936" s="86">
        <f>IF(verze!$E$1="CZK",AD2936,IF(verze!$E$1="SK",AE2936,""))</f>
        <v>13.587820000000001</v>
      </c>
    </row>
    <row r="2937" spans="27:32" ht="15">
      <c r="AA2937" s="463" t="s">
        <v>9951</v>
      </c>
      <c r="AB2937" s="462" t="s">
        <v>9952</v>
      </c>
      <c r="AC2937" s="462" t="s">
        <v>9953</v>
      </c>
      <c r="AD2937" s="464">
        <v>295.41928999999999</v>
      </c>
      <c r="AE2937" s="465">
        <v>14.210739999999999</v>
      </c>
      <c r="AF2937" s="86">
        <f>IF(verze!$E$1="CZK",AD2937,IF(verze!$E$1="SK",AE2937,""))</f>
        <v>14.210739999999999</v>
      </c>
    </row>
    <row r="2938" spans="27:32" ht="15">
      <c r="AA2938" s="463" t="s">
        <v>9954</v>
      </c>
      <c r="AB2938" s="462" t="s">
        <v>9955</v>
      </c>
      <c r="AC2938" s="462" t="s">
        <v>9956</v>
      </c>
      <c r="AD2938" s="464">
        <v>308.36311000000001</v>
      </c>
      <c r="AE2938" s="465">
        <v>14.83337</v>
      </c>
      <c r="AF2938" s="86">
        <f>IF(verze!$E$1="CZK",AD2938,IF(verze!$E$1="SK",AE2938,""))</f>
        <v>14.83337</v>
      </c>
    </row>
    <row r="2939" spans="27:32" ht="15">
      <c r="AA2939" s="463" t="s">
        <v>9957</v>
      </c>
      <c r="AB2939" s="462" t="s">
        <v>9958</v>
      </c>
      <c r="AC2939" s="462" t="s">
        <v>9959</v>
      </c>
      <c r="AD2939" s="464">
        <v>308.36311000000001</v>
      </c>
      <c r="AE2939" s="465">
        <v>14.83337</v>
      </c>
      <c r="AF2939" s="86">
        <f>IF(verze!$E$1="CZK",AD2939,IF(verze!$E$1="SK",AE2939,""))</f>
        <v>14.83337</v>
      </c>
    </row>
    <row r="2940" spans="27:32" ht="15">
      <c r="AA2940" s="463" t="s">
        <v>9960</v>
      </c>
      <c r="AB2940" s="462" t="s">
        <v>9961</v>
      </c>
      <c r="AC2940" s="462" t="s">
        <v>9962</v>
      </c>
      <c r="AD2940" s="464">
        <v>321.30971</v>
      </c>
      <c r="AE2940" s="465">
        <v>15.45617</v>
      </c>
      <c r="AF2940" s="86">
        <f>IF(verze!$E$1="CZK",AD2940,IF(verze!$E$1="SK",AE2940,""))</f>
        <v>15.45617</v>
      </c>
    </row>
    <row r="2941" spans="27:32" ht="15">
      <c r="AA2941" s="463" t="s">
        <v>9963</v>
      </c>
      <c r="AB2941" s="462" t="s">
        <v>9964</v>
      </c>
      <c r="AC2941" s="462" t="s">
        <v>9965</v>
      </c>
      <c r="AD2941" s="464">
        <v>271.28944999999999</v>
      </c>
      <c r="AE2941" s="465">
        <v>13.05001</v>
      </c>
      <c r="AF2941" s="86">
        <f>IF(verze!$E$1="CZK",AD2941,IF(verze!$E$1="SK",AE2941,""))</f>
        <v>13.05001</v>
      </c>
    </row>
    <row r="2942" spans="27:32" ht="15">
      <c r="AA2942" s="463" t="s">
        <v>9966</v>
      </c>
      <c r="AB2942" s="462" t="s">
        <v>9967</v>
      </c>
      <c r="AC2942" s="462" t="s">
        <v>9968</v>
      </c>
      <c r="AD2942" s="464">
        <v>316.5985</v>
      </c>
      <c r="AE2942" s="465">
        <v>15.22954</v>
      </c>
      <c r="AF2942" s="86">
        <f>IF(verze!$E$1="CZK",AD2942,IF(verze!$E$1="SK",AE2942,""))</f>
        <v>15.22954</v>
      </c>
    </row>
    <row r="2943" spans="27:32" ht="15">
      <c r="AA2943" s="463" t="s">
        <v>9969</v>
      </c>
      <c r="AB2943" s="462" t="s">
        <v>9970</v>
      </c>
      <c r="AC2943" s="462" t="s">
        <v>9971</v>
      </c>
      <c r="AD2943" s="464">
        <v>306.37761999999998</v>
      </c>
      <c r="AE2943" s="465">
        <v>0</v>
      </c>
      <c r="AF2943" s="86">
        <f>IF(verze!$E$1="CZK",AD2943,IF(verze!$E$1="SK",AE2943,""))</f>
        <v>0</v>
      </c>
    </row>
    <row r="2944" spans="27:32" ht="15">
      <c r="AA2944" s="463" t="s">
        <v>9972</v>
      </c>
      <c r="AB2944" s="462" t="s">
        <v>9973</v>
      </c>
      <c r="AC2944" s="462" t="s">
        <v>9974</v>
      </c>
      <c r="AD2944" s="464">
        <v>329.55659000000003</v>
      </c>
      <c r="AE2944" s="465">
        <v>15.852880000000001</v>
      </c>
      <c r="AF2944" s="86">
        <f>IF(verze!$E$1="CZK",AD2944,IF(verze!$E$1="SK",AE2944,""))</f>
        <v>15.852880000000001</v>
      </c>
    </row>
    <row r="2945" spans="27:32" ht="15">
      <c r="AA2945" s="463" t="s">
        <v>9975</v>
      </c>
      <c r="AB2945" s="462" t="s">
        <v>9976</v>
      </c>
      <c r="AC2945" s="462" t="s">
        <v>9977</v>
      </c>
      <c r="AD2945" s="464">
        <v>342.49752000000001</v>
      </c>
      <c r="AE2945" s="465">
        <v>16.475380000000001</v>
      </c>
      <c r="AF2945" s="86">
        <f>IF(verze!$E$1="CZK",AD2945,IF(verze!$E$1="SK",AE2945,""))</f>
        <v>16.475380000000001</v>
      </c>
    </row>
    <row r="2946" spans="27:32" ht="15">
      <c r="AA2946" s="463" t="s">
        <v>9978</v>
      </c>
      <c r="AB2946" s="462" t="s">
        <v>9979</v>
      </c>
      <c r="AC2946" s="462" t="s">
        <v>9980</v>
      </c>
      <c r="AD2946" s="464">
        <v>355.44423</v>
      </c>
      <c r="AE2946" s="465">
        <v>17.098140000000001</v>
      </c>
      <c r="AF2946" s="86">
        <f>IF(verze!$E$1="CZK",AD2946,IF(verze!$E$1="SK",AE2946,""))</f>
        <v>17.098140000000001</v>
      </c>
    </row>
    <row r="2947" spans="27:32" ht="15">
      <c r="AA2947" s="463" t="s">
        <v>9981</v>
      </c>
      <c r="AB2947" s="462" t="s">
        <v>9982</v>
      </c>
      <c r="AC2947" s="462" t="s">
        <v>9983</v>
      </c>
      <c r="AD2947" s="464">
        <v>368.38805000000002</v>
      </c>
      <c r="AE2947" s="465">
        <v>17.72081</v>
      </c>
      <c r="AF2947" s="86">
        <f>IF(verze!$E$1="CZK",AD2947,IF(verze!$E$1="SK",AE2947,""))</f>
        <v>17.72081</v>
      </c>
    </row>
    <row r="2948" spans="27:32" ht="15">
      <c r="AA2948" s="463" t="s">
        <v>9984</v>
      </c>
      <c r="AB2948" s="462" t="s">
        <v>9985</v>
      </c>
      <c r="AC2948" s="462" t="s">
        <v>9986</v>
      </c>
      <c r="AD2948" s="464">
        <v>344.26098999999999</v>
      </c>
      <c r="AE2948" s="465">
        <v>16.560199999999998</v>
      </c>
      <c r="AF2948" s="86">
        <f>IF(verze!$E$1="CZK",AD2948,IF(verze!$E$1="SK",AE2948,""))</f>
        <v>16.560199999999998</v>
      </c>
    </row>
    <row r="2949" spans="27:32" ht="15">
      <c r="AA2949" s="463" t="s">
        <v>9987</v>
      </c>
      <c r="AB2949" s="462" t="s">
        <v>9988</v>
      </c>
      <c r="AC2949" s="462" t="s">
        <v>9989</v>
      </c>
      <c r="AD2949" s="464">
        <v>363.68529999999998</v>
      </c>
      <c r="AE2949" s="465">
        <v>17.494579999999999</v>
      </c>
      <c r="AF2949" s="86">
        <f>IF(verze!$E$1="CZK",AD2949,IF(verze!$E$1="SK",AE2949,""))</f>
        <v>17.494579999999999</v>
      </c>
    </row>
    <row r="2950" spans="27:32" ht="15">
      <c r="AA2950" s="463" t="s">
        <v>9990</v>
      </c>
      <c r="AB2950" s="462" t="s">
        <v>9991</v>
      </c>
      <c r="AC2950" s="462" t="s">
        <v>9992</v>
      </c>
      <c r="AD2950" s="464">
        <v>351.94414</v>
      </c>
      <c r="AE2950" s="465">
        <v>0</v>
      </c>
      <c r="AF2950" s="86">
        <f>IF(verze!$E$1="CZK",AD2950,IF(verze!$E$1="SK",AE2950,""))</f>
        <v>0</v>
      </c>
    </row>
    <row r="2951" spans="27:32" ht="15">
      <c r="AA2951" s="463" t="s">
        <v>9993</v>
      </c>
      <c r="AB2951" s="462" t="s">
        <v>9994</v>
      </c>
      <c r="AC2951" s="462" t="s">
        <v>9995</v>
      </c>
      <c r="AD2951" s="464">
        <v>376.62344999999999</v>
      </c>
      <c r="AE2951" s="465">
        <v>18.116949999999999</v>
      </c>
      <c r="AF2951" s="86">
        <f>IF(verze!$E$1="CZK",AD2951,IF(verze!$E$1="SK",AE2951,""))</f>
        <v>18.116949999999999</v>
      </c>
    </row>
    <row r="2952" spans="27:32" ht="15">
      <c r="AA2952" s="463" t="s">
        <v>9996</v>
      </c>
      <c r="AB2952" s="462" t="s">
        <v>9997</v>
      </c>
      <c r="AC2952" s="462" t="s">
        <v>9998</v>
      </c>
      <c r="AD2952" s="464">
        <v>389.58431999999999</v>
      </c>
      <c r="AE2952" s="465">
        <v>18.740400000000001</v>
      </c>
      <c r="AF2952" s="86">
        <f>IF(verze!$E$1="CZK",AD2952,IF(verze!$E$1="SK",AE2952,""))</f>
        <v>18.740400000000001</v>
      </c>
    </row>
    <row r="2953" spans="27:32" ht="15">
      <c r="AA2953" s="463" t="s">
        <v>9999</v>
      </c>
      <c r="AB2953" s="462" t="s">
        <v>10000</v>
      </c>
      <c r="AC2953" s="462" t="s">
        <v>10001</v>
      </c>
      <c r="AD2953" s="464">
        <v>389.58431999999999</v>
      </c>
      <c r="AE2953" s="465">
        <v>18.740400000000001</v>
      </c>
      <c r="AF2953" s="86">
        <f>IF(verze!$E$1="CZK",AD2953,IF(verze!$E$1="SK",AE2953,""))</f>
        <v>18.740400000000001</v>
      </c>
    </row>
    <row r="2954" spans="27:32" ht="15">
      <c r="AA2954" s="463" t="s">
        <v>10002</v>
      </c>
      <c r="AB2954" s="462" t="s">
        <v>10003</v>
      </c>
      <c r="AC2954" s="462" t="s">
        <v>10004</v>
      </c>
      <c r="AD2954" s="464">
        <v>402.52812999999998</v>
      </c>
      <c r="AE2954" s="465">
        <v>19.363050000000001</v>
      </c>
      <c r="AF2954" s="86">
        <f>IF(verze!$E$1="CZK",AD2954,IF(verze!$E$1="SK",AE2954,""))</f>
        <v>19.363050000000001</v>
      </c>
    </row>
    <row r="2955" spans="27:32" ht="15">
      <c r="AA2955" s="463" t="s">
        <v>10005</v>
      </c>
      <c r="AB2955" s="462" t="s">
        <v>10006</v>
      </c>
      <c r="AC2955" s="462" t="s">
        <v>10007</v>
      </c>
      <c r="AD2955" s="464">
        <v>415.46346999999997</v>
      </c>
      <c r="AE2955" s="465">
        <v>19.985299999999999</v>
      </c>
      <c r="AF2955" s="86">
        <f>IF(verze!$E$1="CZK",AD2955,IF(verze!$E$1="SK",AE2955,""))</f>
        <v>19.985299999999999</v>
      </c>
    </row>
    <row r="2956" spans="27:32" ht="15">
      <c r="AA2956" s="463" t="s">
        <v>10008</v>
      </c>
      <c r="AB2956" s="462" t="s">
        <v>10009</v>
      </c>
      <c r="AC2956" s="462" t="s">
        <v>10010</v>
      </c>
      <c r="AD2956" s="464">
        <v>504.92018999999999</v>
      </c>
      <c r="AE2956" s="465">
        <v>24.28847</v>
      </c>
      <c r="AF2956" s="86">
        <f>IF(verze!$E$1="CZK",AD2956,IF(verze!$E$1="SK",AE2956,""))</f>
        <v>24.28847</v>
      </c>
    </row>
    <row r="2957" spans="27:32" ht="15">
      <c r="AA2957" s="463" t="s">
        <v>10011</v>
      </c>
      <c r="AB2957" s="462" t="s">
        <v>10012</v>
      </c>
      <c r="AC2957" s="462" t="s">
        <v>10013</v>
      </c>
      <c r="AD2957" s="464">
        <v>517.86401000000001</v>
      </c>
      <c r="AE2957" s="465">
        <v>24.91112</v>
      </c>
      <c r="AF2957" s="86">
        <f>IF(verze!$E$1="CZK",AD2957,IF(verze!$E$1="SK",AE2957,""))</f>
        <v>24.91112</v>
      </c>
    </row>
    <row r="2958" spans="27:32" ht="15">
      <c r="AA2958" s="463" t="s">
        <v>10014</v>
      </c>
      <c r="AB2958" s="462" t="s">
        <v>10015</v>
      </c>
      <c r="AC2958" s="462" t="s">
        <v>10016</v>
      </c>
      <c r="AD2958" s="464">
        <v>501.14476000000002</v>
      </c>
      <c r="AE2958" s="465">
        <v>0</v>
      </c>
      <c r="AF2958" s="86">
        <f>IF(verze!$E$1="CZK",AD2958,IF(verze!$E$1="SK",AE2958,""))</f>
        <v>0</v>
      </c>
    </row>
    <row r="2959" spans="27:32" ht="15">
      <c r="AA2959" s="463" t="s">
        <v>10017</v>
      </c>
      <c r="AB2959" s="462" t="s">
        <v>10018</v>
      </c>
      <c r="AC2959" s="462" t="s">
        <v>10019</v>
      </c>
      <c r="AD2959" s="464">
        <v>530.81062999999995</v>
      </c>
      <c r="AE2959" s="465">
        <v>25.533899999999999</v>
      </c>
      <c r="AF2959" s="86">
        <f>IF(verze!$E$1="CZK",AD2959,IF(verze!$E$1="SK",AE2959,""))</f>
        <v>25.533899999999999</v>
      </c>
    </row>
    <row r="2960" spans="27:32" ht="15">
      <c r="AA2960" s="463" t="s">
        <v>10020</v>
      </c>
      <c r="AB2960" s="462" t="s">
        <v>10021</v>
      </c>
      <c r="AC2960" s="462" t="s">
        <v>10022</v>
      </c>
      <c r="AD2960" s="464">
        <v>543.76301999999998</v>
      </c>
      <c r="AE2960" s="465">
        <v>26.156970000000001</v>
      </c>
      <c r="AF2960" s="86">
        <f>IF(verze!$E$1="CZK",AD2960,IF(verze!$E$1="SK",AE2960,""))</f>
        <v>26.156970000000001</v>
      </c>
    </row>
    <row r="2961" spans="27:32" ht="15">
      <c r="AA2961" s="463" t="s">
        <v>10023</v>
      </c>
      <c r="AB2961" s="462" t="s">
        <v>10024</v>
      </c>
      <c r="AC2961" s="462" t="s">
        <v>10025</v>
      </c>
      <c r="AD2961" s="464">
        <v>556.70115999999996</v>
      </c>
      <c r="AE2961" s="465">
        <v>26.779330000000002</v>
      </c>
      <c r="AF2961" s="86">
        <f>IF(verze!$E$1="CZK",AD2961,IF(verze!$E$1="SK",AE2961,""))</f>
        <v>26.779330000000002</v>
      </c>
    </row>
    <row r="2962" spans="27:32" ht="15">
      <c r="AA2962" s="463" t="s">
        <v>10026</v>
      </c>
      <c r="AB2962" s="462" t="s">
        <v>10027</v>
      </c>
      <c r="AC2962" s="462" t="s">
        <v>10028</v>
      </c>
      <c r="AD2962" s="464">
        <v>4244.7943800000003</v>
      </c>
      <c r="AE2962" s="465">
        <v>169.81290000000001</v>
      </c>
      <c r="AF2962" s="86">
        <f>IF(verze!$E$1="CZK",AD2962,IF(verze!$E$1="SK",AE2962,""))</f>
        <v>169.81290000000001</v>
      </c>
    </row>
    <row r="2963" spans="27:32" ht="15">
      <c r="AA2963" s="463" t="s">
        <v>10026</v>
      </c>
      <c r="AB2963" s="462" t="s">
        <v>10029</v>
      </c>
      <c r="AC2963" s="462" t="s">
        <v>10030</v>
      </c>
      <c r="AD2963" s="464">
        <v>1604.83905</v>
      </c>
      <c r="AE2963" s="465">
        <v>64.37697</v>
      </c>
      <c r="AF2963" s="86">
        <f>IF(verze!$E$1="CZK",AD2963,IF(verze!$E$1="SK",AE2963,""))</f>
        <v>64.37697</v>
      </c>
    </row>
    <row r="2964" spans="27:32" ht="15">
      <c r="AA2964" s="463" t="s">
        <v>10031</v>
      </c>
      <c r="AB2964" s="462" t="s">
        <v>10032</v>
      </c>
      <c r="AC2964" s="462" t="s">
        <v>10033</v>
      </c>
      <c r="AD2964" s="464">
        <v>3127.0683899999999</v>
      </c>
      <c r="AE2964" s="465">
        <v>125.09831</v>
      </c>
      <c r="AF2964" s="86">
        <f>IF(verze!$E$1="CZK",AD2964,IF(verze!$E$1="SK",AE2964,""))</f>
        <v>125.09831</v>
      </c>
    </row>
    <row r="2965" spans="27:32" ht="15">
      <c r="AA2965" s="463" t="s">
        <v>10034</v>
      </c>
      <c r="AB2965" s="462" t="s">
        <v>10035</v>
      </c>
      <c r="AC2965" s="462" t="s">
        <v>10036</v>
      </c>
      <c r="AD2965" s="464">
        <v>403.56200999999999</v>
      </c>
      <c r="AE2965" s="465">
        <v>15.533440000000001</v>
      </c>
      <c r="AF2965" s="86">
        <f>IF(verze!$E$1="CZK",AD2965,IF(verze!$E$1="SK",AE2965,""))</f>
        <v>15.533440000000001</v>
      </c>
    </row>
    <row r="2966" spans="27:32" ht="15">
      <c r="AA2966" s="463" t="s">
        <v>10037</v>
      </c>
      <c r="AB2966" s="462" t="s">
        <v>10038</v>
      </c>
      <c r="AC2966" s="462" t="s">
        <v>10039</v>
      </c>
      <c r="AD2966" s="464">
        <v>21.913350000000001</v>
      </c>
      <c r="AE2966" s="465">
        <v>0.89873999999999998</v>
      </c>
      <c r="AF2966" s="86">
        <f>IF(verze!$E$1="CZK",AD2966,IF(verze!$E$1="SK",AE2966,""))</f>
        <v>0.89873999999999998</v>
      </c>
    </row>
    <row r="2967" spans="27:32" ht="15">
      <c r="AA2967" s="463" t="s">
        <v>10040</v>
      </c>
      <c r="AB2967" s="462" t="s">
        <v>10041</v>
      </c>
      <c r="AC2967" s="462" t="s">
        <v>10042</v>
      </c>
      <c r="AD2967" s="464">
        <v>5.5194099999999997</v>
      </c>
      <c r="AE2967" s="465">
        <v>0.22636000000000001</v>
      </c>
      <c r="AF2967" s="86">
        <f>IF(verze!$E$1="CZK",AD2967,IF(verze!$E$1="SK",AE2967,""))</f>
        <v>0.22636000000000001</v>
      </c>
    </row>
    <row r="2968" spans="27:32" ht="15">
      <c r="AA2968" s="463" t="s">
        <v>10043</v>
      </c>
      <c r="AB2968" s="462" t="s">
        <v>10044</v>
      </c>
      <c r="AC2968" s="462" t="s">
        <v>10045</v>
      </c>
      <c r="AD2968" s="464">
        <v>6.1486499999999999</v>
      </c>
      <c r="AE2968" s="465">
        <v>0.25218000000000002</v>
      </c>
      <c r="AF2968" s="86">
        <f>IF(verze!$E$1="CZK",AD2968,IF(verze!$E$1="SK",AE2968,""))</f>
        <v>0.25218000000000002</v>
      </c>
    </row>
    <row r="2969" spans="27:32" ht="15">
      <c r="AA2969" s="463" t="s">
        <v>10046</v>
      </c>
      <c r="AB2969" s="462" t="s">
        <v>10047</v>
      </c>
      <c r="AC2969" s="462" t="s">
        <v>10048</v>
      </c>
      <c r="AD2969" s="464">
        <v>452.00143000000003</v>
      </c>
      <c r="AE2969" s="465">
        <v>18.204360000000001</v>
      </c>
      <c r="AF2969" s="86">
        <f>IF(verze!$E$1="CZK",AD2969,IF(verze!$E$1="SK",AE2969,""))</f>
        <v>18.204360000000001</v>
      </c>
    </row>
    <row r="2970" spans="27:32" ht="15">
      <c r="AA2970" s="463" t="s">
        <v>10049</v>
      </c>
      <c r="AB2970" s="462" t="s">
        <v>10050</v>
      </c>
      <c r="AC2970" s="462" t="s">
        <v>10051</v>
      </c>
      <c r="AD2970" s="464">
        <v>404.42232999999999</v>
      </c>
      <c r="AE2970" s="465">
        <v>16.288070000000001</v>
      </c>
      <c r="AF2970" s="86">
        <f>IF(verze!$E$1="CZK",AD2970,IF(verze!$E$1="SK",AE2970,""))</f>
        <v>16.288070000000001</v>
      </c>
    </row>
    <row r="2971" spans="27:32" ht="15">
      <c r="AA2971" s="463" t="s">
        <v>10052</v>
      </c>
      <c r="AB2971" s="462" t="s">
        <v>10053</v>
      </c>
      <c r="AC2971" s="462" t="s">
        <v>10054</v>
      </c>
      <c r="AD2971" s="464">
        <v>49.666029999999999</v>
      </c>
      <c r="AE2971" s="465">
        <v>1.99977</v>
      </c>
      <c r="AF2971" s="86">
        <f>IF(verze!$E$1="CZK",AD2971,IF(verze!$E$1="SK",AE2971,""))</f>
        <v>1.99977</v>
      </c>
    </row>
    <row r="2972" spans="27:32" ht="15">
      <c r="AA2972" s="463" t="s">
        <v>10055</v>
      </c>
      <c r="AB2972" s="462" t="s">
        <v>10056</v>
      </c>
      <c r="AC2972" s="462" t="s">
        <v>10057</v>
      </c>
      <c r="AD2972" s="464">
        <v>55.861060000000002</v>
      </c>
      <c r="AE2972" s="465">
        <v>2.2347199999999998</v>
      </c>
      <c r="AF2972" s="86">
        <f>IF(verze!$E$1="CZK",AD2972,IF(verze!$E$1="SK",AE2972,""))</f>
        <v>2.2347199999999998</v>
      </c>
    </row>
    <row r="2973" spans="27:32" ht="15">
      <c r="AA2973" s="463" t="s">
        <v>10058</v>
      </c>
      <c r="AB2973" s="462" t="s">
        <v>10059</v>
      </c>
      <c r="AC2973" s="462" t="s">
        <v>10060</v>
      </c>
      <c r="AD2973" s="464">
        <v>73.522720000000007</v>
      </c>
      <c r="AE2973" s="465">
        <v>2.9412699999999998</v>
      </c>
      <c r="AF2973" s="86">
        <f>IF(verze!$E$1="CZK",AD2973,IF(verze!$E$1="SK",AE2973,""))</f>
        <v>2.9412699999999998</v>
      </c>
    </row>
    <row r="2974" spans="27:32" ht="15">
      <c r="AA2974" s="463" t="s">
        <v>10061</v>
      </c>
      <c r="AB2974" s="462" t="s">
        <v>10062</v>
      </c>
      <c r="AC2974" s="462" t="s">
        <v>10063</v>
      </c>
      <c r="AD2974" s="464">
        <v>37.521419999999999</v>
      </c>
      <c r="AE2974" s="465">
        <v>1.50105</v>
      </c>
      <c r="AF2974" s="86">
        <f>IF(verze!$E$1="CZK",AD2974,IF(verze!$E$1="SK",AE2974,""))</f>
        <v>1.50105</v>
      </c>
    </row>
    <row r="2975" spans="27:32" ht="15">
      <c r="AA2975" s="463" t="s">
        <v>10064</v>
      </c>
      <c r="AB2975" s="462" t="s">
        <v>10065</v>
      </c>
      <c r="AC2975" s="462" t="s">
        <v>10066</v>
      </c>
      <c r="AD2975" s="464">
        <v>55.093389999999999</v>
      </c>
      <c r="AE2975" s="465">
        <v>2.2040000000000002</v>
      </c>
      <c r="AF2975" s="86">
        <f>IF(verze!$E$1="CZK",AD2975,IF(verze!$E$1="SK",AE2975,""))</f>
        <v>2.2040000000000002</v>
      </c>
    </row>
    <row r="2976" spans="27:32" ht="15">
      <c r="AA2976" s="463" t="s">
        <v>10067</v>
      </c>
      <c r="AB2976" s="462" t="s">
        <v>10068</v>
      </c>
      <c r="AC2976" s="462" t="s">
        <v>10069</v>
      </c>
      <c r="AD2976" s="464">
        <v>781.37044000000003</v>
      </c>
      <c r="AE2976" s="465">
        <v>32.04674</v>
      </c>
      <c r="AF2976" s="86">
        <f>IF(verze!$E$1="CZK",AD2976,IF(verze!$E$1="SK",AE2976,""))</f>
        <v>32.04674</v>
      </c>
    </row>
    <row r="2977" spans="27:32" ht="15">
      <c r="AA2977" s="463" t="s">
        <v>10070</v>
      </c>
      <c r="AB2977" s="462" t="s">
        <v>10071</v>
      </c>
      <c r="AC2977" s="462" t="s">
        <v>10072</v>
      </c>
      <c r="AD2977" s="464">
        <v>29.45609</v>
      </c>
      <c r="AE2977" s="465">
        <v>1.2081</v>
      </c>
      <c r="AF2977" s="86">
        <f>IF(verze!$E$1="CZK",AD2977,IF(verze!$E$1="SK",AE2977,""))</f>
        <v>1.2081</v>
      </c>
    </row>
    <row r="2978" spans="27:32" ht="15">
      <c r="AA2978" s="463" t="s">
        <v>10073</v>
      </c>
      <c r="AB2978" s="462" t="s">
        <v>10074</v>
      </c>
      <c r="AC2978" s="462" t="s">
        <v>10075</v>
      </c>
      <c r="AD2978" s="464">
        <v>140.67080999999999</v>
      </c>
      <c r="AE2978" s="465">
        <v>5.7694000000000001</v>
      </c>
      <c r="AF2978" s="86">
        <f>IF(verze!$E$1="CZK",AD2978,IF(verze!$E$1="SK",AE2978,""))</f>
        <v>5.7694000000000001</v>
      </c>
    </row>
    <row r="2979" spans="27:32" ht="15">
      <c r="AA2979" s="463" t="s">
        <v>10076</v>
      </c>
      <c r="AB2979" s="462" t="s">
        <v>10077</v>
      </c>
      <c r="AC2979" s="462" t="s">
        <v>10078</v>
      </c>
      <c r="AD2979" s="464">
        <v>1555.26764</v>
      </c>
      <c r="AE2979" s="465">
        <v>71.251419999999996</v>
      </c>
      <c r="AF2979" s="86">
        <f>IF(verze!$E$1="CZK",AD2979,IF(verze!$E$1="SK",AE2979,""))</f>
        <v>71.251419999999996</v>
      </c>
    </row>
    <row r="2980" spans="27:32" ht="15">
      <c r="AA2980" s="463" t="s">
        <v>10079</v>
      </c>
      <c r="AB2980" s="462" t="s">
        <v>10080</v>
      </c>
      <c r="AC2980" s="462" t="s">
        <v>10081</v>
      </c>
      <c r="AD2980" s="464">
        <v>3909.3712099999998</v>
      </c>
      <c r="AE2980" s="465">
        <v>156.39430999999999</v>
      </c>
      <c r="AF2980" s="86">
        <f>IF(verze!$E$1="CZK",AD2980,IF(verze!$E$1="SK",AE2980,""))</f>
        <v>156.39430999999999</v>
      </c>
    </row>
    <row r="2981" spans="27:32" ht="15">
      <c r="AA2981" s="463" t="s">
        <v>10082</v>
      </c>
      <c r="AB2981" s="462" t="s">
        <v>10083</v>
      </c>
      <c r="AC2981" s="462" t="s">
        <v>10084</v>
      </c>
      <c r="AD2981" s="464">
        <v>7.2902800000000001</v>
      </c>
      <c r="AE2981" s="465">
        <v>0.29165000000000002</v>
      </c>
      <c r="AF2981" s="86">
        <f>IF(verze!$E$1="CZK",AD2981,IF(verze!$E$1="SK",AE2981,""))</f>
        <v>0.29165000000000002</v>
      </c>
    </row>
    <row r="2982" spans="27:32" ht="15">
      <c r="AA2982" s="463" t="s">
        <v>1320</v>
      </c>
      <c r="AB2982" s="462" t="s">
        <v>10085</v>
      </c>
      <c r="AC2982" s="462" t="s">
        <v>10084</v>
      </c>
      <c r="AD2982" s="464">
        <v>7.2902800000000001</v>
      </c>
      <c r="AE2982" s="465">
        <v>0.29165000000000002</v>
      </c>
      <c r="AF2982" s="86">
        <f>IF(verze!$E$1="CZK",AD2982,IF(verze!$E$1="SK",AE2982,""))</f>
        <v>0.29165000000000002</v>
      </c>
    </row>
    <row r="2983" spans="27:32" ht="15">
      <c r="AA2983" s="463" t="s">
        <v>10082</v>
      </c>
      <c r="AB2983" s="462" t="s">
        <v>10086</v>
      </c>
      <c r="AC2983" s="462" t="s">
        <v>10087</v>
      </c>
      <c r="AD2983" s="464">
        <v>2.7563</v>
      </c>
      <c r="AE2983" s="465">
        <v>0.11057</v>
      </c>
      <c r="AF2983" s="86">
        <f>IF(verze!$E$1="CZK",AD2983,IF(verze!$E$1="SK",AE2983,""))</f>
        <v>0.11057</v>
      </c>
    </row>
    <row r="2984" spans="27:32" ht="15">
      <c r="AA2984" s="463" t="s">
        <v>10088</v>
      </c>
      <c r="AB2984" s="462" t="s">
        <v>10089</v>
      </c>
      <c r="AC2984" s="462" t="s">
        <v>10090</v>
      </c>
      <c r="AD2984" s="464">
        <v>117.23350000000001</v>
      </c>
      <c r="AE2984" s="465">
        <v>4.6899300000000004</v>
      </c>
      <c r="AF2984" s="86">
        <f>IF(verze!$E$1="CZK",AD2984,IF(verze!$E$1="SK",AE2984,""))</f>
        <v>4.6899300000000004</v>
      </c>
    </row>
    <row r="2985" spans="27:32" ht="15">
      <c r="AA2985" s="463" t="s">
        <v>10091</v>
      </c>
      <c r="AB2985" s="462" t="s">
        <v>10092</v>
      </c>
      <c r="AC2985" s="462" t="s">
        <v>10093</v>
      </c>
      <c r="AD2985" s="464">
        <v>63.864640000000001</v>
      </c>
      <c r="AE2985" s="465">
        <v>2.5548999999999999</v>
      </c>
      <c r="AF2985" s="86">
        <f>IF(verze!$E$1="CZK",AD2985,IF(verze!$E$1="SK",AE2985,""))</f>
        <v>2.5548999999999999</v>
      </c>
    </row>
    <row r="2986" spans="27:32" ht="15">
      <c r="AA2986" s="463" t="s">
        <v>10094</v>
      </c>
      <c r="AB2986" s="462" t="s">
        <v>10095</v>
      </c>
      <c r="AC2986" s="462" t="s">
        <v>10096</v>
      </c>
      <c r="AD2986" s="464">
        <v>1441.0833500000001</v>
      </c>
      <c r="AE2986" s="465">
        <v>57.650500000000001</v>
      </c>
      <c r="AF2986" s="86">
        <f>IF(verze!$E$1="CZK",AD2986,IF(verze!$E$1="SK",AE2986,""))</f>
        <v>57.650500000000001</v>
      </c>
    </row>
    <row r="2987" spans="27:32" ht="15">
      <c r="AA2987" s="463" t="s">
        <v>10097</v>
      </c>
      <c r="AB2987" s="462" t="s">
        <v>10098</v>
      </c>
      <c r="AC2987" s="462" t="s">
        <v>10099</v>
      </c>
      <c r="AD2987" s="464">
        <v>31.844650000000001</v>
      </c>
      <c r="AE2987" s="465">
        <v>1.2739499999999999</v>
      </c>
      <c r="AF2987" s="86">
        <f>IF(verze!$E$1="CZK",AD2987,IF(verze!$E$1="SK",AE2987,""))</f>
        <v>1.2739499999999999</v>
      </c>
    </row>
    <row r="2988" spans="27:32" ht="15">
      <c r="AA2988" s="463" t="s">
        <v>10100</v>
      </c>
      <c r="AB2988" s="462" t="s">
        <v>10101</v>
      </c>
      <c r="AC2988" s="462" t="s">
        <v>10102</v>
      </c>
      <c r="AD2988" s="464">
        <v>31.844650000000001</v>
      </c>
      <c r="AE2988" s="465">
        <v>1.2739499999999999</v>
      </c>
      <c r="AF2988" s="86">
        <f>IF(verze!$E$1="CZK",AD2988,IF(verze!$E$1="SK",AE2988,""))</f>
        <v>1.2739499999999999</v>
      </c>
    </row>
    <row r="2989" spans="27:32" ht="15">
      <c r="AA2989" s="463" t="s">
        <v>10103</v>
      </c>
      <c r="AB2989" s="462" t="s">
        <v>10104</v>
      </c>
      <c r="AC2989" s="462" t="s">
        <v>10105</v>
      </c>
      <c r="AD2989" s="464">
        <v>31.844650000000001</v>
      </c>
      <c r="AE2989" s="465">
        <v>1.2739499999999999</v>
      </c>
      <c r="AF2989" s="86">
        <f>IF(verze!$E$1="CZK",AD2989,IF(verze!$E$1="SK",AE2989,""))</f>
        <v>1.2739499999999999</v>
      </c>
    </row>
    <row r="2990" spans="27:32" ht="15">
      <c r="AA2990" s="463" t="s">
        <v>10106</v>
      </c>
      <c r="AB2990" s="462" t="s">
        <v>10107</v>
      </c>
      <c r="AC2990" s="462" t="s">
        <v>10108</v>
      </c>
      <c r="AD2990" s="464">
        <v>6059.07726</v>
      </c>
      <c r="AE2990" s="465">
        <v>242.39326</v>
      </c>
      <c r="AF2990" s="86">
        <f>IF(verze!$E$1="CZK",AD2990,IF(verze!$E$1="SK",AE2990,""))</f>
        <v>242.39326</v>
      </c>
    </row>
    <row r="2991" spans="27:32" ht="15">
      <c r="AA2991" s="463" t="s">
        <v>10109</v>
      </c>
      <c r="AB2991" s="462" t="s">
        <v>10110</v>
      </c>
      <c r="AC2991" s="462" t="s">
        <v>10111</v>
      </c>
      <c r="AD2991" s="464">
        <v>1274.1240299999999</v>
      </c>
      <c r="AE2991" s="465">
        <v>50.971299999999999</v>
      </c>
      <c r="AF2991" s="86">
        <f>IF(verze!$E$1="CZK",AD2991,IF(verze!$E$1="SK",AE2991,""))</f>
        <v>50.971299999999999</v>
      </c>
    </row>
    <row r="2992" spans="27:32" ht="15">
      <c r="AA2992" s="463" t="s">
        <v>10112</v>
      </c>
      <c r="AB2992" s="462" t="s">
        <v>10113</v>
      </c>
      <c r="AC2992" s="462" t="s">
        <v>10114</v>
      </c>
      <c r="AD2992" s="464">
        <v>15638.28551</v>
      </c>
      <c r="AE2992" s="465">
        <v>625.60928000000001</v>
      </c>
      <c r="AF2992" s="86">
        <f>IF(verze!$E$1="CZK",AD2992,IF(verze!$E$1="SK",AE2992,""))</f>
        <v>625.60928000000001</v>
      </c>
    </row>
    <row r="2993" spans="27:32" ht="15">
      <c r="AA2993" s="463" t="s">
        <v>10115</v>
      </c>
      <c r="AB2993" s="462" t="s">
        <v>10116</v>
      </c>
      <c r="AC2993" s="462" t="s">
        <v>10117</v>
      </c>
      <c r="AD2993" s="464">
        <v>30189.508440000001</v>
      </c>
      <c r="AE2993" s="465">
        <v>1207.73063</v>
      </c>
      <c r="AF2993" s="86">
        <f>IF(verze!$E$1="CZK",AD2993,IF(verze!$E$1="SK",AE2993,""))</f>
        <v>1207.73063</v>
      </c>
    </row>
    <row r="2994" spans="27:32" ht="15">
      <c r="AA2994" s="463" t="s">
        <v>10118</v>
      </c>
      <c r="AB2994" s="462" t="s">
        <v>10119</v>
      </c>
      <c r="AC2994" s="462" t="s">
        <v>10120</v>
      </c>
      <c r="AD2994" s="464">
        <v>30189.508440000001</v>
      </c>
      <c r="AE2994" s="465">
        <v>1207.73063</v>
      </c>
      <c r="AF2994" s="86">
        <f>IF(verze!$E$1="CZK",AD2994,IF(verze!$E$1="SK",AE2994,""))</f>
        <v>1207.73063</v>
      </c>
    </row>
    <row r="2995" spans="27:32" ht="15">
      <c r="AA2995" s="463" t="s">
        <v>10121</v>
      </c>
      <c r="AB2995" s="462" t="s">
        <v>10122</v>
      </c>
      <c r="AC2995" s="462" t="s">
        <v>10123</v>
      </c>
      <c r="AD2995" s="464">
        <v>30189.508440000001</v>
      </c>
      <c r="AE2995" s="465">
        <v>1207.73063</v>
      </c>
      <c r="AF2995" s="86">
        <f>IF(verze!$E$1="CZK",AD2995,IF(verze!$E$1="SK",AE2995,""))</f>
        <v>1207.73063</v>
      </c>
    </row>
    <row r="2996" spans="27:32" ht="15">
      <c r="AA2996" s="463" t="s">
        <v>10124</v>
      </c>
      <c r="AB2996" s="462" t="s">
        <v>10125</v>
      </c>
      <c r="AC2996" s="462" t="s">
        <v>10126</v>
      </c>
      <c r="AD2996" s="464">
        <v>16334.75985</v>
      </c>
      <c r="AE2996" s="465">
        <v>653.47172</v>
      </c>
      <c r="AF2996" s="86">
        <f>IF(verze!$E$1="CZK",AD2996,IF(verze!$E$1="SK",AE2996,""))</f>
        <v>653.47172</v>
      </c>
    </row>
    <row r="2997" spans="27:32" ht="15">
      <c r="AA2997" s="463" t="s">
        <v>10127</v>
      </c>
      <c r="AB2997" s="462" t="s">
        <v>10128</v>
      </c>
      <c r="AC2997" s="462" t="s">
        <v>10129</v>
      </c>
      <c r="AD2997" s="464">
        <v>721.76972000000001</v>
      </c>
      <c r="AE2997" s="465">
        <v>31.3964</v>
      </c>
      <c r="AF2997" s="86">
        <f>IF(verze!$E$1="CZK",AD2997,IF(verze!$E$1="SK",AE2997,""))</f>
        <v>31.3964</v>
      </c>
    </row>
    <row r="2998" spans="27:32" ht="15">
      <c r="AA2998" s="463" t="s">
        <v>10130</v>
      </c>
      <c r="AB2998" s="462" t="s">
        <v>10131</v>
      </c>
      <c r="AC2998" s="462" t="s">
        <v>10132</v>
      </c>
      <c r="AD2998" s="464">
        <v>30.850280000000001</v>
      </c>
      <c r="AE2998" s="465">
        <v>1.26528</v>
      </c>
      <c r="AF2998" s="86">
        <f>IF(verze!$E$1="CZK",AD2998,IF(verze!$E$1="SK",AE2998,""))</f>
        <v>1.26528</v>
      </c>
    </row>
    <row r="2999" spans="27:32" ht="15">
      <c r="AA2999" s="463" t="s">
        <v>10133</v>
      </c>
      <c r="AB2999" s="462" t="s">
        <v>10134</v>
      </c>
      <c r="AC2999" s="462" t="s">
        <v>10135</v>
      </c>
      <c r="AD2999" s="464">
        <v>29.120090000000001</v>
      </c>
      <c r="AE2999" s="465">
        <v>1.19432</v>
      </c>
      <c r="AF2999" s="86">
        <f>IF(verze!$E$1="CZK",AD2999,IF(verze!$E$1="SK",AE2999,""))</f>
        <v>1.19432</v>
      </c>
    </row>
    <row r="3000" spans="27:32" ht="15">
      <c r="AA3000" s="463" t="s">
        <v>10136</v>
      </c>
      <c r="AB3000" s="462" t="s">
        <v>10137</v>
      </c>
      <c r="AC3000" s="462" t="s">
        <v>10138</v>
      </c>
      <c r="AD3000" s="464">
        <v>35.543970000000002</v>
      </c>
      <c r="AE3000" s="465">
        <v>1.4577800000000001</v>
      </c>
      <c r="AF3000" s="86">
        <f>IF(verze!$E$1="CZK",AD3000,IF(verze!$E$1="SK",AE3000,""))</f>
        <v>1.4577800000000001</v>
      </c>
    </row>
    <row r="3001" spans="27:32" ht="15">
      <c r="AA3001" s="463" t="s">
        <v>10139</v>
      </c>
      <c r="AB3001" s="462" t="s">
        <v>10140</v>
      </c>
      <c r="AC3001" s="462" t="s">
        <v>10141</v>
      </c>
      <c r="AD3001" s="464">
        <v>17.208929999999999</v>
      </c>
      <c r="AE3001" s="465">
        <v>0.70579999999999998</v>
      </c>
      <c r="AF3001" s="86">
        <f>IF(verze!$E$1="CZK",AD3001,IF(verze!$E$1="SK",AE3001,""))</f>
        <v>0.70579999999999998</v>
      </c>
    </row>
    <row r="3002" spans="27:32" ht="15">
      <c r="AA3002" s="463" t="s">
        <v>10142</v>
      </c>
      <c r="AB3002" s="462" t="s">
        <v>10143</v>
      </c>
      <c r="AC3002" s="462" t="s">
        <v>10144</v>
      </c>
      <c r="AD3002" s="464">
        <v>0.34316000000000002</v>
      </c>
      <c r="AE3002" s="465">
        <v>1.4080000000000001E-2</v>
      </c>
      <c r="AF3002" s="86">
        <f>IF(verze!$E$1="CZK",AD3002,IF(verze!$E$1="SK",AE3002,""))</f>
        <v>1.4080000000000001E-2</v>
      </c>
    </row>
    <row r="3003" spans="27:32" ht="15">
      <c r="AA3003" s="463" t="s">
        <v>10145</v>
      </c>
      <c r="AB3003" s="462" t="s">
        <v>10146</v>
      </c>
      <c r="AC3003" s="462" t="s">
        <v>10147</v>
      </c>
      <c r="AD3003" s="464">
        <v>0.4254</v>
      </c>
      <c r="AE3003" s="465">
        <v>1.746E-2</v>
      </c>
      <c r="AF3003" s="86">
        <f>IF(verze!$E$1="CZK",AD3003,IF(verze!$E$1="SK",AE3003,""))</f>
        <v>1.746E-2</v>
      </c>
    </row>
    <row r="3004" spans="27:32" ht="15">
      <c r="AA3004" s="463" t="s">
        <v>10148</v>
      </c>
      <c r="AB3004" s="462" t="s">
        <v>10149</v>
      </c>
      <c r="AC3004" s="462" t="s">
        <v>10150</v>
      </c>
      <c r="AD3004" s="464">
        <v>0.4254</v>
      </c>
      <c r="AE3004" s="465">
        <v>1.746E-2</v>
      </c>
      <c r="AF3004" s="86">
        <f>IF(verze!$E$1="CZK",AD3004,IF(verze!$E$1="SK",AE3004,""))</f>
        <v>1.746E-2</v>
      </c>
    </row>
    <row r="3005" spans="27:32" ht="15">
      <c r="AA3005" s="463" t="s">
        <v>10151</v>
      </c>
      <c r="AB3005" s="462" t="s">
        <v>10152</v>
      </c>
      <c r="AC3005" s="462" t="s">
        <v>10153</v>
      </c>
      <c r="AD3005" s="464">
        <v>0.34316000000000002</v>
      </c>
      <c r="AE3005" s="465">
        <v>1.4080000000000001E-2</v>
      </c>
      <c r="AF3005" s="86">
        <f>IF(verze!$E$1="CZK",AD3005,IF(verze!$E$1="SK",AE3005,""))</f>
        <v>1.4080000000000001E-2</v>
      </c>
    </row>
    <row r="3006" spans="27:32" ht="15">
      <c r="AA3006" s="463" t="s">
        <v>10154</v>
      </c>
      <c r="AB3006" s="462" t="s">
        <v>10155</v>
      </c>
      <c r="AC3006" s="462" t="s">
        <v>10156</v>
      </c>
      <c r="AD3006" s="464">
        <v>0.38612999999999997</v>
      </c>
      <c r="AE3006" s="465">
        <v>1.5820000000000001E-2</v>
      </c>
      <c r="AF3006" s="86">
        <f>IF(verze!$E$1="CZK",AD3006,IF(verze!$E$1="SK",AE3006,""))</f>
        <v>1.5820000000000001E-2</v>
      </c>
    </row>
    <row r="3007" spans="27:32" ht="15">
      <c r="AA3007" s="463" t="s">
        <v>10157</v>
      </c>
      <c r="AB3007" s="462" t="s">
        <v>10158</v>
      </c>
      <c r="AC3007" s="462" t="s">
        <v>10159</v>
      </c>
      <c r="AD3007" s="464">
        <v>0.40390999999999999</v>
      </c>
      <c r="AE3007" s="465">
        <v>1.6559999999999998E-2</v>
      </c>
      <c r="AF3007" s="86">
        <f>IF(verze!$E$1="CZK",AD3007,IF(verze!$E$1="SK",AE3007,""))</f>
        <v>1.6559999999999998E-2</v>
      </c>
    </row>
    <row r="3008" spans="27:32" ht="15">
      <c r="AA3008" s="463" t="s">
        <v>10160</v>
      </c>
      <c r="AB3008" s="462" t="s">
        <v>10161</v>
      </c>
      <c r="AC3008" s="462" t="s">
        <v>10162</v>
      </c>
      <c r="AD3008" s="464">
        <v>2642.9050499999998</v>
      </c>
      <c r="AE3008" s="465">
        <v>105.72936</v>
      </c>
      <c r="AF3008" s="86">
        <f>IF(verze!$E$1="CZK",AD3008,IF(verze!$E$1="SK",AE3008,""))</f>
        <v>105.72936</v>
      </c>
    </row>
    <row r="3009" spans="27:32" ht="15">
      <c r="AA3009" s="463" t="s">
        <v>10163</v>
      </c>
      <c r="AB3009" s="462" t="s">
        <v>10164</v>
      </c>
      <c r="AC3009" s="462" t="s">
        <v>10165</v>
      </c>
      <c r="AD3009" s="464">
        <v>30189.508440000001</v>
      </c>
      <c r="AE3009" s="465">
        <v>1207.73063</v>
      </c>
      <c r="AF3009" s="86">
        <f>IF(verze!$E$1="CZK",AD3009,IF(verze!$E$1="SK",AE3009,""))</f>
        <v>1207.73063</v>
      </c>
    </row>
    <row r="3010" spans="27:32" ht="15">
      <c r="AA3010" s="463" t="s">
        <v>10166</v>
      </c>
      <c r="AB3010" s="462" t="s">
        <v>10167</v>
      </c>
      <c r="AC3010" s="462" t="s">
        <v>10168</v>
      </c>
      <c r="AD3010" s="464">
        <v>5347.1918900000001</v>
      </c>
      <c r="AE3010" s="465">
        <v>213.9143</v>
      </c>
      <c r="AF3010" s="86">
        <f>IF(verze!$E$1="CZK",AD3010,IF(verze!$E$1="SK",AE3010,""))</f>
        <v>213.9143</v>
      </c>
    </row>
    <row r="3011" spans="27:32" ht="15">
      <c r="AA3011" s="463" t="s">
        <v>10169</v>
      </c>
      <c r="AB3011" s="462" t="s">
        <v>10170</v>
      </c>
      <c r="AC3011" s="462" t="s">
        <v>10171</v>
      </c>
      <c r="AD3011" s="464">
        <v>109921.48587</v>
      </c>
      <c r="AE3011" s="465">
        <v>4397.4066300000004</v>
      </c>
      <c r="AF3011" s="86">
        <f>IF(verze!$E$1="CZK",AD3011,IF(verze!$E$1="SK",AE3011,""))</f>
        <v>4397.4066300000004</v>
      </c>
    </row>
    <row r="3012" spans="27:32" ht="15">
      <c r="AA3012" s="463" t="s">
        <v>10172</v>
      </c>
      <c r="AB3012" s="462" t="s">
        <v>10173</v>
      </c>
      <c r="AC3012" s="462" t="s">
        <v>10174</v>
      </c>
      <c r="AD3012" s="464">
        <v>5556.4114300000001</v>
      </c>
      <c r="AE3012" s="465">
        <v>222.28411</v>
      </c>
      <c r="AF3012" s="86">
        <f>IF(verze!$E$1="CZK",AD3012,IF(verze!$E$1="SK",AE3012,""))</f>
        <v>222.28411</v>
      </c>
    </row>
    <row r="3013" spans="27:32" ht="15">
      <c r="AA3013" s="463" t="s">
        <v>10175</v>
      </c>
      <c r="AB3013" s="462" t="s">
        <v>10176</v>
      </c>
      <c r="AC3013" s="462" t="s">
        <v>10177</v>
      </c>
      <c r="AD3013" s="464">
        <v>8394.2006500000007</v>
      </c>
      <c r="AE3013" s="465">
        <v>335.80982</v>
      </c>
      <c r="AF3013" s="86">
        <f>IF(verze!$E$1="CZK",AD3013,IF(verze!$E$1="SK",AE3013,""))</f>
        <v>335.80982</v>
      </c>
    </row>
    <row r="3014" spans="27:32" ht="15">
      <c r="AA3014" s="463" t="s">
        <v>10178</v>
      </c>
      <c r="AB3014" s="462" t="s">
        <v>10179</v>
      </c>
      <c r="AC3014" s="462" t="s">
        <v>10180</v>
      </c>
      <c r="AD3014" s="464">
        <v>27.700199999999999</v>
      </c>
      <c r="AE3014" s="465">
        <v>0</v>
      </c>
      <c r="AF3014" s="86">
        <f>IF(verze!$E$1="CZK",AD3014,IF(verze!$E$1="SK",AE3014,""))</f>
        <v>0</v>
      </c>
    </row>
    <row r="3015" spans="27:32" ht="15">
      <c r="AA3015" s="463" t="s">
        <v>10181</v>
      </c>
      <c r="AB3015" s="462" t="s">
        <v>10182</v>
      </c>
      <c r="AC3015" s="462" t="s">
        <v>10183</v>
      </c>
      <c r="AD3015" s="464">
        <v>27.700199999999999</v>
      </c>
      <c r="AE3015" s="465">
        <v>0</v>
      </c>
      <c r="AF3015" s="86">
        <f>IF(verze!$E$1="CZK",AD3015,IF(verze!$E$1="SK",AE3015,""))</f>
        <v>0</v>
      </c>
    </row>
    <row r="3016" spans="27:32" ht="15">
      <c r="AA3016" s="463" t="s">
        <v>10184</v>
      </c>
      <c r="AB3016" s="462" t="s">
        <v>10185</v>
      </c>
      <c r="AC3016" s="462" t="s">
        <v>10186</v>
      </c>
      <c r="AD3016" s="464">
        <v>39.669600000000003</v>
      </c>
      <c r="AE3016" s="465">
        <v>0</v>
      </c>
      <c r="AF3016" s="86">
        <f>IF(verze!$E$1="CZK",AD3016,IF(verze!$E$1="SK",AE3016,""))</f>
        <v>0</v>
      </c>
    </row>
    <row r="3017" spans="27:32" ht="15">
      <c r="AA3017" s="463" t="s">
        <v>10187</v>
      </c>
      <c r="AB3017" s="462" t="s">
        <v>10188</v>
      </c>
      <c r="AC3017" s="462" t="s">
        <v>10189</v>
      </c>
      <c r="AD3017" s="464">
        <v>39.669600000000003</v>
      </c>
      <c r="AE3017" s="465">
        <v>0</v>
      </c>
      <c r="AF3017" s="86">
        <f>IF(verze!$E$1="CZK",AD3017,IF(verze!$E$1="SK",AE3017,""))</f>
        <v>0</v>
      </c>
    </row>
    <row r="3018" spans="27:32" ht="15">
      <c r="AA3018" s="463" t="s">
        <v>10190</v>
      </c>
      <c r="AB3018" s="462" t="s">
        <v>10191</v>
      </c>
      <c r="AC3018" s="462" t="s">
        <v>10192</v>
      </c>
      <c r="AD3018" s="464">
        <v>97.761600000000001</v>
      </c>
      <c r="AE3018" s="465">
        <v>0</v>
      </c>
      <c r="AF3018" s="86">
        <f>IF(verze!$E$1="CZK",AD3018,IF(verze!$E$1="SK",AE3018,""))</f>
        <v>0</v>
      </c>
    </row>
    <row r="3019" spans="27:32" ht="15">
      <c r="AA3019" s="463" t="s">
        <v>10193</v>
      </c>
      <c r="AB3019" s="462" t="s">
        <v>10194</v>
      </c>
      <c r="AC3019" s="462" t="s">
        <v>10195</v>
      </c>
      <c r="AD3019" s="464">
        <v>97.761600000000001</v>
      </c>
      <c r="AE3019" s="465">
        <v>0</v>
      </c>
      <c r="AF3019" s="86">
        <f>IF(verze!$E$1="CZK",AD3019,IF(verze!$E$1="SK",AE3019,""))</f>
        <v>0</v>
      </c>
    </row>
    <row r="3020" spans="27:32" ht="15">
      <c r="AA3020" s="463" t="s">
        <v>10196</v>
      </c>
      <c r="AB3020" s="462" t="s">
        <v>10197</v>
      </c>
      <c r="AC3020" s="462" t="s">
        <v>10198</v>
      </c>
      <c r="AD3020" s="464">
        <v>435.71489000000003</v>
      </c>
      <c r="AE3020" s="465">
        <v>19.961379999999998</v>
      </c>
      <c r="AF3020" s="86">
        <f>IF(verze!$E$1="CZK",AD3020,IF(verze!$E$1="SK",AE3020,""))</f>
        <v>19.961379999999998</v>
      </c>
    </row>
    <row r="3021" spans="27:32" ht="15">
      <c r="AA3021" s="463" t="s">
        <v>10199</v>
      </c>
      <c r="AB3021" s="462" t="s">
        <v>10200</v>
      </c>
      <c r="AC3021" s="462" t="s">
        <v>10201</v>
      </c>
      <c r="AD3021" s="464">
        <v>200.35126</v>
      </c>
      <c r="AE3021" s="465">
        <v>9.1786799999999999</v>
      </c>
      <c r="AF3021" s="86">
        <f>IF(verze!$E$1="CZK",AD3021,IF(verze!$E$1="SK",AE3021,""))</f>
        <v>9.1786799999999999</v>
      </c>
    </row>
    <row r="3022" spans="27:32" ht="15">
      <c r="AA3022" s="463" t="s">
        <v>10202</v>
      </c>
      <c r="AB3022" s="462" t="s">
        <v>10203</v>
      </c>
      <c r="AC3022" s="462" t="s">
        <v>10204</v>
      </c>
      <c r="AD3022" s="464">
        <v>3606.0658100000001</v>
      </c>
      <c r="AE3022" s="465">
        <v>165.20454000000001</v>
      </c>
      <c r="AF3022" s="86">
        <f>IF(verze!$E$1="CZK",AD3022,IF(verze!$E$1="SK",AE3022,""))</f>
        <v>165.20454000000001</v>
      </c>
    </row>
    <row r="3023" spans="27:32" ht="15">
      <c r="AA3023" s="463" t="s">
        <v>10205</v>
      </c>
      <c r="AB3023" s="462" t="s">
        <v>10206</v>
      </c>
      <c r="AC3023" s="462" t="s">
        <v>10207</v>
      </c>
      <c r="AD3023" s="464">
        <v>2188.47361</v>
      </c>
      <c r="AE3023" s="465">
        <v>100.26045999999999</v>
      </c>
      <c r="AF3023" s="86">
        <f>IF(verze!$E$1="CZK",AD3023,IF(verze!$E$1="SK",AE3023,""))</f>
        <v>100.26045999999999</v>
      </c>
    </row>
    <row r="3024" spans="27:32" ht="15">
      <c r="AA3024" s="463" t="s">
        <v>10208</v>
      </c>
      <c r="AB3024" s="462" t="s">
        <v>10209</v>
      </c>
      <c r="AC3024" s="462" t="s">
        <v>10210</v>
      </c>
      <c r="AD3024" s="464">
        <v>2593.4998900000001</v>
      </c>
      <c r="AE3024" s="465">
        <v>118.8159</v>
      </c>
      <c r="AF3024" s="86">
        <f>IF(verze!$E$1="CZK",AD3024,IF(verze!$E$1="SK",AE3024,""))</f>
        <v>118.8159</v>
      </c>
    </row>
    <row r="3025" spans="27:32" ht="15">
      <c r="AA3025" s="463" t="s">
        <v>10211</v>
      </c>
      <c r="AB3025" s="462" t="s">
        <v>10212</v>
      </c>
      <c r="AC3025" s="462" t="s">
        <v>10213</v>
      </c>
      <c r="AD3025" s="464">
        <v>284.43241999999998</v>
      </c>
      <c r="AE3025" s="465">
        <v>13.0307</v>
      </c>
      <c r="AF3025" s="86">
        <f>IF(verze!$E$1="CZK",AD3025,IF(verze!$E$1="SK",AE3025,""))</f>
        <v>13.0307</v>
      </c>
    </row>
    <row r="3026" spans="27:32" ht="15">
      <c r="AA3026" s="463" t="s">
        <v>10214</v>
      </c>
      <c r="AB3026" s="462" t="s">
        <v>10215</v>
      </c>
      <c r="AC3026" s="462" t="s">
        <v>10216</v>
      </c>
      <c r="AD3026" s="464">
        <v>328.98788999999999</v>
      </c>
      <c r="AE3026" s="465">
        <v>15.071899999999999</v>
      </c>
      <c r="AF3026" s="86">
        <f>IF(verze!$E$1="CZK",AD3026,IF(verze!$E$1="SK",AE3026,""))</f>
        <v>15.071899999999999</v>
      </c>
    </row>
    <row r="3027" spans="27:32" ht="15">
      <c r="AA3027" s="463" t="s">
        <v>10217</v>
      </c>
      <c r="AB3027" s="462" t="s">
        <v>10218</v>
      </c>
      <c r="AC3027" s="462" t="s">
        <v>10219</v>
      </c>
      <c r="AD3027" s="464">
        <v>378.91210000000001</v>
      </c>
      <c r="AE3027" s="465">
        <v>17.359079999999999</v>
      </c>
      <c r="AF3027" s="86">
        <f>IF(verze!$E$1="CZK",AD3027,IF(verze!$E$1="SK",AE3027,""))</f>
        <v>17.359079999999999</v>
      </c>
    </row>
    <row r="3028" spans="27:32" ht="15">
      <c r="AA3028" s="463" t="s">
        <v>10220</v>
      </c>
      <c r="AB3028" s="462" t="s">
        <v>10221</v>
      </c>
      <c r="AC3028" s="462" t="s">
        <v>10222</v>
      </c>
      <c r="AD3028" s="464">
        <v>350.62175000000002</v>
      </c>
      <c r="AE3028" s="465">
        <v>16.063020000000002</v>
      </c>
      <c r="AF3028" s="86">
        <f>IF(verze!$E$1="CZK",AD3028,IF(verze!$E$1="SK",AE3028,""))</f>
        <v>16.063020000000002</v>
      </c>
    </row>
    <row r="3029" spans="27:32" ht="15">
      <c r="AA3029" s="463" t="s">
        <v>10223</v>
      </c>
      <c r="AB3029" s="462" t="s">
        <v>10224</v>
      </c>
      <c r="AC3029" s="462" t="s">
        <v>10225</v>
      </c>
      <c r="AD3029" s="464">
        <v>1647.8094900000001</v>
      </c>
      <c r="AE3029" s="465">
        <v>75.491020000000006</v>
      </c>
      <c r="AF3029" s="86">
        <f>IF(verze!$E$1="CZK",AD3029,IF(verze!$E$1="SK",AE3029,""))</f>
        <v>75.491020000000006</v>
      </c>
    </row>
    <row r="3030" spans="27:32" ht="15">
      <c r="AA3030" s="463" t="s">
        <v>10226</v>
      </c>
      <c r="AB3030" s="462" t="s">
        <v>10227</v>
      </c>
      <c r="AC3030" s="462" t="s">
        <v>10228</v>
      </c>
      <c r="AD3030" s="464">
        <v>1647.8094900000001</v>
      </c>
      <c r="AE3030" s="465">
        <v>75.491020000000006</v>
      </c>
      <c r="AF3030" s="86">
        <f>IF(verze!$E$1="CZK",AD3030,IF(verze!$E$1="SK",AE3030,""))</f>
        <v>75.491020000000006</v>
      </c>
    </row>
    <row r="3031" spans="27:32" ht="15">
      <c r="AA3031" s="463" t="s">
        <v>10229</v>
      </c>
      <c r="AB3031" s="462" t="s">
        <v>10230</v>
      </c>
      <c r="AC3031" s="462" t="s">
        <v>10231</v>
      </c>
      <c r="AD3031" s="464">
        <v>2611.73612</v>
      </c>
      <c r="AE3031" s="465">
        <v>0</v>
      </c>
      <c r="AF3031" s="86">
        <f>IF(verze!$E$1="CZK",AD3031,IF(verze!$E$1="SK",AE3031,""))</f>
        <v>0</v>
      </c>
    </row>
    <row r="3032" spans="27:32" ht="15">
      <c r="AA3032" s="463" t="s">
        <v>10232</v>
      </c>
      <c r="AB3032" s="462" t="s">
        <v>10233</v>
      </c>
      <c r="AC3032" s="462" t="s">
        <v>10234</v>
      </c>
      <c r="AD3032" s="464">
        <v>1542.8917899999999</v>
      </c>
      <c r="AE3032" s="465">
        <v>70.684439999999995</v>
      </c>
      <c r="AF3032" s="86">
        <f>IF(verze!$E$1="CZK",AD3032,IF(verze!$E$1="SK",AE3032,""))</f>
        <v>70.684439999999995</v>
      </c>
    </row>
    <row r="3033" spans="27:32" ht="15">
      <c r="AA3033" s="463" t="s">
        <v>10235</v>
      </c>
      <c r="AB3033" s="462" t="s">
        <v>10236</v>
      </c>
      <c r="AC3033" s="462" t="s">
        <v>10237</v>
      </c>
      <c r="AD3033" s="464">
        <v>1851.2264500000001</v>
      </c>
      <c r="AE3033" s="465">
        <v>84.810159999999996</v>
      </c>
      <c r="AF3033" s="86">
        <f>IF(verze!$E$1="CZK",AD3033,IF(verze!$E$1="SK",AE3033,""))</f>
        <v>84.810159999999996</v>
      </c>
    </row>
    <row r="3034" spans="27:32" ht="15">
      <c r="AA3034" s="463" t="s">
        <v>10238</v>
      </c>
      <c r="AB3034" s="462" t="s">
        <v>10239</v>
      </c>
      <c r="AC3034" s="462" t="s">
        <v>10240</v>
      </c>
      <c r="AD3034" s="464">
        <v>2554.5545099999999</v>
      </c>
      <c r="AE3034" s="465">
        <v>104.77124000000001</v>
      </c>
      <c r="AF3034" s="86">
        <f>IF(verze!$E$1="CZK",AD3034,IF(verze!$E$1="SK",AE3034,""))</f>
        <v>104.77124000000001</v>
      </c>
    </row>
    <row r="3035" spans="27:32" ht="15">
      <c r="AA3035" s="463" t="s">
        <v>10241</v>
      </c>
      <c r="AB3035" s="462" t="s">
        <v>10242</v>
      </c>
      <c r="AC3035" s="462" t="s">
        <v>10243</v>
      </c>
      <c r="AD3035" s="464">
        <v>183.52018000000001</v>
      </c>
      <c r="AE3035" s="465">
        <v>7.3417199999999996</v>
      </c>
      <c r="AF3035" s="86">
        <f>IF(verze!$E$1="CZK",AD3035,IF(verze!$E$1="SK",AE3035,""))</f>
        <v>7.3417199999999996</v>
      </c>
    </row>
    <row r="3036" spans="27:32" ht="15">
      <c r="AA3036" s="463" t="s">
        <v>10244</v>
      </c>
      <c r="AB3036" s="462" t="s">
        <v>10245</v>
      </c>
      <c r="AC3036" s="462" t="s">
        <v>10246</v>
      </c>
      <c r="AD3036" s="464">
        <v>213.18192999999999</v>
      </c>
      <c r="AE3036" s="465">
        <v>8.52834</v>
      </c>
      <c r="AF3036" s="86">
        <f>IF(verze!$E$1="CZK",AD3036,IF(verze!$E$1="SK",AE3036,""))</f>
        <v>8.52834</v>
      </c>
    </row>
    <row r="3037" spans="27:32" ht="15">
      <c r="AA3037" s="463" t="s">
        <v>10247</v>
      </c>
      <c r="AB3037" s="462" t="s">
        <v>10248</v>
      </c>
      <c r="AC3037" s="462" t="s">
        <v>10249</v>
      </c>
      <c r="AD3037" s="464">
        <v>65.281989999999993</v>
      </c>
      <c r="AE3037" s="465">
        <v>2.6116100000000002</v>
      </c>
      <c r="AF3037" s="86">
        <f>IF(verze!$E$1="CZK",AD3037,IF(verze!$E$1="SK",AE3037,""))</f>
        <v>2.6116100000000002</v>
      </c>
    </row>
    <row r="3038" spans="27:32" ht="15">
      <c r="AA3038" s="463" t="s">
        <v>10250</v>
      </c>
      <c r="AB3038" s="462" t="s">
        <v>10251</v>
      </c>
      <c r="AC3038" s="462" t="s">
        <v>10252</v>
      </c>
      <c r="AD3038" s="464">
        <v>4990.03629</v>
      </c>
      <c r="AE3038" s="465">
        <v>0</v>
      </c>
      <c r="AF3038" s="86">
        <f>IF(verze!$E$1="CZK",AD3038,IF(verze!$E$1="SK",AE3038,""))</f>
        <v>0</v>
      </c>
    </row>
    <row r="3039" spans="27:32" ht="15">
      <c r="AA3039" s="463" t="s">
        <v>10253</v>
      </c>
      <c r="AB3039" s="462" t="s">
        <v>10254</v>
      </c>
      <c r="AC3039" s="462" t="s">
        <v>10255</v>
      </c>
      <c r="AD3039" s="464">
        <v>3756.5952499999999</v>
      </c>
      <c r="AE3039" s="465">
        <v>147.00443999999999</v>
      </c>
      <c r="AF3039" s="86">
        <f>IF(verze!$E$1="CZK",AD3039,IF(verze!$E$1="SK",AE3039,""))</f>
        <v>147.00443999999999</v>
      </c>
    </row>
    <row r="3040" spans="27:32" ht="15">
      <c r="AA3040" s="463" t="s">
        <v>10256</v>
      </c>
      <c r="AB3040" s="462" t="s">
        <v>10257</v>
      </c>
      <c r="AC3040" s="462" t="s">
        <v>10258</v>
      </c>
      <c r="AD3040" s="464">
        <v>4450.2563799999998</v>
      </c>
      <c r="AE3040" s="465">
        <v>203.87942000000001</v>
      </c>
      <c r="AF3040" s="86">
        <f>IF(verze!$E$1="CZK",AD3040,IF(verze!$E$1="SK",AE3040,""))</f>
        <v>203.87942000000001</v>
      </c>
    </row>
    <row r="3041" spans="27:32" ht="15">
      <c r="AA3041" s="463" t="s">
        <v>10259</v>
      </c>
      <c r="AB3041" s="462" t="s">
        <v>10260</v>
      </c>
      <c r="AC3041" s="462" t="s">
        <v>10261</v>
      </c>
      <c r="AD3041" s="464">
        <v>4648.6782899999998</v>
      </c>
      <c r="AE3041" s="465">
        <v>212.96969999999999</v>
      </c>
      <c r="AF3041" s="86">
        <f>IF(verze!$E$1="CZK",AD3041,IF(verze!$E$1="SK",AE3041,""))</f>
        <v>212.96969999999999</v>
      </c>
    </row>
    <row r="3042" spans="27:32" ht="15">
      <c r="AA3042" s="463" t="s">
        <v>10262</v>
      </c>
      <c r="AB3042" s="462" t="s">
        <v>10263</v>
      </c>
      <c r="AC3042" s="462" t="s">
        <v>10264</v>
      </c>
      <c r="AD3042" s="464">
        <v>4894.7536600000003</v>
      </c>
      <c r="AE3042" s="465">
        <v>224.24315999999999</v>
      </c>
      <c r="AF3042" s="86">
        <f>IF(verze!$E$1="CZK",AD3042,IF(verze!$E$1="SK",AE3042,""))</f>
        <v>224.24315999999999</v>
      </c>
    </row>
    <row r="3043" spans="27:32" ht="15">
      <c r="AA3043" s="463" t="s">
        <v>10265</v>
      </c>
      <c r="AB3043" s="462" t="s">
        <v>10266</v>
      </c>
      <c r="AC3043" s="462" t="s">
        <v>10267</v>
      </c>
      <c r="AD3043" s="464">
        <v>92.030749999999998</v>
      </c>
      <c r="AE3043" s="465">
        <v>3.6665100000000002</v>
      </c>
      <c r="AF3043" s="86">
        <f>IF(verze!$E$1="CZK",AD3043,IF(verze!$E$1="SK",AE3043,""))</f>
        <v>3.6665100000000002</v>
      </c>
    </row>
    <row r="3044" spans="27:32" ht="15">
      <c r="AA3044" s="463" t="s">
        <v>10268</v>
      </c>
      <c r="AB3044" s="462" t="s">
        <v>10269</v>
      </c>
      <c r="AC3044" s="462" t="s">
        <v>10270</v>
      </c>
      <c r="AD3044" s="464">
        <v>347.47777000000002</v>
      </c>
      <c r="AE3044" s="465">
        <v>15.918979999999999</v>
      </c>
      <c r="AF3044" s="86">
        <f>IF(verze!$E$1="CZK",AD3044,IF(verze!$E$1="SK",AE3044,""))</f>
        <v>15.918979999999999</v>
      </c>
    </row>
    <row r="3045" spans="27:32" ht="15">
      <c r="AA3045" s="463" t="s">
        <v>10271</v>
      </c>
      <c r="AB3045" s="462" t="s">
        <v>10272</v>
      </c>
      <c r="AC3045" s="462" t="s">
        <v>10273</v>
      </c>
      <c r="AD3045" s="464">
        <v>304.54806000000002</v>
      </c>
      <c r="AE3045" s="465">
        <v>13.95224</v>
      </c>
      <c r="AF3045" s="86">
        <f>IF(verze!$E$1="CZK",AD3045,IF(verze!$E$1="SK",AE3045,""))</f>
        <v>13.95224</v>
      </c>
    </row>
    <row r="3046" spans="27:32" ht="15">
      <c r="AA3046" s="463" t="s">
        <v>10274</v>
      </c>
      <c r="AB3046" s="462" t="s">
        <v>10275</v>
      </c>
      <c r="AC3046" s="462" t="s">
        <v>10276</v>
      </c>
      <c r="AD3046" s="464">
        <v>4217.5241699999997</v>
      </c>
      <c r="AE3046" s="465">
        <v>0</v>
      </c>
      <c r="AF3046" s="86">
        <f>IF(verze!$E$1="CZK",AD3046,IF(verze!$E$1="SK",AE3046,""))</f>
        <v>0</v>
      </c>
    </row>
    <row r="3047" spans="27:32" ht="15">
      <c r="AA3047" s="463" t="s">
        <v>10277</v>
      </c>
      <c r="AB3047" s="462" t="s">
        <v>10278</v>
      </c>
      <c r="AC3047" s="462" t="s">
        <v>10279</v>
      </c>
      <c r="AD3047" s="464">
        <v>0</v>
      </c>
      <c r="AE3047" s="465">
        <v>0</v>
      </c>
      <c r="AF3047" s="86">
        <f>IF(verze!$E$1="CZK",AD3047,IF(verze!$E$1="SK",AE3047,""))</f>
        <v>0</v>
      </c>
    </row>
    <row r="3048" spans="27:32" ht="15">
      <c r="AA3048" s="463" t="s">
        <v>10280</v>
      </c>
      <c r="AB3048" s="462" t="s">
        <v>10281</v>
      </c>
      <c r="AC3048" s="462" t="s">
        <v>10282</v>
      </c>
      <c r="AD3048" s="464">
        <v>2025.96119</v>
      </c>
      <c r="AE3048" s="465">
        <v>92.815280000000001</v>
      </c>
      <c r="AF3048" s="86">
        <f>IF(verze!$E$1="CZK",AD3048,IF(verze!$E$1="SK",AE3048,""))</f>
        <v>92.815280000000001</v>
      </c>
    </row>
    <row r="3049" spans="27:32" ht="15">
      <c r="AA3049" s="463" t="s">
        <v>10283</v>
      </c>
      <c r="AB3049" s="462" t="s">
        <v>10284</v>
      </c>
      <c r="AC3049" s="462" t="s">
        <v>10285</v>
      </c>
      <c r="AD3049" s="464">
        <v>2973.6392900000001</v>
      </c>
      <c r="AE3049" s="465">
        <v>0</v>
      </c>
      <c r="AF3049" s="86">
        <f>IF(verze!$E$1="CZK",AD3049,IF(verze!$E$1="SK",AE3049,""))</f>
        <v>0</v>
      </c>
    </row>
    <row r="3050" spans="27:32" ht="15">
      <c r="AA3050" s="463" t="s">
        <v>10286</v>
      </c>
      <c r="AB3050" s="462" t="s">
        <v>10287</v>
      </c>
      <c r="AC3050" s="462" t="s">
        <v>10288</v>
      </c>
      <c r="AD3050" s="464">
        <v>5598.9561000000003</v>
      </c>
      <c r="AE3050" s="465">
        <v>223.98612</v>
      </c>
      <c r="AF3050" s="86">
        <f>IF(verze!$E$1="CZK",AD3050,IF(verze!$E$1="SK",AE3050,""))</f>
        <v>223.98612</v>
      </c>
    </row>
    <row r="3051" spans="27:32" ht="15">
      <c r="AA3051" s="463" t="s">
        <v>10289</v>
      </c>
      <c r="AB3051" s="462" t="s">
        <v>10290</v>
      </c>
      <c r="AC3051" s="462" t="s">
        <v>10291</v>
      </c>
      <c r="AD3051" s="464">
        <v>2973.6392900000001</v>
      </c>
      <c r="AE3051" s="465">
        <v>0</v>
      </c>
      <c r="AF3051" s="86">
        <f>IF(verze!$E$1="CZK",AD3051,IF(verze!$E$1="SK",AE3051,""))</f>
        <v>0</v>
      </c>
    </row>
    <row r="3052" spans="27:32" ht="15">
      <c r="AA3052" s="463" t="s">
        <v>10292</v>
      </c>
      <c r="AB3052" s="462" t="s">
        <v>10293</v>
      </c>
      <c r="AC3052" s="462" t="s">
        <v>10294</v>
      </c>
      <c r="AD3052" s="464">
        <v>2973.6392900000001</v>
      </c>
      <c r="AE3052" s="465">
        <v>0</v>
      </c>
      <c r="AF3052" s="86">
        <f>IF(verze!$E$1="CZK",AD3052,IF(verze!$E$1="SK",AE3052,""))</f>
        <v>0</v>
      </c>
    </row>
    <row r="3053" spans="27:32" ht="15">
      <c r="AA3053" s="463" t="s">
        <v>10295</v>
      </c>
      <c r="AB3053" s="462" t="s">
        <v>10296</v>
      </c>
      <c r="AC3053" s="462" t="s">
        <v>10297</v>
      </c>
      <c r="AD3053" s="464">
        <v>3867.15166</v>
      </c>
      <c r="AE3053" s="465">
        <v>154.70532</v>
      </c>
      <c r="AF3053" s="86">
        <f>IF(verze!$E$1="CZK",AD3053,IF(verze!$E$1="SK",AE3053,""))</f>
        <v>154.70532</v>
      </c>
    </row>
    <row r="3054" spans="27:32" ht="15">
      <c r="AA3054" s="463" t="s">
        <v>10298</v>
      </c>
      <c r="AB3054" s="462" t="s">
        <v>10299</v>
      </c>
      <c r="AC3054" s="462" t="s">
        <v>10300</v>
      </c>
      <c r="AD3054" s="464">
        <v>7650.2329799999998</v>
      </c>
      <c r="AE3054" s="465">
        <v>306.04739999999998</v>
      </c>
      <c r="AF3054" s="86">
        <f>IF(verze!$E$1="CZK",AD3054,IF(verze!$E$1="SK",AE3054,""))</f>
        <v>306.04739999999998</v>
      </c>
    </row>
    <row r="3055" spans="27:32" ht="15">
      <c r="AA3055" s="463" t="s">
        <v>10301</v>
      </c>
      <c r="AB3055" s="462" t="s">
        <v>10302</v>
      </c>
      <c r="AC3055" s="462" t="s">
        <v>10303</v>
      </c>
      <c r="AD3055" s="464">
        <v>2136.4135500000002</v>
      </c>
      <c r="AE3055" s="465">
        <v>0</v>
      </c>
      <c r="AF3055" s="86">
        <f>IF(verze!$E$1="CZK",AD3055,IF(verze!$E$1="SK",AE3055,""))</f>
        <v>0</v>
      </c>
    </row>
    <row r="3056" spans="27:32" ht="15">
      <c r="AA3056" s="463" t="s">
        <v>10304</v>
      </c>
      <c r="AB3056" s="462" t="s">
        <v>10305</v>
      </c>
      <c r="AC3056" s="462" t="s">
        <v>10306</v>
      </c>
      <c r="AD3056" s="464">
        <v>2466.9373599999999</v>
      </c>
      <c r="AE3056" s="465">
        <v>0</v>
      </c>
      <c r="AF3056" s="86">
        <f>IF(verze!$E$1="CZK",AD3056,IF(verze!$E$1="SK",AE3056,""))</f>
        <v>0</v>
      </c>
    </row>
    <row r="3057" spans="27:32" ht="15">
      <c r="AA3057" s="463" t="s">
        <v>10307</v>
      </c>
      <c r="AB3057" s="462" t="s">
        <v>10308</v>
      </c>
      <c r="AC3057" s="462" t="s">
        <v>10309</v>
      </c>
      <c r="AD3057" s="464">
        <v>2466.9373599999999</v>
      </c>
      <c r="AE3057" s="465">
        <v>0</v>
      </c>
      <c r="AF3057" s="86">
        <f>IF(verze!$E$1="CZK",AD3057,IF(verze!$E$1="SK",AE3057,""))</f>
        <v>0</v>
      </c>
    </row>
    <row r="3058" spans="27:32" ht="15">
      <c r="AA3058" s="463" t="s">
        <v>10310</v>
      </c>
      <c r="AB3058" s="462" t="s">
        <v>10311</v>
      </c>
      <c r="AC3058" s="462" t="s">
        <v>10312</v>
      </c>
      <c r="AD3058" s="464">
        <v>2029.1193699999999</v>
      </c>
      <c r="AE3058" s="465">
        <v>0</v>
      </c>
      <c r="AF3058" s="86">
        <f>IF(verze!$E$1="CZK",AD3058,IF(verze!$E$1="SK",AE3058,""))</f>
        <v>0</v>
      </c>
    </row>
    <row r="3059" spans="27:32" ht="15">
      <c r="AA3059" s="463" t="s">
        <v>10313</v>
      </c>
      <c r="AB3059" s="462" t="s">
        <v>10314</v>
      </c>
      <c r="AC3059" s="462" t="s">
        <v>10315</v>
      </c>
      <c r="AD3059" s="464">
        <v>2089.41158</v>
      </c>
      <c r="AE3059" s="465">
        <v>83.586879999999994</v>
      </c>
      <c r="AF3059" s="86">
        <f>IF(verze!$E$1="CZK",AD3059,IF(verze!$E$1="SK",AE3059,""))</f>
        <v>83.586879999999994</v>
      </c>
    </row>
    <row r="3060" spans="27:32" ht="15">
      <c r="AA3060" s="463" t="s">
        <v>10316</v>
      </c>
      <c r="AB3060" s="462" t="s">
        <v>10317</v>
      </c>
      <c r="AC3060" s="462" t="s">
        <v>10318</v>
      </c>
      <c r="AD3060" s="464">
        <v>3154.2348299999999</v>
      </c>
      <c r="AE3060" s="465">
        <v>126.18510000000001</v>
      </c>
      <c r="AF3060" s="86">
        <f>IF(verze!$E$1="CZK",AD3060,IF(verze!$E$1="SK",AE3060,""))</f>
        <v>126.18510000000001</v>
      </c>
    </row>
    <row r="3061" spans="27:32" ht="15">
      <c r="AA3061" s="463" t="s">
        <v>10319</v>
      </c>
      <c r="AB3061" s="462" t="s">
        <v>10320</v>
      </c>
      <c r="AC3061" s="462" t="s">
        <v>10321</v>
      </c>
      <c r="AD3061" s="464">
        <v>188.98809</v>
      </c>
      <c r="AE3061" s="465">
        <v>7.56046</v>
      </c>
      <c r="AF3061" s="86">
        <f>IF(verze!$E$1="CZK",AD3061,IF(verze!$E$1="SK",AE3061,""))</f>
        <v>7.56046</v>
      </c>
    </row>
    <row r="3062" spans="27:32" ht="15">
      <c r="AA3062" s="463" t="s">
        <v>10322</v>
      </c>
      <c r="AB3062" s="462" t="s">
        <v>10323</v>
      </c>
      <c r="AC3062" s="462" t="s">
        <v>10324</v>
      </c>
      <c r="AD3062" s="464">
        <v>53.121369999999999</v>
      </c>
      <c r="AE3062" s="465">
        <v>2.1251199999999999</v>
      </c>
      <c r="AF3062" s="86">
        <f>IF(verze!$E$1="CZK",AD3062,IF(verze!$E$1="SK",AE3062,""))</f>
        <v>2.1251199999999999</v>
      </c>
    </row>
    <row r="3063" spans="27:32" ht="15">
      <c r="AA3063" s="463" t="s">
        <v>10325</v>
      </c>
      <c r="AB3063" s="462" t="s">
        <v>10326</v>
      </c>
      <c r="AC3063" s="462" t="s">
        <v>10327</v>
      </c>
      <c r="AD3063" s="464">
        <v>204.48933</v>
      </c>
      <c r="AE3063" s="465">
        <v>8.2754899999999996</v>
      </c>
      <c r="AF3063" s="86">
        <f>IF(verze!$E$1="CZK",AD3063,IF(verze!$E$1="SK",AE3063,""))</f>
        <v>8.2754899999999996</v>
      </c>
    </row>
    <row r="3064" spans="27:32" ht="15">
      <c r="AA3064" s="463" t="s">
        <v>10328</v>
      </c>
      <c r="AB3064" s="462" t="s">
        <v>10329</v>
      </c>
      <c r="AC3064" s="462" t="s">
        <v>10330</v>
      </c>
      <c r="AD3064" s="464">
        <v>227.16597999999999</v>
      </c>
      <c r="AE3064" s="465">
        <v>9.1931899999999995</v>
      </c>
      <c r="AF3064" s="86">
        <f>IF(verze!$E$1="CZK",AD3064,IF(verze!$E$1="SK",AE3064,""))</f>
        <v>9.1931899999999995</v>
      </c>
    </row>
    <row r="3065" spans="27:32" ht="15">
      <c r="AA3065" s="463" t="s">
        <v>10331</v>
      </c>
      <c r="AB3065" s="462" t="s">
        <v>10332</v>
      </c>
      <c r="AC3065" s="462" t="s">
        <v>10333</v>
      </c>
      <c r="AD3065" s="464">
        <v>533.04250999999999</v>
      </c>
      <c r="AE3065" s="465">
        <v>21.571709999999999</v>
      </c>
      <c r="AF3065" s="86">
        <f>IF(verze!$E$1="CZK",AD3065,IF(verze!$E$1="SK",AE3065,""))</f>
        <v>21.571709999999999</v>
      </c>
    </row>
    <row r="3066" spans="27:32" ht="15">
      <c r="AA3066" s="463" t="s">
        <v>10334</v>
      </c>
      <c r="AB3066" s="462" t="s">
        <v>10335</v>
      </c>
      <c r="AC3066" s="462" t="s">
        <v>10336</v>
      </c>
      <c r="AD3066" s="464">
        <v>826.13136999999995</v>
      </c>
      <c r="AE3066" s="465">
        <v>33.499490000000002</v>
      </c>
      <c r="AF3066" s="86">
        <f>IF(verze!$E$1="CZK",AD3066,IF(verze!$E$1="SK",AE3066,""))</f>
        <v>33.499490000000002</v>
      </c>
    </row>
    <row r="3067" spans="27:32" ht="15">
      <c r="AA3067" s="463" t="s">
        <v>10337</v>
      </c>
      <c r="AB3067" s="462" t="s">
        <v>10338</v>
      </c>
      <c r="AC3067" s="462" t="s">
        <v>10339</v>
      </c>
      <c r="AD3067" s="464">
        <v>176.65665000000001</v>
      </c>
      <c r="AE3067" s="465">
        <v>7.0671400000000002</v>
      </c>
      <c r="AF3067" s="86">
        <f>IF(verze!$E$1="CZK",AD3067,IF(verze!$E$1="SK",AE3067,""))</f>
        <v>7.0671400000000002</v>
      </c>
    </row>
    <row r="3068" spans="27:32" ht="15">
      <c r="AA3068" s="463" t="s">
        <v>10340</v>
      </c>
      <c r="AB3068" s="462" t="s">
        <v>10341</v>
      </c>
      <c r="AC3068" s="462" t="s">
        <v>10342</v>
      </c>
      <c r="AD3068" s="464">
        <v>1958.9731999999999</v>
      </c>
      <c r="AE3068" s="465">
        <v>78.368690000000001</v>
      </c>
      <c r="AF3068" s="86">
        <f>IF(verze!$E$1="CZK",AD3068,IF(verze!$E$1="SK",AE3068,""))</f>
        <v>78.368690000000001</v>
      </c>
    </row>
    <row r="3069" spans="27:32" ht="15">
      <c r="AA3069" s="463" t="s">
        <v>10343</v>
      </c>
      <c r="AB3069" s="462" t="s">
        <v>10344</v>
      </c>
      <c r="AC3069" s="462" t="s">
        <v>10345</v>
      </c>
      <c r="AD3069" s="464">
        <v>1452.55575</v>
      </c>
      <c r="AE3069" s="465">
        <v>58.109450000000002</v>
      </c>
      <c r="AF3069" s="86">
        <f>IF(verze!$E$1="CZK",AD3069,IF(verze!$E$1="SK",AE3069,""))</f>
        <v>58.109450000000002</v>
      </c>
    </row>
    <row r="3070" spans="27:32" ht="15">
      <c r="AA3070" s="463" t="s">
        <v>10346</v>
      </c>
      <c r="AB3070" s="462" t="s">
        <v>10347</v>
      </c>
      <c r="AC3070" s="462" t="s">
        <v>10348</v>
      </c>
      <c r="AD3070" s="464">
        <v>2325.17866</v>
      </c>
      <c r="AE3070" s="465">
        <v>93.018730000000005</v>
      </c>
      <c r="AF3070" s="86">
        <f>IF(verze!$E$1="CZK",AD3070,IF(verze!$E$1="SK",AE3070,""))</f>
        <v>93.018730000000005</v>
      </c>
    </row>
    <row r="3071" spans="27:32" ht="15">
      <c r="AA3071" s="463" t="s">
        <v>10349</v>
      </c>
      <c r="AB3071" s="462" t="s">
        <v>10350</v>
      </c>
      <c r="AC3071" s="462" t="s">
        <v>10351</v>
      </c>
      <c r="AD3071" s="464">
        <v>1963.0628099999999</v>
      </c>
      <c r="AE3071" s="465">
        <v>78.53228</v>
      </c>
      <c r="AF3071" s="86">
        <f>IF(verze!$E$1="CZK",AD3071,IF(verze!$E$1="SK",AE3071,""))</f>
        <v>78.53228</v>
      </c>
    </row>
    <row r="3072" spans="27:32" ht="15">
      <c r="AA3072" s="463" t="s">
        <v>10352</v>
      </c>
      <c r="AB3072" s="462" t="s">
        <v>10353</v>
      </c>
      <c r="AC3072" s="462" t="s">
        <v>10354</v>
      </c>
      <c r="AD3072" s="464">
        <v>1658.11374</v>
      </c>
      <c r="AE3072" s="465">
        <v>66.332790000000003</v>
      </c>
      <c r="AF3072" s="86">
        <f>IF(verze!$E$1="CZK",AD3072,IF(verze!$E$1="SK",AE3072,""))</f>
        <v>66.332790000000003</v>
      </c>
    </row>
    <row r="3073" spans="27:32" ht="15">
      <c r="AA3073" s="463" t="s">
        <v>10355</v>
      </c>
      <c r="AB3073" s="462" t="s">
        <v>10356</v>
      </c>
      <c r="AC3073" s="462" t="s">
        <v>10357</v>
      </c>
      <c r="AD3073" s="464">
        <v>2088.3046300000001</v>
      </c>
      <c r="AE3073" s="465">
        <v>83.542569999999998</v>
      </c>
      <c r="AF3073" s="86">
        <f>IF(verze!$E$1="CZK",AD3073,IF(verze!$E$1="SK",AE3073,""))</f>
        <v>83.542569999999998</v>
      </c>
    </row>
    <row r="3074" spans="27:32" ht="15">
      <c r="AA3074" s="463" t="s">
        <v>10358</v>
      </c>
      <c r="AB3074" s="462" t="s">
        <v>10359</v>
      </c>
      <c r="AC3074" s="462" t="s">
        <v>10360</v>
      </c>
      <c r="AD3074" s="464">
        <v>1806.50243</v>
      </c>
      <c r="AE3074" s="465">
        <v>72.269090000000006</v>
      </c>
      <c r="AF3074" s="86">
        <f>IF(verze!$E$1="CZK",AD3074,IF(verze!$E$1="SK",AE3074,""))</f>
        <v>72.269090000000006</v>
      </c>
    </row>
    <row r="3075" spans="27:32" ht="15">
      <c r="AA3075" s="463" t="s">
        <v>10361</v>
      </c>
      <c r="AB3075" s="462" t="s">
        <v>10362</v>
      </c>
      <c r="AC3075" s="462" t="s">
        <v>10363</v>
      </c>
      <c r="AD3075" s="464">
        <v>1681.26314</v>
      </c>
      <c r="AE3075" s="465">
        <v>67.258889999999994</v>
      </c>
      <c r="AF3075" s="86">
        <f>IF(verze!$E$1="CZK",AD3075,IF(verze!$E$1="SK",AE3075,""))</f>
        <v>67.258889999999994</v>
      </c>
    </row>
    <row r="3076" spans="27:32" ht="15">
      <c r="AA3076" s="463" t="s">
        <v>10364</v>
      </c>
      <c r="AB3076" s="462" t="s">
        <v>10365</v>
      </c>
      <c r="AC3076" s="462" t="s">
        <v>10366</v>
      </c>
      <c r="AD3076" s="464">
        <v>1554.6556</v>
      </c>
      <c r="AE3076" s="465">
        <v>62.193959999999997</v>
      </c>
      <c r="AF3076" s="86">
        <f>IF(verze!$E$1="CZK",AD3076,IF(verze!$E$1="SK",AE3076,""))</f>
        <v>62.193959999999997</v>
      </c>
    </row>
    <row r="3077" spans="27:32" ht="15">
      <c r="AA3077" s="463" t="s">
        <v>10367</v>
      </c>
      <c r="AB3077" s="462" t="s">
        <v>10368</v>
      </c>
      <c r="AC3077" s="462" t="s">
        <v>10369</v>
      </c>
      <c r="AD3077" s="464">
        <v>367.42766999999998</v>
      </c>
      <c r="AE3077" s="465">
        <v>17.674589999999998</v>
      </c>
      <c r="AF3077" s="86">
        <f>IF(verze!$E$1="CZK",AD3077,IF(verze!$E$1="SK",AE3077,""))</f>
        <v>17.674589999999998</v>
      </c>
    </row>
    <row r="3078" spans="27:32" ht="15">
      <c r="AA3078" s="463" t="s">
        <v>10370</v>
      </c>
      <c r="AB3078" s="462" t="s">
        <v>10371</v>
      </c>
      <c r="AC3078" s="462" t="s">
        <v>10372</v>
      </c>
      <c r="AD3078" s="464">
        <v>367.42766999999998</v>
      </c>
      <c r="AE3078" s="465">
        <v>17.674589999999998</v>
      </c>
      <c r="AF3078" s="86">
        <f>IF(verze!$E$1="CZK",AD3078,IF(verze!$E$1="SK",AE3078,""))</f>
        <v>17.674589999999998</v>
      </c>
    </row>
    <row r="3079" spans="27:32" ht="15">
      <c r="AA3079" s="463" t="s">
        <v>10373</v>
      </c>
      <c r="AB3079" s="462" t="s">
        <v>10374</v>
      </c>
      <c r="AC3079" s="462" t="s">
        <v>10375</v>
      </c>
      <c r="AD3079" s="464">
        <v>349.92597999999998</v>
      </c>
      <c r="AE3079" s="465">
        <v>16.832699999999999</v>
      </c>
      <c r="AF3079" s="86">
        <f>IF(verze!$E$1="CZK",AD3079,IF(verze!$E$1="SK",AE3079,""))</f>
        <v>16.832699999999999</v>
      </c>
    </row>
    <row r="3080" spans="27:32" ht="15">
      <c r="AA3080" s="463" t="s">
        <v>10376</v>
      </c>
      <c r="AB3080" s="462" t="s">
        <v>10377</v>
      </c>
      <c r="AC3080" s="462" t="s">
        <v>10378</v>
      </c>
      <c r="AD3080" s="464">
        <v>68.079859999999996</v>
      </c>
      <c r="AE3080" s="465">
        <v>2.7235399999999998</v>
      </c>
      <c r="AF3080" s="86">
        <f>IF(verze!$E$1="CZK",AD3080,IF(verze!$E$1="SK",AE3080,""))</f>
        <v>2.7235399999999998</v>
      </c>
    </row>
    <row r="3081" spans="27:32" ht="15">
      <c r="AA3081" s="463" t="s">
        <v>10379</v>
      </c>
      <c r="AB3081" s="462" t="s">
        <v>10380</v>
      </c>
      <c r="AC3081" s="462" t="s">
        <v>10381</v>
      </c>
      <c r="AD3081" s="464">
        <v>89.601960000000005</v>
      </c>
      <c r="AE3081" s="465">
        <v>3.5845400000000001</v>
      </c>
      <c r="AF3081" s="86">
        <f>IF(verze!$E$1="CZK",AD3081,IF(verze!$E$1="SK",AE3081,""))</f>
        <v>3.5845400000000001</v>
      </c>
    </row>
    <row r="3082" spans="27:32" ht="15">
      <c r="AA3082" s="463" t="s">
        <v>10382</v>
      </c>
      <c r="AB3082" s="462" t="s">
        <v>10383</v>
      </c>
      <c r="AC3082" s="462" t="s">
        <v>10384</v>
      </c>
      <c r="AD3082" s="464">
        <v>28.44182</v>
      </c>
      <c r="AE3082" s="465">
        <v>1.36815</v>
      </c>
      <c r="AF3082" s="86">
        <f>IF(verze!$E$1="CZK",AD3082,IF(verze!$E$1="SK",AE3082,""))</f>
        <v>1.36815</v>
      </c>
    </row>
    <row r="3083" spans="27:32" ht="15">
      <c r="AA3083" s="463" t="s">
        <v>10385</v>
      </c>
      <c r="AB3083" s="462" t="s">
        <v>10386</v>
      </c>
      <c r="AC3083" s="462" t="s">
        <v>10387</v>
      </c>
      <c r="AD3083" s="464">
        <v>30.11392</v>
      </c>
      <c r="AE3083" s="465">
        <v>1.44858</v>
      </c>
      <c r="AF3083" s="86">
        <f>IF(verze!$E$1="CZK",AD3083,IF(verze!$E$1="SK",AE3083,""))</f>
        <v>1.44858</v>
      </c>
    </row>
    <row r="3084" spans="27:32" ht="15">
      <c r="AA3084" s="463" t="s">
        <v>10388</v>
      </c>
      <c r="AB3084" s="462" t="s">
        <v>10389</v>
      </c>
      <c r="AC3084" s="462" t="s">
        <v>10390</v>
      </c>
      <c r="AD3084" s="464">
        <v>244.21566000000001</v>
      </c>
      <c r="AE3084" s="465">
        <v>9.7698499999999999</v>
      </c>
      <c r="AF3084" s="86">
        <f>IF(verze!$E$1="CZK",AD3084,IF(verze!$E$1="SK",AE3084,""))</f>
        <v>9.7698499999999999</v>
      </c>
    </row>
    <row r="3085" spans="27:32" ht="15">
      <c r="AA3085" s="463" t="s">
        <v>10391</v>
      </c>
      <c r="AB3085" s="462" t="s">
        <v>10392</v>
      </c>
      <c r="AC3085" s="462" t="s">
        <v>10393</v>
      </c>
      <c r="AD3085" s="464">
        <v>244.21566000000001</v>
      </c>
      <c r="AE3085" s="465">
        <v>9.7698499999999999</v>
      </c>
      <c r="AF3085" s="86">
        <f>IF(verze!$E$1="CZK",AD3085,IF(verze!$E$1="SK",AE3085,""))</f>
        <v>9.7698499999999999</v>
      </c>
    </row>
    <row r="3086" spans="27:32" ht="15">
      <c r="AA3086" s="463" t="s">
        <v>10394</v>
      </c>
      <c r="AB3086" s="462" t="s">
        <v>10395</v>
      </c>
      <c r="AC3086" s="462" t="s">
        <v>10396</v>
      </c>
      <c r="AD3086" s="464">
        <v>244.21566000000001</v>
      </c>
      <c r="AE3086" s="465">
        <v>9.7698499999999999</v>
      </c>
      <c r="AF3086" s="86">
        <f>IF(verze!$E$1="CZK",AD3086,IF(verze!$E$1="SK",AE3086,""))</f>
        <v>9.7698499999999999</v>
      </c>
    </row>
    <row r="3087" spans="27:32" ht="15">
      <c r="AA3087" s="463" t="s">
        <v>10397</v>
      </c>
      <c r="AB3087" s="462" t="s">
        <v>10398</v>
      </c>
      <c r="AC3087" s="462" t="s">
        <v>10399</v>
      </c>
      <c r="AD3087" s="464">
        <v>249.32151999999999</v>
      </c>
      <c r="AE3087" s="465">
        <v>9.9741</v>
      </c>
      <c r="AF3087" s="86">
        <f>IF(verze!$E$1="CZK",AD3087,IF(verze!$E$1="SK",AE3087,""))</f>
        <v>9.9741</v>
      </c>
    </row>
    <row r="3088" spans="27:32" ht="15">
      <c r="AA3088" s="463" t="s">
        <v>10400</v>
      </c>
      <c r="AB3088" s="462" t="s">
        <v>10401</v>
      </c>
      <c r="AC3088" s="462" t="s">
        <v>10402</v>
      </c>
      <c r="AD3088" s="464">
        <v>138.87687</v>
      </c>
      <c r="AE3088" s="465">
        <v>5.5557699999999999</v>
      </c>
      <c r="AF3088" s="86">
        <f>IF(verze!$E$1="CZK",AD3088,IF(verze!$E$1="SK",AE3088,""))</f>
        <v>5.5557699999999999</v>
      </c>
    </row>
    <row r="3089" spans="27:32" ht="15">
      <c r="AA3089" s="463" t="s">
        <v>10403</v>
      </c>
      <c r="AB3089" s="462" t="s">
        <v>10404</v>
      </c>
      <c r="AC3089" s="462" t="s">
        <v>10405</v>
      </c>
      <c r="AD3089" s="464">
        <v>210.23992999999999</v>
      </c>
      <c r="AE3089" s="465">
        <v>8.4106500000000004</v>
      </c>
      <c r="AF3089" s="86">
        <f>IF(verze!$E$1="CZK",AD3089,IF(verze!$E$1="SK",AE3089,""))</f>
        <v>8.4106500000000004</v>
      </c>
    </row>
    <row r="3090" spans="27:32" ht="15">
      <c r="AA3090" s="463" t="s">
        <v>10406</v>
      </c>
      <c r="AB3090" s="462" t="s">
        <v>10407</v>
      </c>
      <c r="AC3090" s="462" t="s">
        <v>10408</v>
      </c>
      <c r="AD3090" s="464">
        <v>369.26825000000002</v>
      </c>
      <c r="AE3090" s="465">
        <v>14.77258</v>
      </c>
      <c r="AF3090" s="86">
        <f>IF(verze!$E$1="CZK",AD3090,IF(verze!$E$1="SK",AE3090,""))</f>
        <v>14.77258</v>
      </c>
    </row>
    <row r="3091" spans="27:32" ht="15">
      <c r="AA3091" s="463" t="s">
        <v>10409</v>
      </c>
      <c r="AB3091" s="462" t="s">
        <v>10410</v>
      </c>
      <c r="AC3091" s="462" t="s">
        <v>10411</v>
      </c>
      <c r="AD3091" s="464">
        <v>527.52819</v>
      </c>
      <c r="AE3091" s="465">
        <v>21.103750000000002</v>
      </c>
      <c r="AF3091" s="86">
        <f>IF(verze!$E$1="CZK",AD3091,IF(verze!$E$1="SK",AE3091,""))</f>
        <v>21.103750000000002</v>
      </c>
    </row>
    <row r="3092" spans="27:32" ht="15">
      <c r="AA3092" s="463" t="s">
        <v>10412</v>
      </c>
      <c r="AB3092" s="462" t="s">
        <v>10413</v>
      </c>
      <c r="AC3092" s="462" t="s">
        <v>10414</v>
      </c>
      <c r="AD3092" s="464">
        <v>388.96908000000002</v>
      </c>
      <c r="AE3092" s="465">
        <v>15.560700000000001</v>
      </c>
      <c r="AF3092" s="86">
        <f>IF(verze!$E$1="CZK",AD3092,IF(verze!$E$1="SK",AE3092,""))</f>
        <v>15.560700000000001</v>
      </c>
    </row>
    <row r="3093" spans="27:32" ht="15">
      <c r="AA3093" s="463" t="s">
        <v>10415</v>
      </c>
      <c r="AB3093" s="462" t="s">
        <v>10416</v>
      </c>
      <c r="AC3093" s="462" t="s">
        <v>10417</v>
      </c>
      <c r="AD3093" s="464">
        <v>388.96908000000002</v>
      </c>
      <c r="AE3093" s="465">
        <v>15.560700000000001</v>
      </c>
      <c r="AF3093" s="86">
        <f>IF(verze!$E$1="CZK",AD3093,IF(verze!$E$1="SK",AE3093,""))</f>
        <v>15.560700000000001</v>
      </c>
    </row>
    <row r="3094" spans="27:32" ht="15">
      <c r="AA3094" s="463" t="s">
        <v>10418</v>
      </c>
      <c r="AB3094" s="462" t="s">
        <v>10419</v>
      </c>
      <c r="AC3094" s="462" t="s">
        <v>10420</v>
      </c>
      <c r="AD3094" s="464">
        <v>405.23099000000002</v>
      </c>
      <c r="AE3094" s="465">
        <v>16.21125</v>
      </c>
      <c r="AF3094" s="86">
        <f>IF(verze!$E$1="CZK",AD3094,IF(verze!$E$1="SK",AE3094,""))</f>
        <v>16.21125</v>
      </c>
    </row>
    <row r="3095" spans="27:32" ht="15">
      <c r="AA3095" s="463" t="s">
        <v>10421</v>
      </c>
      <c r="AB3095" s="462" t="s">
        <v>10422</v>
      </c>
      <c r="AC3095" s="462" t="s">
        <v>10423</v>
      </c>
      <c r="AD3095" s="464">
        <v>405.23099000000002</v>
      </c>
      <c r="AE3095" s="465">
        <v>16.21125</v>
      </c>
      <c r="AF3095" s="86">
        <f>IF(verze!$E$1="CZK",AD3095,IF(verze!$E$1="SK",AE3095,""))</f>
        <v>16.21125</v>
      </c>
    </row>
    <row r="3096" spans="27:32" ht="15">
      <c r="AA3096" s="463" t="s">
        <v>10424</v>
      </c>
      <c r="AB3096" s="462" t="s">
        <v>10425</v>
      </c>
      <c r="AC3096" s="462" t="s">
        <v>10426</v>
      </c>
      <c r="AD3096" s="464">
        <v>2160.7298500000002</v>
      </c>
      <c r="AE3096" s="465">
        <v>86.998990000000006</v>
      </c>
      <c r="AF3096" s="86">
        <f>IF(verze!$E$1="CZK",AD3096,IF(verze!$E$1="SK",AE3096,""))</f>
        <v>86.998990000000006</v>
      </c>
    </row>
    <row r="3097" spans="27:32" ht="15">
      <c r="AA3097" s="463" t="s">
        <v>10427</v>
      </c>
      <c r="AB3097" s="462" t="s">
        <v>10428</v>
      </c>
      <c r="AC3097" s="462" t="s">
        <v>10429</v>
      </c>
      <c r="AD3097" s="464">
        <v>2.6596299999999999</v>
      </c>
      <c r="AE3097" s="465">
        <v>0.10908</v>
      </c>
      <c r="AF3097" s="86">
        <f>IF(verze!$E$1="CZK",AD3097,IF(verze!$E$1="SK",AE3097,""))</f>
        <v>0.10908</v>
      </c>
    </row>
    <row r="3098" spans="27:32" ht="15">
      <c r="AA3098" s="463" t="s">
        <v>10430</v>
      </c>
      <c r="AB3098" s="462" t="s">
        <v>10431</v>
      </c>
      <c r="AC3098" s="462" t="s">
        <v>10432</v>
      </c>
      <c r="AD3098" s="464">
        <v>0.75434000000000001</v>
      </c>
      <c r="AE3098" s="465">
        <v>3.092E-2</v>
      </c>
      <c r="AF3098" s="86">
        <f>IF(verze!$E$1="CZK",AD3098,IF(verze!$E$1="SK",AE3098,""))</f>
        <v>3.092E-2</v>
      </c>
    </row>
    <row r="3099" spans="27:32" ht="15">
      <c r="AA3099" s="463" t="s">
        <v>10433</v>
      </c>
      <c r="AB3099" s="462" t="s">
        <v>10434</v>
      </c>
      <c r="AC3099" s="462" t="s">
        <v>10435</v>
      </c>
      <c r="AD3099" s="464">
        <v>0.75434000000000001</v>
      </c>
      <c r="AE3099" s="465">
        <v>3.092E-2</v>
      </c>
      <c r="AF3099" s="86">
        <f>IF(verze!$E$1="CZK",AD3099,IF(verze!$E$1="SK",AE3099,""))</f>
        <v>3.092E-2</v>
      </c>
    </row>
    <row r="3100" spans="27:32" ht="15">
      <c r="AA3100" s="463" t="s">
        <v>10436</v>
      </c>
      <c r="AB3100" s="462" t="s">
        <v>10437</v>
      </c>
      <c r="AC3100" s="462" t="s">
        <v>10438</v>
      </c>
      <c r="AD3100" s="464">
        <v>360.19691</v>
      </c>
      <c r="AE3100" s="465">
        <v>17.32676</v>
      </c>
      <c r="AF3100" s="86">
        <f>IF(verze!$E$1="CZK",AD3100,IF(verze!$E$1="SK",AE3100,""))</f>
        <v>17.32676</v>
      </c>
    </row>
    <row r="3101" spans="27:32" ht="15">
      <c r="AA3101" s="463" t="s">
        <v>10439</v>
      </c>
      <c r="AB3101" s="462" t="s">
        <v>10440</v>
      </c>
      <c r="AC3101" s="462" t="s">
        <v>10441</v>
      </c>
      <c r="AD3101" s="464">
        <v>764.45659000000001</v>
      </c>
      <c r="AE3101" s="465">
        <v>30.582070000000002</v>
      </c>
      <c r="AF3101" s="86">
        <f>IF(verze!$E$1="CZK",AD3101,IF(verze!$E$1="SK",AE3101,""))</f>
        <v>30.582070000000002</v>
      </c>
    </row>
    <row r="3102" spans="27:32" ht="15">
      <c r="AA3102" s="463" t="s">
        <v>10442</v>
      </c>
      <c r="AB3102" s="462" t="s">
        <v>10443</v>
      </c>
      <c r="AC3102" s="462" t="s">
        <v>10444</v>
      </c>
      <c r="AD3102" s="464">
        <v>787.38847999999996</v>
      </c>
      <c r="AE3102" s="465">
        <v>31.499469999999999</v>
      </c>
      <c r="AF3102" s="86">
        <f>IF(verze!$E$1="CZK",AD3102,IF(verze!$E$1="SK",AE3102,""))</f>
        <v>31.499469999999999</v>
      </c>
    </row>
    <row r="3103" spans="27:32" ht="15">
      <c r="AA3103" s="463" t="s">
        <v>10445</v>
      </c>
      <c r="AB3103" s="462" t="s">
        <v>10446</v>
      </c>
      <c r="AC3103" s="462" t="s">
        <v>10447</v>
      </c>
      <c r="AD3103" s="464">
        <v>3419.2831099999999</v>
      </c>
      <c r="AE3103" s="465">
        <v>164.47985</v>
      </c>
      <c r="AF3103" s="86">
        <f>IF(verze!$E$1="CZK",AD3103,IF(verze!$E$1="SK",AE3103,""))</f>
        <v>164.47985</v>
      </c>
    </row>
    <row r="3104" spans="27:32" ht="15">
      <c r="AA3104" s="463" t="s">
        <v>10448</v>
      </c>
      <c r="AB3104" s="462" t="s">
        <v>10449</v>
      </c>
      <c r="AC3104" s="462" t="s">
        <v>10450</v>
      </c>
      <c r="AD3104" s="464">
        <v>3566.6853900000001</v>
      </c>
      <c r="AE3104" s="465">
        <v>0</v>
      </c>
      <c r="AF3104" s="86">
        <f>IF(verze!$E$1="CZK",AD3104,IF(verze!$E$1="SK",AE3104,""))</f>
        <v>0</v>
      </c>
    </row>
    <row r="3105" spans="27:32" ht="15">
      <c r="AA3105" s="463" t="s">
        <v>10451</v>
      </c>
      <c r="AB3105" s="462" t="s">
        <v>10452</v>
      </c>
      <c r="AC3105" s="462" t="s">
        <v>10453</v>
      </c>
      <c r="AD3105" s="464">
        <v>3672.5431100000001</v>
      </c>
      <c r="AE3105" s="465">
        <v>176.66257999999999</v>
      </c>
      <c r="AF3105" s="86">
        <f>IF(verze!$E$1="CZK",AD3105,IF(verze!$E$1="SK",AE3105,""))</f>
        <v>176.66257999999999</v>
      </c>
    </row>
    <row r="3106" spans="27:32" ht="15">
      <c r="AA3106" s="463" t="s">
        <v>10454</v>
      </c>
      <c r="AB3106" s="462" t="s">
        <v>10455</v>
      </c>
      <c r="AC3106" s="462" t="s">
        <v>10456</v>
      </c>
      <c r="AD3106" s="464">
        <v>3815.4594900000002</v>
      </c>
      <c r="AE3106" s="465">
        <v>183.53738000000001</v>
      </c>
      <c r="AF3106" s="86">
        <f>IF(verze!$E$1="CZK",AD3106,IF(verze!$E$1="SK",AE3106,""))</f>
        <v>183.53738000000001</v>
      </c>
    </row>
    <row r="3107" spans="27:32" ht="15">
      <c r="AA3107" s="463" t="s">
        <v>10457</v>
      </c>
      <c r="AB3107" s="462" t="s">
        <v>10458</v>
      </c>
      <c r="AC3107" s="462" t="s">
        <v>10459</v>
      </c>
      <c r="AD3107" s="464">
        <v>3958.37318</v>
      </c>
      <c r="AE3107" s="465">
        <v>190.41203999999999</v>
      </c>
      <c r="AF3107" s="86">
        <f>IF(verze!$E$1="CZK",AD3107,IF(verze!$E$1="SK",AE3107,""))</f>
        <v>190.41203999999999</v>
      </c>
    </row>
    <row r="3108" spans="27:32" ht="15">
      <c r="AA3108" s="463" t="s">
        <v>10460</v>
      </c>
      <c r="AB3108" s="462" t="s">
        <v>10461</v>
      </c>
      <c r="AC3108" s="462" t="s">
        <v>10462</v>
      </c>
      <c r="AD3108" s="464">
        <v>4011.7201399999999</v>
      </c>
      <c r="AE3108" s="465">
        <v>0</v>
      </c>
      <c r="AF3108" s="86">
        <f>IF(verze!$E$1="CZK",AD3108,IF(verze!$E$1="SK",AE3108,""))</f>
        <v>0</v>
      </c>
    </row>
    <row r="3109" spans="27:32" ht="15">
      <c r="AA3109" s="463" t="s">
        <v>10463</v>
      </c>
      <c r="AB3109" s="462" t="s">
        <v>10464</v>
      </c>
      <c r="AC3109" s="462" t="s">
        <v>10465</v>
      </c>
      <c r="AD3109" s="464">
        <v>4285.0101500000001</v>
      </c>
      <c r="AE3109" s="465">
        <v>206.12445</v>
      </c>
      <c r="AF3109" s="86">
        <f>IF(verze!$E$1="CZK",AD3109,IF(verze!$E$1="SK",AE3109,""))</f>
        <v>206.12445</v>
      </c>
    </row>
    <row r="3110" spans="27:32" ht="15">
      <c r="AA3110" s="463" t="s">
        <v>10466</v>
      </c>
      <c r="AB3110" s="462" t="s">
        <v>10467</v>
      </c>
      <c r="AC3110" s="462" t="s">
        <v>10468</v>
      </c>
      <c r="AD3110" s="464">
        <v>4429.3036099999999</v>
      </c>
      <c r="AE3110" s="465">
        <v>213.06549999999999</v>
      </c>
      <c r="AF3110" s="86">
        <f>IF(verze!$E$1="CZK",AD3110,IF(verze!$E$1="SK",AE3110,""))</f>
        <v>213.06549999999999</v>
      </c>
    </row>
    <row r="3111" spans="27:32" ht="15">
      <c r="AA3111" s="463" t="s">
        <v>10469</v>
      </c>
      <c r="AB3111" s="462" t="s">
        <v>10470</v>
      </c>
      <c r="AC3111" s="462" t="s">
        <v>10471</v>
      </c>
      <c r="AD3111" s="464">
        <v>4661.25288</v>
      </c>
      <c r="AE3111" s="465">
        <v>224.22309000000001</v>
      </c>
      <c r="AF3111" s="86">
        <f>IF(verze!$E$1="CZK",AD3111,IF(verze!$E$1="SK",AE3111,""))</f>
        <v>224.22309000000001</v>
      </c>
    </row>
    <row r="3112" spans="27:32" ht="15">
      <c r="AA3112" s="463" t="s">
        <v>10472</v>
      </c>
      <c r="AB3112" s="462" t="s">
        <v>10473</v>
      </c>
      <c r="AC3112" s="462" t="s">
        <v>10474</v>
      </c>
      <c r="AD3112" s="464">
        <v>4477.6995699999998</v>
      </c>
      <c r="AE3112" s="465">
        <v>0</v>
      </c>
      <c r="AF3112" s="86">
        <f>IF(verze!$E$1="CZK",AD3112,IF(verze!$E$1="SK",AE3112,""))</f>
        <v>0</v>
      </c>
    </row>
    <row r="3113" spans="27:32" ht="15">
      <c r="AA3113" s="463" t="s">
        <v>10475</v>
      </c>
      <c r="AB3113" s="462" t="s">
        <v>10476</v>
      </c>
      <c r="AC3113" s="462" t="s">
        <v>10477</v>
      </c>
      <c r="AD3113" s="464">
        <v>4570.8939</v>
      </c>
      <c r="AE3113" s="465">
        <v>0</v>
      </c>
      <c r="AF3113" s="86">
        <f>IF(verze!$E$1="CZK",AD3113,IF(verze!$E$1="SK",AE3113,""))</f>
        <v>0</v>
      </c>
    </row>
    <row r="3114" spans="27:32" ht="15">
      <c r="AA3114" s="463" t="s">
        <v>10478</v>
      </c>
      <c r="AB3114" s="462" t="s">
        <v>10479</v>
      </c>
      <c r="AC3114" s="462" t="s">
        <v>10480</v>
      </c>
      <c r="AD3114" s="464">
        <v>4664.0882000000001</v>
      </c>
      <c r="AE3114" s="465">
        <v>0</v>
      </c>
      <c r="AF3114" s="86">
        <f>IF(verze!$E$1="CZK",AD3114,IF(verze!$E$1="SK",AE3114,""))</f>
        <v>0</v>
      </c>
    </row>
    <row r="3115" spans="27:32" ht="15">
      <c r="AA3115" s="463" t="s">
        <v>10481</v>
      </c>
      <c r="AB3115" s="462" t="s">
        <v>10482</v>
      </c>
      <c r="AC3115" s="462" t="s">
        <v>10483</v>
      </c>
      <c r="AD3115" s="464">
        <v>4914.5508300000001</v>
      </c>
      <c r="AE3115" s="465">
        <v>0</v>
      </c>
      <c r="AF3115" s="86">
        <f>IF(verze!$E$1="CZK",AD3115,IF(verze!$E$1="SK",AE3115,""))</f>
        <v>0</v>
      </c>
    </row>
    <row r="3116" spans="27:32" ht="15">
      <c r="AA3116" s="463" t="s">
        <v>10484</v>
      </c>
      <c r="AB3116" s="462" t="s">
        <v>10485</v>
      </c>
      <c r="AC3116" s="462" t="s">
        <v>10486</v>
      </c>
      <c r="AD3116" s="464">
        <v>360.20681999999999</v>
      </c>
      <c r="AE3116" s="465">
        <v>14.410069999999999</v>
      </c>
      <c r="AF3116" s="86">
        <f>IF(verze!$E$1="CZK",AD3116,IF(verze!$E$1="SK",AE3116,""))</f>
        <v>14.410069999999999</v>
      </c>
    </row>
    <row r="3117" spans="27:32" ht="15">
      <c r="AA3117" s="463" t="s">
        <v>10487</v>
      </c>
      <c r="AB3117" s="462" t="s">
        <v>10488</v>
      </c>
      <c r="AC3117" s="462" t="s">
        <v>10489</v>
      </c>
      <c r="AD3117" s="464">
        <v>5.0457099999999997</v>
      </c>
      <c r="AE3117" s="465">
        <v>0.24271999999999999</v>
      </c>
      <c r="AF3117" s="86">
        <f>IF(verze!$E$1="CZK",AD3117,IF(verze!$E$1="SK",AE3117,""))</f>
        <v>0.24271999999999999</v>
      </c>
    </row>
    <row r="3118" spans="27:32" ht="15">
      <c r="AA3118" s="463" t="s">
        <v>10490</v>
      </c>
      <c r="AB3118" s="462" t="s">
        <v>10491</v>
      </c>
      <c r="AC3118" s="462" t="s">
        <v>10492</v>
      </c>
      <c r="AD3118" s="464">
        <v>5.0457099999999997</v>
      </c>
      <c r="AE3118" s="465">
        <v>0.24271999999999999</v>
      </c>
      <c r="AF3118" s="86">
        <f>IF(verze!$E$1="CZK",AD3118,IF(verze!$E$1="SK",AE3118,""))</f>
        <v>0.24271999999999999</v>
      </c>
    </row>
    <row r="3119" spans="27:32" ht="15">
      <c r="AA3119" s="463" t="s">
        <v>10493</v>
      </c>
      <c r="AB3119" s="462" t="s">
        <v>10494</v>
      </c>
      <c r="AC3119" s="462" t="s">
        <v>10495</v>
      </c>
      <c r="AD3119" s="464">
        <v>124.76130999999999</v>
      </c>
      <c r="AE3119" s="465">
        <v>4.9910800000000002</v>
      </c>
      <c r="AF3119" s="86">
        <f>IF(verze!$E$1="CZK",AD3119,IF(verze!$E$1="SK",AE3119,""))</f>
        <v>4.9910800000000002</v>
      </c>
    </row>
    <row r="3120" spans="27:32" ht="15">
      <c r="AA3120" s="463" t="s">
        <v>10496</v>
      </c>
      <c r="AB3120" s="462" t="s">
        <v>10497</v>
      </c>
      <c r="AC3120" s="462" t="s">
        <v>10498</v>
      </c>
      <c r="AD3120" s="464">
        <v>255.07126</v>
      </c>
      <c r="AE3120" s="465">
        <v>12.26984</v>
      </c>
      <c r="AF3120" s="86">
        <f>IF(verze!$E$1="CZK",AD3120,IF(verze!$E$1="SK",AE3120,""))</f>
        <v>12.26984</v>
      </c>
    </row>
    <row r="3121" spans="27:32" ht="15">
      <c r="AA3121" s="463" t="s">
        <v>10499</v>
      </c>
      <c r="AB3121" s="462" t="s">
        <v>10500</v>
      </c>
      <c r="AC3121" s="462" t="s">
        <v>10501</v>
      </c>
      <c r="AD3121" s="464">
        <v>255.07126</v>
      </c>
      <c r="AE3121" s="465">
        <v>12.26984</v>
      </c>
      <c r="AF3121" s="86">
        <f>IF(verze!$E$1="CZK",AD3121,IF(verze!$E$1="SK",AE3121,""))</f>
        <v>12.26984</v>
      </c>
    </row>
    <row r="3122" spans="27:32" ht="15">
      <c r="AA3122" s="463" t="s">
        <v>10502</v>
      </c>
      <c r="AB3122" s="462" t="s">
        <v>10503</v>
      </c>
      <c r="AC3122" s="462" t="s">
        <v>10504</v>
      </c>
      <c r="AD3122" s="464">
        <v>468.07209</v>
      </c>
      <c r="AE3122" s="465">
        <v>22.8811</v>
      </c>
      <c r="AF3122" s="86">
        <f>IF(verze!$E$1="CZK",AD3122,IF(verze!$E$1="SK",AE3122,""))</f>
        <v>22.8811</v>
      </c>
    </row>
    <row r="3123" spans="27:32" ht="15">
      <c r="AA3123" s="463" t="s">
        <v>10505</v>
      </c>
      <c r="AB3123" s="462" t="s">
        <v>10506</v>
      </c>
      <c r="AC3123" s="462" t="s">
        <v>10507</v>
      </c>
      <c r="AD3123" s="464">
        <v>290.84145999999998</v>
      </c>
      <c r="AE3123" s="465">
        <v>7.2017800000000003</v>
      </c>
      <c r="AF3123" s="86">
        <f>IF(verze!$E$1="CZK",AD3123,IF(verze!$E$1="SK",AE3123,""))</f>
        <v>7.2017800000000003</v>
      </c>
    </row>
    <row r="3124" spans="27:32" ht="15">
      <c r="AA3124" s="463" t="s">
        <v>10508</v>
      </c>
      <c r="AB3124" s="462" t="s">
        <v>10509</v>
      </c>
      <c r="AC3124" s="462" t="s">
        <v>10510</v>
      </c>
      <c r="AD3124" s="464">
        <v>267.82274999999998</v>
      </c>
      <c r="AE3124" s="465">
        <v>12.88325</v>
      </c>
      <c r="AF3124" s="86">
        <f>IF(verze!$E$1="CZK",AD3124,IF(verze!$E$1="SK",AE3124,""))</f>
        <v>12.88325</v>
      </c>
    </row>
    <row r="3125" spans="27:32" ht="15">
      <c r="AA3125" s="463" t="s">
        <v>10511</v>
      </c>
      <c r="AB3125" s="462" t="s">
        <v>10512</v>
      </c>
      <c r="AC3125" s="462" t="s">
        <v>10513</v>
      </c>
      <c r="AD3125" s="464">
        <v>267.82274999999998</v>
      </c>
      <c r="AE3125" s="465">
        <v>12.88325</v>
      </c>
      <c r="AF3125" s="86">
        <f>IF(verze!$E$1="CZK",AD3125,IF(verze!$E$1="SK",AE3125,""))</f>
        <v>12.88325</v>
      </c>
    </row>
    <row r="3126" spans="27:32" ht="15">
      <c r="AA3126" s="463" t="s">
        <v>10514</v>
      </c>
      <c r="AB3126" s="462" t="s">
        <v>10515</v>
      </c>
      <c r="AC3126" s="462" t="s">
        <v>10516</v>
      </c>
      <c r="AD3126" s="464">
        <v>124.08139</v>
      </c>
      <c r="AE3126" s="465">
        <v>6.0655599999999996</v>
      </c>
      <c r="AF3126" s="86">
        <f>IF(verze!$E$1="CZK",AD3126,IF(verze!$E$1="SK",AE3126,""))</f>
        <v>6.0655599999999996</v>
      </c>
    </row>
    <row r="3127" spans="27:32" ht="15">
      <c r="AA3127" s="463" t="s">
        <v>10517</v>
      </c>
      <c r="AB3127" s="462" t="s">
        <v>10518</v>
      </c>
      <c r="AC3127" s="462" t="s">
        <v>10519</v>
      </c>
      <c r="AD3127" s="464">
        <v>695.03237999999999</v>
      </c>
      <c r="AE3127" s="465">
        <v>33.975729999999999</v>
      </c>
      <c r="AF3127" s="86">
        <f>IF(verze!$E$1="CZK",AD3127,IF(verze!$E$1="SK",AE3127,""))</f>
        <v>33.975729999999999</v>
      </c>
    </row>
    <row r="3128" spans="27:32" ht="15">
      <c r="AA3128" s="463" t="s">
        <v>10520</v>
      </c>
      <c r="AB3128" s="462" t="s">
        <v>10521</v>
      </c>
      <c r="AC3128" s="462" t="s">
        <v>10522</v>
      </c>
      <c r="AD3128" s="464">
        <v>236.77743000000001</v>
      </c>
      <c r="AE3128" s="465">
        <v>11.389849999999999</v>
      </c>
      <c r="AF3128" s="86">
        <f>IF(verze!$E$1="CZK",AD3128,IF(verze!$E$1="SK",AE3128,""))</f>
        <v>11.389849999999999</v>
      </c>
    </row>
    <row r="3129" spans="27:32" ht="15">
      <c r="AA3129" s="463" t="s">
        <v>10523</v>
      </c>
      <c r="AB3129" s="462" t="s">
        <v>10524</v>
      </c>
      <c r="AC3129" s="462" t="s">
        <v>10525</v>
      </c>
      <c r="AD3129" s="464">
        <v>264.61394999999999</v>
      </c>
      <c r="AE3129" s="465">
        <v>12.72888</v>
      </c>
      <c r="AF3129" s="86">
        <f>IF(verze!$E$1="CZK",AD3129,IF(verze!$E$1="SK",AE3129,""))</f>
        <v>12.72888</v>
      </c>
    </row>
    <row r="3130" spans="27:32" ht="15">
      <c r="AA3130" s="463" t="s">
        <v>10526</v>
      </c>
      <c r="AB3130" s="462" t="s">
        <v>10527</v>
      </c>
      <c r="AC3130" s="462" t="s">
        <v>10528</v>
      </c>
      <c r="AD3130" s="464">
        <v>273.33945999999997</v>
      </c>
      <c r="AE3130" s="465">
        <v>13.148630000000001</v>
      </c>
      <c r="AF3130" s="86">
        <f>IF(verze!$E$1="CZK",AD3130,IF(verze!$E$1="SK",AE3130,""))</f>
        <v>13.148630000000001</v>
      </c>
    </row>
    <row r="3131" spans="27:32" ht="15">
      <c r="AA3131" s="463" t="s">
        <v>10529</v>
      </c>
      <c r="AB3131" s="462" t="s">
        <v>10530</v>
      </c>
      <c r="AC3131" s="462" t="s">
        <v>10531</v>
      </c>
      <c r="AD3131" s="464">
        <v>292.76335999999998</v>
      </c>
      <c r="AE3131" s="465">
        <v>0</v>
      </c>
      <c r="AF3131" s="86">
        <f>IF(verze!$E$1="CZK",AD3131,IF(verze!$E$1="SK",AE3131,""))</f>
        <v>0</v>
      </c>
    </row>
    <row r="3132" spans="27:32" ht="15">
      <c r="AA3132" s="463" t="s">
        <v>10532</v>
      </c>
      <c r="AB3132" s="462" t="s">
        <v>10533</v>
      </c>
      <c r="AC3132" s="462" t="s">
        <v>10534</v>
      </c>
      <c r="AD3132" s="464">
        <v>282.07511</v>
      </c>
      <c r="AE3132" s="465">
        <v>13.568809999999999</v>
      </c>
      <c r="AF3132" s="86">
        <f>IF(verze!$E$1="CZK",AD3132,IF(verze!$E$1="SK",AE3132,""))</f>
        <v>13.568809999999999</v>
      </c>
    </row>
    <row r="3133" spans="27:32" ht="15">
      <c r="AA3133" s="463" t="s">
        <v>10535</v>
      </c>
      <c r="AB3133" s="462" t="s">
        <v>10536</v>
      </c>
      <c r="AC3133" s="462" t="s">
        <v>10537</v>
      </c>
      <c r="AD3133" s="464">
        <v>290.80061999999998</v>
      </c>
      <c r="AE3133" s="465">
        <v>13.98856</v>
      </c>
      <c r="AF3133" s="86">
        <f>IF(verze!$E$1="CZK",AD3133,IF(verze!$E$1="SK",AE3133,""))</f>
        <v>13.98856</v>
      </c>
    </row>
    <row r="3134" spans="27:32" ht="15">
      <c r="AA3134" s="463" t="s">
        <v>10538</v>
      </c>
      <c r="AB3134" s="462" t="s">
        <v>10539</v>
      </c>
      <c r="AC3134" s="462" t="s">
        <v>10540</v>
      </c>
      <c r="AD3134" s="464">
        <v>289.47408999999999</v>
      </c>
      <c r="AE3134" s="465">
        <v>0</v>
      </c>
      <c r="AF3134" s="86">
        <f>IF(verze!$E$1="CZK",AD3134,IF(verze!$E$1="SK",AE3134,""))</f>
        <v>0</v>
      </c>
    </row>
    <row r="3135" spans="27:32" ht="15">
      <c r="AA3135" s="463" t="s">
        <v>10541</v>
      </c>
      <c r="AB3135" s="462" t="s">
        <v>10542</v>
      </c>
      <c r="AC3135" s="462" t="s">
        <v>10543</v>
      </c>
      <c r="AD3135" s="464">
        <v>308.26186999999999</v>
      </c>
      <c r="AE3135" s="465">
        <v>14.8285</v>
      </c>
      <c r="AF3135" s="86">
        <f>IF(verze!$E$1="CZK",AD3135,IF(verze!$E$1="SK",AE3135,""))</f>
        <v>14.8285</v>
      </c>
    </row>
    <row r="3136" spans="27:32" ht="15">
      <c r="AA3136" s="463" t="s">
        <v>10544</v>
      </c>
      <c r="AB3136" s="462" t="s">
        <v>10545</v>
      </c>
      <c r="AC3136" s="462" t="s">
        <v>10546</v>
      </c>
      <c r="AD3136" s="464">
        <v>314.78796999999997</v>
      </c>
      <c r="AE3136" s="465">
        <v>0</v>
      </c>
      <c r="AF3136" s="86">
        <f>IF(verze!$E$1="CZK",AD3136,IF(verze!$E$1="SK",AE3136,""))</f>
        <v>0</v>
      </c>
    </row>
    <row r="3137" spans="27:32" ht="15">
      <c r="AA3137" s="463" t="s">
        <v>10547</v>
      </c>
      <c r="AB3137" s="462" t="s">
        <v>10548</v>
      </c>
      <c r="AC3137" s="462" t="s">
        <v>10549</v>
      </c>
      <c r="AD3137" s="464">
        <v>323.96316000000002</v>
      </c>
      <c r="AE3137" s="465">
        <v>0</v>
      </c>
      <c r="AF3137" s="86">
        <f>IF(verze!$E$1="CZK",AD3137,IF(verze!$E$1="SK",AE3137,""))</f>
        <v>0</v>
      </c>
    </row>
    <row r="3138" spans="27:32" ht="15">
      <c r="AA3138" s="463" t="s">
        <v>10550</v>
      </c>
      <c r="AB3138" s="462" t="s">
        <v>10551</v>
      </c>
      <c r="AC3138" s="462" t="s">
        <v>10552</v>
      </c>
      <c r="AD3138" s="464">
        <v>248.12309999999999</v>
      </c>
      <c r="AE3138" s="465">
        <v>11.93562</v>
      </c>
      <c r="AF3138" s="86">
        <f>IF(verze!$E$1="CZK",AD3138,IF(verze!$E$1="SK",AE3138,""))</f>
        <v>11.93562</v>
      </c>
    </row>
    <row r="3139" spans="27:32" ht="15">
      <c r="AA3139" s="463" t="s">
        <v>10553</v>
      </c>
      <c r="AB3139" s="462" t="s">
        <v>10554</v>
      </c>
      <c r="AC3139" s="462" t="s">
        <v>10555</v>
      </c>
      <c r="AD3139" s="464">
        <v>256.85615000000001</v>
      </c>
      <c r="AE3139" s="465">
        <v>12.355729999999999</v>
      </c>
      <c r="AF3139" s="86">
        <f>IF(verze!$E$1="CZK",AD3139,IF(verze!$E$1="SK",AE3139,""))</f>
        <v>12.355729999999999</v>
      </c>
    </row>
    <row r="3140" spans="27:32" ht="15">
      <c r="AA3140" s="463" t="s">
        <v>10556</v>
      </c>
      <c r="AB3140" s="462" t="s">
        <v>10557</v>
      </c>
      <c r="AC3140" s="462" t="s">
        <v>10558</v>
      </c>
      <c r="AD3140" s="464">
        <v>273.59836999999999</v>
      </c>
      <c r="AE3140" s="465">
        <v>0</v>
      </c>
      <c r="AF3140" s="86">
        <f>IF(verze!$E$1="CZK",AD3140,IF(verze!$E$1="SK",AE3140,""))</f>
        <v>0</v>
      </c>
    </row>
    <row r="3141" spans="27:32" ht="15">
      <c r="AA3141" s="463" t="s">
        <v>10559</v>
      </c>
      <c r="AB3141" s="462" t="s">
        <v>10560</v>
      </c>
      <c r="AC3141" s="462" t="s">
        <v>10561</v>
      </c>
      <c r="AD3141" s="464">
        <v>265.58425</v>
      </c>
      <c r="AE3141" s="465">
        <v>12.77556</v>
      </c>
      <c r="AF3141" s="86">
        <f>IF(verze!$E$1="CZK",AD3141,IF(verze!$E$1="SK",AE3141,""))</f>
        <v>12.77556</v>
      </c>
    </row>
    <row r="3142" spans="27:32" ht="15">
      <c r="AA3142" s="463" t="s">
        <v>10562</v>
      </c>
      <c r="AB3142" s="462" t="s">
        <v>10563</v>
      </c>
      <c r="AC3142" s="462" t="s">
        <v>10564</v>
      </c>
      <c r="AD3142" s="464">
        <v>274.31234000000001</v>
      </c>
      <c r="AE3142" s="465">
        <v>13.195410000000001</v>
      </c>
      <c r="AF3142" s="86">
        <f>IF(verze!$E$1="CZK",AD3142,IF(verze!$E$1="SK",AE3142,""))</f>
        <v>13.195410000000001</v>
      </c>
    </row>
    <row r="3143" spans="27:32" ht="15">
      <c r="AA3143" s="463" t="s">
        <v>10565</v>
      </c>
      <c r="AB3143" s="462" t="s">
        <v>10566</v>
      </c>
      <c r="AC3143" s="462" t="s">
        <v>10567</v>
      </c>
      <c r="AD3143" s="464">
        <v>291.95125000000002</v>
      </c>
      <c r="AE3143" s="465">
        <v>0</v>
      </c>
      <c r="AF3143" s="86">
        <f>IF(verze!$E$1="CZK",AD3143,IF(verze!$E$1="SK",AE3143,""))</f>
        <v>0</v>
      </c>
    </row>
    <row r="3144" spans="27:32" ht="15">
      <c r="AA3144" s="463" t="s">
        <v>10568</v>
      </c>
      <c r="AB3144" s="462" t="s">
        <v>10569</v>
      </c>
      <c r="AC3144" s="462" t="s">
        <v>10570</v>
      </c>
      <c r="AD3144" s="464">
        <v>283.04293000000001</v>
      </c>
      <c r="AE3144" s="465">
        <v>13.61539</v>
      </c>
      <c r="AF3144" s="86">
        <f>IF(verze!$E$1="CZK",AD3144,IF(verze!$E$1="SK",AE3144,""))</f>
        <v>13.61539</v>
      </c>
    </row>
    <row r="3145" spans="27:32" ht="15">
      <c r="AA3145" s="463" t="s">
        <v>10571</v>
      </c>
      <c r="AB3145" s="462" t="s">
        <v>10572</v>
      </c>
      <c r="AC3145" s="462" t="s">
        <v>10573</v>
      </c>
      <c r="AD3145" s="464">
        <v>300.49653000000001</v>
      </c>
      <c r="AE3145" s="465">
        <v>14.454969999999999</v>
      </c>
      <c r="AF3145" s="86">
        <f>IF(verze!$E$1="CZK",AD3145,IF(verze!$E$1="SK",AE3145,""))</f>
        <v>14.454969999999999</v>
      </c>
    </row>
    <row r="3146" spans="27:32" ht="15">
      <c r="AA3146" s="463" t="s">
        <v>10574</v>
      </c>
      <c r="AB3146" s="462" t="s">
        <v>10575</v>
      </c>
      <c r="AC3146" s="462" t="s">
        <v>10576</v>
      </c>
      <c r="AD3146" s="464">
        <v>301.17007999999998</v>
      </c>
      <c r="AE3146" s="465">
        <v>0</v>
      </c>
      <c r="AF3146" s="86">
        <f>IF(verze!$E$1="CZK",AD3146,IF(verze!$E$1="SK",AE3146,""))</f>
        <v>0</v>
      </c>
    </row>
    <row r="3147" spans="27:32" ht="15">
      <c r="AA3147" s="463" t="s">
        <v>10577</v>
      </c>
      <c r="AB3147" s="462" t="s">
        <v>10578</v>
      </c>
      <c r="AC3147" s="462" t="s">
        <v>10579</v>
      </c>
      <c r="AD3147" s="464">
        <v>824.08042</v>
      </c>
      <c r="AE3147" s="465">
        <v>0</v>
      </c>
      <c r="AF3147" s="86">
        <f>IF(verze!$E$1="CZK",AD3147,IF(verze!$E$1="SK",AE3147,""))</f>
        <v>0</v>
      </c>
    </row>
    <row r="3148" spans="27:32" ht="15">
      <c r="AA3148" s="463" t="s">
        <v>10580</v>
      </c>
      <c r="AB3148" s="462" t="s">
        <v>10581</v>
      </c>
      <c r="AC3148" s="462" t="s">
        <v>10582</v>
      </c>
      <c r="AD3148" s="464">
        <v>820.58273999999994</v>
      </c>
      <c r="AE3148" s="465">
        <v>32.827390000000001</v>
      </c>
      <c r="AF3148" s="86">
        <f>IF(verze!$E$1="CZK",AD3148,IF(verze!$E$1="SK",AE3148,""))</f>
        <v>32.827390000000001</v>
      </c>
    </row>
    <row r="3149" spans="27:32" ht="15">
      <c r="AA3149" s="463" t="s">
        <v>10583</v>
      </c>
      <c r="AB3149" s="462" t="s">
        <v>10584</v>
      </c>
      <c r="AC3149" s="462" t="s">
        <v>10585</v>
      </c>
      <c r="AD3149" s="464">
        <v>1202.67001</v>
      </c>
      <c r="AE3149" s="465">
        <v>48.423969999999997</v>
      </c>
      <c r="AF3149" s="86">
        <f>IF(verze!$E$1="CZK",AD3149,IF(verze!$E$1="SK",AE3149,""))</f>
        <v>48.423969999999997</v>
      </c>
    </row>
    <row r="3150" spans="27:32" ht="15">
      <c r="AA3150" s="463" t="s">
        <v>10586</v>
      </c>
      <c r="AB3150" s="462" t="s">
        <v>10587</v>
      </c>
      <c r="AC3150" s="462" t="s">
        <v>10588</v>
      </c>
      <c r="AD3150" s="464">
        <v>579.15219999999999</v>
      </c>
      <c r="AE3150" s="465">
        <v>23.318829999999998</v>
      </c>
      <c r="AF3150" s="86">
        <f>IF(verze!$E$1="CZK",AD3150,IF(verze!$E$1="SK",AE3150,""))</f>
        <v>23.318829999999998</v>
      </c>
    </row>
    <row r="3151" spans="27:32" ht="15">
      <c r="AA3151" s="463" t="s">
        <v>10589</v>
      </c>
      <c r="AB3151" s="462" t="s">
        <v>10590</v>
      </c>
      <c r="AC3151" s="462" t="s">
        <v>10591</v>
      </c>
      <c r="AD3151" s="464">
        <v>846.46271000000002</v>
      </c>
      <c r="AE3151" s="465">
        <v>34.081710000000001</v>
      </c>
      <c r="AF3151" s="86">
        <f>IF(verze!$E$1="CZK",AD3151,IF(verze!$E$1="SK",AE3151,""))</f>
        <v>34.081710000000001</v>
      </c>
    </row>
    <row r="3152" spans="27:32" ht="15">
      <c r="AA3152" s="463" t="s">
        <v>10592</v>
      </c>
      <c r="AB3152" s="462" t="s">
        <v>10593</v>
      </c>
      <c r="AC3152" s="462" t="s">
        <v>10594</v>
      </c>
      <c r="AD3152" s="464">
        <v>474.41946999999999</v>
      </c>
      <c r="AE3152" s="465">
        <v>19.107220000000002</v>
      </c>
      <c r="AF3152" s="86">
        <f>IF(verze!$E$1="CZK",AD3152,IF(verze!$E$1="SK",AE3152,""))</f>
        <v>19.107220000000002</v>
      </c>
    </row>
    <row r="3153" spans="27:32" ht="15">
      <c r="AA3153" s="463" t="s">
        <v>10595</v>
      </c>
      <c r="AB3153" s="462" t="s">
        <v>10596</v>
      </c>
      <c r="AC3153" s="462" t="s">
        <v>10597</v>
      </c>
      <c r="AD3153" s="464">
        <v>475.98009000000002</v>
      </c>
      <c r="AE3153" s="465">
        <v>19.170110000000001</v>
      </c>
      <c r="AF3153" s="86">
        <f>IF(verze!$E$1="CZK",AD3153,IF(verze!$E$1="SK",AE3153,""))</f>
        <v>19.170110000000001</v>
      </c>
    </row>
    <row r="3154" spans="27:32" ht="15">
      <c r="AA3154" s="463" t="s">
        <v>10598</v>
      </c>
      <c r="AB3154" s="462" t="s">
        <v>10599</v>
      </c>
      <c r="AC3154" s="462" t="s">
        <v>10600</v>
      </c>
      <c r="AD3154" s="464">
        <v>4504.7942999999996</v>
      </c>
      <c r="AE3154" s="465">
        <v>181.28748999999999</v>
      </c>
      <c r="AF3154" s="86">
        <f>IF(verze!$E$1="CZK",AD3154,IF(verze!$E$1="SK",AE3154,""))</f>
        <v>181.28748999999999</v>
      </c>
    </row>
    <row r="3155" spans="27:32" ht="15">
      <c r="AA3155" s="463" t="s">
        <v>10601</v>
      </c>
      <c r="AB3155" s="462" t="s">
        <v>10602</v>
      </c>
      <c r="AC3155" s="462" t="s">
        <v>10603</v>
      </c>
      <c r="AD3155" s="464">
        <v>578.56332999999995</v>
      </c>
      <c r="AE3155" s="465">
        <v>23.301580000000001</v>
      </c>
      <c r="AF3155" s="86">
        <f>IF(verze!$E$1="CZK",AD3155,IF(verze!$E$1="SK",AE3155,""))</f>
        <v>23.301580000000001</v>
      </c>
    </row>
    <row r="3156" spans="27:32" ht="15">
      <c r="AA3156" s="463" t="s">
        <v>10604</v>
      </c>
      <c r="AB3156" s="462" t="s">
        <v>10605</v>
      </c>
      <c r="AC3156" s="462" t="s">
        <v>10606</v>
      </c>
      <c r="AD3156" s="464">
        <v>580.46691999999996</v>
      </c>
      <c r="AE3156" s="465">
        <v>23.378250000000001</v>
      </c>
      <c r="AF3156" s="86">
        <f>IF(verze!$E$1="CZK",AD3156,IF(verze!$E$1="SK",AE3156,""))</f>
        <v>23.378250000000001</v>
      </c>
    </row>
    <row r="3157" spans="27:32" ht="15">
      <c r="AA3157" s="463" t="s">
        <v>10607</v>
      </c>
      <c r="AB3157" s="462" t="s">
        <v>10608</v>
      </c>
      <c r="AC3157" s="462" t="s">
        <v>10609</v>
      </c>
      <c r="AD3157" s="464">
        <v>367.38819999999998</v>
      </c>
      <c r="AE3157" s="465">
        <v>14.697369999999999</v>
      </c>
      <c r="AF3157" s="86">
        <f>IF(verze!$E$1="CZK",AD3157,IF(verze!$E$1="SK",AE3157,""))</f>
        <v>14.697369999999999</v>
      </c>
    </row>
    <row r="3158" spans="27:32" ht="15">
      <c r="AA3158" s="463" t="s">
        <v>10610</v>
      </c>
      <c r="AB3158" s="462" t="s">
        <v>10611</v>
      </c>
      <c r="AC3158" s="462" t="s">
        <v>10612</v>
      </c>
      <c r="AD3158" s="464">
        <v>349.89272</v>
      </c>
      <c r="AE3158" s="465">
        <v>13.997439999999999</v>
      </c>
      <c r="AF3158" s="86">
        <f>IF(verze!$E$1="CZK",AD3158,IF(verze!$E$1="SK",AE3158,""))</f>
        <v>13.997439999999999</v>
      </c>
    </row>
    <row r="3159" spans="27:32" ht="15">
      <c r="AA3159" s="463" t="s">
        <v>10613</v>
      </c>
      <c r="AB3159" s="462" t="s">
        <v>10614</v>
      </c>
      <c r="AC3159" s="462" t="s">
        <v>10615</v>
      </c>
      <c r="AD3159" s="464">
        <v>248.92717999999999</v>
      </c>
      <c r="AE3159" s="465">
        <v>9.9583300000000001</v>
      </c>
      <c r="AF3159" s="86">
        <f>IF(verze!$E$1="CZK",AD3159,IF(verze!$E$1="SK",AE3159,""))</f>
        <v>9.9583300000000001</v>
      </c>
    </row>
    <row r="3160" spans="27:32" ht="15">
      <c r="AA3160" s="463" t="s">
        <v>10616</v>
      </c>
      <c r="AB3160" s="462" t="s">
        <v>10617</v>
      </c>
      <c r="AC3160" s="462" t="s">
        <v>10618</v>
      </c>
      <c r="AD3160" s="464">
        <v>14421.36231</v>
      </c>
      <c r="AE3160" s="465">
        <v>660.68529999999998</v>
      </c>
      <c r="AF3160" s="86">
        <f>IF(verze!$E$1="CZK",AD3160,IF(verze!$E$1="SK",AE3160,""))</f>
        <v>660.68529999999998</v>
      </c>
    </row>
    <row r="3161" spans="27:32" ht="15">
      <c r="AA3161" s="463" t="s">
        <v>10619</v>
      </c>
      <c r="AB3161" s="462" t="s">
        <v>10620</v>
      </c>
      <c r="AC3161" s="462" t="s">
        <v>10621</v>
      </c>
      <c r="AD3161" s="464">
        <v>14421.36231</v>
      </c>
      <c r="AE3161" s="465">
        <v>660.68529999999998</v>
      </c>
      <c r="AF3161" s="86">
        <f>IF(verze!$E$1="CZK",AD3161,IF(verze!$E$1="SK",AE3161,""))</f>
        <v>660.68529999999998</v>
      </c>
    </row>
    <row r="3162" spans="27:32" ht="15">
      <c r="AA3162" s="463" t="s">
        <v>10622</v>
      </c>
      <c r="AB3162" s="462" t="s">
        <v>10623</v>
      </c>
      <c r="AC3162" s="462" t="s">
        <v>10624</v>
      </c>
      <c r="AD3162" s="464">
        <v>15103.18398</v>
      </c>
      <c r="AE3162" s="465">
        <v>691.92156</v>
      </c>
      <c r="AF3162" s="86">
        <f>IF(verze!$E$1="CZK",AD3162,IF(verze!$E$1="SK",AE3162,""))</f>
        <v>691.92156</v>
      </c>
    </row>
    <row r="3163" spans="27:32" ht="15">
      <c r="AA3163" s="463" t="s">
        <v>10625</v>
      </c>
      <c r="AB3163" s="462" t="s">
        <v>10626</v>
      </c>
      <c r="AC3163" s="462" t="s">
        <v>10627</v>
      </c>
      <c r="AD3163" s="464">
        <v>12979.227919999999</v>
      </c>
      <c r="AE3163" s="465">
        <v>594.61684000000002</v>
      </c>
      <c r="AF3163" s="86">
        <f>IF(verze!$E$1="CZK",AD3163,IF(verze!$E$1="SK",AE3163,""))</f>
        <v>594.61684000000002</v>
      </c>
    </row>
    <row r="3164" spans="27:32" ht="15">
      <c r="AA3164" s="463" t="s">
        <v>10628</v>
      </c>
      <c r="AB3164" s="462" t="s">
        <v>10629</v>
      </c>
      <c r="AC3164" s="462" t="s">
        <v>10630</v>
      </c>
      <c r="AD3164" s="464">
        <v>12979.227919999999</v>
      </c>
      <c r="AE3164" s="465">
        <v>594.61684000000002</v>
      </c>
      <c r="AF3164" s="86">
        <f>IF(verze!$E$1="CZK",AD3164,IF(verze!$E$1="SK",AE3164,""))</f>
        <v>594.61684000000002</v>
      </c>
    </row>
    <row r="3165" spans="27:32" ht="15">
      <c r="AA3165" s="463" t="s">
        <v>10631</v>
      </c>
      <c r="AB3165" s="462" t="s">
        <v>10632</v>
      </c>
      <c r="AC3165" s="462" t="s">
        <v>10633</v>
      </c>
      <c r="AD3165" s="464">
        <v>13592.85564</v>
      </c>
      <c r="AE3165" s="465">
        <v>622.72896000000003</v>
      </c>
      <c r="AF3165" s="86">
        <f>IF(verze!$E$1="CZK",AD3165,IF(verze!$E$1="SK",AE3165,""))</f>
        <v>622.72896000000003</v>
      </c>
    </row>
    <row r="3166" spans="27:32" ht="15">
      <c r="AA3166" s="463" t="s">
        <v>10634</v>
      </c>
      <c r="AB3166" s="462" t="s">
        <v>10635</v>
      </c>
      <c r="AC3166" s="462" t="s">
        <v>10636</v>
      </c>
      <c r="AD3166" s="464">
        <v>14658.963309999999</v>
      </c>
      <c r="AE3166" s="465">
        <v>671.57050000000004</v>
      </c>
      <c r="AF3166" s="86">
        <f>IF(verze!$E$1="CZK",AD3166,IF(verze!$E$1="SK",AE3166,""))</f>
        <v>671.57050000000004</v>
      </c>
    </row>
    <row r="3167" spans="27:32" ht="15">
      <c r="AA3167" s="463" t="s">
        <v>10637</v>
      </c>
      <c r="AB3167" s="462" t="s">
        <v>10638</v>
      </c>
      <c r="AC3167" s="462" t="s">
        <v>10639</v>
      </c>
      <c r="AD3167" s="464">
        <v>11286.279280000001</v>
      </c>
      <c r="AE3167" s="465">
        <v>517.05786000000001</v>
      </c>
      <c r="AF3167" s="86">
        <f>IF(verze!$E$1="CZK",AD3167,IF(verze!$E$1="SK",AE3167,""))</f>
        <v>517.05786000000001</v>
      </c>
    </row>
    <row r="3168" spans="27:32" ht="15">
      <c r="AA3168" s="463" t="s">
        <v>10640</v>
      </c>
      <c r="AB3168" s="462" t="s">
        <v>10641</v>
      </c>
      <c r="AC3168" s="462" t="s">
        <v>10642</v>
      </c>
      <c r="AD3168" s="464">
        <v>11286.279280000001</v>
      </c>
      <c r="AE3168" s="465">
        <v>517.05786000000001</v>
      </c>
      <c r="AF3168" s="86">
        <f>IF(verze!$E$1="CZK",AD3168,IF(verze!$E$1="SK",AE3168,""))</f>
        <v>517.05786000000001</v>
      </c>
    </row>
    <row r="3169" spans="27:32" ht="15">
      <c r="AA3169" s="463" t="s">
        <v>10643</v>
      </c>
      <c r="AB3169" s="462" t="s">
        <v>10644</v>
      </c>
      <c r="AC3169" s="462" t="s">
        <v>10645</v>
      </c>
      <c r="AD3169" s="464">
        <v>12746.924010000001</v>
      </c>
      <c r="AE3169" s="465">
        <v>583.97432000000003</v>
      </c>
      <c r="AF3169" s="86">
        <f>IF(verze!$E$1="CZK",AD3169,IF(verze!$E$1="SK",AE3169,""))</f>
        <v>583.97432000000003</v>
      </c>
    </row>
    <row r="3170" spans="27:32" ht="15">
      <c r="AA3170" s="463" t="s">
        <v>10646</v>
      </c>
      <c r="AB3170" s="462" t="s">
        <v>10647</v>
      </c>
      <c r="AC3170" s="462" t="s">
        <v>10648</v>
      </c>
      <c r="AD3170" s="464">
        <v>872.37334999999996</v>
      </c>
      <c r="AE3170" s="465">
        <v>0</v>
      </c>
      <c r="AF3170" s="86">
        <f>IF(verze!$E$1="CZK",AD3170,IF(verze!$E$1="SK",AE3170,""))</f>
        <v>0</v>
      </c>
    </row>
    <row r="3171" spans="27:32" ht="15">
      <c r="AA3171" s="463" t="s">
        <v>10649</v>
      </c>
      <c r="AB3171" s="462" t="s">
        <v>10650</v>
      </c>
      <c r="AC3171" s="462" t="s">
        <v>10651</v>
      </c>
      <c r="AD3171" s="464">
        <v>932.99941000000001</v>
      </c>
      <c r="AE3171" s="465">
        <v>42.743459999999999</v>
      </c>
      <c r="AF3171" s="86">
        <f>IF(verze!$E$1="CZK",AD3171,IF(verze!$E$1="SK",AE3171,""))</f>
        <v>42.743459999999999</v>
      </c>
    </row>
    <row r="3172" spans="27:32" ht="15">
      <c r="AA3172" s="463" t="s">
        <v>10652</v>
      </c>
      <c r="AB3172" s="462" t="s">
        <v>10653</v>
      </c>
      <c r="AC3172" s="462" t="s">
        <v>10654</v>
      </c>
      <c r="AD3172" s="464">
        <v>649.98026000000004</v>
      </c>
      <c r="AE3172" s="465">
        <v>29.777519999999999</v>
      </c>
      <c r="AF3172" s="86">
        <f>IF(verze!$E$1="CZK",AD3172,IF(verze!$E$1="SK",AE3172,""))</f>
        <v>29.777519999999999</v>
      </c>
    </row>
    <row r="3173" spans="27:32" ht="15">
      <c r="AA3173" s="463" t="s">
        <v>10655</v>
      </c>
      <c r="AB3173" s="462" t="s">
        <v>10656</v>
      </c>
      <c r="AC3173" s="462" t="s">
        <v>10657</v>
      </c>
      <c r="AD3173" s="464">
        <v>1304.40497</v>
      </c>
      <c r="AE3173" s="465">
        <v>59.75864</v>
      </c>
      <c r="AF3173" s="86">
        <f>IF(verze!$E$1="CZK",AD3173,IF(verze!$E$1="SK",AE3173,""))</f>
        <v>59.75864</v>
      </c>
    </row>
    <row r="3174" spans="27:32" ht="15">
      <c r="AA3174" s="463" t="s">
        <v>10658</v>
      </c>
      <c r="AB3174" s="462" t="s">
        <v>10659</v>
      </c>
      <c r="AC3174" s="462" t="s">
        <v>10660</v>
      </c>
      <c r="AD3174" s="464">
        <v>1356.85358</v>
      </c>
      <c r="AE3174" s="465">
        <v>62.161479999999997</v>
      </c>
      <c r="AF3174" s="86">
        <f>IF(verze!$E$1="CZK",AD3174,IF(verze!$E$1="SK",AE3174,""))</f>
        <v>62.161479999999997</v>
      </c>
    </row>
    <row r="3175" spans="27:32" ht="15">
      <c r="AA3175" s="463" t="s">
        <v>10661</v>
      </c>
      <c r="AB3175" s="462" t="s">
        <v>10662</v>
      </c>
      <c r="AC3175" s="462" t="s">
        <v>10663</v>
      </c>
      <c r="AD3175" s="464">
        <v>1409.2791299999999</v>
      </c>
      <c r="AE3175" s="465">
        <v>64.563239999999993</v>
      </c>
      <c r="AF3175" s="86">
        <f>IF(verze!$E$1="CZK",AD3175,IF(verze!$E$1="SK",AE3175,""))</f>
        <v>64.563239999999993</v>
      </c>
    </row>
    <row r="3176" spans="27:32" ht="15">
      <c r="AA3176" s="463" t="s">
        <v>10664</v>
      </c>
      <c r="AB3176" s="462" t="s">
        <v>10665</v>
      </c>
      <c r="AC3176" s="462" t="s">
        <v>10666</v>
      </c>
      <c r="AD3176" s="464">
        <v>19.23039</v>
      </c>
      <c r="AE3176" s="465">
        <v>0.76932</v>
      </c>
      <c r="AF3176" s="86">
        <f>IF(verze!$E$1="CZK",AD3176,IF(verze!$E$1="SK",AE3176,""))</f>
        <v>0.76932</v>
      </c>
    </row>
    <row r="3177" spans="27:32" ht="15">
      <c r="AA3177" s="463" t="s">
        <v>10667</v>
      </c>
      <c r="AB3177" s="462" t="s">
        <v>10668</v>
      </c>
      <c r="AC3177" s="462" t="s">
        <v>10669</v>
      </c>
      <c r="AD3177" s="464">
        <v>1.8839300000000001</v>
      </c>
      <c r="AE3177" s="465">
        <v>7.7280000000000001E-2</v>
      </c>
      <c r="AF3177" s="86">
        <f>IF(verze!$E$1="CZK",AD3177,IF(verze!$E$1="SK",AE3177,""))</f>
        <v>7.7280000000000001E-2</v>
      </c>
    </row>
    <row r="3178" spans="27:32" ht="15">
      <c r="AA3178" s="463" t="s">
        <v>10670</v>
      </c>
      <c r="AB3178" s="462" t="s">
        <v>10671</v>
      </c>
      <c r="AC3178" s="462" t="s">
        <v>10672</v>
      </c>
      <c r="AD3178" s="464">
        <v>2.5544099999999998</v>
      </c>
      <c r="AE3178" s="465">
        <v>0.10219</v>
      </c>
      <c r="AF3178" s="86">
        <f>IF(verze!$E$1="CZK",AD3178,IF(verze!$E$1="SK",AE3178,""))</f>
        <v>0.10219</v>
      </c>
    </row>
    <row r="3179" spans="27:32" ht="15">
      <c r="AA3179" s="463" t="s">
        <v>10673</v>
      </c>
      <c r="AB3179" s="462" t="s">
        <v>10674</v>
      </c>
      <c r="AC3179" s="462" t="s">
        <v>10675</v>
      </c>
      <c r="AD3179" s="464">
        <v>5.3518699999999999</v>
      </c>
      <c r="AE3179" s="465">
        <v>0.21410000000000001</v>
      </c>
      <c r="AF3179" s="86">
        <f>IF(verze!$E$1="CZK",AD3179,IF(verze!$E$1="SK",AE3179,""))</f>
        <v>0.21410000000000001</v>
      </c>
    </row>
    <row r="3180" spans="27:32" ht="15">
      <c r="AA3180" s="463" t="s">
        <v>10676</v>
      </c>
      <c r="AB3180" s="462" t="s">
        <v>10677</v>
      </c>
      <c r="AC3180" s="462" t="s">
        <v>10678</v>
      </c>
      <c r="AD3180" s="464">
        <v>8.0308600000000006</v>
      </c>
      <c r="AE3180" s="465">
        <v>0.32128000000000001</v>
      </c>
      <c r="AF3180" s="86">
        <f>IF(verze!$E$1="CZK",AD3180,IF(verze!$E$1="SK",AE3180,""))</f>
        <v>0.32128000000000001</v>
      </c>
    </row>
    <row r="3181" spans="27:32" ht="15">
      <c r="AA3181" s="463" t="s">
        <v>10679</v>
      </c>
      <c r="AB3181" s="462" t="s">
        <v>10680</v>
      </c>
      <c r="AC3181" s="462" t="s">
        <v>10681</v>
      </c>
      <c r="AD3181" s="464">
        <v>479.04126000000002</v>
      </c>
      <c r="AE3181" s="465">
        <v>19.16405</v>
      </c>
      <c r="AF3181" s="86">
        <f>IF(verze!$E$1="CZK",AD3181,IF(verze!$E$1="SK",AE3181,""))</f>
        <v>19.16405</v>
      </c>
    </row>
    <row r="3182" spans="27:32" ht="15">
      <c r="AA3182" s="463" t="s">
        <v>10682</v>
      </c>
      <c r="AB3182" s="462" t="s">
        <v>10683</v>
      </c>
      <c r="AC3182" s="462" t="s">
        <v>10684</v>
      </c>
      <c r="AD3182" s="464">
        <v>244.21566000000001</v>
      </c>
      <c r="AE3182" s="465">
        <v>9.7698499999999999</v>
      </c>
      <c r="AF3182" s="86">
        <f>IF(verze!$E$1="CZK",AD3182,IF(verze!$E$1="SK",AE3182,""))</f>
        <v>9.7698499999999999</v>
      </c>
    </row>
    <row r="3183" spans="27:32" ht="15">
      <c r="AA3183" s="463" t="s">
        <v>10685</v>
      </c>
      <c r="AB3183" s="462" t="s">
        <v>10686</v>
      </c>
      <c r="AC3183" s="462" t="s">
        <v>10687</v>
      </c>
      <c r="AD3183" s="464">
        <v>190.56528</v>
      </c>
      <c r="AE3183" s="465">
        <v>9.1668800000000008</v>
      </c>
      <c r="AF3183" s="86">
        <f>IF(verze!$E$1="CZK",AD3183,IF(verze!$E$1="SK",AE3183,""))</f>
        <v>9.1668800000000008</v>
      </c>
    </row>
    <row r="3184" spans="27:32" ht="15">
      <c r="AA3184" s="463" t="s">
        <v>10688</v>
      </c>
      <c r="AB3184" s="462" t="s">
        <v>10689</v>
      </c>
      <c r="AC3184" s="462" t="s">
        <v>10690</v>
      </c>
      <c r="AD3184" s="464">
        <v>199.75463999999999</v>
      </c>
      <c r="AE3184" s="465">
        <v>9.6089300000000009</v>
      </c>
      <c r="AF3184" s="86">
        <f>IF(verze!$E$1="CZK",AD3184,IF(verze!$E$1="SK",AE3184,""))</f>
        <v>9.6089300000000009</v>
      </c>
    </row>
    <row r="3185" spans="27:32" ht="15">
      <c r="AA3185" s="463" t="s">
        <v>10691</v>
      </c>
      <c r="AB3185" s="462" t="s">
        <v>10692</v>
      </c>
      <c r="AC3185" s="462" t="s">
        <v>10693</v>
      </c>
      <c r="AD3185" s="464">
        <v>208.93458999999999</v>
      </c>
      <c r="AE3185" s="465">
        <v>10.050520000000001</v>
      </c>
      <c r="AF3185" s="86">
        <f>IF(verze!$E$1="CZK",AD3185,IF(verze!$E$1="SK",AE3185,""))</f>
        <v>10.050520000000001</v>
      </c>
    </row>
    <row r="3186" spans="27:32" ht="15">
      <c r="AA3186" s="463" t="s">
        <v>10694</v>
      </c>
      <c r="AB3186" s="462" t="s">
        <v>10695</v>
      </c>
      <c r="AC3186" s="462" t="s">
        <v>10696</v>
      </c>
      <c r="AD3186" s="464">
        <v>2432.4070499999998</v>
      </c>
      <c r="AE3186" s="465">
        <v>97.308390000000003</v>
      </c>
      <c r="AF3186" s="86">
        <f>IF(verze!$E$1="CZK",AD3186,IF(verze!$E$1="SK",AE3186,""))</f>
        <v>97.308390000000003</v>
      </c>
    </row>
    <row r="3187" spans="27:32" ht="15">
      <c r="AA3187" s="463" t="s">
        <v>10694</v>
      </c>
      <c r="AB3187" s="462" t="s">
        <v>10697</v>
      </c>
      <c r="AC3187" s="462" t="s">
        <v>10698</v>
      </c>
      <c r="AD3187" s="464">
        <v>919.62585000000001</v>
      </c>
      <c r="AE3187" s="465">
        <v>36.890129999999999</v>
      </c>
      <c r="AF3187" s="86">
        <f>IF(verze!$E$1="CZK",AD3187,IF(verze!$E$1="SK",AE3187,""))</f>
        <v>36.890129999999999</v>
      </c>
    </row>
    <row r="3188" spans="27:32" ht="15">
      <c r="AA3188" s="463" t="s">
        <v>10699</v>
      </c>
      <c r="AB3188" s="462" t="s">
        <v>10700</v>
      </c>
      <c r="AC3188" s="462" t="s">
        <v>10701</v>
      </c>
      <c r="AD3188" s="464">
        <v>84.717500000000001</v>
      </c>
      <c r="AE3188" s="465">
        <v>0</v>
      </c>
      <c r="AF3188" s="86">
        <f>IF(verze!$E$1="CZK",AD3188,IF(verze!$E$1="SK",AE3188,""))</f>
        <v>0</v>
      </c>
    </row>
    <row r="3189" spans="27:32" ht="15">
      <c r="AA3189" s="463" t="s">
        <v>10702</v>
      </c>
      <c r="AB3189" s="462" t="s">
        <v>10703</v>
      </c>
      <c r="AC3189" s="462" t="s">
        <v>10704</v>
      </c>
      <c r="AD3189" s="464">
        <v>84.717500000000001</v>
      </c>
      <c r="AE3189" s="465">
        <v>0</v>
      </c>
      <c r="AF3189" s="86">
        <f>IF(verze!$E$1="CZK",AD3189,IF(verze!$E$1="SK",AE3189,""))</f>
        <v>0</v>
      </c>
    </row>
    <row r="3190" spans="27:32" ht="15">
      <c r="AA3190" s="463" t="s">
        <v>10705</v>
      </c>
      <c r="AB3190" s="462" t="s">
        <v>10706</v>
      </c>
      <c r="AC3190" s="462" t="s">
        <v>10707</v>
      </c>
      <c r="AD3190" s="464">
        <v>578.23085000000003</v>
      </c>
      <c r="AE3190" s="465">
        <v>0</v>
      </c>
      <c r="AF3190" s="86">
        <f>IF(verze!$E$1="CZK",AD3190,IF(verze!$E$1="SK",AE3190,""))</f>
        <v>0</v>
      </c>
    </row>
    <row r="3191" spans="27:32" ht="15">
      <c r="AA3191" s="463" t="s">
        <v>10708</v>
      </c>
      <c r="AB3191" s="462" t="s">
        <v>10709</v>
      </c>
      <c r="AC3191" s="462" t="s">
        <v>10710</v>
      </c>
      <c r="AD3191" s="464">
        <v>645.46744999999999</v>
      </c>
      <c r="AE3191" s="465">
        <v>0</v>
      </c>
      <c r="AF3191" s="86">
        <f>IF(verze!$E$1="CZK",AD3191,IF(verze!$E$1="SK",AE3191,""))</f>
        <v>0</v>
      </c>
    </row>
    <row r="3192" spans="27:32" ht="15">
      <c r="AA3192" s="463" t="s">
        <v>10711</v>
      </c>
      <c r="AB3192" s="462" t="s">
        <v>10712</v>
      </c>
      <c r="AC3192" s="462" t="s">
        <v>10713</v>
      </c>
      <c r="AD3192" s="464">
        <v>699.25585000000001</v>
      </c>
      <c r="AE3192" s="465">
        <v>0</v>
      </c>
      <c r="AF3192" s="86">
        <f>IF(verze!$E$1="CZK",AD3192,IF(verze!$E$1="SK",AE3192,""))</f>
        <v>0</v>
      </c>
    </row>
    <row r="3193" spans="27:32" ht="15">
      <c r="AA3193" s="463" t="s">
        <v>10714</v>
      </c>
      <c r="AB3193" s="462" t="s">
        <v>10715</v>
      </c>
      <c r="AC3193" s="462" t="s">
        <v>10716</v>
      </c>
      <c r="AD3193" s="464">
        <v>168.95105000000001</v>
      </c>
      <c r="AE3193" s="465">
        <v>8.1271699999999996</v>
      </c>
      <c r="AF3193" s="86">
        <f>IF(verze!$E$1="CZK",AD3193,IF(verze!$E$1="SK",AE3193,""))</f>
        <v>8.1271699999999996</v>
      </c>
    </row>
    <row r="3194" spans="27:32" ht="15">
      <c r="AA3194" s="463" t="s">
        <v>10717</v>
      </c>
      <c r="AB3194" s="462" t="s">
        <v>10718</v>
      </c>
      <c r="AC3194" s="462" t="s">
        <v>10719</v>
      </c>
      <c r="AD3194" s="464">
        <v>211.18892</v>
      </c>
      <c r="AE3194" s="465">
        <v>10.158939999999999</v>
      </c>
      <c r="AF3194" s="86">
        <f>IF(verze!$E$1="CZK",AD3194,IF(verze!$E$1="SK",AE3194,""))</f>
        <v>10.158939999999999</v>
      </c>
    </row>
    <row r="3195" spans="27:32" ht="15">
      <c r="AA3195" s="463" t="s">
        <v>10720</v>
      </c>
      <c r="AB3195" s="462" t="s">
        <v>10721</v>
      </c>
      <c r="AC3195" s="462" t="s">
        <v>10722</v>
      </c>
      <c r="AD3195" s="464">
        <v>295.66444000000001</v>
      </c>
      <c r="AE3195" s="465">
        <v>14.22254</v>
      </c>
      <c r="AF3195" s="86">
        <f>IF(verze!$E$1="CZK",AD3195,IF(verze!$E$1="SK",AE3195,""))</f>
        <v>14.22254</v>
      </c>
    </row>
    <row r="3196" spans="27:32" ht="15">
      <c r="AA3196" s="463" t="s">
        <v>10723</v>
      </c>
      <c r="AB3196" s="462" t="s">
        <v>10724</v>
      </c>
      <c r="AC3196" s="462" t="s">
        <v>10725</v>
      </c>
      <c r="AD3196" s="464">
        <v>337.90221000000003</v>
      </c>
      <c r="AE3196" s="465">
        <v>16.25432</v>
      </c>
      <c r="AF3196" s="86">
        <f>IF(verze!$E$1="CZK",AD3196,IF(verze!$E$1="SK",AE3196,""))</f>
        <v>16.25432</v>
      </c>
    </row>
    <row r="3197" spans="27:32" ht="15">
      <c r="AA3197" s="463" t="s">
        <v>10726</v>
      </c>
      <c r="AB3197" s="462" t="s">
        <v>10727</v>
      </c>
      <c r="AC3197" s="462" t="s">
        <v>10728</v>
      </c>
      <c r="AD3197" s="464">
        <v>257.89258999999998</v>
      </c>
      <c r="AE3197" s="465">
        <v>10.316990000000001</v>
      </c>
      <c r="AF3197" s="86">
        <f>IF(verze!$E$1="CZK",AD3197,IF(verze!$E$1="SK",AE3197,""))</f>
        <v>10.316990000000001</v>
      </c>
    </row>
    <row r="3198" spans="27:32" ht="15">
      <c r="AA3198" s="463" t="s">
        <v>10729</v>
      </c>
      <c r="AB3198" s="462" t="s">
        <v>10730</v>
      </c>
      <c r="AC3198" s="462" t="s">
        <v>10731</v>
      </c>
      <c r="AD3198" s="464">
        <v>255.99280999999999</v>
      </c>
      <c r="AE3198" s="465">
        <v>10.24099</v>
      </c>
      <c r="AF3198" s="86">
        <f>IF(verze!$E$1="CZK",AD3198,IF(verze!$E$1="SK",AE3198,""))</f>
        <v>10.24099</v>
      </c>
    </row>
    <row r="3199" spans="27:32" ht="15">
      <c r="AA3199" s="463" t="s">
        <v>10732</v>
      </c>
      <c r="AB3199" s="462" t="s">
        <v>10733</v>
      </c>
      <c r="AC3199" s="462" t="s">
        <v>10734</v>
      </c>
      <c r="AD3199" s="464">
        <v>414.36014999999998</v>
      </c>
      <c r="AE3199" s="465">
        <v>16.576460000000001</v>
      </c>
      <c r="AF3199" s="86">
        <f>IF(verze!$E$1="CZK",AD3199,IF(verze!$E$1="SK",AE3199,""))</f>
        <v>16.576460000000001</v>
      </c>
    </row>
    <row r="3200" spans="27:32" ht="15">
      <c r="AA3200" s="463" t="s">
        <v>10735</v>
      </c>
      <c r="AB3200" s="462" t="s">
        <v>10736</v>
      </c>
      <c r="AC3200" s="462" t="s">
        <v>10737</v>
      </c>
      <c r="AD3200" s="464">
        <v>813.66845999999998</v>
      </c>
      <c r="AE3200" s="465">
        <v>39.140389999999996</v>
      </c>
      <c r="AF3200" s="86">
        <f>IF(verze!$E$1="CZK",AD3200,IF(verze!$E$1="SK",AE3200,""))</f>
        <v>39.140389999999996</v>
      </c>
    </row>
    <row r="3201" spans="27:32" ht="15">
      <c r="AA3201" s="463" t="s">
        <v>10738</v>
      </c>
      <c r="AB3201" s="462" t="s">
        <v>10739</v>
      </c>
      <c r="AC3201" s="462" t="s">
        <v>10740</v>
      </c>
      <c r="AD3201" s="464">
        <v>821.66893000000005</v>
      </c>
      <c r="AE3201" s="465">
        <v>39.525260000000003</v>
      </c>
      <c r="AF3201" s="86">
        <f>IF(verze!$E$1="CZK",AD3201,IF(verze!$E$1="SK",AE3201,""))</f>
        <v>39.525260000000003</v>
      </c>
    </row>
    <row r="3202" spans="27:32" ht="15">
      <c r="AA3202" s="463" t="s">
        <v>10741</v>
      </c>
      <c r="AB3202" s="462" t="s">
        <v>10742</v>
      </c>
      <c r="AC3202" s="462" t="s">
        <v>10743</v>
      </c>
      <c r="AD3202" s="464">
        <v>453.23838999999998</v>
      </c>
      <c r="AE3202" s="465">
        <v>21.802409999999998</v>
      </c>
      <c r="AF3202" s="86">
        <f>IF(verze!$E$1="CZK",AD3202,IF(verze!$E$1="SK",AE3202,""))</f>
        <v>21.802409999999998</v>
      </c>
    </row>
    <row r="3203" spans="27:32" ht="15">
      <c r="AA3203" s="463" t="s">
        <v>10744</v>
      </c>
      <c r="AB3203" s="462" t="s">
        <v>10745</v>
      </c>
      <c r="AC3203" s="462" t="s">
        <v>10746</v>
      </c>
      <c r="AD3203" s="464">
        <v>458.80639000000002</v>
      </c>
      <c r="AE3203" s="465">
        <v>22.070239999999998</v>
      </c>
      <c r="AF3203" s="86">
        <f>IF(verze!$E$1="CZK",AD3203,IF(verze!$E$1="SK",AE3203,""))</f>
        <v>22.070239999999998</v>
      </c>
    </row>
    <row r="3204" spans="27:32" ht="15">
      <c r="AA3204" s="463" t="s">
        <v>10747</v>
      </c>
      <c r="AB3204" s="462" t="s">
        <v>10748</v>
      </c>
      <c r="AC3204" s="462" t="s">
        <v>10749</v>
      </c>
      <c r="AD3204" s="464">
        <v>464.37436000000002</v>
      </c>
      <c r="AE3204" s="465">
        <v>22.338080000000001</v>
      </c>
      <c r="AF3204" s="86">
        <f>IF(verze!$E$1="CZK",AD3204,IF(verze!$E$1="SK",AE3204,""))</f>
        <v>22.338080000000001</v>
      </c>
    </row>
    <row r="3205" spans="27:32" ht="15">
      <c r="AA3205" s="463" t="s">
        <v>10750</v>
      </c>
      <c r="AB3205" s="462" t="s">
        <v>10751</v>
      </c>
      <c r="AC3205" s="462" t="s">
        <v>10752</v>
      </c>
      <c r="AD3205" s="464">
        <v>691.94989999999996</v>
      </c>
      <c r="AE3205" s="465">
        <v>33.285290000000003</v>
      </c>
      <c r="AF3205" s="86">
        <f>IF(verze!$E$1="CZK",AD3205,IF(verze!$E$1="SK",AE3205,""))</f>
        <v>33.285290000000003</v>
      </c>
    </row>
    <row r="3206" spans="27:32" ht="15">
      <c r="AA3206" s="463" t="s">
        <v>10753</v>
      </c>
      <c r="AB3206" s="462" t="s">
        <v>10754</v>
      </c>
      <c r="AC3206" s="462" t="s">
        <v>10755</v>
      </c>
      <c r="AD3206" s="464">
        <v>691.94989999999996</v>
      </c>
      <c r="AE3206" s="465">
        <v>33.285290000000003</v>
      </c>
      <c r="AF3206" s="86">
        <f>IF(verze!$E$1="CZK",AD3206,IF(verze!$E$1="SK",AE3206,""))</f>
        <v>33.285290000000003</v>
      </c>
    </row>
    <row r="3207" spans="27:32" ht="15">
      <c r="AA3207" s="463" t="s">
        <v>10756</v>
      </c>
      <c r="AB3207" s="462" t="s">
        <v>10757</v>
      </c>
      <c r="AC3207" s="462" t="s">
        <v>10758</v>
      </c>
      <c r="AD3207" s="464">
        <v>698.00480000000005</v>
      </c>
      <c r="AE3207" s="465">
        <v>33.576560000000001</v>
      </c>
      <c r="AF3207" s="86">
        <f>IF(verze!$E$1="CZK",AD3207,IF(verze!$E$1="SK",AE3207,""))</f>
        <v>33.576560000000001</v>
      </c>
    </row>
    <row r="3208" spans="27:32" ht="15">
      <c r="AA3208" s="463" t="s">
        <v>10759</v>
      </c>
      <c r="AB3208" s="462" t="s">
        <v>10760</v>
      </c>
      <c r="AC3208" s="462" t="s">
        <v>10761</v>
      </c>
      <c r="AD3208" s="464">
        <v>702.32939999999996</v>
      </c>
      <c r="AE3208" s="465">
        <v>33.784590000000001</v>
      </c>
      <c r="AF3208" s="86">
        <f>IF(verze!$E$1="CZK",AD3208,IF(verze!$E$1="SK",AE3208,""))</f>
        <v>33.784590000000001</v>
      </c>
    </row>
    <row r="3209" spans="27:32" ht="15">
      <c r="AA3209" s="463" t="s">
        <v>10762</v>
      </c>
      <c r="AB3209" s="462" t="s">
        <v>10763</v>
      </c>
      <c r="AC3209" s="462" t="s">
        <v>10764</v>
      </c>
      <c r="AD3209" s="464">
        <v>706.65400999999997</v>
      </c>
      <c r="AE3209" s="465">
        <v>33.992620000000002</v>
      </c>
      <c r="AF3209" s="86">
        <f>IF(verze!$E$1="CZK",AD3209,IF(verze!$E$1="SK",AE3209,""))</f>
        <v>33.992620000000002</v>
      </c>
    </row>
    <row r="3210" spans="27:32" ht="15">
      <c r="AA3210" s="463" t="s">
        <v>10765</v>
      </c>
      <c r="AB3210" s="462" t="s">
        <v>10766</v>
      </c>
      <c r="AC3210" s="462" t="s">
        <v>10767</v>
      </c>
      <c r="AD3210" s="464">
        <v>691.94989999999996</v>
      </c>
      <c r="AE3210" s="465">
        <v>33.285290000000003</v>
      </c>
      <c r="AF3210" s="86">
        <f>IF(verze!$E$1="CZK",AD3210,IF(verze!$E$1="SK",AE3210,""))</f>
        <v>33.285290000000003</v>
      </c>
    </row>
    <row r="3211" spans="27:32" ht="15">
      <c r="AA3211" s="463" t="s">
        <v>10768</v>
      </c>
      <c r="AB3211" s="462" t="s">
        <v>10769</v>
      </c>
      <c r="AC3211" s="462" t="s">
        <v>10770</v>
      </c>
      <c r="AD3211" s="464">
        <v>739.36131999999998</v>
      </c>
      <c r="AE3211" s="465">
        <v>35.201540000000001</v>
      </c>
      <c r="AF3211" s="86">
        <f>IF(verze!$E$1="CZK",AD3211,IF(verze!$E$1="SK",AE3211,""))</f>
        <v>35.201540000000001</v>
      </c>
    </row>
    <row r="3212" spans="27:32" ht="15">
      <c r="AA3212" s="463" t="s">
        <v>10771</v>
      </c>
      <c r="AB3212" s="462" t="s">
        <v>10772</v>
      </c>
      <c r="AC3212" s="462" t="s">
        <v>10773</v>
      </c>
      <c r="AD3212" s="464">
        <v>800.06700999999998</v>
      </c>
      <c r="AE3212" s="465">
        <v>38.486109999999996</v>
      </c>
      <c r="AF3212" s="86">
        <f>IF(verze!$E$1="CZK",AD3212,IF(verze!$E$1="SK",AE3212,""))</f>
        <v>38.486109999999996</v>
      </c>
    </row>
    <row r="3213" spans="27:32" ht="15">
      <c r="AA3213" s="463" t="s">
        <v>10774</v>
      </c>
      <c r="AB3213" s="462" t="s">
        <v>10775</v>
      </c>
      <c r="AC3213" s="462" t="s">
        <v>10776</v>
      </c>
      <c r="AD3213" s="464">
        <v>800.06700999999998</v>
      </c>
      <c r="AE3213" s="465">
        <v>38.486109999999996</v>
      </c>
      <c r="AF3213" s="86">
        <f>IF(verze!$E$1="CZK",AD3213,IF(verze!$E$1="SK",AE3213,""))</f>
        <v>38.486109999999996</v>
      </c>
    </row>
    <row r="3214" spans="27:32" ht="15">
      <c r="AA3214" s="463" t="s">
        <v>10777</v>
      </c>
      <c r="AB3214" s="462" t="s">
        <v>10778</v>
      </c>
      <c r="AC3214" s="462" t="s">
        <v>10779</v>
      </c>
      <c r="AD3214" s="464">
        <v>805.66789000000006</v>
      </c>
      <c r="AE3214" s="465">
        <v>38.755540000000003</v>
      </c>
      <c r="AF3214" s="86">
        <f>IF(verze!$E$1="CZK",AD3214,IF(verze!$E$1="SK",AE3214,""))</f>
        <v>38.755540000000003</v>
      </c>
    </row>
    <row r="3215" spans="27:32" ht="15">
      <c r="AA3215" s="463" t="s">
        <v>10780</v>
      </c>
      <c r="AB3215" s="462" t="s">
        <v>10781</v>
      </c>
      <c r="AC3215" s="462" t="s">
        <v>10782</v>
      </c>
      <c r="AD3215" s="464">
        <v>800.06700999999998</v>
      </c>
      <c r="AE3215" s="465">
        <v>38.486109999999996</v>
      </c>
      <c r="AF3215" s="86">
        <f>IF(verze!$E$1="CZK",AD3215,IF(verze!$E$1="SK",AE3215,""))</f>
        <v>38.486109999999996</v>
      </c>
    </row>
    <row r="3216" spans="27:32" ht="15">
      <c r="AA3216" s="463" t="s">
        <v>10783</v>
      </c>
      <c r="AB3216" s="462" t="s">
        <v>10784</v>
      </c>
      <c r="AC3216" s="462" t="s">
        <v>10785</v>
      </c>
      <c r="AD3216" s="464">
        <v>805.66789000000006</v>
      </c>
      <c r="AE3216" s="465">
        <v>38.755540000000003</v>
      </c>
      <c r="AF3216" s="86">
        <f>IF(verze!$E$1="CZK",AD3216,IF(verze!$E$1="SK",AE3216,""))</f>
        <v>38.755540000000003</v>
      </c>
    </row>
    <row r="3217" spans="27:32" ht="15">
      <c r="AA3217" s="463" t="s">
        <v>10786</v>
      </c>
      <c r="AB3217" s="462" t="s">
        <v>10787</v>
      </c>
      <c r="AC3217" s="462" t="s">
        <v>10788</v>
      </c>
      <c r="AD3217" s="464">
        <v>809.66812000000004</v>
      </c>
      <c r="AE3217" s="465">
        <v>38.947940000000003</v>
      </c>
      <c r="AF3217" s="86">
        <f>IF(verze!$E$1="CZK",AD3217,IF(verze!$E$1="SK",AE3217,""))</f>
        <v>38.947940000000003</v>
      </c>
    </row>
    <row r="3218" spans="27:32" ht="15">
      <c r="AA3218" s="463" t="s">
        <v>10789</v>
      </c>
      <c r="AB3218" s="462" t="s">
        <v>10790</v>
      </c>
      <c r="AC3218" s="462" t="s">
        <v>10791</v>
      </c>
      <c r="AD3218" s="464">
        <v>691.94989999999996</v>
      </c>
      <c r="AE3218" s="465">
        <v>32.944229999999997</v>
      </c>
      <c r="AF3218" s="86">
        <f>IF(verze!$E$1="CZK",AD3218,IF(verze!$E$1="SK",AE3218,""))</f>
        <v>32.944229999999997</v>
      </c>
    </row>
    <row r="3219" spans="27:32" ht="15">
      <c r="AA3219" s="463" t="s">
        <v>10792</v>
      </c>
      <c r="AB3219" s="462" t="s">
        <v>10793</v>
      </c>
      <c r="AC3219" s="462" t="s">
        <v>10794</v>
      </c>
      <c r="AD3219" s="464">
        <v>691.94989999999996</v>
      </c>
      <c r="AE3219" s="465">
        <v>33.285290000000003</v>
      </c>
      <c r="AF3219" s="86">
        <f>IF(verze!$E$1="CZK",AD3219,IF(verze!$E$1="SK",AE3219,""))</f>
        <v>33.285290000000003</v>
      </c>
    </row>
    <row r="3220" spans="27:32" ht="15">
      <c r="AA3220" s="463" t="s">
        <v>10795</v>
      </c>
      <c r="AB3220" s="462" t="s">
        <v>10796</v>
      </c>
      <c r="AC3220" s="462" t="s">
        <v>10797</v>
      </c>
      <c r="AD3220" s="464">
        <v>691.94989999999996</v>
      </c>
      <c r="AE3220" s="465">
        <v>33.285290000000003</v>
      </c>
      <c r="AF3220" s="86">
        <f>IF(verze!$E$1="CZK",AD3220,IF(verze!$E$1="SK",AE3220,""))</f>
        <v>33.285290000000003</v>
      </c>
    </row>
    <row r="3221" spans="27:32" ht="15">
      <c r="AA3221" s="463" t="s">
        <v>10798</v>
      </c>
      <c r="AB3221" s="462" t="s">
        <v>10799</v>
      </c>
      <c r="AC3221" s="462" t="s">
        <v>10800</v>
      </c>
      <c r="AD3221" s="464">
        <v>33.674869999999999</v>
      </c>
      <c r="AE3221" s="465">
        <v>1.5849</v>
      </c>
      <c r="AF3221" s="86">
        <f>IF(verze!$E$1="CZK",AD3221,IF(verze!$E$1="SK",AE3221,""))</f>
        <v>1.5849</v>
      </c>
    </row>
    <row r="3222" spans="27:32" ht="15">
      <c r="AA3222" s="463" t="s">
        <v>10801</v>
      </c>
      <c r="AB3222" s="462" t="s">
        <v>10802</v>
      </c>
      <c r="AC3222" s="462" t="s">
        <v>10803</v>
      </c>
      <c r="AD3222" s="464">
        <v>16.329339999999998</v>
      </c>
      <c r="AE3222" s="465">
        <v>0.78551000000000004</v>
      </c>
      <c r="AF3222" s="86">
        <f>IF(verze!$E$1="CZK",AD3222,IF(verze!$E$1="SK",AE3222,""))</f>
        <v>0.78551000000000004</v>
      </c>
    </row>
    <row r="3223" spans="27:32" ht="15">
      <c r="AA3223" s="463" t="s">
        <v>10801</v>
      </c>
      <c r="AB3223" s="462" t="s">
        <v>10804</v>
      </c>
      <c r="AC3223" s="462" t="s">
        <v>10805</v>
      </c>
      <c r="AD3223" s="464">
        <v>15.895049999999999</v>
      </c>
      <c r="AE3223" s="465">
        <v>0.59128000000000003</v>
      </c>
      <c r="AF3223" s="86">
        <f>IF(verze!$E$1="CZK",AD3223,IF(verze!$E$1="SK",AE3223,""))</f>
        <v>0.59128000000000003</v>
      </c>
    </row>
    <row r="3224" spans="27:32" ht="15">
      <c r="AA3224" s="463" t="s">
        <v>10801</v>
      </c>
      <c r="AB3224" s="462" t="s">
        <v>10806</v>
      </c>
      <c r="AC3224" s="462" t="s">
        <v>10807</v>
      </c>
      <c r="AD3224" s="464">
        <v>15.895049999999999</v>
      </c>
      <c r="AE3224" s="465">
        <v>0.59128000000000003</v>
      </c>
      <c r="AF3224" s="86">
        <f>IF(verze!$E$1="CZK",AD3224,IF(verze!$E$1="SK",AE3224,""))</f>
        <v>0.59128000000000003</v>
      </c>
    </row>
    <row r="3225" spans="27:32" ht="15">
      <c r="AA3225" s="463" t="s">
        <v>10808</v>
      </c>
      <c r="AB3225" s="462" t="s">
        <v>10809</v>
      </c>
      <c r="AC3225" s="462" t="s">
        <v>10810</v>
      </c>
      <c r="AD3225" s="464">
        <v>16.329339999999998</v>
      </c>
      <c r="AE3225" s="465">
        <v>0.78551000000000004</v>
      </c>
      <c r="AF3225" s="86">
        <f>IF(verze!$E$1="CZK",AD3225,IF(verze!$E$1="SK",AE3225,""))</f>
        <v>0.78551000000000004</v>
      </c>
    </row>
    <row r="3226" spans="27:32" ht="15">
      <c r="AA3226" s="463" t="s">
        <v>10808</v>
      </c>
      <c r="AB3226" s="462" t="s">
        <v>10811</v>
      </c>
      <c r="AC3226" s="462" t="s">
        <v>10812</v>
      </c>
      <c r="AD3226" s="464">
        <v>15.895049999999999</v>
      </c>
      <c r="AE3226" s="465">
        <v>0.59128000000000003</v>
      </c>
      <c r="AF3226" s="86">
        <f>IF(verze!$E$1="CZK",AD3226,IF(verze!$E$1="SK",AE3226,""))</f>
        <v>0.59128000000000003</v>
      </c>
    </row>
    <row r="3227" spans="27:32" ht="15">
      <c r="AA3227" s="463" t="s">
        <v>10808</v>
      </c>
      <c r="AB3227" s="462" t="s">
        <v>10813</v>
      </c>
      <c r="AC3227" s="462" t="s">
        <v>10814</v>
      </c>
      <c r="AD3227" s="464">
        <v>15.895049999999999</v>
      </c>
      <c r="AE3227" s="465">
        <v>0.59128000000000003</v>
      </c>
      <c r="AF3227" s="86">
        <f>IF(verze!$E$1="CZK",AD3227,IF(verze!$E$1="SK",AE3227,""))</f>
        <v>0.59128000000000003</v>
      </c>
    </row>
    <row r="3228" spans="27:32" ht="15">
      <c r="AA3228" s="463" t="s">
        <v>10815</v>
      </c>
      <c r="AB3228" s="462" t="s">
        <v>10816</v>
      </c>
      <c r="AC3228" s="462" t="s">
        <v>10817</v>
      </c>
      <c r="AD3228" s="464">
        <v>144.87621999999999</v>
      </c>
      <c r="AE3228" s="465">
        <v>6.6372200000000001</v>
      </c>
      <c r="AF3228" s="86">
        <f>IF(verze!$E$1="CZK",AD3228,IF(verze!$E$1="SK",AE3228,""))</f>
        <v>6.6372200000000001</v>
      </c>
    </row>
    <row r="3229" spans="27:32" ht="15">
      <c r="AA3229" s="463" t="s">
        <v>10818</v>
      </c>
      <c r="AB3229" s="462" t="s">
        <v>10819</v>
      </c>
      <c r="AC3229" s="462" t="s">
        <v>10820</v>
      </c>
      <c r="AD3229" s="464">
        <v>138.57441</v>
      </c>
      <c r="AE3229" s="465">
        <v>6.3485199999999997</v>
      </c>
      <c r="AF3229" s="86">
        <f>IF(verze!$E$1="CZK",AD3229,IF(verze!$E$1="SK",AE3229,""))</f>
        <v>6.3485199999999997</v>
      </c>
    </row>
    <row r="3230" spans="27:32" ht="15">
      <c r="AA3230" s="463" t="s">
        <v>10821</v>
      </c>
      <c r="AB3230" s="462" t="s">
        <v>10822</v>
      </c>
      <c r="AC3230" s="462" t="s">
        <v>10823</v>
      </c>
      <c r="AD3230" s="464">
        <v>10.752890000000001</v>
      </c>
      <c r="AE3230" s="465">
        <v>0.51724999999999999</v>
      </c>
      <c r="AF3230" s="86">
        <f>IF(verze!$E$1="CZK",AD3230,IF(verze!$E$1="SK",AE3230,""))</f>
        <v>0.51724999999999999</v>
      </c>
    </row>
    <row r="3231" spans="27:32" ht="15">
      <c r="AA3231" s="463" t="s">
        <v>10824</v>
      </c>
      <c r="AB3231" s="462" t="s">
        <v>10825</v>
      </c>
      <c r="AC3231" s="462" t="s">
        <v>10826</v>
      </c>
      <c r="AD3231" s="464">
        <v>245.23254</v>
      </c>
      <c r="AE3231" s="465">
        <v>9.8740000000000006</v>
      </c>
      <c r="AF3231" s="86">
        <f>IF(verze!$E$1="CZK",AD3231,IF(verze!$E$1="SK",AE3231,""))</f>
        <v>9.8740000000000006</v>
      </c>
    </row>
    <row r="3232" spans="27:32" ht="15">
      <c r="AA3232" s="463" t="s">
        <v>10827</v>
      </c>
      <c r="AB3232" s="462" t="s">
        <v>10828</v>
      </c>
      <c r="AC3232" s="462" t="s">
        <v>10829</v>
      </c>
      <c r="AD3232" s="464">
        <v>1898.7609500000001</v>
      </c>
      <c r="AE3232" s="465">
        <v>75.959890000000001</v>
      </c>
      <c r="AF3232" s="86">
        <f>IF(verze!$E$1="CZK",AD3232,IF(verze!$E$1="SK",AE3232,""))</f>
        <v>75.959890000000001</v>
      </c>
    </row>
    <row r="3233" spans="27:32" ht="15">
      <c r="AA3233" s="463" t="s">
        <v>10830</v>
      </c>
      <c r="AB3233" s="462" t="s">
        <v>10831</v>
      </c>
      <c r="AC3233" s="462" t="s">
        <v>10832</v>
      </c>
      <c r="AD3233" s="464">
        <v>1503.1857199999999</v>
      </c>
      <c r="AE3233" s="465">
        <v>60.134920000000001</v>
      </c>
      <c r="AF3233" s="86">
        <f>IF(verze!$E$1="CZK",AD3233,IF(verze!$E$1="SK",AE3233,""))</f>
        <v>60.134920000000001</v>
      </c>
    </row>
    <row r="3234" spans="27:32" ht="15">
      <c r="AA3234" s="463" t="s">
        <v>10833</v>
      </c>
      <c r="AB3234" s="462" t="s">
        <v>10834</v>
      </c>
      <c r="AC3234" s="462" t="s">
        <v>10835</v>
      </c>
      <c r="AD3234" s="464">
        <v>135.68402</v>
      </c>
      <c r="AE3234" s="465">
        <v>0</v>
      </c>
      <c r="AF3234" s="86">
        <f>IF(verze!$E$1="CZK",AD3234,IF(verze!$E$1="SK",AE3234,""))</f>
        <v>0</v>
      </c>
    </row>
    <row r="3235" spans="27:32" ht="15">
      <c r="AA3235" s="463" t="s">
        <v>10836</v>
      </c>
      <c r="AB3235" s="462" t="s">
        <v>10837</v>
      </c>
      <c r="AC3235" s="462" t="s">
        <v>10838</v>
      </c>
      <c r="AD3235" s="464">
        <v>50.597659999999998</v>
      </c>
      <c r="AE3235" s="465">
        <v>2.4339400000000002</v>
      </c>
      <c r="AF3235" s="86">
        <f>IF(verze!$E$1="CZK",AD3235,IF(verze!$E$1="SK",AE3235,""))</f>
        <v>2.4339400000000002</v>
      </c>
    </row>
    <row r="3236" spans="27:32" ht="15">
      <c r="AA3236" s="463" t="s">
        <v>10839</v>
      </c>
      <c r="AB3236" s="462" t="s">
        <v>10840</v>
      </c>
      <c r="AC3236" s="462" t="s">
        <v>10841</v>
      </c>
      <c r="AD3236" s="464">
        <v>77.440190000000001</v>
      </c>
      <c r="AE3236" s="465">
        <v>3.7251699999999999</v>
      </c>
      <c r="AF3236" s="86">
        <f>IF(verze!$E$1="CZK",AD3236,IF(verze!$E$1="SK",AE3236,""))</f>
        <v>3.7251699999999999</v>
      </c>
    </row>
    <row r="3237" spans="27:32" ht="15">
      <c r="AA3237" s="463" t="s">
        <v>10842</v>
      </c>
      <c r="AB3237" s="462" t="s">
        <v>10843</v>
      </c>
      <c r="AC3237" s="462" t="s">
        <v>10844</v>
      </c>
      <c r="AD3237" s="464">
        <v>353.21181999999999</v>
      </c>
      <c r="AE3237" s="465">
        <v>16.990760000000002</v>
      </c>
      <c r="AF3237" s="86">
        <f>IF(verze!$E$1="CZK",AD3237,IF(verze!$E$1="SK",AE3237,""))</f>
        <v>16.990760000000002</v>
      </c>
    </row>
    <row r="3238" spans="27:32" ht="15">
      <c r="AA3238" s="463" t="s">
        <v>10845</v>
      </c>
      <c r="AB3238" s="462" t="s">
        <v>10846</v>
      </c>
      <c r="AC3238" s="462" t="s">
        <v>10847</v>
      </c>
      <c r="AD3238" s="464">
        <v>436.55077999999997</v>
      </c>
      <c r="AE3238" s="465">
        <v>17.582049999999999</v>
      </c>
      <c r="AF3238" s="86">
        <f>IF(verze!$E$1="CZK",AD3238,IF(verze!$E$1="SK",AE3238,""))</f>
        <v>17.582049999999999</v>
      </c>
    </row>
    <row r="3239" spans="27:32" ht="15">
      <c r="AA3239" s="463" t="s">
        <v>10848</v>
      </c>
      <c r="AB3239" s="462" t="s">
        <v>10849</v>
      </c>
      <c r="AC3239" s="462" t="s">
        <v>10850</v>
      </c>
      <c r="AD3239" s="464">
        <v>783.76777000000004</v>
      </c>
      <c r="AE3239" s="465">
        <v>26.431979999999999</v>
      </c>
      <c r="AF3239" s="86">
        <f>IF(verze!$E$1="CZK",AD3239,IF(verze!$E$1="SK",AE3239,""))</f>
        <v>26.431979999999999</v>
      </c>
    </row>
    <row r="3240" spans="27:32" ht="15">
      <c r="AA3240" s="463" t="s">
        <v>10851</v>
      </c>
      <c r="AB3240" s="462" t="s">
        <v>10852</v>
      </c>
      <c r="AC3240" s="462" t="s">
        <v>10853</v>
      </c>
      <c r="AD3240" s="464">
        <v>302.21442000000002</v>
      </c>
      <c r="AE3240" s="465">
        <v>12.09008</v>
      </c>
      <c r="AF3240" s="86">
        <f>IF(verze!$E$1="CZK",AD3240,IF(verze!$E$1="SK",AE3240,""))</f>
        <v>12.09008</v>
      </c>
    </row>
    <row r="3241" spans="27:32" ht="15">
      <c r="AA3241" s="463" t="s">
        <v>10854</v>
      </c>
      <c r="AB3241" s="462" t="s">
        <v>10855</v>
      </c>
      <c r="AC3241" s="462" t="s">
        <v>10856</v>
      </c>
      <c r="AD3241" s="464">
        <v>422.35768000000002</v>
      </c>
      <c r="AE3241" s="465">
        <v>20.31691</v>
      </c>
      <c r="AF3241" s="86">
        <f>IF(verze!$E$1="CZK",AD3241,IF(verze!$E$1="SK",AE3241,""))</f>
        <v>20.31691</v>
      </c>
    </row>
    <row r="3242" spans="27:32" ht="15">
      <c r="AA3242" s="463" t="s">
        <v>10857</v>
      </c>
      <c r="AB3242" s="462" t="s">
        <v>10858</v>
      </c>
      <c r="AC3242" s="462" t="s">
        <v>10859</v>
      </c>
      <c r="AD3242" s="464">
        <v>422.35768000000002</v>
      </c>
      <c r="AE3242" s="465">
        <v>20.31691</v>
      </c>
      <c r="AF3242" s="86">
        <f>IF(verze!$E$1="CZK",AD3242,IF(verze!$E$1="SK",AE3242,""))</f>
        <v>20.31691</v>
      </c>
    </row>
    <row r="3243" spans="27:32" ht="15">
      <c r="AA3243" s="463" t="s">
        <v>10860</v>
      </c>
      <c r="AB3243" s="462" t="s">
        <v>10861</v>
      </c>
      <c r="AC3243" s="462" t="s">
        <v>10862</v>
      </c>
      <c r="AD3243" s="464">
        <v>422.35768000000002</v>
      </c>
      <c r="AE3243" s="465">
        <v>20.31691</v>
      </c>
      <c r="AF3243" s="86">
        <f>IF(verze!$E$1="CZK",AD3243,IF(verze!$E$1="SK",AE3243,""))</f>
        <v>20.31691</v>
      </c>
    </row>
    <row r="3244" spans="27:32" ht="15">
      <c r="AA3244" s="463" t="s">
        <v>10863</v>
      </c>
      <c r="AB3244" s="462" t="s">
        <v>10864</v>
      </c>
      <c r="AC3244" s="462" t="s">
        <v>10865</v>
      </c>
      <c r="AD3244" s="464">
        <v>428.03257000000002</v>
      </c>
      <c r="AE3244" s="465">
        <v>20.58991</v>
      </c>
      <c r="AF3244" s="86">
        <f>IF(verze!$E$1="CZK",AD3244,IF(verze!$E$1="SK",AE3244,""))</f>
        <v>20.58991</v>
      </c>
    </row>
    <row r="3245" spans="27:32" ht="15">
      <c r="AA3245" s="463" t="s">
        <v>10866</v>
      </c>
      <c r="AB3245" s="462" t="s">
        <v>10867</v>
      </c>
      <c r="AC3245" s="462" t="s">
        <v>10868</v>
      </c>
      <c r="AD3245" s="464">
        <v>433.70530000000002</v>
      </c>
      <c r="AE3245" s="465">
        <v>20.86279</v>
      </c>
      <c r="AF3245" s="86">
        <f>IF(verze!$E$1="CZK",AD3245,IF(verze!$E$1="SK",AE3245,""))</f>
        <v>20.86279</v>
      </c>
    </row>
    <row r="3246" spans="27:32" ht="15">
      <c r="AA3246" s="463" t="s">
        <v>10869</v>
      </c>
      <c r="AB3246" s="462" t="s">
        <v>10870</v>
      </c>
      <c r="AC3246" s="462" t="s">
        <v>10871</v>
      </c>
      <c r="AD3246" s="464">
        <v>439.38010000000003</v>
      </c>
      <c r="AE3246" s="465">
        <v>21.135770000000001</v>
      </c>
      <c r="AF3246" s="86">
        <f>IF(verze!$E$1="CZK",AD3246,IF(verze!$E$1="SK",AE3246,""))</f>
        <v>21.135770000000001</v>
      </c>
    </row>
    <row r="3247" spans="27:32" ht="15">
      <c r="AA3247" s="463" t="s">
        <v>10872</v>
      </c>
      <c r="AB3247" s="462" t="s">
        <v>10873</v>
      </c>
      <c r="AC3247" s="462" t="s">
        <v>10874</v>
      </c>
      <c r="AD3247" s="464">
        <v>462.07526999999999</v>
      </c>
      <c r="AE3247" s="465">
        <v>22.22749</v>
      </c>
      <c r="AF3247" s="86">
        <f>IF(verze!$E$1="CZK",AD3247,IF(verze!$E$1="SK",AE3247,""))</f>
        <v>22.22749</v>
      </c>
    </row>
    <row r="3248" spans="27:32" ht="15">
      <c r="AA3248" s="463" t="s">
        <v>10875</v>
      </c>
      <c r="AB3248" s="462" t="s">
        <v>10876</v>
      </c>
      <c r="AC3248" s="462" t="s">
        <v>10877</v>
      </c>
      <c r="AD3248" s="464">
        <v>507.46776</v>
      </c>
      <c r="AE3248" s="465">
        <v>24.41103</v>
      </c>
      <c r="AF3248" s="86">
        <f>IF(verze!$E$1="CZK",AD3248,IF(verze!$E$1="SK",AE3248,""))</f>
        <v>24.41103</v>
      </c>
    </row>
    <row r="3249" spans="27:32" ht="15">
      <c r="AA3249" s="463" t="s">
        <v>10878</v>
      </c>
      <c r="AB3249" s="462" t="s">
        <v>10879</v>
      </c>
      <c r="AC3249" s="462" t="s">
        <v>10880</v>
      </c>
      <c r="AD3249" s="464">
        <v>564.20789000000002</v>
      </c>
      <c r="AE3249" s="465">
        <v>27.140440000000002</v>
      </c>
      <c r="AF3249" s="86">
        <f>IF(verze!$E$1="CZK",AD3249,IF(verze!$E$1="SK",AE3249,""))</f>
        <v>27.140440000000002</v>
      </c>
    </row>
    <row r="3250" spans="27:32" ht="15">
      <c r="AA3250" s="463" t="s">
        <v>10881</v>
      </c>
      <c r="AB3250" s="462" t="s">
        <v>10882</v>
      </c>
      <c r="AC3250" s="462" t="s">
        <v>10883</v>
      </c>
      <c r="AD3250" s="464">
        <v>564.20789000000002</v>
      </c>
      <c r="AE3250" s="465">
        <v>27.140440000000002</v>
      </c>
      <c r="AF3250" s="86">
        <f>IF(verze!$E$1="CZK",AD3250,IF(verze!$E$1="SK",AE3250,""))</f>
        <v>27.140440000000002</v>
      </c>
    </row>
    <row r="3251" spans="27:32" ht="15">
      <c r="AA3251" s="463" t="s">
        <v>10884</v>
      </c>
      <c r="AB3251" s="462" t="s">
        <v>10885</v>
      </c>
      <c r="AC3251" s="462" t="s">
        <v>10886</v>
      </c>
      <c r="AD3251" s="464">
        <v>569.88269000000003</v>
      </c>
      <c r="AE3251" s="465">
        <v>27.413419999999999</v>
      </c>
      <c r="AF3251" s="86">
        <f>IF(verze!$E$1="CZK",AD3251,IF(verze!$E$1="SK",AE3251,""))</f>
        <v>27.413419999999999</v>
      </c>
    </row>
    <row r="3252" spans="27:32" ht="15">
      <c r="AA3252" s="463" t="s">
        <v>10887</v>
      </c>
      <c r="AB3252" s="462" t="s">
        <v>10888</v>
      </c>
      <c r="AC3252" s="462" t="s">
        <v>10889</v>
      </c>
      <c r="AD3252" s="464">
        <v>575.55542000000003</v>
      </c>
      <c r="AE3252" s="465">
        <v>27.68627</v>
      </c>
      <c r="AF3252" s="86">
        <f>IF(verze!$E$1="CZK",AD3252,IF(verze!$E$1="SK",AE3252,""))</f>
        <v>27.68627</v>
      </c>
    </row>
    <row r="3253" spans="27:32" ht="15">
      <c r="AA3253" s="463" t="s">
        <v>10890</v>
      </c>
      <c r="AB3253" s="462" t="s">
        <v>10891</v>
      </c>
      <c r="AC3253" s="462" t="s">
        <v>10892</v>
      </c>
      <c r="AD3253" s="464">
        <v>581.23032999999998</v>
      </c>
      <c r="AE3253" s="465">
        <v>27.95927</v>
      </c>
      <c r="AF3253" s="86">
        <f>IF(verze!$E$1="CZK",AD3253,IF(verze!$E$1="SK",AE3253,""))</f>
        <v>27.95927</v>
      </c>
    </row>
    <row r="3254" spans="27:32" ht="15">
      <c r="AA3254" s="463" t="s">
        <v>10893</v>
      </c>
      <c r="AB3254" s="462" t="s">
        <v>10894</v>
      </c>
      <c r="AC3254" s="462" t="s">
        <v>10895</v>
      </c>
      <c r="AD3254" s="464">
        <v>603.92547999999999</v>
      </c>
      <c r="AE3254" s="465">
        <v>29.050999999999998</v>
      </c>
      <c r="AF3254" s="86">
        <f>IF(verze!$E$1="CZK",AD3254,IF(verze!$E$1="SK",AE3254,""))</f>
        <v>29.050999999999998</v>
      </c>
    </row>
    <row r="3255" spans="27:32" ht="15">
      <c r="AA3255" s="463" t="s">
        <v>10896</v>
      </c>
      <c r="AB3255" s="462" t="s">
        <v>10897</v>
      </c>
      <c r="AC3255" s="462" t="s">
        <v>10898</v>
      </c>
      <c r="AD3255" s="464">
        <v>649.31799000000001</v>
      </c>
      <c r="AE3255" s="465">
        <v>31.234539999999999</v>
      </c>
      <c r="AF3255" s="86">
        <f>IF(verze!$E$1="CZK",AD3255,IF(verze!$E$1="SK",AE3255,""))</f>
        <v>31.234539999999999</v>
      </c>
    </row>
    <row r="3256" spans="27:32" ht="15">
      <c r="AA3256" s="463" t="s">
        <v>10899</v>
      </c>
      <c r="AB3256" s="462" t="s">
        <v>10900</v>
      </c>
      <c r="AC3256" s="462" t="s">
        <v>10901</v>
      </c>
      <c r="AD3256" s="464">
        <v>113.52162</v>
      </c>
      <c r="AE3256" s="465">
        <v>5.4607999999999999</v>
      </c>
      <c r="AF3256" s="86">
        <f>IF(verze!$E$1="CZK",AD3256,IF(verze!$E$1="SK",AE3256,""))</f>
        <v>5.4607999999999999</v>
      </c>
    </row>
    <row r="3257" spans="27:32" ht="15">
      <c r="AA3257" s="463" t="s">
        <v>10902</v>
      </c>
      <c r="AB3257" s="462" t="s">
        <v>10903</v>
      </c>
      <c r="AC3257" s="462" t="s">
        <v>10904</v>
      </c>
      <c r="AD3257" s="464">
        <v>124.33457</v>
      </c>
      <c r="AE3257" s="465">
        <v>5.98095</v>
      </c>
      <c r="AF3257" s="86">
        <f>IF(verze!$E$1="CZK",AD3257,IF(verze!$E$1="SK",AE3257,""))</f>
        <v>5.98095</v>
      </c>
    </row>
    <row r="3258" spans="27:32" ht="15">
      <c r="AA3258" s="463" t="s">
        <v>10905</v>
      </c>
      <c r="AB3258" s="462" t="s">
        <v>10906</v>
      </c>
      <c r="AC3258" s="462" t="s">
        <v>10907</v>
      </c>
      <c r="AD3258" s="464">
        <v>135.14743000000001</v>
      </c>
      <c r="AE3258" s="465">
        <v>6.50108</v>
      </c>
      <c r="AF3258" s="86">
        <f>IF(verze!$E$1="CZK",AD3258,IF(verze!$E$1="SK",AE3258,""))</f>
        <v>6.50108</v>
      </c>
    </row>
    <row r="3259" spans="27:32" ht="15">
      <c r="AA3259" s="463" t="s">
        <v>10908</v>
      </c>
      <c r="AB3259" s="462" t="s">
        <v>10909</v>
      </c>
      <c r="AC3259" s="462" t="s">
        <v>10910</v>
      </c>
      <c r="AD3259" s="464">
        <v>178.39510000000001</v>
      </c>
      <c r="AE3259" s="465">
        <v>8.5814400000000006</v>
      </c>
      <c r="AF3259" s="86">
        <f>IF(verze!$E$1="CZK",AD3259,IF(verze!$E$1="SK",AE3259,""))</f>
        <v>8.5814400000000006</v>
      </c>
    </row>
    <row r="3260" spans="27:32" ht="15">
      <c r="AA3260" s="463" t="s">
        <v>10911</v>
      </c>
      <c r="AB3260" s="462" t="s">
        <v>10912</v>
      </c>
      <c r="AC3260" s="462" t="s">
        <v>10913</v>
      </c>
      <c r="AD3260" s="464">
        <v>200.01696000000001</v>
      </c>
      <c r="AE3260" s="465">
        <v>9.6215499999999992</v>
      </c>
      <c r="AF3260" s="86">
        <f>IF(verze!$E$1="CZK",AD3260,IF(verze!$E$1="SK",AE3260,""))</f>
        <v>9.6215499999999992</v>
      </c>
    </row>
    <row r="3261" spans="27:32" ht="15">
      <c r="AA3261" s="463" t="s">
        <v>10914</v>
      </c>
      <c r="AB3261" s="462" t="s">
        <v>10915</v>
      </c>
      <c r="AC3261" s="462" t="s">
        <v>10916</v>
      </c>
      <c r="AD3261" s="464">
        <v>221.63883999999999</v>
      </c>
      <c r="AE3261" s="465">
        <v>10.66164</v>
      </c>
      <c r="AF3261" s="86">
        <f>IF(verze!$E$1="CZK",AD3261,IF(verze!$E$1="SK",AE3261,""))</f>
        <v>10.66164</v>
      </c>
    </row>
    <row r="3262" spans="27:32" ht="15">
      <c r="AA3262" s="463" t="s">
        <v>10917</v>
      </c>
      <c r="AB3262" s="462" t="s">
        <v>10918</v>
      </c>
      <c r="AC3262" s="462" t="s">
        <v>10919</v>
      </c>
      <c r="AD3262" s="464">
        <v>220.56005999999999</v>
      </c>
      <c r="AE3262" s="465">
        <v>10.60975</v>
      </c>
      <c r="AF3262" s="86">
        <f>IF(verze!$E$1="CZK",AD3262,IF(verze!$E$1="SK",AE3262,""))</f>
        <v>10.60975</v>
      </c>
    </row>
    <row r="3263" spans="27:32" ht="15">
      <c r="AA3263" s="463" t="s">
        <v>10920</v>
      </c>
      <c r="AB3263" s="462" t="s">
        <v>10921</v>
      </c>
      <c r="AC3263" s="462" t="s">
        <v>10922</v>
      </c>
      <c r="AD3263" s="464">
        <v>220.56005999999999</v>
      </c>
      <c r="AE3263" s="465">
        <v>10.60975</v>
      </c>
      <c r="AF3263" s="86">
        <f>IF(verze!$E$1="CZK",AD3263,IF(verze!$E$1="SK",AE3263,""))</f>
        <v>10.60975</v>
      </c>
    </row>
    <row r="3264" spans="27:32" ht="15">
      <c r="AA3264" s="463" t="s">
        <v>10923</v>
      </c>
      <c r="AB3264" s="462" t="s">
        <v>10924</v>
      </c>
      <c r="AC3264" s="462" t="s">
        <v>10925</v>
      </c>
      <c r="AD3264" s="464">
        <v>220.56005999999999</v>
      </c>
      <c r="AE3264" s="465">
        <v>10.60975</v>
      </c>
      <c r="AF3264" s="86">
        <f>IF(verze!$E$1="CZK",AD3264,IF(verze!$E$1="SK",AE3264,""))</f>
        <v>10.60975</v>
      </c>
    </row>
    <row r="3265" spans="27:32" ht="15">
      <c r="AA3265" s="463" t="s">
        <v>10926</v>
      </c>
      <c r="AB3265" s="462" t="s">
        <v>10927</v>
      </c>
      <c r="AC3265" s="462" t="s">
        <v>10928</v>
      </c>
      <c r="AD3265" s="464">
        <v>226.32585</v>
      </c>
      <c r="AE3265" s="465">
        <v>10.887090000000001</v>
      </c>
      <c r="AF3265" s="86">
        <f>IF(verze!$E$1="CZK",AD3265,IF(verze!$E$1="SK",AE3265,""))</f>
        <v>10.887090000000001</v>
      </c>
    </row>
    <row r="3266" spans="27:32" ht="15">
      <c r="AA3266" s="463" t="s">
        <v>10929</v>
      </c>
      <c r="AB3266" s="462" t="s">
        <v>10930</v>
      </c>
      <c r="AC3266" s="462" t="s">
        <v>10931</v>
      </c>
      <c r="AD3266" s="464">
        <v>232.09164000000001</v>
      </c>
      <c r="AE3266" s="465">
        <v>11.16446</v>
      </c>
      <c r="AF3266" s="86">
        <f>IF(verze!$E$1="CZK",AD3266,IF(verze!$E$1="SK",AE3266,""))</f>
        <v>11.16446</v>
      </c>
    </row>
    <row r="3267" spans="27:32" ht="15">
      <c r="AA3267" s="463" t="s">
        <v>10932</v>
      </c>
      <c r="AB3267" s="462" t="s">
        <v>10933</v>
      </c>
      <c r="AC3267" s="462" t="s">
        <v>10934</v>
      </c>
      <c r="AD3267" s="464">
        <v>237.85754</v>
      </c>
      <c r="AE3267" s="465">
        <v>11.44181</v>
      </c>
      <c r="AF3267" s="86">
        <f>IF(verze!$E$1="CZK",AD3267,IF(verze!$E$1="SK",AE3267,""))</f>
        <v>11.44181</v>
      </c>
    </row>
    <row r="3268" spans="27:32" ht="15">
      <c r="AA3268" s="463" t="s">
        <v>10935</v>
      </c>
      <c r="AB3268" s="462" t="s">
        <v>10936</v>
      </c>
      <c r="AC3268" s="462" t="s">
        <v>10937</v>
      </c>
      <c r="AD3268" s="464">
        <v>243.62333000000001</v>
      </c>
      <c r="AE3268" s="465">
        <v>11.71918</v>
      </c>
      <c r="AF3268" s="86">
        <f>IF(verze!$E$1="CZK",AD3268,IF(verze!$E$1="SK",AE3268,""))</f>
        <v>11.71918</v>
      </c>
    </row>
    <row r="3269" spans="27:32" ht="15">
      <c r="AA3269" s="463" t="s">
        <v>10938</v>
      </c>
      <c r="AB3269" s="462" t="s">
        <v>10939</v>
      </c>
      <c r="AC3269" s="462" t="s">
        <v>10940</v>
      </c>
      <c r="AD3269" s="464">
        <v>255.84841</v>
      </c>
      <c r="AE3269" s="465">
        <v>12.30724</v>
      </c>
      <c r="AF3269" s="86">
        <f>IF(verze!$E$1="CZK",AD3269,IF(verze!$E$1="SK",AE3269,""))</f>
        <v>12.30724</v>
      </c>
    </row>
    <row r="3270" spans="27:32" ht="15">
      <c r="AA3270" s="463" t="s">
        <v>10941</v>
      </c>
      <c r="AB3270" s="462" t="s">
        <v>10942</v>
      </c>
      <c r="AC3270" s="462" t="s">
        <v>10943</v>
      </c>
      <c r="AD3270" s="464">
        <v>1783.8845100000001</v>
      </c>
      <c r="AE3270" s="465">
        <v>81.725040000000007</v>
      </c>
      <c r="AF3270" s="86">
        <f>IF(verze!$E$1="CZK",AD3270,IF(verze!$E$1="SK",AE3270,""))</f>
        <v>81.725040000000007</v>
      </c>
    </row>
    <row r="3271" spans="27:32" ht="15">
      <c r="AA3271" s="463" t="s">
        <v>10944</v>
      </c>
      <c r="AB3271" s="462" t="s">
        <v>10945</v>
      </c>
      <c r="AC3271" s="462" t="s">
        <v>10946</v>
      </c>
      <c r="AD3271" s="464">
        <v>2051.4692399999999</v>
      </c>
      <c r="AE3271" s="465">
        <v>93.983879999999999</v>
      </c>
      <c r="AF3271" s="86">
        <f>IF(verze!$E$1="CZK",AD3271,IF(verze!$E$1="SK",AE3271,""))</f>
        <v>93.983879999999999</v>
      </c>
    </row>
    <row r="3272" spans="27:32" ht="15">
      <c r="AA3272" s="463" t="s">
        <v>10947</v>
      </c>
      <c r="AB3272" s="462" t="s">
        <v>10948</v>
      </c>
      <c r="AC3272" s="462" t="s">
        <v>10949</v>
      </c>
      <c r="AD3272" s="464">
        <v>113.52162</v>
      </c>
      <c r="AE3272" s="465">
        <v>5.4607999999999999</v>
      </c>
      <c r="AF3272" s="86">
        <f>IF(verze!$E$1="CZK",AD3272,IF(verze!$E$1="SK",AE3272,""))</f>
        <v>5.4607999999999999</v>
      </c>
    </row>
    <row r="3273" spans="27:32" ht="15">
      <c r="AA3273" s="463" t="s">
        <v>10950</v>
      </c>
      <c r="AB3273" s="462" t="s">
        <v>10951</v>
      </c>
      <c r="AC3273" s="462" t="s">
        <v>10952</v>
      </c>
      <c r="AD3273" s="464">
        <v>422.35768000000002</v>
      </c>
      <c r="AE3273" s="465">
        <v>20.31691</v>
      </c>
      <c r="AF3273" s="86">
        <f>IF(verze!$E$1="CZK",AD3273,IF(verze!$E$1="SK",AE3273,""))</f>
        <v>20.31691</v>
      </c>
    </row>
    <row r="3274" spans="27:32" ht="15">
      <c r="AA3274" s="463" t="s">
        <v>10953</v>
      </c>
      <c r="AB3274" s="462" t="s">
        <v>10954</v>
      </c>
      <c r="AC3274" s="462" t="s">
        <v>10955</v>
      </c>
      <c r="AD3274" s="464">
        <v>422.35768000000002</v>
      </c>
      <c r="AE3274" s="465">
        <v>20.31691</v>
      </c>
      <c r="AF3274" s="86">
        <f>IF(verze!$E$1="CZK",AD3274,IF(verze!$E$1="SK",AE3274,""))</f>
        <v>20.31691</v>
      </c>
    </row>
    <row r="3275" spans="27:32" ht="15">
      <c r="AA3275" s="463" t="s">
        <v>10956</v>
      </c>
      <c r="AB3275" s="462" t="s">
        <v>10957</v>
      </c>
      <c r="AC3275" s="462" t="s">
        <v>10958</v>
      </c>
      <c r="AD3275" s="464">
        <v>422.35768000000002</v>
      </c>
      <c r="AE3275" s="465">
        <v>20.31691</v>
      </c>
      <c r="AF3275" s="86">
        <f>IF(verze!$E$1="CZK",AD3275,IF(verze!$E$1="SK",AE3275,""))</f>
        <v>20.31691</v>
      </c>
    </row>
    <row r="3276" spans="27:32" ht="15">
      <c r="AA3276" s="463" t="s">
        <v>10959</v>
      </c>
      <c r="AB3276" s="462" t="s">
        <v>10960</v>
      </c>
      <c r="AC3276" s="462" t="s">
        <v>10961</v>
      </c>
      <c r="AD3276" s="464">
        <v>428.03257000000002</v>
      </c>
      <c r="AE3276" s="465">
        <v>20.58991</v>
      </c>
      <c r="AF3276" s="86">
        <f>IF(verze!$E$1="CZK",AD3276,IF(verze!$E$1="SK",AE3276,""))</f>
        <v>20.58991</v>
      </c>
    </row>
    <row r="3277" spans="27:32" ht="15">
      <c r="AA3277" s="463" t="s">
        <v>10962</v>
      </c>
      <c r="AB3277" s="462" t="s">
        <v>10963</v>
      </c>
      <c r="AC3277" s="462" t="s">
        <v>10964</v>
      </c>
      <c r="AD3277" s="464">
        <v>433.70530000000002</v>
      </c>
      <c r="AE3277" s="465">
        <v>20.86279</v>
      </c>
      <c r="AF3277" s="86">
        <f>IF(verze!$E$1="CZK",AD3277,IF(verze!$E$1="SK",AE3277,""))</f>
        <v>20.86279</v>
      </c>
    </row>
    <row r="3278" spans="27:32" ht="15">
      <c r="AA3278" s="463" t="s">
        <v>10965</v>
      </c>
      <c r="AB3278" s="462" t="s">
        <v>10966</v>
      </c>
      <c r="AC3278" s="462" t="s">
        <v>10967</v>
      </c>
      <c r="AD3278" s="464">
        <v>439.38010000000003</v>
      </c>
      <c r="AE3278" s="465">
        <v>21.135770000000001</v>
      </c>
      <c r="AF3278" s="86">
        <f>IF(verze!$E$1="CZK",AD3278,IF(verze!$E$1="SK",AE3278,""))</f>
        <v>21.135770000000001</v>
      </c>
    </row>
    <row r="3279" spans="27:32" ht="15">
      <c r="AA3279" s="463" t="s">
        <v>10968</v>
      </c>
      <c r="AB3279" s="462" t="s">
        <v>10969</v>
      </c>
      <c r="AC3279" s="462" t="s">
        <v>10970</v>
      </c>
      <c r="AD3279" s="464">
        <v>462.07526999999999</v>
      </c>
      <c r="AE3279" s="465">
        <v>22.22749</v>
      </c>
      <c r="AF3279" s="86">
        <f>IF(verze!$E$1="CZK",AD3279,IF(verze!$E$1="SK",AE3279,""))</f>
        <v>22.22749</v>
      </c>
    </row>
    <row r="3280" spans="27:32" ht="15">
      <c r="AA3280" s="463" t="s">
        <v>10971</v>
      </c>
      <c r="AB3280" s="462" t="s">
        <v>10972</v>
      </c>
      <c r="AC3280" s="462" t="s">
        <v>10973</v>
      </c>
      <c r="AD3280" s="464">
        <v>507.46776</v>
      </c>
      <c r="AE3280" s="465">
        <v>24.41103</v>
      </c>
      <c r="AF3280" s="86">
        <f>IF(verze!$E$1="CZK",AD3280,IF(verze!$E$1="SK",AE3280,""))</f>
        <v>24.41103</v>
      </c>
    </row>
    <row r="3281" spans="27:32" ht="15">
      <c r="AA3281" s="463" t="s">
        <v>10974</v>
      </c>
      <c r="AB3281" s="462" t="s">
        <v>10975</v>
      </c>
      <c r="AC3281" s="462" t="s">
        <v>10976</v>
      </c>
      <c r="AD3281" s="464">
        <v>564.20789000000002</v>
      </c>
      <c r="AE3281" s="465">
        <v>27.140440000000002</v>
      </c>
      <c r="AF3281" s="86">
        <f>IF(verze!$E$1="CZK",AD3281,IF(verze!$E$1="SK",AE3281,""))</f>
        <v>27.140440000000002</v>
      </c>
    </row>
    <row r="3282" spans="27:32" ht="15">
      <c r="AA3282" s="463" t="s">
        <v>10977</v>
      </c>
      <c r="AB3282" s="462" t="s">
        <v>10978</v>
      </c>
      <c r="AC3282" s="462" t="s">
        <v>10979</v>
      </c>
      <c r="AD3282" s="464">
        <v>564.20789000000002</v>
      </c>
      <c r="AE3282" s="465">
        <v>27.140440000000002</v>
      </c>
      <c r="AF3282" s="86">
        <f>IF(verze!$E$1="CZK",AD3282,IF(verze!$E$1="SK",AE3282,""))</f>
        <v>27.140440000000002</v>
      </c>
    </row>
    <row r="3283" spans="27:32" ht="15">
      <c r="AA3283" s="463" t="s">
        <v>10980</v>
      </c>
      <c r="AB3283" s="462" t="s">
        <v>10981</v>
      </c>
      <c r="AC3283" s="462" t="s">
        <v>10982</v>
      </c>
      <c r="AD3283" s="464">
        <v>564.20789000000002</v>
      </c>
      <c r="AE3283" s="465">
        <v>27.140440000000002</v>
      </c>
      <c r="AF3283" s="86">
        <f>IF(verze!$E$1="CZK",AD3283,IF(verze!$E$1="SK",AE3283,""))</f>
        <v>27.140440000000002</v>
      </c>
    </row>
    <row r="3284" spans="27:32" ht="15">
      <c r="AA3284" s="463" t="s">
        <v>10983</v>
      </c>
      <c r="AB3284" s="462" t="s">
        <v>10984</v>
      </c>
      <c r="AC3284" s="462" t="s">
        <v>10985</v>
      </c>
      <c r="AD3284" s="464">
        <v>569.88269000000003</v>
      </c>
      <c r="AE3284" s="465">
        <v>27.413419999999999</v>
      </c>
      <c r="AF3284" s="86">
        <f>IF(verze!$E$1="CZK",AD3284,IF(verze!$E$1="SK",AE3284,""))</f>
        <v>27.413419999999999</v>
      </c>
    </row>
    <row r="3285" spans="27:32" ht="15">
      <c r="AA3285" s="463" t="s">
        <v>10986</v>
      </c>
      <c r="AB3285" s="462" t="s">
        <v>10987</v>
      </c>
      <c r="AC3285" s="462" t="s">
        <v>10988</v>
      </c>
      <c r="AD3285" s="464">
        <v>575.55542000000003</v>
      </c>
      <c r="AE3285" s="465">
        <v>27.68627</v>
      </c>
      <c r="AF3285" s="86">
        <f>IF(verze!$E$1="CZK",AD3285,IF(verze!$E$1="SK",AE3285,""))</f>
        <v>27.68627</v>
      </c>
    </row>
    <row r="3286" spans="27:32" ht="15">
      <c r="AA3286" s="463" t="s">
        <v>10989</v>
      </c>
      <c r="AB3286" s="462" t="s">
        <v>10990</v>
      </c>
      <c r="AC3286" s="462" t="s">
        <v>10991</v>
      </c>
      <c r="AD3286" s="464">
        <v>581.23032999999998</v>
      </c>
      <c r="AE3286" s="465">
        <v>27.95927</v>
      </c>
      <c r="AF3286" s="86">
        <f>IF(verze!$E$1="CZK",AD3286,IF(verze!$E$1="SK",AE3286,""))</f>
        <v>27.95927</v>
      </c>
    </row>
    <row r="3287" spans="27:32" ht="15">
      <c r="AA3287" s="463" t="s">
        <v>10992</v>
      </c>
      <c r="AB3287" s="462" t="s">
        <v>10993</v>
      </c>
      <c r="AC3287" s="462" t="s">
        <v>10994</v>
      </c>
      <c r="AD3287" s="464">
        <v>603.92547999999999</v>
      </c>
      <c r="AE3287" s="465">
        <v>29.050999999999998</v>
      </c>
      <c r="AF3287" s="86">
        <f>IF(verze!$E$1="CZK",AD3287,IF(verze!$E$1="SK",AE3287,""))</f>
        <v>29.050999999999998</v>
      </c>
    </row>
    <row r="3288" spans="27:32" ht="15">
      <c r="AA3288" s="463" t="s">
        <v>10995</v>
      </c>
      <c r="AB3288" s="462" t="s">
        <v>10996</v>
      </c>
      <c r="AC3288" s="462" t="s">
        <v>10997</v>
      </c>
      <c r="AD3288" s="464">
        <v>649.31799000000001</v>
      </c>
      <c r="AE3288" s="465">
        <v>31.234539999999999</v>
      </c>
      <c r="AF3288" s="86">
        <f>IF(verze!$E$1="CZK",AD3288,IF(verze!$E$1="SK",AE3288,""))</f>
        <v>31.234539999999999</v>
      </c>
    </row>
    <row r="3289" spans="27:32" ht="15">
      <c r="AA3289" s="463" t="s">
        <v>10998</v>
      </c>
      <c r="AB3289" s="462" t="s">
        <v>10999</v>
      </c>
      <c r="AC3289" s="462" t="s">
        <v>11000</v>
      </c>
      <c r="AD3289" s="464">
        <v>113.52162</v>
      </c>
      <c r="AE3289" s="465">
        <v>5.4607999999999999</v>
      </c>
      <c r="AF3289" s="86">
        <f>IF(verze!$E$1="CZK",AD3289,IF(verze!$E$1="SK",AE3289,""))</f>
        <v>5.4607999999999999</v>
      </c>
    </row>
    <row r="3290" spans="27:32" ht="15">
      <c r="AA3290" s="463" t="s">
        <v>11001</v>
      </c>
      <c r="AB3290" s="462" t="s">
        <v>11002</v>
      </c>
      <c r="AC3290" s="462" t="s">
        <v>11003</v>
      </c>
      <c r="AD3290" s="464">
        <v>113.52162</v>
      </c>
      <c r="AE3290" s="465">
        <v>5.4607999999999999</v>
      </c>
      <c r="AF3290" s="86">
        <f>IF(verze!$E$1="CZK",AD3290,IF(verze!$E$1="SK",AE3290,""))</f>
        <v>5.4607999999999999</v>
      </c>
    </row>
    <row r="3291" spans="27:32" ht="15">
      <c r="AA3291" s="463" t="s">
        <v>11004</v>
      </c>
      <c r="AB3291" s="462" t="s">
        <v>11005</v>
      </c>
      <c r="AC3291" s="462" t="s">
        <v>11006</v>
      </c>
      <c r="AD3291" s="464">
        <v>124.33457</v>
      </c>
      <c r="AE3291" s="465">
        <v>5.98095</v>
      </c>
      <c r="AF3291" s="86">
        <f>IF(verze!$E$1="CZK",AD3291,IF(verze!$E$1="SK",AE3291,""))</f>
        <v>5.98095</v>
      </c>
    </row>
    <row r="3292" spans="27:32" ht="15">
      <c r="AA3292" s="463" t="s">
        <v>11007</v>
      </c>
      <c r="AB3292" s="462" t="s">
        <v>11008</v>
      </c>
      <c r="AC3292" s="462" t="s">
        <v>11009</v>
      </c>
      <c r="AD3292" s="464">
        <v>135.14743000000001</v>
      </c>
      <c r="AE3292" s="465">
        <v>6.50108</v>
      </c>
      <c r="AF3292" s="86">
        <f>IF(verze!$E$1="CZK",AD3292,IF(verze!$E$1="SK",AE3292,""))</f>
        <v>6.50108</v>
      </c>
    </row>
    <row r="3293" spans="27:32" ht="15">
      <c r="AA3293" s="463" t="s">
        <v>11010</v>
      </c>
      <c r="AB3293" s="462" t="s">
        <v>11011</v>
      </c>
      <c r="AC3293" s="462" t="s">
        <v>11012</v>
      </c>
      <c r="AD3293" s="464">
        <v>178.39510000000001</v>
      </c>
      <c r="AE3293" s="465">
        <v>8.5814400000000006</v>
      </c>
      <c r="AF3293" s="86">
        <f>IF(verze!$E$1="CZK",AD3293,IF(verze!$E$1="SK",AE3293,""))</f>
        <v>8.5814400000000006</v>
      </c>
    </row>
    <row r="3294" spans="27:32" ht="15">
      <c r="AA3294" s="463" t="s">
        <v>11013</v>
      </c>
      <c r="AB3294" s="462" t="s">
        <v>11014</v>
      </c>
      <c r="AC3294" s="462" t="s">
        <v>11015</v>
      </c>
      <c r="AD3294" s="464">
        <v>200.01696000000001</v>
      </c>
      <c r="AE3294" s="465">
        <v>9.6215499999999992</v>
      </c>
      <c r="AF3294" s="86">
        <f>IF(verze!$E$1="CZK",AD3294,IF(verze!$E$1="SK",AE3294,""))</f>
        <v>9.6215499999999992</v>
      </c>
    </row>
    <row r="3295" spans="27:32" ht="15">
      <c r="AA3295" s="463" t="s">
        <v>11016</v>
      </c>
      <c r="AB3295" s="462" t="s">
        <v>11017</v>
      </c>
      <c r="AC3295" s="462" t="s">
        <v>11018</v>
      </c>
      <c r="AD3295" s="464">
        <v>221.63883999999999</v>
      </c>
      <c r="AE3295" s="465">
        <v>10.66164</v>
      </c>
      <c r="AF3295" s="86">
        <f>IF(verze!$E$1="CZK",AD3295,IF(verze!$E$1="SK",AE3295,""))</f>
        <v>10.66164</v>
      </c>
    </row>
    <row r="3296" spans="27:32" ht="15">
      <c r="AA3296" s="463" t="s">
        <v>11019</v>
      </c>
      <c r="AB3296" s="462" t="s">
        <v>11020</v>
      </c>
      <c r="AC3296" s="462" t="s">
        <v>11021</v>
      </c>
      <c r="AD3296" s="464">
        <v>220.56005999999999</v>
      </c>
      <c r="AE3296" s="465">
        <v>10.60975</v>
      </c>
      <c r="AF3296" s="86">
        <f>IF(verze!$E$1="CZK",AD3296,IF(verze!$E$1="SK",AE3296,""))</f>
        <v>10.60975</v>
      </c>
    </row>
    <row r="3297" spans="27:32" ht="15">
      <c r="AA3297" s="463" t="s">
        <v>11022</v>
      </c>
      <c r="AB3297" s="462" t="s">
        <v>11023</v>
      </c>
      <c r="AC3297" s="462" t="s">
        <v>11024</v>
      </c>
      <c r="AD3297" s="464">
        <v>220.56005999999999</v>
      </c>
      <c r="AE3297" s="465">
        <v>10.60975</v>
      </c>
      <c r="AF3297" s="86">
        <f>IF(verze!$E$1="CZK",AD3297,IF(verze!$E$1="SK",AE3297,""))</f>
        <v>10.60975</v>
      </c>
    </row>
    <row r="3298" spans="27:32" ht="15">
      <c r="AA3298" s="463" t="s">
        <v>11025</v>
      </c>
      <c r="AB3298" s="462" t="s">
        <v>11026</v>
      </c>
      <c r="AC3298" s="462" t="s">
        <v>11027</v>
      </c>
      <c r="AD3298" s="464">
        <v>220.56005999999999</v>
      </c>
      <c r="AE3298" s="465">
        <v>10.60975</v>
      </c>
      <c r="AF3298" s="86">
        <f>IF(verze!$E$1="CZK",AD3298,IF(verze!$E$1="SK",AE3298,""))</f>
        <v>10.60975</v>
      </c>
    </row>
    <row r="3299" spans="27:32" ht="15">
      <c r="AA3299" s="463" t="s">
        <v>11028</v>
      </c>
      <c r="AB3299" s="462" t="s">
        <v>11029</v>
      </c>
      <c r="AC3299" s="462" t="s">
        <v>11030</v>
      </c>
      <c r="AD3299" s="464">
        <v>226.32585</v>
      </c>
      <c r="AE3299" s="465">
        <v>10.887090000000001</v>
      </c>
      <c r="AF3299" s="86">
        <f>IF(verze!$E$1="CZK",AD3299,IF(verze!$E$1="SK",AE3299,""))</f>
        <v>10.887090000000001</v>
      </c>
    </row>
    <row r="3300" spans="27:32" ht="15">
      <c r="AA3300" s="463" t="s">
        <v>11031</v>
      </c>
      <c r="AB3300" s="462" t="s">
        <v>11032</v>
      </c>
      <c r="AC3300" s="462" t="s">
        <v>11033</v>
      </c>
      <c r="AD3300" s="464">
        <v>232.09164000000001</v>
      </c>
      <c r="AE3300" s="465">
        <v>11.16446</v>
      </c>
      <c r="AF3300" s="86">
        <f>IF(verze!$E$1="CZK",AD3300,IF(verze!$E$1="SK",AE3300,""))</f>
        <v>11.16446</v>
      </c>
    </row>
    <row r="3301" spans="27:32" ht="15">
      <c r="AA3301" s="463" t="s">
        <v>11034</v>
      </c>
      <c r="AB3301" s="462" t="s">
        <v>11035</v>
      </c>
      <c r="AC3301" s="462" t="s">
        <v>11036</v>
      </c>
      <c r="AD3301" s="464">
        <v>237.85754</v>
      </c>
      <c r="AE3301" s="465">
        <v>11.44181</v>
      </c>
      <c r="AF3301" s="86">
        <f>IF(verze!$E$1="CZK",AD3301,IF(verze!$E$1="SK",AE3301,""))</f>
        <v>11.44181</v>
      </c>
    </row>
    <row r="3302" spans="27:32" ht="15">
      <c r="AA3302" s="463" t="s">
        <v>11037</v>
      </c>
      <c r="AB3302" s="462" t="s">
        <v>11038</v>
      </c>
      <c r="AC3302" s="462" t="s">
        <v>11039</v>
      </c>
      <c r="AD3302" s="464">
        <v>243.62333000000001</v>
      </c>
      <c r="AE3302" s="465">
        <v>11.71918</v>
      </c>
      <c r="AF3302" s="86">
        <f>IF(verze!$E$1="CZK",AD3302,IF(verze!$E$1="SK",AE3302,""))</f>
        <v>11.71918</v>
      </c>
    </row>
    <row r="3303" spans="27:32" ht="15">
      <c r="AA3303" s="463" t="s">
        <v>11040</v>
      </c>
      <c r="AB3303" s="462" t="s">
        <v>11041</v>
      </c>
      <c r="AC3303" s="462" t="s">
        <v>11042</v>
      </c>
      <c r="AD3303" s="464">
        <v>255.84841</v>
      </c>
      <c r="AE3303" s="465">
        <v>12.30724</v>
      </c>
      <c r="AF3303" s="86">
        <f>IF(verze!$E$1="CZK",AD3303,IF(verze!$E$1="SK",AE3303,""))</f>
        <v>12.30724</v>
      </c>
    </row>
    <row r="3304" spans="27:32" ht="15">
      <c r="AA3304" s="463" t="s">
        <v>11043</v>
      </c>
      <c r="AB3304" s="462" t="s">
        <v>11044</v>
      </c>
      <c r="AC3304" s="462" t="s">
        <v>11045</v>
      </c>
      <c r="AD3304" s="464">
        <v>95.7453</v>
      </c>
      <c r="AE3304" s="465">
        <v>0</v>
      </c>
      <c r="AF3304" s="86">
        <f>IF(verze!$E$1="CZK",AD3304,IF(verze!$E$1="SK",AE3304,""))</f>
        <v>0</v>
      </c>
    </row>
    <row r="3305" spans="27:32" ht="15">
      <c r="AA3305" s="463" t="s">
        <v>11046</v>
      </c>
      <c r="AB3305" s="462" t="s">
        <v>11047</v>
      </c>
      <c r="AC3305" s="462" t="s">
        <v>11048</v>
      </c>
      <c r="AD3305" s="464">
        <v>119.67919999999999</v>
      </c>
      <c r="AE3305" s="465">
        <v>0</v>
      </c>
      <c r="AF3305" s="86">
        <f>IF(verze!$E$1="CZK",AD3305,IF(verze!$E$1="SK",AE3305,""))</f>
        <v>0</v>
      </c>
    </row>
    <row r="3306" spans="27:32" ht="15">
      <c r="AA3306" s="463" t="s">
        <v>11049</v>
      </c>
      <c r="AB3306" s="462" t="s">
        <v>11050</v>
      </c>
      <c r="AC3306" s="462" t="s">
        <v>11051</v>
      </c>
      <c r="AD3306" s="464">
        <v>164.59399999999999</v>
      </c>
      <c r="AE3306" s="465">
        <v>0</v>
      </c>
      <c r="AF3306" s="86">
        <f>IF(verze!$E$1="CZK",AD3306,IF(verze!$E$1="SK",AE3306,""))</f>
        <v>0</v>
      </c>
    </row>
    <row r="3307" spans="27:32" ht="15">
      <c r="AA3307" s="463" t="s">
        <v>11052</v>
      </c>
      <c r="AB3307" s="462" t="s">
        <v>11053</v>
      </c>
      <c r="AC3307" s="462" t="s">
        <v>11054</v>
      </c>
      <c r="AD3307" s="464">
        <v>422.35768000000002</v>
      </c>
      <c r="AE3307" s="465">
        <v>20.31691</v>
      </c>
      <c r="AF3307" s="86">
        <f>IF(verze!$E$1="CZK",AD3307,IF(verze!$E$1="SK",AE3307,""))</f>
        <v>20.31691</v>
      </c>
    </row>
    <row r="3308" spans="27:32" ht="15">
      <c r="AA3308" s="463" t="s">
        <v>11055</v>
      </c>
      <c r="AB3308" s="462" t="s">
        <v>11056</v>
      </c>
      <c r="AC3308" s="462" t="s">
        <v>11057</v>
      </c>
      <c r="AD3308" s="464">
        <v>422.35768000000002</v>
      </c>
      <c r="AE3308" s="465">
        <v>20.31691</v>
      </c>
      <c r="AF3308" s="86">
        <f>IF(verze!$E$1="CZK",AD3308,IF(verze!$E$1="SK",AE3308,""))</f>
        <v>20.31691</v>
      </c>
    </row>
    <row r="3309" spans="27:32" ht="15">
      <c r="AA3309" s="463" t="s">
        <v>11058</v>
      </c>
      <c r="AB3309" s="462" t="s">
        <v>11059</v>
      </c>
      <c r="AC3309" s="462" t="s">
        <v>11060</v>
      </c>
      <c r="AD3309" s="464">
        <v>422.35768000000002</v>
      </c>
      <c r="AE3309" s="465">
        <v>20.31691</v>
      </c>
      <c r="AF3309" s="86">
        <f>IF(verze!$E$1="CZK",AD3309,IF(verze!$E$1="SK",AE3309,""))</f>
        <v>20.31691</v>
      </c>
    </row>
    <row r="3310" spans="27:32" ht="15">
      <c r="AA3310" s="463" t="s">
        <v>11061</v>
      </c>
      <c r="AB3310" s="462" t="s">
        <v>11062</v>
      </c>
      <c r="AC3310" s="462" t="s">
        <v>11063</v>
      </c>
      <c r="AD3310" s="464">
        <v>428.03257000000002</v>
      </c>
      <c r="AE3310" s="465">
        <v>20.58991</v>
      </c>
      <c r="AF3310" s="86">
        <f>IF(verze!$E$1="CZK",AD3310,IF(verze!$E$1="SK",AE3310,""))</f>
        <v>20.58991</v>
      </c>
    </row>
    <row r="3311" spans="27:32" ht="15">
      <c r="AA3311" s="463" t="s">
        <v>11064</v>
      </c>
      <c r="AB3311" s="462" t="s">
        <v>11065</v>
      </c>
      <c r="AC3311" s="462" t="s">
        <v>11066</v>
      </c>
      <c r="AD3311" s="464">
        <v>433.70530000000002</v>
      </c>
      <c r="AE3311" s="465">
        <v>20.86279</v>
      </c>
      <c r="AF3311" s="86">
        <f>IF(verze!$E$1="CZK",AD3311,IF(verze!$E$1="SK",AE3311,""))</f>
        <v>20.86279</v>
      </c>
    </row>
    <row r="3312" spans="27:32" ht="15">
      <c r="AA3312" s="463" t="s">
        <v>11067</v>
      </c>
      <c r="AB3312" s="462" t="s">
        <v>11068</v>
      </c>
      <c r="AC3312" s="462" t="s">
        <v>11069</v>
      </c>
      <c r="AD3312" s="464">
        <v>427.69445999999999</v>
      </c>
      <c r="AE3312" s="465">
        <v>20.129300000000001</v>
      </c>
      <c r="AF3312" s="86">
        <f>IF(verze!$E$1="CZK",AD3312,IF(verze!$E$1="SK",AE3312,""))</f>
        <v>20.129300000000001</v>
      </c>
    </row>
    <row r="3313" spans="27:32" ht="15">
      <c r="AA3313" s="463" t="s">
        <v>11070</v>
      </c>
      <c r="AB3313" s="462" t="s">
        <v>11071</v>
      </c>
      <c r="AC3313" s="462" t="s">
        <v>11072</v>
      </c>
      <c r="AD3313" s="464">
        <v>462.07526999999999</v>
      </c>
      <c r="AE3313" s="465">
        <v>22.22749</v>
      </c>
      <c r="AF3313" s="86">
        <f>IF(verze!$E$1="CZK",AD3313,IF(verze!$E$1="SK",AE3313,""))</f>
        <v>22.22749</v>
      </c>
    </row>
    <row r="3314" spans="27:32" ht="15">
      <c r="AA3314" s="463" t="s">
        <v>11073</v>
      </c>
      <c r="AB3314" s="462" t="s">
        <v>11074</v>
      </c>
      <c r="AC3314" s="462" t="s">
        <v>11075</v>
      </c>
      <c r="AD3314" s="464">
        <v>507.46776</v>
      </c>
      <c r="AE3314" s="465">
        <v>24.41103</v>
      </c>
      <c r="AF3314" s="86">
        <f>IF(verze!$E$1="CZK",AD3314,IF(verze!$E$1="SK",AE3314,""))</f>
        <v>24.41103</v>
      </c>
    </row>
    <row r="3315" spans="27:32" ht="15">
      <c r="AA3315" s="463" t="s">
        <v>11076</v>
      </c>
      <c r="AB3315" s="462" t="s">
        <v>11077</v>
      </c>
      <c r="AC3315" s="462" t="s">
        <v>11078</v>
      </c>
      <c r="AD3315" s="464">
        <v>564.20789000000002</v>
      </c>
      <c r="AE3315" s="465">
        <v>27.140440000000002</v>
      </c>
      <c r="AF3315" s="86">
        <f>IF(verze!$E$1="CZK",AD3315,IF(verze!$E$1="SK",AE3315,""))</f>
        <v>27.140440000000002</v>
      </c>
    </row>
    <row r="3316" spans="27:32" ht="15">
      <c r="AA3316" s="463" t="s">
        <v>11079</v>
      </c>
      <c r="AB3316" s="462" t="s">
        <v>11080</v>
      </c>
      <c r="AC3316" s="462" t="s">
        <v>11081</v>
      </c>
      <c r="AD3316" s="464">
        <v>564.20789000000002</v>
      </c>
      <c r="AE3316" s="465">
        <v>27.140440000000002</v>
      </c>
      <c r="AF3316" s="86">
        <f>IF(verze!$E$1="CZK",AD3316,IF(verze!$E$1="SK",AE3316,""))</f>
        <v>27.140440000000002</v>
      </c>
    </row>
    <row r="3317" spans="27:32" ht="15">
      <c r="AA3317" s="463" t="s">
        <v>11082</v>
      </c>
      <c r="AB3317" s="462" t="s">
        <v>11083</v>
      </c>
      <c r="AC3317" s="462" t="s">
        <v>11084</v>
      </c>
      <c r="AD3317" s="464">
        <v>564.20789000000002</v>
      </c>
      <c r="AE3317" s="465">
        <v>27.140440000000002</v>
      </c>
      <c r="AF3317" s="86">
        <f>IF(verze!$E$1="CZK",AD3317,IF(verze!$E$1="SK",AE3317,""))</f>
        <v>27.140440000000002</v>
      </c>
    </row>
    <row r="3318" spans="27:32" ht="15">
      <c r="AA3318" s="463" t="s">
        <v>11085</v>
      </c>
      <c r="AB3318" s="462" t="s">
        <v>11086</v>
      </c>
      <c r="AC3318" s="462" t="s">
        <v>11087</v>
      </c>
      <c r="AD3318" s="464">
        <v>569.88269000000003</v>
      </c>
      <c r="AE3318" s="465">
        <v>27.413419999999999</v>
      </c>
      <c r="AF3318" s="86">
        <f>IF(verze!$E$1="CZK",AD3318,IF(verze!$E$1="SK",AE3318,""))</f>
        <v>27.413419999999999</v>
      </c>
    </row>
    <row r="3319" spans="27:32" ht="15">
      <c r="AA3319" s="463" t="s">
        <v>11088</v>
      </c>
      <c r="AB3319" s="462" t="s">
        <v>11089</v>
      </c>
      <c r="AC3319" s="462" t="s">
        <v>11090</v>
      </c>
      <c r="AD3319" s="464">
        <v>575.55542000000003</v>
      </c>
      <c r="AE3319" s="465">
        <v>27.68627</v>
      </c>
      <c r="AF3319" s="86">
        <f>IF(verze!$E$1="CZK",AD3319,IF(verze!$E$1="SK",AE3319,""))</f>
        <v>27.68627</v>
      </c>
    </row>
    <row r="3320" spans="27:32" ht="15">
      <c r="AA3320" s="463" t="s">
        <v>11091</v>
      </c>
      <c r="AB3320" s="462" t="s">
        <v>11092</v>
      </c>
      <c r="AC3320" s="462" t="s">
        <v>11093</v>
      </c>
      <c r="AD3320" s="464">
        <v>581.23032999999998</v>
      </c>
      <c r="AE3320" s="465">
        <v>27.95927</v>
      </c>
      <c r="AF3320" s="86">
        <f>IF(verze!$E$1="CZK",AD3320,IF(verze!$E$1="SK",AE3320,""))</f>
        <v>27.95927</v>
      </c>
    </row>
    <row r="3321" spans="27:32" ht="15">
      <c r="AA3321" s="463" t="s">
        <v>11094</v>
      </c>
      <c r="AB3321" s="462" t="s">
        <v>11095</v>
      </c>
      <c r="AC3321" s="462" t="s">
        <v>11096</v>
      </c>
      <c r="AD3321" s="464">
        <v>603.92547999999999</v>
      </c>
      <c r="AE3321" s="465">
        <v>29.050999999999998</v>
      </c>
      <c r="AF3321" s="86">
        <f>IF(verze!$E$1="CZK",AD3321,IF(verze!$E$1="SK",AE3321,""))</f>
        <v>29.050999999999998</v>
      </c>
    </row>
    <row r="3322" spans="27:32" ht="15">
      <c r="AA3322" s="463" t="s">
        <v>11097</v>
      </c>
      <c r="AB3322" s="462" t="s">
        <v>11098</v>
      </c>
      <c r="AC3322" s="462" t="s">
        <v>11099</v>
      </c>
      <c r="AD3322" s="464">
        <v>649.31799000000001</v>
      </c>
      <c r="AE3322" s="465">
        <v>31.234539999999999</v>
      </c>
      <c r="AF3322" s="86">
        <f>IF(verze!$E$1="CZK",AD3322,IF(verze!$E$1="SK",AE3322,""))</f>
        <v>31.234539999999999</v>
      </c>
    </row>
    <row r="3323" spans="27:32" ht="15">
      <c r="AA3323" s="463" t="s">
        <v>11100</v>
      </c>
      <c r="AB3323" s="462" t="s">
        <v>11101</v>
      </c>
      <c r="AC3323" s="462" t="s">
        <v>11102</v>
      </c>
      <c r="AD3323" s="464">
        <v>113.52162</v>
      </c>
      <c r="AE3323" s="465">
        <v>5.4607999999999999</v>
      </c>
      <c r="AF3323" s="86">
        <f>IF(verze!$E$1="CZK",AD3323,IF(verze!$E$1="SK",AE3323,""))</f>
        <v>5.4607999999999999</v>
      </c>
    </row>
    <row r="3324" spans="27:32" ht="15">
      <c r="AA3324" s="463" t="s">
        <v>11103</v>
      </c>
      <c r="AB3324" s="462" t="s">
        <v>11104</v>
      </c>
      <c r="AC3324" s="462" t="s">
        <v>11105</v>
      </c>
      <c r="AD3324" s="464">
        <v>113.52162</v>
      </c>
      <c r="AE3324" s="465">
        <v>5.4607999999999999</v>
      </c>
      <c r="AF3324" s="86">
        <f>IF(verze!$E$1="CZK",AD3324,IF(verze!$E$1="SK",AE3324,""))</f>
        <v>5.4607999999999999</v>
      </c>
    </row>
    <row r="3325" spans="27:32" ht="15">
      <c r="AA3325" s="463" t="s">
        <v>11106</v>
      </c>
      <c r="AB3325" s="462" t="s">
        <v>11107</v>
      </c>
      <c r="AC3325" s="462" t="s">
        <v>11108</v>
      </c>
      <c r="AD3325" s="464">
        <v>124.33457</v>
      </c>
      <c r="AE3325" s="465">
        <v>5.98095</v>
      </c>
      <c r="AF3325" s="86">
        <f>IF(verze!$E$1="CZK",AD3325,IF(verze!$E$1="SK",AE3325,""))</f>
        <v>5.98095</v>
      </c>
    </row>
    <row r="3326" spans="27:32" ht="15">
      <c r="AA3326" s="463" t="s">
        <v>11109</v>
      </c>
      <c r="AB3326" s="462" t="s">
        <v>11110</v>
      </c>
      <c r="AC3326" s="462" t="s">
        <v>11111</v>
      </c>
      <c r="AD3326" s="464">
        <v>135.14743000000001</v>
      </c>
      <c r="AE3326" s="465">
        <v>6.50108</v>
      </c>
      <c r="AF3326" s="86">
        <f>IF(verze!$E$1="CZK",AD3326,IF(verze!$E$1="SK",AE3326,""))</f>
        <v>6.50108</v>
      </c>
    </row>
    <row r="3327" spans="27:32" ht="15">
      <c r="AA3327" s="463" t="s">
        <v>11112</v>
      </c>
      <c r="AB3327" s="462" t="s">
        <v>11113</v>
      </c>
      <c r="AC3327" s="462" t="s">
        <v>11114</v>
      </c>
      <c r="AD3327" s="464">
        <v>178.39510000000001</v>
      </c>
      <c r="AE3327" s="465">
        <v>8.5814400000000006</v>
      </c>
      <c r="AF3327" s="86">
        <f>IF(verze!$E$1="CZK",AD3327,IF(verze!$E$1="SK",AE3327,""))</f>
        <v>8.5814400000000006</v>
      </c>
    </row>
    <row r="3328" spans="27:32" ht="15">
      <c r="AA3328" s="463" t="s">
        <v>11115</v>
      </c>
      <c r="AB3328" s="462" t="s">
        <v>11116</v>
      </c>
      <c r="AC3328" s="462" t="s">
        <v>11117</v>
      </c>
      <c r="AD3328" s="464">
        <v>200.01696000000001</v>
      </c>
      <c r="AE3328" s="465">
        <v>9.6215499999999992</v>
      </c>
      <c r="AF3328" s="86">
        <f>IF(verze!$E$1="CZK",AD3328,IF(verze!$E$1="SK",AE3328,""))</f>
        <v>9.6215499999999992</v>
      </c>
    </row>
    <row r="3329" spans="27:32" ht="15">
      <c r="AA3329" s="463" t="s">
        <v>11118</v>
      </c>
      <c r="AB3329" s="462" t="s">
        <v>11119</v>
      </c>
      <c r="AC3329" s="462" t="s">
        <v>11120</v>
      </c>
      <c r="AD3329" s="464">
        <v>221.63883999999999</v>
      </c>
      <c r="AE3329" s="465">
        <v>10.66164</v>
      </c>
      <c r="AF3329" s="86">
        <f>IF(verze!$E$1="CZK",AD3329,IF(verze!$E$1="SK",AE3329,""))</f>
        <v>10.66164</v>
      </c>
    </row>
    <row r="3330" spans="27:32" ht="15">
      <c r="AA3330" s="463" t="s">
        <v>11121</v>
      </c>
      <c r="AB3330" s="462" t="s">
        <v>11122</v>
      </c>
      <c r="AC3330" s="462" t="s">
        <v>11123</v>
      </c>
      <c r="AD3330" s="464">
        <v>220.56005999999999</v>
      </c>
      <c r="AE3330" s="465">
        <v>10.60975</v>
      </c>
      <c r="AF3330" s="86">
        <f>IF(verze!$E$1="CZK",AD3330,IF(verze!$E$1="SK",AE3330,""))</f>
        <v>10.60975</v>
      </c>
    </row>
    <row r="3331" spans="27:32" ht="15">
      <c r="AA3331" s="463" t="s">
        <v>11124</v>
      </c>
      <c r="AB3331" s="462" t="s">
        <v>11125</v>
      </c>
      <c r="AC3331" s="462" t="s">
        <v>11126</v>
      </c>
      <c r="AD3331" s="464">
        <v>220.56005999999999</v>
      </c>
      <c r="AE3331" s="465">
        <v>10.60975</v>
      </c>
      <c r="AF3331" s="86">
        <f>IF(verze!$E$1="CZK",AD3331,IF(verze!$E$1="SK",AE3331,""))</f>
        <v>10.60975</v>
      </c>
    </row>
    <row r="3332" spans="27:32" ht="15">
      <c r="AA3332" s="463" t="s">
        <v>11127</v>
      </c>
      <c r="AB3332" s="462" t="s">
        <v>11128</v>
      </c>
      <c r="AC3332" s="462" t="s">
        <v>11129</v>
      </c>
      <c r="AD3332" s="464">
        <v>220.56005999999999</v>
      </c>
      <c r="AE3332" s="465">
        <v>10.60975</v>
      </c>
      <c r="AF3332" s="86">
        <f>IF(verze!$E$1="CZK",AD3332,IF(verze!$E$1="SK",AE3332,""))</f>
        <v>10.60975</v>
      </c>
    </row>
    <row r="3333" spans="27:32" ht="15">
      <c r="AA3333" s="463" t="s">
        <v>11130</v>
      </c>
      <c r="AB3333" s="462" t="s">
        <v>11131</v>
      </c>
      <c r="AC3333" s="462" t="s">
        <v>11132</v>
      </c>
      <c r="AD3333" s="464">
        <v>226.32585</v>
      </c>
      <c r="AE3333" s="465">
        <v>10.887090000000001</v>
      </c>
      <c r="AF3333" s="86">
        <f>IF(verze!$E$1="CZK",AD3333,IF(verze!$E$1="SK",AE3333,""))</f>
        <v>10.887090000000001</v>
      </c>
    </row>
    <row r="3334" spans="27:32" ht="15">
      <c r="AA3334" s="463" t="s">
        <v>11133</v>
      </c>
      <c r="AB3334" s="462" t="s">
        <v>11134</v>
      </c>
      <c r="AC3334" s="462" t="s">
        <v>11135</v>
      </c>
      <c r="AD3334" s="464">
        <v>232.09164000000001</v>
      </c>
      <c r="AE3334" s="465">
        <v>11.16446</v>
      </c>
      <c r="AF3334" s="86">
        <f>IF(verze!$E$1="CZK",AD3334,IF(verze!$E$1="SK",AE3334,""))</f>
        <v>11.16446</v>
      </c>
    </row>
    <row r="3335" spans="27:32" ht="15">
      <c r="AA3335" s="463" t="s">
        <v>11136</v>
      </c>
      <c r="AB3335" s="462" t="s">
        <v>11137</v>
      </c>
      <c r="AC3335" s="462" t="s">
        <v>11138</v>
      </c>
      <c r="AD3335" s="464">
        <v>237.85754</v>
      </c>
      <c r="AE3335" s="465">
        <v>11.44181</v>
      </c>
      <c r="AF3335" s="86">
        <f>IF(verze!$E$1="CZK",AD3335,IF(verze!$E$1="SK",AE3335,""))</f>
        <v>11.44181</v>
      </c>
    </row>
    <row r="3336" spans="27:32" ht="15">
      <c r="AA3336" s="463" t="s">
        <v>11139</v>
      </c>
      <c r="AB3336" s="462" t="s">
        <v>11140</v>
      </c>
      <c r="AC3336" s="462" t="s">
        <v>11141</v>
      </c>
      <c r="AD3336" s="464">
        <v>243.62333000000001</v>
      </c>
      <c r="AE3336" s="465">
        <v>11.71918</v>
      </c>
      <c r="AF3336" s="86">
        <f>IF(verze!$E$1="CZK",AD3336,IF(verze!$E$1="SK",AE3336,""))</f>
        <v>11.71918</v>
      </c>
    </row>
    <row r="3337" spans="27:32" ht="15">
      <c r="AA3337" s="463" t="s">
        <v>11142</v>
      </c>
      <c r="AB3337" s="462" t="s">
        <v>11143</v>
      </c>
      <c r="AC3337" s="462" t="s">
        <v>11144</v>
      </c>
      <c r="AD3337" s="464">
        <v>255.84841</v>
      </c>
      <c r="AE3337" s="465">
        <v>12.30724</v>
      </c>
      <c r="AF3337" s="86">
        <f>IF(verze!$E$1="CZK",AD3337,IF(verze!$E$1="SK",AE3337,""))</f>
        <v>12.30724</v>
      </c>
    </row>
    <row r="3338" spans="27:32" ht="15">
      <c r="AA3338" s="463" t="s">
        <v>11145</v>
      </c>
      <c r="AB3338" s="462" t="s">
        <v>11146</v>
      </c>
      <c r="AC3338" s="462" t="s">
        <v>11147</v>
      </c>
      <c r="AD3338" s="464">
        <v>1071.7399700000001</v>
      </c>
      <c r="AE3338" s="465">
        <v>49.099580000000003</v>
      </c>
      <c r="AF3338" s="86">
        <f>IF(verze!$E$1="CZK",AD3338,IF(verze!$E$1="SK",AE3338,""))</f>
        <v>49.099580000000003</v>
      </c>
    </row>
    <row r="3339" spans="27:32" ht="15">
      <c r="AA3339" s="463" t="s">
        <v>11148</v>
      </c>
      <c r="AB3339" s="462" t="s">
        <v>11149</v>
      </c>
      <c r="AC3339" s="462" t="s">
        <v>11150</v>
      </c>
      <c r="AD3339" s="464">
        <v>1071.7399700000001</v>
      </c>
      <c r="AE3339" s="465">
        <v>49.099580000000003</v>
      </c>
      <c r="AF3339" s="86">
        <f>IF(verze!$E$1="CZK",AD3339,IF(verze!$E$1="SK",AE3339,""))</f>
        <v>49.099580000000003</v>
      </c>
    </row>
    <row r="3340" spans="27:32" ht="15">
      <c r="AA3340" s="463" t="s">
        <v>11151</v>
      </c>
      <c r="AB3340" s="462" t="s">
        <v>11152</v>
      </c>
      <c r="AC3340" s="462" t="s">
        <v>11153</v>
      </c>
      <c r="AD3340" s="464">
        <v>535.87599</v>
      </c>
      <c r="AE3340" s="465">
        <v>24.550080000000001</v>
      </c>
      <c r="AF3340" s="86">
        <f>IF(verze!$E$1="CZK",AD3340,IF(verze!$E$1="SK",AE3340,""))</f>
        <v>24.550080000000001</v>
      </c>
    </row>
    <row r="3341" spans="27:32" ht="15">
      <c r="AA3341" s="463" t="s">
        <v>11154</v>
      </c>
      <c r="AB3341" s="462" t="s">
        <v>11155</v>
      </c>
      <c r="AC3341" s="462" t="s">
        <v>11156</v>
      </c>
      <c r="AD3341" s="464">
        <v>504.11297000000002</v>
      </c>
      <c r="AE3341" s="465">
        <v>20.16703</v>
      </c>
      <c r="AF3341" s="86">
        <f>IF(verze!$E$1="CZK",AD3341,IF(verze!$E$1="SK",AE3341,""))</f>
        <v>20.16703</v>
      </c>
    </row>
    <row r="3342" spans="27:32" ht="15">
      <c r="AA3342" s="463" t="s">
        <v>11157</v>
      </c>
      <c r="AB3342" s="462" t="s">
        <v>11158</v>
      </c>
      <c r="AC3342" s="462" t="s">
        <v>11159</v>
      </c>
      <c r="AD3342" s="464">
        <v>57.990139999999997</v>
      </c>
      <c r="AE3342" s="465">
        <v>2.7895400000000001</v>
      </c>
      <c r="AF3342" s="86">
        <f>IF(verze!$E$1="CZK",AD3342,IF(verze!$E$1="SK",AE3342,""))</f>
        <v>2.7895400000000001</v>
      </c>
    </row>
    <row r="3343" spans="27:32" ht="15">
      <c r="AA3343" s="463" t="s">
        <v>11160</v>
      </c>
      <c r="AB3343" s="462" t="s">
        <v>11161</v>
      </c>
      <c r="AC3343" s="462" t="s">
        <v>11162</v>
      </c>
      <c r="AD3343" s="464">
        <v>61.380830000000003</v>
      </c>
      <c r="AE3343" s="465">
        <v>2.9526400000000002</v>
      </c>
      <c r="AF3343" s="86">
        <f>IF(verze!$E$1="CZK",AD3343,IF(verze!$E$1="SK",AE3343,""))</f>
        <v>2.9526400000000002</v>
      </c>
    </row>
    <row r="3344" spans="27:32" ht="15">
      <c r="AA3344" s="463" t="s">
        <v>11163</v>
      </c>
      <c r="AB3344" s="462" t="s">
        <v>11164</v>
      </c>
      <c r="AC3344" s="462" t="s">
        <v>11165</v>
      </c>
      <c r="AD3344" s="464">
        <v>62.158290000000001</v>
      </c>
      <c r="AE3344" s="465">
        <v>2.99004</v>
      </c>
      <c r="AF3344" s="86">
        <f>IF(verze!$E$1="CZK",AD3344,IF(verze!$E$1="SK",AE3344,""))</f>
        <v>2.99004</v>
      </c>
    </row>
    <row r="3345" spans="27:32" ht="15">
      <c r="AA3345" s="463" t="s">
        <v>11166</v>
      </c>
      <c r="AB3345" s="462" t="s">
        <v>11167</v>
      </c>
      <c r="AC3345" s="462" t="s">
        <v>11168</v>
      </c>
      <c r="AD3345" s="464">
        <v>99.331000000000003</v>
      </c>
      <c r="AE3345" s="465">
        <v>4.7781700000000003</v>
      </c>
      <c r="AF3345" s="86">
        <f>IF(verze!$E$1="CZK",AD3345,IF(verze!$E$1="SK",AE3345,""))</f>
        <v>4.7781700000000003</v>
      </c>
    </row>
    <row r="3346" spans="27:32" ht="15">
      <c r="AA3346" s="463" t="s">
        <v>11169</v>
      </c>
      <c r="AB3346" s="462" t="s">
        <v>11170</v>
      </c>
      <c r="AC3346" s="462" t="s">
        <v>11171</v>
      </c>
      <c r="AD3346" s="464">
        <v>103.25214</v>
      </c>
      <c r="AE3346" s="465">
        <v>4.9668200000000002</v>
      </c>
      <c r="AF3346" s="86">
        <f>IF(verze!$E$1="CZK",AD3346,IF(verze!$E$1="SK",AE3346,""))</f>
        <v>4.9668200000000002</v>
      </c>
    </row>
    <row r="3347" spans="27:32" ht="15">
      <c r="AA3347" s="463" t="s">
        <v>11172</v>
      </c>
      <c r="AB3347" s="462" t="s">
        <v>11173</v>
      </c>
      <c r="AC3347" s="462" t="s">
        <v>11174</v>
      </c>
      <c r="AD3347" s="464">
        <v>102.51366</v>
      </c>
      <c r="AE3347" s="465">
        <v>4.9312800000000001</v>
      </c>
      <c r="AF3347" s="86">
        <f>IF(verze!$E$1="CZK",AD3347,IF(verze!$E$1="SK",AE3347,""))</f>
        <v>4.9312800000000001</v>
      </c>
    </row>
    <row r="3348" spans="27:32" ht="15">
      <c r="AA3348" s="463" t="s">
        <v>11175</v>
      </c>
      <c r="AB3348" s="462" t="s">
        <v>11176</v>
      </c>
      <c r="AC3348" s="462" t="s">
        <v>11177</v>
      </c>
      <c r="AD3348" s="464">
        <v>4.6670600000000002</v>
      </c>
      <c r="AE3348" s="465">
        <v>0.22449</v>
      </c>
      <c r="AF3348" s="86">
        <f>IF(verze!$E$1="CZK",AD3348,IF(verze!$E$1="SK",AE3348,""))</f>
        <v>0.22449</v>
      </c>
    </row>
    <row r="3349" spans="27:32" ht="15">
      <c r="AA3349" s="463" t="s">
        <v>11178</v>
      </c>
      <c r="AB3349" s="462" t="s">
        <v>11179</v>
      </c>
      <c r="AC3349" s="462" t="s">
        <v>11180</v>
      </c>
      <c r="AD3349" s="464">
        <v>4.6670600000000002</v>
      </c>
      <c r="AE3349" s="465">
        <v>0.22449</v>
      </c>
      <c r="AF3349" s="86">
        <f>IF(verze!$E$1="CZK",AD3349,IF(verze!$E$1="SK",AE3349,""))</f>
        <v>0.22449</v>
      </c>
    </row>
    <row r="3350" spans="27:32" ht="15">
      <c r="AA3350" s="463" t="s">
        <v>11181</v>
      </c>
      <c r="AB3350" s="462" t="s">
        <v>11182</v>
      </c>
      <c r="AC3350" s="462" t="s">
        <v>11183</v>
      </c>
      <c r="AD3350" s="464">
        <v>783.76777000000004</v>
      </c>
      <c r="AE3350" s="465">
        <v>26.431979999999999</v>
      </c>
      <c r="AF3350" s="86">
        <f>IF(verze!$E$1="CZK",AD3350,IF(verze!$E$1="SK",AE3350,""))</f>
        <v>26.431979999999999</v>
      </c>
    </row>
    <row r="3351" spans="27:32" ht="15">
      <c r="AA3351" s="463" t="s">
        <v>11184</v>
      </c>
      <c r="AB3351" s="462" t="s">
        <v>11185</v>
      </c>
      <c r="AC3351" s="462" t="s">
        <v>11186</v>
      </c>
      <c r="AD3351" s="464">
        <v>343.33981</v>
      </c>
      <c r="AE3351" s="465">
        <v>13.735300000000001</v>
      </c>
      <c r="AF3351" s="86">
        <f>IF(verze!$E$1="CZK",AD3351,IF(verze!$E$1="SK",AE3351,""))</f>
        <v>13.735300000000001</v>
      </c>
    </row>
    <row r="3352" spans="27:32" ht="15">
      <c r="AA3352" s="463" t="s">
        <v>11187</v>
      </c>
      <c r="AB3352" s="462" t="s">
        <v>11188</v>
      </c>
      <c r="AC3352" s="462" t="s">
        <v>11189</v>
      </c>
      <c r="AD3352" s="464">
        <v>435.45427999999998</v>
      </c>
      <c r="AE3352" s="465">
        <v>17.420339999999999</v>
      </c>
      <c r="AF3352" s="86">
        <f>IF(verze!$E$1="CZK",AD3352,IF(verze!$E$1="SK",AE3352,""))</f>
        <v>17.420339999999999</v>
      </c>
    </row>
    <row r="3353" spans="27:32" ht="15">
      <c r="AA3353" s="463" t="s">
        <v>11190</v>
      </c>
      <c r="AB3353" s="462" t="s">
        <v>11191</v>
      </c>
      <c r="AC3353" s="462" t="s">
        <v>11192</v>
      </c>
      <c r="AD3353" s="464">
        <v>479.82965999999999</v>
      </c>
      <c r="AE3353" s="465">
        <v>19.19558</v>
      </c>
      <c r="AF3353" s="86">
        <f>IF(verze!$E$1="CZK",AD3353,IF(verze!$E$1="SK",AE3353,""))</f>
        <v>19.19558</v>
      </c>
    </row>
    <row r="3354" spans="27:32" ht="15">
      <c r="AA3354" s="463" t="s">
        <v>11193</v>
      </c>
      <c r="AB3354" s="462" t="s">
        <v>11194</v>
      </c>
      <c r="AC3354" s="462" t="s">
        <v>11195</v>
      </c>
      <c r="AD3354" s="464">
        <v>2223.9126299999998</v>
      </c>
      <c r="AE3354" s="465">
        <v>89.542929999999998</v>
      </c>
      <c r="AF3354" s="86">
        <f>IF(verze!$E$1="CZK",AD3354,IF(verze!$E$1="SK",AE3354,""))</f>
        <v>89.542929999999998</v>
      </c>
    </row>
    <row r="3355" spans="27:32" ht="15">
      <c r="AA3355" s="463" t="s">
        <v>11196</v>
      </c>
      <c r="AB3355" s="462" t="s">
        <v>11197</v>
      </c>
      <c r="AC3355" s="462" t="s">
        <v>11198</v>
      </c>
      <c r="AD3355" s="464">
        <v>1632.4068199999999</v>
      </c>
      <c r="AE3355" s="465">
        <v>65.726759999999999</v>
      </c>
      <c r="AF3355" s="86">
        <f>IF(verze!$E$1="CZK",AD3355,IF(verze!$E$1="SK",AE3355,""))</f>
        <v>65.726759999999999</v>
      </c>
    </row>
    <row r="3356" spans="27:32" ht="15">
      <c r="AA3356" s="463" t="s">
        <v>11199</v>
      </c>
      <c r="AB3356" s="462" t="s">
        <v>11200</v>
      </c>
      <c r="AC3356" s="462" t="s">
        <v>11201</v>
      </c>
      <c r="AD3356" s="464">
        <v>109921.48587</v>
      </c>
      <c r="AE3356" s="465">
        <v>4397.4066300000004</v>
      </c>
      <c r="AF3356" s="86">
        <f>IF(verze!$E$1="CZK",AD3356,IF(verze!$E$1="SK",AE3356,""))</f>
        <v>4397.4066300000004</v>
      </c>
    </row>
    <row r="3357" spans="27:32" ht="15">
      <c r="AA3357" s="463" t="s">
        <v>11202</v>
      </c>
      <c r="AB3357" s="462" t="s">
        <v>11203</v>
      </c>
      <c r="AC3357" s="462" t="s">
        <v>11204</v>
      </c>
      <c r="AD3357" s="464">
        <v>129138.72031999999</v>
      </c>
      <c r="AE3357" s="465">
        <v>0</v>
      </c>
      <c r="AF3357" s="86">
        <f>IF(verze!$E$1="CZK",AD3357,IF(verze!$E$1="SK",AE3357,""))</f>
        <v>0</v>
      </c>
    </row>
    <row r="3358" spans="27:32" ht="15">
      <c r="AA3358" s="463" t="s">
        <v>11205</v>
      </c>
      <c r="AB3358" s="462" t="s">
        <v>11206</v>
      </c>
      <c r="AC3358" s="462" t="s">
        <v>11207</v>
      </c>
      <c r="AD3358" s="464">
        <v>109921.48587</v>
      </c>
      <c r="AE3358" s="465">
        <v>4397.4066300000004</v>
      </c>
      <c r="AF3358" s="86">
        <f>IF(verze!$E$1="CZK",AD3358,IF(verze!$E$1="SK",AE3358,""))</f>
        <v>4397.4066300000004</v>
      </c>
    </row>
    <row r="3359" spans="27:32" ht="15">
      <c r="AA3359" s="463" t="s">
        <v>11208</v>
      </c>
      <c r="AB3359" s="462" t="s">
        <v>11209</v>
      </c>
      <c r="AC3359" s="462" t="s">
        <v>11210</v>
      </c>
      <c r="AD3359" s="464">
        <v>90.806200000000004</v>
      </c>
      <c r="AE3359" s="465">
        <v>4.1600999999999999</v>
      </c>
      <c r="AF3359" s="86">
        <f>IF(verze!$E$1="CZK",AD3359,IF(verze!$E$1="SK",AE3359,""))</f>
        <v>4.1600999999999999</v>
      </c>
    </row>
    <row r="3360" spans="27:32" ht="15">
      <c r="AA3360" s="463" t="s">
        <v>11211</v>
      </c>
      <c r="AB3360" s="462" t="s">
        <v>11212</v>
      </c>
      <c r="AC3360" s="462" t="s">
        <v>11213</v>
      </c>
      <c r="AD3360" s="464">
        <v>155.16141999999999</v>
      </c>
      <c r="AE3360" s="465">
        <v>7.4638200000000001</v>
      </c>
      <c r="AF3360" s="86">
        <f>IF(verze!$E$1="CZK",AD3360,IF(verze!$E$1="SK",AE3360,""))</f>
        <v>7.4638200000000001</v>
      </c>
    </row>
    <row r="3361" spans="27:32" ht="15">
      <c r="AA3361" s="463" t="s">
        <v>11214</v>
      </c>
      <c r="AB3361" s="462" t="s">
        <v>11215</v>
      </c>
      <c r="AC3361" s="462" t="s">
        <v>11216</v>
      </c>
      <c r="AD3361" s="464">
        <v>155.16141999999999</v>
      </c>
      <c r="AE3361" s="465">
        <v>7.4638200000000001</v>
      </c>
      <c r="AF3361" s="86">
        <f>IF(verze!$E$1="CZK",AD3361,IF(verze!$E$1="SK",AE3361,""))</f>
        <v>7.4638200000000001</v>
      </c>
    </row>
    <row r="3362" spans="27:32" ht="15">
      <c r="AA3362" s="463" t="s">
        <v>11217</v>
      </c>
      <c r="AB3362" s="462" t="s">
        <v>11218</v>
      </c>
      <c r="AC3362" s="462" t="s">
        <v>11219</v>
      </c>
      <c r="AD3362" s="464">
        <v>2645.6267200000002</v>
      </c>
      <c r="AE3362" s="465">
        <v>105.83824</v>
      </c>
      <c r="AF3362" s="86">
        <f>IF(verze!$E$1="CZK",AD3362,IF(verze!$E$1="SK",AE3362,""))</f>
        <v>105.83824</v>
      </c>
    </row>
    <row r="3363" spans="27:32" ht="15">
      <c r="AA3363" s="463" t="s">
        <v>11220</v>
      </c>
      <c r="AB3363" s="462" t="s">
        <v>11221</v>
      </c>
      <c r="AC3363" s="462" t="s">
        <v>11222</v>
      </c>
      <c r="AD3363" s="464">
        <v>3134.3534500000001</v>
      </c>
      <c r="AE3363" s="465">
        <v>143.59399999999999</v>
      </c>
      <c r="AF3363" s="86">
        <f>IF(verze!$E$1="CZK",AD3363,IF(verze!$E$1="SK",AE3363,""))</f>
        <v>143.59399999999999</v>
      </c>
    </row>
    <row r="3364" spans="27:32" ht="15">
      <c r="AA3364" s="463" t="s">
        <v>11223</v>
      </c>
      <c r="AB3364" s="462" t="s">
        <v>11224</v>
      </c>
      <c r="AC3364" s="462" t="s">
        <v>11225</v>
      </c>
      <c r="AD3364" s="464">
        <v>49.666029999999999</v>
      </c>
      <c r="AE3364" s="465">
        <v>1.99977</v>
      </c>
      <c r="AF3364" s="86">
        <f>IF(verze!$E$1="CZK",AD3364,IF(verze!$E$1="SK",AE3364,""))</f>
        <v>1.99977</v>
      </c>
    </row>
    <row r="3365" spans="27:32" ht="15">
      <c r="AA3365" s="463" t="s">
        <v>11226</v>
      </c>
      <c r="AB3365" s="462" t="s">
        <v>11227</v>
      </c>
      <c r="AC3365" s="462" t="s">
        <v>11228</v>
      </c>
      <c r="AD3365" s="464">
        <v>49.666029999999999</v>
      </c>
      <c r="AE3365" s="465">
        <v>1.99977</v>
      </c>
      <c r="AF3365" s="86">
        <f>IF(verze!$E$1="CZK",AD3365,IF(verze!$E$1="SK",AE3365,""))</f>
        <v>1.99977</v>
      </c>
    </row>
    <row r="3366" spans="27:32" ht="15">
      <c r="AA3366" s="463" t="s">
        <v>11229</v>
      </c>
      <c r="AB3366" s="462" t="s">
        <v>11230</v>
      </c>
      <c r="AC3366" s="462" t="s">
        <v>11231</v>
      </c>
      <c r="AD3366" s="464">
        <v>1808.0322200000001</v>
      </c>
      <c r="AE3366" s="465">
        <v>72.330290000000005</v>
      </c>
      <c r="AF3366" s="86">
        <f>IF(verze!$E$1="CZK",AD3366,IF(verze!$E$1="SK",AE3366,""))</f>
        <v>72.330290000000005</v>
      </c>
    </row>
    <row r="3367" spans="27:32" ht="15">
      <c r="AA3367" s="463" t="s">
        <v>11232</v>
      </c>
      <c r="AB3367" s="462" t="s">
        <v>11233</v>
      </c>
      <c r="AC3367" s="462" t="s">
        <v>11234</v>
      </c>
      <c r="AD3367" s="464">
        <v>48.701720000000002</v>
      </c>
      <c r="AE3367" s="465">
        <v>2.34274</v>
      </c>
      <c r="AF3367" s="86">
        <f>IF(verze!$E$1="CZK",AD3367,IF(verze!$E$1="SK",AE3367,""))</f>
        <v>2.34274</v>
      </c>
    </row>
    <row r="3368" spans="27:32" ht="15">
      <c r="AA3368" s="463" t="s">
        <v>11235</v>
      </c>
      <c r="AB3368" s="462" t="s">
        <v>11236</v>
      </c>
      <c r="AC3368" s="462" t="s">
        <v>11237</v>
      </c>
      <c r="AD3368" s="464">
        <v>48.701720000000002</v>
      </c>
      <c r="AE3368" s="465">
        <v>2.34274</v>
      </c>
      <c r="AF3368" s="86">
        <f>IF(verze!$E$1="CZK",AD3368,IF(verze!$E$1="SK",AE3368,""))</f>
        <v>2.34274</v>
      </c>
    </row>
    <row r="3369" spans="27:32" ht="15">
      <c r="AA3369" s="463" t="s">
        <v>11238</v>
      </c>
      <c r="AB3369" s="462" t="s">
        <v>11239</v>
      </c>
      <c r="AC3369" s="462" t="s">
        <v>11240</v>
      </c>
      <c r="AD3369" s="464">
        <v>61.688650000000003</v>
      </c>
      <c r="AE3369" s="465">
        <v>2.9674499999999999</v>
      </c>
      <c r="AF3369" s="86">
        <f>IF(verze!$E$1="CZK",AD3369,IF(verze!$E$1="SK",AE3369,""))</f>
        <v>2.9674499999999999</v>
      </c>
    </row>
    <row r="3370" spans="27:32" ht="15">
      <c r="AA3370" s="463" t="s">
        <v>11241</v>
      </c>
      <c r="AB3370" s="462" t="s">
        <v>11242</v>
      </c>
      <c r="AC3370" s="462" t="s">
        <v>11243</v>
      </c>
      <c r="AD3370" s="464">
        <v>61.688650000000003</v>
      </c>
      <c r="AE3370" s="465">
        <v>2.9674499999999999</v>
      </c>
      <c r="AF3370" s="86">
        <f>IF(verze!$E$1="CZK",AD3370,IF(verze!$E$1="SK",AE3370,""))</f>
        <v>2.9674499999999999</v>
      </c>
    </row>
    <row r="3371" spans="27:32" ht="15">
      <c r="AA3371" s="463" t="s">
        <v>11244</v>
      </c>
      <c r="AB3371" s="462" t="s">
        <v>11245</v>
      </c>
      <c r="AC3371" s="462" t="s">
        <v>11246</v>
      </c>
      <c r="AD3371" s="464">
        <v>77.680700000000002</v>
      </c>
      <c r="AE3371" s="465">
        <v>3.73672</v>
      </c>
      <c r="AF3371" s="86">
        <f>IF(verze!$E$1="CZK",AD3371,IF(verze!$E$1="SK",AE3371,""))</f>
        <v>3.73672</v>
      </c>
    </row>
    <row r="3372" spans="27:32" ht="15">
      <c r="AA3372" s="463" t="s">
        <v>11247</v>
      </c>
      <c r="AB3372" s="462" t="s">
        <v>11248</v>
      </c>
      <c r="AC3372" s="462" t="s">
        <v>11249</v>
      </c>
      <c r="AD3372" s="464">
        <v>76.441109999999995</v>
      </c>
      <c r="AE3372" s="465">
        <v>3.73672</v>
      </c>
      <c r="AF3372" s="86">
        <f>IF(verze!$E$1="CZK",AD3372,IF(verze!$E$1="SK",AE3372,""))</f>
        <v>3.73672</v>
      </c>
    </row>
    <row r="3373" spans="27:32" ht="15">
      <c r="AA3373" s="463" t="s">
        <v>11250</v>
      </c>
      <c r="AB3373" s="462" t="s">
        <v>11251</v>
      </c>
      <c r="AC3373" s="462" t="s">
        <v>11252</v>
      </c>
      <c r="AD3373" s="464">
        <v>83.311239999999998</v>
      </c>
      <c r="AE3373" s="465">
        <v>4.0075799999999999</v>
      </c>
      <c r="AF3373" s="86">
        <f>IF(verze!$E$1="CZK",AD3373,IF(verze!$E$1="SK",AE3373,""))</f>
        <v>4.0075799999999999</v>
      </c>
    </row>
    <row r="3374" spans="27:32" ht="15">
      <c r="AA3374" s="463" t="s">
        <v>11253</v>
      </c>
      <c r="AB3374" s="462" t="s">
        <v>11254</v>
      </c>
      <c r="AC3374" s="462" t="s">
        <v>11255</v>
      </c>
      <c r="AD3374" s="464">
        <v>81.981809999999996</v>
      </c>
      <c r="AE3374" s="465">
        <v>4.0075799999999999</v>
      </c>
      <c r="AF3374" s="86">
        <f>IF(verze!$E$1="CZK",AD3374,IF(verze!$E$1="SK",AE3374,""))</f>
        <v>4.0075799999999999</v>
      </c>
    </row>
    <row r="3375" spans="27:32" ht="15">
      <c r="AA3375" s="463" t="s">
        <v>11256</v>
      </c>
      <c r="AB3375" s="462" t="s">
        <v>11257</v>
      </c>
      <c r="AC3375" s="462" t="s">
        <v>11258</v>
      </c>
      <c r="AD3375" s="464">
        <v>1694.8870999999999</v>
      </c>
      <c r="AE3375" s="465">
        <v>81.530190000000005</v>
      </c>
      <c r="AF3375" s="86">
        <f>IF(verze!$E$1="CZK",AD3375,IF(verze!$E$1="SK",AE3375,""))</f>
        <v>81.530190000000005</v>
      </c>
    </row>
    <row r="3376" spans="27:32" ht="15">
      <c r="AA3376" s="463" t="s">
        <v>11259</v>
      </c>
      <c r="AB3376" s="462" t="s">
        <v>11260</v>
      </c>
      <c r="AC3376" s="462" t="s">
        <v>11261</v>
      </c>
      <c r="AD3376" s="464">
        <v>1694.8870999999999</v>
      </c>
      <c r="AE3376" s="465">
        <v>81.530190000000005</v>
      </c>
      <c r="AF3376" s="86">
        <f>IF(verze!$E$1="CZK",AD3376,IF(verze!$E$1="SK",AE3376,""))</f>
        <v>81.530190000000005</v>
      </c>
    </row>
    <row r="3377" spans="27:32" ht="15">
      <c r="AA3377" s="463" t="s">
        <v>11259</v>
      </c>
      <c r="AB3377" s="462" t="s">
        <v>11262</v>
      </c>
      <c r="AC3377" s="462" t="s">
        <v>11263</v>
      </c>
      <c r="AD3377" s="464">
        <v>790.16290000000004</v>
      </c>
      <c r="AE3377" s="465">
        <v>31.696819999999999</v>
      </c>
      <c r="AF3377" s="86">
        <f>IF(verze!$E$1="CZK",AD3377,IF(verze!$E$1="SK",AE3377,""))</f>
        <v>31.696819999999999</v>
      </c>
    </row>
    <row r="3378" spans="27:32" ht="15">
      <c r="AA3378" s="463" t="s">
        <v>11264</v>
      </c>
      <c r="AB3378" s="462" t="s">
        <v>11265</v>
      </c>
      <c r="AC3378" s="462" t="s">
        <v>11266</v>
      </c>
      <c r="AD3378" s="464">
        <v>478.93705</v>
      </c>
      <c r="AE3378" s="465">
        <v>0</v>
      </c>
      <c r="AF3378" s="86">
        <f>IF(verze!$E$1="CZK",AD3378,IF(verze!$E$1="SK",AE3378,""))</f>
        <v>0</v>
      </c>
    </row>
    <row r="3379" spans="27:32" ht="15">
      <c r="AA3379" s="463" t="s">
        <v>11267</v>
      </c>
      <c r="AB3379" s="462" t="s">
        <v>11268</v>
      </c>
      <c r="AC3379" s="462" t="s">
        <v>11269</v>
      </c>
      <c r="AD3379" s="464">
        <v>170.80770000000001</v>
      </c>
      <c r="AE3379" s="465">
        <v>0</v>
      </c>
      <c r="AF3379" s="86">
        <f>IF(verze!$E$1="CZK",AD3379,IF(verze!$E$1="SK",AE3379,""))</f>
        <v>0</v>
      </c>
    </row>
    <row r="3380" spans="27:32" ht="15">
      <c r="AA3380" s="463" t="s">
        <v>11270</v>
      </c>
      <c r="AB3380" s="462" t="s">
        <v>11271</v>
      </c>
      <c r="AC3380" s="462" t="s">
        <v>11272</v>
      </c>
      <c r="AD3380" s="464">
        <v>33.731050000000003</v>
      </c>
      <c r="AE3380" s="465">
        <v>1.62259</v>
      </c>
      <c r="AF3380" s="86">
        <f>IF(verze!$E$1="CZK",AD3380,IF(verze!$E$1="SK",AE3380,""))</f>
        <v>1.62259</v>
      </c>
    </row>
    <row r="3381" spans="27:32" ht="15">
      <c r="AA3381" s="463" t="s">
        <v>11270</v>
      </c>
      <c r="AB3381" s="462" t="s">
        <v>11273</v>
      </c>
      <c r="AC3381" s="462" t="s">
        <v>11274</v>
      </c>
      <c r="AD3381" s="464">
        <v>33.731050000000003</v>
      </c>
      <c r="AE3381" s="465">
        <v>1.62259</v>
      </c>
      <c r="AF3381" s="86">
        <f>IF(verze!$E$1="CZK",AD3381,IF(verze!$E$1="SK",AE3381,""))</f>
        <v>1.62259</v>
      </c>
    </row>
    <row r="3382" spans="27:32" ht="15">
      <c r="AA3382" s="463" t="s">
        <v>11275</v>
      </c>
      <c r="AB3382" s="462" t="s">
        <v>11276</v>
      </c>
      <c r="AC3382" s="462" t="s">
        <v>11277</v>
      </c>
      <c r="AD3382" s="464">
        <v>33.731050000000003</v>
      </c>
      <c r="AE3382" s="465">
        <v>1.62259</v>
      </c>
      <c r="AF3382" s="86">
        <f>IF(verze!$E$1="CZK",AD3382,IF(verze!$E$1="SK",AE3382,""))</f>
        <v>1.62259</v>
      </c>
    </row>
    <row r="3383" spans="27:32" ht="15">
      <c r="AA3383" s="463" t="s">
        <v>11275</v>
      </c>
      <c r="AB3383" s="462" t="s">
        <v>11278</v>
      </c>
      <c r="AC3383" s="462" t="s">
        <v>11279</v>
      </c>
      <c r="AD3383" s="464">
        <v>33.731050000000003</v>
      </c>
      <c r="AE3383" s="465">
        <v>1.62259</v>
      </c>
      <c r="AF3383" s="86">
        <f>IF(verze!$E$1="CZK",AD3383,IF(verze!$E$1="SK",AE3383,""))</f>
        <v>1.62259</v>
      </c>
    </row>
    <row r="3384" spans="27:32" ht="15">
      <c r="AA3384" s="463" t="s">
        <v>11280</v>
      </c>
      <c r="AB3384" s="462" t="s">
        <v>11281</v>
      </c>
      <c r="AC3384" s="462" t="s">
        <v>11282</v>
      </c>
      <c r="AD3384" s="464">
        <v>333.87918999999999</v>
      </c>
      <c r="AE3384" s="465">
        <v>16.32124</v>
      </c>
      <c r="AF3384" s="86">
        <f>IF(verze!$E$1="CZK",AD3384,IF(verze!$E$1="SK",AE3384,""))</f>
        <v>16.32124</v>
      </c>
    </row>
    <row r="3385" spans="27:32" ht="15">
      <c r="AA3385" s="463" t="s">
        <v>11283</v>
      </c>
      <c r="AB3385" s="462" t="s">
        <v>11284</v>
      </c>
      <c r="AC3385" s="462" t="s">
        <v>11285</v>
      </c>
      <c r="AD3385" s="464">
        <v>420.14751999999999</v>
      </c>
      <c r="AE3385" s="465">
        <v>20.538360000000001</v>
      </c>
      <c r="AF3385" s="86">
        <f>IF(verze!$E$1="CZK",AD3385,IF(verze!$E$1="SK",AE3385,""))</f>
        <v>20.538360000000001</v>
      </c>
    </row>
    <row r="3386" spans="27:32" ht="15">
      <c r="AA3386" s="463" t="s">
        <v>11286</v>
      </c>
      <c r="AB3386" s="462" t="s">
        <v>11287</v>
      </c>
      <c r="AC3386" s="462" t="s">
        <v>11288</v>
      </c>
      <c r="AD3386" s="464">
        <v>441.71172000000001</v>
      </c>
      <c r="AE3386" s="465">
        <v>21.592490000000002</v>
      </c>
      <c r="AF3386" s="86">
        <f>IF(verze!$E$1="CZK",AD3386,IF(verze!$E$1="SK",AE3386,""))</f>
        <v>21.592490000000002</v>
      </c>
    </row>
    <row r="3387" spans="27:32" ht="15">
      <c r="AA3387" s="463" t="s">
        <v>11289</v>
      </c>
      <c r="AB3387" s="462" t="s">
        <v>11290</v>
      </c>
      <c r="AC3387" s="462" t="s">
        <v>11291</v>
      </c>
      <c r="AD3387" s="464">
        <v>463.27589</v>
      </c>
      <c r="AE3387" s="465">
        <v>22.646609999999999</v>
      </c>
      <c r="AF3387" s="86">
        <f>IF(verze!$E$1="CZK",AD3387,IF(verze!$E$1="SK",AE3387,""))</f>
        <v>22.646609999999999</v>
      </c>
    </row>
    <row r="3388" spans="27:32" ht="15">
      <c r="AA3388" s="463" t="s">
        <v>11292</v>
      </c>
      <c r="AB3388" s="462" t="s">
        <v>11293</v>
      </c>
      <c r="AC3388" s="462" t="s">
        <v>11294</v>
      </c>
      <c r="AD3388" s="464">
        <v>789.16679999999997</v>
      </c>
      <c r="AE3388" s="465">
        <v>38.577379999999998</v>
      </c>
      <c r="AF3388" s="86">
        <f>IF(verze!$E$1="CZK",AD3388,IF(verze!$E$1="SK",AE3388,""))</f>
        <v>38.577379999999998</v>
      </c>
    </row>
    <row r="3389" spans="27:32" ht="15">
      <c r="AA3389" s="463" t="s">
        <v>11295</v>
      </c>
      <c r="AB3389" s="462" t="s">
        <v>11296</v>
      </c>
      <c r="AC3389" s="462" t="s">
        <v>11297</v>
      </c>
      <c r="AD3389" s="464">
        <v>875.42821000000004</v>
      </c>
      <c r="AE3389" s="465">
        <v>42.794159999999998</v>
      </c>
      <c r="AF3389" s="86">
        <f>IF(verze!$E$1="CZK",AD3389,IF(verze!$E$1="SK",AE3389,""))</f>
        <v>42.794159999999998</v>
      </c>
    </row>
    <row r="3390" spans="27:32" ht="15">
      <c r="AA3390" s="463" t="s">
        <v>11298</v>
      </c>
      <c r="AB3390" s="462" t="s">
        <v>11299</v>
      </c>
      <c r="AC3390" s="462" t="s">
        <v>11300</v>
      </c>
      <c r="AD3390" s="464">
        <v>372.2183</v>
      </c>
      <c r="AE3390" s="465">
        <v>18.195409999999999</v>
      </c>
      <c r="AF3390" s="86">
        <f>IF(verze!$E$1="CZK",AD3390,IF(verze!$E$1="SK",AE3390,""))</f>
        <v>18.195409999999999</v>
      </c>
    </row>
    <row r="3391" spans="27:32" ht="15">
      <c r="AA3391" s="463" t="s">
        <v>11301</v>
      </c>
      <c r="AB3391" s="462" t="s">
        <v>11302</v>
      </c>
      <c r="AC3391" s="462" t="s">
        <v>11303</v>
      </c>
      <c r="AD3391" s="464">
        <v>468.07209</v>
      </c>
      <c r="AE3391" s="465">
        <v>22.8811</v>
      </c>
      <c r="AF3391" s="86">
        <f>IF(verze!$E$1="CZK",AD3391,IF(verze!$E$1="SK",AE3391,""))</f>
        <v>22.8811</v>
      </c>
    </row>
    <row r="3392" spans="27:32" ht="15">
      <c r="AA3392" s="463" t="s">
        <v>11304</v>
      </c>
      <c r="AB3392" s="462" t="s">
        <v>11305</v>
      </c>
      <c r="AC3392" s="462" t="s">
        <v>11306</v>
      </c>
      <c r="AD3392" s="464">
        <v>492.02963</v>
      </c>
      <c r="AE3392" s="465">
        <v>24.052219999999998</v>
      </c>
      <c r="AF3392" s="86">
        <f>IF(verze!$E$1="CZK",AD3392,IF(verze!$E$1="SK",AE3392,""))</f>
        <v>24.052219999999998</v>
      </c>
    </row>
    <row r="3393" spans="27:32" ht="15">
      <c r="AA3393" s="463" t="s">
        <v>11307</v>
      </c>
      <c r="AB3393" s="462" t="s">
        <v>11308</v>
      </c>
      <c r="AC3393" s="462" t="s">
        <v>11309</v>
      </c>
      <c r="AD3393" s="464">
        <v>827.50364999999999</v>
      </c>
      <c r="AE3393" s="465">
        <v>40.451419999999999</v>
      </c>
      <c r="AF3393" s="86">
        <f>IF(verze!$E$1="CZK",AD3393,IF(verze!$E$1="SK",AE3393,""))</f>
        <v>40.451419999999999</v>
      </c>
    </row>
    <row r="3394" spans="27:32" ht="15">
      <c r="AA3394" s="463" t="s">
        <v>11310</v>
      </c>
      <c r="AB3394" s="462" t="s">
        <v>11311</v>
      </c>
      <c r="AC3394" s="462" t="s">
        <v>11312</v>
      </c>
      <c r="AD3394" s="464">
        <v>875.42821000000004</v>
      </c>
      <c r="AE3394" s="465">
        <v>42.794159999999998</v>
      </c>
      <c r="AF3394" s="86">
        <f>IF(verze!$E$1="CZK",AD3394,IF(verze!$E$1="SK",AE3394,""))</f>
        <v>42.794159999999998</v>
      </c>
    </row>
    <row r="3395" spans="27:32" ht="15">
      <c r="AA3395" s="463" t="s">
        <v>11313</v>
      </c>
      <c r="AB3395" s="462" t="s">
        <v>11314</v>
      </c>
      <c r="AC3395" s="462" t="s">
        <v>11315</v>
      </c>
      <c r="AD3395" s="464">
        <v>923.35735</v>
      </c>
      <c r="AE3395" s="465">
        <v>45.13711</v>
      </c>
      <c r="AF3395" s="86">
        <f>IF(verze!$E$1="CZK",AD3395,IF(verze!$E$1="SK",AE3395,""))</f>
        <v>45.13711</v>
      </c>
    </row>
    <row r="3396" spans="27:32" ht="15">
      <c r="AA3396" s="463" t="s">
        <v>11316</v>
      </c>
      <c r="AB3396" s="462" t="s">
        <v>11317</v>
      </c>
      <c r="AC3396" s="462" t="s">
        <v>11318</v>
      </c>
      <c r="AD3396" s="464">
        <v>15.942959999999999</v>
      </c>
      <c r="AE3396" s="465">
        <v>0.63780999999999999</v>
      </c>
      <c r="AF3396" s="86">
        <f>IF(verze!$E$1="CZK",AD3396,IF(verze!$E$1="SK",AE3396,""))</f>
        <v>0.63780999999999999</v>
      </c>
    </row>
    <row r="3397" spans="27:32" ht="15">
      <c r="AA3397" s="463" t="s">
        <v>11319</v>
      </c>
      <c r="AB3397" s="462" t="s">
        <v>11320</v>
      </c>
      <c r="AC3397" s="462" t="s">
        <v>11321</v>
      </c>
      <c r="AD3397" s="464">
        <v>2542.8121799999999</v>
      </c>
      <c r="AE3397" s="465">
        <v>102.38306</v>
      </c>
      <c r="AF3397" s="86">
        <f>IF(verze!$E$1="CZK",AD3397,IF(verze!$E$1="SK",AE3397,""))</f>
        <v>102.38306</v>
      </c>
    </row>
    <row r="3398" spans="27:32" ht="15">
      <c r="AA3398" s="463" t="s">
        <v>11322</v>
      </c>
      <c r="AB3398" s="462" t="s">
        <v>11323</v>
      </c>
      <c r="AC3398" s="462" t="s">
        <v>11324</v>
      </c>
      <c r="AD3398" s="464">
        <v>23266.063480000001</v>
      </c>
      <c r="AE3398" s="465">
        <v>930.75836000000004</v>
      </c>
      <c r="AF3398" s="86">
        <f>IF(verze!$E$1="CZK",AD3398,IF(verze!$E$1="SK",AE3398,""))</f>
        <v>930.75836000000004</v>
      </c>
    </row>
    <row r="3399" spans="27:32" ht="15">
      <c r="AA3399" s="463" t="s">
        <v>11325</v>
      </c>
      <c r="AB3399" s="462" t="s">
        <v>11326</v>
      </c>
      <c r="AC3399" s="462" t="s">
        <v>11327</v>
      </c>
      <c r="AD3399" s="464">
        <v>4891.7035299999998</v>
      </c>
      <c r="AE3399" s="465">
        <v>195.69248999999999</v>
      </c>
      <c r="AF3399" s="86">
        <f>IF(verze!$E$1="CZK",AD3399,IF(verze!$E$1="SK",AE3399,""))</f>
        <v>195.69248999999999</v>
      </c>
    </row>
    <row r="3400" spans="27:32" ht="15">
      <c r="AA3400" s="463" t="s">
        <v>11328</v>
      </c>
      <c r="AB3400" s="462" t="s">
        <v>11329</v>
      </c>
      <c r="AC3400" s="462" t="s">
        <v>11330</v>
      </c>
      <c r="AD3400" s="464">
        <v>7804.5059899999997</v>
      </c>
      <c r="AE3400" s="465">
        <v>312.21908999999999</v>
      </c>
      <c r="AF3400" s="86">
        <f>IF(verze!$E$1="CZK",AD3400,IF(verze!$E$1="SK",AE3400,""))</f>
        <v>312.21908999999999</v>
      </c>
    </row>
    <row r="3401" spans="27:32" ht="15">
      <c r="AA3401" s="463" t="s">
        <v>11331</v>
      </c>
      <c r="AB3401" s="462" t="s">
        <v>11332</v>
      </c>
      <c r="AC3401" s="462" t="s">
        <v>11333</v>
      </c>
      <c r="AD3401" s="464">
        <v>8229.1227699999999</v>
      </c>
      <c r="AE3401" s="465">
        <v>329.20587999999998</v>
      </c>
      <c r="AF3401" s="86">
        <f>IF(verze!$E$1="CZK",AD3401,IF(verze!$E$1="SK",AE3401,""))</f>
        <v>329.20587999999998</v>
      </c>
    </row>
    <row r="3402" spans="27:32" ht="15">
      <c r="AA3402" s="463" t="s">
        <v>11334</v>
      </c>
      <c r="AB3402" s="462" t="s">
        <v>11335</v>
      </c>
      <c r="AC3402" s="462" t="s">
        <v>11336</v>
      </c>
      <c r="AD3402" s="464">
        <v>15.247870000000001</v>
      </c>
      <c r="AE3402" s="465">
        <v>0.60999000000000003</v>
      </c>
      <c r="AF3402" s="86">
        <f>IF(verze!$E$1="CZK",AD3402,IF(verze!$E$1="SK",AE3402,""))</f>
        <v>0.60999000000000003</v>
      </c>
    </row>
    <row r="3403" spans="27:32" ht="15">
      <c r="AA3403" s="463" t="s">
        <v>11337</v>
      </c>
      <c r="AB3403" s="462" t="s">
        <v>11338</v>
      </c>
      <c r="AC3403" s="462" t="s">
        <v>11339</v>
      </c>
      <c r="AD3403" s="464">
        <v>148.67948000000001</v>
      </c>
      <c r="AE3403" s="465">
        <v>5.9479300000000004</v>
      </c>
      <c r="AF3403" s="86">
        <f>IF(verze!$E$1="CZK",AD3403,IF(verze!$E$1="SK",AE3403,""))</f>
        <v>5.9479300000000004</v>
      </c>
    </row>
    <row r="3404" spans="27:32" ht="15">
      <c r="AA3404" s="463" t="s">
        <v>11340</v>
      </c>
      <c r="AB3404" s="462" t="s">
        <v>11341</v>
      </c>
      <c r="AC3404" s="462" t="s">
        <v>11342</v>
      </c>
      <c r="AD3404" s="464">
        <v>232.19954999999999</v>
      </c>
      <c r="AE3404" s="465">
        <v>9.2891399999999997</v>
      </c>
      <c r="AF3404" s="86">
        <f>IF(verze!$E$1="CZK",AD3404,IF(verze!$E$1="SK",AE3404,""))</f>
        <v>9.2891399999999997</v>
      </c>
    </row>
    <row r="3405" spans="27:32" ht="15">
      <c r="AA3405" s="463" t="s">
        <v>11343</v>
      </c>
      <c r="AB3405" s="462" t="s">
        <v>11344</v>
      </c>
      <c r="AC3405" s="462" t="s">
        <v>11345</v>
      </c>
      <c r="AD3405" s="464">
        <v>232.75565</v>
      </c>
      <c r="AE3405" s="465">
        <v>9.3113799999999998</v>
      </c>
      <c r="AF3405" s="86">
        <f>IF(verze!$E$1="CZK",AD3405,IF(verze!$E$1="SK",AE3405,""))</f>
        <v>9.3113799999999998</v>
      </c>
    </row>
    <row r="3406" spans="27:32" ht="15">
      <c r="AA3406" s="463" t="s">
        <v>11346</v>
      </c>
      <c r="AB3406" s="462" t="s">
        <v>11347</v>
      </c>
      <c r="AC3406" s="462" t="s">
        <v>11348</v>
      </c>
      <c r="AD3406" s="464">
        <v>435.45427999999998</v>
      </c>
      <c r="AE3406" s="465">
        <v>17.420339999999999</v>
      </c>
      <c r="AF3406" s="86">
        <f>IF(verze!$E$1="CZK",AD3406,IF(verze!$E$1="SK",AE3406,""))</f>
        <v>17.420339999999999</v>
      </c>
    </row>
    <row r="3407" spans="27:32" ht="15">
      <c r="AA3407" s="463" t="s">
        <v>11349</v>
      </c>
      <c r="AB3407" s="462" t="s">
        <v>11350</v>
      </c>
      <c r="AC3407" s="462" t="s">
        <v>11351</v>
      </c>
      <c r="AD3407" s="464">
        <v>5134.5660500000004</v>
      </c>
      <c r="AE3407" s="465">
        <v>205.40819999999999</v>
      </c>
      <c r="AF3407" s="86">
        <f>IF(verze!$E$1="CZK",AD3407,IF(verze!$E$1="SK",AE3407,""))</f>
        <v>205.40819999999999</v>
      </c>
    </row>
    <row r="3408" spans="27:32" ht="15">
      <c r="AA3408" s="463" t="s">
        <v>11352</v>
      </c>
      <c r="AB3408" s="462" t="s">
        <v>11353</v>
      </c>
      <c r="AC3408" s="462" t="s">
        <v>11354</v>
      </c>
      <c r="AD3408" s="464">
        <v>1654.1075800000001</v>
      </c>
      <c r="AE3408" s="465">
        <v>75.779560000000004</v>
      </c>
      <c r="AF3408" s="86">
        <f>IF(verze!$E$1="CZK",AD3408,IF(verze!$E$1="SK",AE3408,""))</f>
        <v>75.779560000000004</v>
      </c>
    </row>
    <row r="3409" spans="27:32" ht="15">
      <c r="AA3409" s="463" t="s">
        <v>11355</v>
      </c>
      <c r="AB3409" s="462" t="s">
        <v>11356</v>
      </c>
      <c r="AC3409" s="462" t="s">
        <v>11357</v>
      </c>
      <c r="AD3409" s="464">
        <v>183.99596</v>
      </c>
      <c r="AE3409" s="465">
        <v>8.4293999999999993</v>
      </c>
      <c r="AF3409" s="86">
        <f>IF(verze!$E$1="CZK",AD3409,IF(verze!$E$1="SK",AE3409,""))</f>
        <v>8.4293999999999993</v>
      </c>
    </row>
    <row r="3410" spans="27:32" ht="15">
      <c r="AA3410" s="463" t="s">
        <v>11358</v>
      </c>
      <c r="AB3410" s="462" t="s">
        <v>11359</v>
      </c>
      <c r="AC3410" s="462" t="s">
        <v>11360</v>
      </c>
      <c r="AD3410" s="464">
        <v>143.51580000000001</v>
      </c>
      <c r="AE3410" s="465">
        <v>6.5748800000000003</v>
      </c>
      <c r="AF3410" s="86">
        <f>IF(verze!$E$1="CZK",AD3410,IF(verze!$E$1="SK",AE3410,""))</f>
        <v>6.5748800000000003</v>
      </c>
    </row>
    <row r="3411" spans="27:32" ht="15">
      <c r="AA3411" s="463" t="s">
        <v>11361</v>
      </c>
      <c r="AB3411" s="462" t="s">
        <v>11362</v>
      </c>
      <c r="AC3411" s="462" t="s">
        <v>11363</v>
      </c>
      <c r="AD3411" s="464">
        <v>154.21779000000001</v>
      </c>
      <c r="AE3411" s="465">
        <v>7.0651799999999998</v>
      </c>
      <c r="AF3411" s="86">
        <f>IF(verze!$E$1="CZK",AD3411,IF(verze!$E$1="SK",AE3411,""))</f>
        <v>7.0651799999999998</v>
      </c>
    </row>
    <row r="3412" spans="27:32" ht="15">
      <c r="AA3412" s="463" t="s">
        <v>11364</v>
      </c>
      <c r="AB3412" s="462" t="s">
        <v>11365</v>
      </c>
      <c r="AC3412" s="462" t="s">
        <v>11366</v>
      </c>
      <c r="AD3412" s="464">
        <v>202.39743000000001</v>
      </c>
      <c r="AE3412" s="465">
        <v>9.2724399999999996</v>
      </c>
      <c r="AF3412" s="86">
        <f>IF(verze!$E$1="CZK",AD3412,IF(verze!$E$1="SK",AE3412,""))</f>
        <v>9.2724399999999996</v>
      </c>
    </row>
    <row r="3413" spans="27:32" ht="15">
      <c r="AA3413" s="463" t="s">
        <v>11367</v>
      </c>
      <c r="AB3413" s="462" t="s">
        <v>11368</v>
      </c>
      <c r="AC3413" s="462" t="s">
        <v>11369</v>
      </c>
      <c r="AD3413" s="464">
        <v>230.57425000000001</v>
      </c>
      <c r="AE3413" s="465">
        <v>10.563280000000001</v>
      </c>
      <c r="AF3413" s="86">
        <f>IF(verze!$E$1="CZK",AD3413,IF(verze!$E$1="SK",AE3413,""))</f>
        <v>10.563280000000001</v>
      </c>
    </row>
    <row r="3414" spans="27:32" ht="15">
      <c r="AA3414" s="463" t="s">
        <v>11370</v>
      </c>
      <c r="AB3414" s="462" t="s">
        <v>11371</v>
      </c>
      <c r="AC3414" s="462" t="s">
        <v>11372</v>
      </c>
      <c r="AD3414" s="464">
        <v>254.8142</v>
      </c>
      <c r="AE3414" s="465">
        <v>11.6738</v>
      </c>
      <c r="AF3414" s="86">
        <f>IF(verze!$E$1="CZK",AD3414,IF(verze!$E$1="SK",AE3414,""))</f>
        <v>11.6738</v>
      </c>
    </row>
    <row r="3415" spans="27:32" ht="15">
      <c r="AA3415" s="463" t="s">
        <v>11373</v>
      </c>
      <c r="AB3415" s="462" t="s">
        <v>11374</v>
      </c>
      <c r="AC3415" s="462" t="s">
        <v>11375</v>
      </c>
      <c r="AD3415" s="464">
        <v>267.02864</v>
      </c>
      <c r="AE3415" s="465">
        <v>12.23338</v>
      </c>
      <c r="AF3415" s="86">
        <f>IF(verze!$E$1="CZK",AD3415,IF(verze!$E$1="SK",AE3415,""))</f>
        <v>12.23338</v>
      </c>
    </row>
    <row r="3416" spans="27:32" ht="15">
      <c r="AA3416" s="463" t="s">
        <v>11376</v>
      </c>
      <c r="AB3416" s="462" t="s">
        <v>11377</v>
      </c>
      <c r="AC3416" s="462" t="s">
        <v>11378</v>
      </c>
      <c r="AD3416" s="464">
        <v>140.57629</v>
      </c>
      <c r="AE3416" s="465">
        <v>6.1964600000000001</v>
      </c>
      <c r="AF3416" s="86">
        <f>IF(verze!$E$1="CZK",AD3416,IF(verze!$E$1="SK",AE3416,""))</f>
        <v>6.1964600000000001</v>
      </c>
    </row>
    <row r="3417" spans="27:32" ht="15">
      <c r="AA3417" s="463" t="s">
        <v>11379</v>
      </c>
      <c r="AB3417" s="462" t="s">
        <v>11380</v>
      </c>
      <c r="AC3417" s="462" t="s">
        <v>11381</v>
      </c>
      <c r="AD3417" s="464">
        <v>189.34515999999999</v>
      </c>
      <c r="AE3417" s="465">
        <v>8.6744599999999998</v>
      </c>
      <c r="AF3417" s="86">
        <f>IF(verze!$E$1="CZK",AD3417,IF(verze!$E$1="SK",AE3417,""))</f>
        <v>8.6744599999999998</v>
      </c>
    </row>
    <row r="3418" spans="27:32" ht="15">
      <c r="AA3418" s="463" t="s">
        <v>11382</v>
      </c>
      <c r="AB3418" s="462" t="s">
        <v>11383</v>
      </c>
      <c r="AC3418" s="462" t="s">
        <v>11384</v>
      </c>
      <c r="AD3418" s="464">
        <v>331.35365000000002</v>
      </c>
      <c r="AE3418" s="465">
        <v>14.605740000000001</v>
      </c>
      <c r="AF3418" s="86">
        <f>IF(verze!$E$1="CZK",AD3418,IF(verze!$E$1="SK",AE3418,""))</f>
        <v>14.605740000000001</v>
      </c>
    </row>
    <row r="3419" spans="27:32" ht="15">
      <c r="AA3419" s="463" t="s">
        <v>11385</v>
      </c>
      <c r="AB3419" s="462" t="s">
        <v>11386</v>
      </c>
      <c r="AC3419" s="462" t="s">
        <v>11387</v>
      </c>
      <c r="AD3419" s="464">
        <v>347.92291</v>
      </c>
      <c r="AE3419" s="465">
        <v>15.336080000000001</v>
      </c>
      <c r="AF3419" s="86">
        <f>IF(verze!$E$1="CZK",AD3419,IF(verze!$E$1="SK",AE3419,""))</f>
        <v>15.336080000000001</v>
      </c>
    </row>
    <row r="3420" spans="27:32" ht="15">
      <c r="AA3420" s="463" t="s">
        <v>11388</v>
      </c>
      <c r="AB3420" s="462" t="s">
        <v>11389</v>
      </c>
      <c r="AC3420" s="462" t="s">
        <v>11390</v>
      </c>
      <c r="AD3420" s="464">
        <v>5239.8043799999996</v>
      </c>
      <c r="AE3420" s="465">
        <v>209.61824999999999</v>
      </c>
      <c r="AF3420" s="86">
        <f>IF(verze!$E$1="CZK",AD3420,IF(verze!$E$1="SK",AE3420,""))</f>
        <v>209.61824999999999</v>
      </c>
    </row>
    <row r="3421" spans="27:32" ht="15">
      <c r="AA3421" s="463" t="s">
        <v>11391</v>
      </c>
      <c r="AB3421" s="462" t="s">
        <v>11392</v>
      </c>
      <c r="AC3421" s="462" t="s">
        <v>11393</v>
      </c>
      <c r="AD3421" s="464">
        <v>479.42997000000003</v>
      </c>
      <c r="AE3421" s="465">
        <v>21.1328</v>
      </c>
      <c r="AF3421" s="86">
        <f>IF(verze!$E$1="CZK",AD3421,IF(verze!$E$1="SK",AE3421,""))</f>
        <v>21.1328</v>
      </c>
    </row>
    <row r="3422" spans="27:32" ht="15">
      <c r="AA3422" s="463" t="s">
        <v>11394</v>
      </c>
      <c r="AB3422" s="462" t="s">
        <v>11395</v>
      </c>
      <c r="AC3422" s="462" t="s">
        <v>11396</v>
      </c>
      <c r="AD3422" s="464">
        <v>242.39205000000001</v>
      </c>
      <c r="AE3422" s="465">
        <v>11.104699999999999</v>
      </c>
      <c r="AF3422" s="86">
        <f>IF(verze!$E$1="CZK",AD3422,IF(verze!$E$1="SK",AE3422,""))</f>
        <v>11.104699999999999</v>
      </c>
    </row>
    <row r="3423" spans="27:32" ht="15">
      <c r="AA3423" s="463" t="s">
        <v>11397</v>
      </c>
      <c r="AB3423" s="462" t="s">
        <v>11398</v>
      </c>
      <c r="AC3423" s="462" t="s">
        <v>11399</v>
      </c>
      <c r="AD3423" s="464">
        <v>3459.75191</v>
      </c>
      <c r="AE3423" s="465">
        <v>166.42654999999999</v>
      </c>
      <c r="AF3423" s="86">
        <f>IF(verze!$E$1="CZK",AD3423,IF(verze!$E$1="SK",AE3423,""))</f>
        <v>166.42654999999999</v>
      </c>
    </row>
    <row r="3424" spans="27:32" ht="15">
      <c r="AA3424" s="463" t="s">
        <v>11400</v>
      </c>
      <c r="AB3424" s="462" t="s">
        <v>11401</v>
      </c>
      <c r="AC3424" s="462" t="s">
        <v>11402</v>
      </c>
      <c r="AD3424" s="464">
        <v>2975.3870200000001</v>
      </c>
      <c r="AE3424" s="465">
        <v>143.12683999999999</v>
      </c>
      <c r="AF3424" s="86">
        <f>IF(verze!$E$1="CZK",AD3424,IF(verze!$E$1="SK",AE3424,""))</f>
        <v>143.12683999999999</v>
      </c>
    </row>
    <row r="3425" spans="27:32" ht="15">
      <c r="AA3425" s="463" t="s">
        <v>11403</v>
      </c>
      <c r="AB3425" s="462" t="s">
        <v>11404</v>
      </c>
      <c r="AC3425" s="462" t="s">
        <v>11405</v>
      </c>
      <c r="AD3425" s="464">
        <v>2214.2421399999998</v>
      </c>
      <c r="AE3425" s="465">
        <v>106.51305000000001</v>
      </c>
      <c r="AF3425" s="86">
        <f>IF(verze!$E$1="CZK",AD3425,IF(verze!$E$1="SK",AE3425,""))</f>
        <v>106.51305000000001</v>
      </c>
    </row>
    <row r="3426" spans="27:32" ht="15">
      <c r="AA3426" s="463" t="s">
        <v>11406</v>
      </c>
      <c r="AB3426" s="462" t="s">
        <v>11407</v>
      </c>
      <c r="AC3426" s="462" t="s">
        <v>11408</v>
      </c>
      <c r="AD3426" s="464">
        <v>844.75702000000001</v>
      </c>
      <c r="AE3426" s="465">
        <v>40.635860000000001</v>
      </c>
      <c r="AF3426" s="86">
        <f>IF(verze!$E$1="CZK",AD3426,IF(verze!$E$1="SK",AE3426,""))</f>
        <v>40.635860000000001</v>
      </c>
    </row>
    <row r="3427" spans="27:32" ht="15">
      <c r="AA3427" s="463" t="s">
        <v>11409</v>
      </c>
      <c r="AB3427" s="462" t="s">
        <v>11410</v>
      </c>
      <c r="AC3427" s="462" t="s">
        <v>11411</v>
      </c>
      <c r="AD3427" s="464">
        <v>844.75702000000001</v>
      </c>
      <c r="AE3427" s="465">
        <v>40.635860000000001</v>
      </c>
      <c r="AF3427" s="86">
        <f>IF(verze!$E$1="CZK",AD3427,IF(verze!$E$1="SK",AE3427,""))</f>
        <v>40.635860000000001</v>
      </c>
    </row>
    <row r="3428" spans="27:32" ht="15">
      <c r="AA3428" s="463" t="s">
        <v>11412</v>
      </c>
      <c r="AB3428" s="462" t="s">
        <v>11413</v>
      </c>
      <c r="AC3428" s="462" t="s">
        <v>11414</v>
      </c>
      <c r="AD3428" s="464">
        <v>844.75702000000001</v>
      </c>
      <c r="AE3428" s="465">
        <v>40.635860000000001</v>
      </c>
      <c r="AF3428" s="86">
        <f>IF(verze!$E$1="CZK",AD3428,IF(verze!$E$1="SK",AE3428,""))</f>
        <v>40.635860000000001</v>
      </c>
    </row>
    <row r="3429" spans="27:32" ht="15">
      <c r="AA3429" s="463" t="s">
        <v>11415</v>
      </c>
      <c r="AB3429" s="462" t="s">
        <v>11416</v>
      </c>
      <c r="AC3429" s="462" t="s">
        <v>11417</v>
      </c>
      <c r="AD3429" s="464">
        <v>1075.7766999999999</v>
      </c>
      <c r="AE3429" s="465">
        <v>0</v>
      </c>
      <c r="AF3429" s="86">
        <f>IF(verze!$E$1="CZK",AD3429,IF(verze!$E$1="SK",AE3429,""))</f>
        <v>0</v>
      </c>
    </row>
    <row r="3430" spans="27:32" ht="15">
      <c r="AA3430" s="463" t="s">
        <v>11418</v>
      </c>
      <c r="AB3430" s="462" t="s">
        <v>11419</v>
      </c>
      <c r="AC3430" s="462" t="s">
        <v>11420</v>
      </c>
      <c r="AD3430" s="464">
        <v>337.90221000000003</v>
      </c>
      <c r="AE3430" s="465">
        <v>16.25432</v>
      </c>
      <c r="AF3430" s="86">
        <f>IF(verze!$E$1="CZK",AD3430,IF(verze!$E$1="SK",AE3430,""))</f>
        <v>16.25432</v>
      </c>
    </row>
    <row r="3431" spans="27:32" ht="15">
      <c r="AA3431" s="463" t="s">
        <v>11421</v>
      </c>
      <c r="AB3431" s="462" t="s">
        <v>11422</v>
      </c>
      <c r="AC3431" s="462" t="s">
        <v>11423</v>
      </c>
      <c r="AD3431" s="464">
        <v>21.361820000000002</v>
      </c>
      <c r="AE3431" s="465">
        <v>1.0275700000000001</v>
      </c>
      <c r="AF3431" s="86">
        <f>IF(verze!$E$1="CZK",AD3431,IF(verze!$E$1="SK",AE3431,""))</f>
        <v>1.0275700000000001</v>
      </c>
    </row>
    <row r="3432" spans="27:32" ht="15">
      <c r="AA3432" s="463" t="s">
        <v>11424</v>
      </c>
      <c r="AB3432" s="462" t="s">
        <v>11425</v>
      </c>
      <c r="AC3432" s="462" t="s">
        <v>11426</v>
      </c>
      <c r="AD3432" s="464">
        <v>37502.39</v>
      </c>
      <c r="AE3432" s="465">
        <v>1500.2822799999999</v>
      </c>
      <c r="AF3432" s="86">
        <f>IF(verze!$E$1="CZK",AD3432,IF(verze!$E$1="SK",AE3432,""))</f>
        <v>1500.2822799999999</v>
      </c>
    </row>
    <row r="3433" spans="27:32" ht="15">
      <c r="AA3433" s="463" t="s">
        <v>11427</v>
      </c>
      <c r="AB3433" s="462" t="s">
        <v>11428</v>
      </c>
      <c r="AC3433" s="462" t="s">
        <v>11429</v>
      </c>
      <c r="AD3433" s="464">
        <v>27.717099999999999</v>
      </c>
      <c r="AE3433" s="465">
        <v>1.11635</v>
      </c>
      <c r="AF3433" s="86">
        <f>IF(verze!$E$1="CZK",AD3433,IF(verze!$E$1="SK",AE3433,""))</f>
        <v>1.11635</v>
      </c>
    </row>
    <row r="3434" spans="27:32" ht="15">
      <c r="AA3434" s="463" t="s">
        <v>11430</v>
      </c>
      <c r="AB3434" s="462" t="s">
        <v>11431</v>
      </c>
      <c r="AC3434" s="462" t="s">
        <v>11432</v>
      </c>
      <c r="AD3434" s="464">
        <v>614.54084999999998</v>
      </c>
      <c r="AE3434" s="465">
        <v>24.82019</v>
      </c>
      <c r="AF3434" s="86">
        <f>IF(verze!$E$1="CZK",AD3434,IF(verze!$E$1="SK",AE3434,""))</f>
        <v>24.82019</v>
      </c>
    </row>
    <row r="3435" spans="27:32" ht="15">
      <c r="AA3435" s="463" t="s">
        <v>11433</v>
      </c>
      <c r="AB3435" s="462" t="s">
        <v>11434</v>
      </c>
      <c r="AC3435" s="462" t="s">
        <v>11435</v>
      </c>
      <c r="AD3435" s="464">
        <v>1370.87897</v>
      </c>
      <c r="AE3435" s="465">
        <v>55.367429999999999</v>
      </c>
      <c r="AF3435" s="86">
        <f>IF(verze!$E$1="CZK",AD3435,IF(verze!$E$1="SK",AE3435,""))</f>
        <v>55.367429999999999</v>
      </c>
    </row>
    <row r="3436" spans="27:32" ht="15">
      <c r="AA3436" s="463" t="s">
        <v>11436</v>
      </c>
      <c r="AB3436" s="462" t="s">
        <v>11437</v>
      </c>
      <c r="AC3436" s="462" t="s">
        <v>11438</v>
      </c>
      <c r="AD3436" s="464">
        <v>131.56077999999999</v>
      </c>
      <c r="AE3436" s="465">
        <v>6.0271999999999997</v>
      </c>
      <c r="AF3436" s="86">
        <f>IF(verze!$E$1="CZK",AD3436,IF(verze!$E$1="SK",AE3436,""))</f>
        <v>6.0271999999999997</v>
      </c>
    </row>
    <row r="3437" spans="27:32" ht="15">
      <c r="AA3437" s="463" t="s">
        <v>11439</v>
      </c>
      <c r="AB3437" s="462" t="s">
        <v>11440</v>
      </c>
      <c r="AC3437" s="462" t="s">
        <v>11441</v>
      </c>
      <c r="AD3437" s="464">
        <v>116.24661999999999</v>
      </c>
      <c r="AE3437" s="465">
        <v>5.5918999999999999</v>
      </c>
      <c r="AF3437" s="86">
        <f>IF(verze!$E$1="CZK",AD3437,IF(verze!$E$1="SK",AE3437,""))</f>
        <v>5.5918999999999999</v>
      </c>
    </row>
    <row r="3438" spans="27:32" ht="15">
      <c r="AA3438" s="463" t="s">
        <v>11439</v>
      </c>
      <c r="AB3438" s="462" t="s">
        <v>11442</v>
      </c>
      <c r="AC3438" s="462" t="s">
        <v>11443</v>
      </c>
      <c r="AD3438" s="464">
        <v>0</v>
      </c>
      <c r="AE3438" s="465">
        <v>5.5688199999999997</v>
      </c>
      <c r="AF3438" s="86">
        <f>IF(verze!$E$1="CZK",AD3438,IF(verze!$E$1="SK",AE3438,""))</f>
        <v>5.5688199999999997</v>
      </c>
    </row>
    <row r="3439" spans="27:32" ht="15">
      <c r="AA3439" s="463" t="s">
        <v>11444</v>
      </c>
      <c r="AB3439" s="462" t="s">
        <v>11445</v>
      </c>
      <c r="AC3439" s="462" t="s">
        <v>11446</v>
      </c>
      <c r="AD3439" s="464">
        <v>0</v>
      </c>
      <c r="AE3439" s="465">
        <v>5.5573600000000001</v>
      </c>
      <c r="AF3439" s="86">
        <f>IF(verze!$E$1="CZK",AD3439,IF(verze!$E$1="SK",AE3439,""))</f>
        <v>5.5573600000000001</v>
      </c>
    </row>
    <row r="3440" spans="27:32" ht="15">
      <c r="AA3440" s="463" t="s">
        <v>11444</v>
      </c>
      <c r="AB3440" s="462" t="s">
        <v>11447</v>
      </c>
      <c r="AC3440" s="462" t="s">
        <v>11448</v>
      </c>
      <c r="AD3440" s="464">
        <v>116.24661999999999</v>
      </c>
      <c r="AE3440" s="465">
        <v>5.5918999999999999</v>
      </c>
      <c r="AF3440" s="86">
        <f>IF(verze!$E$1="CZK",AD3440,IF(verze!$E$1="SK",AE3440,""))</f>
        <v>5.5918999999999999</v>
      </c>
    </row>
    <row r="3441" spans="27:32" ht="15">
      <c r="AA3441" s="463" t="s">
        <v>11449</v>
      </c>
      <c r="AB3441" s="462" t="s">
        <v>11450</v>
      </c>
      <c r="AC3441" s="462" t="s">
        <v>11451</v>
      </c>
      <c r="AD3441" s="464">
        <v>0</v>
      </c>
      <c r="AE3441" s="465">
        <v>5.5573600000000001</v>
      </c>
      <c r="AF3441" s="86">
        <f>IF(verze!$E$1="CZK",AD3441,IF(verze!$E$1="SK",AE3441,""))</f>
        <v>5.5573600000000001</v>
      </c>
    </row>
    <row r="3442" spans="27:32" ht="15">
      <c r="AA3442" s="463" t="s">
        <v>11449</v>
      </c>
      <c r="AB3442" s="462" t="s">
        <v>11452</v>
      </c>
      <c r="AC3442" s="462" t="s">
        <v>11453</v>
      </c>
      <c r="AD3442" s="464">
        <v>116.24661999999999</v>
      </c>
      <c r="AE3442" s="465">
        <v>5.5918999999999999</v>
      </c>
      <c r="AF3442" s="86">
        <f>IF(verze!$E$1="CZK",AD3442,IF(verze!$E$1="SK",AE3442,""))</f>
        <v>5.5918999999999999</v>
      </c>
    </row>
    <row r="3443" spans="27:32" ht="15">
      <c r="AA3443" s="463" t="s">
        <v>11454</v>
      </c>
      <c r="AB3443" s="462" t="s">
        <v>11455</v>
      </c>
      <c r="AC3443" s="462" t="s">
        <v>11456</v>
      </c>
      <c r="AD3443" s="464">
        <v>0</v>
      </c>
      <c r="AE3443" s="465">
        <v>5.5688199999999997</v>
      </c>
      <c r="AF3443" s="86">
        <f>IF(verze!$E$1="CZK",AD3443,IF(verze!$E$1="SK",AE3443,""))</f>
        <v>5.5688199999999997</v>
      </c>
    </row>
    <row r="3444" spans="27:32" ht="15">
      <c r="AA3444" s="463" t="s">
        <v>11454</v>
      </c>
      <c r="AB3444" s="462" t="s">
        <v>11457</v>
      </c>
      <c r="AC3444" s="462" t="s">
        <v>11458</v>
      </c>
      <c r="AD3444" s="464">
        <v>116.24661999999999</v>
      </c>
      <c r="AE3444" s="465">
        <v>5.5918999999999999</v>
      </c>
      <c r="AF3444" s="86">
        <f>IF(verze!$E$1="CZK",AD3444,IF(verze!$E$1="SK",AE3444,""))</f>
        <v>5.5918999999999999</v>
      </c>
    </row>
    <row r="3445" spans="27:32" ht="15">
      <c r="AA3445" s="463" t="s">
        <v>11459</v>
      </c>
      <c r="AB3445" s="462" t="s">
        <v>11460</v>
      </c>
      <c r="AC3445" s="462" t="s">
        <v>11461</v>
      </c>
      <c r="AD3445" s="464">
        <v>116.24661999999999</v>
      </c>
      <c r="AE3445" s="465">
        <v>5.5918999999999999</v>
      </c>
      <c r="AF3445" s="86">
        <f>IF(verze!$E$1="CZK",AD3445,IF(verze!$E$1="SK",AE3445,""))</f>
        <v>5.5918999999999999</v>
      </c>
    </row>
    <row r="3446" spans="27:32" ht="15">
      <c r="AA3446" s="463" t="s">
        <v>11459</v>
      </c>
      <c r="AB3446" s="462" t="s">
        <v>11462</v>
      </c>
      <c r="AC3446" s="462" t="s">
        <v>11463</v>
      </c>
      <c r="AD3446" s="464">
        <v>0</v>
      </c>
      <c r="AE3446" s="465">
        <v>5.5688199999999997</v>
      </c>
      <c r="AF3446" s="86">
        <f>IF(verze!$E$1="CZK",AD3446,IF(verze!$E$1="SK",AE3446,""))</f>
        <v>5.5688199999999997</v>
      </c>
    </row>
    <row r="3447" spans="27:32" ht="15">
      <c r="AA3447" s="463" t="s">
        <v>11464</v>
      </c>
      <c r="AB3447" s="462" t="s">
        <v>11465</v>
      </c>
      <c r="AC3447" s="462" t="s">
        <v>11466</v>
      </c>
      <c r="AD3447" s="464">
        <v>116.24661999999999</v>
      </c>
      <c r="AE3447" s="465">
        <v>5.5918999999999999</v>
      </c>
      <c r="AF3447" s="86">
        <f>IF(verze!$E$1="CZK",AD3447,IF(verze!$E$1="SK",AE3447,""))</f>
        <v>5.5918999999999999</v>
      </c>
    </row>
    <row r="3448" spans="27:32" ht="15">
      <c r="AA3448" s="463" t="s">
        <v>11464</v>
      </c>
      <c r="AB3448" s="462" t="s">
        <v>11467</v>
      </c>
      <c r="AC3448" s="462" t="s">
        <v>11468</v>
      </c>
      <c r="AD3448" s="464">
        <v>0</v>
      </c>
      <c r="AE3448" s="465">
        <v>5.5573600000000001</v>
      </c>
      <c r="AF3448" s="86">
        <f>IF(verze!$E$1="CZK",AD3448,IF(verze!$E$1="SK",AE3448,""))</f>
        <v>5.5573600000000001</v>
      </c>
    </row>
    <row r="3449" spans="27:32" ht="15">
      <c r="AA3449" s="463" t="s">
        <v>11469</v>
      </c>
      <c r="AB3449" s="462" t="s">
        <v>11470</v>
      </c>
      <c r="AC3449" s="462" t="s">
        <v>11471</v>
      </c>
      <c r="AD3449" s="464">
        <v>119.07358000000001</v>
      </c>
      <c r="AE3449" s="465">
        <v>5.7278799999999999</v>
      </c>
      <c r="AF3449" s="86">
        <f>IF(verze!$E$1="CZK",AD3449,IF(verze!$E$1="SK",AE3449,""))</f>
        <v>5.7278799999999999</v>
      </c>
    </row>
    <row r="3450" spans="27:32" ht="15">
      <c r="AA3450" s="463" t="s">
        <v>11469</v>
      </c>
      <c r="AB3450" s="462" t="s">
        <v>11472</v>
      </c>
      <c r="AC3450" s="462" t="s">
        <v>11473</v>
      </c>
      <c r="AD3450" s="464">
        <v>0</v>
      </c>
      <c r="AE3450" s="465">
        <v>5.6925100000000004</v>
      </c>
      <c r="AF3450" s="86">
        <f>IF(verze!$E$1="CZK",AD3450,IF(verze!$E$1="SK",AE3450,""))</f>
        <v>5.6925100000000004</v>
      </c>
    </row>
    <row r="3451" spans="27:32" ht="15">
      <c r="AA3451" s="463" t="s">
        <v>11474</v>
      </c>
      <c r="AB3451" s="462" t="s">
        <v>11475</v>
      </c>
      <c r="AC3451" s="462" t="s">
        <v>11476</v>
      </c>
      <c r="AD3451" s="464">
        <v>119.07358000000001</v>
      </c>
      <c r="AE3451" s="465">
        <v>5.7278799999999999</v>
      </c>
      <c r="AF3451" s="86">
        <f>IF(verze!$E$1="CZK",AD3451,IF(verze!$E$1="SK",AE3451,""))</f>
        <v>5.7278799999999999</v>
      </c>
    </row>
    <row r="3452" spans="27:32" ht="15">
      <c r="AA3452" s="463" t="s">
        <v>11474</v>
      </c>
      <c r="AB3452" s="462" t="s">
        <v>11477</v>
      </c>
      <c r="AC3452" s="462" t="s">
        <v>11478</v>
      </c>
      <c r="AD3452" s="464">
        <v>0</v>
      </c>
      <c r="AE3452" s="465">
        <v>5.6925100000000004</v>
      </c>
      <c r="AF3452" s="86">
        <f>IF(verze!$E$1="CZK",AD3452,IF(verze!$E$1="SK",AE3452,""))</f>
        <v>5.6925100000000004</v>
      </c>
    </row>
    <row r="3453" spans="27:32" ht="15">
      <c r="AA3453" s="463" t="s">
        <v>11479</v>
      </c>
      <c r="AB3453" s="462" t="s">
        <v>11480</v>
      </c>
      <c r="AC3453" s="462" t="s">
        <v>11481</v>
      </c>
      <c r="AD3453" s="464">
        <v>115.51388</v>
      </c>
      <c r="AE3453" s="465">
        <v>5.4366199999999996</v>
      </c>
      <c r="AF3453" s="86">
        <f>IF(verze!$E$1="CZK",AD3453,IF(verze!$E$1="SK",AE3453,""))</f>
        <v>5.4366199999999996</v>
      </c>
    </row>
    <row r="3454" spans="27:32" ht="15">
      <c r="AA3454" s="463" t="s">
        <v>11479</v>
      </c>
      <c r="AB3454" s="462" t="s">
        <v>11482</v>
      </c>
      <c r="AC3454" s="462" t="s">
        <v>11483</v>
      </c>
      <c r="AD3454" s="464">
        <v>109.70402</v>
      </c>
      <c r="AE3454" s="465">
        <v>4.9551600000000002</v>
      </c>
      <c r="AF3454" s="86">
        <f>IF(verze!$E$1="CZK",AD3454,IF(verze!$E$1="SK",AE3454,""))</f>
        <v>4.9551600000000002</v>
      </c>
    </row>
    <row r="3455" spans="27:32" ht="15">
      <c r="AA3455" s="463" t="s">
        <v>11484</v>
      </c>
      <c r="AB3455" s="462" t="s">
        <v>11485</v>
      </c>
      <c r="AC3455" s="462" t="s">
        <v>11486</v>
      </c>
      <c r="AD3455" s="464">
        <v>115.51388</v>
      </c>
      <c r="AE3455" s="465">
        <v>5.4366199999999996</v>
      </c>
      <c r="AF3455" s="86">
        <f>IF(verze!$E$1="CZK",AD3455,IF(verze!$E$1="SK",AE3455,""))</f>
        <v>5.4366199999999996</v>
      </c>
    </row>
    <row r="3456" spans="27:32" ht="15">
      <c r="AA3456" s="463" t="s">
        <v>11484</v>
      </c>
      <c r="AB3456" s="462" t="s">
        <v>11487</v>
      </c>
      <c r="AC3456" s="462" t="s">
        <v>11488</v>
      </c>
      <c r="AD3456" s="464">
        <v>109.70402</v>
      </c>
      <c r="AE3456" s="465">
        <v>4.9551600000000002</v>
      </c>
      <c r="AF3456" s="86">
        <f>IF(verze!$E$1="CZK",AD3456,IF(verze!$E$1="SK",AE3456,""))</f>
        <v>4.9551600000000002</v>
      </c>
    </row>
    <row r="3457" spans="27:32" ht="15">
      <c r="AA3457" s="463" t="s">
        <v>11489</v>
      </c>
      <c r="AB3457" s="462" t="s">
        <v>11490</v>
      </c>
      <c r="AC3457" s="462" t="s">
        <v>11491</v>
      </c>
      <c r="AD3457" s="464">
        <v>126.85132</v>
      </c>
      <c r="AE3457" s="465">
        <v>5.9702200000000003</v>
      </c>
      <c r="AF3457" s="86">
        <f>IF(verze!$E$1="CZK",AD3457,IF(verze!$E$1="SK",AE3457,""))</f>
        <v>5.9702200000000003</v>
      </c>
    </row>
    <row r="3458" spans="27:32" ht="15">
      <c r="AA3458" s="463" t="s">
        <v>11492</v>
      </c>
      <c r="AB3458" s="462" t="s">
        <v>11493</v>
      </c>
      <c r="AC3458" s="462" t="s">
        <v>11494</v>
      </c>
      <c r="AD3458" s="464">
        <v>126.85132</v>
      </c>
      <c r="AE3458" s="465">
        <v>5.9702200000000003</v>
      </c>
      <c r="AF3458" s="86">
        <f>IF(verze!$E$1="CZK",AD3458,IF(verze!$E$1="SK",AE3458,""))</f>
        <v>5.9702200000000003</v>
      </c>
    </row>
    <row r="3459" spans="27:32" ht="15">
      <c r="AA3459" s="463" t="s">
        <v>11495</v>
      </c>
      <c r="AB3459" s="462" t="s">
        <v>11496</v>
      </c>
      <c r="AC3459" s="462" t="s">
        <v>11497</v>
      </c>
      <c r="AD3459" s="464">
        <v>148.76996</v>
      </c>
      <c r="AE3459" s="465">
        <v>7.1563800000000004</v>
      </c>
      <c r="AF3459" s="86">
        <f>IF(verze!$E$1="CZK",AD3459,IF(verze!$E$1="SK",AE3459,""))</f>
        <v>7.1563800000000004</v>
      </c>
    </row>
    <row r="3460" spans="27:32" ht="15">
      <c r="AA3460" s="463" t="s">
        <v>11498</v>
      </c>
      <c r="AB3460" s="462" t="s">
        <v>11499</v>
      </c>
      <c r="AC3460" s="462" t="s">
        <v>11500</v>
      </c>
      <c r="AD3460" s="464">
        <v>148.76996</v>
      </c>
      <c r="AE3460" s="465">
        <v>7.1563800000000004</v>
      </c>
      <c r="AF3460" s="86">
        <f>IF(verze!$E$1="CZK",AD3460,IF(verze!$E$1="SK",AE3460,""))</f>
        <v>7.1563800000000004</v>
      </c>
    </row>
    <row r="3461" spans="27:32" ht="15">
      <c r="AA3461" s="463" t="s">
        <v>11501</v>
      </c>
      <c r="AB3461" s="462" t="s">
        <v>11502</v>
      </c>
      <c r="AC3461" s="462" t="s">
        <v>11503</v>
      </c>
      <c r="AD3461" s="464">
        <v>0</v>
      </c>
      <c r="AE3461" s="465">
        <v>5.5573600000000001</v>
      </c>
      <c r="AF3461" s="86">
        <f>IF(verze!$E$1="CZK",AD3461,IF(verze!$E$1="SK",AE3461,""))</f>
        <v>5.5573600000000001</v>
      </c>
    </row>
    <row r="3462" spans="27:32" ht="15">
      <c r="AA3462" s="463" t="s">
        <v>11501</v>
      </c>
      <c r="AB3462" s="462" t="s">
        <v>11504</v>
      </c>
      <c r="AC3462" s="462" t="s">
        <v>11505</v>
      </c>
      <c r="AD3462" s="464">
        <v>116.24661999999999</v>
      </c>
      <c r="AE3462" s="465">
        <v>5.5918999999999999</v>
      </c>
      <c r="AF3462" s="86">
        <f>IF(verze!$E$1="CZK",AD3462,IF(verze!$E$1="SK",AE3462,""))</f>
        <v>5.5918999999999999</v>
      </c>
    </row>
    <row r="3463" spans="27:32" ht="15">
      <c r="AA3463" s="463" t="s">
        <v>11506</v>
      </c>
      <c r="AB3463" s="462" t="s">
        <v>11507</v>
      </c>
      <c r="AC3463" s="462" t="s">
        <v>11508</v>
      </c>
      <c r="AD3463" s="464">
        <v>0</v>
      </c>
      <c r="AE3463" s="465">
        <v>5.5573600000000001</v>
      </c>
      <c r="AF3463" s="86">
        <f>IF(verze!$E$1="CZK",AD3463,IF(verze!$E$1="SK",AE3463,""))</f>
        <v>5.5573600000000001</v>
      </c>
    </row>
    <row r="3464" spans="27:32" ht="15">
      <c r="AA3464" s="463" t="s">
        <v>11506</v>
      </c>
      <c r="AB3464" s="462" t="s">
        <v>11509</v>
      </c>
      <c r="AC3464" s="462" t="s">
        <v>11510</v>
      </c>
      <c r="AD3464" s="464">
        <v>116.24661999999999</v>
      </c>
      <c r="AE3464" s="465">
        <v>5.5918999999999999</v>
      </c>
      <c r="AF3464" s="86">
        <f>IF(verze!$E$1="CZK",AD3464,IF(verze!$E$1="SK",AE3464,""))</f>
        <v>5.5918999999999999</v>
      </c>
    </row>
    <row r="3465" spans="27:32" ht="15">
      <c r="AA3465" s="463" t="s">
        <v>11511</v>
      </c>
      <c r="AB3465" s="462" t="s">
        <v>11512</v>
      </c>
      <c r="AC3465" s="462" t="s">
        <v>11513</v>
      </c>
      <c r="AD3465" s="464">
        <v>0</v>
      </c>
      <c r="AE3465" s="465">
        <v>5.5573600000000001</v>
      </c>
      <c r="AF3465" s="86">
        <f>IF(verze!$E$1="CZK",AD3465,IF(verze!$E$1="SK",AE3465,""))</f>
        <v>5.5573600000000001</v>
      </c>
    </row>
    <row r="3466" spans="27:32" ht="15">
      <c r="AA3466" s="463" t="s">
        <v>11511</v>
      </c>
      <c r="AB3466" s="462" t="s">
        <v>11514</v>
      </c>
      <c r="AC3466" s="462" t="s">
        <v>11515</v>
      </c>
      <c r="AD3466" s="464">
        <v>116.24661999999999</v>
      </c>
      <c r="AE3466" s="465">
        <v>5.5918999999999999</v>
      </c>
      <c r="AF3466" s="86">
        <f>IF(verze!$E$1="CZK",AD3466,IF(verze!$E$1="SK",AE3466,""))</f>
        <v>5.5918999999999999</v>
      </c>
    </row>
    <row r="3467" spans="27:32" ht="15">
      <c r="AA3467" s="463" t="s">
        <v>11516</v>
      </c>
      <c r="AB3467" s="462" t="s">
        <v>11517</v>
      </c>
      <c r="AC3467" s="462" t="s">
        <v>11518</v>
      </c>
      <c r="AD3467" s="464">
        <v>0</v>
      </c>
      <c r="AE3467" s="465">
        <v>5.5573600000000001</v>
      </c>
      <c r="AF3467" s="86">
        <f>IF(verze!$E$1="CZK",AD3467,IF(verze!$E$1="SK",AE3467,""))</f>
        <v>5.5573600000000001</v>
      </c>
    </row>
    <row r="3468" spans="27:32" ht="15">
      <c r="AA3468" s="463" t="s">
        <v>11516</v>
      </c>
      <c r="AB3468" s="462" t="s">
        <v>11519</v>
      </c>
      <c r="AC3468" s="462" t="s">
        <v>11520</v>
      </c>
      <c r="AD3468" s="464">
        <v>116.24661999999999</v>
      </c>
      <c r="AE3468" s="465">
        <v>5.5918999999999999</v>
      </c>
      <c r="AF3468" s="86">
        <f>IF(verze!$E$1="CZK",AD3468,IF(verze!$E$1="SK",AE3468,""))</f>
        <v>5.5918999999999999</v>
      </c>
    </row>
    <row r="3469" spans="27:32" ht="15">
      <c r="AA3469" s="463" t="s">
        <v>11521</v>
      </c>
      <c r="AB3469" s="462" t="s">
        <v>11522</v>
      </c>
      <c r="AC3469" s="462" t="s">
        <v>11523</v>
      </c>
      <c r="AD3469" s="464">
        <v>116.24661999999999</v>
      </c>
      <c r="AE3469" s="465">
        <v>5.5918999999999999</v>
      </c>
      <c r="AF3469" s="86">
        <f>IF(verze!$E$1="CZK",AD3469,IF(verze!$E$1="SK",AE3469,""))</f>
        <v>5.5918999999999999</v>
      </c>
    </row>
    <row r="3470" spans="27:32" ht="15">
      <c r="AA3470" s="463" t="s">
        <v>11521</v>
      </c>
      <c r="AB3470" s="462" t="s">
        <v>11524</v>
      </c>
      <c r="AC3470" s="462" t="s">
        <v>11525</v>
      </c>
      <c r="AD3470" s="464">
        <v>108.19297</v>
      </c>
      <c r="AE3470" s="465">
        <v>5.2044699999999997</v>
      </c>
      <c r="AF3470" s="86">
        <f>IF(verze!$E$1="CZK",AD3470,IF(verze!$E$1="SK",AE3470,""))</f>
        <v>5.2044699999999997</v>
      </c>
    </row>
    <row r="3471" spans="27:32" ht="15">
      <c r="AA3471" s="463" t="s">
        <v>11526</v>
      </c>
      <c r="AB3471" s="462" t="s">
        <v>11527</v>
      </c>
      <c r="AC3471" s="462" t="s">
        <v>11528</v>
      </c>
      <c r="AD3471" s="464">
        <v>116.24661999999999</v>
      </c>
      <c r="AE3471" s="465">
        <v>5.5918999999999999</v>
      </c>
      <c r="AF3471" s="86">
        <f>IF(verze!$E$1="CZK",AD3471,IF(verze!$E$1="SK",AE3471,""))</f>
        <v>5.5918999999999999</v>
      </c>
    </row>
    <row r="3472" spans="27:32" ht="15">
      <c r="AA3472" s="463" t="s">
        <v>11526</v>
      </c>
      <c r="AB3472" s="462" t="s">
        <v>11529</v>
      </c>
      <c r="AC3472" s="462" t="s">
        <v>11530</v>
      </c>
      <c r="AD3472" s="464">
        <v>108.19297</v>
      </c>
      <c r="AE3472" s="465">
        <v>5.2044699999999997</v>
      </c>
      <c r="AF3472" s="86">
        <f>IF(verze!$E$1="CZK",AD3472,IF(verze!$E$1="SK",AE3472,""))</f>
        <v>5.2044699999999997</v>
      </c>
    </row>
    <row r="3473" spans="27:32" ht="15">
      <c r="AA3473" s="463" t="s">
        <v>11531</v>
      </c>
      <c r="AB3473" s="462" t="s">
        <v>11532</v>
      </c>
      <c r="AC3473" s="462" t="s">
        <v>11533</v>
      </c>
      <c r="AD3473" s="464">
        <v>119.07358000000001</v>
      </c>
      <c r="AE3473" s="465">
        <v>5.7278799999999999</v>
      </c>
      <c r="AF3473" s="86">
        <f>IF(verze!$E$1="CZK",AD3473,IF(verze!$E$1="SK",AE3473,""))</f>
        <v>5.7278799999999999</v>
      </c>
    </row>
    <row r="3474" spans="27:32" ht="15">
      <c r="AA3474" s="463" t="s">
        <v>11531</v>
      </c>
      <c r="AB3474" s="462" t="s">
        <v>11534</v>
      </c>
      <c r="AC3474" s="462" t="s">
        <v>11535</v>
      </c>
      <c r="AD3474" s="464">
        <v>110.82628</v>
      </c>
      <c r="AE3474" s="465">
        <v>5.3311400000000004</v>
      </c>
      <c r="AF3474" s="86">
        <f>IF(verze!$E$1="CZK",AD3474,IF(verze!$E$1="SK",AE3474,""))</f>
        <v>5.3311400000000004</v>
      </c>
    </row>
    <row r="3475" spans="27:32" ht="15">
      <c r="AA3475" s="463" t="s">
        <v>11536</v>
      </c>
      <c r="AB3475" s="462" t="s">
        <v>11537</v>
      </c>
      <c r="AC3475" s="462" t="s">
        <v>11538</v>
      </c>
      <c r="AD3475" s="464">
        <v>119.07358000000001</v>
      </c>
      <c r="AE3475" s="465">
        <v>5.7278799999999999</v>
      </c>
      <c r="AF3475" s="86">
        <f>IF(verze!$E$1="CZK",AD3475,IF(verze!$E$1="SK",AE3475,""))</f>
        <v>5.7278799999999999</v>
      </c>
    </row>
    <row r="3476" spans="27:32" ht="15">
      <c r="AA3476" s="463" t="s">
        <v>11536</v>
      </c>
      <c r="AB3476" s="462" t="s">
        <v>11539</v>
      </c>
      <c r="AC3476" s="462" t="s">
        <v>11540</v>
      </c>
      <c r="AD3476" s="464">
        <v>110.82628</v>
      </c>
      <c r="AE3476" s="465">
        <v>5.3311400000000004</v>
      </c>
      <c r="AF3476" s="86">
        <f>IF(verze!$E$1="CZK",AD3476,IF(verze!$E$1="SK",AE3476,""))</f>
        <v>5.3311400000000004</v>
      </c>
    </row>
    <row r="3477" spans="27:32" ht="15">
      <c r="AA3477" s="463" t="s">
        <v>11541</v>
      </c>
      <c r="AB3477" s="462" t="s">
        <v>11542</v>
      </c>
      <c r="AC3477" s="462" t="s">
        <v>11543</v>
      </c>
      <c r="AD3477" s="464">
        <v>117.87132</v>
      </c>
      <c r="AE3477" s="465">
        <v>5.5475599999999998</v>
      </c>
      <c r="AF3477" s="86">
        <f>IF(verze!$E$1="CZK",AD3477,IF(verze!$E$1="SK",AE3477,""))</f>
        <v>5.5475599999999998</v>
      </c>
    </row>
    <row r="3478" spans="27:32" ht="15">
      <c r="AA3478" s="463" t="s">
        <v>11541</v>
      </c>
      <c r="AB3478" s="462" t="s">
        <v>11544</v>
      </c>
      <c r="AC3478" s="462" t="s">
        <v>11545</v>
      </c>
      <c r="AD3478" s="464">
        <v>109.70402</v>
      </c>
      <c r="AE3478" s="465">
        <v>5.0110900000000003</v>
      </c>
      <c r="AF3478" s="86">
        <f>IF(verze!$E$1="CZK",AD3478,IF(verze!$E$1="SK",AE3478,""))</f>
        <v>5.0110900000000003</v>
      </c>
    </row>
    <row r="3479" spans="27:32" ht="15">
      <c r="AA3479" s="463" t="s">
        <v>11546</v>
      </c>
      <c r="AB3479" s="462" t="s">
        <v>11547</v>
      </c>
      <c r="AC3479" s="462" t="s">
        <v>11548</v>
      </c>
      <c r="AD3479" s="464">
        <v>117.87132</v>
      </c>
      <c r="AE3479" s="465">
        <v>5.5475599999999998</v>
      </c>
      <c r="AF3479" s="86">
        <f>IF(verze!$E$1="CZK",AD3479,IF(verze!$E$1="SK",AE3479,""))</f>
        <v>5.5475599999999998</v>
      </c>
    </row>
    <row r="3480" spans="27:32" ht="15">
      <c r="AA3480" s="463" t="s">
        <v>11546</v>
      </c>
      <c r="AB3480" s="462" t="s">
        <v>11549</v>
      </c>
      <c r="AC3480" s="462" t="s">
        <v>11550</v>
      </c>
      <c r="AD3480" s="464">
        <v>109.70402</v>
      </c>
      <c r="AE3480" s="465">
        <v>5.0110900000000003</v>
      </c>
      <c r="AF3480" s="86">
        <f>IF(verze!$E$1="CZK",AD3480,IF(verze!$E$1="SK",AE3480,""))</f>
        <v>5.0110900000000003</v>
      </c>
    </row>
    <row r="3481" spans="27:32" ht="15">
      <c r="AA3481" s="463" t="s">
        <v>11551</v>
      </c>
      <c r="AB3481" s="462" t="s">
        <v>11552</v>
      </c>
      <c r="AC3481" s="462" t="s">
        <v>11553</v>
      </c>
      <c r="AD3481" s="464">
        <v>126.85132</v>
      </c>
      <c r="AE3481" s="465">
        <v>5.9702200000000003</v>
      </c>
      <c r="AF3481" s="86">
        <f>IF(verze!$E$1="CZK",AD3481,IF(verze!$E$1="SK",AE3481,""))</f>
        <v>5.9702200000000003</v>
      </c>
    </row>
    <row r="3482" spans="27:32" ht="15">
      <c r="AA3482" s="463" t="s">
        <v>11554</v>
      </c>
      <c r="AB3482" s="462" t="s">
        <v>11555</v>
      </c>
      <c r="AC3482" s="462" t="s">
        <v>11556</v>
      </c>
      <c r="AD3482" s="464">
        <v>126.85132</v>
      </c>
      <c r="AE3482" s="465">
        <v>5.9702200000000003</v>
      </c>
      <c r="AF3482" s="86">
        <f>IF(verze!$E$1="CZK",AD3482,IF(verze!$E$1="SK",AE3482,""))</f>
        <v>5.9702200000000003</v>
      </c>
    </row>
    <row r="3483" spans="27:32" ht="15">
      <c r="AA3483" s="463" t="s">
        <v>11557</v>
      </c>
      <c r="AB3483" s="462" t="s">
        <v>11558</v>
      </c>
      <c r="AC3483" s="462" t="s">
        <v>11559</v>
      </c>
      <c r="AD3483" s="464">
        <v>148.76996</v>
      </c>
      <c r="AE3483" s="465">
        <v>7.1563800000000004</v>
      </c>
      <c r="AF3483" s="86">
        <f>IF(verze!$E$1="CZK",AD3483,IF(verze!$E$1="SK",AE3483,""))</f>
        <v>7.1563800000000004</v>
      </c>
    </row>
    <row r="3484" spans="27:32" ht="15">
      <c r="AA3484" s="463" t="s">
        <v>11560</v>
      </c>
      <c r="AB3484" s="462" t="s">
        <v>11561</v>
      </c>
      <c r="AC3484" s="462" t="s">
        <v>11562</v>
      </c>
      <c r="AD3484" s="464">
        <v>148.76996</v>
      </c>
      <c r="AE3484" s="465">
        <v>7.1563800000000004</v>
      </c>
      <c r="AF3484" s="86">
        <f>IF(verze!$E$1="CZK",AD3484,IF(verze!$E$1="SK",AE3484,""))</f>
        <v>7.1563800000000004</v>
      </c>
    </row>
    <row r="3485" spans="27:32" ht="15">
      <c r="AA3485" s="463" t="s">
        <v>11563</v>
      </c>
      <c r="AB3485" s="462" t="s">
        <v>11564</v>
      </c>
      <c r="AC3485" s="462" t="s">
        <v>11565</v>
      </c>
      <c r="AD3485" s="464">
        <v>116.24661999999999</v>
      </c>
      <c r="AE3485" s="465">
        <v>5.5918999999999999</v>
      </c>
      <c r="AF3485" s="86">
        <f>IF(verze!$E$1="CZK",AD3485,IF(verze!$E$1="SK",AE3485,""))</f>
        <v>5.5918999999999999</v>
      </c>
    </row>
    <row r="3486" spans="27:32" ht="15">
      <c r="AA3486" s="463" t="s">
        <v>11563</v>
      </c>
      <c r="AB3486" s="462" t="s">
        <v>11566</v>
      </c>
      <c r="AC3486" s="462" t="s">
        <v>11567</v>
      </c>
      <c r="AD3486" s="464">
        <v>0</v>
      </c>
      <c r="AE3486" s="465">
        <v>5.5573600000000001</v>
      </c>
      <c r="AF3486" s="86">
        <f>IF(verze!$E$1="CZK",AD3486,IF(verze!$E$1="SK",AE3486,""))</f>
        <v>5.5573600000000001</v>
      </c>
    </row>
    <row r="3487" spans="27:32" ht="15">
      <c r="AA3487" s="463" t="s">
        <v>11568</v>
      </c>
      <c r="AB3487" s="462" t="s">
        <v>11569</v>
      </c>
      <c r="AC3487" s="462" t="s">
        <v>11570</v>
      </c>
      <c r="AD3487" s="464">
        <v>116.24661999999999</v>
      </c>
      <c r="AE3487" s="465">
        <v>5.5918999999999999</v>
      </c>
      <c r="AF3487" s="86">
        <f>IF(verze!$E$1="CZK",AD3487,IF(verze!$E$1="SK",AE3487,""))</f>
        <v>5.5918999999999999</v>
      </c>
    </row>
    <row r="3488" spans="27:32" ht="15">
      <c r="AA3488" s="463" t="s">
        <v>11568</v>
      </c>
      <c r="AB3488" s="462" t="s">
        <v>11571</v>
      </c>
      <c r="AC3488" s="462" t="s">
        <v>11572</v>
      </c>
      <c r="AD3488" s="464">
        <v>0</v>
      </c>
      <c r="AE3488" s="465">
        <v>5.5573600000000001</v>
      </c>
      <c r="AF3488" s="86">
        <f>IF(verze!$E$1="CZK",AD3488,IF(verze!$E$1="SK",AE3488,""))</f>
        <v>5.5573600000000001</v>
      </c>
    </row>
    <row r="3489" spans="27:32" ht="15">
      <c r="AA3489" s="463" t="s">
        <v>11573</v>
      </c>
      <c r="AB3489" s="462" t="s">
        <v>11574</v>
      </c>
      <c r="AC3489" s="462" t="s">
        <v>11575</v>
      </c>
      <c r="AD3489" s="464">
        <v>116.24661999999999</v>
      </c>
      <c r="AE3489" s="465">
        <v>5.5918999999999999</v>
      </c>
      <c r="AF3489" s="86">
        <f>IF(verze!$E$1="CZK",AD3489,IF(verze!$E$1="SK",AE3489,""))</f>
        <v>5.5918999999999999</v>
      </c>
    </row>
    <row r="3490" spans="27:32" ht="15">
      <c r="AA3490" s="463" t="s">
        <v>11573</v>
      </c>
      <c r="AB3490" s="462" t="s">
        <v>11576</v>
      </c>
      <c r="AC3490" s="462" t="s">
        <v>11577</v>
      </c>
      <c r="AD3490" s="464">
        <v>108.19297</v>
      </c>
      <c r="AE3490" s="465">
        <v>5.2044699999999997</v>
      </c>
      <c r="AF3490" s="86">
        <f>IF(verze!$E$1="CZK",AD3490,IF(verze!$E$1="SK",AE3490,""))</f>
        <v>5.2044699999999997</v>
      </c>
    </row>
    <row r="3491" spans="27:32" ht="15">
      <c r="AA3491" s="463" t="s">
        <v>11578</v>
      </c>
      <c r="AB3491" s="462" t="s">
        <v>11579</v>
      </c>
      <c r="AC3491" s="462" t="s">
        <v>11580</v>
      </c>
      <c r="AD3491" s="464">
        <v>116.24661999999999</v>
      </c>
      <c r="AE3491" s="465">
        <v>5.5918999999999999</v>
      </c>
      <c r="AF3491" s="86">
        <f>IF(verze!$E$1="CZK",AD3491,IF(verze!$E$1="SK",AE3491,""))</f>
        <v>5.5918999999999999</v>
      </c>
    </row>
    <row r="3492" spans="27:32" ht="15">
      <c r="AA3492" s="463" t="s">
        <v>11578</v>
      </c>
      <c r="AB3492" s="462" t="s">
        <v>11581</v>
      </c>
      <c r="AC3492" s="462" t="s">
        <v>11582</v>
      </c>
      <c r="AD3492" s="464">
        <v>108.19297</v>
      </c>
      <c r="AE3492" s="465">
        <v>5.2044699999999997</v>
      </c>
      <c r="AF3492" s="86">
        <f>IF(verze!$E$1="CZK",AD3492,IF(verze!$E$1="SK",AE3492,""))</f>
        <v>5.2044699999999997</v>
      </c>
    </row>
    <row r="3493" spans="27:32" ht="15">
      <c r="AA3493" s="463" t="s">
        <v>11583</v>
      </c>
      <c r="AB3493" s="462" t="s">
        <v>11584</v>
      </c>
      <c r="AC3493" s="462" t="s">
        <v>11585</v>
      </c>
      <c r="AD3493" s="464">
        <v>116.24661999999999</v>
      </c>
      <c r="AE3493" s="465">
        <v>5.5918999999999999</v>
      </c>
      <c r="AF3493" s="86">
        <f>IF(verze!$E$1="CZK",AD3493,IF(verze!$E$1="SK",AE3493,""))</f>
        <v>5.5918999999999999</v>
      </c>
    </row>
    <row r="3494" spans="27:32" ht="15">
      <c r="AA3494" s="463" t="s">
        <v>11583</v>
      </c>
      <c r="AB3494" s="462" t="s">
        <v>11586</v>
      </c>
      <c r="AC3494" s="462" t="s">
        <v>11587</v>
      </c>
      <c r="AD3494" s="464">
        <v>108.19297</v>
      </c>
      <c r="AE3494" s="465">
        <v>5.2044699999999997</v>
      </c>
      <c r="AF3494" s="86">
        <f>IF(verze!$E$1="CZK",AD3494,IF(verze!$E$1="SK",AE3494,""))</f>
        <v>5.2044699999999997</v>
      </c>
    </row>
    <row r="3495" spans="27:32" ht="15">
      <c r="AA3495" s="463" t="s">
        <v>11588</v>
      </c>
      <c r="AB3495" s="462" t="s">
        <v>11589</v>
      </c>
      <c r="AC3495" s="462" t="s">
        <v>11590</v>
      </c>
      <c r="AD3495" s="464">
        <v>116.24661999999999</v>
      </c>
      <c r="AE3495" s="465">
        <v>5.5918999999999999</v>
      </c>
      <c r="AF3495" s="86">
        <f>IF(verze!$E$1="CZK",AD3495,IF(verze!$E$1="SK",AE3495,""))</f>
        <v>5.5918999999999999</v>
      </c>
    </row>
    <row r="3496" spans="27:32" ht="15">
      <c r="AA3496" s="463" t="s">
        <v>11588</v>
      </c>
      <c r="AB3496" s="462" t="s">
        <v>11591</v>
      </c>
      <c r="AC3496" s="462" t="s">
        <v>11592</v>
      </c>
      <c r="AD3496" s="464">
        <v>108.19297</v>
      </c>
      <c r="AE3496" s="465">
        <v>5.2044699999999997</v>
      </c>
      <c r="AF3496" s="86">
        <f>IF(verze!$E$1="CZK",AD3496,IF(verze!$E$1="SK",AE3496,""))</f>
        <v>5.2044699999999997</v>
      </c>
    </row>
    <row r="3497" spans="27:32" ht="15">
      <c r="AA3497" s="463" t="s">
        <v>11593</v>
      </c>
      <c r="AB3497" s="462" t="s">
        <v>11594</v>
      </c>
      <c r="AC3497" s="462" t="s">
        <v>11595</v>
      </c>
      <c r="AD3497" s="464">
        <v>119.07358000000001</v>
      </c>
      <c r="AE3497" s="465">
        <v>5.7278799999999999</v>
      </c>
      <c r="AF3497" s="86">
        <f>IF(verze!$E$1="CZK",AD3497,IF(verze!$E$1="SK",AE3497,""))</f>
        <v>5.7278799999999999</v>
      </c>
    </row>
    <row r="3498" spans="27:32" ht="15">
      <c r="AA3498" s="463" t="s">
        <v>11593</v>
      </c>
      <c r="AB3498" s="462" t="s">
        <v>11596</v>
      </c>
      <c r="AC3498" s="462" t="s">
        <v>11597</v>
      </c>
      <c r="AD3498" s="464">
        <v>110.82628</v>
      </c>
      <c r="AE3498" s="465">
        <v>5.3311400000000004</v>
      </c>
      <c r="AF3498" s="86">
        <f>IF(verze!$E$1="CZK",AD3498,IF(verze!$E$1="SK",AE3498,""))</f>
        <v>5.3311400000000004</v>
      </c>
    </row>
    <row r="3499" spans="27:32" ht="15">
      <c r="AA3499" s="463" t="s">
        <v>11598</v>
      </c>
      <c r="AB3499" s="462" t="s">
        <v>11599</v>
      </c>
      <c r="AC3499" s="462" t="s">
        <v>11600</v>
      </c>
      <c r="AD3499" s="464">
        <v>119.07358000000001</v>
      </c>
      <c r="AE3499" s="465">
        <v>5.7278799999999999</v>
      </c>
      <c r="AF3499" s="86">
        <f>IF(verze!$E$1="CZK",AD3499,IF(verze!$E$1="SK",AE3499,""))</f>
        <v>5.7278799999999999</v>
      </c>
    </row>
    <row r="3500" spans="27:32" ht="15">
      <c r="AA3500" s="463" t="s">
        <v>11598</v>
      </c>
      <c r="AB3500" s="462" t="s">
        <v>11601</v>
      </c>
      <c r="AC3500" s="462" t="s">
        <v>11602</v>
      </c>
      <c r="AD3500" s="464">
        <v>110.82628</v>
      </c>
      <c r="AE3500" s="465">
        <v>5.3311400000000004</v>
      </c>
      <c r="AF3500" s="86">
        <f>IF(verze!$E$1="CZK",AD3500,IF(verze!$E$1="SK",AE3500,""))</f>
        <v>5.3311400000000004</v>
      </c>
    </row>
    <row r="3501" spans="27:32" ht="15">
      <c r="AA3501" s="463" t="s">
        <v>11603</v>
      </c>
      <c r="AB3501" s="462" t="s">
        <v>11604</v>
      </c>
      <c r="AC3501" s="462" t="s">
        <v>11605</v>
      </c>
      <c r="AD3501" s="464">
        <v>117.87132</v>
      </c>
      <c r="AE3501" s="465">
        <v>5.5475599999999998</v>
      </c>
      <c r="AF3501" s="86">
        <f>IF(verze!$E$1="CZK",AD3501,IF(verze!$E$1="SK",AE3501,""))</f>
        <v>5.5475599999999998</v>
      </c>
    </row>
    <row r="3502" spans="27:32" ht="15">
      <c r="AA3502" s="463" t="s">
        <v>11603</v>
      </c>
      <c r="AB3502" s="462" t="s">
        <v>11606</v>
      </c>
      <c r="AC3502" s="462" t="s">
        <v>11607</v>
      </c>
      <c r="AD3502" s="464">
        <v>109.70402</v>
      </c>
      <c r="AE3502" s="465">
        <v>5.0110900000000003</v>
      </c>
      <c r="AF3502" s="86">
        <f>IF(verze!$E$1="CZK",AD3502,IF(verze!$E$1="SK",AE3502,""))</f>
        <v>5.0110900000000003</v>
      </c>
    </row>
    <row r="3503" spans="27:32" ht="15">
      <c r="AA3503" s="463" t="s">
        <v>11608</v>
      </c>
      <c r="AB3503" s="462" t="s">
        <v>11609</v>
      </c>
      <c r="AC3503" s="462" t="s">
        <v>11610</v>
      </c>
      <c r="AD3503" s="464">
        <v>117.87132</v>
      </c>
      <c r="AE3503" s="465">
        <v>5.5475599999999998</v>
      </c>
      <c r="AF3503" s="86">
        <f>IF(verze!$E$1="CZK",AD3503,IF(verze!$E$1="SK",AE3503,""))</f>
        <v>5.5475599999999998</v>
      </c>
    </row>
    <row r="3504" spans="27:32" ht="15">
      <c r="AA3504" s="463" t="s">
        <v>11608</v>
      </c>
      <c r="AB3504" s="462" t="s">
        <v>11611</v>
      </c>
      <c r="AC3504" s="462" t="s">
        <v>11612</v>
      </c>
      <c r="AD3504" s="464">
        <v>109.70402</v>
      </c>
      <c r="AE3504" s="465">
        <v>5.0110900000000003</v>
      </c>
      <c r="AF3504" s="86">
        <f>IF(verze!$E$1="CZK",AD3504,IF(verze!$E$1="SK",AE3504,""))</f>
        <v>5.0110900000000003</v>
      </c>
    </row>
    <row r="3505" spans="27:32" ht="15">
      <c r="AA3505" s="463" t="s">
        <v>11613</v>
      </c>
      <c r="AB3505" s="462" t="s">
        <v>11614</v>
      </c>
      <c r="AC3505" s="462" t="s">
        <v>11615</v>
      </c>
      <c r="AD3505" s="464">
        <v>126.85132</v>
      </c>
      <c r="AE3505" s="465">
        <v>5.9702200000000003</v>
      </c>
      <c r="AF3505" s="86">
        <f>IF(verze!$E$1="CZK",AD3505,IF(verze!$E$1="SK",AE3505,""))</f>
        <v>5.9702200000000003</v>
      </c>
    </row>
    <row r="3506" spans="27:32" ht="15">
      <c r="AA3506" s="463" t="s">
        <v>11616</v>
      </c>
      <c r="AB3506" s="462" t="s">
        <v>11617</v>
      </c>
      <c r="AC3506" s="462" t="s">
        <v>11618</v>
      </c>
      <c r="AD3506" s="464">
        <v>126.85132</v>
      </c>
      <c r="AE3506" s="465">
        <v>5.9702200000000003</v>
      </c>
      <c r="AF3506" s="86">
        <f>IF(verze!$E$1="CZK",AD3506,IF(verze!$E$1="SK",AE3506,""))</f>
        <v>5.9702200000000003</v>
      </c>
    </row>
    <row r="3507" spans="27:32" ht="15">
      <c r="AA3507" s="463" t="s">
        <v>11619</v>
      </c>
      <c r="AB3507" s="462" t="s">
        <v>11620</v>
      </c>
      <c r="AC3507" s="462" t="s">
        <v>11621</v>
      </c>
      <c r="AD3507" s="464">
        <v>148.76996</v>
      </c>
      <c r="AE3507" s="465">
        <v>7.1563800000000004</v>
      </c>
      <c r="AF3507" s="86">
        <f>IF(verze!$E$1="CZK",AD3507,IF(verze!$E$1="SK",AE3507,""))</f>
        <v>7.1563800000000004</v>
      </c>
    </row>
    <row r="3508" spans="27:32" ht="15">
      <c r="AA3508" s="463" t="s">
        <v>11622</v>
      </c>
      <c r="AB3508" s="462" t="s">
        <v>11623</v>
      </c>
      <c r="AC3508" s="462" t="s">
        <v>11624</v>
      </c>
      <c r="AD3508" s="464">
        <v>148.76996</v>
      </c>
      <c r="AE3508" s="465">
        <v>7.1563800000000004</v>
      </c>
      <c r="AF3508" s="86">
        <f>IF(verze!$E$1="CZK",AD3508,IF(verze!$E$1="SK",AE3508,""))</f>
        <v>7.1563800000000004</v>
      </c>
    </row>
    <row r="3509" spans="27:32" ht="15">
      <c r="AA3509" s="463" t="s">
        <v>11625</v>
      </c>
      <c r="AB3509" s="462" t="s">
        <v>11626</v>
      </c>
      <c r="AC3509" s="462" t="s">
        <v>11627</v>
      </c>
      <c r="AD3509" s="464">
        <v>312.19076999999999</v>
      </c>
      <c r="AE3509" s="465">
        <v>15.017519999999999</v>
      </c>
      <c r="AF3509" s="86">
        <f>IF(verze!$E$1="CZK",AD3509,IF(verze!$E$1="SK",AE3509,""))</f>
        <v>15.017519999999999</v>
      </c>
    </row>
    <row r="3510" spans="27:32" ht="15">
      <c r="AA3510" s="463" t="s">
        <v>11628</v>
      </c>
      <c r="AB3510" s="462" t="s">
        <v>11629</v>
      </c>
      <c r="AC3510" s="462" t="s">
        <v>11630</v>
      </c>
      <c r="AD3510" s="464">
        <v>312.19076999999999</v>
      </c>
      <c r="AE3510" s="465">
        <v>15.017519999999999</v>
      </c>
      <c r="AF3510" s="86">
        <f>IF(verze!$E$1="CZK",AD3510,IF(verze!$E$1="SK",AE3510,""))</f>
        <v>15.017519999999999</v>
      </c>
    </row>
    <row r="3511" spans="27:32" ht="15">
      <c r="AA3511" s="463" t="s">
        <v>11631</v>
      </c>
      <c r="AB3511" s="462" t="s">
        <v>11632</v>
      </c>
      <c r="AC3511" s="462" t="s">
        <v>11633</v>
      </c>
      <c r="AD3511" s="464">
        <v>111.25385</v>
      </c>
      <c r="AE3511" s="465">
        <v>5.3517200000000003</v>
      </c>
      <c r="AF3511" s="86">
        <f>IF(verze!$E$1="CZK",AD3511,IF(verze!$E$1="SK",AE3511,""))</f>
        <v>5.3517200000000003</v>
      </c>
    </row>
    <row r="3512" spans="27:32" ht="15">
      <c r="AA3512" s="463" t="s">
        <v>11634</v>
      </c>
      <c r="AB3512" s="462" t="s">
        <v>11635</v>
      </c>
      <c r="AC3512" s="462" t="s">
        <v>11636</v>
      </c>
      <c r="AD3512" s="464">
        <v>208.37871000000001</v>
      </c>
      <c r="AE3512" s="465">
        <v>10.02378</v>
      </c>
      <c r="AF3512" s="86">
        <f>IF(verze!$E$1="CZK",AD3512,IF(verze!$E$1="SK",AE3512,""))</f>
        <v>10.02378</v>
      </c>
    </row>
    <row r="3513" spans="27:32" ht="15">
      <c r="AA3513" s="463" t="s">
        <v>11637</v>
      </c>
      <c r="AB3513" s="462" t="s">
        <v>11638</v>
      </c>
      <c r="AC3513" s="462" t="s">
        <v>11639</v>
      </c>
      <c r="AD3513" s="464">
        <v>208.37871000000001</v>
      </c>
      <c r="AE3513" s="465">
        <v>10.02378</v>
      </c>
      <c r="AF3513" s="86">
        <f>IF(verze!$E$1="CZK",AD3513,IF(verze!$E$1="SK",AE3513,""))</f>
        <v>10.02378</v>
      </c>
    </row>
    <row r="3514" spans="27:32" ht="15">
      <c r="AA3514" s="463" t="s">
        <v>11640</v>
      </c>
      <c r="AB3514" s="462" t="s">
        <v>11641</v>
      </c>
      <c r="AC3514" s="462" t="s">
        <v>11642</v>
      </c>
      <c r="AD3514" s="464">
        <v>218.97411</v>
      </c>
      <c r="AE3514" s="465">
        <v>10.53345</v>
      </c>
      <c r="AF3514" s="86">
        <f>IF(verze!$E$1="CZK",AD3514,IF(verze!$E$1="SK",AE3514,""))</f>
        <v>10.53345</v>
      </c>
    </row>
    <row r="3515" spans="27:32" ht="15">
      <c r="AA3515" s="463" t="s">
        <v>11643</v>
      </c>
      <c r="AB3515" s="462" t="s">
        <v>11644</v>
      </c>
      <c r="AC3515" s="462" t="s">
        <v>11645</v>
      </c>
      <c r="AD3515" s="464">
        <v>98.891670000000005</v>
      </c>
      <c r="AE3515" s="465">
        <v>4.7570699999999997</v>
      </c>
      <c r="AF3515" s="86">
        <f>IF(verze!$E$1="CZK",AD3515,IF(verze!$E$1="SK",AE3515,""))</f>
        <v>4.7570699999999997</v>
      </c>
    </row>
    <row r="3516" spans="27:32" ht="15">
      <c r="AA3516" s="463" t="s">
        <v>11646</v>
      </c>
      <c r="AB3516" s="462" t="s">
        <v>11647</v>
      </c>
      <c r="AC3516" s="462" t="s">
        <v>11648</v>
      </c>
      <c r="AD3516" s="464">
        <v>109.48706</v>
      </c>
      <c r="AE3516" s="465">
        <v>5.2667200000000003</v>
      </c>
      <c r="AF3516" s="86">
        <f>IF(verze!$E$1="CZK",AD3516,IF(verze!$E$1="SK",AE3516,""))</f>
        <v>5.2667200000000003</v>
      </c>
    </row>
    <row r="3517" spans="27:32" ht="15">
      <c r="AA3517" s="463" t="s">
        <v>11649</v>
      </c>
      <c r="AB3517" s="462" t="s">
        <v>11650</v>
      </c>
      <c r="AC3517" s="462" t="s">
        <v>11651</v>
      </c>
      <c r="AD3517" s="464">
        <v>141.27314999999999</v>
      </c>
      <c r="AE3517" s="465">
        <v>6.79575</v>
      </c>
      <c r="AF3517" s="86">
        <f>IF(verze!$E$1="CZK",AD3517,IF(verze!$E$1="SK",AE3517,""))</f>
        <v>6.79575</v>
      </c>
    </row>
    <row r="3518" spans="27:32" ht="15">
      <c r="AA3518" s="463" t="s">
        <v>11652</v>
      </c>
      <c r="AB3518" s="462" t="s">
        <v>11653</v>
      </c>
      <c r="AC3518" s="462" t="s">
        <v>11654</v>
      </c>
      <c r="AD3518" s="464">
        <v>261.35548999999997</v>
      </c>
      <c r="AE3518" s="465">
        <v>12.572150000000001</v>
      </c>
      <c r="AF3518" s="86">
        <f>IF(verze!$E$1="CZK",AD3518,IF(verze!$E$1="SK",AE3518,""))</f>
        <v>12.572150000000001</v>
      </c>
    </row>
    <row r="3519" spans="27:32" ht="15">
      <c r="AA3519" s="463" t="s">
        <v>11655</v>
      </c>
      <c r="AB3519" s="462" t="s">
        <v>11656</v>
      </c>
      <c r="AC3519" s="462" t="s">
        <v>11657</v>
      </c>
      <c r="AD3519" s="464">
        <v>173.05913000000001</v>
      </c>
      <c r="AE3519" s="465">
        <v>8.3247800000000005</v>
      </c>
      <c r="AF3519" s="86">
        <f>IF(verze!$E$1="CZK",AD3519,IF(verze!$E$1="SK",AE3519,""))</f>
        <v>8.3247800000000005</v>
      </c>
    </row>
    <row r="3520" spans="27:32" ht="15">
      <c r="AA3520" s="463" t="s">
        <v>11658</v>
      </c>
      <c r="AB3520" s="462" t="s">
        <v>11659</v>
      </c>
      <c r="AC3520" s="462" t="s">
        <v>11660</v>
      </c>
      <c r="AD3520" s="464">
        <v>209.02569</v>
      </c>
      <c r="AE3520" s="465">
        <v>10.05491</v>
      </c>
      <c r="AF3520" s="86">
        <f>IF(verze!$E$1="CZK",AD3520,IF(verze!$E$1="SK",AE3520,""))</f>
        <v>10.05491</v>
      </c>
    </row>
    <row r="3521" spans="27:32" ht="15">
      <c r="AA3521" s="463" t="s">
        <v>11661</v>
      </c>
      <c r="AB3521" s="462" t="s">
        <v>11662</v>
      </c>
      <c r="AC3521" s="462" t="s">
        <v>11663</v>
      </c>
      <c r="AD3521" s="464">
        <v>367.31166000000002</v>
      </c>
      <c r="AE3521" s="465">
        <v>17.66902</v>
      </c>
      <c r="AF3521" s="86">
        <f>IF(verze!$E$1="CZK",AD3521,IF(verze!$E$1="SK",AE3521,""))</f>
        <v>17.66902</v>
      </c>
    </row>
    <row r="3522" spans="27:32" ht="15">
      <c r="AA3522" s="463" t="s">
        <v>11664</v>
      </c>
      <c r="AB3522" s="462" t="s">
        <v>11665</v>
      </c>
      <c r="AC3522" s="462" t="s">
        <v>11666</v>
      </c>
      <c r="AD3522" s="464">
        <v>1923.1007300000001</v>
      </c>
      <c r="AE3522" s="465">
        <v>92.508089999999996</v>
      </c>
      <c r="AF3522" s="86">
        <f>IF(verze!$E$1="CZK",AD3522,IF(verze!$E$1="SK",AE3522,""))</f>
        <v>92.508089999999996</v>
      </c>
    </row>
    <row r="3523" spans="27:32" ht="15">
      <c r="AA3523" s="463" t="s">
        <v>11667</v>
      </c>
      <c r="AB3523" s="462" t="s">
        <v>11668</v>
      </c>
      <c r="AC3523" s="462" t="s">
        <v>11669</v>
      </c>
      <c r="AD3523" s="464">
        <v>4654.7831399999995</v>
      </c>
      <c r="AE3523" s="465">
        <v>223.91186999999999</v>
      </c>
      <c r="AF3523" s="86">
        <f>IF(verze!$E$1="CZK",AD3523,IF(verze!$E$1="SK",AE3523,""))</f>
        <v>223.91186999999999</v>
      </c>
    </row>
    <row r="3524" spans="27:32" ht="15">
      <c r="AA3524" s="463" t="s">
        <v>11670</v>
      </c>
      <c r="AB3524" s="462" t="s">
        <v>11671</v>
      </c>
      <c r="AC3524" s="462" t="s">
        <v>11672</v>
      </c>
      <c r="AD3524" s="464">
        <v>92.545590000000004</v>
      </c>
      <c r="AE3524" s="465">
        <v>4.4517699999999998</v>
      </c>
      <c r="AF3524" s="86">
        <f>IF(verze!$E$1="CZK",AD3524,IF(verze!$E$1="SK",AE3524,""))</f>
        <v>4.4517699999999998</v>
      </c>
    </row>
    <row r="3525" spans="27:32" ht="15">
      <c r="AA3525" s="463" t="s">
        <v>11673</v>
      </c>
      <c r="AB3525" s="462" t="s">
        <v>11674</v>
      </c>
      <c r="AC3525" s="462" t="s">
        <v>11675</v>
      </c>
      <c r="AD3525" s="464">
        <v>92.545590000000004</v>
      </c>
      <c r="AE3525" s="465">
        <v>4.4517699999999998</v>
      </c>
      <c r="AF3525" s="86">
        <f>IF(verze!$E$1="CZK",AD3525,IF(verze!$E$1="SK",AE3525,""))</f>
        <v>4.4517699999999998</v>
      </c>
    </row>
    <row r="3526" spans="27:32" ht="15">
      <c r="AA3526" s="463" t="s">
        <v>11676</v>
      </c>
      <c r="AB3526" s="462" t="s">
        <v>11677</v>
      </c>
      <c r="AC3526" s="462" t="s">
        <v>11678</v>
      </c>
      <c r="AD3526" s="464">
        <v>0</v>
      </c>
      <c r="AE3526" s="465">
        <v>4.4242999999999997</v>
      </c>
      <c r="AF3526" s="86">
        <f>IF(verze!$E$1="CZK",AD3526,IF(verze!$E$1="SK",AE3526,""))</f>
        <v>4.4242999999999997</v>
      </c>
    </row>
    <row r="3527" spans="27:32" ht="15">
      <c r="AA3527" s="463" t="s">
        <v>11676</v>
      </c>
      <c r="AB3527" s="462" t="s">
        <v>11679</v>
      </c>
      <c r="AC3527" s="462" t="s">
        <v>11680</v>
      </c>
      <c r="AD3527" s="464">
        <v>92.545590000000004</v>
      </c>
      <c r="AE3527" s="465">
        <v>4.4517699999999998</v>
      </c>
      <c r="AF3527" s="86">
        <f>IF(verze!$E$1="CZK",AD3527,IF(verze!$E$1="SK",AE3527,""))</f>
        <v>4.4517699999999998</v>
      </c>
    </row>
    <row r="3528" spans="27:32" ht="15">
      <c r="AA3528" s="463" t="s">
        <v>11681</v>
      </c>
      <c r="AB3528" s="462" t="s">
        <v>11682</v>
      </c>
      <c r="AC3528" s="462" t="s">
        <v>11683</v>
      </c>
      <c r="AD3528" s="464">
        <v>0</v>
      </c>
      <c r="AE3528" s="465">
        <v>4.4242999999999997</v>
      </c>
      <c r="AF3528" s="86">
        <f>IF(verze!$E$1="CZK",AD3528,IF(verze!$E$1="SK",AE3528,""))</f>
        <v>4.4242999999999997</v>
      </c>
    </row>
    <row r="3529" spans="27:32" ht="15">
      <c r="AA3529" s="463" t="s">
        <v>11681</v>
      </c>
      <c r="AB3529" s="462" t="s">
        <v>11684</v>
      </c>
      <c r="AC3529" s="462" t="s">
        <v>11685</v>
      </c>
      <c r="AD3529" s="464">
        <v>92.545590000000004</v>
      </c>
      <c r="AE3529" s="465">
        <v>4.4517699999999998</v>
      </c>
      <c r="AF3529" s="86">
        <f>IF(verze!$E$1="CZK",AD3529,IF(verze!$E$1="SK",AE3529,""))</f>
        <v>4.4517699999999998</v>
      </c>
    </row>
    <row r="3530" spans="27:32" ht="15">
      <c r="AA3530" s="463" t="s">
        <v>11686</v>
      </c>
      <c r="AB3530" s="462" t="s">
        <v>11687</v>
      </c>
      <c r="AC3530" s="462" t="s">
        <v>11688</v>
      </c>
      <c r="AD3530" s="464">
        <v>0</v>
      </c>
      <c r="AE3530" s="465">
        <v>4.4242999999999997</v>
      </c>
      <c r="AF3530" s="86">
        <f>IF(verze!$E$1="CZK",AD3530,IF(verze!$E$1="SK",AE3530,""))</f>
        <v>4.4242999999999997</v>
      </c>
    </row>
    <row r="3531" spans="27:32" ht="15">
      <c r="AA3531" s="463" t="s">
        <v>11686</v>
      </c>
      <c r="AB3531" s="462" t="s">
        <v>11689</v>
      </c>
      <c r="AC3531" s="462" t="s">
        <v>11690</v>
      </c>
      <c r="AD3531" s="464">
        <v>92.545590000000004</v>
      </c>
      <c r="AE3531" s="465">
        <v>4.4517699999999998</v>
      </c>
      <c r="AF3531" s="86">
        <f>IF(verze!$E$1="CZK",AD3531,IF(verze!$E$1="SK",AE3531,""))</f>
        <v>4.4517699999999998</v>
      </c>
    </row>
    <row r="3532" spans="27:32" ht="15">
      <c r="AA3532" s="463" t="s">
        <v>11691</v>
      </c>
      <c r="AB3532" s="462" t="s">
        <v>11692</v>
      </c>
      <c r="AC3532" s="462" t="s">
        <v>11693</v>
      </c>
      <c r="AD3532" s="464">
        <v>0</v>
      </c>
      <c r="AE3532" s="465">
        <v>4.4242999999999997</v>
      </c>
      <c r="AF3532" s="86">
        <f>IF(verze!$E$1="CZK",AD3532,IF(verze!$E$1="SK",AE3532,""))</f>
        <v>4.4242999999999997</v>
      </c>
    </row>
    <row r="3533" spans="27:32" ht="15">
      <c r="AA3533" s="463" t="s">
        <v>11691</v>
      </c>
      <c r="AB3533" s="462" t="s">
        <v>11694</v>
      </c>
      <c r="AC3533" s="462" t="s">
        <v>11695</v>
      </c>
      <c r="AD3533" s="464">
        <v>92.545590000000004</v>
      </c>
      <c r="AE3533" s="465">
        <v>4.4517699999999998</v>
      </c>
      <c r="AF3533" s="86">
        <f>IF(verze!$E$1="CZK",AD3533,IF(verze!$E$1="SK",AE3533,""))</f>
        <v>4.4517699999999998</v>
      </c>
    </row>
    <row r="3534" spans="27:32" ht="15">
      <c r="AA3534" s="463" t="s">
        <v>11696</v>
      </c>
      <c r="AB3534" s="462" t="s">
        <v>11697</v>
      </c>
      <c r="AC3534" s="462" t="s">
        <v>11698</v>
      </c>
      <c r="AD3534" s="464">
        <v>97.629769999999994</v>
      </c>
      <c r="AE3534" s="465">
        <v>4.6963400000000002</v>
      </c>
      <c r="AF3534" s="86">
        <f>IF(verze!$E$1="CZK",AD3534,IF(verze!$E$1="SK",AE3534,""))</f>
        <v>4.6963400000000002</v>
      </c>
    </row>
    <row r="3535" spans="27:32" ht="15">
      <c r="AA3535" s="463" t="s">
        <v>11699</v>
      </c>
      <c r="AB3535" s="462" t="s">
        <v>11700</v>
      </c>
      <c r="AC3535" s="462" t="s">
        <v>11701</v>
      </c>
      <c r="AD3535" s="464">
        <v>97.629769999999994</v>
      </c>
      <c r="AE3535" s="465">
        <v>4.6963400000000002</v>
      </c>
      <c r="AF3535" s="86">
        <f>IF(verze!$E$1="CZK",AD3535,IF(verze!$E$1="SK",AE3535,""))</f>
        <v>4.6963400000000002</v>
      </c>
    </row>
    <row r="3536" spans="27:32" ht="15">
      <c r="AA3536" s="463" t="s">
        <v>11702</v>
      </c>
      <c r="AB3536" s="462" t="s">
        <v>11703</v>
      </c>
      <c r="AC3536" s="462" t="s">
        <v>11704</v>
      </c>
      <c r="AD3536" s="464">
        <v>98.569069999999996</v>
      </c>
      <c r="AE3536" s="465">
        <v>4.6391200000000001</v>
      </c>
      <c r="AF3536" s="86">
        <f>IF(verze!$E$1="CZK",AD3536,IF(verze!$E$1="SK",AE3536,""))</f>
        <v>4.6391200000000001</v>
      </c>
    </row>
    <row r="3537" spans="27:32" ht="15">
      <c r="AA3537" s="463" t="s">
        <v>11702</v>
      </c>
      <c r="AB3537" s="462" t="s">
        <v>11705</v>
      </c>
      <c r="AC3537" s="462" t="s">
        <v>11706</v>
      </c>
      <c r="AD3537" s="464">
        <v>92.362089999999995</v>
      </c>
      <c r="AE3537" s="465">
        <v>3.22079</v>
      </c>
      <c r="AF3537" s="86">
        <f>IF(verze!$E$1="CZK",AD3537,IF(verze!$E$1="SK",AE3537,""))</f>
        <v>3.22079</v>
      </c>
    </row>
    <row r="3538" spans="27:32" ht="15">
      <c r="AA3538" s="463" t="s">
        <v>11707</v>
      </c>
      <c r="AB3538" s="462" t="s">
        <v>11708</v>
      </c>
      <c r="AC3538" s="462" t="s">
        <v>11709</v>
      </c>
      <c r="AD3538" s="464">
        <v>98.569069999999996</v>
      </c>
      <c r="AE3538" s="465">
        <v>4.6391200000000001</v>
      </c>
      <c r="AF3538" s="86">
        <f>IF(verze!$E$1="CZK",AD3538,IF(verze!$E$1="SK",AE3538,""))</f>
        <v>4.6391200000000001</v>
      </c>
    </row>
    <row r="3539" spans="27:32" ht="15">
      <c r="AA3539" s="463" t="s">
        <v>11707</v>
      </c>
      <c r="AB3539" s="462" t="s">
        <v>11710</v>
      </c>
      <c r="AC3539" s="462" t="s">
        <v>11711</v>
      </c>
      <c r="AD3539" s="464">
        <v>92.362089999999995</v>
      </c>
      <c r="AE3539" s="465">
        <v>3.22079</v>
      </c>
      <c r="AF3539" s="86">
        <f>IF(verze!$E$1="CZK",AD3539,IF(verze!$E$1="SK",AE3539,""))</f>
        <v>3.22079</v>
      </c>
    </row>
    <row r="3540" spans="27:32" ht="15">
      <c r="AA3540" s="463" t="s">
        <v>11712</v>
      </c>
      <c r="AB3540" s="462" t="s">
        <v>11713</v>
      </c>
      <c r="AC3540" s="462" t="s">
        <v>11714</v>
      </c>
      <c r="AD3540" s="464">
        <v>102.1049</v>
      </c>
      <c r="AE3540" s="465">
        <v>4.8055199999999996</v>
      </c>
      <c r="AF3540" s="86">
        <f>IF(verze!$E$1="CZK",AD3540,IF(verze!$E$1="SK",AE3540,""))</f>
        <v>4.8055199999999996</v>
      </c>
    </row>
    <row r="3541" spans="27:32" ht="15">
      <c r="AA3541" s="463" t="s">
        <v>11715</v>
      </c>
      <c r="AB3541" s="462" t="s">
        <v>11716</v>
      </c>
      <c r="AC3541" s="462" t="s">
        <v>11717</v>
      </c>
      <c r="AD3541" s="464">
        <v>102.1049</v>
      </c>
      <c r="AE3541" s="465">
        <v>4.8055199999999996</v>
      </c>
      <c r="AF3541" s="86">
        <f>IF(verze!$E$1="CZK",AD3541,IF(verze!$E$1="SK",AE3541,""))</f>
        <v>4.8055199999999996</v>
      </c>
    </row>
    <row r="3542" spans="27:32" ht="15">
      <c r="AA3542" s="463" t="s">
        <v>11718</v>
      </c>
      <c r="AB3542" s="462" t="s">
        <v>11719</v>
      </c>
      <c r="AC3542" s="462" t="s">
        <v>11720</v>
      </c>
      <c r="AD3542" s="464">
        <v>112.15963000000001</v>
      </c>
      <c r="AE3542" s="465">
        <v>5.3952799999999996</v>
      </c>
      <c r="AF3542" s="86">
        <f>IF(verze!$E$1="CZK",AD3542,IF(verze!$E$1="SK",AE3542,""))</f>
        <v>5.3952799999999996</v>
      </c>
    </row>
    <row r="3543" spans="27:32" ht="15">
      <c r="AA3543" s="463" t="s">
        <v>11721</v>
      </c>
      <c r="AB3543" s="462" t="s">
        <v>11722</v>
      </c>
      <c r="AC3543" s="462" t="s">
        <v>11723</v>
      </c>
      <c r="AD3543" s="464">
        <v>112.15963000000001</v>
      </c>
      <c r="AE3543" s="465">
        <v>5.3952799999999996</v>
      </c>
      <c r="AF3543" s="86">
        <f>IF(verze!$E$1="CZK",AD3543,IF(verze!$E$1="SK",AE3543,""))</f>
        <v>5.3952799999999996</v>
      </c>
    </row>
    <row r="3544" spans="27:32" ht="15">
      <c r="AA3544" s="463" t="s">
        <v>11724</v>
      </c>
      <c r="AB3544" s="462" t="s">
        <v>11725</v>
      </c>
      <c r="AC3544" s="462" t="s">
        <v>11726</v>
      </c>
      <c r="AD3544" s="464">
        <v>0</v>
      </c>
      <c r="AE3544" s="465">
        <v>4.4242999999999997</v>
      </c>
      <c r="AF3544" s="86">
        <f>IF(verze!$E$1="CZK",AD3544,IF(verze!$E$1="SK",AE3544,""))</f>
        <v>4.4242999999999997</v>
      </c>
    </row>
    <row r="3545" spans="27:32" ht="15">
      <c r="AA3545" s="463" t="s">
        <v>11724</v>
      </c>
      <c r="AB3545" s="462" t="s">
        <v>11727</v>
      </c>
      <c r="AC3545" s="462" t="s">
        <v>11728</v>
      </c>
      <c r="AD3545" s="464">
        <v>92.545590000000004</v>
      </c>
      <c r="AE3545" s="465">
        <v>4.4517699999999998</v>
      </c>
      <c r="AF3545" s="86">
        <f>IF(verze!$E$1="CZK",AD3545,IF(verze!$E$1="SK",AE3545,""))</f>
        <v>4.4517699999999998</v>
      </c>
    </row>
    <row r="3546" spans="27:32" ht="15">
      <c r="AA3546" s="463" t="s">
        <v>11729</v>
      </c>
      <c r="AB3546" s="462" t="s">
        <v>11730</v>
      </c>
      <c r="AC3546" s="462" t="s">
        <v>11731</v>
      </c>
      <c r="AD3546" s="464">
        <v>92.545590000000004</v>
      </c>
      <c r="AE3546" s="465">
        <v>4.4517699999999998</v>
      </c>
      <c r="AF3546" s="86">
        <f>IF(verze!$E$1="CZK",AD3546,IF(verze!$E$1="SK",AE3546,""))</f>
        <v>4.4517699999999998</v>
      </c>
    </row>
    <row r="3547" spans="27:32" ht="15">
      <c r="AA3547" s="463" t="s">
        <v>11732</v>
      </c>
      <c r="AB3547" s="462" t="s">
        <v>11733</v>
      </c>
      <c r="AC3547" s="462" t="s">
        <v>11734</v>
      </c>
      <c r="AD3547" s="464">
        <v>0</v>
      </c>
      <c r="AE3547" s="465">
        <v>4.4242999999999997</v>
      </c>
      <c r="AF3547" s="86">
        <f>IF(verze!$E$1="CZK",AD3547,IF(verze!$E$1="SK",AE3547,""))</f>
        <v>4.4242999999999997</v>
      </c>
    </row>
    <row r="3548" spans="27:32" ht="15">
      <c r="AA3548" s="463" t="s">
        <v>11732</v>
      </c>
      <c r="AB3548" s="462" t="s">
        <v>11735</v>
      </c>
      <c r="AC3548" s="462" t="s">
        <v>11736</v>
      </c>
      <c r="AD3548" s="464">
        <v>92.545590000000004</v>
      </c>
      <c r="AE3548" s="465">
        <v>4.4517699999999998</v>
      </c>
      <c r="AF3548" s="86">
        <f>IF(verze!$E$1="CZK",AD3548,IF(verze!$E$1="SK",AE3548,""))</f>
        <v>4.4517699999999998</v>
      </c>
    </row>
    <row r="3549" spans="27:32" ht="15">
      <c r="AA3549" s="463" t="s">
        <v>11737</v>
      </c>
      <c r="AB3549" s="462" t="s">
        <v>11738</v>
      </c>
      <c r="AC3549" s="462" t="s">
        <v>11739</v>
      </c>
      <c r="AD3549" s="464">
        <v>0</v>
      </c>
      <c r="AE3549" s="465">
        <v>4.4242999999999997</v>
      </c>
      <c r="AF3549" s="86">
        <f>IF(verze!$E$1="CZK",AD3549,IF(verze!$E$1="SK",AE3549,""))</f>
        <v>4.4242999999999997</v>
      </c>
    </row>
    <row r="3550" spans="27:32" ht="15">
      <c r="AA3550" s="463" t="s">
        <v>11737</v>
      </c>
      <c r="AB3550" s="462" t="s">
        <v>11740</v>
      </c>
      <c r="AC3550" s="462" t="s">
        <v>11741</v>
      </c>
      <c r="AD3550" s="464">
        <v>92.545590000000004</v>
      </c>
      <c r="AE3550" s="465">
        <v>4.4517699999999998</v>
      </c>
      <c r="AF3550" s="86">
        <f>IF(verze!$E$1="CZK",AD3550,IF(verze!$E$1="SK",AE3550,""))</f>
        <v>4.4517699999999998</v>
      </c>
    </row>
    <row r="3551" spans="27:32" ht="15">
      <c r="AA3551" s="463" t="s">
        <v>11742</v>
      </c>
      <c r="AB3551" s="462" t="s">
        <v>11743</v>
      </c>
      <c r="AC3551" s="462" t="s">
        <v>11744</v>
      </c>
      <c r="AD3551" s="464">
        <v>0</v>
      </c>
      <c r="AE3551" s="465">
        <v>4.4242999999999997</v>
      </c>
      <c r="AF3551" s="86">
        <f>IF(verze!$E$1="CZK",AD3551,IF(verze!$E$1="SK",AE3551,""))</f>
        <v>4.4242999999999997</v>
      </c>
    </row>
    <row r="3552" spans="27:32" ht="15">
      <c r="AA3552" s="463" t="s">
        <v>11742</v>
      </c>
      <c r="AB3552" s="462" t="s">
        <v>11745</v>
      </c>
      <c r="AC3552" s="462" t="s">
        <v>11746</v>
      </c>
      <c r="AD3552" s="464">
        <v>92.545590000000004</v>
      </c>
      <c r="AE3552" s="465">
        <v>4.4517699999999998</v>
      </c>
      <c r="AF3552" s="86">
        <f>IF(verze!$E$1="CZK",AD3552,IF(verze!$E$1="SK",AE3552,""))</f>
        <v>4.4517699999999998</v>
      </c>
    </row>
    <row r="3553" spans="27:32" ht="15">
      <c r="AA3553" s="463" t="s">
        <v>11747</v>
      </c>
      <c r="AB3553" s="462" t="s">
        <v>11748</v>
      </c>
      <c r="AC3553" s="462" t="s">
        <v>11749</v>
      </c>
      <c r="AD3553" s="464">
        <v>0</v>
      </c>
      <c r="AE3553" s="465">
        <v>4.4242999999999997</v>
      </c>
      <c r="AF3553" s="86">
        <f>IF(verze!$E$1="CZK",AD3553,IF(verze!$E$1="SK",AE3553,""))</f>
        <v>4.4242999999999997</v>
      </c>
    </row>
    <row r="3554" spans="27:32" ht="15">
      <c r="AA3554" s="463" t="s">
        <v>11747</v>
      </c>
      <c r="AB3554" s="462" t="s">
        <v>11750</v>
      </c>
      <c r="AC3554" s="462" t="s">
        <v>11751</v>
      </c>
      <c r="AD3554" s="464">
        <v>92.545590000000004</v>
      </c>
      <c r="AE3554" s="465">
        <v>4.4517699999999998</v>
      </c>
      <c r="AF3554" s="86">
        <f>IF(verze!$E$1="CZK",AD3554,IF(verze!$E$1="SK",AE3554,""))</f>
        <v>4.4517699999999998</v>
      </c>
    </row>
    <row r="3555" spans="27:32" ht="15">
      <c r="AA3555" s="463" t="s">
        <v>11752</v>
      </c>
      <c r="AB3555" s="462" t="s">
        <v>11753</v>
      </c>
      <c r="AC3555" s="462" t="s">
        <v>11754</v>
      </c>
      <c r="AD3555" s="464">
        <v>0</v>
      </c>
      <c r="AE3555" s="465">
        <v>4.6673600000000004</v>
      </c>
      <c r="AF3555" s="86">
        <f>IF(verze!$E$1="CZK",AD3555,IF(verze!$E$1="SK",AE3555,""))</f>
        <v>4.6673600000000004</v>
      </c>
    </row>
    <row r="3556" spans="27:32" ht="15">
      <c r="AA3556" s="463" t="s">
        <v>11752</v>
      </c>
      <c r="AB3556" s="462" t="s">
        <v>11755</v>
      </c>
      <c r="AC3556" s="462" t="s">
        <v>11756</v>
      </c>
      <c r="AD3556" s="464">
        <v>97.629769999999994</v>
      </c>
      <c r="AE3556" s="465">
        <v>4.6963400000000002</v>
      </c>
      <c r="AF3556" s="86">
        <f>IF(verze!$E$1="CZK",AD3556,IF(verze!$E$1="SK",AE3556,""))</f>
        <v>4.6963400000000002</v>
      </c>
    </row>
    <row r="3557" spans="27:32" ht="15">
      <c r="AA3557" s="463" t="s">
        <v>11757</v>
      </c>
      <c r="AB3557" s="462" t="s">
        <v>11758</v>
      </c>
      <c r="AC3557" s="462" t="s">
        <v>11759</v>
      </c>
      <c r="AD3557" s="464">
        <v>0</v>
      </c>
      <c r="AE3557" s="465">
        <v>4.6673600000000004</v>
      </c>
      <c r="AF3557" s="86">
        <f>IF(verze!$E$1="CZK",AD3557,IF(verze!$E$1="SK",AE3557,""))</f>
        <v>4.6673600000000004</v>
      </c>
    </row>
    <row r="3558" spans="27:32" ht="15">
      <c r="AA3558" s="463" t="s">
        <v>11757</v>
      </c>
      <c r="AB3558" s="462" t="s">
        <v>11760</v>
      </c>
      <c r="AC3558" s="462" t="s">
        <v>11761</v>
      </c>
      <c r="AD3558" s="464">
        <v>97.629769999999994</v>
      </c>
      <c r="AE3558" s="465">
        <v>4.6963400000000002</v>
      </c>
      <c r="AF3558" s="86">
        <f>IF(verze!$E$1="CZK",AD3558,IF(verze!$E$1="SK",AE3558,""))</f>
        <v>4.6963400000000002</v>
      </c>
    </row>
    <row r="3559" spans="27:32" ht="15">
      <c r="AA3559" s="463" t="s">
        <v>11762</v>
      </c>
      <c r="AB3559" s="462" t="s">
        <v>11763</v>
      </c>
      <c r="AC3559" s="462" t="s">
        <v>11764</v>
      </c>
      <c r="AD3559" s="464">
        <v>98.569069999999996</v>
      </c>
      <c r="AE3559" s="465">
        <v>4.6391200000000001</v>
      </c>
      <c r="AF3559" s="86">
        <f>IF(verze!$E$1="CZK",AD3559,IF(verze!$E$1="SK",AE3559,""))</f>
        <v>4.6391200000000001</v>
      </c>
    </row>
    <row r="3560" spans="27:32" ht="15">
      <c r="AA3560" s="463" t="s">
        <v>11762</v>
      </c>
      <c r="AB3560" s="462" t="s">
        <v>11765</v>
      </c>
      <c r="AC3560" s="462" t="s">
        <v>11766</v>
      </c>
      <c r="AD3560" s="464">
        <v>92.362089999999995</v>
      </c>
      <c r="AE3560" s="465">
        <v>3.25718</v>
      </c>
      <c r="AF3560" s="86">
        <f>IF(verze!$E$1="CZK",AD3560,IF(verze!$E$1="SK",AE3560,""))</f>
        <v>3.25718</v>
      </c>
    </row>
    <row r="3561" spans="27:32" ht="15">
      <c r="AA3561" s="463" t="s">
        <v>11767</v>
      </c>
      <c r="AB3561" s="462" t="s">
        <v>11768</v>
      </c>
      <c r="AC3561" s="462" t="s">
        <v>11769</v>
      </c>
      <c r="AD3561" s="464">
        <v>98.569069999999996</v>
      </c>
      <c r="AE3561" s="465">
        <v>4.6391200000000001</v>
      </c>
      <c r="AF3561" s="86">
        <f>IF(verze!$E$1="CZK",AD3561,IF(verze!$E$1="SK",AE3561,""))</f>
        <v>4.6391200000000001</v>
      </c>
    </row>
    <row r="3562" spans="27:32" ht="15">
      <c r="AA3562" s="463" t="s">
        <v>11767</v>
      </c>
      <c r="AB3562" s="462" t="s">
        <v>11770</v>
      </c>
      <c r="AC3562" s="462" t="s">
        <v>11771</v>
      </c>
      <c r="AD3562" s="464">
        <v>92.362089999999995</v>
      </c>
      <c r="AE3562" s="465">
        <v>3.25718</v>
      </c>
      <c r="AF3562" s="86">
        <f>IF(verze!$E$1="CZK",AD3562,IF(verze!$E$1="SK",AE3562,""))</f>
        <v>3.25718</v>
      </c>
    </row>
    <row r="3563" spans="27:32" ht="15">
      <c r="AA3563" s="463" t="s">
        <v>11772</v>
      </c>
      <c r="AB3563" s="462" t="s">
        <v>11773</v>
      </c>
      <c r="AC3563" s="462" t="s">
        <v>11774</v>
      </c>
      <c r="AD3563" s="464">
        <v>102.1049</v>
      </c>
      <c r="AE3563" s="465">
        <v>4.8055199999999996</v>
      </c>
      <c r="AF3563" s="86">
        <f>IF(verze!$E$1="CZK",AD3563,IF(verze!$E$1="SK",AE3563,""))</f>
        <v>4.8055199999999996</v>
      </c>
    </row>
    <row r="3564" spans="27:32" ht="15">
      <c r="AA3564" s="463" t="s">
        <v>11775</v>
      </c>
      <c r="AB3564" s="462" t="s">
        <v>11776</v>
      </c>
      <c r="AC3564" s="462" t="s">
        <v>11777</v>
      </c>
      <c r="AD3564" s="464">
        <v>102.1049</v>
      </c>
      <c r="AE3564" s="465">
        <v>4.8055199999999996</v>
      </c>
      <c r="AF3564" s="86">
        <f>IF(verze!$E$1="CZK",AD3564,IF(verze!$E$1="SK",AE3564,""))</f>
        <v>4.8055199999999996</v>
      </c>
    </row>
    <row r="3565" spans="27:32" ht="15">
      <c r="AA3565" s="463" t="s">
        <v>11778</v>
      </c>
      <c r="AB3565" s="462" t="s">
        <v>11779</v>
      </c>
      <c r="AC3565" s="462" t="s">
        <v>11780</v>
      </c>
      <c r="AD3565" s="464">
        <v>112.15963000000001</v>
      </c>
      <c r="AE3565" s="465">
        <v>5.3952799999999996</v>
      </c>
      <c r="AF3565" s="86">
        <f>IF(verze!$E$1="CZK",AD3565,IF(verze!$E$1="SK",AE3565,""))</f>
        <v>5.3952799999999996</v>
      </c>
    </row>
    <row r="3566" spans="27:32" ht="15">
      <c r="AA3566" s="463" t="s">
        <v>11781</v>
      </c>
      <c r="AB3566" s="462" t="s">
        <v>11782</v>
      </c>
      <c r="AC3566" s="462" t="s">
        <v>11783</v>
      </c>
      <c r="AD3566" s="464">
        <v>112.15963000000001</v>
      </c>
      <c r="AE3566" s="465">
        <v>5.3952799999999996</v>
      </c>
      <c r="AF3566" s="86">
        <f>IF(verze!$E$1="CZK",AD3566,IF(verze!$E$1="SK",AE3566,""))</f>
        <v>5.3952799999999996</v>
      </c>
    </row>
    <row r="3567" spans="27:32" ht="15">
      <c r="AA3567" s="463" t="s">
        <v>11784</v>
      </c>
      <c r="AB3567" s="462" t="s">
        <v>11785</v>
      </c>
      <c r="AC3567" s="462" t="s">
        <v>11786</v>
      </c>
      <c r="AD3567" s="464">
        <v>0</v>
      </c>
      <c r="AE3567" s="465">
        <v>4.4242999999999997</v>
      </c>
      <c r="AF3567" s="86">
        <f>IF(verze!$E$1="CZK",AD3567,IF(verze!$E$1="SK",AE3567,""))</f>
        <v>4.4242999999999997</v>
      </c>
    </row>
    <row r="3568" spans="27:32" ht="15">
      <c r="AA3568" s="463" t="s">
        <v>11784</v>
      </c>
      <c r="AB3568" s="462" t="s">
        <v>11787</v>
      </c>
      <c r="AC3568" s="462" t="s">
        <v>11788</v>
      </c>
      <c r="AD3568" s="464">
        <v>92.545590000000004</v>
      </c>
      <c r="AE3568" s="465">
        <v>4.4517699999999998</v>
      </c>
      <c r="AF3568" s="86">
        <f>IF(verze!$E$1="CZK",AD3568,IF(verze!$E$1="SK",AE3568,""))</f>
        <v>4.4517699999999998</v>
      </c>
    </row>
    <row r="3569" spans="27:32" ht="15">
      <c r="AA3569" s="463" t="s">
        <v>11789</v>
      </c>
      <c r="AB3569" s="462" t="s">
        <v>11790</v>
      </c>
      <c r="AC3569" s="462" t="s">
        <v>11791</v>
      </c>
      <c r="AD3569" s="464">
        <v>0</v>
      </c>
      <c r="AE3569" s="465">
        <v>4.4242999999999997</v>
      </c>
      <c r="AF3569" s="86">
        <f>IF(verze!$E$1="CZK",AD3569,IF(verze!$E$1="SK",AE3569,""))</f>
        <v>4.4242999999999997</v>
      </c>
    </row>
    <row r="3570" spans="27:32" ht="15">
      <c r="AA3570" s="463" t="s">
        <v>11789</v>
      </c>
      <c r="AB3570" s="462" t="s">
        <v>11792</v>
      </c>
      <c r="AC3570" s="462" t="s">
        <v>11793</v>
      </c>
      <c r="AD3570" s="464">
        <v>92.545590000000004</v>
      </c>
      <c r="AE3570" s="465">
        <v>4.4517699999999998</v>
      </c>
      <c r="AF3570" s="86">
        <f>IF(verze!$E$1="CZK",AD3570,IF(verze!$E$1="SK",AE3570,""))</f>
        <v>4.4517699999999998</v>
      </c>
    </row>
    <row r="3571" spans="27:32" ht="15">
      <c r="AA3571" s="463" t="s">
        <v>11794</v>
      </c>
      <c r="AB3571" s="462" t="s">
        <v>11795</v>
      </c>
      <c r="AC3571" s="462" t="s">
        <v>11796</v>
      </c>
      <c r="AD3571" s="464">
        <v>0</v>
      </c>
      <c r="AE3571" s="465">
        <v>4.4242999999999997</v>
      </c>
      <c r="AF3571" s="86">
        <f>IF(verze!$E$1="CZK",AD3571,IF(verze!$E$1="SK",AE3571,""))</f>
        <v>4.4242999999999997</v>
      </c>
    </row>
    <row r="3572" spans="27:32" ht="15">
      <c r="AA3572" s="463" t="s">
        <v>11794</v>
      </c>
      <c r="AB3572" s="462" t="s">
        <v>11797</v>
      </c>
      <c r="AC3572" s="462" t="s">
        <v>11798</v>
      </c>
      <c r="AD3572" s="464">
        <v>92.545590000000004</v>
      </c>
      <c r="AE3572" s="465">
        <v>4.4517699999999998</v>
      </c>
      <c r="AF3572" s="86">
        <f>IF(verze!$E$1="CZK",AD3572,IF(verze!$E$1="SK",AE3572,""))</f>
        <v>4.4517699999999998</v>
      </c>
    </row>
    <row r="3573" spans="27:32" ht="15">
      <c r="AA3573" s="463" t="s">
        <v>11799</v>
      </c>
      <c r="AB3573" s="462" t="s">
        <v>11800</v>
      </c>
      <c r="AC3573" s="462" t="s">
        <v>11801</v>
      </c>
      <c r="AD3573" s="464">
        <v>0</v>
      </c>
      <c r="AE3573" s="465">
        <v>4.4242999999999997</v>
      </c>
      <c r="AF3573" s="86">
        <f>IF(verze!$E$1="CZK",AD3573,IF(verze!$E$1="SK",AE3573,""))</f>
        <v>4.4242999999999997</v>
      </c>
    </row>
    <row r="3574" spans="27:32" ht="15">
      <c r="AA3574" s="463" t="s">
        <v>11799</v>
      </c>
      <c r="AB3574" s="462" t="s">
        <v>11802</v>
      </c>
      <c r="AC3574" s="462" t="s">
        <v>11803</v>
      </c>
      <c r="AD3574" s="464">
        <v>92.545590000000004</v>
      </c>
      <c r="AE3574" s="465">
        <v>4.4517699999999998</v>
      </c>
      <c r="AF3574" s="86">
        <f>IF(verze!$E$1="CZK",AD3574,IF(verze!$E$1="SK",AE3574,""))</f>
        <v>4.4517699999999998</v>
      </c>
    </row>
    <row r="3575" spans="27:32" ht="15">
      <c r="AA3575" s="463" t="s">
        <v>11804</v>
      </c>
      <c r="AB3575" s="462" t="s">
        <v>11805</v>
      </c>
      <c r="AC3575" s="462" t="s">
        <v>11806</v>
      </c>
      <c r="AD3575" s="464">
        <v>0</v>
      </c>
      <c r="AE3575" s="465">
        <v>4.4242999999999997</v>
      </c>
      <c r="AF3575" s="86">
        <f>IF(verze!$E$1="CZK",AD3575,IF(verze!$E$1="SK",AE3575,""))</f>
        <v>4.4242999999999997</v>
      </c>
    </row>
    <row r="3576" spans="27:32" ht="15">
      <c r="AA3576" s="463" t="s">
        <v>11804</v>
      </c>
      <c r="AB3576" s="462" t="s">
        <v>11807</v>
      </c>
      <c r="AC3576" s="462" t="s">
        <v>11808</v>
      </c>
      <c r="AD3576" s="464">
        <v>92.545590000000004</v>
      </c>
      <c r="AE3576" s="465">
        <v>4.4517699999999998</v>
      </c>
      <c r="AF3576" s="86">
        <f>IF(verze!$E$1="CZK",AD3576,IF(verze!$E$1="SK",AE3576,""))</f>
        <v>4.4517699999999998</v>
      </c>
    </row>
    <row r="3577" spans="27:32" ht="15">
      <c r="AA3577" s="463" t="s">
        <v>11809</v>
      </c>
      <c r="AB3577" s="462" t="s">
        <v>11810</v>
      </c>
      <c r="AC3577" s="462" t="s">
        <v>11811</v>
      </c>
      <c r="AD3577" s="464">
        <v>0</v>
      </c>
      <c r="AE3577" s="465">
        <v>4.4242999999999997</v>
      </c>
      <c r="AF3577" s="86">
        <f>IF(verze!$E$1="CZK",AD3577,IF(verze!$E$1="SK",AE3577,""))</f>
        <v>4.4242999999999997</v>
      </c>
    </row>
    <row r="3578" spans="27:32" ht="15">
      <c r="AA3578" s="463" t="s">
        <v>11809</v>
      </c>
      <c r="AB3578" s="462" t="s">
        <v>11812</v>
      </c>
      <c r="AC3578" s="462" t="s">
        <v>11813</v>
      </c>
      <c r="AD3578" s="464">
        <v>92.545590000000004</v>
      </c>
      <c r="AE3578" s="465">
        <v>4.4517699999999998</v>
      </c>
      <c r="AF3578" s="86">
        <f>IF(verze!$E$1="CZK",AD3578,IF(verze!$E$1="SK",AE3578,""))</f>
        <v>4.4517699999999998</v>
      </c>
    </row>
    <row r="3579" spans="27:32" ht="15">
      <c r="AA3579" s="463" t="s">
        <v>11814</v>
      </c>
      <c r="AB3579" s="462" t="s">
        <v>11815</v>
      </c>
      <c r="AC3579" s="462" t="s">
        <v>11816</v>
      </c>
      <c r="AD3579" s="464">
        <v>0</v>
      </c>
      <c r="AE3579" s="465">
        <v>4.6673600000000004</v>
      </c>
      <c r="AF3579" s="86">
        <f>IF(verze!$E$1="CZK",AD3579,IF(verze!$E$1="SK",AE3579,""))</f>
        <v>4.6673600000000004</v>
      </c>
    </row>
    <row r="3580" spans="27:32" ht="15">
      <c r="AA3580" s="463" t="s">
        <v>11814</v>
      </c>
      <c r="AB3580" s="462" t="s">
        <v>11817</v>
      </c>
      <c r="AC3580" s="462" t="s">
        <v>11818</v>
      </c>
      <c r="AD3580" s="464">
        <v>97.629769999999994</v>
      </c>
      <c r="AE3580" s="465">
        <v>4.6963400000000002</v>
      </c>
      <c r="AF3580" s="86">
        <f>IF(verze!$E$1="CZK",AD3580,IF(verze!$E$1="SK",AE3580,""))</f>
        <v>4.6963400000000002</v>
      </c>
    </row>
    <row r="3581" spans="27:32" ht="15">
      <c r="AA3581" s="463" t="s">
        <v>11819</v>
      </c>
      <c r="AB3581" s="462" t="s">
        <v>11820</v>
      </c>
      <c r="AC3581" s="462" t="s">
        <v>11821</v>
      </c>
      <c r="AD3581" s="464">
        <v>0</v>
      </c>
      <c r="AE3581" s="465">
        <v>4.6673600000000004</v>
      </c>
      <c r="AF3581" s="86">
        <f>IF(verze!$E$1="CZK",AD3581,IF(verze!$E$1="SK",AE3581,""))</f>
        <v>4.6673600000000004</v>
      </c>
    </row>
    <row r="3582" spans="27:32" ht="15">
      <c r="AA3582" s="463" t="s">
        <v>11819</v>
      </c>
      <c r="AB3582" s="462" t="s">
        <v>11822</v>
      </c>
      <c r="AC3582" s="462" t="s">
        <v>11823</v>
      </c>
      <c r="AD3582" s="464">
        <v>97.629769999999994</v>
      </c>
      <c r="AE3582" s="465">
        <v>4.6963400000000002</v>
      </c>
      <c r="AF3582" s="86">
        <f>IF(verze!$E$1="CZK",AD3582,IF(verze!$E$1="SK",AE3582,""))</f>
        <v>4.6963400000000002</v>
      </c>
    </row>
    <row r="3583" spans="27:32" ht="15">
      <c r="AA3583" s="463" t="s">
        <v>11824</v>
      </c>
      <c r="AB3583" s="462" t="s">
        <v>11825</v>
      </c>
      <c r="AC3583" s="462" t="s">
        <v>11826</v>
      </c>
      <c r="AD3583" s="464">
        <v>94.885649999999998</v>
      </c>
      <c r="AE3583" s="465">
        <v>4.5643500000000001</v>
      </c>
      <c r="AF3583" s="86">
        <f>IF(verze!$E$1="CZK",AD3583,IF(verze!$E$1="SK",AE3583,""))</f>
        <v>4.5643500000000001</v>
      </c>
    </row>
    <row r="3584" spans="27:32" ht="15">
      <c r="AA3584" s="463" t="s">
        <v>11824</v>
      </c>
      <c r="AB3584" s="462" t="s">
        <v>11827</v>
      </c>
      <c r="AC3584" s="462" t="s">
        <v>11828</v>
      </c>
      <c r="AD3584" s="464">
        <v>98.569069999999996</v>
      </c>
      <c r="AE3584" s="465">
        <v>4.6391200000000001</v>
      </c>
      <c r="AF3584" s="86">
        <f>IF(verze!$E$1="CZK",AD3584,IF(verze!$E$1="SK",AE3584,""))</f>
        <v>4.6391200000000001</v>
      </c>
    </row>
    <row r="3585" spans="27:32" ht="15">
      <c r="AA3585" s="463" t="s">
        <v>11829</v>
      </c>
      <c r="AB3585" s="462" t="s">
        <v>11830</v>
      </c>
      <c r="AC3585" s="462" t="s">
        <v>11831</v>
      </c>
      <c r="AD3585" s="464">
        <v>94.885649999999998</v>
      </c>
      <c r="AE3585" s="465">
        <v>4.5643500000000001</v>
      </c>
      <c r="AF3585" s="86">
        <f>IF(verze!$E$1="CZK",AD3585,IF(verze!$E$1="SK",AE3585,""))</f>
        <v>4.5643500000000001</v>
      </c>
    </row>
    <row r="3586" spans="27:32" ht="15">
      <c r="AA3586" s="463" t="s">
        <v>11829</v>
      </c>
      <c r="AB3586" s="462" t="s">
        <v>11832</v>
      </c>
      <c r="AC3586" s="462" t="s">
        <v>11833</v>
      </c>
      <c r="AD3586" s="464">
        <v>98.569069999999996</v>
      </c>
      <c r="AE3586" s="465">
        <v>4.6391200000000001</v>
      </c>
      <c r="AF3586" s="86">
        <f>IF(verze!$E$1="CZK",AD3586,IF(verze!$E$1="SK",AE3586,""))</f>
        <v>4.6391200000000001</v>
      </c>
    </row>
    <row r="3587" spans="27:32" ht="15">
      <c r="AA3587" s="463" t="s">
        <v>11834</v>
      </c>
      <c r="AB3587" s="462" t="s">
        <v>11835</v>
      </c>
      <c r="AC3587" s="462" t="s">
        <v>11836</v>
      </c>
      <c r="AD3587" s="464">
        <v>102.1049</v>
      </c>
      <c r="AE3587" s="465">
        <v>4.8055199999999996</v>
      </c>
      <c r="AF3587" s="86">
        <f>IF(verze!$E$1="CZK",AD3587,IF(verze!$E$1="SK",AE3587,""))</f>
        <v>4.8055199999999996</v>
      </c>
    </row>
    <row r="3588" spans="27:32" ht="15">
      <c r="AA3588" s="463" t="s">
        <v>11837</v>
      </c>
      <c r="AB3588" s="462" t="s">
        <v>11838</v>
      </c>
      <c r="AC3588" s="462" t="s">
        <v>11839</v>
      </c>
      <c r="AD3588" s="464">
        <v>102.1049</v>
      </c>
      <c r="AE3588" s="465">
        <v>4.8055199999999996</v>
      </c>
      <c r="AF3588" s="86">
        <f>IF(verze!$E$1="CZK",AD3588,IF(verze!$E$1="SK",AE3588,""))</f>
        <v>4.8055199999999996</v>
      </c>
    </row>
    <row r="3589" spans="27:32" ht="15">
      <c r="AA3589" s="463" t="s">
        <v>11840</v>
      </c>
      <c r="AB3589" s="462" t="s">
        <v>11841</v>
      </c>
      <c r="AC3589" s="462" t="s">
        <v>11842</v>
      </c>
      <c r="AD3589" s="464">
        <v>112.15963000000001</v>
      </c>
      <c r="AE3589" s="465">
        <v>5.3952799999999996</v>
      </c>
      <c r="AF3589" s="86">
        <f>IF(verze!$E$1="CZK",AD3589,IF(verze!$E$1="SK",AE3589,""))</f>
        <v>5.3952799999999996</v>
      </c>
    </row>
    <row r="3590" spans="27:32" ht="15">
      <c r="AA3590" s="463" t="s">
        <v>11843</v>
      </c>
      <c r="AB3590" s="462" t="s">
        <v>11844</v>
      </c>
      <c r="AC3590" s="462" t="s">
        <v>11845</v>
      </c>
      <c r="AD3590" s="464">
        <v>112.15963000000001</v>
      </c>
      <c r="AE3590" s="465">
        <v>5.3952799999999996</v>
      </c>
      <c r="AF3590" s="86">
        <f>IF(verze!$E$1="CZK",AD3590,IF(verze!$E$1="SK",AE3590,""))</f>
        <v>5.3952799999999996</v>
      </c>
    </row>
    <row r="3591" spans="27:32" ht="15">
      <c r="AA3591" s="463" t="s">
        <v>11846</v>
      </c>
      <c r="AB3591" s="462" t="s">
        <v>11847</v>
      </c>
      <c r="AC3591" s="462" t="s">
        <v>11848</v>
      </c>
      <c r="AD3591" s="464">
        <v>181.93437</v>
      </c>
      <c r="AE3591" s="465">
        <v>8.7517099999999992</v>
      </c>
      <c r="AF3591" s="86">
        <f>IF(verze!$E$1="CZK",AD3591,IF(verze!$E$1="SK",AE3591,""))</f>
        <v>8.7517099999999992</v>
      </c>
    </row>
    <row r="3592" spans="27:32" ht="15">
      <c r="AA3592" s="463" t="s">
        <v>11849</v>
      </c>
      <c r="AB3592" s="462" t="s">
        <v>11850</v>
      </c>
      <c r="AC3592" s="462" t="s">
        <v>11851</v>
      </c>
      <c r="AD3592" s="464">
        <v>195.50603000000001</v>
      </c>
      <c r="AE3592" s="465">
        <v>9.4045400000000008</v>
      </c>
      <c r="AF3592" s="86">
        <f>IF(verze!$E$1="CZK",AD3592,IF(verze!$E$1="SK",AE3592,""))</f>
        <v>9.4045400000000008</v>
      </c>
    </row>
    <row r="3593" spans="27:32" ht="15">
      <c r="AA3593" s="463" t="s">
        <v>11852</v>
      </c>
      <c r="AB3593" s="462" t="s">
        <v>11853</v>
      </c>
      <c r="AC3593" s="462" t="s">
        <v>11854</v>
      </c>
      <c r="AD3593" s="464">
        <v>181.93437</v>
      </c>
      <c r="AE3593" s="465">
        <v>8.7517099999999992</v>
      </c>
      <c r="AF3593" s="86">
        <f>IF(verze!$E$1="CZK",AD3593,IF(verze!$E$1="SK",AE3593,""))</f>
        <v>8.7517099999999992</v>
      </c>
    </row>
    <row r="3594" spans="27:32" ht="15">
      <c r="AA3594" s="463" t="s">
        <v>11855</v>
      </c>
      <c r="AB3594" s="462" t="s">
        <v>11856</v>
      </c>
      <c r="AC3594" s="462" t="s">
        <v>11857</v>
      </c>
      <c r="AD3594" s="464">
        <v>195.50603000000001</v>
      </c>
      <c r="AE3594" s="465">
        <v>9.4045400000000008</v>
      </c>
      <c r="AF3594" s="86">
        <f>IF(verze!$E$1="CZK",AD3594,IF(verze!$E$1="SK",AE3594,""))</f>
        <v>9.4045400000000008</v>
      </c>
    </row>
    <row r="3595" spans="27:32" ht="15">
      <c r="AA3595" s="463" t="s">
        <v>11858</v>
      </c>
      <c r="AB3595" s="462" t="s">
        <v>11859</v>
      </c>
      <c r="AC3595" s="462" t="s">
        <v>11860</v>
      </c>
      <c r="AD3595" s="464">
        <v>304.32454999999999</v>
      </c>
      <c r="AE3595" s="465">
        <v>0</v>
      </c>
      <c r="AF3595" s="86">
        <f>IF(verze!$E$1="CZK",AD3595,IF(verze!$E$1="SK",AE3595,""))</f>
        <v>0</v>
      </c>
    </row>
    <row r="3596" spans="27:32" ht="15">
      <c r="AA3596" s="463" t="s">
        <v>11861</v>
      </c>
      <c r="AB3596" s="462" t="s">
        <v>11862</v>
      </c>
      <c r="AC3596" s="462" t="s">
        <v>11863</v>
      </c>
      <c r="AD3596" s="464">
        <v>181.93437</v>
      </c>
      <c r="AE3596" s="465">
        <v>8.7517099999999992</v>
      </c>
      <c r="AF3596" s="86">
        <f>IF(verze!$E$1="CZK",AD3596,IF(verze!$E$1="SK",AE3596,""))</f>
        <v>8.7517099999999992</v>
      </c>
    </row>
    <row r="3597" spans="27:32" ht="15">
      <c r="AA3597" s="463" t="s">
        <v>11864</v>
      </c>
      <c r="AB3597" s="462" t="s">
        <v>11865</v>
      </c>
      <c r="AC3597" s="462" t="s">
        <v>11866</v>
      </c>
      <c r="AD3597" s="464">
        <v>195.50603000000001</v>
      </c>
      <c r="AE3597" s="465">
        <v>9.4045400000000008</v>
      </c>
      <c r="AF3597" s="86">
        <f>IF(verze!$E$1="CZK",AD3597,IF(verze!$E$1="SK",AE3597,""))</f>
        <v>9.4045400000000008</v>
      </c>
    </row>
    <row r="3598" spans="27:32" ht="15">
      <c r="AA3598" s="463" t="s">
        <v>11867</v>
      </c>
      <c r="AB3598" s="462" t="s">
        <v>11868</v>
      </c>
      <c r="AC3598" s="462" t="s">
        <v>11869</v>
      </c>
      <c r="AD3598" s="464">
        <v>337.00089000000003</v>
      </c>
      <c r="AE3598" s="465">
        <v>16.21095</v>
      </c>
      <c r="AF3598" s="86">
        <f>IF(verze!$E$1="CZK",AD3598,IF(verze!$E$1="SK",AE3598,""))</f>
        <v>16.21095</v>
      </c>
    </row>
    <row r="3599" spans="27:32" ht="15">
      <c r="AA3599" s="463" t="s">
        <v>11867</v>
      </c>
      <c r="AB3599" s="462" t="s">
        <v>11870</v>
      </c>
      <c r="AC3599" s="462" t="s">
        <v>11871</v>
      </c>
      <c r="AD3599" s="464">
        <v>368.35124000000002</v>
      </c>
      <c r="AE3599" s="465">
        <v>17.71902</v>
      </c>
      <c r="AF3599" s="86">
        <f>IF(verze!$E$1="CZK",AD3599,IF(verze!$E$1="SK",AE3599,""))</f>
        <v>17.71902</v>
      </c>
    </row>
    <row r="3600" spans="27:32" ht="15">
      <c r="AA3600" s="463" t="s">
        <v>11872</v>
      </c>
      <c r="AB3600" s="462" t="s">
        <v>11873</v>
      </c>
      <c r="AC3600" s="462" t="s">
        <v>11874</v>
      </c>
      <c r="AD3600" s="464">
        <v>337.00089000000003</v>
      </c>
      <c r="AE3600" s="465">
        <v>16.21095</v>
      </c>
      <c r="AF3600" s="86">
        <f>IF(verze!$E$1="CZK",AD3600,IF(verze!$E$1="SK",AE3600,""))</f>
        <v>16.21095</v>
      </c>
    </row>
    <row r="3601" spans="27:32" ht="15">
      <c r="AA3601" s="463" t="s">
        <v>11875</v>
      </c>
      <c r="AB3601" s="462" t="s">
        <v>11876</v>
      </c>
      <c r="AC3601" s="462" t="s">
        <v>11877</v>
      </c>
      <c r="AD3601" s="464">
        <v>337.00089000000003</v>
      </c>
      <c r="AE3601" s="465">
        <v>16.21095</v>
      </c>
      <c r="AF3601" s="86">
        <f>IF(verze!$E$1="CZK",AD3601,IF(verze!$E$1="SK",AE3601,""))</f>
        <v>16.21095</v>
      </c>
    </row>
    <row r="3602" spans="27:32" ht="15">
      <c r="AA3602" s="463" t="s">
        <v>11878</v>
      </c>
      <c r="AB3602" s="462" t="s">
        <v>11879</v>
      </c>
      <c r="AC3602" s="462" t="s">
        <v>11880</v>
      </c>
      <c r="AD3602" s="464">
        <v>48.002319999999997</v>
      </c>
      <c r="AE3602" s="465">
        <v>2.3090799999999998</v>
      </c>
      <c r="AF3602" s="86">
        <f>IF(verze!$E$1="CZK",AD3602,IF(verze!$E$1="SK",AE3602,""))</f>
        <v>2.3090799999999998</v>
      </c>
    </row>
    <row r="3603" spans="27:32" ht="15">
      <c r="AA3603" s="463" t="s">
        <v>11881</v>
      </c>
      <c r="AB3603" s="462" t="s">
        <v>11882</v>
      </c>
      <c r="AC3603" s="462" t="s">
        <v>11883</v>
      </c>
      <c r="AD3603" s="464">
        <v>60.803130000000003</v>
      </c>
      <c r="AE3603" s="465">
        <v>2.9248599999999998</v>
      </c>
      <c r="AF3603" s="86">
        <f>IF(verze!$E$1="CZK",AD3603,IF(verze!$E$1="SK",AE3603,""))</f>
        <v>2.9248599999999998</v>
      </c>
    </row>
    <row r="3604" spans="27:32" ht="15">
      <c r="AA3604" s="463" t="s">
        <v>11884</v>
      </c>
      <c r="AB3604" s="462" t="s">
        <v>11885</v>
      </c>
      <c r="AC3604" s="462" t="s">
        <v>11886</v>
      </c>
      <c r="AD3604" s="464">
        <v>48.002319999999997</v>
      </c>
      <c r="AE3604" s="465">
        <v>2.3090799999999998</v>
      </c>
      <c r="AF3604" s="86">
        <f>IF(verze!$E$1="CZK",AD3604,IF(verze!$E$1="SK",AE3604,""))</f>
        <v>2.3090799999999998</v>
      </c>
    </row>
    <row r="3605" spans="27:32" ht="15">
      <c r="AA3605" s="463" t="s">
        <v>11887</v>
      </c>
      <c r="AB3605" s="462" t="s">
        <v>11888</v>
      </c>
      <c r="AC3605" s="462" t="s">
        <v>11889</v>
      </c>
      <c r="AD3605" s="464">
        <v>60.803130000000003</v>
      </c>
      <c r="AE3605" s="465">
        <v>2.9248599999999998</v>
      </c>
      <c r="AF3605" s="86">
        <f>IF(verze!$E$1="CZK",AD3605,IF(verze!$E$1="SK",AE3605,""))</f>
        <v>2.9248599999999998</v>
      </c>
    </row>
    <row r="3606" spans="27:32" ht="15">
      <c r="AA3606" s="463" t="s">
        <v>11890</v>
      </c>
      <c r="AB3606" s="462" t="s">
        <v>11891</v>
      </c>
      <c r="AC3606" s="462" t="s">
        <v>11892</v>
      </c>
      <c r="AD3606" s="464">
        <v>48.002319999999997</v>
      </c>
      <c r="AE3606" s="465">
        <v>2.3090799999999998</v>
      </c>
      <c r="AF3606" s="86">
        <f>IF(verze!$E$1="CZK",AD3606,IF(verze!$E$1="SK",AE3606,""))</f>
        <v>2.3090799999999998</v>
      </c>
    </row>
    <row r="3607" spans="27:32" ht="15">
      <c r="AA3607" s="463" t="s">
        <v>11893</v>
      </c>
      <c r="AB3607" s="462" t="s">
        <v>11894</v>
      </c>
      <c r="AC3607" s="462" t="s">
        <v>11895</v>
      </c>
      <c r="AD3607" s="464">
        <v>60.803130000000003</v>
      </c>
      <c r="AE3607" s="465">
        <v>2.9248599999999998</v>
      </c>
      <c r="AF3607" s="86">
        <f>IF(verze!$E$1="CZK",AD3607,IF(verze!$E$1="SK",AE3607,""))</f>
        <v>2.9248599999999998</v>
      </c>
    </row>
    <row r="3608" spans="27:32" ht="15">
      <c r="AA3608" s="463" t="s">
        <v>11896</v>
      </c>
      <c r="AB3608" s="462" t="s">
        <v>11897</v>
      </c>
      <c r="AC3608" s="462" t="s">
        <v>11898</v>
      </c>
      <c r="AD3608" s="464">
        <v>55.00694</v>
      </c>
      <c r="AE3608" s="465">
        <v>2.64602</v>
      </c>
      <c r="AF3608" s="86">
        <f>IF(verze!$E$1="CZK",AD3608,IF(verze!$E$1="SK",AE3608,""))</f>
        <v>2.64602</v>
      </c>
    </row>
    <row r="3609" spans="27:32" ht="15">
      <c r="AA3609" s="463" t="s">
        <v>11899</v>
      </c>
      <c r="AB3609" s="462" t="s">
        <v>11900</v>
      </c>
      <c r="AC3609" s="462" t="s">
        <v>11901</v>
      </c>
      <c r="AD3609" s="464">
        <v>55.00694</v>
      </c>
      <c r="AE3609" s="465">
        <v>2.64602</v>
      </c>
      <c r="AF3609" s="86">
        <f>IF(verze!$E$1="CZK",AD3609,IF(verze!$E$1="SK",AE3609,""))</f>
        <v>2.64602</v>
      </c>
    </row>
    <row r="3610" spans="27:32" ht="15">
      <c r="AA3610" s="463" t="s">
        <v>11902</v>
      </c>
      <c r="AB3610" s="462" t="s">
        <v>11903</v>
      </c>
      <c r="AC3610" s="462" t="s">
        <v>11904</v>
      </c>
      <c r="AD3610" s="464">
        <v>55.00694</v>
      </c>
      <c r="AE3610" s="465">
        <v>2.64602</v>
      </c>
      <c r="AF3610" s="86">
        <f>IF(verze!$E$1="CZK",AD3610,IF(verze!$E$1="SK",AE3610,""))</f>
        <v>2.64602</v>
      </c>
    </row>
    <row r="3611" spans="27:32" ht="15">
      <c r="AA3611" s="463" t="s">
        <v>11905</v>
      </c>
      <c r="AB3611" s="462" t="s">
        <v>11906</v>
      </c>
      <c r="AC3611" s="462" t="s">
        <v>11907</v>
      </c>
      <c r="AD3611" s="464">
        <v>55.00694</v>
      </c>
      <c r="AE3611" s="465">
        <v>2.64602</v>
      </c>
      <c r="AF3611" s="86">
        <f>IF(verze!$E$1="CZK",AD3611,IF(verze!$E$1="SK",AE3611,""))</f>
        <v>2.64602</v>
      </c>
    </row>
    <row r="3612" spans="27:32" ht="15">
      <c r="AA3612" s="463" t="s">
        <v>11908</v>
      </c>
      <c r="AB3612" s="462" t="s">
        <v>11909</v>
      </c>
      <c r="AC3612" s="462" t="s">
        <v>11910</v>
      </c>
      <c r="AD3612" s="464">
        <v>23.49464</v>
      </c>
      <c r="AE3612" s="465">
        <v>1.1057600000000001</v>
      </c>
      <c r="AF3612" s="86">
        <f>IF(verze!$E$1="CZK",AD3612,IF(verze!$E$1="SK",AE3612,""))</f>
        <v>1.1057600000000001</v>
      </c>
    </row>
    <row r="3613" spans="27:32" ht="15">
      <c r="AA3613" s="463" t="s">
        <v>11908</v>
      </c>
      <c r="AB3613" s="462" t="s">
        <v>11911</v>
      </c>
      <c r="AC3613" s="462" t="s">
        <v>11912</v>
      </c>
      <c r="AD3613" s="464">
        <v>22.69388</v>
      </c>
      <c r="AE3613" s="465">
        <v>1.5870500000000001</v>
      </c>
      <c r="AF3613" s="86">
        <f>IF(verze!$E$1="CZK",AD3613,IF(verze!$E$1="SK",AE3613,""))</f>
        <v>1.5870500000000001</v>
      </c>
    </row>
    <row r="3614" spans="27:32" ht="15">
      <c r="AA3614" s="463" t="s">
        <v>11913</v>
      </c>
      <c r="AB3614" s="462" t="s">
        <v>11914</v>
      </c>
      <c r="AC3614" s="462" t="s">
        <v>11915</v>
      </c>
      <c r="AD3614" s="464">
        <v>23.49464</v>
      </c>
      <c r="AE3614" s="465">
        <v>1.1057600000000001</v>
      </c>
      <c r="AF3614" s="86">
        <f>IF(verze!$E$1="CZK",AD3614,IF(verze!$E$1="SK",AE3614,""))</f>
        <v>1.1057600000000001</v>
      </c>
    </row>
    <row r="3615" spans="27:32" ht="15">
      <c r="AA3615" s="463" t="s">
        <v>11913</v>
      </c>
      <c r="AB3615" s="462" t="s">
        <v>11916</v>
      </c>
      <c r="AC3615" s="462" t="s">
        <v>11917</v>
      </c>
      <c r="AD3615" s="464">
        <v>22.69388</v>
      </c>
      <c r="AE3615" s="465">
        <v>1.5870500000000001</v>
      </c>
      <c r="AF3615" s="86">
        <f>IF(verze!$E$1="CZK",AD3615,IF(verze!$E$1="SK",AE3615,""))</f>
        <v>1.5870500000000001</v>
      </c>
    </row>
    <row r="3616" spans="27:32" ht="15">
      <c r="AA3616" s="463" t="s">
        <v>11918</v>
      </c>
      <c r="AB3616" s="462" t="s">
        <v>11919</v>
      </c>
      <c r="AC3616" s="462" t="s">
        <v>11920</v>
      </c>
      <c r="AD3616" s="464">
        <v>23.49464</v>
      </c>
      <c r="AE3616" s="465">
        <v>1.1057600000000001</v>
      </c>
      <c r="AF3616" s="86">
        <f>IF(verze!$E$1="CZK",AD3616,IF(verze!$E$1="SK",AE3616,""))</f>
        <v>1.1057600000000001</v>
      </c>
    </row>
    <row r="3617" spans="27:32" ht="15">
      <c r="AA3617" s="463" t="s">
        <v>11918</v>
      </c>
      <c r="AB3617" s="462" t="s">
        <v>11921</v>
      </c>
      <c r="AC3617" s="462" t="s">
        <v>11922</v>
      </c>
      <c r="AD3617" s="464">
        <v>22.69388</v>
      </c>
      <c r="AE3617" s="465">
        <v>1.5870500000000001</v>
      </c>
      <c r="AF3617" s="86">
        <f>IF(verze!$E$1="CZK",AD3617,IF(verze!$E$1="SK",AE3617,""))</f>
        <v>1.5870500000000001</v>
      </c>
    </row>
    <row r="3618" spans="27:32" ht="15">
      <c r="AA3618" s="463" t="s">
        <v>11923</v>
      </c>
      <c r="AB3618" s="462" t="s">
        <v>11924</v>
      </c>
      <c r="AC3618" s="462" t="s">
        <v>11925</v>
      </c>
      <c r="AD3618" s="464">
        <v>23.49464</v>
      </c>
      <c r="AE3618" s="465">
        <v>1.1057600000000001</v>
      </c>
      <c r="AF3618" s="86">
        <f>IF(verze!$E$1="CZK",AD3618,IF(verze!$E$1="SK",AE3618,""))</f>
        <v>1.1057600000000001</v>
      </c>
    </row>
    <row r="3619" spans="27:32" ht="15">
      <c r="AA3619" s="463" t="s">
        <v>11923</v>
      </c>
      <c r="AB3619" s="462" t="s">
        <v>11926</v>
      </c>
      <c r="AC3619" s="462" t="s">
        <v>11927</v>
      </c>
      <c r="AD3619" s="464">
        <v>22.69388</v>
      </c>
      <c r="AE3619" s="465">
        <v>1.5870500000000001</v>
      </c>
      <c r="AF3619" s="86">
        <f>IF(verze!$E$1="CZK",AD3619,IF(verze!$E$1="SK",AE3619,""))</f>
        <v>1.5870500000000001</v>
      </c>
    </row>
    <row r="3620" spans="27:32" ht="15">
      <c r="AA3620" s="463" t="s">
        <v>11928</v>
      </c>
      <c r="AB3620" s="462" t="s">
        <v>11929</v>
      </c>
      <c r="AC3620" s="462" t="s">
        <v>11930</v>
      </c>
      <c r="AD3620" s="464">
        <v>48.626739999999998</v>
      </c>
      <c r="AE3620" s="465">
        <v>2.2886000000000002</v>
      </c>
      <c r="AF3620" s="86">
        <f>IF(verze!$E$1="CZK",AD3620,IF(verze!$E$1="SK",AE3620,""))</f>
        <v>2.2886000000000002</v>
      </c>
    </row>
    <row r="3621" spans="27:32" ht="15">
      <c r="AA3621" s="463" t="s">
        <v>11928</v>
      </c>
      <c r="AB3621" s="462" t="s">
        <v>11931</v>
      </c>
      <c r="AC3621" s="462" t="s">
        <v>11932</v>
      </c>
      <c r="AD3621" s="464">
        <v>46.974339999999998</v>
      </c>
      <c r="AE3621" s="465">
        <v>2.9231799999999999</v>
      </c>
      <c r="AF3621" s="86">
        <f>IF(verze!$E$1="CZK",AD3621,IF(verze!$E$1="SK",AE3621,""))</f>
        <v>2.9231799999999999</v>
      </c>
    </row>
    <row r="3622" spans="27:32" ht="15">
      <c r="AA3622" s="463" t="s">
        <v>11933</v>
      </c>
      <c r="AB3622" s="462" t="s">
        <v>11934</v>
      </c>
      <c r="AC3622" s="462" t="s">
        <v>11935</v>
      </c>
      <c r="AD3622" s="464">
        <v>48.626739999999998</v>
      </c>
      <c r="AE3622" s="465">
        <v>2.2886000000000002</v>
      </c>
      <c r="AF3622" s="86">
        <f>IF(verze!$E$1="CZK",AD3622,IF(verze!$E$1="SK",AE3622,""))</f>
        <v>2.2886000000000002</v>
      </c>
    </row>
    <row r="3623" spans="27:32" ht="15">
      <c r="AA3623" s="463" t="s">
        <v>11933</v>
      </c>
      <c r="AB3623" s="462" t="s">
        <v>11936</v>
      </c>
      <c r="AC3623" s="462" t="s">
        <v>11937</v>
      </c>
      <c r="AD3623" s="464">
        <v>46.974339999999998</v>
      </c>
      <c r="AE3623" s="465">
        <v>2.9231799999999999</v>
      </c>
      <c r="AF3623" s="86">
        <f>IF(verze!$E$1="CZK",AD3623,IF(verze!$E$1="SK",AE3623,""))</f>
        <v>2.9231799999999999</v>
      </c>
    </row>
    <row r="3624" spans="27:32" ht="15">
      <c r="AA3624" s="463" t="s">
        <v>11938</v>
      </c>
      <c r="AB3624" s="462" t="s">
        <v>11939</v>
      </c>
      <c r="AC3624" s="462" t="s">
        <v>11940</v>
      </c>
      <c r="AD3624" s="464">
        <v>48.626739999999998</v>
      </c>
      <c r="AE3624" s="465">
        <v>2.2886000000000002</v>
      </c>
      <c r="AF3624" s="86">
        <f>IF(verze!$E$1="CZK",AD3624,IF(verze!$E$1="SK",AE3624,""))</f>
        <v>2.2886000000000002</v>
      </c>
    </row>
    <row r="3625" spans="27:32" ht="15">
      <c r="AA3625" s="463" t="s">
        <v>11938</v>
      </c>
      <c r="AB3625" s="462" t="s">
        <v>11941</v>
      </c>
      <c r="AC3625" s="462" t="s">
        <v>11942</v>
      </c>
      <c r="AD3625" s="464">
        <v>46.974339999999998</v>
      </c>
      <c r="AE3625" s="465">
        <v>2.9231799999999999</v>
      </c>
      <c r="AF3625" s="86">
        <f>IF(verze!$E$1="CZK",AD3625,IF(verze!$E$1="SK",AE3625,""))</f>
        <v>2.9231799999999999</v>
      </c>
    </row>
    <row r="3626" spans="27:32" ht="15">
      <c r="AA3626" s="463" t="s">
        <v>11943</v>
      </c>
      <c r="AB3626" s="462" t="s">
        <v>11944</v>
      </c>
      <c r="AC3626" s="462" t="s">
        <v>11945</v>
      </c>
      <c r="AD3626" s="464">
        <v>48.626739999999998</v>
      </c>
      <c r="AE3626" s="465">
        <v>2.2886000000000002</v>
      </c>
      <c r="AF3626" s="86">
        <f>IF(verze!$E$1="CZK",AD3626,IF(verze!$E$1="SK",AE3626,""))</f>
        <v>2.2886000000000002</v>
      </c>
    </row>
    <row r="3627" spans="27:32" ht="15">
      <c r="AA3627" s="463" t="s">
        <v>11943</v>
      </c>
      <c r="AB3627" s="462" t="s">
        <v>11946</v>
      </c>
      <c r="AC3627" s="462" t="s">
        <v>11947</v>
      </c>
      <c r="AD3627" s="464">
        <v>46.974339999999998</v>
      </c>
      <c r="AE3627" s="465">
        <v>2.9231799999999999</v>
      </c>
      <c r="AF3627" s="86">
        <f>IF(verze!$E$1="CZK",AD3627,IF(verze!$E$1="SK",AE3627,""))</f>
        <v>2.9231799999999999</v>
      </c>
    </row>
    <row r="3628" spans="27:32" ht="15">
      <c r="AA3628" s="463" t="s">
        <v>11948</v>
      </c>
      <c r="AB3628" s="462" t="s">
        <v>11949</v>
      </c>
      <c r="AC3628" s="462" t="s">
        <v>11950</v>
      </c>
      <c r="AD3628" s="464">
        <v>81.407529999999994</v>
      </c>
      <c r="AE3628" s="465">
        <v>3.83142</v>
      </c>
      <c r="AF3628" s="86">
        <f>IF(verze!$E$1="CZK",AD3628,IF(verze!$E$1="SK",AE3628,""))</f>
        <v>3.83142</v>
      </c>
    </row>
    <row r="3629" spans="27:32" ht="15">
      <c r="AA3629" s="463" t="s">
        <v>11948</v>
      </c>
      <c r="AB3629" s="462" t="s">
        <v>11951</v>
      </c>
      <c r="AC3629" s="462" t="s">
        <v>11952</v>
      </c>
      <c r="AD3629" s="464">
        <v>78.639690000000002</v>
      </c>
      <c r="AE3629" s="465">
        <v>3.6645699999999999</v>
      </c>
      <c r="AF3629" s="86">
        <f>IF(verze!$E$1="CZK",AD3629,IF(verze!$E$1="SK",AE3629,""))</f>
        <v>3.6645699999999999</v>
      </c>
    </row>
    <row r="3630" spans="27:32" ht="15">
      <c r="AA3630" s="463" t="s">
        <v>11953</v>
      </c>
      <c r="AB3630" s="462" t="s">
        <v>11954</v>
      </c>
      <c r="AC3630" s="462" t="s">
        <v>11955</v>
      </c>
      <c r="AD3630" s="464">
        <v>81.407529999999994</v>
      </c>
      <c r="AE3630" s="465">
        <v>3.83142</v>
      </c>
      <c r="AF3630" s="86">
        <f>IF(verze!$E$1="CZK",AD3630,IF(verze!$E$1="SK",AE3630,""))</f>
        <v>3.83142</v>
      </c>
    </row>
    <row r="3631" spans="27:32" ht="15">
      <c r="AA3631" s="463" t="s">
        <v>11953</v>
      </c>
      <c r="AB3631" s="462" t="s">
        <v>11956</v>
      </c>
      <c r="AC3631" s="462" t="s">
        <v>11957</v>
      </c>
      <c r="AD3631" s="464">
        <v>78.639690000000002</v>
      </c>
      <c r="AE3631" s="465">
        <v>3.6645699999999999</v>
      </c>
      <c r="AF3631" s="86">
        <f>IF(verze!$E$1="CZK",AD3631,IF(verze!$E$1="SK",AE3631,""))</f>
        <v>3.6645699999999999</v>
      </c>
    </row>
    <row r="3632" spans="27:32" ht="15">
      <c r="AA3632" s="463" t="s">
        <v>11958</v>
      </c>
      <c r="AB3632" s="462" t="s">
        <v>11959</v>
      </c>
      <c r="AC3632" s="462" t="s">
        <v>11960</v>
      </c>
      <c r="AD3632" s="464">
        <v>81.407529999999994</v>
      </c>
      <c r="AE3632" s="465">
        <v>3.83142</v>
      </c>
      <c r="AF3632" s="86">
        <f>IF(verze!$E$1="CZK",AD3632,IF(verze!$E$1="SK",AE3632,""))</f>
        <v>3.83142</v>
      </c>
    </row>
    <row r="3633" spans="27:32" ht="15">
      <c r="AA3633" s="463" t="s">
        <v>11958</v>
      </c>
      <c r="AB3633" s="462" t="s">
        <v>11961</v>
      </c>
      <c r="AC3633" s="462" t="s">
        <v>11962</v>
      </c>
      <c r="AD3633" s="464">
        <v>78.639690000000002</v>
      </c>
      <c r="AE3633" s="465">
        <v>3.6645699999999999</v>
      </c>
      <c r="AF3633" s="86">
        <f>IF(verze!$E$1="CZK",AD3633,IF(verze!$E$1="SK",AE3633,""))</f>
        <v>3.6645699999999999</v>
      </c>
    </row>
    <row r="3634" spans="27:32" ht="15">
      <c r="AA3634" s="463" t="s">
        <v>11963</v>
      </c>
      <c r="AB3634" s="462" t="s">
        <v>11964</v>
      </c>
      <c r="AC3634" s="462" t="s">
        <v>11965</v>
      </c>
      <c r="AD3634" s="464">
        <v>81.407529999999994</v>
      </c>
      <c r="AE3634" s="465">
        <v>3.83142</v>
      </c>
      <c r="AF3634" s="86">
        <f>IF(verze!$E$1="CZK",AD3634,IF(verze!$E$1="SK",AE3634,""))</f>
        <v>3.83142</v>
      </c>
    </row>
    <row r="3635" spans="27:32" ht="15">
      <c r="AA3635" s="463" t="s">
        <v>11963</v>
      </c>
      <c r="AB3635" s="462" t="s">
        <v>11966</v>
      </c>
      <c r="AC3635" s="462" t="s">
        <v>11967</v>
      </c>
      <c r="AD3635" s="464">
        <v>78.639690000000002</v>
      </c>
      <c r="AE3635" s="465">
        <v>3.6645699999999999</v>
      </c>
      <c r="AF3635" s="86">
        <f>IF(verze!$E$1="CZK",AD3635,IF(verze!$E$1="SK",AE3635,""))</f>
        <v>3.6645699999999999</v>
      </c>
    </row>
    <row r="3636" spans="27:32" ht="15">
      <c r="AA3636" s="463" t="s">
        <v>11968</v>
      </c>
      <c r="AB3636" s="462" t="s">
        <v>11969</v>
      </c>
      <c r="AC3636" s="462" t="s">
        <v>11970</v>
      </c>
      <c r="AD3636" s="464">
        <v>2.8410600000000001</v>
      </c>
      <c r="AE3636" s="465">
        <v>0.13372000000000001</v>
      </c>
      <c r="AF3636" s="86">
        <f>IF(verze!$E$1="CZK",AD3636,IF(verze!$E$1="SK",AE3636,""))</f>
        <v>0.13372000000000001</v>
      </c>
    </row>
    <row r="3637" spans="27:32" ht="15">
      <c r="AA3637" s="463" t="s">
        <v>11971</v>
      </c>
      <c r="AB3637" s="462" t="s">
        <v>11972</v>
      </c>
      <c r="AC3637" s="462" t="s">
        <v>11973</v>
      </c>
      <c r="AD3637" s="464">
        <v>2.8410600000000001</v>
      </c>
      <c r="AE3637" s="465">
        <v>0.13372000000000001</v>
      </c>
      <c r="AF3637" s="86">
        <f>IF(verze!$E$1="CZK",AD3637,IF(verze!$E$1="SK",AE3637,""))</f>
        <v>0.13372000000000001</v>
      </c>
    </row>
    <row r="3638" spans="27:32" ht="15">
      <c r="AA3638" s="463" t="s">
        <v>11974</v>
      </c>
      <c r="AB3638" s="462" t="s">
        <v>11975</v>
      </c>
      <c r="AC3638" s="462" t="s">
        <v>11976</v>
      </c>
      <c r="AD3638" s="464">
        <v>2.8410600000000001</v>
      </c>
      <c r="AE3638" s="465">
        <v>0.13372000000000001</v>
      </c>
      <c r="AF3638" s="86">
        <f>IF(verze!$E$1="CZK",AD3638,IF(verze!$E$1="SK",AE3638,""))</f>
        <v>0.13372000000000001</v>
      </c>
    </row>
    <row r="3639" spans="27:32" ht="15">
      <c r="AA3639" s="463" t="s">
        <v>11977</v>
      </c>
      <c r="AB3639" s="462" t="s">
        <v>11978</v>
      </c>
      <c r="AC3639" s="462" t="s">
        <v>11979</v>
      </c>
      <c r="AD3639" s="464">
        <v>5.3666600000000004</v>
      </c>
      <c r="AE3639" s="465">
        <v>0.25258000000000003</v>
      </c>
      <c r="AF3639" s="86">
        <f>IF(verze!$E$1="CZK",AD3639,IF(verze!$E$1="SK",AE3639,""))</f>
        <v>0.25258000000000003</v>
      </c>
    </row>
    <row r="3640" spans="27:32" ht="15">
      <c r="AA3640" s="463" t="s">
        <v>11980</v>
      </c>
      <c r="AB3640" s="462" t="s">
        <v>11981</v>
      </c>
      <c r="AC3640" s="462" t="s">
        <v>11982</v>
      </c>
      <c r="AD3640" s="464">
        <v>5.3666600000000004</v>
      </c>
      <c r="AE3640" s="465">
        <v>0.25258000000000003</v>
      </c>
      <c r="AF3640" s="86">
        <f>IF(verze!$E$1="CZK",AD3640,IF(verze!$E$1="SK",AE3640,""))</f>
        <v>0.25258000000000003</v>
      </c>
    </row>
    <row r="3641" spans="27:32" ht="15">
      <c r="AA3641" s="463" t="s">
        <v>11983</v>
      </c>
      <c r="AB3641" s="462" t="s">
        <v>11984</v>
      </c>
      <c r="AC3641" s="462" t="s">
        <v>11985</v>
      </c>
      <c r="AD3641" s="464">
        <v>5.3666600000000004</v>
      </c>
      <c r="AE3641" s="465">
        <v>0.25258000000000003</v>
      </c>
      <c r="AF3641" s="86">
        <f>IF(verze!$E$1="CZK",AD3641,IF(verze!$E$1="SK",AE3641,""))</f>
        <v>0.25258000000000003</v>
      </c>
    </row>
    <row r="3642" spans="27:32" ht="15">
      <c r="AA3642" s="463" t="s">
        <v>11986</v>
      </c>
      <c r="AB3642" s="462" t="s">
        <v>11987</v>
      </c>
      <c r="AC3642" s="462" t="s">
        <v>11988</v>
      </c>
      <c r="AD3642" s="464">
        <v>22.379480000000001</v>
      </c>
      <c r="AE3642" s="465">
        <v>1.0765400000000001</v>
      </c>
      <c r="AF3642" s="86">
        <f>IF(verze!$E$1="CZK",AD3642,IF(verze!$E$1="SK",AE3642,""))</f>
        <v>1.0765400000000001</v>
      </c>
    </row>
    <row r="3643" spans="27:32" ht="15">
      <c r="AA3643" s="463" t="s">
        <v>11989</v>
      </c>
      <c r="AB3643" s="462" t="s">
        <v>11990</v>
      </c>
      <c r="AC3643" s="462" t="s">
        <v>11991</v>
      </c>
      <c r="AD3643" s="464">
        <v>22.379480000000001</v>
      </c>
      <c r="AE3643" s="465">
        <v>1.0765400000000001</v>
      </c>
      <c r="AF3643" s="86">
        <f>IF(verze!$E$1="CZK",AD3643,IF(verze!$E$1="SK",AE3643,""))</f>
        <v>1.0765400000000001</v>
      </c>
    </row>
    <row r="3644" spans="27:32" ht="15">
      <c r="AA3644" s="463" t="s">
        <v>11992</v>
      </c>
      <c r="AB3644" s="462" t="s">
        <v>11993</v>
      </c>
      <c r="AC3644" s="462" t="s">
        <v>11994</v>
      </c>
      <c r="AD3644" s="464">
        <v>24.943079999999998</v>
      </c>
      <c r="AE3644" s="465">
        <v>1.17394</v>
      </c>
      <c r="AF3644" s="86">
        <f>IF(verze!$E$1="CZK",AD3644,IF(verze!$E$1="SK",AE3644,""))</f>
        <v>1.17394</v>
      </c>
    </row>
    <row r="3645" spans="27:32" ht="15">
      <c r="AA3645" s="463" t="s">
        <v>11995</v>
      </c>
      <c r="AB3645" s="462" t="s">
        <v>11996</v>
      </c>
      <c r="AC3645" s="462" t="s">
        <v>11997</v>
      </c>
      <c r="AD3645" s="464">
        <v>25.624590000000001</v>
      </c>
      <c r="AE3645" s="465">
        <v>1.23264</v>
      </c>
      <c r="AF3645" s="86">
        <f>IF(verze!$E$1="CZK",AD3645,IF(verze!$E$1="SK",AE3645,""))</f>
        <v>1.23264</v>
      </c>
    </row>
    <row r="3646" spans="27:32" ht="15">
      <c r="AA3646" s="463" t="s">
        <v>11998</v>
      </c>
      <c r="AB3646" s="462" t="s">
        <v>11999</v>
      </c>
      <c r="AC3646" s="462" t="s">
        <v>12000</v>
      </c>
      <c r="AD3646" s="464">
        <v>22.379480000000001</v>
      </c>
      <c r="AE3646" s="465">
        <v>1.0765400000000001</v>
      </c>
      <c r="AF3646" s="86">
        <f>IF(verze!$E$1="CZK",AD3646,IF(verze!$E$1="SK",AE3646,""))</f>
        <v>1.0765400000000001</v>
      </c>
    </row>
    <row r="3647" spans="27:32" ht="15">
      <c r="AA3647" s="463" t="s">
        <v>12001</v>
      </c>
      <c r="AB3647" s="462" t="s">
        <v>12002</v>
      </c>
      <c r="AC3647" s="462" t="s">
        <v>12003</v>
      </c>
      <c r="AD3647" s="464">
        <v>25.624590000000001</v>
      </c>
      <c r="AE3647" s="465">
        <v>1.23264</v>
      </c>
      <c r="AF3647" s="86">
        <f>IF(verze!$E$1="CZK",AD3647,IF(verze!$E$1="SK",AE3647,""))</f>
        <v>1.23264</v>
      </c>
    </row>
    <row r="3648" spans="27:32" ht="15">
      <c r="AA3648" s="463" t="s">
        <v>12004</v>
      </c>
      <c r="AB3648" s="462" t="s">
        <v>12005</v>
      </c>
      <c r="AC3648" s="462" t="s">
        <v>12006</v>
      </c>
      <c r="AD3648" s="464">
        <v>88.296360000000007</v>
      </c>
      <c r="AE3648" s="465">
        <v>4.2473799999999997</v>
      </c>
      <c r="AF3648" s="86">
        <f>IF(verze!$E$1="CZK",AD3648,IF(verze!$E$1="SK",AE3648,""))</f>
        <v>4.2473799999999997</v>
      </c>
    </row>
    <row r="3649" spans="27:32" ht="15">
      <c r="AA3649" s="463" t="s">
        <v>12007</v>
      </c>
      <c r="AB3649" s="462" t="s">
        <v>12008</v>
      </c>
      <c r="AC3649" s="462" t="s">
        <v>12009</v>
      </c>
      <c r="AD3649" s="464">
        <v>88.296360000000007</v>
      </c>
      <c r="AE3649" s="465">
        <v>4.2473799999999997</v>
      </c>
      <c r="AF3649" s="86">
        <f>IF(verze!$E$1="CZK",AD3649,IF(verze!$E$1="SK",AE3649,""))</f>
        <v>4.2473799999999997</v>
      </c>
    </row>
    <row r="3650" spans="27:32" ht="15">
      <c r="AA3650" s="463" t="s">
        <v>12010</v>
      </c>
      <c r="AB3650" s="462" t="s">
        <v>12011</v>
      </c>
      <c r="AC3650" s="462" t="s">
        <v>12012</v>
      </c>
      <c r="AD3650" s="464">
        <v>88.296360000000007</v>
      </c>
      <c r="AE3650" s="465">
        <v>4.2473799999999997</v>
      </c>
      <c r="AF3650" s="86">
        <f>IF(verze!$E$1="CZK",AD3650,IF(verze!$E$1="SK",AE3650,""))</f>
        <v>4.2473799999999997</v>
      </c>
    </row>
    <row r="3651" spans="27:32" ht="15">
      <c r="AA3651" s="463" t="s">
        <v>12013</v>
      </c>
      <c r="AB3651" s="462" t="s">
        <v>12014</v>
      </c>
      <c r="AC3651" s="462" t="s">
        <v>12015</v>
      </c>
      <c r="AD3651" s="464">
        <v>197.78343000000001</v>
      </c>
      <c r="AE3651" s="465">
        <v>9.5140899999999995</v>
      </c>
      <c r="AF3651" s="86">
        <f>IF(verze!$E$1="CZK",AD3651,IF(verze!$E$1="SK",AE3651,""))</f>
        <v>9.5140899999999995</v>
      </c>
    </row>
    <row r="3652" spans="27:32" ht="15">
      <c r="AA3652" s="463" t="s">
        <v>12016</v>
      </c>
      <c r="AB3652" s="462" t="s">
        <v>12017</v>
      </c>
      <c r="AC3652" s="462" t="s">
        <v>12018</v>
      </c>
      <c r="AD3652" s="464">
        <v>197.78343000000001</v>
      </c>
      <c r="AE3652" s="465">
        <v>9.5140899999999995</v>
      </c>
      <c r="AF3652" s="86">
        <f>IF(verze!$E$1="CZK",AD3652,IF(verze!$E$1="SK",AE3652,""))</f>
        <v>9.5140899999999995</v>
      </c>
    </row>
    <row r="3653" spans="27:32" ht="15">
      <c r="AA3653" s="463" t="s">
        <v>12019</v>
      </c>
      <c r="AB3653" s="462" t="s">
        <v>12020</v>
      </c>
      <c r="AC3653" s="462" t="s">
        <v>12021</v>
      </c>
      <c r="AD3653" s="464">
        <v>197.78343000000001</v>
      </c>
      <c r="AE3653" s="465">
        <v>9.5140899999999995</v>
      </c>
      <c r="AF3653" s="86">
        <f>IF(verze!$E$1="CZK",AD3653,IF(verze!$E$1="SK",AE3653,""))</f>
        <v>9.5140899999999995</v>
      </c>
    </row>
    <row r="3654" spans="27:32" ht="15">
      <c r="AA3654" s="463" t="s">
        <v>12022</v>
      </c>
      <c r="AB3654" s="462" t="s">
        <v>12023</v>
      </c>
      <c r="AC3654" s="462" t="s">
        <v>12024</v>
      </c>
      <c r="AD3654" s="464">
        <v>187.04687999999999</v>
      </c>
      <c r="AE3654" s="465">
        <v>8.9976199999999995</v>
      </c>
      <c r="AF3654" s="86">
        <f>IF(verze!$E$1="CZK",AD3654,IF(verze!$E$1="SK",AE3654,""))</f>
        <v>8.9976199999999995</v>
      </c>
    </row>
    <row r="3655" spans="27:32" ht="15">
      <c r="AA3655" s="463" t="s">
        <v>12025</v>
      </c>
      <c r="AB3655" s="462" t="s">
        <v>12026</v>
      </c>
      <c r="AC3655" s="462" t="s">
        <v>12027</v>
      </c>
      <c r="AD3655" s="464">
        <v>314.20976000000002</v>
      </c>
      <c r="AE3655" s="465">
        <v>0</v>
      </c>
      <c r="AF3655" s="86">
        <f>IF(verze!$E$1="CZK",AD3655,IF(verze!$E$1="SK",AE3655,""))</f>
        <v>0</v>
      </c>
    </row>
    <row r="3656" spans="27:32" ht="15">
      <c r="AA3656" s="463" t="s">
        <v>12028</v>
      </c>
      <c r="AB3656" s="462" t="s">
        <v>12029</v>
      </c>
      <c r="AC3656" s="462" t="s">
        <v>12030</v>
      </c>
      <c r="AD3656" s="464">
        <v>187.04687999999999</v>
      </c>
      <c r="AE3656" s="465">
        <v>8.9976199999999995</v>
      </c>
      <c r="AF3656" s="86">
        <f>IF(verze!$E$1="CZK",AD3656,IF(verze!$E$1="SK",AE3656,""))</f>
        <v>8.9976199999999995</v>
      </c>
    </row>
    <row r="3657" spans="27:32" ht="15">
      <c r="AA3657" s="463" t="s">
        <v>12031</v>
      </c>
      <c r="AB3657" s="462" t="s">
        <v>12032</v>
      </c>
      <c r="AC3657" s="462" t="s">
        <v>12033</v>
      </c>
      <c r="AD3657" s="464">
        <v>191.24947</v>
      </c>
      <c r="AE3657" s="465">
        <v>9.1997900000000001</v>
      </c>
      <c r="AF3657" s="86">
        <f>IF(verze!$E$1="CZK",AD3657,IF(verze!$E$1="SK",AE3657,""))</f>
        <v>9.1997900000000001</v>
      </c>
    </row>
    <row r="3658" spans="27:32" ht="15">
      <c r="AA3658" s="463" t="s">
        <v>12034</v>
      </c>
      <c r="AB3658" s="462" t="s">
        <v>12035</v>
      </c>
      <c r="AC3658" s="462" t="s">
        <v>12036</v>
      </c>
      <c r="AD3658" s="464">
        <v>194.24983</v>
      </c>
      <c r="AE3658" s="465">
        <v>9.3441200000000002</v>
      </c>
      <c r="AF3658" s="86">
        <f>IF(verze!$E$1="CZK",AD3658,IF(verze!$E$1="SK",AE3658,""))</f>
        <v>9.3441200000000002</v>
      </c>
    </row>
    <row r="3659" spans="27:32" ht="15">
      <c r="AA3659" s="463" t="s">
        <v>12037</v>
      </c>
      <c r="AB3659" s="462" t="s">
        <v>12038</v>
      </c>
      <c r="AC3659" s="462" t="s">
        <v>12039</v>
      </c>
      <c r="AD3659" s="464">
        <v>197.25287</v>
      </c>
      <c r="AE3659" s="465">
        <v>9.4885800000000007</v>
      </c>
      <c r="AF3659" s="86">
        <f>IF(verze!$E$1="CZK",AD3659,IF(verze!$E$1="SK",AE3659,""))</f>
        <v>9.4885800000000007</v>
      </c>
    </row>
    <row r="3660" spans="27:32" ht="15">
      <c r="AA3660" s="463" t="s">
        <v>12040</v>
      </c>
      <c r="AB3660" s="462" t="s">
        <v>12041</v>
      </c>
      <c r="AC3660" s="462" t="s">
        <v>12042</v>
      </c>
      <c r="AD3660" s="464">
        <v>203.25618</v>
      </c>
      <c r="AE3660" s="465">
        <v>9.7773500000000002</v>
      </c>
      <c r="AF3660" s="86">
        <f>IF(verze!$E$1="CZK",AD3660,IF(verze!$E$1="SK",AE3660,""))</f>
        <v>9.7773500000000002</v>
      </c>
    </row>
    <row r="3661" spans="27:32" ht="15">
      <c r="AA3661" s="463" t="s">
        <v>12043</v>
      </c>
      <c r="AB3661" s="462" t="s">
        <v>12044</v>
      </c>
      <c r="AC3661" s="462" t="s">
        <v>12045</v>
      </c>
      <c r="AD3661" s="464">
        <v>238.89196000000001</v>
      </c>
      <c r="AE3661" s="465">
        <v>11.491580000000001</v>
      </c>
      <c r="AF3661" s="86">
        <f>IF(verze!$E$1="CZK",AD3661,IF(verze!$E$1="SK",AE3661,""))</f>
        <v>11.491580000000001</v>
      </c>
    </row>
    <row r="3662" spans="27:32" ht="15">
      <c r="AA3662" s="463" t="s">
        <v>12046</v>
      </c>
      <c r="AB3662" s="462" t="s">
        <v>12047</v>
      </c>
      <c r="AC3662" s="462" t="s">
        <v>12048</v>
      </c>
      <c r="AD3662" s="464">
        <v>238.89196000000001</v>
      </c>
      <c r="AE3662" s="465">
        <v>11.491580000000001</v>
      </c>
      <c r="AF3662" s="86">
        <f>IF(verze!$E$1="CZK",AD3662,IF(verze!$E$1="SK",AE3662,""))</f>
        <v>11.491580000000001</v>
      </c>
    </row>
    <row r="3663" spans="27:32" ht="15">
      <c r="AA3663" s="463" t="s">
        <v>12049</v>
      </c>
      <c r="AB3663" s="462" t="s">
        <v>12050</v>
      </c>
      <c r="AC3663" s="462" t="s">
        <v>12051</v>
      </c>
      <c r="AD3663" s="464">
        <v>238.89196000000001</v>
      </c>
      <c r="AE3663" s="465">
        <v>11.491580000000001</v>
      </c>
      <c r="AF3663" s="86">
        <f>IF(verze!$E$1="CZK",AD3663,IF(verze!$E$1="SK",AE3663,""))</f>
        <v>11.491580000000001</v>
      </c>
    </row>
    <row r="3664" spans="27:32" ht="15">
      <c r="AA3664" s="463" t="s">
        <v>12052</v>
      </c>
      <c r="AB3664" s="462" t="s">
        <v>12053</v>
      </c>
      <c r="AC3664" s="462" t="s">
        <v>12054</v>
      </c>
      <c r="AD3664" s="464">
        <v>245.81530000000001</v>
      </c>
      <c r="AE3664" s="465">
        <v>11.824619999999999</v>
      </c>
      <c r="AF3664" s="86">
        <f>IF(verze!$E$1="CZK",AD3664,IF(verze!$E$1="SK",AE3664,""))</f>
        <v>11.824619999999999</v>
      </c>
    </row>
    <row r="3665" spans="27:32" ht="15">
      <c r="AA3665" s="463" t="s">
        <v>12055</v>
      </c>
      <c r="AB3665" s="462" t="s">
        <v>12056</v>
      </c>
      <c r="AC3665" s="462" t="s">
        <v>12057</v>
      </c>
      <c r="AD3665" s="464">
        <v>250.76009999999999</v>
      </c>
      <c r="AE3665" s="465">
        <v>12.06246</v>
      </c>
      <c r="AF3665" s="86">
        <f>IF(verze!$E$1="CZK",AD3665,IF(verze!$E$1="SK",AE3665,""))</f>
        <v>12.06246</v>
      </c>
    </row>
    <row r="3666" spans="27:32" ht="15">
      <c r="AA3666" s="463" t="s">
        <v>12058</v>
      </c>
      <c r="AB3666" s="462" t="s">
        <v>12059</v>
      </c>
      <c r="AC3666" s="462" t="s">
        <v>12060</v>
      </c>
      <c r="AD3666" s="464">
        <v>255.70500000000001</v>
      </c>
      <c r="AE3666" s="465">
        <v>12.300330000000001</v>
      </c>
      <c r="AF3666" s="86">
        <f>IF(verze!$E$1="CZK",AD3666,IF(verze!$E$1="SK",AE3666,""))</f>
        <v>12.300330000000001</v>
      </c>
    </row>
    <row r="3667" spans="27:32" ht="15">
      <c r="AA3667" s="463" t="s">
        <v>12061</v>
      </c>
      <c r="AB3667" s="462" t="s">
        <v>12062</v>
      </c>
      <c r="AC3667" s="462" t="s">
        <v>12063</v>
      </c>
      <c r="AD3667" s="464">
        <v>265.59469000000001</v>
      </c>
      <c r="AE3667" s="465">
        <v>12.776059999999999</v>
      </c>
      <c r="AF3667" s="86">
        <f>IF(verze!$E$1="CZK",AD3667,IF(verze!$E$1="SK",AE3667,""))</f>
        <v>12.776059999999999</v>
      </c>
    </row>
    <row r="3668" spans="27:32" ht="15">
      <c r="AA3668" s="463" t="s">
        <v>12064</v>
      </c>
      <c r="AB3668" s="462" t="s">
        <v>12065</v>
      </c>
      <c r="AC3668" s="462" t="s">
        <v>12066</v>
      </c>
      <c r="AD3668" s="464">
        <v>345.97723000000002</v>
      </c>
      <c r="AE3668" s="465">
        <v>16.642749999999999</v>
      </c>
      <c r="AF3668" s="86">
        <f>IF(verze!$E$1="CZK",AD3668,IF(verze!$E$1="SK",AE3668,""))</f>
        <v>16.642749999999999</v>
      </c>
    </row>
    <row r="3669" spans="27:32" ht="15">
      <c r="AA3669" s="463" t="s">
        <v>12067</v>
      </c>
      <c r="AB3669" s="462" t="s">
        <v>12068</v>
      </c>
      <c r="AC3669" s="462" t="s">
        <v>12069</v>
      </c>
      <c r="AD3669" s="464">
        <v>345.97723000000002</v>
      </c>
      <c r="AE3669" s="465">
        <v>16.642749999999999</v>
      </c>
      <c r="AF3669" s="86">
        <f>IF(verze!$E$1="CZK",AD3669,IF(verze!$E$1="SK",AE3669,""))</f>
        <v>16.642749999999999</v>
      </c>
    </row>
    <row r="3670" spans="27:32" ht="15">
      <c r="AA3670" s="463" t="s">
        <v>12070</v>
      </c>
      <c r="AB3670" s="462" t="s">
        <v>12071</v>
      </c>
      <c r="AC3670" s="462" t="s">
        <v>12072</v>
      </c>
      <c r="AD3670" s="464">
        <v>345.97723000000002</v>
      </c>
      <c r="AE3670" s="465">
        <v>16.642749999999999</v>
      </c>
      <c r="AF3670" s="86">
        <f>IF(verze!$E$1="CZK",AD3670,IF(verze!$E$1="SK",AE3670,""))</f>
        <v>16.642749999999999</v>
      </c>
    </row>
    <row r="3671" spans="27:32" ht="15">
      <c r="AA3671" s="463" t="s">
        <v>12073</v>
      </c>
      <c r="AB3671" s="462" t="s">
        <v>12074</v>
      </c>
      <c r="AC3671" s="462" t="s">
        <v>12075</v>
      </c>
      <c r="AD3671" s="464">
        <v>350.17982000000001</v>
      </c>
      <c r="AE3671" s="465">
        <v>16.844899999999999</v>
      </c>
      <c r="AF3671" s="86">
        <f>IF(verze!$E$1="CZK",AD3671,IF(verze!$E$1="SK",AE3671,""))</f>
        <v>16.844899999999999</v>
      </c>
    </row>
    <row r="3672" spans="27:32" ht="15">
      <c r="AA3672" s="463" t="s">
        <v>12076</v>
      </c>
      <c r="AB3672" s="462" t="s">
        <v>12077</v>
      </c>
      <c r="AC3672" s="462" t="s">
        <v>12078</v>
      </c>
      <c r="AD3672" s="464">
        <v>353.18275999999997</v>
      </c>
      <c r="AE3672" s="465">
        <v>16.989360000000001</v>
      </c>
      <c r="AF3672" s="86">
        <f>IF(verze!$E$1="CZK",AD3672,IF(verze!$E$1="SK",AE3672,""))</f>
        <v>16.989360000000001</v>
      </c>
    </row>
    <row r="3673" spans="27:32" ht="15">
      <c r="AA3673" s="463" t="s">
        <v>12079</v>
      </c>
      <c r="AB3673" s="462" t="s">
        <v>12080</v>
      </c>
      <c r="AC3673" s="462" t="s">
        <v>12081</v>
      </c>
      <c r="AD3673" s="464">
        <v>356.1857</v>
      </c>
      <c r="AE3673" s="465">
        <v>17.13382</v>
      </c>
      <c r="AF3673" s="86">
        <f>IF(verze!$E$1="CZK",AD3673,IF(verze!$E$1="SK",AE3673,""))</f>
        <v>17.13382</v>
      </c>
    </row>
    <row r="3674" spans="27:32" ht="15">
      <c r="AA3674" s="463" t="s">
        <v>12082</v>
      </c>
      <c r="AB3674" s="462" t="s">
        <v>12083</v>
      </c>
      <c r="AC3674" s="462" t="s">
        <v>12084</v>
      </c>
      <c r="AD3674" s="464">
        <v>362.18911000000003</v>
      </c>
      <c r="AE3674" s="465">
        <v>17.422609999999999</v>
      </c>
      <c r="AF3674" s="86">
        <f>IF(verze!$E$1="CZK",AD3674,IF(verze!$E$1="SK",AE3674,""))</f>
        <v>17.422609999999999</v>
      </c>
    </row>
    <row r="3675" spans="27:32" ht="15">
      <c r="AA3675" s="463" t="s">
        <v>12085</v>
      </c>
      <c r="AB3675" s="462" t="s">
        <v>12086</v>
      </c>
      <c r="AC3675" s="462" t="s">
        <v>12087</v>
      </c>
      <c r="AD3675" s="464">
        <v>345.97723000000002</v>
      </c>
      <c r="AE3675" s="465">
        <v>16.642749999999999</v>
      </c>
      <c r="AF3675" s="86">
        <f>IF(verze!$E$1="CZK",AD3675,IF(verze!$E$1="SK",AE3675,""))</f>
        <v>16.642749999999999</v>
      </c>
    </row>
    <row r="3676" spans="27:32" ht="15">
      <c r="AA3676" s="463" t="s">
        <v>12088</v>
      </c>
      <c r="AB3676" s="462" t="s">
        <v>12089</v>
      </c>
      <c r="AC3676" s="462" t="s">
        <v>12090</v>
      </c>
      <c r="AD3676" s="464">
        <v>345.97723000000002</v>
      </c>
      <c r="AE3676" s="465">
        <v>16.642749999999999</v>
      </c>
      <c r="AF3676" s="86">
        <f>IF(verze!$E$1="CZK",AD3676,IF(verze!$E$1="SK",AE3676,""))</f>
        <v>16.642749999999999</v>
      </c>
    </row>
    <row r="3677" spans="27:32" ht="15">
      <c r="AA3677" s="463" t="s">
        <v>12091</v>
      </c>
      <c r="AB3677" s="462" t="s">
        <v>12092</v>
      </c>
      <c r="AC3677" s="462" t="s">
        <v>12093</v>
      </c>
      <c r="AD3677" s="464">
        <v>345.97723000000002</v>
      </c>
      <c r="AE3677" s="465">
        <v>16.642749999999999</v>
      </c>
      <c r="AF3677" s="86">
        <f>IF(verze!$E$1="CZK",AD3677,IF(verze!$E$1="SK",AE3677,""))</f>
        <v>16.642749999999999</v>
      </c>
    </row>
    <row r="3678" spans="27:32" ht="15">
      <c r="AA3678" s="463" t="s">
        <v>12094</v>
      </c>
      <c r="AB3678" s="462" t="s">
        <v>12095</v>
      </c>
      <c r="AC3678" s="462" t="s">
        <v>12096</v>
      </c>
      <c r="AD3678" s="464">
        <v>350.17982000000001</v>
      </c>
      <c r="AE3678" s="465">
        <v>16.844899999999999</v>
      </c>
      <c r="AF3678" s="86">
        <f>IF(verze!$E$1="CZK",AD3678,IF(verze!$E$1="SK",AE3678,""))</f>
        <v>16.844899999999999</v>
      </c>
    </row>
    <row r="3679" spans="27:32" ht="15">
      <c r="AA3679" s="463" t="s">
        <v>12097</v>
      </c>
      <c r="AB3679" s="462" t="s">
        <v>12098</v>
      </c>
      <c r="AC3679" s="462" t="s">
        <v>12099</v>
      </c>
      <c r="AD3679" s="464">
        <v>353.18275999999997</v>
      </c>
      <c r="AE3679" s="465">
        <v>16.989360000000001</v>
      </c>
      <c r="AF3679" s="86">
        <f>IF(verze!$E$1="CZK",AD3679,IF(verze!$E$1="SK",AE3679,""))</f>
        <v>16.989360000000001</v>
      </c>
    </row>
    <row r="3680" spans="27:32" ht="15">
      <c r="AA3680" s="463" t="s">
        <v>12100</v>
      </c>
      <c r="AB3680" s="462" t="s">
        <v>12101</v>
      </c>
      <c r="AC3680" s="462" t="s">
        <v>12102</v>
      </c>
      <c r="AD3680" s="464">
        <v>356.1857</v>
      </c>
      <c r="AE3680" s="465">
        <v>17.13382</v>
      </c>
      <c r="AF3680" s="86">
        <f>IF(verze!$E$1="CZK",AD3680,IF(verze!$E$1="SK",AE3680,""))</f>
        <v>17.13382</v>
      </c>
    </row>
    <row r="3681" spans="27:32" ht="15">
      <c r="AA3681" s="463" t="s">
        <v>12103</v>
      </c>
      <c r="AB3681" s="462" t="s">
        <v>12104</v>
      </c>
      <c r="AC3681" s="462" t="s">
        <v>12105</v>
      </c>
      <c r="AD3681" s="464">
        <v>362.18911000000003</v>
      </c>
      <c r="AE3681" s="465">
        <v>17.422609999999999</v>
      </c>
      <c r="AF3681" s="86">
        <f>IF(verze!$E$1="CZK",AD3681,IF(verze!$E$1="SK",AE3681,""))</f>
        <v>17.422609999999999</v>
      </c>
    </row>
    <row r="3682" spans="27:32" ht="15">
      <c r="AA3682" s="463" t="s">
        <v>12106</v>
      </c>
      <c r="AB3682" s="462" t="s">
        <v>12107</v>
      </c>
      <c r="AC3682" s="462" t="s">
        <v>12108</v>
      </c>
      <c r="AD3682" s="464">
        <v>345.97723000000002</v>
      </c>
      <c r="AE3682" s="465">
        <v>16.642749999999999</v>
      </c>
      <c r="AF3682" s="86">
        <f>IF(verze!$E$1="CZK",AD3682,IF(verze!$E$1="SK",AE3682,""))</f>
        <v>16.642749999999999</v>
      </c>
    </row>
    <row r="3683" spans="27:32" ht="15">
      <c r="AA3683" s="463" t="s">
        <v>12109</v>
      </c>
      <c r="AB3683" s="462" t="s">
        <v>12110</v>
      </c>
      <c r="AC3683" s="462" t="s">
        <v>12111</v>
      </c>
      <c r="AD3683" s="464">
        <v>345.97723000000002</v>
      </c>
      <c r="AE3683" s="465">
        <v>16.642749999999999</v>
      </c>
      <c r="AF3683" s="86">
        <f>IF(verze!$E$1="CZK",AD3683,IF(verze!$E$1="SK",AE3683,""))</f>
        <v>16.642749999999999</v>
      </c>
    </row>
    <row r="3684" spans="27:32" ht="15">
      <c r="AA3684" s="463" t="s">
        <v>12112</v>
      </c>
      <c r="AB3684" s="462" t="s">
        <v>12113</v>
      </c>
      <c r="AC3684" s="462" t="s">
        <v>12114</v>
      </c>
      <c r="AD3684" s="464">
        <v>345.97723000000002</v>
      </c>
      <c r="AE3684" s="465">
        <v>16.642749999999999</v>
      </c>
      <c r="AF3684" s="86">
        <f>IF(verze!$E$1="CZK",AD3684,IF(verze!$E$1="SK",AE3684,""))</f>
        <v>16.642749999999999</v>
      </c>
    </row>
    <row r="3685" spans="27:32" ht="15">
      <c r="AA3685" s="463" t="s">
        <v>12115</v>
      </c>
      <c r="AB3685" s="462" t="s">
        <v>12116</v>
      </c>
      <c r="AC3685" s="462" t="s">
        <v>12117</v>
      </c>
      <c r="AD3685" s="464">
        <v>350.17982000000001</v>
      </c>
      <c r="AE3685" s="465">
        <v>16.844899999999999</v>
      </c>
      <c r="AF3685" s="86">
        <f>IF(verze!$E$1="CZK",AD3685,IF(verze!$E$1="SK",AE3685,""))</f>
        <v>16.844899999999999</v>
      </c>
    </row>
    <row r="3686" spans="27:32" ht="15">
      <c r="AA3686" s="463" t="s">
        <v>12118</v>
      </c>
      <c r="AB3686" s="462" t="s">
        <v>12119</v>
      </c>
      <c r="AC3686" s="462" t="s">
        <v>12120</v>
      </c>
      <c r="AD3686" s="464">
        <v>353.18275999999997</v>
      </c>
      <c r="AE3686" s="465">
        <v>16.989360000000001</v>
      </c>
      <c r="AF3686" s="86">
        <f>IF(verze!$E$1="CZK",AD3686,IF(verze!$E$1="SK",AE3686,""))</f>
        <v>16.989360000000001</v>
      </c>
    </row>
    <row r="3687" spans="27:32" ht="15">
      <c r="AA3687" s="463" t="s">
        <v>12121</v>
      </c>
      <c r="AB3687" s="462" t="s">
        <v>12122</v>
      </c>
      <c r="AC3687" s="462" t="s">
        <v>12123</v>
      </c>
      <c r="AD3687" s="464">
        <v>356.1857</v>
      </c>
      <c r="AE3687" s="465">
        <v>17.13382</v>
      </c>
      <c r="AF3687" s="86">
        <f>IF(verze!$E$1="CZK",AD3687,IF(verze!$E$1="SK",AE3687,""))</f>
        <v>17.13382</v>
      </c>
    </row>
    <row r="3688" spans="27:32" ht="15">
      <c r="AA3688" s="463" t="s">
        <v>12124</v>
      </c>
      <c r="AB3688" s="462" t="s">
        <v>12125</v>
      </c>
      <c r="AC3688" s="462" t="s">
        <v>12126</v>
      </c>
      <c r="AD3688" s="464">
        <v>362.18911000000003</v>
      </c>
      <c r="AE3688" s="465">
        <v>17.422609999999999</v>
      </c>
      <c r="AF3688" s="86">
        <f>IF(verze!$E$1="CZK",AD3688,IF(verze!$E$1="SK",AE3688,""))</f>
        <v>17.422609999999999</v>
      </c>
    </row>
    <row r="3689" spans="27:32" ht="15">
      <c r="AA3689" s="463" t="s">
        <v>12127</v>
      </c>
      <c r="AB3689" s="462" t="s">
        <v>12128</v>
      </c>
      <c r="AC3689" s="462" t="s">
        <v>12129</v>
      </c>
      <c r="AD3689" s="464">
        <v>397.82488000000001</v>
      </c>
      <c r="AE3689" s="465">
        <v>19.13682</v>
      </c>
      <c r="AF3689" s="86">
        <f>IF(verze!$E$1="CZK",AD3689,IF(verze!$E$1="SK",AE3689,""))</f>
        <v>19.13682</v>
      </c>
    </row>
    <row r="3690" spans="27:32" ht="15">
      <c r="AA3690" s="463" t="s">
        <v>12130</v>
      </c>
      <c r="AB3690" s="462" t="s">
        <v>12131</v>
      </c>
      <c r="AC3690" s="462" t="s">
        <v>12132</v>
      </c>
      <c r="AD3690" s="464">
        <v>397.82488000000001</v>
      </c>
      <c r="AE3690" s="465">
        <v>19.13682</v>
      </c>
      <c r="AF3690" s="86">
        <f>IF(verze!$E$1="CZK",AD3690,IF(verze!$E$1="SK",AE3690,""))</f>
        <v>19.13682</v>
      </c>
    </row>
    <row r="3691" spans="27:32" ht="15">
      <c r="AA3691" s="463" t="s">
        <v>12133</v>
      </c>
      <c r="AB3691" s="462" t="s">
        <v>12134</v>
      </c>
      <c r="AC3691" s="462" t="s">
        <v>12135</v>
      </c>
      <c r="AD3691" s="464">
        <v>397.82488000000001</v>
      </c>
      <c r="AE3691" s="465">
        <v>19.13682</v>
      </c>
      <c r="AF3691" s="86">
        <f>IF(verze!$E$1="CZK",AD3691,IF(verze!$E$1="SK",AE3691,""))</f>
        <v>19.13682</v>
      </c>
    </row>
    <row r="3692" spans="27:32" ht="15">
      <c r="AA3692" s="463" t="s">
        <v>12136</v>
      </c>
      <c r="AB3692" s="462" t="s">
        <v>12137</v>
      </c>
      <c r="AC3692" s="462" t="s">
        <v>12138</v>
      </c>
      <c r="AD3692" s="464">
        <v>404.74824999999998</v>
      </c>
      <c r="AE3692" s="465">
        <v>19.469860000000001</v>
      </c>
      <c r="AF3692" s="86">
        <f>IF(verze!$E$1="CZK",AD3692,IF(verze!$E$1="SK",AE3692,""))</f>
        <v>19.469860000000001</v>
      </c>
    </row>
    <row r="3693" spans="27:32" ht="15">
      <c r="AA3693" s="463" t="s">
        <v>12139</v>
      </c>
      <c r="AB3693" s="462" t="s">
        <v>12140</v>
      </c>
      <c r="AC3693" s="462" t="s">
        <v>12141</v>
      </c>
      <c r="AD3693" s="464">
        <v>409.69304</v>
      </c>
      <c r="AE3693" s="465">
        <v>19.707719999999998</v>
      </c>
      <c r="AF3693" s="86">
        <f>IF(verze!$E$1="CZK",AD3693,IF(verze!$E$1="SK",AE3693,""))</f>
        <v>19.707719999999998</v>
      </c>
    </row>
    <row r="3694" spans="27:32" ht="15">
      <c r="AA3694" s="463" t="s">
        <v>12142</v>
      </c>
      <c r="AB3694" s="462" t="s">
        <v>12143</v>
      </c>
      <c r="AC3694" s="462" t="s">
        <v>12144</v>
      </c>
      <c r="AD3694" s="464">
        <v>414.63792999999998</v>
      </c>
      <c r="AE3694" s="465">
        <v>19.94557</v>
      </c>
      <c r="AF3694" s="86">
        <f>IF(verze!$E$1="CZK",AD3694,IF(verze!$E$1="SK",AE3694,""))</f>
        <v>19.94557</v>
      </c>
    </row>
    <row r="3695" spans="27:32" ht="15">
      <c r="AA3695" s="463" t="s">
        <v>12145</v>
      </c>
      <c r="AB3695" s="462" t="s">
        <v>12146</v>
      </c>
      <c r="AC3695" s="462" t="s">
        <v>12147</v>
      </c>
      <c r="AD3695" s="464">
        <v>424.52494000000002</v>
      </c>
      <c r="AE3695" s="465">
        <v>20.42118</v>
      </c>
      <c r="AF3695" s="86">
        <f>IF(verze!$E$1="CZK",AD3695,IF(verze!$E$1="SK",AE3695,""))</f>
        <v>20.42118</v>
      </c>
    </row>
    <row r="3696" spans="27:32" ht="15">
      <c r="AA3696" s="463" t="s">
        <v>12148</v>
      </c>
      <c r="AB3696" s="462" t="s">
        <v>12149</v>
      </c>
      <c r="AC3696" s="462" t="s">
        <v>12150</v>
      </c>
      <c r="AD3696" s="464">
        <v>397.82488000000001</v>
      </c>
      <c r="AE3696" s="465">
        <v>19.13682</v>
      </c>
      <c r="AF3696" s="86">
        <f>IF(verze!$E$1="CZK",AD3696,IF(verze!$E$1="SK",AE3696,""))</f>
        <v>19.13682</v>
      </c>
    </row>
    <row r="3697" spans="27:32" ht="15">
      <c r="AA3697" s="463" t="s">
        <v>12151</v>
      </c>
      <c r="AB3697" s="462" t="s">
        <v>12152</v>
      </c>
      <c r="AC3697" s="462" t="s">
        <v>12153</v>
      </c>
      <c r="AD3697" s="464">
        <v>397.82488000000001</v>
      </c>
      <c r="AE3697" s="465">
        <v>19.13682</v>
      </c>
      <c r="AF3697" s="86">
        <f>IF(verze!$E$1="CZK",AD3697,IF(verze!$E$1="SK",AE3697,""))</f>
        <v>19.13682</v>
      </c>
    </row>
    <row r="3698" spans="27:32" ht="15">
      <c r="AA3698" s="463" t="s">
        <v>12154</v>
      </c>
      <c r="AB3698" s="462" t="s">
        <v>12155</v>
      </c>
      <c r="AC3698" s="462" t="s">
        <v>12156</v>
      </c>
      <c r="AD3698" s="464">
        <v>397.82488000000001</v>
      </c>
      <c r="AE3698" s="465">
        <v>19.13682</v>
      </c>
      <c r="AF3698" s="86">
        <f>IF(verze!$E$1="CZK",AD3698,IF(verze!$E$1="SK",AE3698,""))</f>
        <v>19.13682</v>
      </c>
    </row>
    <row r="3699" spans="27:32" ht="15">
      <c r="AA3699" s="463" t="s">
        <v>12157</v>
      </c>
      <c r="AB3699" s="462" t="s">
        <v>12158</v>
      </c>
      <c r="AC3699" s="462" t="s">
        <v>12159</v>
      </c>
      <c r="AD3699" s="464">
        <v>404.74824999999998</v>
      </c>
      <c r="AE3699" s="465">
        <v>19.469860000000001</v>
      </c>
      <c r="AF3699" s="86">
        <f>IF(verze!$E$1="CZK",AD3699,IF(verze!$E$1="SK",AE3699,""))</f>
        <v>19.469860000000001</v>
      </c>
    </row>
    <row r="3700" spans="27:32" ht="15">
      <c r="AA3700" s="463" t="s">
        <v>12160</v>
      </c>
      <c r="AB3700" s="462" t="s">
        <v>12161</v>
      </c>
      <c r="AC3700" s="462" t="s">
        <v>12162</v>
      </c>
      <c r="AD3700" s="464">
        <v>409.69304</v>
      </c>
      <c r="AE3700" s="465">
        <v>19.707719999999998</v>
      </c>
      <c r="AF3700" s="86">
        <f>IF(verze!$E$1="CZK",AD3700,IF(verze!$E$1="SK",AE3700,""))</f>
        <v>19.707719999999998</v>
      </c>
    </row>
    <row r="3701" spans="27:32" ht="15">
      <c r="AA3701" s="463" t="s">
        <v>12163</v>
      </c>
      <c r="AB3701" s="462" t="s">
        <v>12164</v>
      </c>
      <c r="AC3701" s="462" t="s">
        <v>12165</v>
      </c>
      <c r="AD3701" s="464">
        <v>414.63792999999998</v>
      </c>
      <c r="AE3701" s="465">
        <v>19.94557</v>
      </c>
      <c r="AF3701" s="86">
        <f>IF(verze!$E$1="CZK",AD3701,IF(verze!$E$1="SK",AE3701,""))</f>
        <v>19.94557</v>
      </c>
    </row>
    <row r="3702" spans="27:32" ht="15">
      <c r="AA3702" s="463" t="s">
        <v>12166</v>
      </c>
      <c r="AB3702" s="462" t="s">
        <v>12167</v>
      </c>
      <c r="AC3702" s="462" t="s">
        <v>12168</v>
      </c>
      <c r="AD3702" s="464">
        <v>424.52494000000002</v>
      </c>
      <c r="AE3702" s="465">
        <v>20.42118</v>
      </c>
      <c r="AF3702" s="86">
        <f>IF(verze!$E$1="CZK",AD3702,IF(verze!$E$1="SK",AE3702,""))</f>
        <v>20.42118</v>
      </c>
    </row>
    <row r="3703" spans="27:32" ht="15">
      <c r="AA3703" s="463" t="s">
        <v>12169</v>
      </c>
      <c r="AB3703" s="462" t="s">
        <v>12170</v>
      </c>
      <c r="AC3703" s="462" t="s">
        <v>12171</v>
      </c>
      <c r="AD3703" s="464">
        <v>397.82488000000001</v>
      </c>
      <c r="AE3703" s="465">
        <v>19.13682</v>
      </c>
      <c r="AF3703" s="86">
        <f>IF(verze!$E$1="CZK",AD3703,IF(verze!$E$1="SK",AE3703,""))</f>
        <v>19.13682</v>
      </c>
    </row>
    <row r="3704" spans="27:32" ht="15">
      <c r="AA3704" s="463" t="s">
        <v>12172</v>
      </c>
      <c r="AB3704" s="462" t="s">
        <v>12173</v>
      </c>
      <c r="AC3704" s="462" t="s">
        <v>12174</v>
      </c>
      <c r="AD3704" s="464">
        <v>397.82488000000001</v>
      </c>
      <c r="AE3704" s="465">
        <v>19.13682</v>
      </c>
      <c r="AF3704" s="86">
        <f>IF(verze!$E$1="CZK",AD3704,IF(verze!$E$1="SK",AE3704,""))</f>
        <v>19.13682</v>
      </c>
    </row>
    <row r="3705" spans="27:32" ht="15">
      <c r="AA3705" s="463" t="s">
        <v>12175</v>
      </c>
      <c r="AB3705" s="462" t="s">
        <v>12176</v>
      </c>
      <c r="AC3705" s="462" t="s">
        <v>12177</v>
      </c>
      <c r="AD3705" s="464">
        <v>397.82488000000001</v>
      </c>
      <c r="AE3705" s="465">
        <v>19.13682</v>
      </c>
      <c r="AF3705" s="86">
        <f>IF(verze!$E$1="CZK",AD3705,IF(verze!$E$1="SK",AE3705,""))</f>
        <v>19.13682</v>
      </c>
    </row>
    <row r="3706" spans="27:32" ht="15">
      <c r="AA3706" s="463" t="s">
        <v>12178</v>
      </c>
      <c r="AB3706" s="462" t="s">
        <v>12179</v>
      </c>
      <c r="AC3706" s="462" t="s">
        <v>12180</v>
      </c>
      <c r="AD3706" s="464">
        <v>404.74824999999998</v>
      </c>
      <c r="AE3706" s="465">
        <v>19.469860000000001</v>
      </c>
      <c r="AF3706" s="86">
        <f>IF(verze!$E$1="CZK",AD3706,IF(verze!$E$1="SK",AE3706,""))</f>
        <v>19.469860000000001</v>
      </c>
    </row>
    <row r="3707" spans="27:32" ht="15">
      <c r="AA3707" s="463" t="s">
        <v>12181</v>
      </c>
      <c r="AB3707" s="462" t="s">
        <v>12182</v>
      </c>
      <c r="AC3707" s="462" t="s">
        <v>12183</v>
      </c>
      <c r="AD3707" s="464">
        <v>409.69304</v>
      </c>
      <c r="AE3707" s="465">
        <v>19.707719999999998</v>
      </c>
      <c r="AF3707" s="86">
        <f>IF(verze!$E$1="CZK",AD3707,IF(verze!$E$1="SK",AE3707,""))</f>
        <v>19.707719999999998</v>
      </c>
    </row>
    <row r="3708" spans="27:32" ht="15">
      <c r="AA3708" s="463" t="s">
        <v>12184</v>
      </c>
      <c r="AB3708" s="462" t="s">
        <v>12185</v>
      </c>
      <c r="AC3708" s="462" t="s">
        <v>12186</v>
      </c>
      <c r="AD3708" s="464">
        <v>414.63792999999998</v>
      </c>
      <c r="AE3708" s="465">
        <v>19.94557</v>
      </c>
      <c r="AF3708" s="86">
        <f>IF(verze!$E$1="CZK",AD3708,IF(verze!$E$1="SK",AE3708,""))</f>
        <v>19.94557</v>
      </c>
    </row>
    <row r="3709" spans="27:32" ht="15">
      <c r="AA3709" s="463" t="s">
        <v>12187</v>
      </c>
      <c r="AB3709" s="462" t="s">
        <v>12188</v>
      </c>
      <c r="AC3709" s="462" t="s">
        <v>12189</v>
      </c>
      <c r="AD3709" s="464">
        <v>517.52125000000001</v>
      </c>
      <c r="AE3709" s="465">
        <v>24.894639999999999</v>
      </c>
      <c r="AF3709" s="86">
        <f>IF(verze!$E$1="CZK",AD3709,IF(verze!$E$1="SK",AE3709,""))</f>
        <v>24.894639999999999</v>
      </c>
    </row>
    <row r="3710" spans="27:32" ht="15">
      <c r="AA3710" s="463" t="s">
        <v>12190</v>
      </c>
      <c r="AB3710" s="462" t="s">
        <v>12191</v>
      </c>
      <c r="AC3710" s="462" t="s">
        <v>12192</v>
      </c>
      <c r="AD3710" s="464">
        <v>595.36510999999996</v>
      </c>
      <c r="AE3710" s="465">
        <v>28.639209999999999</v>
      </c>
      <c r="AF3710" s="86">
        <f>IF(verze!$E$1="CZK",AD3710,IF(verze!$E$1="SK",AE3710,""))</f>
        <v>28.639209999999999</v>
      </c>
    </row>
    <row r="3711" spans="27:32" ht="15">
      <c r="AA3711" s="463" t="s">
        <v>12193</v>
      </c>
      <c r="AB3711" s="462" t="s">
        <v>12194</v>
      </c>
      <c r="AC3711" s="462" t="s">
        <v>12195</v>
      </c>
      <c r="AD3711" s="464">
        <v>673.20907</v>
      </c>
      <c r="AE3711" s="465">
        <v>32.383789999999998</v>
      </c>
      <c r="AF3711" s="86">
        <f>IF(verze!$E$1="CZK",AD3711,IF(verze!$E$1="SK",AE3711,""))</f>
        <v>32.383789999999998</v>
      </c>
    </row>
    <row r="3712" spans="27:32" ht="15">
      <c r="AA3712" s="463" t="s">
        <v>12196</v>
      </c>
      <c r="AB3712" s="462" t="s">
        <v>12197</v>
      </c>
      <c r="AC3712" s="462" t="s">
        <v>12198</v>
      </c>
      <c r="AD3712" s="464">
        <v>517.52125000000001</v>
      </c>
      <c r="AE3712" s="465">
        <v>24.894639999999999</v>
      </c>
      <c r="AF3712" s="86">
        <f>IF(verze!$E$1="CZK",AD3712,IF(verze!$E$1="SK",AE3712,""))</f>
        <v>24.894639999999999</v>
      </c>
    </row>
    <row r="3713" spans="27:32" ht="15">
      <c r="AA3713" s="463" t="s">
        <v>12199</v>
      </c>
      <c r="AB3713" s="462" t="s">
        <v>12200</v>
      </c>
      <c r="AC3713" s="462" t="s">
        <v>12201</v>
      </c>
      <c r="AD3713" s="464">
        <v>478.59796999999998</v>
      </c>
      <c r="AE3713" s="465">
        <v>23.022279999999999</v>
      </c>
      <c r="AF3713" s="86">
        <f>IF(verze!$E$1="CZK",AD3713,IF(verze!$E$1="SK",AE3713,""))</f>
        <v>23.022279999999999</v>
      </c>
    </row>
    <row r="3714" spans="27:32" ht="15">
      <c r="AA3714" s="463" t="s">
        <v>12202</v>
      </c>
      <c r="AB3714" s="462" t="s">
        <v>12203</v>
      </c>
      <c r="AC3714" s="462" t="s">
        <v>12204</v>
      </c>
      <c r="AD3714" s="464">
        <v>517.52125000000001</v>
      </c>
      <c r="AE3714" s="465">
        <v>24.894639999999999</v>
      </c>
      <c r="AF3714" s="86">
        <f>IF(verze!$E$1="CZK",AD3714,IF(verze!$E$1="SK",AE3714,""))</f>
        <v>24.894639999999999</v>
      </c>
    </row>
    <row r="3715" spans="27:32" ht="15">
      <c r="AA3715" s="463" t="s">
        <v>12205</v>
      </c>
      <c r="AB3715" s="462" t="s">
        <v>12206</v>
      </c>
      <c r="AC3715" s="462" t="s">
        <v>12207</v>
      </c>
      <c r="AD3715" s="464">
        <v>800.45124999999996</v>
      </c>
      <c r="AE3715" s="465">
        <v>38.50459</v>
      </c>
      <c r="AF3715" s="86">
        <f>IF(verze!$E$1="CZK",AD3715,IF(verze!$E$1="SK",AE3715,""))</f>
        <v>38.50459</v>
      </c>
    </row>
    <row r="3716" spans="27:32" ht="15">
      <c r="AA3716" s="463" t="s">
        <v>12205</v>
      </c>
      <c r="AB3716" s="462" t="s">
        <v>12208</v>
      </c>
      <c r="AC3716" s="462" t="s">
        <v>12209</v>
      </c>
      <c r="AD3716" s="464">
        <v>742.87207000000001</v>
      </c>
      <c r="AE3716" s="465">
        <v>35.734819999999999</v>
      </c>
      <c r="AF3716" s="86">
        <f>IF(verze!$E$1="CZK",AD3716,IF(verze!$E$1="SK",AE3716,""))</f>
        <v>35.734819999999999</v>
      </c>
    </row>
    <row r="3717" spans="27:32" ht="15">
      <c r="AA3717" s="463" t="s">
        <v>12210</v>
      </c>
      <c r="AB3717" s="462" t="s">
        <v>12211</v>
      </c>
      <c r="AC3717" s="462" t="s">
        <v>12212</v>
      </c>
      <c r="AD3717" s="464">
        <v>800.45124999999996</v>
      </c>
      <c r="AE3717" s="465">
        <v>38.50459</v>
      </c>
      <c r="AF3717" s="86">
        <f>IF(verze!$E$1="CZK",AD3717,IF(verze!$E$1="SK",AE3717,""))</f>
        <v>38.50459</v>
      </c>
    </row>
    <row r="3718" spans="27:32" ht="15">
      <c r="AA3718" s="463" t="s">
        <v>12210</v>
      </c>
      <c r="AB3718" s="462" t="s">
        <v>12213</v>
      </c>
      <c r="AC3718" s="462" t="s">
        <v>12214</v>
      </c>
      <c r="AD3718" s="464">
        <v>742.87207000000001</v>
      </c>
      <c r="AE3718" s="465">
        <v>35.734819999999999</v>
      </c>
      <c r="AF3718" s="86">
        <f>IF(verze!$E$1="CZK",AD3718,IF(verze!$E$1="SK",AE3718,""))</f>
        <v>35.734819999999999</v>
      </c>
    </row>
    <row r="3719" spans="27:32" ht="15">
      <c r="AA3719" s="463" t="s">
        <v>12215</v>
      </c>
      <c r="AB3719" s="462" t="s">
        <v>12216</v>
      </c>
      <c r="AC3719" s="462" t="s">
        <v>12217</v>
      </c>
      <c r="AD3719" s="464">
        <v>742.87207000000001</v>
      </c>
      <c r="AE3719" s="465">
        <v>35.734819999999999</v>
      </c>
      <c r="AF3719" s="86">
        <f>IF(verze!$E$1="CZK",AD3719,IF(verze!$E$1="SK",AE3719,""))</f>
        <v>35.734819999999999</v>
      </c>
    </row>
    <row r="3720" spans="27:32" ht="15">
      <c r="AA3720" s="463" t="s">
        <v>12215</v>
      </c>
      <c r="AB3720" s="462" t="s">
        <v>12218</v>
      </c>
      <c r="AC3720" s="462" t="s">
        <v>12219</v>
      </c>
      <c r="AD3720" s="464">
        <v>800.45124999999996</v>
      </c>
      <c r="AE3720" s="465">
        <v>38.50459</v>
      </c>
      <c r="AF3720" s="86">
        <f>IF(verze!$E$1="CZK",AD3720,IF(verze!$E$1="SK",AE3720,""))</f>
        <v>38.50459</v>
      </c>
    </row>
    <row r="3721" spans="27:32" ht="15">
      <c r="AA3721" s="463" t="s">
        <v>12220</v>
      </c>
      <c r="AB3721" s="462" t="s">
        <v>12221</v>
      </c>
      <c r="AC3721" s="462" t="s">
        <v>12222</v>
      </c>
      <c r="AD3721" s="464">
        <v>1154.53979</v>
      </c>
      <c r="AE3721" s="465">
        <v>55.537520000000001</v>
      </c>
      <c r="AF3721" s="86">
        <f>IF(verze!$E$1="CZK",AD3721,IF(verze!$E$1="SK",AE3721,""))</f>
        <v>55.537520000000001</v>
      </c>
    </row>
    <row r="3722" spans="27:32" ht="15">
      <c r="AA3722" s="463" t="s">
        <v>12223</v>
      </c>
      <c r="AB3722" s="462" t="s">
        <v>12224</v>
      </c>
      <c r="AC3722" s="462" t="s">
        <v>12225</v>
      </c>
      <c r="AD3722" s="464">
        <v>1154.53979</v>
      </c>
      <c r="AE3722" s="465">
        <v>55.537520000000001</v>
      </c>
      <c r="AF3722" s="86">
        <f>IF(verze!$E$1="CZK",AD3722,IF(verze!$E$1="SK",AE3722,""))</f>
        <v>55.537520000000001</v>
      </c>
    </row>
    <row r="3723" spans="27:32" ht="15">
      <c r="AA3723" s="463" t="s">
        <v>12226</v>
      </c>
      <c r="AB3723" s="462" t="s">
        <v>12227</v>
      </c>
      <c r="AC3723" s="462" t="s">
        <v>12228</v>
      </c>
      <c r="AD3723" s="464">
        <v>1154.53979</v>
      </c>
      <c r="AE3723" s="465">
        <v>55.537520000000001</v>
      </c>
      <c r="AF3723" s="86">
        <f>IF(verze!$E$1="CZK",AD3723,IF(verze!$E$1="SK",AE3723,""))</f>
        <v>55.537520000000001</v>
      </c>
    </row>
    <row r="3724" spans="27:32" ht="15">
      <c r="AA3724" s="463" t="s">
        <v>12229</v>
      </c>
      <c r="AB3724" s="462" t="s">
        <v>12230</v>
      </c>
      <c r="AC3724" s="462" t="s">
        <v>12231</v>
      </c>
      <c r="AD3724" s="464">
        <v>1164.05477</v>
      </c>
      <c r="AE3724" s="465">
        <v>55.995220000000003</v>
      </c>
      <c r="AF3724" s="86">
        <f>IF(verze!$E$1="CZK",AD3724,IF(verze!$E$1="SK",AE3724,""))</f>
        <v>55.995220000000003</v>
      </c>
    </row>
    <row r="3725" spans="27:32" ht="15">
      <c r="AA3725" s="463" t="s">
        <v>12232</v>
      </c>
      <c r="AB3725" s="462" t="s">
        <v>12233</v>
      </c>
      <c r="AC3725" s="462" t="s">
        <v>12234</v>
      </c>
      <c r="AD3725" s="464">
        <v>1170.8515500000001</v>
      </c>
      <c r="AE3725" s="465">
        <v>56.322189999999999</v>
      </c>
      <c r="AF3725" s="86">
        <f>IF(verze!$E$1="CZK",AD3725,IF(verze!$E$1="SK",AE3725,""))</f>
        <v>56.322189999999999</v>
      </c>
    </row>
    <row r="3726" spans="27:32" ht="15">
      <c r="AA3726" s="463" t="s">
        <v>12235</v>
      </c>
      <c r="AB3726" s="462" t="s">
        <v>12236</v>
      </c>
      <c r="AC3726" s="462" t="s">
        <v>12237</v>
      </c>
      <c r="AD3726" s="464">
        <v>1177.6505199999999</v>
      </c>
      <c r="AE3726" s="465">
        <v>56.649239999999999</v>
      </c>
      <c r="AF3726" s="86">
        <f>IF(verze!$E$1="CZK",AD3726,IF(verze!$E$1="SK",AE3726,""))</f>
        <v>56.649239999999999</v>
      </c>
    </row>
    <row r="3727" spans="27:32" ht="15">
      <c r="AA3727" s="463" t="s">
        <v>12238</v>
      </c>
      <c r="AB3727" s="462" t="s">
        <v>12239</v>
      </c>
      <c r="AC3727" s="462" t="s">
        <v>12240</v>
      </c>
      <c r="AD3727" s="464">
        <v>1191.2438999999999</v>
      </c>
      <c r="AE3727" s="465">
        <v>57.303139999999999</v>
      </c>
      <c r="AF3727" s="86">
        <f>IF(verze!$E$1="CZK",AD3727,IF(verze!$E$1="SK",AE3727,""))</f>
        <v>57.303139999999999</v>
      </c>
    </row>
    <row r="3728" spans="27:32" ht="15">
      <c r="AA3728" s="463" t="s">
        <v>12241</v>
      </c>
      <c r="AB3728" s="462" t="s">
        <v>12242</v>
      </c>
      <c r="AC3728" s="462" t="s">
        <v>12243</v>
      </c>
      <c r="AD3728" s="464">
        <v>1154.53979</v>
      </c>
      <c r="AE3728" s="465">
        <v>55.537520000000001</v>
      </c>
      <c r="AF3728" s="86">
        <f>IF(verze!$E$1="CZK",AD3728,IF(verze!$E$1="SK",AE3728,""))</f>
        <v>55.537520000000001</v>
      </c>
    </row>
    <row r="3729" spans="27:32" ht="15">
      <c r="AA3729" s="463" t="s">
        <v>12244</v>
      </c>
      <c r="AB3729" s="462" t="s">
        <v>12245</v>
      </c>
      <c r="AC3729" s="462" t="s">
        <v>12246</v>
      </c>
      <c r="AD3729" s="464">
        <v>1154.53979</v>
      </c>
      <c r="AE3729" s="465">
        <v>55.537520000000001</v>
      </c>
      <c r="AF3729" s="86">
        <f>IF(verze!$E$1="CZK",AD3729,IF(verze!$E$1="SK",AE3729,""))</f>
        <v>55.537520000000001</v>
      </c>
    </row>
    <row r="3730" spans="27:32" ht="15">
      <c r="AA3730" s="463" t="s">
        <v>12247</v>
      </c>
      <c r="AB3730" s="462" t="s">
        <v>12248</v>
      </c>
      <c r="AC3730" s="462" t="s">
        <v>12249</v>
      </c>
      <c r="AD3730" s="464">
        <v>1154.53979</v>
      </c>
      <c r="AE3730" s="465">
        <v>55.537520000000001</v>
      </c>
      <c r="AF3730" s="86">
        <f>IF(verze!$E$1="CZK",AD3730,IF(verze!$E$1="SK",AE3730,""))</f>
        <v>55.537520000000001</v>
      </c>
    </row>
    <row r="3731" spans="27:32" ht="15">
      <c r="AA3731" s="463" t="s">
        <v>12250</v>
      </c>
      <c r="AB3731" s="462" t="s">
        <v>12251</v>
      </c>
      <c r="AC3731" s="462" t="s">
        <v>12252</v>
      </c>
      <c r="AD3731" s="464">
        <v>1164.05477</v>
      </c>
      <c r="AE3731" s="465">
        <v>55.995220000000003</v>
      </c>
      <c r="AF3731" s="86">
        <f>IF(verze!$E$1="CZK",AD3731,IF(verze!$E$1="SK",AE3731,""))</f>
        <v>55.995220000000003</v>
      </c>
    </row>
    <row r="3732" spans="27:32" ht="15">
      <c r="AA3732" s="463" t="s">
        <v>12253</v>
      </c>
      <c r="AB3732" s="462" t="s">
        <v>12254</v>
      </c>
      <c r="AC3732" s="462" t="s">
        <v>12255</v>
      </c>
      <c r="AD3732" s="464">
        <v>1170.8515500000001</v>
      </c>
      <c r="AE3732" s="465">
        <v>56.322189999999999</v>
      </c>
      <c r="AF3732" s="86">
        <f>IF(verze!$E$1="CZK",AD3732,IF(verze!$E$1="SK",AE3732,""))</f>
        <v>56.322189999999999</v>
      </c>
    </row>
    <row r="3733" spans="27:32" ht="15">
      <c r="AA3733" s="463" t="s">
        <v>12256</v>
      </c>
      <c r="AB3733" s="462" t="s">
        <v>12257</v>
      </c>
      <c r="AC3733" s="462" t="s">
        <v>12258</v>
      </c>
      <c r="AD3733" s="464">
        <v>1177.6505199999999</v>
      </c>
      <c r="AE3733" s="465">
        <v>56.649239999999999</v>
      </c>
      <c r="AF3733" s="86">
        <f>IF(verze!$E$1="CZK",AD3733,IF(verze!$E$1="SK",AE3733,""))</f>
        <v>56.649239999999999</v>
      </c>
    </row>
    <row r="3734" spans="27:32" ht="15">
      <c r="AA3734" s="463" t="s">
        <v>12259</v>
      </c>
      <c r="AB3734" s="462" t="s">
        <v>12260</v>
      </c>
      <c r="AC3734" s="462" t="s">
        <v>12261</v>
      </c>
      <c r="AD3734" s="464">
        <v>1191.2438999999999</v>
      </c>
      <c r="AE3734" s="465">
        <v>57.303139999999999</v>
      </c>
      <c r="AF3734" s="86">
        <f>IF(verze!$E$1="CZK",AD3734,IF(verze!$E$1="SK",AE3734,""))</f>
        <v>57.303139999999999</v>
      </c>
    </row>
    <row r="3735" spans="27:32" ht="15">
      <c r="AA3735" s="463" t="s">
        <v>12262</v>
      </c>
      <c r="AB3735" s="462" t="s">
        <v>12263</v>
      </c>
      <c r="AC3735" s="462" t="s">
        <v>12264</v>
      </c>
      <c r="AD3735" s="464">
        <v>1154.53979</v>
      </c>
      <c r="AE3735" s="465">
        <v>55.537520000000001</v>
      </c>
      <c r="AF3735" s="86">
        <f>IF(verze!$E$1="CZK",AD3735,IF(verze!$E$1="SK",AE3735,""))</f>
        <v>55.537520000000001</v>
      </c>
    </row>
    <row r="3736" spans="27:32" ht="15">
      <c r="AA3736" s="463" t="s">
        <v>12265</v>
      </c>
      <c r="AB3736" s="462" t="s">
        <v>12266</v>
      </c>
      <c r="AC3736" s="462" t="s">
        <v>12267</v>
      </c>
      <c r="AD3736" s="464">
        <v>1154.53979</v>
      </c>
      <c r="AE3736" s="465">
        <v>55.537520000000001</v>
      </c>
      <c r="AF3736" s="86">
        <f>IF(verze!$E$1="CZK",AD3736,IF(verze!$E$1="SK",AE3736,""))</f>
        <v>55.537520000000001</v>
      </c>
    </row>
    <row r="3737" spans="27:32" ht="15">
      <c r="AA3737" s="463" t="s">
        <v>12268</v>
      </c>
      <c r="AB3737" s="462" t="s">
        <v>12269</v>
      </c>
      <c r="AC3737" s="462" t="s">
        <v>12270</v>
      </c>
      <c r="AD3737" s="464">
        <v>1154.53979</v>
      </c>
      <c r="AE3737" s="465">
        <v>55.537520000000001</v>
      </c>
      <c r="AF3737" s="86">
        <f>IF(verze!$E$1="CZK",AD3737,IF(verze!$E$1="SK",AE3737,""))</f>
        <v>55.537520000000001</v>
      </c>
    </row>
    <row r="3738" spans="27:32" ht="15">
      <c r="AA3738" s="463" t="s">
        <v>12271</v>
      </c>
      <c r="AB3738" s="462" t="s">
        <v>12272</v>
      </c>
      <c r="AC3738" s="462" t="s">
        <v>12273</v>
      </c>
      <c r="AD3738" s="464">
        <v>1164.05477</v>
      </c>
      <c r="AE3738" s="465">
        <v>55.64958</v>
      </c>
      <c r="AF3738" s="86">
        <f>IF(verze!$E$1="CZK",AD3738,IF(verze!$E$1="SK",AE3738,""))</f>
        <v>55.64958</v>
      </c>
    </row>
    <row r="3739" spans="27:32" ht="15">
      <c r="AA3739" s="463" t="s">
        <v>12274</v>
      </c>
      <c r="AB3739" s="462" t="s">
        <v>12275</v>
      </c>
      <c r="AC3739" s="462" t="s">
        <v>12276</v>
      </c>
      <c r="AD3739" s="464">
        <v>1170.8515500000001</v>
      </c>
      <c r="AE3739" s="465">
        <v>56.322189999999999</v>
      </c>
      <c r="AF3739" s="86">
        <f>IF(verze!$E$1="CZK",AD3739,IF(verze!$E$1="SK",AE3739,""))</f>
        <v>56.322189999999999</v>
      </c>
    </row>
    <row r="3740" spans="27:32" ht="15">
      <c r="AA3740" s="463" t="s">
        <v>12277</v>
      </c>
      <c r="AB3740" s="462" t="s">
        <v>12278</v>
      </c>
      <c r="AC3740" s="462" t="s">
        <v>12279</v>
      </c>
      <c r="AD3740" s="464">
        <v>1177.6505199999999</v>
      </c>
      <c r="AE3740" s="465">
        <v>56.649239999999999</v>
      </c>
      <c r="AF3740" s="86">
        <f>IF(verze!$E$1="CZK",AD3740,IF(verze!$E$1="SK",AE3740,""))</f>
        <v>56.649239999999999</v>
      </c>
    </row>
    <row r="3741" spans="27:32" ht="15">
      <c r="AA3741" s="463" t="s">
        <v>12280</v>
      </c>
      <c r="AB3741" s="462" t="s">
        <v>12281</v>
      </c>
      <c r="AC3741" s="462" t="s">
        <v>12282</v>
      </c>
      <c r="AD3741" s="464">
        <v>1191.2438999999999</v>
      </c>
      <c r="AE3741" s="465">
        <v>57.303139999999999</v>
      </c>
      <c r="AF3741" s="86">
        <f>IF(verze!$E$1="CZK",AD3741,IF(verze!$E$1="SK",AE3741,""))</f>
        <v>57.303139999999999</v>
      </c>
    </row>
    <row r="3742" spans="27:32" ht="15">
      <c r="AA3742" s="463" t="s">
        <v>12283</v>
      </c>
      <c r="AB3742" s="462" t="s">
        <v>12284</v>
      </c>
      <c r="AC3742" s="462" t="s">
        <v>12285</v>
      </c>
      <c r="AD3742" s="464">
        <v>1294.26214</v>
      </c>
      <c r="AE3742" s="465">
        <v>62.258679999999998</v>
      </c>
      <c r="AF3742" s="86">
        <f>IF(verze!$E$1="CZK",AD3742,IF(verze!$E$1="SK",AE3742,""))</f>
        <v>62.258679999999998</v>
      </c>
    </row>
    <row r="3743" spans="27:32" ht="15">
      <c r="AA3743" s="463" t="s">
        <v>12286</v>
      </c>
      <c r="AB3743" s="462" t="s">
        <v>12287</v>
      </c>
      <c r="AC3743" s="462" t="s">
        <v>12288</v>
      </c>
      <c r="AD3743" s="464">
        <v>1294.26214</v>
      </c>
      <c r="AE3743" s="465">
        <v>62.258679999999998</v>
      </c>
      <c r="AF3743" s="86">
        <f>IF(verze!$E$1="CZK",AD3743,IF(verze!$E$1="SK",AE3743,""))</f>
        <v>62.258679999999998</v>
      </c>
    </row>
    <row r="3744" spans="27:32" ht="15">
      <c r="AA3744" s="463" t="s">
        <v>12289</v>
      </c>
      <c r="AB3744" s="462" t="s">
        <v>12290</v>
      </c>
      <c r="AC3744" s="462" t="s">
        <v>12291</v>
      </c>
      <c r="AD3744" s="464">
        <v>1294.26214</v>
      </c>
      <c r="AE3744" s="465">
        <v>62.258679999999998</v>
      </c>
      <c r="AF3744" s="86">
        <f>IF(verze!$E$1="CZK",AD3744,IF(verze!$E$1="SK",AE3744,""))</f>
        <v>62.258679999999998</v>
      </c>
    </row>
    <row r="3745" spans="27:32" ht="15">
      <c r="AA3745" s="463" t="s">
        <v>12292</v>
      </c>
      <c r="AB3745" s="462" t="s">
        <v>12293</v>
      </c>
      <c r="AC3745" s="462" t="s">
        <v>12294</v>
      </c>
      <c r="AD3745" s="464">
        <v>1305.01926</v>
      </c>
      <c r="AE3745" s="465">
        <v>62.776139999999998</v>
      </c>
      <c r="AF3745" s="86">
        <f>IF(verze!$E$1="CZK",AD3745,IF(verze!$E$1="SK",AE3745,""))</f>
        <v>62.776139999999998</v>
      </c>
    </row>
    <row r="3746" spans="27:32" ht="15">
      <c r="AA3746" s="463" t="s">
        <v>12295</v>
      </c>
      <c r="AB3746" s="462" t="s">
        <v>12296</v>
      </c>
      <c r="AC3746" s="462" t="s">
        <v>12297</v>
      </c>
      <c r="AD3746" s="464">
        <v>1312.7016699999999</v>
      </c>
      <c r="AE3746" s="465">
        <v>63.145679999999999</v>
      </c>
      <c r="AF3746" s="86">
        <f>IF(verze!$E$1="CZK",AD3746,IF(verze!$E$1="SK",AE3746,""))</f>
        <v>63.145679999999999</v>
      </c>
    </row>
    <row r="3747" spans="27:32" ht="15">
      <c r="AA3747" s="463" t="s">
        <v>12298</v>
      </c>
      <c r="AB3747" s="462" t="s">
        <v>12299</v>
      </c>
      <c r="AC3747" s="462" t="s">
        <v>12300</v>
      </c>
      <c r="AD3747" s="464">
        <v>1320.38627</v>
      </c>
      <c r="AE3747" s="465">
        <v>63.515340000000002</v>
      </c>
      <c r="AF3747" s="86">
        <f>IF(verze!$E$1="CZK",AD3747,IF(verze!$E$1="SK",AE3747,""))</f>
        <v>63.515340000000002</v>
      </c>
    </row>
    <row r="3748" spans="27:32" ht="15">
      <c r="AA3748" s="463" t="s">
        <v>12301</v>
      </c>
      <c r="AB3748" s="462" t="s">
        <v>12302</v>
      </c>
      <c r="AC3748" s="462" t="s">
        <v>12303</v>
      </c>
      <c r="AD3748" s="464">
        <v>1335.7533699999999</v>
      </c>
      <c r="AE3748" s="465">
        <v>64.254540000000006</v>
      </c>
      <c r="AF3748" s="86">
        <f>IF(verze!$E$1="CZK",AD3748,IF(verze!$E$1="SK",AE3748,""))</f>
        <v>64.254540000000006</v>
      </c>
    </row>
    <row r="3749" spans="27:32" ht="15">
      <c r="AA3749" s="463" t="s">
        <v>12304</v>
      </c>
      <c r="AB3749" s="462" t="s">
        <v>12305</v>
      </c>
      <c r="AC3749" s="462" t="s">
        <v>12306</v>
      </c>
      <c r="AD3749" s="464">
        <v>1294.26214</v>
      </c>
      <c r="AE3749" s="465">
        <v>62.258679999999998</v>
      </c>
      <c r="AF3749" s="86">
        <f>IF(verze!$E$1="CZK",AD3749,IF(verze!$E$1="SK",AE3749,""))</f>
        <v>62.258679999999998</v>
      </c>
    </row>
    <row r="3750" spans="27:32" ht="15">
      <c r="AA3750" s="463" t="s">
        <v>12307</v>
      </c>
      <c r="AB3750" s="462" t="s">
        <v>12308</v>
      </c>
      <c r="AC3750" s="462" t="s">
        <v>12309</v>
      </c>
      <c r="AD3750" s="464">
        <v>1294.26214</v>
      </c>
      <c r="AE3750" s="465">
        <v>62.258679999999998</v>
      </c>
      <c r="AF3750" s="86">
        <f>IF(verze!$E$1="CZK",AD3750,IF(verze!$E$1="SK",AE3750,""))</f>
        <v>62.258679999999998</v>
      </c>
    </row>
    <row r="3751" spans="27:32" ht="15">
      <c r="AA3751" s="463" t="s">
        <v>12310</v>
      </c>
      <c r="AB3751" s="462" t="s">
        <v>12311</v>
      </c>
      <c r="AC3751" s="462" t="s">
        <v>12312</v>
      </c>
      <c r="AD3751" s="464">
        <v>1294.26214</v>
      </c>
      <c r="AE3751" s="465">
        <v>62.258679999999998</v>
      </c>
      <c r="AF3751" s="86">
        <f>IF(verze!$E$1="CZK",AD3751,IF(verze!$E$1="SK",AE3751,""))</f>
        <v>62.258679999999998</v>
      </c>
    </row>
    <row r="3752" spans="27:32" ht="15">
      <c r="AA3752" s="463" t="s">
        <v>12313</v>
      </c>
      <c r="AB3752" s="462" t="s">
        <v>12314</v>
      </c>
      <c r="AC3752" s="462" t="s">
        <v>12315</v>
      </c>
      <c r="AD3752" s="464">
        <v>1305.01926</v>
      </c>
      <c r="AE3752" s="465">
        <v>62.776139999999998</v>
      </c>
      <c r="AF3752" s="86">
        <f>IF(verze!$E$1="CZK",AD3752,IF(verze!$E$1="SK",AE3752,""))</f>
        <v>62.776139999999998</v>
      </c>
    </row>
    <row r="3753" spans="27:32" ht="15">
      <c r="AA3753" s="463" t="s">
        <v>12316</v>
      </c>
      <c r="AB3753" s="462" t="s">
        <v>12317</v>
      </c>
      <c r="AC3753" s="462" t="s">
        <v>12318</v>
      </c>
      <c r="AD3753" s="464">
        <v>1312.7016699999999</v>
      </c>
      <c r="AE3753" s="465">
        <v>63.145679999999999</v>
      </c>
      <c r="AF3753" s="86">
        <f>IF(verze!$E$1="CZK",AD3753,IF(verze!$E$1="SK",AE3753,""))</f>
        <v>63.145679999999999</v>
      </c>
    </row>
    <row r="3754" spans="27:32" ht="15">
      <c r="AA3754" s="463" t="s">
        <v>12316</v>
      </c>
      <c r="AB3754" s="462" t="s">
        <v>12319</v>
      </c>
      <c r="AC3754" s="462" t="s">
        <v>12320</v>
      </c>
      <c r="AD3754" s="464">
        <v>747.12834999999995</v>
      </c>
      <c r="AE3754" s="465">
        <v>29.888860000000001</v>
      </c>
      <c r="AF3754" s="86">
        <f>IF(verze!$E$1="CZK",AD3754,IF(verze!$E$1="SK",AE3754,""))</f>
        <v>29.888860000000001</v>
      </c>
    </row>
    <row r="3755" spans="27:32" ht="15">
      <c r="AA3755" s="463" t="s">
        <v>12321</v>
      </c>
      <c r="AB3755" s="462" t="s">
        <v>12322</v>
      </c>
      <c r="AC3755" s="462" t="s">
        <v>12323</v>
      </c>
      <c r="AD3755" s="464">
        <v>1320.38627</v>
      </c>
      <c r="AE3755" s="465">
        <v>63.515340000000002</v>
      </c>
      <c r="AF3755" s="86">
        <f>IF(verze!$E$1="CZK",AD3755,IF(verze!$E$1="SK",AE3755,""))</f>
        <v>63.515340000000002</v>
      </c>
    </row>
    <row r="3756" spans="27:32" ht="15">
      <c r="AA3756" s="463" t="s">
        <v>12324</v>
      </c>
      <c r="AB3756" s="462" t="s">
        <v>12325</v>
      </c>
      <c r="AC3756" s="462" t="s">
        <v>12326</v>
      </c>
      <c r="AD3756" s="464">
        <v>1335.7533699999999</v>
      </c>
      <c r="AE3756" s="465">
        <v>64.254540000000006</v>
      </c>
      <c r="AF3756" s="86">
        <f>IF(verze!$E$1="CZK",AD3756,IF(verze!$E$1="SK",AE3756,""))</f>
        <v>64.254540000000006</v>
      </c>
    </row>
    <row r="3757" spans="27:32" ht="15">
      <c r="AA3757" s="463" t="s">
        <v>12327</v>
      </c>
      <c r="AB3757" s="462" t="s">
        <v>12328</v>
      </c>
      <c r="AC3757" s="462" t="s">
        <v>12329</v>
      </c>
      <c r="AD3757" s="464">
        <v>1294.26214</v>
      </c>
      <c r="AE3757" s="465">
        <v>62.258679999999998</v>
      </c>
      <c r="AF3757" s="86">
        <f>IF(verze!$E$1="CZK",AD3757,IF(verze!$E$1="SK",AE3757,""))</f>
        <v>62.258679999999998</v>
      </c>
    </row>
    <row r="3758" spans="27:32" ht="15">
      <c r="AA3758" s="463" t="s">
        <v>12330</v>
      </c>
      <c r="AB3758" s="462" t="s">
        <v>12331</v>
      </c>
      <c r="AC3758" s="462" t="s">
        <v>12332</v>
      </c>
      <c r="AD3758" s="464">
        <v>1305.01926</v>
      </c>
      <c r="AE3758" s="465">
        <v>62.776139999999998</v>
      </c>
      <c r="AF3758" s="86">
        <f>IF(verze!$E$1="CZK",AD3758,IF(verze!$E$1="SK",AE3758,""))</f>
        <v>62.776139999999998</v>
      </c>
    </row>
    <row r="3759" spans="27:32" ht="15">
      <c r="AA3759" s="463" t="s">
        <v>12333</v>
      </c>
      <c r="AB3759" s="462" t="s">
        <v>12334</v>
      </c>
      <c r="AC3759" s="462" t="s">
        <v>12335</v>
      </c>
      <c r="AD3759" s="464">
        <v>1312.7016699999999</v>
      </c>
      <c r="AE3759" s="465">
        <v>63.145679999999999</v>
      </c>
      <c r="AF3759" s="86">
        <f>IF(verze!$E$1="CZK",AD3759,IF(verze!$E$1="SK",AE3759,""))</f>
        <v>63.145679999999999</v>
      </c>
    </row>
    <row r="3760" spans="27:32" ht="15">
      <c r="AA3760" s="463" t="s">
        <v>12333</v>
      </c>
      <c r="AB3760" s="462" t="s">
        <v>12336</v>
      </c>
      <c r="AC3760" s="462" t="s">
        <v>12337</v>
      </c>
      <c r="AD3760" s="464">
        <v>747.12834999999995</v>
      </c>
      <c r="AE3760" s="465">
        <v>29.888860000000001</v>
      </c>
      <c r="AF3760" s="86">
        <f>IF(verze!$E$1="CZK",AD3760,IF(verze!$E$1="SK",AE3760,""))</f>
        <v>29.888860000000001</v>
      </c>
    </row>
    <row r="3761" spans="27:32" ht="15">
      <c r="AA3761" s="463" t="s">
        <v>12338</v>
      </c>
      <c r="AB3761" s="462" t="s">
        <v>12339</v>
      </c>
      <c r="AC3761" s="462" t="s">
        <v>12340</v>
      </c>
      <c r="AD3761" s="464">
        <v>1320.38627</v>
      </c>
      <c r="AE3761" s="465">
        <v>63.515340000000002</v>
      </c>
      <c r="AF3761" s="86">
        <f>IF(verze!$E$1="CZK",AD3761,IF(verze!$E$1="SK",AE3761,""))</f>
        <v>63.515340000000002</v>
      </c>
    </row>
    <row r="3762" spans="27:32" ht="15">
      <c r="AA3762" s="463" t="s">
        <v>12341</v>
      </c>
      <c r="AB3762" s="462" t="s">
        <v>12342</v>
      </c>
      <c r="AC3762" s="462" t="s">
        <v>12343</v>
      </c>
      <c r="AD3762" s="464">
        <v>1335.7533699999999</v>
      </c>
      <c r="AE3762" s="465">
        <v>64.254540000000006</v>
      </c>
      <c r="AF3762" s="86">
        <f>IF(verze!$E$1="CZK",AD3762,IF(verze!$E$1="SK",AE3762,""))</f>
        <v>64.254540000000006</v>
      </c>
    </row>
    <row r="3763" spans="27:32" ht="15">
      <c r="AA3763" s="463" t="s">
        <v>12344</v>
      </c>
      <c r="AB3763" s="462" t="s">
        <v>12345</v>
      </c>
      <c r="AC3763" s="462" t="s">
        <v>12346</v>
      </c>
      <c r="AD3763" s="464">
        <v>878.78554999999994</v>
      </c>
      <c r="AE3763" s="465">
        <v>42.272770000000001</v>
      </c>
      <c r="AF3763" s="86">
        <f>IF(verze!$E$1="CZK",AD3763,IF(verze!$E$1="SK",AE3763,""))</f>
        <v>42.272770000000001</v>
      </c>
    </row>
    <row r="3764" spans="27:32" ht="15">
      <c r="AA3764" s="463" t="s">
        <v>12347</v>
      </c>
      <c r="AB3764" s="462" t="s">
        <v>12348</v>
      </c>
      <c r="AC3764" s="462" t="s">
        <v>12349</v>
      </c>
      <c r="AD3764" s="464">
        <v>1138.31458</v>
      </c>
      <c r="AE3764" s="465">
        <v>54.757040000000003</v>
      </c>
      <c r="AF3764" s="86">
        <f>IF(verze!$E$1="CZK",AD3764,IF(verze!$E$1="SK",AE3764,""))</f>
        <v>54.757040000000003</v>
      </c>
    </row>
    <row r="3765" spans="27:32" ht="15">
      <c r="AA3765" s="463" t="s">
        <v>12350</v>
      </c>
      <c r="AB3765" s="462" t="s">
        <v>12351</v>
      </c>
      <c r="AC3765" s="462" t="s">
        <v>12352</v>
      </c>
      <c r="AD3765" s="464">
        <v>1308.8610900000001</v>
      </c>
      <c r="AE3765" s="465">
        <v>62.960940000000001</v>
      </c>
      <c r="AF3765" s="86">
        <f>IF(verze!$E$1="CZK",AD3765,IF(verze!$E$1="SK",AE3765,""))</f>
        <v>62.960940000000001</v>
      </c>
    </row>
    <row r="3766" spans="27:32" ht="15">
      <c r="AA3766" s="463" t="s">
        <v>12353</v>
      </c>
      <c r="AB3766" s="462" t="s">
        <v>12354</v>
      </c>
      <c r="AC3766" s="462" t="s">
        <v>12355</v>
      </c>
      <c r="AD3766" s="464">
        <v>1397.84123</v>
      </c>
      <c r="AE3766" s="465">
        <v>67.241200000000006</v>
      </c>
      <c r="AF3766" s="86">
        <f>IF(verze!$E$1="CZK",AD3766,IF(verze!$E$1="SK",AE3766,""))</f>
        <v>67.241200000000006</v>
      </c>
    </row>
    <row r="3767" spans="27:32" ht="15">
      <c r="AA3767" s="463" t="s">
        <v>12356</v>
      </c>
      <c r="AB3767" s="462" t="s">
        <v>12357</v>
      </c>
      <c r="AC3767" s="462" t="s">
        <v>12358</v>
      </c>
      <c r="AD3767" s="464">
        <v>1657.3679</v>
      </c>
      <c r="AE3767" s="465">
        <v>79.725369999999998</v>
      </c>
      <c r="AF3767" s="86">
        <f>IF(verze!$E$1="CZK",AD3767,IF(verze!$E$1="SK",AE3767,""))</f>
        <v>79.725369999999998</v>
      </c>
    </row>
    <row r="3768" spans="27:32" ht="15">
      <c r="AA3768" s="463" t="s">
        <v>12359</v>
      </c>
      <c r="AB3768" s="462" t="s">
        <v>12360</v>
      </c>
      <c r="AC3768" s="462" t="s">
        <v>12361</v>
      </c>
      <c r="AD3768" s="464">
        <v>878.78554999999994</v>
      </c>
      <c r="AE3768" s="465">
        <v>42.272770000000001</v>
      </c>
      <c r="AF3768" s="86">
        <f>IF(verze!$E$1="CZK",AD3768,IF(verze!$E$1="SK",AE3768,""))</f>
        <v>42.272770000000001</v>
      </c>
    </row>
    <row r="3769" spans="27:32" ht="15">
      <c r="AA3769" s="463" t="s">
        <v>12362</v>
      </c>
      <c r="AB3769" s="462" t="s">
        <v>12363</v>
      </c>
      <c r="AC3769" s="462" t="s">
        <v>12364</v>
      </c>
      <c r="AD3769" s="464">
        <v>1308.8610900000001</v>
      </c>
      <c r="AE3769" s="465">
        <v>62.960940000000001</v>
      </c>
      <c r="AF3769" s="86">
        <f>IF(verze!$E$1="CZK",AD3769,IF(verze!$E$1="SK",AE3769,""))</f>
        <v>62.960940000000001</v>
      </c>
    </row>
    <row r="3770" spans="27:32" ht="15">
      <c r="AA3770" s="463" t="s">
        <v>12365</v>
      </c>
      <c r="AB3770" s="462" t="s">
        <v>12366</v>
      </c>
      <c r="AC3770" s="462" t="s">
        <v>12367</v>
      </c>
      <c r="AD3770" s="464">
        <v>878.78554999999994</v>
      </c>
      <c r="AE3770" s="465">
        <v>42.272770000000001</v>
      </c>
      <c r="AF3770" s="86">
        <f>IF(verze!$E$1="CZK",AD3770,IF(verze!$E$1="SK",AE3770,""))</f>
        <v>42.272770000000001</v>
      </c>
    </row>
    <row r="3771" spans="27:32" ht="15">
      <c r="AA3771" s="463" t="s">
        <v>12368</v>
      </c>
      <c r="AB3771" s="462" t="s">
        <v>12369</v>
      </c>
      <c r="AC3771" s="462" t="s">
        <v>12370</v>
      </c>
      <c r="AD3771" s="464">
        <v>1138.31458</v>
      </c>
      <c r="AE3771" s="465">
        <v>54.757040000000003</v>
      </c>
      <c r="AF3771" s="86">
        <f>IF(verze!$E$1="CZK",AD3771,IF(verze!$E$1="SK",AE3771,""))</f>
        <v>54.757040000000003</v>
      </c>
    </row>
    <row r="3772" spans="27:32" ht="15">
      <c r="AA3772" s="463" t="s">
        <v>12371</v>
      </c>
      <c r="AB3772" s="462" t="s">
        <v>12372</v>
      </c>
      <c r="AC3772" s="462" t="s">
        <v>12373</v>
      </c>
      <c r="AD3772" s="464">
        <v>1308.8610900000001</v>
      </c>
      <c r="AE3772" s="465">
        <v>62.960940000000001</v>
      </c>
      <c r="AF3772" s="86">
        <f>IF(verze!$E$1="CZK",AD3772,IF(verze!$E$1="SK",AE3772,""))</f>
        <v>62.960940000000001</v>
      </c>
    </row>
    <row r="3773" spans="27:32" ht="15">
      <c r="AA3773" s="463" t="s">
        <v>12374</v>
      </c>
      <c r="AB3773" s="462" t="s">
        <v>12375</v>
      </c>
      <c r="AC3773" s="462" t="s">
        <v>12376</v>
      </c>
      <c r="AD3773" s="464">
        <v>1397.84123</v>
      </c>
      <c r="AE3773" s="465">
        <v>67.241200000000006</v>
      </c>
      <c r="AF3773" s="86">
        <f>IF(verze!$E$1="CZK",AD3773,IF(verze!$E$1="SK",AE3773,""))</f>
        <v>67.241200000000006</v>
      </c>
    </row>
    <row r="3774" spans="27:32" ht="15">
      <c r="AA3774" s="463" t="s">
        <v>12377</v>
      </c>
      <c r="AB3774" s="462" t="s">
        <v>12378</v>
      </c>
      <c r="AC3774" s="462" t="s">
        <v>12379</v>
      </c>
      <c r="AD3774" s="464">
        <v>83.311239999999998</v>
      </c>
      <c r="AE3774" s="465">
        <v>4.0075799999999999</v>
      </c>
      <c r="AF3774" s="86">
        <f>IF(verze!$E$1="CZK",AD3774,IF(verze!$E$1="SK",AE3774,""))</f>
        <v>4.0075799999999999</v>
      </c>
    </row>
    <row r="3775" spans="27:32" ht="15">
      <c r="AA3775" s="463" t="s">
        <v>12380</v>
      </c>
      <c r="AB3775" s="462" t="s">
        <v>12381</v>
      </c>
      <c r="AC3775" s="462" t="s">
        <v>12382</v>
      </c>
      <c r="AD3775" s="464">
        <v>77.680700000000002</v>
      </c>
      <c r="AE3775" s="465">
        <v>3.73672</v>
      </c>
      <c r="AF3775" s="86">
        <f>IF(verze!$E$1="CZK",AD3775,IF(verze!$E$1="SK",AE3775,""))</f>
        <v>3.73672</v>
      </c>
    </row>
    <row r="3776" spans="27:32" ht="15">
      <c r="AA3776" s="463" t="s">
        <v>12383</v>
      </c>
      <c r="AB3776" s="462" t="s">
        <v>12384</v>
      </c>
      <c r="AC3776" s="462" t="s">
        <v>12385</v>
      </c>
      <c r="AD3776" s="464">
        <v>1694.8870999999999</v>
      </c>
      <c r="AE3776" s="465">
        <v>81.530190000000005</v>
      </c>
      <c r="AF3776" s="86">
        <f>IF(verze!$E$1="CZK",AD3776,IF(verze!$E$1="SK",AE3776,""))</f>
        <v>81.530190000000005</v>
      </c>
    </row>
    <row r="3777" spans="27:32" ht="15">
      <c r="AA3777" s="463" t="s">
        <v>12386</v>
      </c>
      <c r="AB3777" s="462" t="s">
        <v>12387</v>
      </c>
      <c r="AC3777" s="462" t="s">
        <v>12388</v>
      </c>
      <c r="AD3777" s="464">
        <v>412.34595999999999</v>
      </c>
      <c r="AE3777" s="465">
        <v>19.835319999999999</v>
      </c>
      <c r="AF3777" s="86">
        <f>IF(verze!$E$1="CZK",AD3777,IF(verze!$E$1="SK",AE3777,""))</f>
        <v>19.835319999999999</v>
      </c>
    </row>
    <row r="3778" spans="27:32" ht="15">
      <c r="AA3778" s="463" t="s">
        <v>12389</v>
      </c>
      <c r="AB3778" s="462" t="s">
        <v>12390</v>
      </c>
      <c r="AC3778" s="462" t="s">
        <v>12391</v>
      </c>
      <c r="AD3778" s="464">
        <v>453.25452000000001</v>
      </c>
      <c r="AE3778" s="465">
        <v>21.803190000000001</v>
      </c>
      <c r="AF3778" s="86">
        <f>IF(verze!$E$1="CZK",AD3778,IF(verze!$E$1="SK",AE3778,""))</f>
        <v>21.803190000000001</v>
      </c>
    </row>
    <row r="3779" spans="27:32" ht="15">
      <c r="AA3779" s="463" t="s">
        <v>12392</v>
      </c>
      <c r="AB3779" s="462" t="s">
        <v>12393</v>
      </c>
      <c r="AC3779" s="462" t="s">
        <v>12394</v>
      </c>
      <c r="AD3779" s="464">
        <v>345.13648999999998</v>
      </c>
      <c r="AE3779" s="465">
        <v>16.602309999999999</v>
      </c>
      <c r="AF3779" s="86">
        <f>IF(verze!$E$1="CZK",AD3779,IF(verze!$E$1="SK",AE3779,""))</f>
        <v>16.602309999999999</v>
      </c>
    </row>
    <row r="3780" spans="27:32" ht="15">
      <c r="AA3780" s="463" t="s">
        <v>12395</v>
      </c>
      <c r="AB3780" s="462" t="s">
        <v>12396</v>
      </c>
      <c r="AC3780" s="462" t="s">
        <v>12397</v>
      </c>
      <c r="AD3780" s="464">
        <v>390.91188</v>
      </c>
      <c r="AE3780" s="465">
        <v>18.804259999999999</v>
      </c>
      <c r="AF3780" s="86">
        <f>IF(verze!$E$1="CZK",AD3780,IF(verze!$E$1="SK",AE3780,""))</f>
        <v>18.804259999999999</v>
      </c>
    </row>
    <row r="3781" spans="27:32" ht="15">
      <c r="AA3781" s="463" t="s">
        <v>12398</v>
      </c>
      <c r="AB3781" s="462" t="s">
        <v>12399</v>
      </c>
      <c r="AC3781" s="462" t="s">
        <v>12400</v>
      </c>
      <c r="AD3781" s="464">
        <v>413.80907000000002</v>
      </c>
      <c r="AE3781" s="465">
        <v>19.905709999999999</v>
      </c>
      <c r="AF3781" s="86">
        <f>IF(verze!$E$1="CZK",AD3781,IF(verze!$E$1="SK",AE3781,""))</f>
        <v>19.905709999999999</v>
      </c>
    </row>
    <row r="3782" spans="27:32" ht="15">
      <c r="AA3782" s="463" t="s">
        <v>12401</v>
      </c>
      <c r="AB3782" s="462" t="s">
        <v>12402</v>
      </c>
      <c r="AC3782" s="462" t="s">
        <v>12403</v>
      </c>
      <c r="AD3782" s="464">
        <v>436.69677999999999</v>
      </c>
      <c r="AE3782" s="465">
        <v>21.006699999999999</v>
      </c>
      <c r="AF3782" s="86">
        <f>IF(verze!$E$1="CZK",AD3782,IF(verze!$E$1="SK",AE3782,""))</f>
        <v>21.006699999999999</v>
      </c>
    </row>
    <row r="3783" spans="27:32" ht="15">
      <c r="AA3783" s="463" t="s">
        <v>12404</v>
      </c>
      <c r="AB3783" s="462" t="s">
        <v>12405</v>
      </c>
      <c r="AC3783" s="462" t="s">
        <v>12406</v>
      </c>
      <c r="AD3783" s="464">
        <v>459.58922000000001</v>
      </c>
      <c r="AE3783" s="465">
        <v>22.10792</v>
      </c>
      <c r="AF3783" s="86">
        <f>IF(verze!$E$1="CZK",AD3783,IF(verze!$E$1="SK",AE3783,""))</f>
        <v>22.10792</v>
      </c>
    </row>
    <row r="3784" spans="27:32" ht="15">
      <c r="AA3784" s="463" t="s">
        <v>12407</v>
      </c>
      <c r="AB3784" s="462" t="s">
        <v>12408</v>
      </c>
      <c r="AC3784" s="462" t="s">
        <v>12409</v>
      </c>
      <c r="AD3784" s="464">
        <v>482.47692000000001</v>
      </c>
      <c r="AE3784" s="465">
        <v>23.20889</v>
      </c>
      <c r="AF3784" s="86">
        <f>IF(verze!$E$1="CZK",AD3784,IF(verze!$E$1="SK",AE3784,""))</f>
        <v>23.20889</v>
      </c>
    </row>
    <row r="3785" spans="27:32" ht="15">
      <c r="AA3785" s="463" t="s">
        <v>12410</v>
      </c>
      <c r="AB3785" s="462" t="s">
        <v>12411</v>
      </c>
      <c r="AC3785" s="462" t="s">
        <v>12412</v>
      </c>
      <c r="AD3785" s="464">
        <v>817.55041000000006</v>
      </c>
      <c r="AE3785" s="465">
        <v>39.32714</v>
      </c>
      <c r="AF3785" s="86">
        <f>IF(verze!$E$1="CZK",AD3785,IF(verze!$E$1="SK",AE3785,""))</f>
        <v>39.32714</v>
      </c>
    </row>
    <row r="3786" spans="27:32" ht="15">
      <c r="AA3786" s="463" t="s">
        <v>12413</v>
      </c>
      <c r="AB3786" s="462" t="s">
        <v>12414</v>
      </c>
      <c r="AC3786" s="462" t="s">
        <v>12415</v>
      </c>
      <c r="AD3786" s="464">
        <v>863.33055000000002</v>
      </c>
      <c r="AE3786" s="465">
        <v>41.529310000000002</v>
      </c>
      <c r="AF3786" s="86">
        <f>IF(verze!$E$1="CZK",AD3786,IF(verze!$E$1="SK",AE3786,""))</f>
        <v>41.529310000000002</v>
      </c>
    </row>
    <row r="3787" spans="27:32" ht="15">
      <c r="AA3787" s="463" t="s">
        <v>12416</v>
      </c>
      <c r="AB3787" s="462" t="s">
        <v>12417</v>
      </c>
      <c r="AC3787" s="462" t="s">
        <v>12418</v>
      </c>
      <c r="AD3787" s="464">
        <v>909.10594000000003</v>
      </c>
      <c r="AE3787" s="465">
        <v>43.731279999999998</v>
      </c>
      <c r="AF3787" s="86">
        <f>IF(verze!$E$1="CZK",AD3787,IF(verze!$E$1="SK",AE3787,""))</f>
        <v>43.731279999999998</v>
      </c>
    </row>
    <row r="3788" spans="27:32" ht="15">
      <c r="AA3788" s="463" t="s">
        <v>12419</v>
      </c>
      <c r="AB3788" s="462" t="s">
        <v>12420</v>
      </c>
      <c r="AC3788" s="462" t="s">
        <v>12421</v>
      </c>
      <c r="AD3788" s="464">
        <v>412.34595999999999</v>
      </c>
      <c r="AE3788" s="465">
        <v>19.835319999999999</v>
      </c>
      <c r="AF3788" s="86">
        <f>IF(verze!$E$1="CZK",AD3788,IF(verze!$E$1="SK",AE3788,""))</f>
        <v>19.835319999999999</v>
      </c>
    </row>
    <row r="3789" spans="27:32" ht="15">
      <c r="AA3789" s="463" t="s">
        <v>12422</v>
      </c>
      <c r="AB3789" s="462" t="s">
        <v>12423</v>
      </c>
      <c r="AC3789" s="462" t="s">
        <v>12424</v>
      </c>
      <c r="AD3789" s="464">
        <v>453.25452000000001</v>
      </c>
      <c r="AE3789" s="465">
        <v>21.803190000000001</v>
      </c>
      <c r="AF3789" s="86">
        <f>IF(verze!$E$1="CZK",AD3789,IF(verze!$E$1="SK",AE3789,""))</f>
        <v>21.803190000000001</v>
      </c>
    </row>
    <row r="3790" spans="27:32" ht="15">
      <c r="AA3790" s="463" t="s">
        <v>12425</v>
      </c>
      <c r="AB3790" s="462" t="s">
        <v>12426</v>
      </c>
      <c r="AC3790" s="462" t="s">
        <v>12427</v>
      </c>
      <c r="AD3790" s="464">
        <v>345.13648999999998</v>
      </c>
      <c r="AE3790" s="465">
        <v>16.602309999999999</v>
      </c>
      <c r="AF3790" s="86">
        <f>IF(verze!$E$1="CZK",AD3790,IF(verze!$E$1="SK",AE3790,""))</f>
        <v>16.602309999999999</v>
      </c>
    </row>
    <row r="3791" spans="27:32" ht="15">
      <c r="AA3791" s="463" t="s">
        <v>12428</v>
      </c>
      <c r="AB3791" s="462" t="s">
        <v>12429</v>
      </c>
      <c r="AC3791" s="462" t="s">
        <v>12430</v>
      </c>
      <c r="AD3791" s="464">
        <v>390.91188</v>
      </c>
      <c r="AE3791" s="465">
        <v>18.804259999999999</v>
      </c>
      <c r="AF3791" s="86">
        <f>IF(verze!$E$1="CZK",AD3791,IF(verze!$E$1="SK",AE3791,""))</f>
        <v>18.804259999999999</v>
      </c>
    </row>
    <row r="3792" spans="27:32" ht="15">
      <c r="AA3792" s="463" t="s">
        <v>12431</v>
      </c>
      <c r="AB3792" s="462" t="s">
        <v>12432</v>
      </c>
      <c r="AC3792" s="462" t="s">
        <v>12433</v>
      </c>
      <c r="AD3792" s="464">
        <v>413.80907000000002</v>
      </c>
      <c r="AE3792" s="465">
        <v>19.905709999999999</v>
      </c>
      <c r="AF3792" s="86">
        <f>IF(verze!$E$1="CZK",AD3792,IF(verze!$E$1="SK",AE3792,""))</f>
        <v>19.905709999999999</v>
      </c>
    </row>
    <row r="3793" spans="27:32" ht="15">
      <c r="AA3793" s="463" t="s">
        <v>12434</v>
      </c>
      <c r="AB3793" s="462" t="s">
        <v>12435</v>
      </c>
      <c r="AC3793" s="462" t="s">
        <v>12436</v>
      </c>
      <c r="AD3793" s="464">
        <v>436.69677999999999</v>
      </c>
      <c r="AE3793" s="465">
        <v>21.006699999999999</v>
      </c>
      <c r="AF3793" s="86">
        <f>IF(verze!$E$1="CZK",AD3793,IF(verze!$E$1="SK",AE3793,""))</f>
        <v>21.006699999999999</v>
      </c>
    </row>
    <row r="3794" spans="27:32" ht="15">
      <c r="AA3794" s="463" t="s">
        <v>12437</v>
      </c>
      <c r="AB3794" s="462" t="s">
        <v>12438</v>
      </c>
      <c r="AC3794" s="462" t="s">
        <v>12439</v>
      </c>
      <c r="AD3794" s="464">
        <v>459.58922000000001</v>
      </c>
      <c r="AE3794" s="465">
        <v>22.10792</v>
      </c>
      <c r="AF3794" s="86">
        <f>IF(verze!$E$1="CZK",AD3794,IF(verze!$E$1="SK",AE3794,""))</f>
        <v>22.10792</v>
      </c>
    </row>
    <row r="3795" spans="27:32" ht="15">
      <c r="AA3795" s="463" t="s">
        <v>12440</v>
      </c>
      <c r="AB3795" s="462" t="s">
        <v>12441</v>
      </c>
      <c r="AC3795" s="462" t="s">
        <v>12442</v>
      </c>
      <c r="AD3795" s="464">
        <v>482.47692000000001</v>
      </c>
      <c r="AE3795" s="465">
        <v>23.20889</v>
      </c>
      <c r="AF3795" s="86">
        <f>IF(verze!$E$1="CZK",AD3795,IF(verze!$E$1="SK",AE3795,""))</f>
        <v>23.20889</v>
      </c>
    </row>
    <row r="3796" spans="27:32" ht="15">
      <c r="AA3796" s="463" t="s">
        <v>12443</v>
      </c>
      <c r="AB3796" s="462" t="s">
        <v>12444</v>
      </c>
      <c r="AC3796" s="462" t="s">
        <v>12445</v>
      </c>
      <c r="AD3796" s="464">
        <v>817.55041000000006</v>
      </c>
      <c r="AE3796" s="465">
        <v>39.32714</v>
      </c>
      <c r="AF3796" s="86">
        <f>IF(verze!$E$1="CZK",AD3796,IF(verze!$E$1="SK",AE3796,""))</f>
        <v>39.32714</v>
      </c>
    </row>
    <row r="3797" spans="27:32" ht="15">
      <c r="AA3797" s="463" t="s">
        <v>12446</v>
      </c>
      <c r="AB3797" s="462" t="s">
        <v>12447</v>
      </c>
      <c r="AC3797" s="462" t="s">
        <v>12448</v>
      </c>
      <c r="AD3797" s="464">
        <v>863.33055000000002</v>
      </c>
      <c r="AE3797" s="465">
        <v>41.529310000000002</v>
      </c>
      <c r="AF3797" s="86">
        <f>IF(verze!$E$1="CZK",AD3797,IF(verze!$E$1="SK",AE3797,""))</f>
        <v>41.529310000000002</v>
      </c>
    </row>
    <row r="3798" spans="27:32" ht="15">
      <c r="AA3798" s="463" t="s">
        <v>12449</v>
      </c>
      <c r="AB3798" s="462" t="s">
        <v>12450</v>
      </c>
      <c r="AC3798" s="462" t="s">
        <v>12451</v>
      </c>
      <c r="AD3798" s="464">
        <v>909.10594000000003</v>
      </c>
      <c r="AE3798" s="465">
        <v>43.731279999999998</v>
      </c>
      <c r="AF3798" s="86">
        <f>IF(verze!$E$1="CZK",AD3798,IF(verze!$E$1="SK",AE3798,""))</f>
        <v>43.731279999999998</v>
      </c>
    </row>
    <row r="3799" spans="27:32" ht="15">
      <c r="AA3799" s="463" t="s">
        <v>12452</v>
      </c>
      <c r="AB3799" s="462" t="s">
        <v>12453</v>
      </c>
      <c r="AC3799" s="462" t="s">
        <v>12454</v>
      </c>
      <c r="AD3799" s="464">
        <v>412.34595999999999</v>
      </c>
      <c r="AE3799" s="465">
        <v>19.835319999999999</v>
      </c>
      <c r="AF3799" s="86">
        <f>IF(verze!$E$1="CZK",AD3799,IF(verze!$E$1="SK",AE3799,""))</f>
        <v>19.835319999999999</v>
      </c>
    </row>
    <row r="3800" spans="27:32" ht="15">
      <c r="AA3800" s="463" t="s">
        <v>12455</v>
      </c>
      <c r="AB3800" s="462" t="s">
        <v>12456</v>
      </c>
      <c r="AC3800" s="462" t="s">
        <v>12457</v>
      </c>
      <c r="AD3800" s="464">
        <v>453.25452000000001</v>
      </c>
      <c r="AE3800" s="465">
        <v>21.803190000000001</v>
      </c>
      <c r="AF3800" s="86">
        <f>IF(verze!$E$1="CZK",AD3800,IF(verze!$E$1="SK",AE3800,""))</f>
        <v>21.803190000000001</v>
      </c>
    </row>
    <row r="3801" spans="27:32" ht="15">
      <c r="AA3801" s="463" t="s">
        <v>12458</v>
      </c>
      <c r="AB3801" s="462" t="s">
        <v>12459</v>
      </c>
      <c r="AC3801" s="462" t="s">
        <v>12460</v>
      </c>
      <c r="AD3801" s="464">
        <v>345.13648999999998</v>
      </c>
      <c r="AE3801" s="465">
        <v>16.602309999999999</v>
      </c>
      <c r="AF3801" s="86">
        <f>IF(verze!$E$1="CZK",AD3801,IF(verze!$E$1="SK",AE3801,""))</f>
        <v>16.602309999999999</v>
      </c>
    </row>
    <row r="3802" spans="27:32" ht="15">
      <c r="AA3802" s="463" t="s">
        <v>12461</v>
      </c>
      <c r="AB3802" s="462" t="s">
        <v>12462</v>
      </c>
      <c r="AC3802" s="462" t="s">
        <v>12463</v>
      </c>
      <c r="AD3802" s="464">
        <v>390.91188</v>
      </c>
      <c r="AE3802" s="465">
        <v>18.804259999999999</v>
      </c>
      <c r="AF3802" s="86">
        <f>IF(verze!$E$1="CZK",AD3802,IF(verze!$E$1="SK",AE3802,""))</f>
        <v>18.804259999999999</v>
      </c>
    </row>
    <row r="3803" spans="27:32" ht="15">
      <c r="AA3803" s="463" t="s">
        <v>12464</v>
      </c>
      <c r="AB3803" s="462" t="s">
        <v>12465</v>
      </c>
      <c r="AC3803" s="462" t="s">
        <v>12466</v>
      </c>
      <c r="AD3803" s="464">
        <v>413.80907000000002</v>
      </c>
      <c r="AE3803" s="465">
        <v>19.905709999999999</v>
      </c>
      <c r="AF3803" s="86">
        <f>IF(verze!$E$1="CZK",AD3803,IF(verze!$E$1="SK",AE3803,""))</f>
        <v>19.905709999999999</v>
      </c>
    </row>
    <row r="3804" spans="27:32" ht="15">
      <c r="AA3804" s="463" t="s">
        <v>12467</v>
      </c>
      <c r="AB3804" s="462" t="s">
        <v>12468</v>
      </c>
      <c r="AC3804" s="462" t="s">
        <v>12469</v>
      </c>
      <c r="AD3804" s="464">
        <v>436.69677999999999</v>
      </c>
      <c r="AE3804" s="465">
        <v>21.006699999999999</v>
      </c>
      <c r="AF3804" s="86">
        <f>IF(verze!$E$1="CZK",AD3804,IF(verze!$E$1="SK",AE3804,""))</f>
        <v>21.006699999999999</v>
      </c>
    </row>
    <row r="3805" spans="27:32" ht="15">
      <c r="AA3805" s="463" t="s">
        <v>12470</v>
      </c>
      <c r="AB3805" s="462" t="s">
        <v>12471</v>
      </c>
      <c r="AC3805" s="462" t="s">
        <v>12472</v>
      </c>
      <c r="AD3805" s="464">
        <v>459.58922000000001</v>
      </c>
      <c r="AE3805" s="465">
        <v>22.10792</v>
      </c>
      <c r="AF3805" s="86">
        <f>IF(verze!$E$1="CZK",AD3805,IF(verze!$E$1="SK",AE3805,""))</f>
        <v>22.10792</v>
      </c>
    </row>
    <row r="3806" spans="27:32" ht="15">
      <c r="AA3806" s="463" t="s">
        <v>12473</v>
      </c>
      <c r="AB3806" s="462" t="s">
        <v>12474</v>
      </c>
      <c r="AC3806" s="462" t="s">
        <v>12475</v>
      </c>
      <c r="AD3806" s="464">
        <v>482.47692000000001</v>
      </c>
      <c r="AE3806" s="465">
        <v>23.20889</v>
      </c>
      <c r="AF3806" s="86">
        <f>IF(verze!$E$1="CZK",AD3806,IF(verze!$E$1="SK",AE3806,""))</f>
        <v>23.20889</v>
      </c>
    </row>
    <row r="3807" spans="27:32" ht="15">
      <c r="AA3807" s="463" t="s">
        <v>12476</v>
      </c>
      <c r="AB3807" s="462" t="s">
        <v>12477</v>
      </c>
      <c r="AC3807" s="462" t="s">
        <v>12478</v>
      </c>
      <c r="AD3807" s="464">
        <v>817.55041000000006</v>
      </c>
      <c r="AE3807" s="465">
        <v>39.32714</v>
      </c>
      <c r="AF3807" s="86">
        <f>IF(verze!$E$1="CZK",AD3807,IF(verze!$E$1="SK",AE3807,""))</f>
        <v>39.32714</v>
      </c>
    </row>
    <row r="3808" spans="27:32" ht="15">
      <c r="AA3808" s="463" t="s">
        <v>12479</v>
      </c>
      <c r="AB3808" s="462" t="s">
        <v>12480</v>
      </c>
      <c r="AC3808" s="462" t="s">
        <v>12481</v>
      </c>
      <c r="AD3808" s="464">
        <v>863.33055000000002</v>
      </c>
      <c r="AE3808" s="465">
        <v>41.529310000000002</v>
      </c>
      <c r="AF3808" s="86">
        <f>IF(verze!$E$1="CZK",AD3808,IF(verze!$E$1="SK",AE3808,""))</f>
        <v>41.529310000000002</v>
      </c>
    </row>
    <row r="3809" spans="27:32" ht="15">
      <c r="AA3809" s="463" t="s">
        <v>12482</v>
      </c>
      <c r="AB3809" s="462" t="s">
        <v>12483</v>
      </c>
      <c r="AC3809" s="462" t="s">
        <v>12484</v>
      </c>
      <c r="AD3809" s="464">
        <v>909.10594000000003</v>
      </c>
      <c r="AE3809" s="465">
        <v>43.731279999999998</v>
      </c>
      <c r="AF3809" s="86">
        <f>IF(verze!$E$1="CZK",AD3809,IF(verze!$E$1="SK",AE3809,""))</f>
        <v>43.731279999999998</v>
      </c>
    </row>
    <row r="3810" spans="27:32" ht="15">
      <c r="AA3810" s="463" t="s">
        <v>12485</v>
      </c>
      <c r="AB3810" s="462" t="s">
        <v>12486</v>
      </c>
      <c r="AC3810" s="462" t="s">
        <v>12487</v>
      </c>
      <c r="AD3810" s="464">
        <v>210.29750999999999</v>
      </c>
      <c r="AE3810" s="465">
        <v>10.11608</v>
      </c>
      <c r="AF3810" s="86">
        <f>IF(verze!$E$1="CZK",AD3810,IF(verze!$E$1="SK",AE3810,""))</f>
        <v>10.11608</v>
      </c>
    </row>
    <row r="3811" spans="27:32" ht="15">
      <c r="AA3811" s="463" t="s">
        <v>12488</v>
      </c>
      <c r="AB3811" s="462" t="s">
        <v>12489</v>
      </c>
      <c r="AC3811" s="462" t="s">
        <v>12490</v>
      </c>
      <c r="AD3811" s="464">
        <v>224.80008000000001</v>
      </c>
      <c r="AE3811" s="465">
        <v>10.813700000000001</v>
      </c>
      <c r="AF3811" s="86">
        <f>IF(verze!$E$1="CZK",AD3811,IF(verze!$E$1="SK",AE3811,""))</f>
        <v>10.813700000000001</v>
      </c>
    </row>
    <row r="3812" spans="27:32" ht="15">
      <c r="AA3812" s="463" t="s">
        <v>12491</v>
      </c>
      <c r="AB3812" s="462" t="s">
        <v>12492</v>
      </c>
      <c r="AC3812" s="462" t="s">
        <v>12493</v>
      </c>
      <c r="AD3812" s="464">
        <v>239.30751000000001</v>
      </c>
      <c r="AE3812" s="465">
        <v>11.51155</v>
      </c>
      <c r="AF3812" s="86">
        <f>IF(verze!$E$1="CZK",AD3812,IF(verze!$E$1="SK",AE3812,""))</f>
        <v>11.51155</v>
      </c>
    </row>
    <row r="3813" spans="27:32" ht="15">
      <c r="AA3813" s="463" t="s">
        <v>12494</v>
      </c>
      <c r="AB3813" s="462" t="s">
        <v>12495</v>
      </c>
      <c r="AC3813" s="462" t="s">
        <v>12496</v>
      </c>
      <c r="AD3813" s="464">
        <v>253.81010000000001</v>
      </c>
      <c r="AE3813" s="465">
        <v>12.20917</v>
      </c>
      <c r="AF3813" s="86">
        <f>IF(verze!$E$1="CZK",AD3813,IF(verze!$E$1="SK",AE3813,""))</f>
        <v>12.20917</v>
      </c>
    </row>
    <row r="3814" spans="27:32" ht="15">
      <c r="AA3814" s="463" t="s">
        <v>12497</v>
      </c>
      <c r="AB3814" s="462" t="s">
        <v>12498</v>
      </c>
      <c r="AC3814" s="462" t="s">
        <v>12499</v>
      </c>
      <c r="AD3814" s="464">
        <v>268.31277</v>
      </c>
      <c r="AE3814" s="465">
        <v>12.90681</v>
      </c>
      <c r="AF3814" s="86">
        <f>IF(verze!$E$1="CZK",AD3814,IF(verze!$E$1="SK",AE3814,""))</f>
        <v>12.90681</v>
      </c>
    </row>
    <row r="3815" spans="27:32" ht="15">
      <c r="AA3815" s="463" t="s">
        <v>12500</v>
      </c>
      <c r="AB3815" s="462" t="s">
        <v>12501</v>
      </c>
      <c r="AC3815" s="462" t="s">
        <v>12502</v>
      </c>
      <c r="AD3815" s="464">
        <v>282.81533999999999</v>
      </c>
      <c r="AE3815" s="465">
        <v>13.60445</v>
      </c>
      <c r="AF3815" s="86">
        <f>IF(verze!$E$1="CZK",AD3815,IF(verze!$E$1="SK",AE3815,""))</f>
        <v>13.60445</v>
      </c>
    </row>
    <row r="3816" spans="27:32" ht="15">
      <c r="AA3816" s="463" t="s">
        <v>12503</v>
      </c>
      <c r="AB3816" s="462" t="s">
        <v>12504</v>
      </c>
      <c r="AC3816" s="462" t="s">
        <v>12505</v>
      </c>
      <c r="AD3816" s="464">
        <v>297.31792000000002</v>
      </c>
      <c r="AE3816" s="465">
        <v>14.302049999999999</v>
      </c>
      <c r="AF3816" s="86">
        <f>IF(verze!$E$1="CZK",AD3816,IF(verze!$E$1="SK",AE3816,""))</f>
        <v>14.302049999999999</v>
      </c>
    </row>
    <row r="3817" spans="27:32" ht="15">
      <c r="AA3817" s="463" t="s">
        <v>12506</v>
      </c>
      <c r="AB3817" s="462" t="s">
        <v>12507</v>
      </c>
      <c r="AC3817" s="462" t="s">
        <v>12508</v>
      </c>
      <c r="AD3817" s="464">
        <v>326.32555000000002</v>
      </c>
      <c r="AE3817" s="465">
        <v>15.69744</v>
      </c>
      <c r="AF3817" s="86">
        <f>IF(verze!$E$1="CZK",AD3817,IF(verze!$E$1="SK",AE3817,""))</f>
        <v>15.69744</v>
      </c>
    </row>
    <row r="3818" spans="27:32" ht="15">
      <c r="AA3818" s="463" t="s">
        <v>12509</v>
      </c>
      <c r="AB3818" s="462" t="s">
        <v>12510</v>
      </c>
      <c r="AC3818" s="462" t="s">
        <v>12511</v>
      </c>
      <c r="AD3818" s="464">
        <v>602.54602999999997</v>
      </c>
      <c r="AE3818" s="465">
        <v>28.98462</v>
      </c>
      <c r="AF3818" s="86">
        <f>IF(verze!$E$1="CZK",AD3818,IF(verze!$E$1="SK",AE3818,""))</f>
        <v>28.98462</v>
      </c>
    </row>
    <row r="3819" spans="27:32" ht="15">
      <c r="AA3819" s="463" t="s">
        <v>12512</v>
      </c>
      <c r="AB3819" s="462" t="s">
        <v>12513</v>
      </c>
      <c r="AC3819" s="462" t="s">
        <v>12514</v>
      </c>
      <c r="AD3819" s="464">
        <v>582.98062000000004</v>
      </c>
      <c r="AE3819" s="465">
        <v>22.813410000000001</v>
      </c>
      <c r="AF3819" s="86">
        <f>IF(verze!$E$1="CZK",AD3819,IF(verze!$E$1="SK",AE3819,""))</f>
        <v>22.813410000000001</v>
      </c>
    </row>
    <row r="3820" spans="27:32" ht="15">
      <c r="AA3820" s="463" t="s">
        <v>12515</v>
      </c>
      <c r="AB3820" s="462" t="s">
        <v>12516</v>
      </c>
      <c r="AC3820" s="462" t="s">
        <v>12517</v>
      </c>
      <c r="AD3820" s="464">
        <v>660.56366000000003</v>
      </c>
      <c r="AE3820" s="465">
        <v>31.775500000000001</v>
      </c>
      <c r="AF3820" s="86">
        <f>IF(verze!$E$1="CZK",AD3820,IF(verze!$E$1="SK",AE3820,""))</f>
        <v>31.775500000000001</v>
      </c>
    </row>
    <row r="3821" spans="27:32" ht="15">
      <c r="AA3821" s="463" t="s">
        <v>12518</v>
      </c>
      <c r="AB3821" s="462" t="s">
        <v>12519</v>
      </c>
      <c r="AC3821" s="462" t="s">
        <v>12520</v>
      </c>
      <c r="AD3821" s="464">
        <v>733.07674999999995</v>
      </c>
      <c r="AE3821" s="465">
        <v>35.263620000000003</v>
      </c>
      <c r="AF3821" s="86">
        <f>IF(verze!$E$1="CZK",AD3821,IF(verze!$E$1="SK",AE3821,""))</f>
        <v>35.263620000000003</v>
      </c>
    </row>
    <row r="3822" spans="27:32" ht="15">
      <c r="AA3822" s="463" t="s">
        <v>12521</v>
      </c>
      <c r="AB3822" s="462" t="s">
        <v>12522</v>
      </c>
      <c r="AC3822" s="462" t="s">
        <v>12523</v>
      </c>
      <c r="AD3822" s="464">
        <v>220.84979000000001</v>
      </c>
      <c r="AE3822" s="465">
        <v>10.623670000000001</v>
      </c>
      <c r="AF3822" s="86">
        <f>IF(verze!$E$1="CZK",AD3822,IF(verze!$E$1="SK",AE3822,""))</f>
        <v>10.623670000000001</v>
      </c>
    </row>
    <row r="3823" spans="27:32" ht="15">
      <c r="AA3823" s="463" t="s">
        <v>12524</v>
      </c>
      <c r="AB3823" s="462" t="s">
        <v>12525</v>
      </c>
      <c r="AC3823" s="462" t="s">
        <v>12526</v>
      </c>
      <c r="AD3823" s="464">
        <v>237.98750999999999</v>
      </c>
      <c r="AE3823" s="465">
        <v>11.44807</v>
      </c>
      <c r="AF3823" s="86">
        <f>IF(verze!$E$1="CZK",AD3823,IF(verze!$E$1="SK",AE3823,""))</f>
        <v>11.44807</v>
      </c>
    </row>
    <row r="3824" spans="27:32" ht="15">
      <c r="AA3824" s="463" t="s">
        <v>12527</v>
      </c>
      <c r="AB3824" s="462" t="s">
        <v>12528</v>
      </c>
      <c r="AC3824" s="462" t="s">
        <v>12529</v>
      </c>
      <c r="AD3824" s="464">
        <v>255.12762000000001</v>
      </c>
      <c r="AE3824" s="465">
        <v>12.272550000000001</v>
      </c>
      <c r="AF3824" s="86">
        <f>IF(verze!$E$1="CZK",AD3824,IF(verze!$E$1="SK",AE3824,""))</f>
        <v>12.272550000000001</v>
      </c>
    </row>
    <row r="3825" spans="27:32" ht="15">
      <c r="AA3825" s="463" t="s">
        <v>12530</v>
      </c>
      <c r="AB3825" s="462" t="s">
        <v>12531</v>
      </c>
      <c r="AC3825" s="462" t="s">
        <v>12532</v>
      </c>
      <c r="AD3825" s="464">
        <v>272.26781999999997</v>
      </c>
      <c r="AE3825" s="465">
        <v>13.097049999999999</v>
      </c>
      <c r="AF3825" s="86">
        <f>IF(verze!$E$1="CZK",AD3825,IF(verze!$E$1="SK",AE3825,""))</f>
        <v>13.097049999999999</v>
      </c>
    </row>
    <row r="3826" spans="27:32" ht="15">
      <c r="AA3826" s="463" t="s">
        <v>12533</v>
      </c>
      <c r="AB3826" s="462" t="s">
        <v>12534</v>
      </c>
      <c r="AC3826" s="462" t="s">
        <v>12535</v>
      </c>
      <c r="AD3826" s="464">
        <v>289.40791000000002</v>
      </c>
      <c r="AE3826" s="465">
        <v>13.92155</v>
      </c>
      <c r="AF3826" s="86">
        <f>IF(verze!$E$1="CZK",AD3826,IF(verze!$E$1="SK",AE3826,""))</f>
        <v>13.92155</v>
      </c>
    </row>
    <row r="3827" spans="27:32" ht="15">
      <c r="AA3827" s="463" t="s">
        <v>12536</v>
      </c>
      <c r="AB3827" s="462" t="s">
        <v>12537</v>
      </c>
      <c r="AC3827" s="462" t="s">
        <v>12538</v>
      </c>
      <c r="AD3827" s="464">
        <v>306.54563999999999</v>
      </c>
      <c r="AE3827" s="465">
        <v>14.745950000000001</v>
      </c>
      <c r="AF3827" s="86">
        <f>IF(verze!$E$1="CZK",AD3827,IF(verze!$E$1="SK",AE3827,""))</f>
        <v>14.745950000000001</v>
      </c>
    </row>
    <row r="3828" spans="27:32" ht="15">
      <c r="AA3828" s="463" t="s">
        <v>12539</v>
      </c>
      <c r="AB3828" s="462" t="s">
        <v>12540</v>
      </c>
      <c r="AC3828" s="462" t="s">
        <v>12541</v>
      </c>
      <c r="AD3828" s="464">
        <v>323.68812000000003</v>
      </c>
      <c r="AE3828" s="465">
        <v>15.57058</v>
      </c>
      <c r="AF3828" s="86">
        <f>IF(verze!$E$1="CZK",AD3828,IF(verze!$E$1="SK",AE3828,""))</f>
        <v>15.57058</v>
      </c>
    </row>
    <row r="3829" spans="27:32" ht="15">
      <c r="AA3829" s="463" t="s">
        <v>12542</v>
      </c>
      <c r="AB3829" s="462" t="s">
        <v>12543</v>
      </c>
      <c r="AC3829" s="462" t="s">
        <v>12544</v>
      </c>
      <c r="AD3829" s="464">
        <v>357.97071</v>
      </c>
      <c r="AE3829" s="465">
        <v>17.21969</v>
      </c>
      <c r="AF3829" s="86">
        <f>IF(verze!$E$1="CZK",AD3829,IF(verze!$E$1="SK",AE3829,""))</f>
        <v>17.21969</v>
      </c>
    </row>
    <row r="3830" spans="27:32" ht="15">
      <c r="AA3830" s="463" t="s">
        <v>12545</v>
      </c>
      <c r="AB3830" s="462" t="s">
        <v>12546</v>
      </c>
      <c r="AC3830" s="462" t="s">
        <v>12547</v>
      </c>
      <c r="AD3830" s="464">
        <v>639.46852000000001</v>
      </c>
      <c r="AE3830" s="465">
        <v>30.760739999999998</v>
      </c>
      <c r="AF3830" s="86">
        <f>IF(verze!$E$1="CZK",AD3830,IF(verze!$E$1="SK",AE3830,""))</f>
        <v>30.760739999999998</v>
      </c>
    </row>
    <row r="3831" spans="27:32" ht="15">
      <c r="AA3831" s="463" t="s">
        <v>12548</v>
      </c>
      <c r="AB3831" s="462" t="s">
        <v>12549</v>
      </c>
      <c r="AC3831" s="462" t="s">
        <v>12550</v>
      </c>
      <c r="AD3831" s="464">
        <v>673.74632999999994</v>
      </c>
      <c r="AE3831" s="465">
        <v>32.409619999999997</v>
      </c>
      <c r="AF3831" s="86">
        <f>IF(verze!$E$1="CZK",AD3831,IF(verze!$E$1="SK",AE3831,""))</f>
        <v>32.409619999999997</v>
      </c>
    </row>
    <row r="3832" spans="27:32" ht="15">
      <c r="AA3832" s="463" t="s">
        <v>12551</v>
      </c>
      <c r="AB3832" s="462" t="s">
        <v>12552</v>
      </c>
      <c r="AC3832" s="462" t="s">
        <v>12553</v>
      </c>
      <c r="AD3832" s="464">
        <v>708.02891999999997</v>
      </c>
      <c r="AE3832" s="465">
        <v>34.058750000000003</v>
      </c>
      <c r="AF3832" s="86">
        <f>IF(verze!$E$1="CZK",AD3832,IF(verze!$E$1="SK",AE3832,""))</f>
        <v>34.058750000000003</v>
      </c>
    </row>
    <row r="3833" spans="27:32" ht="15">
      <c r="AA3833" s="463" t="s">
        <v>12554</v>
      </c>
      <c r="AB3833" s="462" t="s">
        <v>12555</v>
      </c>
      <c r="AC3833" s="462" t="s">
        <v>12556</v>
      </c>
      <c r="AD3833" s="464">
        <v>742.30436999999995</v>
      </c>
      <c r="AE3833" s="465">
        <v>35.707520000000002</v>
      </c>
      <c r="AF3833" s="86">
        <f>IF(verze!$E$1="CZK",AD3833,IF(verze!$E$1="SK",AE3833,""))</f>
        <v>35.707520000000002</v>
      </c>
    </row>
    <row r="3834" spans="27:32" ht="15">
      <c r="AA3834" s="463" t="s">
        <v>12557</v>
      </c>
      <c r="AB3834" s="462" t="s">
        <v>12558</v>
      </c>
      <c r="AC3834" s="462" t="s">
        <v>12559</v>
      </c>
      <c r="AD3834" s="464">
        <v>793.72942</v>
      </c>
      <c r="AE3834" s="465">
        <v>38.181260000000002</v>
      </c>
      <c r="AF3834" s="86">
        <f>IF(verze!$E$1="CZK",AD3834,IF(verze!$E$1="SK",AE3834,""))</f>
        <v>38.181260000000002</v>
      </c>
    </row>
    <row r="3835" spans="27:32" ht="15">
      <c r="AA3835" s="463" t="s">
        <v>12560</v>
      </c>
      <c r="AB3835" s="462" t="s">
        <v>12561</v>
      </c>
      <c r="AC3835" s="462" t="s">
        <v>12562</v>
      </c>
      <c r="AD3835" s="464">
        <v>210.29750999999999</v>
      </c>
      <c r="AE3835" s="465">
        <v>10.11608</v>
      </c>
      <c r="AF3835" s="86">
        <f>IF(verze!$E$1="CZK",AD3835,IF(verze!$E$1="SK",AE3835,""))</f>
        <v>10.11608</v>
      </c>
    </row>
    <row r="3836" spans="27:32" ht="15">
      <c r="AA3836" s="463" t="s">
        <v>12563</v>
      </c>
      <c r="AB3836" s="462" t="s">
        <v>12564</v>
      </c>
      <c r="AC3836" s="462" t="s">
        <v>12565</v>
      </c>
      <c r="AD3836" s="464">
        <v>224.80008000000001</v>
      </c>
      <c r="AE3836" s="465">
        <v>10.813700000000001</v>
      </c>
      <c r="AF3836" s="86">
        <f>IF(verze!$E$1="CZK",AD3836,IF(verze!$E$1="SK",AE3836,""))</f>
        <v>10.813700000000001</v>
      </c>
    </row>
    <row r="3837" spans="27:32" ht="15">
      <c r="AA3837" s="463" t="s">
        <v>12566</v>
      </c>
      <c r="AB3837" s="462" t="s">
        <v>12567</v>
      </c>
      <c r="AC3837" s="462" t="s">
        <v>12568</v>
      </c>
      <c r="AD3837" s="464">
        <v>239.30751000000001</v>
      </c>
      <c r="AE3837" s="465">
        <v>11.51155</v>
      </c>
      <c r="AF3837" s="86">
        <f>IF(verze!$E$1="CZK",AD3837,IF(verze!$E$1="SK",AE3837,""))</f>
        <v>11.51155</v>
      </c>
    </row>
    <row r="3838" spans="27:32" ht="15">
      <c r="AA3838" s="463" t="s">
        <v>12569</v>
      </c>
      <c r="AB3838" s="462" t="s">
        <v>12570</v>
      </c>
      <c r="AC3838" s="462" t="s">
        <v>12571</v>
      </c>
      <c r="AD3838" s="464">
        <v>253.81010000000001</v>
      </c>
      <c r="AE3838" s="465">
        <v>12.20917</v>
      </c>
      <c r="AF3838" s="86">
        <f>IF(verze!$E$1="CZK",AD3838,IF(verze!$E$1="SK",AE3838,""))</f>
        <v>12.20917</v>
      </c>
    </row>
    <row r="3839" spans="27:32" ht="15">
      <c r="AA3839" s="463" t="s">
        <v>12572</v>
      </c>
      <c r="AB3839" s="462" t="s">
        <v>12573</v>
      </c>
      <c r="AC3839" s="462" t="s">
        <v>12574</v>
      </c>
      <c r="AD3839" s="464">
        <v>268.31277</v>
      </c>
      <c r="AE3839" s="465">
        <v>12.90681</v>
      </c>
      <c r="AF3839" s="86">
        <f>IF(verze!$E$1="CZK",AD3839,IF(verze!$E$1="SK",AE3839,""))</f>
        <v>12.90681</v>
      </c>
    </row>
    <row r="3840" spans="27:32" ht="15">
      <c r="AA3840" s="463" t="s">
        <v>12575</v>
      </c>
      <c r="AB3840" s="462" t="s">
        <v>12576</v>
      </c>
      <c r="AC3840" s="462" t="s">
        <v>12577</v>
      </c>
      <c r="AD3840" s="464">
        <v>282.81533999999999</v>
      </c>
      <c r="AE3840" s="465">
        <v>13.60445</v>
      </c>
      <c r="AF3840" s="86">
        <f>IF(verze!$E$1="CZK",AD3840,IF(verze!$E$1="SK",AE3840,""))</f>
        <v>13.60445</v>
      </c>
    </row>
    <row r="3841" spans="27:32" ht="15">
      <c r="AA3841" s="463" t="s">
        <v>12578</v>
      </c>
      <c r="AB3841" s="462" t="s">
        <v>12579</v>
      </c>
      <c r="AC3841" s="462" t="s">
        <v>12580</v>
      </c>
      <c r="AD3841" s="464">
        <v>297.31792000000002</v>
      </c>
      <c r="AE3841" s="465">
        <v>14.302049999999999</v>
      </c>
      <c r="AF3841" s="86">
        <f>IF(verze!$E$1="CZK",AD3841,IF(verze!$E$1="SK",AE3841,""))</f>
        <v>14.302049999999999</v>
      </c>
    </row>
    <row r="3842" spans="27:32" ht="15">
      <c r="AA3842" s="463" t="s">
        <v>12581</v>
      </c>
      <c r="AB3842" s="462" t="s">
        <v>12582</v>
      </c>
      <c r="AC3842" s="462" t="s">
        <v>12583</v>
      </c>
      <c r="AD3842" s="464">
        <v>326.32555000000002</v>
      </c>
      <c r="AE3842" s="465">
        <v>15.69744</v>
      </c>
      <c r="AF3842" s="86">
        <f>IF(verze!$E$1="CZK",AD3842,IF(verze!$E$1="SK",AE3842,""))</f>
        <v>15.69744</v>
      </c>
    </row>
    <row r="3843" spans="27:32" ht="15">
      <c r="AA3843" s="463" t="s">
        <v>12584</v>
      </c>
      <c r="AB3843" s="462" t="s">
        <v>12585</v>
      </c>
      <c r="AC3843" s="462" t="s">
        <v>12586</v>
      </c>
      <c r="AD3843" s="464">
        <v>602.54602999999997</v>
      </c>
      <c r="AE3843" s="465">
        <v>28.98462</v>
      </c>
      <c r="AF3843" s="86">
        <f>IF(verze!$E$1="CZK",AD3843,IF(verze!$E$1="SK",AE3843,""))</f>
        <v>28.98462</v>
      </c>
    </row>
    <row r="3844" spans="27:32" ht="15">
      <c r="AA3844" s="463" t="s">
        <v>12587</v>
      </c>
      <c r="AB3844" s="462" t="s">
        <v>12588</v>
      </c>
      <c r="AC3844" s="462" t="s">
        <v>12589</v>
      </c>
      <c r="AD3844" s="464">
        <v>631.55841999999996</v>
      </c>
      <c r="AE3844" s="465">
        <v>30.380240000000001</v>
      </c>
      <c r="AF3844" s="86">
        <f>IF(verze!$E$1="CZK",AD3844,IF(verze!$E$1="SK",AE3844,""))</f>
        <v>30.380240000000001</v>
      </c>
    </row>
    <row r="3845" spans="27:32" ht="15">
      <c r="AA3845" s="463" t="s">
        <v>12590</v>
      </c>
      <c r="AB3845" s="462" t="s">
        <v>12591</v>
      </c>
      <c r="AC3845" s="462" t="s">
        <v>12592</v>
      </c>
      <c r="AD3845" s="464">
        <v>660.56366000000003</v>
      </c>
      <c r="AE3845" s="465">
        <v>31.775500000000001</v>
      </c>
      <c r="AF3845" s="86">
        <f>IF(verze!$E$1="CZK",AD3845,IF(verze!$E$1="SK",AE3845,""))</f>
        <v>31.775500000000001</v>
      </c>
    </row>
    <row r="3846" spans="27:32" ht="15">
      <c r="AA3846" s="463" t="s">
        <v>12593</v>
      </c>
      <c r="AB3846" s="462" t="s">
        <v>12594</v>
      </c>
      <c r="AC3846" s="462" t="s">
        <v>12595</v>
      </c>
      <c r="AD3846" s="464">
        <v>689.56643999999994</v>
      </c>
      <c r="AE3846" s="465">
        <v>33.170630000000003</v>
      </c>
      <c r="AF3846" s="86">
        <f>IF(verze!$E$1="CZK",AD3846,IF(verze!$E$1="SK",AE3846,""))</f>
        <v>33.170630000000003</v>
      </c>
    </row>
    <row r="3847" spans="27:32" ht="15">
      <c r="AA3847" s="463" t="s">
        <v>12596</v>
      </c>
      <c r="AB3847" s="462" t="s">
        <v>12597</v>
      </c>
      <c r="AC3847" s="462" t="s">
        <v>12598</v>
      </c>
      <c r="AD3847" s="464">
        <v>733.07674999999995</v>
      </c>
      <c r="AE3847" s="465">
        <v>35.263620000000003</v>
      </c>
      <c r="AF3847" s="86">
        <f>IF(verze!$E$1="CZK",AD3847,IF(verze!$E$1="SK",AE3847,""))</f>
        <v>35.263620000000003</v>
      </c>
    </row>
    <row r="3848" spans="27:32" ht="15">
      <c r="AA3848" s="463" t="s">
        <v>12599</v>
      </c>
      <c r="AB3848" s="462" t="s">
        <v>12600</v>
      </c>
      <c r="AC3848" s="462" t="s">
        <v>12601</v>
      </c>
      <c r="AD3848" s="464">
        <v>220.84979000000001</v>
      </c>
      <c r="AE3848" s="465">
        <v>10.623670000000001</v>
      </c>
      <c r="AF3848" s="86">
        <f>IF(verze!$E$1="CZK",AD3848,IF(verze!$E$1="SK",AE3848,""))</f>
        <v>10.623670000000001</v>
      </c>
    </row>
    <row r="3849" spans="27:32" ht="15">
      <c r="AA3849" s="463" t="s">
        <v>12602</v>
      </c>
      <c r="AB3849" s="462" t="s">
        <v>12603</v>
      </c>
      <c r="AC3849" s="462" t="s">
        <v>12604</v>
      </c>
      <c r="AD3849" s="464">
        <v>237.98750999999999</v>
      </c>
      <c r="AE3849" s="465">
        <v>11.44807</v>
      </c>
      <c r="AF3849" s="86">
        <f>IF(verze!$E$1="CZK",AD3849,IF(verze!$E$1="SK",AE3849,""))</f>
        <v>11.44807</v>
      </c>
    </row>
    <row r="3850" spans="27:32" ht="15">
      <c r="AA3850" s="463" t="s">
        <v>12605</v>
      </c>
      <c r="AB3850" s="462" t="s">
        <v>12606</v>
      </c>
      <c r="AC3850" s="462" t="s">
        <v>12607</v>
      </c>
      <c r="AD3850" s="464">
        <v>255.12762000000001</v>
      </c>
      <c r="AE3850" s="465">
        <v>12.272550000000001</v>
      </c>
      <c r="AF3850" s="86">
        <f>IF(verze!$E$1="CZK",AD3850,IF(verze!$E$1="SK",AE3850,""))</f>
        <v>12.272550000000001</v>
      </c>
    </row>
    <row r="3851" spans="27:32" ht="15">
      <c r="AA3851" s="463" t="s">
        <v>12608</v>
      </c>
      <c r="AB3851" s="462" t="s">
        <v>12609</v>
      </c>
      <c r="AC3851" s="462" t="s">
        <v>12610</v>
      </c>
      <c r="AD3851" s="464">
        <v>272.26781999999997</v>
      </c>
      <c r="AE3851" s="465">
        <v>13.097049999999999</v>
      </c>
      <c r="AF3851" s="86">
        <f>IF(verze!$E$1="CZK",AD3851,IF(verze!$E$1="SK",AE3851,""))</f>
        <v>13.097049999999999</v>
      </c>
    </row>
    <row r="3852" spans="27:32" ht="15">
      <c r="AA3852" s="463" t="s">
        <v>12611</v>
      </c>
      <c r="AB3852" s="462" t="s">
        <v>12612</v>
      </c>
      <c r="AC3852" s="462" t="s">
        <v>12613</v>
      </c>
      <c r="AD3852" s="464">
        <v>289.40791000000002</v>
      </c>
      <c r="AE3852" s="465">
        <v>13.92155</v>
      </c>
      <c r="AF3852" s="86">
        <f>IF(verze!$E$1="CZK",AD3852,IF(verze!$E$1="SK",AE3852,""))</f>
        <v>13.92155</v>
      </c>
    </row>
    <row r="3853" spans="27:32" ht="15">
      <c r="AA3853" s="463" t="s">
        <v>12614</v>
      </c>
      <c r="AB3853" s="462" t="s">
        <v>12615</v>
      </c>
      <c r="AC3853" s="462" t="s">
        <v>12616</v>
      </c>
      <c r="AD3853" s="464">
        <v>306.54563999999999</v>
      </c>
      <c r="AE3853" s="465">
        <v>14.745950000000001</v>
      </c>
      <c r="AF3853" s="86">
        <f>IF(verze!$E$1="CZK",AD3853,IF(verze!$E$1="SK",AE3853,""))</f>
        <v>14.745950000000001</v>
      </c>
    </row>
    <row r="3854" spans="27:32" ht="15">
      <c r="AA3854" s="463" t="s">
        <v>12617</v>
      </c>
      <c r="AB3854" s="462" t="s">
        <v>12618</v>
      </c>
      <c r="AC3854" s="462" t="s">
        <v>12619</v>
      </c>
      <c r="AD3854" s="464">
        <v>323.68812000000003</v>
      </c>
      <c r="AE3854" s="465">
        <v>15.57058</v>
      </c>
      <c r="AF3854" s="86">
        <f>IF(verze!$E$1="CZK",AD3854,IF(verze!$E$1="SK",AE3854,""))</f>
        <v>15.57058</v>
      </c>
    </row>
    <row r="3855" spans="27:32" ht="15">
      <c r="AA3855" s="463" t="s">
        <v>12620</v>
      </c>
      <c r="AB3855" s="462" t="s">
        <v>12621</v>
      </c>
      <c r="AC3855" s="462" t="s">
        <v>12622</v>
      </c>
      <c r="AD3855" s="464">
        <v>357.97071</v>
      </c>
      <c r="AE3855" s="465">
        <v>17.21969</v>
      </c>
      <c r="AF3855" s="86">
        <f>IF(verze!$E$1="CZK",AD3855,IF(verze!$E$1="SK",AE3855,""))</f>
        <v>17.21969</v>
      </c>
    </row>
    <row r="3856" spans="27:32" ht="15">
      <c r="AA3856" s="463" t="s">
        <v>12623</v>
      </c>
      <c r="AB3856" s="462" t="s">
        <v>12624</v>
      </c>
      <c r="AC3856" s="462" t="s">
        <v>12625</v>
      </c>
      <c r="AD3856" s="464">
        <v>639.46852000000001</v>
      </c>
      <c r="AE3856" s="465">
        <v>30.760739999999998</v>
      </c>
      <c r="AF3856" s="86">
        <f>IF(verze!$E$1="CZK",AD3856,IF(verze!$E$1="SK",AE3856,""))</f>
        <v>30.760739999999998</v>
      </c>
    </row>
    <row r="3857" spans="27:32" ht="15">
      <c r="AA3857" s="463" t="s">
        <v>12626</v>
      </c>
      <c r="AB3857" s="462" t="s">
        <v>12627</v>
      </c>
      <c r="AC3857" s="462" t="s">
        <v>12628</v>
      </c>
      <c r="AD3857" s="464">
        <v>673.74632999999994</v>
      </c>
      <c r="AE3857" s="465">
        <v>32.409619999999997</v>
      </c>
      <c r="AF3857" s="86">
        <f>IF(verze!$E$1="CZK",AD3857,IF(verze!$E$1="SK",AE3857,""))</f>
        <v>32.409619999999997</v>
      </c>
    </row>
    <row r="3858" spans="27:32" ht="15">
      <c r="AA3858" s="463" t="s">
        <v>12629</v>
      </c>
      <c r="AB3858" s="462" t="s">
        <v>12630</v>
      </c>
      <c r="AC3858" s="462" t="s">
        <v>12631</v>
      </c>
      <c r="AD3858" s="464">
        <v>708.02891999999997</v>
      </c>
      <c r="AE3858" s="465">
        <v>34.058750000000003</v>
      </c>
      <c r="AF3858" s="86">
        <f>IF(verze!$E$1="CZK",AD3858,IF(verze!$E$1="SK",AE3858,""))</f>
        <v>34.058750000000003</v>
      </c>
    </row>
    <row r="3859" spans="27:32" ht="15">
      <c r="AA3859" s="463" t="s">
        <v>12632</v>
      </c>
      <c r="AB3859" s="462" t="s">
        <v>12633</v>
      </c>
      <c r="AC3859" s="462" t="s">
        <v>12634</v>
      </c>
      <c r="AD3859" s="464">
        <v>793.72942</v>
      </c>
      <c r="AE3859" s="465">
        <v>38.181260000000002</v>
      </c>
      <c r="AF3859" s="86">
        <f>IF(verze!$E$1="CZK",AD3859,IF(verze!$E$1="SK",AE3859,""))</f>
        <v>38.181260000000002</v>
      </c>
    </row>
    <row r="3860" spans="27:32" ht="15">
      <c r="AA3860" s="463" t="s">
        <v>12635</v>
      </c>
      <c r="AB3860" s="462" t="s">
        <v>12636</v>
      </c>
      <c r="AC3860" s="462" t="s">
        <v>12637</v>
      </c>
      <c r="AD3860" s="464">
        <v>397.52109000000002</v>
      </c>
      <c r="AE3860" s="465">
        <v>19.122199999999999</v>
      </c>
      <c r="AF3860" s="86">
        <f>IF(verze!$E$1="CZK",AD3860,IF(verze!$E$1="SK",AE3860,""))</f>
        <v>19.122199999999999</v>
      </c>
    </row>
    <row r="3861" spans="27:32" ht="15">
      <c r="AA3861" s="463" t="s">
        <v>12638</v>
      </c>
      <c r="AB3861" s="462" t="s">
        <v>12639</v>
      </c>
      <c r="AC3861" s="462" t="s">
        <v>12640</v>
      </c>
      <c r="AD3861" s="464">
        <v>726.48653999999999</v>
      </c>
      <c r="AE3861" s="465">
        <v>34.946629999999999</v>
      </c>
      <c r="AF3861" s="86">
        <f>IF(verze!$E$1="CZK",AD3861,IF(verze!$E$1="SK",AE3861,""))</f>
        <v>34.946629999999999</v>
      </c>
    </row>
    <row r="3862" spans="27:32" ht="15">
      <c r="AA3862" s="463" t="s">
        <v>12641</v>
      </c>
      <c r="AB3862" s="462" t="s">
        <v>12642</v>
      </c>
      <c r="AC3862" s="462" t="s">
        <v>12643</v>
      </c>
      <c r="AD3862" s="464">
        <v>767.35932000000003</v>
      </c>
      <c r="AE3862" s="465">
        <v>36.912750000000003</v>
      </c>
      <c r="AF3862" s="86">
        <f>IF(verze!$E$1="CZK",AD3862,IF(verze!$E$1="SK",AE3862,""))</f>
        <v>36.912750000000003</v>
      </c>
    </row>
    <row r="3863" spans="27:32" ht="15">
      <c r="AA3863" s="463" t="s">
        <v>12644</v>
      </c>
      <c r="AB3863" s="462" t="s">
        <v>12645</v>
      </c>
      <c r="AC3863" s="462" t="s">
        <v>12646</v>
      </c>
      <c r="AD3863" s="464">
        <v>866.04501000000005</v>
      </c>
      <c r="AE3863" s="465">
        <v>0</v>
      </c>
      <c r="AF3863" s="86">
        <f>IF(verze!$E$1="CZK",AD3863,IF(verze!$E$1="SK",AE3863,""))</f>
        <v>0</v>
      </c>
    </row>
    <row r="3864" spans="27:32" ht="15">
      <c r="AA3864" s="463" t="s">
        <v>12647</v>
      </c>
      <c r="AB3864" s="462" t="s">
        <v>12648</v>
      </c>
      <c r="AC3864" s="462" t="s">
        <v>12649</v>
      </c>
      <c r="AD3864" s="464">
        <v>210.29750999999999</v>
      </c>
      <c r="AE3864" s="465">
        <v>10.11608</v>
      </c>
      <c r="AF3864" s="86">
        <f>IF(verze!$E$1="CZK",AD3864,IF(verze!$E$1="SK",AE3864,""))</f>
        <v>10.11608</v>
      </c>
    </row>
    <row r="3865" spans="27:32" ht="15">
      <c r="AA3865" s="463" t="s">
        <v>12650</v>
      </c>
      <c r="AB3865" s="462" t="s">
        <v>12651</v>
      </c>
      <c r="AC3865" s="462" t="s">
        <v>12652</v>
      </c>
      <c r="AD3865" s="464">
        <v>224.80008000000001</v>
      </c>
      <c r="AE3865" s="465">
        <v>10.813700000000001</v>
      </c>
      <c r="AF3865" s="86">
        <f>IF(verze!$E$1="CZK",AD3865,IF(verze!$E$1="SK",AE3865,""))</f>
        <v>10.813700000000001</v>
      </c>
    </row>
    <row r="3866" spans="27:32" ht="15">
      <c r="AA3866" s="463" t="s">
        <v>12653</v>
      </c>
      <c r="AB3866" s="462" t="s">
        <v>12654</v>
      </c>
      <c r="AC3866" s="462" t="s">
        <v>12655</v>
      </c>
      <c r="AD3866" s="464">
        <v>239.30751000000001</v>
      </c>
      <c r="AE3866" s="465">
        <v>11.51155</v>
      </c>
      <c r="AF3866" s="86">
        <f>IF(verze!$E$1="CZK",AD3866,IF(verze!$E$1="SK",AE3866,""))</f>
        <v>11.51155</v>
      </c>
    </row>
    <row r="3867" spans="27:32" ht="15">
      <c r="AA3867" s="463" t="s">
        <v>12656</v>
      </c>
      <c r="AB3867" s="462" t="s">
        <v>12657</v>
      </c>
      <c r="AC3867" s="462" t="s">
        <v>12658</v>
      </c>
      <c r="AD3867" s="464">
        <v>253.81010000000001</v>
      </c>
      <c r="AE3867" s="465">
        <v>12.20917</v>
      </c>
      <c r="AF3867" s="86">
        <f>IF(verze!$E$1="CZK",AD3867,IF(verze!$E$1="SK",AE3867,""))</f>
        <v>12.20917</v>
      </c>
    </row>
    <row r="3868" spans="27:32" ht="15">
      <c r="AA3868" s="463" t="s">
        <v>12659</v>
      </c>
      <c r="AB3868" s="462" t="s">
        <v>12660</v>
      </c>
      <c r="AC3868" s="462" t="s">
        <v>12661</v>
      </c>
      <c r="AD3868" s="464">
        <v>268.31277</v>
      </c>
      <c r="AE3868" s="465">
        <v>12.90681</v>
      </c>
      <c r="AF3868" s="86">
        <f>IF(verze!$E$1="CZK",AD3868,IF(verze!$E$1="SK",AE3868,""))</f>
        <v>12.90681</v>
      </c>
    </row>
    <row r="3869" spans="27:32" ht="15">
      <c r="AA3869" s="463" t="s">
        <v>12662</v>
      </c>
      <c r="AB3869" s="462" t="s">
        <v>12663</v>
      </c>
      <c r="AC3869" s="462" t="s">
        <v>12664</v>
      </c>
      <c r="AD3869" s="464">
        <v>282.81533999999999</v>
      </c>
      <c r="AE3869" s="465">
        <v>13.60445</v>
      </c>
      <c r="AF3869" s="86">
        <f>IF(verze!$E$1="CZK",AD3869,IF(verze!$E$1="SK",AE3869,""))</f>
        <v>13.60445</v>
      </c>
    </row>
    <row r="3870" spans="27:32" ht="15">
      <c r="AA3870" s="463" t="s">
        <v>12665</v>
      </c>
      <c r="AB3870" s="462" t="s">
        <v>12666</v>
      </c>
      <c r="AC3870" s="462" t="s">
        <v>12667</v>
      </c>
      <c r="AD3870" s="464">
        <v>297.31792000000002</v>
      </c>
      <c r="AE3870" s="465">
        <v>14.302049999999999</v>
      </c>
      <c r="AF3870" s="86">
        <f>IF(verze!$E$1="CZK",AD3870,IF(verze!$E$1="SK",AE3870,""))</f>
        <v>14.302049999999999</v>
      </c>
    </row>
    <row r="3871" spans="27:32" ht="15">
      <c r="AA3871" s="463" t="s">
        <v>12668</v>
      </c>
      <c r="AB3871" s="462" t="s">
        <v>12669</v>
      </c>
      <c r="AC3871" s="462" t="s">
        <v>12670</v>
      </c>
      <c r="AD3871" s="464">
        <v>326.32555000000002</v>
      </c>
      <c r="AE3871" s="465">
        <v>15.69744</v>
      </c>
      <c r="AF3871" s="86">
        <f>IF(verze!$E$1="CZK",AD3871,IF(verze!$E$1="SK",AE3871,""))</f>
        <v>15.69744</v>
      </c>
    </row>
    <row r="3872" spans="27:32" ht="15">
      <c r="AA3872" s="463" t="s">
        <v>12671</v>
      </c>
      <c r="AB3872" s="462" t="s">
        <v>12672</v>
      </c>
      <c r="AC3872" s="462" t="s">
        <v>12673</v>
      </c>
      <c r="AD3872" s="464">
        <v>602.54602999999997</v>
      </c>
      <c r="AE3872" s="465">
        <v>28.98462</v>
      </c>
      <c r="AF3872" s="86">
        <f>IF(verze!$E$1="CZK",AD3872,IF(verze!$E$1="SK",AE3872,""))</f>
        <v>28.98462</v>
      </c>
    </row>
    <row r="3873" spans="27:32" ht="15">
      <c r="AA3873" s="463" t="s">
        <v>12674</v>
      </c>
      <c r="AB3873" s="462" t="s">
        <v>12675</v>
      </c>
      <c r="AC3873" s="462" t="s">
        <v>12676</v>
      </c>
      <c r="AD3873" s="464">
        <v>631.55841999999996</v>
      </c>
      <c r="AE3873" s="465">
        <v>30.380240000000001</v>
      </c>
      <c r="AF3873" s="86">
        <f>IF(verze!$E$1="CZK",AD3873,IF(verze!$E$1="SK",AE3873,""))</f>
        <v>30.380240000000001</v>
      </c>
    </row>
    <row r="3874" spans="27:32" ht="15">
      <c r="AA3874" s="463" t="s">
        <v>12677</v>
      </c>
      <c r="AB3874" s="462" t="s">
        <v>12678</v>
      </c>
      <c r="AC3874" s="462" t="s">
        <v>12679</v>
      </c>
      <c r="AD3874" s="464">
        <v>660.56366000000003</v>
      </c>
      <c r="AE3874" s="465">
        <v>31.775500000000001</v>
      </c>
      <c r="AF3874" s="86">
        <f>IF(verze!$E$1="CZK",AD3874,IF(verze!$E$1="SK",AE3874,""))</f>
        <v>31.775500000000001</v>
      </c>
    </row>
    <row r="3875" spans="27:32" ht="15">
      <c r="AA3875" s="463" t="s">
        <v>12680</v>
      </c>
      <c r="AB3875" s="462" t="s">
        <v>12681</v>
      </c>
      <c r="AC3875" s="462" t="s">
        <v>12682</v>
      </c>
      <c r="AD3875" s="464">
        <v>733.07674999999995</v>
      </c>
      <c r="AE3875" s="465">
        <v>35.263620000000003</v>
      </c>
      <c r="AF3875" s="86">
        <f>IF(verze!$E$1="CZK",AD3875,IF(verze!$E$1="SK",AE3875,""))</f>
        <v>35.263620000000003</v>
      </c>
    </row>
    <row r="3876" spans="27:32" ht="15">
      <c r="AA3876" s="463" t="s">
        <v>12683</v>
      </c>
      <c r="AB3876" s="462" t="s">
        <v>12684</v>
      </c>
      <c r="AC3876" s="462" t="s">
        <v>12685</v>
      </c>
      <c r="AD3876" s="464">
        <v>220.84979000000001</v>
      </c>
      <c r="AE3876" s="465">
        <v>10.623670000000001</v>
      </c>
      <c r="AF3876" s="86">
        <f>IF(verze!$E$1="CZK",AD3876,IF(verze!$E$1="SK",AE3876,""))</f>
        <v>10.623670000000001</v>
      </c>
    </row>
    <row r="3877" spans="27:32" ht="15">
      <c r="AA3877" s="463" t="s">
        <v>12686</v>
      </c>
      <c r="AB3877" s="462" t="s">
        <v>12687</v>
      </c>
      <c r="AC3877" s="462" t="s">
        <v>12688</v>
      </c>
      <c r="AD3877" s="464">
        <v>237.98750999999999</v>
      </c>
      <c r="AE3877" s="465">
        <v>11.44807</v>
      </c>
      <c r="AF3877" s="86">
        <f>IF(verze!$E$1="CZK",AD3877,IF(verze!$E$1="SK",AE3877,""))</f>
        <v>11.44807</v>
      </c>
    </row>
    <row r="3878" spans="27:32" ht="15">
      <c r="AA3878" s="463" t="s">
        <v>12689</v>
      </c>
      <c r="AB3878" s="462" t="s">
        <v>12690</v>
      </c>
      <c r="AC3878" s="462" t="s">
        <v>12691</v>
      </c>
      <c r="AD3878" s="464">
        <v>255.12762000000001</v>
      </c>
      <c r="AE3878" s="465">
        <v>12.272550000000001</v>
      </c>
      <c r="AF3878" s="86">
        <f>IF(verze!$E$1="CZK",AD3878,IF(verze!$E$1="SK",AE3878,""))</f>
        <v>12.272550000000001</v>
      </c>
    </row>
    <row r="3879" spans="27:32" ht="15">
      <c r="AA3879" s="463" t="s">
        <v>12692</v>
      </c>
      <c r="AB3879" s="462" t="s">
        <v>12693</v>
      </c>
      <c r="AC3879" s="462" t="s">
        <v>12694</v>
      </c>
      <c r="AD3879" s="464">
        <v>272.26781999999997</v>
      </c>
      <c r="AE3879" s="465">
        <v>13.097049999999999</v>
      </c>
      <c r="AF3879" s="86">
        <f>IF(verze!$E$1="CZK",AD3879,IF(verze!$E$1="SK",AE3879,""))</f>
        <v>13.097049999999999</v>
      </c>
    </row>
    <row r="3880" spans="27:32" ht="15">
      <c r="AA3880" s="463" t="s">
        <v>12695</v>
      </c>
      <c r="AB3880" s="462" t="s">
        <v>12696</v>
      </c>
      <c r="AC3880" s="462" t="s">
        <v>12697</v>
      </c>
      <c r="AD3880" s="464">
        <v>289.40791000000002</v>
      </c>
      <c r="AE3880" s="465">
        <v>13.92155</v>
      </c>
      <c r="AF3880" s="86">
        <f>IF(verze!$E$1="CZK",AD3880,IF(verze!$E$1="SK",AE3880,""))</f>
        <v>13.92155</v>
      </c>
    </row>
    <row r="3881" spans="27:32" ht="15">
      <c r="AA3881" s="463" t="s">
        <v>12698</v>
      </c>
      <c r="AB3881" s="462" t="s">
        <v>12699</v>
      </c>
      <c r="AC3881" s="462" t="s">
        <v>12700</v>
      </c>
      <c r="AD3881" s="464">
        <v>306.54563999999999</v>
      </c>
      <c r="AE3881" s="465">
        <v>14.745950000000001</v>
      </c>
      <c r="AF3881" s="86">
        <f>IF(verze!$E$1="CZK",AD3881,IF(verze!$E$1="SK",AE3881,""))</f>
        <v>14.745950000000001</v>
      </c>
    </row>
    <row r="3882" spans="27:32" ht="15">
      <c r="AA3882" s="463" t="s">
        <v>12701</v>
      </c>
      <c r="AB3882" s="462" t="s">
        <v>12702</v>
      </c>
      <c r="AC3882" s="462" t="s">
        <v>12703</v>
      </c>
      <c r="AD3882" s="464">
        <v>323.68812000000003</v>
      </c>
      <c r="AE3882" s="465">
        <v>15.57058</v>
      </c>
      <c r="AF3882" s="86">
        <f>IF(verze!$E$1="CZK",AD3882,IF(verze!$E$1="SK",AE3882,""))</f>
        <v>15.57058</v>
      </c>
    </row>
    <row r="3883" spans="27:32" ht="15">
      <c r="AA3883" s="463" t="s">
        <v>12704</v>
      </c>
      <c r="AB3883" s="462" t="s">
        <v>12705</v>
      </c>
      <c r="AC3883" s="462" t="s">
        <v>12706</v>
      </c>
      <c r="AD3883" s="464">
        <v>357.97071</v>
      </c>
      <c r="AE3883" s="465">
        <v>17.21969</v>
      </c>
      <c r="AF3883" s="86">
        <f>IF(verze!$E$1="CZK",AD3883,IF(verze!$E$1="SK",AE3883,""))</f>
        <v>17.21969</v>
      </c>
    </row>
    <row r="3884" spans="27:32" ht="15">
      <c r="AA3884" s="463" t="s">
        <v>12707</v>
      </c>
      <c r="AB3884" s="462" t="s">
        <v>12708</v>
      </c>
      <c r="AC3884" s="462" t="s">
        <v>12709</v>
      </c>
      <c r="AD3884" s="464">
        <v>639.46852000000001</v>
      </c>
      <c r="AE3884" s="465">
        <v>30.760739999999998</v>
      </c>
      <c r="AF3884" s="86">
        <f>IF(verze!$E$1="CZK",AD3884,IF(verze!$E$1="SK",AE3884,""))</f>
        <v>30.760739999999998</v>
      </c>
    </row>
    <row r="3885" spans="27:32" ht="15">
      <c r="AA3885" s="463" t="s">
        <v>12710</v>
      </c>
      <c r="AB3885" s="462" t="s">
        <v>12711</v>
      </c>
      <c r="AC3885" s="462" t="s">
        <v>12712</v>
      </c>
      <c r="AD3885" s="464">
        <v>673.74632999999994</v>
      </c>
      <c r="AE3885" s="465">
        <v>32.409619999999997</v>
      </c>
      <c r="AF3885" s="86">
        <f>IF(verze!$E$1="CZK",AD3885,IF(verze!$E$1="SK",AE3885,""))</f>
        <v>32.409619999999997</v>
      </c>
    </row>
    <row r="3886" spans="27:32" ht="15">
      <c r="AA3886" s="463" t="s">
        <v>12713</v>
      </c>
      <c r="AB3886" s="462" t="s">
        <v>12714</v>
      </c>
      <c r="AC3886" s="462" t="s">
        <v>12715</v>
      </c>
      <c r="AD3886" s="464">
        <v>708.02891999999997</v>
      </c>
      <c r="AE3886" s="465">
        <v>34.058750000000003</v>
      </c>
      <c r="AF3886" s="86">
        <f>IF(verze!$E$1="CZK",AD3886,IF(verze!$E$1="SK",AE3886,""))</f>
        <v>34.058750000000003</v>
      </c>
    </row>
    <row r="3887" spans="27:32" ht="15">
      <c r="AA3887" s="463" t="s">
        <v>12716</v>
      </c>
      <c r="AB3887" s="462" t="s">
        <v>12717</v>
      </c>
      <c r="AC3887" s="462" t="s">
        <v>12718</v>
      </c>
      <c r="AD3887" s="464">
        <v>742.30436999999995</v>
      </c>
      <c r="AE3887" s="465">
        <v>35.707520000000002</v>
      </c>
      <c r="AF3887" s="86">
        <f>IF(verze!$E$1="CZK",AD3887,IF(verze!$E$1="SK",AE3887,""))</f>
        <v>35.707520000000002</v>
      </c>
    </row>
    <row r="3888" spans="27:32" ht="15">
      <c r="AA3888" s="463" t="s">
        <v>12719</v>
      </c>
      <c r="AB3888" s="462" t="s">
        <v>12720</v>
      </c>
      <c r="AC3888" s="462" t="s">
        <v>12721</v>
      </c>
      <c r="AD3888" s="464">
        <v>793.72942</v>
      </c>
      <c r="AE3888" s="465">
        <v>38.181260000000002</v>
      </c>
      <c r="AF3888" s="86">
        <f>IF(verze!$E$1="CZK",AD3888,IF(verze!$E$1="SK",AE3888,""))</f>
        <v>38.181260000000002</v>
      </c>
    </row>
    <row r="3889" spans="27:32" ht="15">
      <c r="AA3889" s="463" t="s">
        <v>12722</v>
      </c>
      <c r="AB3889" s="462" t="s">
        <v>12723</v>
      </c>
      <c r="AC3889" s="462" t="s">
        <v>12724</v>
      </c>
      <c r="AD3889" s="464">
        <v>397.52109000000002</v>
      </c>
      <c r="AE3889" s="465">
        <v>19.122199999999999</v>
      </c>
      <c r="AF3889" s="86">
        <f>IF(verze!$E$1="CZK",AD3889,IF(verze!$E$1="SK",AE3889,""))</f>
        <v>19.122199999999999</v>
      </c>
    </row>
    <row r="3890" spans="27:32" ht="15">
      <c r="AA3890" s="463" t="s">
        <v>12725</v>
      </c>
      <c r="AB3890" s="462" t="s">
        <v>12726</v>
      </c>
      <c r="AC3890" s="462" t="s">
        <v>12727</v>
      </c>
      <c r="AD3890" s="464">
        <v>726.48653999999999</v>
      </c>
      <c r="AE3890" s="465">
        <v>34.946629999999999</v>
      </c>
      <c r="AF3890" s="86">
        <f>IF(verze!$E$1="CZK",AD3890,IF(verze!$E$1="SK",AE3890,""))</f>
        <v>34.946629999999999</v>
      </c>
    </row>
    <row r="3891" spans="27:32" ht="15">
      <c r="AA3891" s="463" t="s">
        <v>12728</v>
      </c>
      <c r="AB3891" s="462" t="s">
        <v>12729</v>
      </c>
      <c r="AC3891" s="462" t="s">
        <v>12730</v>
      </c>
      <c r="AD3891" s="464">
        <v>767.35932000000003</v>
      </c>
      <c r="AE3891" s="465">
        <v>36.912750000000003</v>
      </c>
      <c r="AF3891" s="86">
        <f>IF(verze!$E$1="CZK",AD3891,IF(verze!$E$1="SK",AE3891,""))</f>
        <v>36.912750000000003</v>
      </c>
    </row>
    <row r="3892" spans="27:32" ht="15">
      <c r="AA3892" s="463" t="s">
        <v>12731</v>
      </c>
      <c r="AB3892" s="462" t="s">
        <v>12732</v>
      </c>
      <c r="AC3892" s="462" t="s">
        <v>12733</v>
      </c>
      <c r="AD3892" s="464">
        <v>95.483599999999996</v>
      </c>
      <c r="AE3892" s="465">
        <v>4.5930999999999997</v>
      </c>
      <c r="AF3892" s="86">
        <f>IF(verze!$E$1="CZK",AD3892,IF(verze!$E$1="SK",AE3892,""))</f>
        <v>4.5930999999999997</v>
      </c>
    </row>
    <row r="3893" spans="27:32" ht="15">
      <c r="AA3893" s="463" t="s">
        <v>12734</v>
      </c>
      <c r="AB3893" s="462" t="s">
        <v>12735</v>
      </c>
      <c r="AC3893" s="462" t="s">
        <v>12736</v>
      </c>
      <c r="AD3893" s="464">
        <v>95.483599999999996</v>
      </c>
      <c r="AE3893" s="465">
        <v>4.5930999999999997</v>
      </c>
      <c r="AF3893" s="86">
        <f>IF(verze!$E$1="CZK",AD3893,IF(verze!$E$1="SK",AE3893,""))</f>
        <v>4.5930999999999997</v>
      </c>
    </row>
    <row r="3894" spans="27:32" ht="15">
      <c r="AA3894" s="463" t="s">
        <v>12737</v>
      </c>
      <c r="AB3894" s="462" t="s">
        <v>12738</v>
      </c>
      <c r="AC3894" s="462" t="s">
        <v>12739</v>
      </c>
      <c r="AD3894" s="464">
        <v>100.72908</v>
      </c>
      <c r="AE3894" s="465">
        <v>4.84544</v>
      </c>
      <c r="AF3894" s="86">
        <f>IF(verze!$E$1="CZK",AD3894,IF(verze!$E$1="SK",AE3894,""))</f>
        <v>4.84544</v>
      </c>
    </row>
    <row r="3895" spans="27:32" ht="15">
      <c r="AA3895" s="463" t="s">
        <v>12740</v>
      </c>
      <c r="AB3895" s="462" t="s">
        <v>12741</v>
      </c>
      <c r="AC3895" s="462" t="s">
        <v>12742</v>
      </c>
      <c r="AD3895" s="464">
        <v>100.72908</v>
      </c>
      <c r="AE3895" s="465">
        <v>4.84544</v>
      </c>
      <c r="AF3895" s="86">
        <f>IF(verze!$E$1="CZK",AD3895,IF(verze!$E$1="SK",AE3895,""))</f>
        <v>4.84544</v>
      </c>
    </row>
    <row r="3896" spans="27:32" ht="15">
      <c r="AA3896" s="463" t="s">
        <v>12743</v>
      </c>
      <c r="AB3896" s="462" t="s">
        <v>12744</v>
      </c>
      <c r="AC3896" s="462" t="s">
        <v>12745</v>
      </c>
      <c r="AD3896" s="464">
        <v>104.47681</v>
      </c>
      <c r="AE3896" s="465">
        <v>5.0257199999999997</v>
      </c>
      <c r="AF3896" s="86">
        <f>IF(verze!$E$1="CZK",AD3896,IF(verze!$E$1="SK",AE3896,""))</f>
        <v>5.0257199999999997</v>
      </c>
    </row>
    <row r="3897" spans="27:32" ht="15">
      <c r="AA3897" s="463" t="s">
        <v>12746</v>
      </c>
      <c r="AB3897" s="462" t="s">
        <v>12747</v>
      </c>
      <c r="AC3897" s="462" t="s">
        <v>12748</v>
      </c>
      <c r="AD3897" s="464">
        <v>104.47681</v>
      </c>
      <c r="AE3897" s="465">
        <v>5.0257199999999997</v>
      </c>
      <c r="AF3897" s="86">
        <f>IF(verze!$E$1="CZK",AD3897,IF(verze!$E$1="SK",AE3897,""))</f>
        <v>5.0257199999999997</v>
      </c>
    </row>
    <row r="3898" spans="27:32" ht="15">
      <c r="AA3898" s="463" t="s">
        <v>12749</v>
      </c>
      <c r="AB3898" s="462" t="s">
        <v>12750</v>
      </c>
      <c r="AC3898" s="462" t="s">
        <v>12751</v>
      </c>
      <c r="AD3898" s="464">
        <v>108.22463999999999</v>
      </c>
      <c r="AE3898" s="465">
        <v>5.20601</v>
      </c>
      <c r="AF3898" s="86">
        <f>IF(verze!$E$1="CZK",AD3898,IF(verze!$E$1="SK",AE3898,""))</f>
        <v>5.20601</v>
      </c>
    </row>
    <row r="3899" spans="27:32" ht="15">
      <c r="AA3899" s="463" t="s">
        <v>12752</v>
      </c>
      <c r="AB3899" s="462" t="s">
        <v>12753</v>
      </c>
      <c r="AC3899" s="462" t="s">
        <v>12754</v>
      </c>
      <c r="AD3899" s="464">
        <v>108.22463999999999</v>
      </c>
      <c r="AE3899" s="465">
        <v>5.20601</v>
      </c>
      <c r="AF3899" s="86">
        <f>IF(verze!$E$1="CZK",AD3899,IF(verze!$E$1="SK",AE3899,""))</f>
        <v>5.20601</v>
      </c>
    </row>
    <row r="3900" spans="27:32" ht="15">
      <c r="AA3900" s="463" t="s">
        <v>12755</v>
      </c>
      <c r="AB3900" s="462" t="s">
        <v>12756</v>
      </c>
      <c r="AC3900" s="462" t="s">
        <v>12757</v>
      </c>
      <c r="AD3900" s="464">
        <v>104.47681</v>
      </c>
      <c r="AE3900" s="465">
        <v>5.0257199999999997</v>
      </c>
      <c r="AF3900" s="86">
        <f>IF(verze!$E$1="CZK",AD3900,IF(verze!$E$1="SK",AE3900,""))</f>
        <v>5.0257199999999997</v>
      </c>
    </row>
    <row r="3901" spans="27:32" ht="15">
      <c r="AA3901" s="463" t="s">
        <v>12758</v>
      </c>
      <c r="AB3901" s="462" t="s">
        <v>12759</v>
      </c>
      <c r="AC3901" s="462" t="s">
        <v>12760</v>
      </c>
      <c r="AD3901" s="464">
        <v>104.47681</v>
      </c>
      <c r="AE3901" s="465">
        <v>5.0257199999999997</v>
      </c>
      <c r="AF3901" s="86">
        <f>IF(verze!$E$1="CZK",AD3901,IF(verze!$E$1="SK",AE3901,""))</f>
        <v>5.0257199999999997</v>
      </c>
    </row>
    <row r="3902" spans="27:32" ht="15">
      <c r="AA3902" s="463" t="s">
        <v>12761</v>
      </c>
      <c r="AB3902" s="462" t="s">
        <v>12762</v>
      </c>
      <c r="AC3902" s="462" t="s">
        <v>12763</v>
      </c>
      <c r="AD3902" s="464">
        <v>108.22463999999999</v>
      </c>
      <c r="AE3902" s="465">
        <v>5.20601</v>
      </c>
      <c r="AF3902" s="86">
        <f>IF(verze!$E$1="CZK",AD3902,IF(verze!$E$1="SK",AE3902,""))</f>
        <v>5.20601</v>
      </c>
    </row>
    <row r="3903" spans="27:32" ht="15">
      <c r="AA3903" s="463" t="s">
        <v>12764</v>
      </c>
      <c r="AB3903" s="462" t="s">
        <v>12765</v>
      </c>
      <c r="AC3903" s="462" t="s">
        <v>12766</v>
      </c>
      <c r="AD3903" s="464">
        <v>108.22463999999999</v>
      </c>
      <c r="AE3903" s="465">
        <v>5.20601</v>
      </c>
      <c r="AF3903" s="86">
        <f>IF(verze!$E$1="CZK",AD3903,IF(verze!$E$1="SK",AE3903,""))</f>
        <v>5.20601</v>
      </c>
    </row>
    <row r="3904" spans="27:32" ht="15">
      <c r="AA3904" s="463" t="s">
        <v>12767</v>
      </c>
      <c r="AB3904" s="462" t="s">
        <v>12768</v>
      </c>
      <c r="AC3904" s="462" t="s">
        <v>12769</v>
      </c>
      <c r="AD3904" s="464">
        <v>100.72908</v>
      </c>
      <c r="AE3904" s="465">
        <v>4.84544</v>
      </c>
      <c r="AF3904" s="86">
        <f>IF(verze!$E$1="CZK",AD3904,IF(verze!$E$1="SK",AE3904,""))</f>
        <v>4.84544</v>
      </c>
    </row>
    <row r="3905" spans="27:32" ht="15">
      <c r="AA3905" s="463" t="s">
        <v>12770</v>
      </c>
      <c r="AB3905" s="462" t="s">
        <v>12771</v>
      </c>
      <c r="AC3905" s="462" t="s">
        <v>12772</v>
      </c>
      <c r="AD3905" s="464">
        <v>100.72908</v>
      </c>
      <c r="AE3905" s="465">
        <v>4.84544</v>
      </c>
      <c r="AF3905" s="86">
        <f>IF(verze!$E$1="CZK",AD3905,IF(verze!$E$1="SK",AE3905,""))</f>
        <v>4.84544</v>
      </c>
    </row>
    <row r="3906" spans="27:32" ht="15">
      <c r="AA3906" s="463" t="s">
        <v>12773</v>
      </c>
      <c r="AB3906" s="462" t="s">
        <v>12774</v>
      </c>
      <c r="AC3906" s="462" t="s">
        <v>12775</v>
      </c>
      <c r="AD3906" s="464">
        <v>104.47681</v>
      </c>
      <c r="AE3906" s="465">
        <v>5.0257199999999997</v>
      </c>
      <c r="AF3906" s="86">
        <f>IF(verze!$E$1="CZK",AD3906,IF(verze!$E$1="SK",AE3906,""))</f>
        <v>5.0257199999999997</v>
      </c>
    </row>
    <row r="3907" spans="27:32" ht="15">
      <c r="AA3907" s="463" t="s">
        <v>12776</v>
      </c>
      <c r="AB3907" s="462" t="s">
        <v>12777</v>
      </c>
      <c r="AC3907" s="462" t="s">
        <v>12778</v>
      </c>
      <c r="AD3907" s="464">
        <v>104.47681</v>
      </c>
      <c r="AE3907" s="465">
        <v>5.0257199999999997</v>
      </c>
      <c r="AF3907" s="86">
        <f>IF(verze!$E$1="CZK",AD3907,IF(verze!$E$1="SK",AE3907,""))</f>
        <v>5.0257199999999997</v>
      </c>
    </row>
    <row r="3908" spans="27:32" ht="15">
      <c r="AA3908" s="463" t="s">
        <v>12779</v>
      </c>
      <c r="AB3908" s="462" t="s">
        <v>12780</v>
      </c>
      <c r="AC3908" s="462" t="s">
        <v>12781</v>
      </c>
      <c r="AD3908" s="464">
        <v>108.22463999999999</v>
      </c>
      <c r="AE3908" s="465">
        <v>5.20601</v>
      </c>
      <c r="AF3908" s="86">
        <f>IF(verze!$E$1="CZK",AD3908,IF(verze!$E$1="SK",AE3908,""))</f>
        <v>5.20601</v>
      </c>
    </row>
    <row r="3909" spans="27:32" ht="15">
      <c r="AA3909" s="463" t="s">
        <v>12782</v>
      </c>
      <c r="AB3909" s="462" t="s">
        <v>12783</v>
      </c>
      <c r="AC3909" s="462" t="s">
        <v>12784</v>
      </c>
      <c r="AD3909" s="464">
        <v>108.22463999999999</v>
      </c>
      <c r="AE3909" s="465">
        <v>5.20601</v>
      </c>
      <c r="AF3909" s="86">
        <f>IF(verze!$E$1="CZK",AD3909,IF(verze!$E$1="SK",AE3909,""))</f>
        <v>5.20601</v>
      </c>
    </row>
    <row r="3910" spans="27:32" ht="15">
      <c r="AA3910" s="463" t="s">
        <v>12785</v>
      </c>
      <c r="AB3910" s="462" t="s">
        <v>12786</v>
      </c>
      <c r="AC3910" s="462" t="s">
        <v>12787</v>
      </c>
      <c r="AD3910" s="464">
        <v>317.08593000000002</v>
      </c>
      <c r="AE3910" s="465">
        <v>0</v>
      </c>
      <c r="AF3910" s="86">
        <f>IF(verze!$E$1="CZK",AD3910,IF(verze!$E$1="SK",AE3910,""))</f>
        <v>0</v>
      </c>
    </row>
    <row r="3911" spans="27:32" ht="15">
      <c r="AA3911" s="463" t="s">
        <v>12788</v>
      </c>
      <c r="AB3911" s="462" t="s">
        <v>12789</v>
      </c>
      <c r="AC3911" s="462" t="s">
        <v>12790</v>
      </c>
      <c r="AD3911" s="464">
        <v>331.32515000000001</v>
      </c>
      <c r="AE3911" s="465">
        <v>0</v>
      </c>
      <c r="AF3911" s="86">
        <f>IF(verze!$E$1="CZK",AD3911,IF(verze!$E$1="SK",AE3911,""))</f>
        <v>0</v>
      </c>
    </row>
    <row r="3912" spans="27:32" ht="15">
      <c r="AA3912" s="463" t="s">
        <v>12791</v>
      </c>
      <c r="AB3912" s="462" t="s">
        <v>12792</v>
      </c>
      <c r="AC3912" s="462" t="s">
        <v>12793</v>
      </c>
      <c r="AD3912" s="464">
        <v>389.90382</v>
      </c>
      <c r="AE3912" s="465">
        <v>0</v>
      </c>
      <c r="AF3912" s="86">
        <f>IF(verze!$E$1="CZK",AD3912,IF(verze!$E$1="SK",AE3912,""))</f>
        <v>0</v>
      </c>
    </row>
    <row r="3913" spans="27:32" ht="15">
      <c r="AA3913" s="463" t="s">
        <v>12794</v>
      </c>
      <c r="AB3913" s="462" t="s">
        <v>12795</v>
      </c>
      <c r="AC3913" s="462" t="s">
        <v>12796</v>
      </c>
      <c r="AD3913" s="464">
        <v>147.35354000000001</v>
      </c>
      <c r="AE3913" s="465">
        <v>0</v>
      </c>
      <c r="AF3913" s="86">
        <f>IF(verze!$E$1="CZK",AD3913,IF(verze!$E$1="SK",AE3913,""))</f>
        <v>0</v>
      </c>
    </row>
    <row r="3914" spans="27:32" ht="15">
      <c r="AA3914" s="463" t="s">
        <v>12797</v>
      </c>
      <c r="AB3914" s="462" t="s">
        <v>12798</v>
      </c>
      <c r="AC3914" s="462" t="s">
        <v>12799</v>
      </c>
      <c r="AD3914" s="464">
        <v>99.423760000000001</v>
      </c>
      <c r="AE3914" s="465">
        <v>0</v>
      </c>
      <c r="AF3914" s="86">
        <f>IF(verze!$E$1="CZK",AD3914,IF(verze!$E$1="SK",AE3914,""))</f>
        <v>0</v>
      </c>
    </row>
    <row r="3915" spans="27:32" ht="15">
      <c r="AA3915" s="463" t="s">
        <v>12800</v>
      </c>
      <c r="AB3915" s="462" t="s">
        <v>12801</v>
      </c>
      <c r="AC3915" s="462" t="s">
        <v>12802</v>
      </c>
      <c r="AD3915" s="464">
        <v>210.84784999999999</v>
      </c>
      <c r="AE3915" s="465">
        <v>0</v>
      </c>
      <c r="AF3915" s="86">
        <f>IF(verze!$E$1="CZK",AD3915,IF(verze!$E$1="SK",AE3915,""))</f>
        <v>0</v>
      </c>
    </row>
    <row r="3916" spans="27:32" ht="15">
      <c r="AA3916" s="463" t="s">
        <v>12803</v>
      </c>
      <c r="AB3916" s="462" t="s">
        <v>12804</v>
      </c>
      <c r="AC3916" s="462" t="s">
        <v>12805</v>
      </c>
      <c r="AD3916" s="464">
        <v>179.50370000000001</v>
      </c>
      <c r="AE3916" s="465">
        <v>0</v>
      </c>
      <c r="AF3916" s="86">
        <f>IF(verze!$E$1="CZK",AD3916,IF(verze!$E$1="SK",AE3916,""))</f>
        <v>0</v>
      </c>
    </row>
    <row r="3917" spans="27:32" ht="15">
      <c r="AA3917" s="463" t="s">
        <v>12806</v>
      </c>
      <c r="AB3917" s="462" t="s">
        <v>12807</v>
      </c>
      <c r="AC3917" s="462" t="s">
        <v>12808</v>
      </c>
      <c r="AD3917" s="464">
        <v>183.98092</v>
      </c>
      <c r="AE3917" s="465">
        <v>0</v>
      </c>
      <c r="AF3917" s="86">
        <f>IF(verze!$E$1="CZK",AD3917,IF(verze!$E$1="SK",AE3917,""))</f>
        <v>0</v>
      </c>
    </row>
    <row r="3918" spans="27:32" ht="15">
      <c r="AA3918" s="463" t="s">
        <v>12809</v>
      </c>
      <c r="AB3918" s="462" t="s">
        <v>12810</v>
      </c>
      <c r="AC3918" s="462" t="s">
        <v>12811</v>
      </c>
      <c r="AD3918" s="464">
        <v>190.24876</v>
      </c>
      <c r="AE3918" s="465">
        <v>0</v>
      </c>
      <c r="AF3918" s="86">
        <f>IF(verze!$E$1="CZK",AD3918,IF(verze!$E$1="SK",AE3918,""))</f>
        <v>0</v>
      </c>
    </row>
    <row r="3919" spans="27:32" ht="15">
      <c r="AA3919" s="463" t="s">
        <v>12812</v>
      </c>
      <c r="AB3919" s="462" t="s">
        <v>12813</v>
      </c>
      <c r="AC3919" s="462" t="s">
        <v>12814</v>
      </c>
      <c r="AD3919" s="464">
        <v>0</v>
      </c>
      <c r="AE3919" s="465">
        <v>0</v>
      </c>
      <c r="AF3919" s="86">
        <f>IF(verze!$E$1="CZK",AD3919,IF(verze!$E$1="SK",AE3919,""))</f>
        <v>0</v>
      </c>
    </row>
    <row r="3920" spans="27:32" ht="15">
      <c r="AA3920" s="463" t="s">
        <v>12815</v>
      </c>
      <c r="AB3920" s="462" t="s">
        <v>12816</v>
      </c>
      <c r="AC3920" s="462" t="s">
        <v>12817</v>
      </c>
      <c r="AD3920" s="464">
        <v>317.08593000000002</v>
      </c>
      <c r="AE3920" s="465">
        <v>0</v>
      </c>
      <c r="AF3920" s="86">
        <f>IF(verze!$E$1="CZK",AD3920,IF(verze!$E$1="SK",AE3920,""))</f>
        <v>0</v>
      </c>
    </row>
    <row r="3921" spans="27:32" ht="15">
      <c r="AA3921" s="463" t="s">
        <v>12818</v>
      </c>
      <c r="AB3921" s="462" t="s">
        <v>12819</v>
      </c>
      <c r="AC3921" s="462" t="s">
        <v>12820</v>
      </c>
      <c r="AD3921" s="464">
        <v>345.26724999999999</v>
      </c>
      <c r="AE3921" s="465">
        <v>0</v>
      </c>
      <c r="AF3921" s="86">
        <f>IF(verze!$E$1="CZK",AD3921,IF(verze!$E$1="SK",AE3921,""))</f>
        <v>0</v>
      </c>
    </row>
    <row r="3922" spans="27:32" ht="15">
      <c r="AA3922" s="463" t="s">
        <v>12821</v>
      </c>
      <c r="AB3922" s="462" t="s">
        <v>12822</v>
      </c>
      <c r="AC3922" s="462" t="s">
        <v>12823</v>
      </c>
      <c r="AD3922" s="464">
        <v>353.99209000000002</v>
      </c>
      <c r="AE3922" s="465">
        <v>16.557700000000001</v>
      </c>
      <c r="AF3922" s="86">
        <f>IF(verze!$E$1="CZK",AD3922,IF(verze!$E$1="SK",AE3922,""))</f>
        <v>16.557700000000001</v>
      </c>
    </row>
    <row r="3923" spans="27:32" ht="15">
      <c r="AA3923" s="463" t="s">
        <v>12824</v>
      </c>
      <c r="AB3923" s="462" t="s">
        <v>12825</v>
      </c>
      <c r="AC3923" s="462" t="s">
        <v>12826</v>
      </c>
      <c r="AD3923" s="464">
        <v>210.84784999999999</v>
      </c>
      <c r="AE3923" s="465">
        <v>0</v>
      </c>
      <c r="AF3923" s="86">
        <f>IF(verze!$E$1="CZK",AD3923,IF(verze!$E$1="SK",AE3923,""))</f>
        <v>0</v>
      </c>
    </row>
    <row r="3924" spans="27:32" ht="15">
      <c r="AA3924" s="463" t="s">
        <v>12827</v>
      </c>
      <c r="AB3924" s="462" t="s">
        <v>12828</v>
      </c>
      <c r="AC3924" s="462" t="s">
        <v>12829</v>
      </c>
      <c r="AD3924" s="464">
        <v>175.92295999999999</v>
      </c>
      <c r="AE3924" s="465">
        <v>0</v>
      </c>
      <c r="AF3924" s="86">
        <f>IF(verze!$E$1="CZK",AD3924,IF(verze!$E$1="SK",AE3924,""))</f>
        <v>0</v>
      </c>
    </row>
    <row r="3925" spans="27:32" ht="15">
      <c r="AA3925" s="463" t="s">
        <v>12830</v>
      </c>
      <c r="AB3925" s="462" t="s">
        <v>12831</v>
      </c>
      <c r="AC3925" s="462" t="s">
        <v>12832</v>
      </c>
      <c r="AD3925" s="464">
        <v>179.50370000000001</v>
      </c>
      <c r="AE3925" s="465">
        <v>0</v>
      </c>
      <c r="AF3925" s="86">
        <f>IF(verze!$E$1="CZK",AD3925,IF(verze!$E$1="SK",AE3925,""))</f>
        <v>0</v>
      </c>
    </row>
    <row r="3926" spans="27:32" ht="15">
      <c r="AA3926" s="463" t="s">
        <v>12833</v>
      </c>
      <c r="AB3926" s="462" t="s">
        <v>12834</v>
      </c>
      <c r="AC3926" s="462" t="s">
        <v>12835</v>
      </c>
      <c r="AD3926" s="464">
        <v>194.3982</v>
      </c>
      <c r="AE3926" s="465">
        <v>0</v>
      </c>
      <c r="AF3926" s="86">
        <f>IF(verze!$E$1="CZK",AD3926,IF(verze!$E$1="SK",AE3926,""))</f>
        <v>0</v>
      </c>
    </row>
    <row r="3927" spans="27:32" ht="15">
      <c r="AA3927" s="463" t="s">
        <v>12836</v>
      </c>
      <c r="AB3927" s="462" t="s">
        <v>12837</v>
      </c>
      <c r="AC3927" s="462" t="s">
        <v>12838</v>
      </c>
      <c r="AD3927" s="464">
        <v>198.13833</v>
      </c>
      <c r="AE3927" s="465">
        <v>0</v>
      </c>
      <c r="AF3927" s="86">
        <f>IF(verze!$E$1="CZK",AD3927,IF(verze!$E$1="SK",AE3927,""))</f>
        <v>0</v>
      </c>
    </row>
    <row r="3928" spans="27:32" ht="15">
      <c r="AA3928" s="463" t="s">
        <v>12839</v>
      </c>
      <c r="AB3928" s="462" t="s">
        <v>12840</v>
      </c>
      <c r="AC3928" s="462" t="s">
        <v>12841</v>
      </c>
      <c r="AD3928" s="464">
        <v>208.16074</v>
      </c>
      <c r="AE3928" s="465">
        <v>0</v>
      </c>
      <c r="AF3928" s="86">
        <f>IF(verze!$E$1="CZK",AD3928,IF(verze!$E$1="SK",AE3928,""))</f>
        <v>0</v>
      </c>
    </row>
    <row r="3929" spans="27:32" ht="15">
      <c r="AA3929" s="463" t="s">
        <v>12842</v>
      </c>
      <c r="AB3929" s="462" t="s">
        <v>12843</v>
      </c>
      <c r="AC3929" s="462" t="s">
        <v>12844</v>
      </c>
      <c r="AD3929" s="464">
        <v>0</v>
      </c>
      <c r="AE3929" s="465">
        <v>0</v>
      </c>
      <c r="AF3929" s="86">
        <f>IF(verze!$E$1="CZK",AD3929,IF(verze!$E$1="SK",AE3929,""))</f>
        <v>0</v>
      </c>
    </row>
    <row r="3930" spans="27:32" ht="15">
      <c r="AA3930" s="463" t="s">
        <v>12845</v>
      </c>
      <c r="AB3930" s="462" t="s">
        <v>12846</v>
      </c>
      <c r="AC3930" s="462" t="s">
        <v>12847</v>
      </c>
      <c r="AD3930" s="464">
        <v>317.08593000000002</v>
      </c>
      <c r="AE3930" s="465">
        <v>0</v>
      </c>
      <c r="AF3930" s="86">
        <f>IF(verze!$E$1="CZK",AD3930,IF(verze!$E$1="SK",AE3930,""))</f>
        <v>0</v>
      </c>
    </row>
    <row r="3931" spans="27:32" ht="15">
      <c r="AA3931" s="463" t="s">
        <v>12848</v>
      </c>
      <c r="AB3931" s="462" t="s">
        <v>12849</v>
      </c>
      <c r="AC3931" s="462" t="s">
        <v>12850</v>
      </c>
      <c r="AD3931" s="464">
        <v>331.32515000000001</v>
      </c>
      <c r="AE3931" s="465">
        <v>0</v>
      </c>
      <c r="AF3931" s="86">
        <f>IF(verze!$E$1="CZK",AD3931,IF(verze!$E$1="SK",AE3931,""))</f>
        <v>0</v>
      </c>
    </row>
    <row r="3932" spans="27:32" ht="15">
      <c r="AA3932" s="463" t="s">
        <v>12851</v>
      </c>
      <c r="AB3932" s="462" t="s">
        <v>12852</v>
      </c>
      <c r="AC3932" s="462" t="s">
        <v>12853</v>
      </c>
      <c r="AD3932" s="464">
        <v>345.74892</v>
      </c>
      <c r="AE3932" s="465">
        <v>0</v>
      </c>
      <c r="AF3932" s="86">
        <f>IF(verze!$E$1="CZK",AD3932,IF(verze!$E$1="SK",AE3932,""))</f>
        <v>0</v>
      </c>
    </row>
    <row r="3933" spans="27:32" ht="15">
      <c r="AA3933" s="463" t="s">
        <v>12854</v>
      </c>
      <c r="AB3933" s="462" t="s">
        <v>12855</v>
      </c>
      <c r="AC3933" s="462" t="s">
        <v>12856</v>
      </c>
      <c r="AD3933" s="464">
        <v>354.70078000000001</v>
      </c>
      <c r="AE3933" s="465">
        <v>0</v>
      </c>
      <c r="AF3933" s="86">
        <f>IF(verze!$E$1="CZK",AD3933,IF(verze!$E$1="SK",AE3933,""))</f>
        <v>0</v>
      </c>
    </row>
    <row r="3934" spans="27:32" ht="15">
      <c r="AA3934" s="463" t="s">
        <v>12857</v>
      </c>
      <c r="AB3934" s="462" t="s">
        <v>12858</v>
      </c>
      <c r="AC3934" s="462" t="s">
        <v>12859</v>
      </c>
      <c r="AD3934" s="464">
        <v>144.20860999999999</v>
      </c>
      <c r="AE3934" s="465">
        <v>0</v>
      </c>
      <c r="AF3934" s="86">
        <f>IF(verze!$E$1="CZK",AD3934,IF(verze!$E$1="SK",AE3934,""))</f>
        <v>0</v>
      </c>
    </row>
    <row r="3935" spans="27:32" ht="15">
      <c r="AA3935" s="463" t="s">
        <v>12860</v>
      </c>
      <c r="AB3935" s="462" t="s">
        <v>12861</v>
      </c>
      <c r="AC3935" s="462" t="s">
        <v>12862</v>
      </c>
      <c r="AD3935" s="464">
        <v>171.08694</v>
      </c>
      <c r="AE3935" s="465">
        <v>0</v>
      </c>
      <c r="AF3935" s="86">
        <f>IF(verze!$E$1="CZK",AD3935,IF(verze!$E$1="SK",AE3935,""))</f>
        <v>0</v>
      </c>
    </row>
    <row r="3936" spans="27:32" ht="15">
      <c r="AA3936" s="463" t="s">
        <v>12863</v>
      </c>
      <c r="AB3936" s="462" t="s">
        <v>12864</v>
      </c>
      <c r="AC3936" s="462" t="s">
        <v>12865</v>
      </c>
      <c r="AD3936" s="464">
        <v>215.44837999999999</v>
      </c>
      <c r="AE3936" s="465">
        <v>0</v>
      </c>
      <c r="AF3936" s="86">
        <f>IF(verze!$E$1="CZK",AD3936,IF(verze!$E$1="SK",AE3936,""))</f>
        <v>0</v>
      </c>
    </row>
    <row r="3937" spans="27:32" ht="15">
      <c r="AA3937" s="463" t="s">
        <v>12866</v>
      </c>
      <c r="AB3937" s="462" t="s">
        <v>12867</v>
      </c>
      <c r="AC3937" s="462" t="s">
        <v>12868</v>
      </c>
      <c r="AD3937" s="464">
        <v>175.92295999999999</v>
      </c>
      <c r="AE3937" s="465">
        <v>0</v>
      </c>
      <c r="AF3937" s="86">
        <f>IF(verze!$E$1="CZK",AD3937,IF(verze!$E$1="SK",AE3937,""))</f>
        <v>0</v>
      </c>
    </row>
    <row r="3938" spans="27:32" ht="15">
      <c r="AA3938" s="463" t="s">
        <v>12869</v>
      </c>
      <c r="AB3938" s="462" t="s">
        <v>12870</v>
      </c>
      <c r="AC3938" s="462" t="s">
        <v>12871</v>
      </c>
      <c r="AD3938" s="464">
        <v>198.97779</v>
      </c>
      <c r="AE3938" s="465">
        <v>0</v>
      </c>
      <c r="AF3938" s="86">
        <f>IF(verze!$E$1="CZK",AD3938,IF(verze!$E$1="SK",AE3938,""))</f>
        <v>0</v>
      </c>
    </row>
    <row r="3939" spans="27:32" ht="15">
      <c r="AA3939" s="463" t="s">
        <v>12872</v>
      </c>
      <c r="AB3939" s="462" t="s">
        <v>12873</v>
      </c>
      <c r="AC3939" s="462" t="s">
        <v>12874</v>
      </c>
      <c r="AD3939" s="464">
        <v>208.16074</v>
      </c>
      <c r="AE3939" s="465">
        <v>0</v>
      </c>
      <c r="AF3939" s="86">
        <f>IF(verze!$E$1="CZK",AD3939,IF(verze!$E$1="SK",AE3939,""))</f>
        <v>0</v>
      </c>
    </row>
    <row r="3940" spans="27:32" ht="15">
      <c r="AA3940" s="463" t="s">
        <v>12875</v>
      </c>
      <c r="AB3940" s="462" t="s">
        <v>12876</v>
      </c>
      <c r="AC3940" s="462" t="s">
        <v>12877</v>
      </c>
      <c r="AD3940" s="464">
        <v>179.50370000000001</v>
      </c>
      <c r="AE3940" s="465">
        <v>0</v>
      </c>
      <c r="AF3940" s="86">
        <f>IF(verze!$E$1="CZK",AD3940,IF(verze!$E$1="SK",AE3940,""))</f>
        <v>0</v>
      </c>
    </row>
    <row r="3941" spans="27:32" ht="15">
      <c r="AA3941" s="463" t="s">
        <v>12878</v>
      </c>
      <c r="AB3941" s="462" t="s">
        <v>12879</v>
      </c>
      <c r="AC3941" s="462" t="s">
        <v>12880</v>
      </c>
      <c r="AD3941" s="464">
        <v>190.24876</v>
      </c>
      <c r="AE3941" s="465">
        <v>0</v>
      </c>
      <c r="AF3941" s="86">
        <f>IF(verze!$E$1="CZK",AD3941,IF(verze!$E$1="SK",AE3941,""))</f>
        <v>0</v>
      </c>
    </row>
    <row r="3942" spans="27:32" ht="15">
      <c r="AA3942" s="463" t="s">
        <v>12881</v>
      </c>
      <c r="AB3942" s="462" t="s">
        <v>12882</v>
      </c>
      <c r="AC3942" s="462" t="s">
        <v>12883</v>
      </c>
      <c r="AD3942" s="464">
        <v>0</v>
      </c>
      <c r="AE3942" s="465">
        <v>0</v>
      </c>
      <c r="AF3942" s="86">
        <f>IF(verze!$E$1="CZK",AD3942,IF(verze!$E$1="SK",AE3942,""))</f>
        <v>0</v>
      </c>
    </row>
    <row r="3943" spans="27:32" ht="15">
      <c r="AA3943" s="463" t="s">
        <v>12884</v>
      </c>
      <c r="AB3943" s="462" t="s">
        <v>12885</v>
      </c>
      <c r="AC3943" s="462" t="s">
        <v>12886</v>
      </c>
      <c r="AD3943" s="464">
        <v>162.82631000000001</v>
      </c>
      <c r="AE3943" s="465">
        <v>0</v>
      </c>
      <c r="AF3943" s="86">
        <f>IF(verze!$E$1="CZK",AD3943,IF(verze!$E$1="SK",AE3943,""))</f>
        <v>0</v>
      </c>
    </row>
    <row r="3944" spans="27:32" ht="15">
      <c r="AA3944" s="463" t="s">
        <v>12887</v>
      </c>
      <c r="AB3944" s="462" t="s">
        <v>12888</v>
      </c>
      <c r="AC3944" s="462" t="s">
        <v>12889</v>
      </c>
      <c r="AD3944" s="464">
        <v>585.42692</v>
      </c>
      <c r="AE3944" s="465">
        <v>28.161149999999999</v>
      </c>
      <c r="AF3944" s="86">
        <f>IF(verze!$E$1="CZK",AD3944,IF(verze!$E$1="SK",AE3944,""))</f>
        <v>28.161149999999999</v>
      </c>
    </row>
    <row r="3945" spans="27:32" ht="15">
      <c r="AA3945" s="463" t="s">
        <v>12890</v>
      </c>
      <c r="AB3945" s="462" t="s">
        <v>12891</v>
      </c>
      <c r="AC3945" s="462" t="s">
        <v>12892</v>
      </c>
      <c r="AD3945" s="464">
        <v>585.42692</v>
      </c>
      <c r="AE3945" s="465">
        <v>28.161149999999999</v>
      </c>
      <c r="AF3945" s="86">
        <f>IF(verze!$E$1="CZK",AD3945,IF(verze!$E$1="SK",AE3945,""))</f>
        <v>28.161149999999999</v>
      </c>
    </row>
    <row r="3946" spans="27:32" ht="15">
      <c r="AA3946" s="463" t="s">
        <v>12890</v>
      </c>
      <c r="AB3946" s="462" t="s">
        <v>12893</v>
      </c>
      <c r="AC3946" s="462" t="s">
        <v>12894</v>
      </c>
      <c r="AD3946" s="464">
        <v>0</v>
      </c>
      <c r="AE3946" s="465">
        <v>0</v>
      </c>
      <c r="AF3946" s="86">
        <f>IF(verze!$E$1="CZK",AD3946,IF(verze!$E$1="SK",AE3946,""))</f>
        <v>0</v>
      </c>
    </row>
    <row r="3947" spans="27:32" ht="15">
      <c r="AA3947" s="463" t="s">
        <v>12895</v>
      </c>
      <c r="AB3947" s="462" t="s">
        <v>12896</v>
      </c>
      <c r="AC3947" s="462" t="s">
        <v>12897</v>
      </c>
      <c r="AD3947" s="464">
        <v>585.42692</v>
      </c>
      <c r="AE3947" s="465">
        <v>28.161149999999999</v>
      </c>
      <c r="AF3947" s="86">
        <f>IF(verze!$E$1="CZK",AD3947,IF(verze!$E$1="SK",AE3947,""))</f>
        <v>28.161149999999999</v>
      </c>
    </row>
    <row r="3948" spans="27:32" ht="15">
      <c r="AA3948" s="463" t="s">
        <v>12895</v>
      </c>
      <c r="AB3948" s="462" t="s">
        <v>12898</v>
      </c>
      <c r="AC3948" s="462" t="s">
        <v>12899</v>
      </c>
      <c r="AD3948" s="464">
        <v>503.50794000000002</v>
      </c>
      <c r="AE3948" s="465">
        <v>12.08982</v>
      </c>
      <c r="AF3948" s="86">
        <f>IF(verze!$E$1="CZK",AD3948,IF(verze!$E$1="SK",AE3948,""))</f>
        <v>12.08982</v>
      </c>
    </row>
    <row r="3949" spans="27:32" ht="15">
      <c r="AA3949" s="463" t="s">
        <v>12900</v>
      </c>
      <c r="AB3949" s="462" t="s">
        <v>12901</v>
      </c>
      <c r="AC3949" s="462" t="s">
        <v>12902</v>
      </c>
      <c r="AD3949" s="464">
        <v>674.08187999999996</v>
      </c>
      <c r="AE3949" s="465">
        <v>32.425759999999997</v>
      </c>
      <c r="AF3949" s="86">
        <f>IF(verze!$E$1="CZK",AD3949,IF(verze!$E$1="SK",AE3949,""))</f>
        <v>32.425759999999997</v>
      </c>
    </row>
    <row r="3950" spans="27:32" ht="15">
      <c r="AA3950" s="463" t="s">
        <v>12900</v>
      </c>
      <c r="AB3950" s="462" t="s">
        <v>12903</v>
      </c>
      <c r="AC3950" s="462" t="s">
        <v>12904</v>
      </c>
      <c r="AD3950" s="464">
        <v>0</v>
      </c>
      <c r="AE3950" s="465">
        <v>0</v>
      </c>
      <c r="AF3950" s="86">
        <f>IF(verze!$E$1="CZK",AD3950,IF(verze!$E$1="SK",AE3950,""))</f>
        <v>0</v>
      </c>
    </row>
    <row r="3951" spans="27:32" ht="15">
      <c r="AA3951" s="463" t="s">
        <v>12905</v>
      </c>
      <c r="AB3951" s="462" t="s">
        <v>12906</v>
      </c>
      <c r="AC3951" s="462" t="s">
        <v>12907</v>
      </c>
      <c r="AD3951" s="464">
        <v>674.08187999999996</v>
      </c>
      <c r="AE3951" s="465">
        <v>32.425759999999997</v>
      </c>
      <c r="AF3951" s="86">
        <f>IF(verze!$E$1="CZK",AD3951,IF(verze!$E$1="SK",AE3951,""))</f>
        <v>32.425759999999997</v>
      </c>
    </row>
    <row r="3952" spans="27:32" ht="15">
      <c r="AA3952" s="463" t="s">
        <v>12905</v>
      </c>
      <c r="AB3952" s="462" t="s">
        <v>12908</v>
      </c>
      <c r="AC3952" s="462" t="s">
        <v>12909</v>
      </c>
      <c r="AD3952" s="464">
        <v>0</v>
      </c>
      <c r="AE3952" s="465">
        <v>0</v>
      </c>
      <c r="AF3952" s="86">
        <f>IF(verze!$E$1="CZK",AD3952,IF(verze!$E$1="SK",AE3952,""))</f>
        <v>0</v>
      </c>
    </row>
    <row r="3953" spans="27:32" ht="15">
      <c r="AA3953" s="463" t="s">
        <v>12910</v>
      </c>
      <c r="AB3953" s="462" t="s">
        <v>12911</v>
      </c>
      <c r="AC3953" s="462" t="s">
        <v>12912</v>
      </c>
      <c r="AD3953" s="464">
        <v>674.08187999999996</v>
      </c>
      <c r="AE3953" s="465">
        <v>32.425759999999997</v>
      </c>
      <c r="AF3953" s="86">
        <f>IF(verze!$E$1="CZK",AD3953,IF(verze!$E$1="SK",AE3953,""))</f>
        <v>32.425759999999997</v>
      </c>
    </row>
    <row r="3954" spans="27:32" ht="15">
      <c r="AA3954" s="463" t="s">
        <v>12910</v>
      </c>
      <c r="AB3954" s="462" t="s">
        <v>12913</v>
      </c>
      <c r="AC3954" s="462" t="s">
        <v>12914</v>
      </c>
      <c r="AD3954" s="464">
        <v>0</v>
      </c>
      <c r="AE3954" s="465">
        <v>0</v>
      </c>
      <c r="AF3954" s="86">
        <f>IF(verze!$E$1="CZK",AD3954,IF(verze!$E$1="SK",AE3954,""))</f>
        <v>0</v>
      </c>
    </row>
    <row r="3955" spans="27:32" ht="15">
      <c r="AA3955" s="463" t="s">
        <v>12915</v>
      </c>
      <c r="AB3955" s="462" t="s">
        <v>12916</v>
      </c>
      <c r="AC3955" s="462" t="s">
        <v>12917</v>
      </c>
      <c r="AD3955" s="464">
        <v>0</v>
      </c>
      <c r="AE3955" s="465">
        <v>4.6945100000000002</v>
      </c>
      <c r="AF3955" s="86">
        <f>IF(verze!$E$1="CZK",AD3955,IF(verze!$E$1="SK",AE3955,""))</f>
        <v>4.6945100000000002</v>
      </c>
    </row>
    <row r="3956" spans="27:32" ht="15">
      <c r="AA3956" s="463" t="s">
        <v>12915</v>
      </c>
      <c r="AB3956" s="462" t="s">
        <v>12918</v>
      </c>
      <c r="AC3956" s="462" t="s">
        <v>12919</v>
      </c>
      <c r="AD3956" s="464">
        <v>103.79333</v>
      </c>
      <c r="AE3956" s="465">
        <v>4.9928299999999997</v>
      </c>
      <c r="AF3956" s="86">
        <f>IF(verze!$E$1="CZK",AD3956,IF(verze!$E$1="SK",AE3956,""))</f>
        <v>4.9928299999999997</v>
      </c>
    </row>
    <row r="3957" spans="27:32" ht="15">
      <c r="AA3957" s="463" t="s">
        <v>12920</v>
      </c>
      <c r="AB3957" s="462" t="s">
        <v>12921</v>
      </c>
      <c r="AC3957" s="462" t="s">
        <v>12922</v>
      </c>
      <c r="AD3957" s="464">
        <v>0</v>
      </c>
      <c r="AE3957" s="465">
        <v>4.9620100000000003</v>
      </c>
      <c r="AF3957" s="86">
        <f>IF(verze!$E$1="CZK",AD3957,IF(verze!$E$1="SK",AE3957,""))</f>
        <v>4.9620100000000003</v>
      </c>
    </row>
    <row r="3958" spans="27:32" ht="15">
      <c r="AA3958" s="463" t="s">
        <v>12920</v>
      </c>
      <c r="AB3958" s="462" t="s">
        <v>12923</v>
      </c>
      <c r="AC3958" s="462" t="s">
        <v>12924</v>
      </c>
      <c r="AD3958" s="464">
        <v>103.79333</v>
      </c>
      <c r="AE3958" s="465">
        <v>4.9928299999999997</v>
      </c>
      <c r="AF3958" s="86">
        <f>IF(verze!$E$1="CZK",AD3958,IF(verze!$E$1="SK",AE3958,""))</f>
        <v>4.9928299999999997</v>
      </c>
    </row>
    <row r="3959" spans="27:32" ht="15">
      <c r="AA3959" s="463" t="s">
        <v>12925</v>
      </c>
      <c r="AB3959" s="462" t="s">
        <v>12926</v>
      </c>
      <c r="AC3959" s="462" t="s">
        <v>12927</v>
      </c>
      <c r="AD3959" s="464">
        <v>12.98606</v>
      </c>
      <c r="AE3959" s="465">
        <v>0.51949999999999996</v>
      </c>
      <c r="AF3959" s="86">
        <f>IF(verze!$E$1="CZK",AD3959,IF(verze!$E$1="SK",AE3959,""))</f>
        <v>0.51949999999999996</v>
      </c>
    </row>
    <row r="3960" spans="27:32" ht="15">
      <c r="AA3960" s="463" t="s">
        <v>12928</v>
      </c>
      <c r="AB3960" s="462" t="s">
        <v>12929</v>
      </c>
      <c r="AC3960" s="462" t="s">
        <v>12930</v>
      </c>
      <c r="AD3960" s="464">
        <v>3746.0311499999998</v>
      </c>
      <c r="AE3960" s="465">
        <v>149.85990000000001</v>
      </c>
      <c r="AF3960" s="86">
        <f>IF(verze!$E$1="CZK",AD3960,IF(verze!$E$1="SK",AE3960,""))</f>
        <v>149.85990000000001</v>
      </c>
    </row>
    <row r="3961" spans="27:32" ht="15">
      <c r="AA3961" s="463" t="s">
        <v>12931</v>
      </c>
      <c r="AB3961" s="462" t="s">
        <v>12932</v>
      </c>
      <c r="AC3961" s="462" t="s">
        <v>12933</v>
      </c>
      <c r="AD3961" s="464">
        <v>4863.3610099999996</v>
      </c>
      <c r="AE3961" s="465">
        <v>194.55866</v>
      </c>
      <c r="AF3961" s="86">
        <f>IF(verze!$E$1="CZK",AD3961,IF(verze!$E$1="SK",AE3961,""))</f>
        <v>194.55866</v>
      </c>
    </row>
    <row r="3962" spans="27:32" ht="15">
      <c r="AA3962" s="463" t="s">
        <v>12934</v>
      </c>
      <c r="AB3962" s="462" t="s">
        <v>12935</v>
      </c>
      <c r="AC3962" s="462" t="s">
        <v>12936</v>
      </c>
      <c r="AD3962" s="464">
        <v>37.790840000000003</v>
      </c>
      <c r="AE3962" s="465">
        <v>1.52203</v>
      </c>
      <c r="AF3962" s="86">
        <f>IF(verze!$E$1="CZK",AD3962,IF(verze!$E$1="SK",AE3962,""))</f>
        <v>1.52203</v>
      </c>
    </row>
    <row r="3963" spans="27:32" ht="15">
      <c r="AA3963" s="463" t="s">
        <v>12937</v>
      </c>
      <c r="AB3963" s="462" t="s">
        <v>12938</v>
      </c>
      <c r="AC3963" s="462" t="s">
        <v>12939</v>
      </c>
      <c r="AD3963" s="464">
        <v>2325.96162</v>
      </c>
      <c r="AE3963" s="465">
        <v>93.050039999999996</v>
      </c>
      <c r="AF3963" s="86">
        <f>IF(verze!$E$1="CZK",AD3963,IF(verze!$E$1="SK",AE3963,""))</f>
        <v>93.050039999999996</v>
      </c>
    </row>
    <row r="3964" spans="27:32" ht="15">
      <c r="AA3964" s="463" t="s">
        <v>12940</v>
      </c>
      <c r="AB3964" s="462" t="s">
        <v>12941</v>
      </c>
      <c r="AC3964" s="462" t="s">
        <v>12942</v>
      </c>
      <c r="AD3964" s="464">
        <v>439.22564</v>
      </c>
      <c r="AE3964" s="465">
        <v>17.57122</v>
      </c>
      <c r="AF3964" s="86">
        <f>IF(verze!$E$1="CZK",AD3964,IF(verze!$E$1="SK",AE3964,""))</f>
        <v>17.57122</v>
      </c>
    </row>
    <row r="3965" spans="27:32" ht="15">
      <c r="AA3965" s="463" t="s">
        <v>12943</v>
      </c>
      <c r="AB3965" s="462" t="s">
        <v>12944</v>
      </c>
      <c r="AC3965" s="462" t="s">
        <v>12945</v>
      </c>
      <c r="AD3965" s="464">
        <v>194.75846000000001</v>
      </c>
      <c r="AE3965" s="465">
        <v>7.7912999999999997</v>
      </c>
      <c r="AF3965" s="86">
        <f>IF(verze!$E$1="CZK",AD3965,IF(verze!$E$1="SK",AE3965,""))</f>
        <v>7.7912999999999997</v>
      </c>
    </row>
    <row r="3966" spans="27:32" ht="15">
      <c r="AA3966" s="463" t="s">
        <v>12946</v>
      </c>
      <c r="AB3966" s="462" t="s">
        <v>12947</v>
      </c>
      <c r="AC3966" s="462" t="s">
        <v>12948</v>
      </c>
      <c r="AD3966" s="464">
        <v>178.80533</v>
      </c>
      <c r="AE3966" s="465">
        <v>7.1530899999999997</v>
      </c>
      <c r="AF3966" s="86">
        <f>IF(verze!$E$1="CZK",AD3966,IF(verze!$E$1="SK",AE3966,""))</f>
        <v>7.1530899999999997</v>
      </c>
    </row>
    <row r="3967" spans="27:32" ht="15">
      <c r="AA3967" s="463" t="s">
        <v>12949</v>
      </c>
      <c r="AB3967" s="462" t="s">
        <v>12950</v>
      </c>
      <c r="AC3967" s="462" t="s">
        <v>12951</v>
      </c>
      <c r="AD3967" s="464">
        <v>2223.9126299999998</v>
      </c>
      <c r="AE3967" s="465">
        <v>89.542929999999998</v>
      </c>
      <c r="AF3967" s="86">
        <f>IF(verze!$E$1="CZK",AD3967,IF(verze!$E$1="SK",AE3967,""))</f>
        <v>89.542929999999998</v>
      </c>
    </row>
    <row r="3968" spans="27:32" ht="15">
      <c r="AA3968" s="463" t="s">
        <v>12952</v>
      </c>
      <c r="AB3968" s="462" t="s">
        <v>12953</v>
      </c>
      <c r="AC3968" s="462" t="s">
        <v>12954</v>
      </c>
      <c r="AD3968" s="464">
        <v>685.61387000000002</v>
      </c>
      <c r="AE3968" s="465">
        <v>32.980499999999999</v>
      </c>
      <c r="AF3968" s="86">
        <f>IF(verze!$E$1="CZK",AD3968,IF(verze!$E$1="SK",AE3968,""))</f>
        <v>32.980499999999999</v>
      </c>
    </row>
    <row r="3969" spans="27:32" ht="15">
      <c r="AA3969" s="463" t="s">
        <v>12955</v>
      </c>
      <c r="AB3969" s="462" t="s">
        <v>12956</v>
      </c>
      <c r="AC3969" s="462" t="s">
        <v>12957</v>
      </c>
      <c r="AD3969" s="464">
        <v>233.24843999999999</v>
      </c>
      <c r="AE3969" s="465">
        <v>0</v>
      </c>
      <c r="AF3969" s="86">
        <f>IF(verze!$E$1="CZK",AD3969,IF(verze!$E$1="SK",AE3969,""))</f>
        <v>0</v>
      </c>
    </row>
    <row r="3970" spans="27:32" ht="15">
      <c r="AA3970" s="463" t="s">
        <v>12958</v>
      </c>
      <c r="AB3970" s="462" t="s">
        <v>12959</v>
      </c>
      <c r="AC3970" s="462" t="s">
        <v>12960</v>
      </c>
      <c r="AD3970" s="464">
        <v>250.04829000000001</v>
      </c>
      <c r="AE3970" s="465">
        <v>0</v>
      </c>
      <c r="AF3970" s="86">
        <f>IF(verze!$E$1="CZK",AD3970,IF(verze!$E$1="SK",AE3970,""))</f>
        <v>0</v>
      </c>
    </row>
    <row r="3971" spans="27:32" ht="15">
      <c r="AA3971" s="463" t="s">
        <v>12961</v>
      </c>
      <c r="AB3971" s="462" t="s">
        <v>12962</v>
      </c>
      <c r="AC3971" s="462" t="s">
        <v>12963</v>
      </c>
      <c r="AD3971" s="464">
        <v>266.84548000000001</v>
      </c>
      <c r="AE3971" s="465">
        <v>0</v>
      </c>
      <c r="AF3971" s="86">
        <f>IF(verze!$E$1="CZK",AD3971,IF(verze!$E$1="SK",AE3971,""))</f>
        <v>0</v>
      </c>
    </row>
    <row r="3972" spans="27:32" ht="15">
      <c r="AA3972" s="463" t="s">
        <v>12964</v>
      </c>
      <c r="AB3972" s="462" t="s">
        <v>12965</v>
      </c>
      <c r="AC3972" s="462" t="s">
        <v>12966</v>
      </c>
      <c r="AD3972" s="464">
        <v>300.44263000000001</v>
      </c>
      <c r="AE3972" s="465">
        <v>0</v>
      </c>
      <c r="AF3972" s="86">
        <f>IF(verze!$E$1="CZK",AD3972,IF(verze!$E$1="SK",AE3972,""))</f>
        <v>0</v>
      </c>
    </row>
    <row r="3973" spans="27:32" ht="15">
      <c r="AA3973" s="463" t="s">
        <v>12967</v>
      </c>
      <c r="AB3973" s="462" t="s">
        <v>12968</v>
      </c>
      <c r="AC3973" s="462" t="s">
        <v>12969</v>
      </c>
      <c r="AD3973" s="464">
        <v>317.24245999999999</v>
      </c>
      <c r="AE3973" s="465">
        <v>0</v>
      </c>
      <c r="AF3973" s="86">
        <f>IF(verze!$E$1="CZK",AD3973,IF(verze!$E$1="SK",AE3973,""))</f>
        <v>0</v>
      </c>
    </row>
    <row r="3974" spans="27:32" ht="15">
      <c r="AA3974" s="463" t="s">
        <v>12970</v>
      </c>
      <c r="AB3974" s="462" t="s">
        <v>12971</v>
      </c>
      <c r="AC3974" s="462" t="s">
        <v>12972</v>
      </c>
      <c r="AD3974" s="464">
        <v>626.73473000000001</v>
      </c>
      <c r="AE3974" s="465">
        <v>0</v>
      </c>
      <c r="AF3974" s="86">
        <f>IF(verze!$E$1="CZK",AD3974,IF(verze!$E$1="SK",AE3974,""))</f>
        <v>0</v>
      </c>
    </row>
    <row r="3975" spans="27:32" ht="15">
      <c r="AA3975" s="463" t="s">
        <v>12973</v>
      </c>
      <c r="AB3975" s="462" t="s">
        <v>12974</v>
      </c>
      <c r="AC3975" s="462" t="s">
        <v>12975</v>
      </c>
      <c r="AD3975" s="464">
        <v>693.93145000000004</v>
      </c>
      <c r="AE3975" s="465">
        <v>0</v>
      </c>
      <c r="AF3975" s="86">
        <f>IF(verze!$E$1="CZK",AD3975,IF(verze!$E$1="SK",AE3975,""))</f>
        <v>0</v>
      </c>
    </row>
    <row r="3976" spans="27:32" ht="15">
      <c r="AA3976" s="463" t="s">
        <v>12976</v>
      </c>
      <c r="AB3976" s="462" t="s">
        <v>12977</v>
      </c>
      <c r="AC3976" s="462" t="s">
        <v>12978</v>
      </c>
      <c r="AD3976" s="464">
        <v>685.61387000000002</v>
      </c>
      <c r="AE3976" s="465">
        <v>32.980499999999999</v>
      </c>
      <c r="AF3976" s="86">
        <f>IF(verze!$E$1="CZK",AD3976,IF(verze!$E$1="SK",AE3976,""))</f>
        <v>32.980499999999999</v>
      </c>
    </row>
    <row r="3977" spans="27:32" ht="15">
      <c r="AA3977" s="463" t="s">
        <v>12979</v>
      </c>
      <c r="AB3977" s="462" t="s">
        <v>12980</v>
      </c>
      <c r="AC3977" s="462" t="s">
        <v>12981</v>
      </c>
      <c r="AD3977" s="464">
        <v>280.24709000000001</v>
      </c>
      <c r="AE3977" s="465">
        <v>13.48089</v>
      </c>
      <c r="AF3977" s="86">
        <f>IF(verze!$E$1="CZK",AD3977,IF(verze!$E$1="SK",AE3977,""))</f>
        <v>13.48089</v>
      </c>
    </row>
    <row r="3978" spans="27:32" ht="15">
      <c r="AA3978" s="463" t="s">
        <v>12982</v>
      </c>
      <c r="AB3978" s="462" t="s">
        <v>12983</v>
      </c>
      <c r="AC3978" s="462" t="s">
        <v>12984</v>
      </c>
      <c r="AD3978" s="464">
        <v>311.67977000000002</v>
      </c>
      <c r="AE3978" s="465">
        <v>14.992929999999999</v>
      </c>
      <c r="AF3978" s="86">
        <f>IF(verze!$E$1="CZK",AD3978,IF(verze!$E$1="SK",AE3978,""))</f>
        <v>14.992929999999999</v>
      </c>
    </row>
    <row r="3979" spans="27:32" ht="15">
      <c r="AA3979" s="463" t="s">
        <v>12985</v>
      </c>
      <c r="AB3979" s="462" t="s">
        <v>12986</v>
      </c>
      <c r="AC3979" s="462" t="s">
        <v>12987</v>
      </c>
      <c r="AD3979" s="464">
        <v>326.08514000000002</v>
      </c>
      <c r="AE3979" s="465">
        <v>0</v>
      </c>
      <c r="AF3979" s="86">
        <f>IF(verze!$E$1="CZK",AD3979,IF(verze!$E$1="SK",AE3979,""))</f>
        <v>0</v>
      </c>
    </row>
    <row r="3980" spans="27:32" ht="15">
      <c r="AA3980" s="463" t="s">
        <v>12988</v>
      </c>
      <c r="AB3980" s="462" t="s">
        <v>12989</v>
      </c>
      <c r="AC3980" s="462" t="s">
        <v>12990</v>
      </c>
      <c r="AD3980" s="464">
        <v>343.11718000000002</v>
      </c>
      <c r="AE3980" s="465">
        <v>16.50516</v>
      </c>
      <c r="AF3980" s="86">
        <f>IF(verze!$E$1="CZK",AD3980,IF(verze!$E$1="SK",AE3980,""))</f>
        <v>16.50516</v>
      </c>
    </row>
    <row r="3981" spans="27:32" ht="15">
      <c r="AA3981" s="463" t="s">
        <v>12991</v>
      </c>
      <c r="AB3981" s="462" t="s">
        <v>12992</v>
      </c>
      <c r="AC3981" s="462" t="s">
        <v>12993</v>
      </c>
      <c r="AD3981" s="464">
        <v>688.23941000000002</v>
      </c>
      <c r="AE3981" s="465">
        <v>33.106789999999997</v>
      </c>
      <c r="AF3981" s="86">
        <f>IF(verze!$E$1="CZK",AD3981,IF(verze!$E$1="SK",AE3981,""))</f>
        <v>33.106789999999997</v>
      </c>
    </row>
    <row r="3982" spans="27:32" ht="15">
      <c r="AA3982" s="463" t="s">
        <v>12994</v>
      </c>
      <c r="AB3982" s="462" t="s">
        <v>12995</v>
      </c>
      <c r="AC3982" s="462" t="s">
        <v>12996</v>
      </c>
      <c r="AD3982" s="464">
        <v>279.12043999999997</v>
      </c>
      <c r="AE3982" s="465">
        <v>0</v>
      </c>
      <c r="AF3982" s="86">
        <f>IF(verze!$E$1="CZK",AD3982,IF(verze!$E$1="SK",AE3982,""))</f>
        <v>0</v>
      </c>
    </row>
    <row r="3983" spans="27:32" ht="15">
      <c r="AA3983" s="463" t="s">
        <v>12997</v>
      </c>
      <c r="AB3983" s="462" t="s">
        <v>12998</v>
      </c>
      <c r="AC3983" s="462" t="s">
        <v>12999</v>
      </c>
      <c r="AD3983" s="464">
        <v>311.67977000000002</v>
      </c>
      <c r="AE3983" s="465">
        <v>14.992929999999999</v>
      </c>
      <c r="AF3983" s="86">
        <f>IF(verze!$E$1="CZK",AD3983,IF(verze!$E$1="SK",AE3983,""))</f>
        <v>14.992929999999999</v>
      </c>
    </row>
    <row r="3984" spans="27:32" ht="15">
      <c r="AA3984" s="463" t="s">
        <v>13000</v>
      </c>
      <c r="AB3984" s="462" t="s">
        <v>13001</v>
      </c>
      <c r="AC3984" s="462" t="s">
        <v>13002</v>
      </c>
      <c r="AD3984" s="464">
        <v>326.08514000000002</v>
      </c>
      <c r="AE3984" s="465">
        <v>0</v>
      </c>
      <c r="AF3984" s="86">
        <f>IF(verze!$E$1="CZK",AD3984,IF(verze!$E$1="SK",AE3984,""))</f>
        <v>0</v>
      </c>
    </row>
    <row r="3985" spans="27:32" ht="15">
      <c r="AA3985" s="463" t="s">
        <v>13003</v>
      </c>
      <c r="AB3985" s="462" t="s">
        <v>13004</v>
      </c>
      <c r="AC3985" s="462" t="s">
        <v>13005</v>
      </c>
      <c r="AD3985" s="464">
        <v>343.11718000000002</v>
      </c>
      <c r="AE3985" s="465">
        <v>16.50516</v>
      </c>
      <c r="AF3985" s="86">
        <f>IF(verze!$E$1="CZK",AD3985,IF(verze!$E$1="SK",AE3985,""))</f>
        <v>16.50516</v>
      </c>
    </row>
    <row r="3986" spans="27:32" ht="15">
      <c r="AA3986" s="463" t="s">
        <v>13006</v>
      </c>
      <c r="AB3986" s="462" t="s">
        <v>13007</v>
      </c>
      <c r="AC3986" s="462" t="s">
        <v>13008</v>
      </c>
      <c r="AD3986" s="464">
        <v>688.23941000000002</v>
      </c>
      <c r="AE3986" s="465">
        <v>33.106789999999997</v>
      </c>
      <c r="AF3986" s="86">
        <f>IF(verze!$E$1="CZK",AD3986,IF(verze!$E$1="SK",AE3986,""))</f>
        <v>33.106789999999997</v>
      </c>
    </row>
    <row r="3987" spans="27:32" ht="15">
      <c r="AA3987" s="463" t="s">
        <v>13009</v>
      </c>
      <c r="AB3987" s="462" t="s">
        <v>13010</v>
      </c>
      <c r="AC3987" s="462" t="s">
        <v>13011</v>
      </c>
      <c r="AD3987" s="464">
        <v>280.24709000000001</v>
      </c>
      <c r="AE3987" s="465">
        <v>13.48089</v>
      </c>
      <c r="AF3987" s="86">
        <f>IF(verze!$E$1="CZK",AD3987,IF(verze!$E$1="SK",AE3987,""))</f>
        <v>13.48089</v>
      </c>
    </row>
    <row r="3988" spans="27:32" ht="15">
      <c r="AA3988" s="463" t="s">
        <v>13012</v>
      </c>
      <c r="AB3988" s="462" t="s">
        <v>13013</v>
      </c>
      <c r="AC3988" s="462" t="s">
        <v>13014</v>
      </c>
      <c r="AD3988" s="464">
        <v>311.67977000000002</v>
      </c>
      <c r="AE3988" s="465">
        <v>14.992929999999999</v>
      </c>
      <c r="AF3988" s="86">
        <f>IF(verze!$E$1="CZK",AD3988,IF(verze!$E$1="SK",AE3988,""))</f>
        <v>14.992929999999999</v>
      </c>
    </row>
    <row r="3989" spans="27:32" ht="15">
      <c r="AA3989" s="463" t="s">
        <v>13015</v>
      </c>
      <c r="AB3989" s="462" t="s">
        <v>13016</v>
      </c>
      <c r="AC3989" s="462" t="s">
        <v>13017</v>
      </c>
      <c r="AD3989" s="464">
        <v>327.40204</v>
      </c>
      <c r="AE3989" s="465">
        <v>15.749219999999999</v>
      </c>
      <c r="AF3989" s="86">
        <f>IF(verze!$E$1="CZK",AD3989,IF(verze!$E$1="SK",AE3989,""))</f>
        <v>15.749219999999999</v>
      </c>
    </row>
    <row r="3990" spans="27:32" ht="15">
      <c r="AA3990" s="463" t="s">
        <v>13018</v>
      </c>
      <c r="AB3990" s="462" t="s">
        <v>13019</v>
      </c>
      <c r="AC3990" s="462" t="s">
        <v>13020</v>
      </c>
      <c r="AD3990" s="464">
        <v>343.11718000000002</v>
      </c>
      <c r="AE3990" s="465">
        <v>16.50516</v>
      </c>
      <c r="AF3990" s="86">
        <f>IF(verze!$E$1="CZK",AD3990,IF(verze!$E$1="SK",AE3990,""))</f>
        <v>16.50516</v>
      </c>
    </row>
    <row r="3991" spans="27:32" ht="15">
      <c r="AA3991" s="463" t="s">
        <v>13021</v>
      </c>
      <c r="AB3991" s="462" t="s">
        <v>13022</v>
      </c>
      <c r="AC3991" s="462" t="s">
        <v>13023</v>
      </c>
      <c r="AD3991" s="464">
        <v>688.23941000000002</v>
      </c>
      <c r="AE3991" s="465">
        <v>33.106789999999997</v>
      </c>
      <c r="AF3991" s="86">
        <f>IF(verze!$E$1="CZK",AD3991,IF(verze!$E$1="SK",AE3991,""))</f>
        <v>33.106789999999997</v>
      </c>
    </row>
    <row r="3992" spans="27:32" ht="15">
      <c r="AA3992" s="463" t="s">
        <v>13024</v>
      </c>
      <c r="AB3992" s="462" t="s">
        <v>13025</v>
      </c>
      <c r="AC3992" s="462" t="s">
        <v>13026</v>
      </c>
      <c r="AD3992" s="464">
        <v>388.96908000000002</v>
      </c>
      <c r="AE3992" s="465">
        <v>15.560700000000001</v>
      </c>
      <c r="AF3992" s="86">
        <f>IF(verze!$E$1="CZK",AD3992,IF(verze!$E$1="SK",AE3992,""))</f>
        <v>15.560700000000001</v>
      </c>
    </row>
    <row r="3993" spans="27:32" ht="15">
      <c r="AA3993" s="463" t="s">
        <v>13027</v>
      </c>
      <c r="AB3993" s="462" t="s">
        <v>13028</v>
      </c>
      <c r="AC3993" s="462" t="s">
        <v>13029</v>
      </c>
      <c r="AD3993" s="464">
        <v>405.23099000000002</v>
      </c>
      <c r="AE3993" s="465">
        <v>16.21125</v>
      </c>
      <c r="AF3993" s="86">
        <f>IF(verze!$E$1="CZK",AD3993,IF(verze!$E$1="SK",AE3993,""))</f>
        <v>16.21125</v>
      </c>
    </row>
    <row r="3994" spans="27:32" ht="15">
      <c r="AA3994" s="463" t="s">
        <v>13030</v>
      </c>
      <c r="AB3994" s="462" t="s">
        <v>13031</v>
      </c>
      <c r="AC3994" s="462" t="s">
        <v>13032</v>
      </c>
      <c r="AD3994" s="464">
        <v>85.251850000000005</v>
      </c>
      <c r="AE3994" s="465">
        <v>3.90564</v>
      </c>
      <c r="AF3994" s="86">
        <f>IF(verze!$E$1="CZK",AD3994,IF(verze!$E$1="SK",AE3994,""))</f>
        <v>3.90564</v>
      </c>
    </row>
    <row r="3995" spans="27:32" ht="15">
      <c r="AA3995" s="463" t="s">
        <v>13033</v>
      </c>
      <c r="AB3995" s="462" t="s">
        <v>13034</v>
      </c>
      <c r="AC3995" s="462" t="s">
        <v>13035</v>
      </c>
      <c r="AD3995" s="464">
        <v>85.251850000000005</v>
      </c>
      <c r="AE3995" s="465">
        <v>3.90564</v>
      </c>
      <c r="AF3995" s="86">
        <f>IF(verze!$E$1="CZK",AD3995,IF(verze!$E$1="SK",AE3995,""))</f>
        <v>3.90564</v>
      </c>
    </row>
    <row r="3996" spans="27:32" ht="15">
      <c r="AA3996" s="463" t="s">
        <v>13036</v>
      </c>
      <c r="AB3996" s="462" t="s">
        <v>13037</v>
      </c>
      <c r="AC3996" s="462" t="s">
        <v>13038</v>
      </c>
      <c r="AD3996" s="464">
        <v>85.251850000000005</v>
      </c>
      <c r="AE3996" s="465">
        <v>3.90564</v>
      </c>
      <c r="AF3996" s="86">
        <f>IF(verze!$E$1="CZK",AD3996,IF(verze!$E$1="SK",AE3996,""))</f>
        <v>3.90564</v>
      </c>
    </row>
    <row r="3997" spans="27:32" ht="15">
      <c r="AA3997" s="463" t="s">
        <v>13039</v>
      </c>
      <c r="AB3997" s="462" t="s">
        <v>13040</v>
      </c>
      <c r="AC3997" s="462" t="s">
        <v>13041</v>
      </c>
      <c r="AD3997" s="464">
        <v>19.608160000000002</v>
      </c>
      <c r="AE3997" s="465">
        <v>0.89832000000000001</v>
      </c>
      <c r="AF3997" s="86">
        <f>IF(verze!$E$1="CZK",AD3997,IF(verze!$E$1="SK",AE3997,""))</f>
        <v>0.89832000000000001</v>
      </c>
    </row>
    <row r="3998" spans="27:32" ht="15">
      <c r="AA3998" s="463" t="s">
        <v>13042</v>
      </c>
      <c r="AB3998" s="462" t="s">
        <v>13043</v>
      </c>
      <c r="AC3998" s="462" t="s">
        <v>13044</v>
      </c>
      <c r="AD3998" s="464">
        <v>19.608160000000002</v>
      </c>
      <c r="AE3998" s="465">
        <v>0.89832000000000001</v>
      </c>
      <c r="AF3998" s="86">
        <f>IF(verze!$E$1="CZK",AD3998,IF(verze!$E$1="SK",AE3998,""))</f>
        <v>0.89832000000000001</v>
      </c>
    </row>
    <row r="3999" spans="27:32" ht="15">
      <c r="AA3999" s="463" t="s">
        <v>13045</v>
      </c>
      <c r="AB3999" s="462" t="s">
        <v>13046</v>
      </c>
      <c r="AC3999" s="462" t="s">
        <v>13047</v>
      </c>
      <c r="AD3999" s="464">
        <v>19.608160000000002</v>
      </c>
      <c r="AE3999" s="465">
        <v>0.89832000000000001</v>
      </c>
      <c r="AF3999" s="86">
        <f>IF(verze!$E$1="CZK",AD3999,IF(verze!$E$1="SK",AE3999,""))</f>
        <v>0.89832000000000001</v>
      </c>
    </row>
    <row r="4000" spans="27:32" ht="15">
      <c r="AA4000" s="463" t="s">
        <v>13048</v>
      </c>
      <c r="AB4000" s="462" t="s">
        <v>13049</v>
      </c>
      <c r="AC4000" s="462" t="s">
        <v>13050</v>
      </c>
      <c r="AD4000" s="464">
        <v>2288.8663499999998</v>
      </c>
      <c r="AE4000" s="465">
        <v>91.566050000000004</v>
      </c>
      <c r="AF4000" s="86">
        <f>IF(verze!$E$1="CZK",AD4000,IF(verze!$E$1="SK",AE4000,""))</f>
        <v>91.566050000000004</v>
      </c>
    </row>
    <row r="4001" spans="27:32" ht="15">
      <c r="AA4001" s="463" t="s">
        <v>13051</v>
      </c>
      <c r="AB4001" s="462" t="s">
        <v>13052</v>
      </c>
      <c r="AC4001" s="462" t="s">
        <v>13053</v>
      </c>
      <c r="AD4001" s="464">
        <v>3685.4854599999999</v>
      </c>
      <c r="AE4001" s="465">
        <v>147.43777</v>
      </c>
      <c r="AF4001" s="86">
        <f>IF(verze!$E$1="CZK",AD4001,IF(verze!$E$1="SK",AE4001,""))</f>
        <v>147.43777</v>
      </c>
    </row>
    <row r="4002" spans="27:32" ht="15">
      <c r="AA4002" s="463" t="s">
        <v>13054</v>
      </c>
      <c r="AB4002" s="462" t="s">
        <v>13055</v>
      </c>
      <c r="AC4002" s="462" t="s">
        <v>13056</v>
      </c>
      <c r="AD4002" s="464">
        <v>511.93398999999999</v>
      </c>
      <c r="AE4002" s="465">
        <v>20.47992</v>
      </c>
      <c r="AF4002" s="86">
        <f>IF(verze!$E$1="CZK",AD4002,IF(verze!$E$1="SK",AE4002,""))</f>
        <v>20.47992</v>
      </c>
    </row>
    <row r="4003" spans="27:32" ht="15">
      <c r="AA4003" s="463" t="s">
        <v>13057</v>
      </c>
      <c r="AB4003" s="462" t="s">
        <v>13058</v>
      </c>
      <c r="AC4003" s="462" t="s">
        <v>13059</v>
      </c>
      <c r="AD4003" s="464">
        <v>126.80843</v>
      </c>
      <c r="AE4003" s="465">
        <v>5.8094599999999996</v>
      </c>
      <c r="AF4003" s="86">
        <f>IF(verze!$E$1="CZK",AD4003,IF(verze!$E$1="SK",AE4003,""))</f>
        <v>5.8094599999999996</v>
      </c>
    </row>
    <row r="4004" spans="27:32" ht="15">
      <c r="AA4004" s="463" t="s">
        <v>13060</v>
      </c>
      <c r="AB4004" s="462" t="s">
        <v>13061</v>
      </c>
      <c r="AC4004" s="462" t="s">
        <v>13062</v>
      </c>
      <c r="AD4004" s="464">
        <v>458.62130000000002</v>
      </c>
      <c r="AE4004" s="465">
        <v>18.34713</v>
      </c>
      <c r="AF4004" s="86">
        <f>IF(verze!$E$1="CZK",AD4004,IF(verze!$E$1="SK",AE4004,""))</f>
        <v>18.34713</v>
      </c>
    </row>
    <row r="4005" spans="27:32" ht="15">
      <c r="AA4005" s="463" t="s">
        <v>13063</v>
      </c>
      <c r="AB4005" s="462" t="s">
        <v>13064</v>
      </c>
      <c r="AC4005" s="462" t="s">
        <v>13065</v>
      </c>
      <c r="AD4005" s="464">
        <v>238.90384</v>
      </c>
      <c r="AE4005" s="465">
        <v>10.944900000000001</v>
      </c>
      <c r="AF4005" s="86">
        <f>IF(verze!$E$1="CZK",AD4005,IF(verze!$E$1="SK",AE4005,""))</f>
        <v>10.944900000000001</v>
      </c>
    </row>
    <row r="4006" spans="27:32" ht="15">
      <c r="AA4006" s="463" t="s">
        <v>13066</v>
      </c>
      <c r="AB4006" s="462" t="s">
        <v>13067</v>
      </c>
      <c r="AC4006" s="462" t="s">
        <v>13068</v>
      </c>
      <c r="AD4006" s="464">
        <v>254.47309999999999</v>
      </c>
      <c r="AE4006" s="465">
        <v>11.65818</v>
      </c>
      <c r="AF4006" s="86">
        <f>IF(verze!$E$1="CZK",AD4006,IF(verze!$E$1="SK",AE4006,""))</f>
        <v>11.65818</v>
      </c>
    </row>
    <row r="4007" spans="27:32" ht="15">
      <c r="AA4007" s="463" t="s">
        <v>13069</v>
      </c>
      <c r="AB4007" s="462" t="s">
        <v>13070</v>
      </c>
      <c r="AC4007" s="462" t="s">
        <v>13071</v>
      </c>
      <c r="AD4007" s="464">
        <v>394.52654000000001</v>
      </c>
      <c r="AE4007" s="465">
        <v>18.074439999999999</v>
      </c>
      <c r="AF4007" s="86">
        <f>IF(verze!$E$1="CZK",AD4007,IF(verze!$E$1="SK",AE4007,""))</f>
        <v>18.074439999999999</v>
      </c>
    </row>
    <row r="4008" spans="27:32" ht="15">
      <c r="AA4008" s="463" t="s">
        <v>13072</v>
      </c>
      <c r="AB4008" s="462" t="s">
        <v>13073</v>
      </c>
      <c r="AC4008" s="462" t="s">
        <v>13074</v>
      </c>
      <c r="AD4008" s="464">
        <v>225.11018000000001</v>
      </c>
      <c r="AE4008" s="465">
        <v>10.31298</v>
      </c>
      <c r="AF4008" s="86">
        <f>IF(verze!$E$1="CZK",AD4008,IF(verze!$E$1="SK",AE4008,""))</f>
        <v>10.31298</v>
      </c>
    </row>
    <row r="4009" spans="27:32" ht="15">
      <c r="AA4009" s="463" t="s">
        <v>13075</v>
      </c>
      <c r="AB4009" s="462" t="s">
        <v>13076</v>
      </c>
      <c r="AC4009" s="462" t="s">
        <v>13077</v>
      </c>
      <c r="AD4009" s="464">
        <v>349.00488999999999</v>
      </c>
      <c r="AE4009" s="465">
        <v>15.988939999999999</v>
      </c>
      <c r="AF4009" s="86">
        <f>IF(verze!$E$1="CZK",AD4009,IF(verze!$E$1="SK",AE4009,""))</f>
        <v>15.988939999999999</v>
      </c>
    </row>
    <row r="4010" spans="27:32" ht="15">
      <c r="AA4010" s="463" t="s">
        <v>13078</v>
      </c>
      <c r="AB4010" s="462" t="s">
        <v>13079</v>
      </c>
      <c r="AC4010" s="462" t="s">
        <v>13080</v>
      </c>
      <c r="AD4010" s="464">
        <v>195.75088</v>
      </c>
      <c r="AE4010" s="465">
        <v>8.9679199999999994</v>
      </c>
      <c r="AF4010" s="86">
        <f>IF(verze!$E$1="CZK",AD4010,IF(verze!$E$1="SK",AE4010,""))</f>
        <v>8.9679199999999994</v>
      </c>
    </row>
    <row r="4011" spans="27:32" ht="15">
      <c r="AA4011" s="463" t="s">
        <v>13081</v>
      </c>
      <c r="AB4011" s="462" t="s">
        <v>13082</v>
      </c>
      <c r="AC4011" s="462" t="s">
        <v>13083</v>
      </c>
      <c r="AD4011" s="464">
        <v>268.06668000000002</v>
      </c>
      <c r="AE4011" s="465">
        <v>12.28092</v>
      </c>
      <c r="AF4011" s="86">
        <f>IF(verze!$E$1="CZK",AD4011,IF(verze!$E$1="SK",AE4011,""))</f>
        <v>12.28092</v>
      </c>
    </row>
    <row r="4012" spans="27:32" ht="15">
      <c r="AA4012" s="463" t="s">
        <v>13084</v>
      </c>
      <c r="AB4012" s="462" t="s">
        <v>13085</v>
      </c>
      <c r="AC4012" s="462" t="s">
        <v>13086</v>
      </c>
      <c r="AD4012" s="464">
        <v>303.48313999999999</v>
      </c>
      <c r="AE4012" s="465">
        <v>13.903460000000001</v>
      </c>
      <c r="AF4012" s="86">
        <f>IF(verze!$E$1="CZK",AD4012,IF(verze!$E$1="SK",AE4012,""))</f>
        <v>13.903460000000001</v>
      </c>
    </row>
    <row r="4013" spans="27:32" ht="15">
      <c r="AA4013" s="463" t="s">
        <v>13087</v>
      </c>
      <c r="AB4013" s="462" t="s">
        <v>13088</v>
      </c>
      <c r="AC4013" s="462" t="s">
        <v>13089</v>
      </c>
      <c r="AD4013" s="464">
        <v>354.53564999999998</v>
      </c>
      <c r="AE4013" s="465">
        <v>16.242319999999999</v>
      </c>
      <c r="AF4013" s="86">
        <f>IF(verze!$E$1="CZK",AD4013,IF(verze!$E$1="SK",AE4013,""))</f>
        <v>16.242319999999999</v>
      </c>
    </row>
    <row r="4014" spans="27:32" ht="15">
      <c r="AA4014" s="463" t="s">
        <v>13090</v>
      </c>
      <c r="AB4014" s="462" t="s">
        <v>13091</v>
      </c>
      <c r="AC4014" s="462" t="s">
        <v>13092</v>
      </c>
      <c r="AD4014" s="464">
        <v>2343.1567100000002</v>
      </c>
      <c r="AE4014" s="465">
        <v>107.34694</v>
      </c>
      <c r="AF4014" s="86">
        <f>IF(verze!$E$1="CZK",AD4014,IF(verze!$E$1="SK",AE4014,""))</f>
        <v>107.34694</v>
      </c>
    </row>
    <row r="4015" spans="27:32" ht="15">
      <c r="AA4015" s="463" t="s">
        <v>13093</v>
      </c>
      <c r="AB4015" s="462" t="s">
        <v>13094</v>
      </c>
      <c r="AC4015" s="462" t="s">
        <v>13095</v>
      </c>
      <c r="AD4015" s="464">
        <v>66.180760000000006</v>
      </c>
      <c r="AE4015" s="465">
        <v>3.0319400000000001</v>
      </c>
      <c r="AF4015" s="86">
        <f>IF(verze!$E$1="CZK",AD4015,IF(verze!$E$1="SK",AE4015,""))</f>
        <v>3.0319400000000001</v>
      </c>
    </row>
    <row r="4016" spans="27:32" ht="15">
      <c r="AA4016" s="463" t="s">
        <v>13096</v>
      </c>
      <c r="AB4016" s="462" t="s">
        <v>13097</v>
      </c>
      <c r="AC4016" s="462" t="s">
        <v>13098</v>
      </c>
      <c r="AD4016" s="464">
        <v>77.710740000000001</v>
      </c>
      <c r="AE4016" s="465">
        <v>3.4253999999999998</v>
      </c>
      <c r="AF4016" s="86">
        <f>IF(verze!$E$1="CZK",AD4016,IF(verze!$E$1="SK",AE4016,""))</f>
        <v>3.4253999999999998</v>
      </c>
    </row>
    <row r="4017" spans="27:32" ht="15">
      <c r="AA4017" s="463" t="s">
        <v>13099</v>
      </c>
      <c r="AB4017" s="462" t="s">
        <v>13100</v>
      </c>
      <c r="AC4017" s="462" t="s">
        <v>13101</v>
      </c>
      <c r="AD4017" s="464">
        <v>233.26544000000001</v>
      </c>
      <c r="AE4017" s="465">
        <v>10.686579999999999</v>
      </c>
      <c r="AF4017" s="86">
        <f>IF(verze!$E$1="CZK",AD4017,IF(verze!$E$1="SK",AE4017,""))</f>
        <v>10.686579999999999</v>
      </c>
    </row>
    <row r="4018" spans="27:32" ht="15">
      <c r="AA4018" s="463" t="s">
        <v>13102</v>
      </c>
      <c r="AB4018" s="462" t="s">
        <v>13103</v>
      </c>
      <c r="AC4018" s="462" t="s">
        <v>13104</v>
      </c>
      <c r="AD4018" s="464">
        <v>297.63722000000001</v>
      </c>
      <c r="AE4018" s="465">
        <v>13.63564</v>
      </c>
      <c r="AF4018" s="86">
        <f>IF(verze!$E$1="CZK",AD4018,IF(verze!$E$1="SK",AE4018,""))</f>
        <v>13.63564</v>
      </c>
    </row>
    <row r="4019" spans="27:32" ht="15">
      <c r="AA4019" s="463" t="s">
        <v>13105</v>
      </c>
      <c r="AB4019" s="462" t="s">
        <v>13106</v>
      </c>
      <c r="AC4019" s="462" t="s">
        <v>13107</v>
      </c>
      <c r="AD4019" s="464">
        <v>324.91692</v>
      </c>
      <c r="AE4019" s="465">
        <v>14.88542</v>
      </c>
      <c r="AF4019" s="86">
        <f>IF(verze!$E$1="CZK",AD4019,IF(verze!$E$1="SK",AE4019,""))</f>
        <v>14.88542</v>
      </c>
    </row>
    <row r="4020" spans="27:32" ht="15">
      <c r="AA4020" s="463" t="s">
        <v>13108</v>
      </c>
      <c r="AB4020" s="462" t="s">
        <v>13109</v>
      </c>
      <c r="AC4020" s="462" t="s">
        <v>13110</v>
      </c>
      <c r="AD4020" s="464">
        <v>196.26985999999999</v>
      </c>
      <c r="AE4020" s="465">
        <v>8.9916999999999998</v>
      </c>
      <c r="AF4020" s="86">
        <f>IF(verze!$E$1="CZK",AD4020,IF(verze!$E$1="SK",AE4020,""))</f>
        <v>8.9916999999999998</v>
      </c>
    </row>
    <row r="4021" spans="27:32" ht="15">
      <c r="AA4021" s="463" t="s">
        <v>13111</v>
      </c>
      <c r="AB4021" s="462" t="s">
        <v>13112</v>
      </c>
      <c r="AC4021" s="462" t="s">
        <v>13113</v>
      </c>
      <c r="AD4021" s="464">
        <v>150.97797</v>
      </c>
      <c r="AE4021" s="465">
        <v>6.9167399999999999</v>
      </c>
      <c r="AF4021" s="86">
        <f>IF(verze!$E$1="CZK",AD4021,IF(verze!$E$1="SK",AE4021,""))</f>
        <v>6.9167399999999999</v>
      </c>
    </row>
    <row r="4022" spans="27:32" ht="15">
      <c r="AA4022" s="463" t="s">
        <v>13114</v>
      </c>
      <c r="AB4022" s="462" t="s">
        <v>13115</v>
      </c>
      <c r="AC4022" s="462" t="s">
        <v>13116</v>
      </c>
      <c r="AD4022" s="464">
        <v>21.10229</v>
      </c>
      <c r="AE4022" s="465">
        <v>1.0150999999999999</v>
      </c>
      <c r="AF4022" s="86">
        <f>IF(verze!$E$1="CZK",AD4022,IF(verze!$E$1="SK",AE4022,""))</f>
        <v>1.0150999999999999</v>
      </c>
    </row>
    <row r="4023" spans="27:32" ht="15">
      <c r="AA4023" s="463" t="s">
        <v>13117</v>
      </c>
      <c r="AB4023" s="462" t="s">
        <v>13118</v>
      </c>
      <c r="AC4023" s="462" t="s">
        <v>13119</v>
      </c>
      <c r="AD4023" s="464">
        <v>21.10229</v>
      </c>
      <c r="AE4023" s="465">
        <v>1.0150999999999999</v>
      </c>
      <c r="AF4023" s="86">
        <f>IF(verze!$E$1="CZK",AD4023,IF(verze!$E$1="SK",AE4023,""))</f>
        <v>1.0150999999999999</v>
      </c>
    </row>
    <row r="4024" spans="27:32" ht="15">
      <c r="AA4024" s="463" t="s">
        <v>13120</v>
      </c>
      <c r="AB4024" s="462" t="s">
        <v>13121</v>
      </c>
      <c r="AC4024" s="462" t="s">
        <v>13122</v>
      </c>
      <c r="AD4024" s="464">
        <v>11.366250000000001</v>
      </c>
      <c r="AE4024" s="465">
        <v>0.54676000000000002</v>
      </c>
      <c r="AF4024" s="86">
        <f>IF(verze!$E$1="CZK",AD4024,IF(verze!$E$1="SK",AE4024,""))</f>
        <v>0.54676000000000002</v>
      </c>
    </row>
    <row r="4025" spans="27:32" ht="15">
      <c r="AA4025" s="463" t="s">
        <v>13123</v>
      </c>
      <c r="AB4025" s="462" t="s">
        <v>13124</v>
      </c>
      <c r="AC4025" s="462" t="s">
        <v>13125</v>
      </c>
      <c r="AD4025" s="464">
        <v>11.366250000000001</v>
      </c>
      <c r="AE4025" s="465">
        <v>0.54676000000000002</v>
      </c>
      <c r="AF4025" s="86">
        <f>IF(verze!$E$1="CZK",AD4025,IF(verze!$E$1="SK",AE4025,""))</f>
        <v>0.54676000000000002</v>
      </c>
    </row>
    <row r="4026" spans="27:32" ht="15">
      <c r="AA4026" s="463" t="s">
        <v>13126</v>
      </c>
      <c r="AB4026" s="462" t="s">
        <v>13127</v>
      </c>
      <c r="AC4026" s="462" t="s">
        <v>13128</v>
      </c>
      <c r="AD4026" s="464">
        <v>11.366250000000001</v>
      </c>
      <c r="AE4026" s="465">
        <v>0.54676000000000002</v>
      </c>
      <c r="AF4026" s="86">
        <f>IF(verze!$E$1="CZK",AD4026,IF(verze!$E$1="SK",AE4026,""))</f>
        <v>0.54676000000000002</v>
      </c>
    </row>
    <row r="4027" spans="27:32" ht="15">
      <c r="AA4027" s="463" t="s">
        <v>13129</v>
      </c>
      <c r="AB4027" s="462" t="s">
        <v>13130</v>
      </c>
      <c r="AC4027" s="462" t="s">
        <v>13131</v>
      </c>
      <c r="AD4027" s="464">
        <v>301.53017</v>
      </c>
      <c r="AE4027" s="465">
        <v>0</v>
      </c>
      <c r="AF4027" s="86">
        <f>IF(verze!$E$1="CZK",AD4027,IF(verze!$E$1="SK",AE4027,""))</f>
        <v>0</v>
      </c>
    </row>
    <row r="4028" spans="27:32" ht="15">
      <c r="AA4028" s="463" t="s">
        <v>13129</v>
      </c>
      <c r="AB4028" s="462" t="s">
        <v>13132</v>
      </c>
      <c r="AC4028" s="462" t="s">
        <v>13133</v>
      </c>
      <c r="AD4028" s="464">
        <v>0</v>
      </c>
      <c r="AE4028" s="465">
        <v>0</v>
      </c>
      <c r="AF4028" s="86">
        <f>IF(verze!$E$1="CZK",AD4028,IF(verze!$E$1="SK",AE4028,""))</f>
        <v>0</v>
      </c>
    </row>
    <row r="4029" spans="27:32" ht="15">
      <c r="AA4029" s="463" t="s">
        <v>13134</v>
      </c>
      <c r="AB4029" s="462" t="s">
        <v>13135</v>
      </c>
      <c r="AC4029" s="462" t="s">
        <v>13136</v>
      </c>
      <c r="AD4029" s="464">
        <v>381.09228000000002</v>
      </c>
      <c r="AE4029" s="465">
        <v>18.331910000000001</v>
      </c>
      <c r="AF4029" s="86">
        <f>IF(verze!$E$1="CZK",AD4029,IF(verze!$E$1="SK",AE4029,""))</f>
        <v>18.331910000000001</v>
      </c>
    </row>
    <row r="4030" spans="27:32" ht="15">
      <c r="AA4030" s="463" t="s">
        <v>13137</v>
      </c>
      <c r="AB4030" s="462" t="s">
        <v>13138</v>
      </c>
      <c r="AC4030" s="462" t="s">
        <v>13139</v>
      </c>
      <c r="AD4030" s="464">
        <v>381.09228000000002</v>
      </c>
      <c r="AE4030" s="465">
        <v>18.331910000000001</v>
      </c>
      <c r="AF4030" s="86">
        <f>IF(verze!$E$1="CZK",AD4030,IF(verze!$E$1="SK",AE4030,""))</f>
        <v>18.331910000000001</v>
      </c>
    </row>
    <row r="4031" spans="27:32" ht="15">
      <c r="AA4031" s="463" t="s">
        <v>13140</v>
      </c>
      <c r="AB4031" s="462" t="s">
        <v>13141</v>
      </c>
      <c r="AC4031" s="462" t="s">
        <v>13142</v>
      </c>
      <c r="AD4031" s="464">
        <v>381.09228000000002</v>
      </c>
      <c r="AE4031" s="465">
        <v>18.331910000000001</v>
      </c>
      <c r="AF4031" s="86">
        <f>IF(verze!$E$1="CZK",AD4031,IF(verze!$E$1="SK",AE4031,""))</f>
        <v>18.331910000000001</v>
      </c>
    </row>
    <row r="4032" spans="27:32" ht="15">
      <c r="AA4032" s="463" t="s">
        <v>13143</v>
      </c>
      <c r="AB4032" s="462" t="s">
        <v>13144</v>
      </c>
      <c r="AC4032" s="462" t="s">
        <v>13145</v>
      </c>
      <c r="AD4032" s="464">
        <v>219711.17219000001</v>
      </c>
      <c r="AE4032" s="465">
        <v>0</v>
      </c>
      <c r="AF4032" s="86">
        <f>IF(verze!$E$1="CZK",AD4032,IF(verze!$E$1="SK",AE4032,""))</f>
        <v>0</v>
      </c>
    </row>
    <row r="4033" spans="27:32" ht="15">
      <c r="AA4033" s="463" t="s">
        <v>13146</v>
      </c>
      <c r="AB4033" s="462" t="s">
        <v>13147</v>
      </c>
      <c r="AC4033" s="462" t="s">
        <v>13148</v>
      </c>
      <c r="AD4033" s="464">
        <v>204218.42778</v>
      </c>
      <c r="AE4033" s="465">
        <v>8169.7537199999997</v>
      </c>
      <c r="AF4033" s="86">
        <f>IF(verze!$E$1="CZK",AD4033,IF(verze!$E$1="SK",AE4033,""))</f>
        <v>8169.7537199999997</v>
      </c>
    </row>
    <row r="4034" spans="27:32" ht="15">
      <c r="AA4034" s="463" t="s">
        <v>13149</v>
      </c>
      <c r="AB4034" s="462" t="s">
        <v>13150</v>
      </c>
      <c r="AC4034" s="462" t="s">
        <v>13151</v>
      </c>
      <c r="AD4034" s="464">
        <v>242373.86546999999</v>
      </c>
      <c r="AE4034" s="465">
        <v>9696.1611599999997</v>
      </c>
      <c r="AF4034" s="86">
        <f>IF(verze!$E$1="CZK",AD4034,IF(verze!$E$1="SK",AE4034,""))</f>
        <v>9696.1611599999997</v>
      </c>
    </row>
    <row r="4035" spans="27:32" ht="15">
      <c r="AA4035" s="463" t="s">
        <v>13152</v>
      </c>
      <c r="AB4035" s="462" t="s">
        <v>13153</v>
      </c>
      <c r="AC4035" s="462" t="s">
        <v>13154</v>
      </c>
      <c r="AD4035" s="464">
        <v>242373.86546999999</v>
      </c>
      <c r="AE4035" s="465">
        <v>9696.1611599999997</v>
      </c>
      <c r="AF4035" s="86">
        <f>IF(verze!$E$1="CZK",AD4035,IF(verze!$E$1="SK",AE4035,""))</f>
        <v>9696.1611599999997</v>
      </c>
    </row>
    <row r="4036" spans="27:32" ht="15">
      <c r="AA4036" s="463" t="s">
        <v>13155</v>
      </c>
      <c r="AB4036" s="462" t="s">
        <v>13156</v>
      </c>
      <c r="AC4036" s="462" t="s">
        <v>13157</v>
      </c>
      <c r="AD4036" s="464">
        <v>216.99556000000001</v>
      </c>
      <c r="AE4036" s="465">
        <v>9.9412199999999995</v>
      </c>
      <c r="AF4036" s="86">
        <f>IF(verze!$E$1="CZK",AD4036,IF(verze!$E$1="SK",AE4036,""))</f>
        <v>9.9412199999999995</v>
      </c>
    </row>
    <row r="4037" spans="27:32" ht="15">
      <c r="AA4037" s="463" t="s">
        <v>13158</v>
      </c>
      <c r="AB4037" s="462" t="s">
        <v>13159</v>
      </c>
      <c r="AC4037" s="462" t="s">
        <v>13160</v>
      </c>
      <c r="AD4037" s="464">
        <v>179.02861999999999</v>
      </c>
      <c r="AE4037" s="465">
        <v>8.2018400000000007</v>
      </c>
      <c r="AF4037" s="86">
        <f>IF(verze!$E$1="CZK",AD4037,IF(verze!$E$1="SK",AE4037,""))</f>
        <v>8.2018400000000007</v>
      </c>
    </row>
    <row r="4038" spans="27:32" ht="15">
      <c r="AA4038" s="463" t="s">
        <v>13161</v>
      </c>
      <c r="AB4038" s="462" t="s">
        <v>13162</v>
      </c>
      <c r="AC4038" s="462" t="s">
        <v>13163</v>
      </c>
      <c r="AD4038" s="464">
        <v>216.99556000000001</v>
      </c>
      <c r="AE4038" s="465">
        <v>9.9412199999999995</v>
      </c>
      <c r="AF4038" s="86">
        <f>IF(verze!$E$1="CZK",AD4038,IF(verze!$E$1="SK",AE4038,""))</f>
        <v>9.9412199999999995</v>
      </c>
    </row>
    <row r="4039" spans="27:32" ht="15">
      <c r="AA4039" s="463" t="s">
        <v>13164</v>
      </c>
      <c r="AB4039" s="462" t="s">
        <v>13165</v>
      </c>
      <c r="AC4039" s="462" t="s">
        <v>13166</v>
      </c>
      <c r="AD4039" s="464">
        <v>203.47994</v>
      </c>
      <c r="AE4039" s="465">
        <v>9.3220200000000002</v>
      </c>
      <c r="AF4039" s="86">
        <f>IF(verze!$E$1="CZK",AD4039,IF(verze!$E$1="SK",AE4039,""))</f>
        <v>9.3220200000000002</v>
      </c>
    </row>
    <row r="4040" spans="27:32" ht="15">
      <c r="AA4040" s="463" t="s">
        <v>13167</v>
      </c>
      <c r="AB4040" s="462" t="s">
        <v>13168</v>
      </c>
      <c r="AC4040" s="462" t="s">
        <v>13169</v>
      </c>
      <c r="AD4040" s="464">
        <v>149.65826000000001</v>
      </c>
      <c r="AE4040" s="465">
        <v>6.8562799999999999</v>
      </c>
      <c r="AF4040" s="86">
        <f>IF(verze!$E$1="CZK",AD4040,IF(verze!$E$1="SK",AE4040,""))</f>
        <v>6.8562799999999999</v>
      </c>
    </row>
    <row r="4041" spans="27:32" ht="15">
      <c r="AA4041" s="463" t="s">
        <v>13170</v>
      </c>
      <c r="AB4041" s="462" t="s">
        <v>13171</v>
      </c>
      <c r="AC4041" s="462" t="s">
        <v>13172</v>
      </c>
      <c r="AD4041" s="464">
        <v>157.14268000000001</v>
      </c>
      <c r="AE4041" s="465">
        <v>7.1991800000000001</v>
      </c>
      <c r="AF4041" s="86">
        <f>IF(verze!$E$1="CZK",AD4041,IF(verze!$E$1="SK",AE4041,""))</f>
        <v>7.1991800000000001</v>
      </c>
    </row>
    <row r="4042" spans="27:32" ht="15">
      <c r="AA4042" s="463" t="s">
        <v>13173</v>
      </c>
      <c r="AB4042" s="462" t="s">
        <v>13174</v>
      </c>
      <c r="AC4042" s="462" t="s">
        <v>13175</v>
      </c>
      <c r="AD4042" s="464">
        <v>206.43438</v>
      </c>
      <c r="AE4042" s="465">
        <v>9.4573599999999995</v>
      </c>
      <c r="AF4042" s="86">
        <f>IF(verze!$E$1="CZK",AD4042,IF(verze!$E$1="SK",AE4042,""))</f>
        <v>9.4573599999999995</v>
      </c>
    </row>
    <row r="4043" spans="27:32" ht="15">
      <c r="AA4043" s="463" t="s">
        <v>13176</v>
      </c>
      <c r="AB4043" s="462" t="s">
        <v>13177</v>
      </c>
      <c r="AC4043" s="462" t="s">
        <v>13178</v>
      </c>
      <c r="AD4043" s="464">
        <v>206.43438</v>
      </c>
      <c r="AE4043" s="465">
        <v>9.4573599999999995</v>
      </c>
      <c r="AF4043" s="86">
        <f>IF(verze!$E$1="CZK",AD4043,IF(verze!$E$1="SK",AE4043,""))</f>
        <v>9.4573599999999995</v>
      </c>
    </row>
    <row r="4044" spans="27:32" ht="15">
      <c r="AA4044" s="463" t="s">
        <v>13179</v>
      </c>
      <c r="AB4044" s="462" t="s">
        <v>13180</v>
      </c>
      <c r="AC4044" s="462" t="s">
        <v>13181</v>
      </c>
      <c r="AD4044" s="464">
        <v>11288.86233</v>
      </c>
      <c r="AE4044" s="465">
        <v>451.61070000000001</v>
      </c>
      <c r="AF4044" s="86">
        <f>IF(verze!$E$1="CZK",AD4044,IF(verze!$E$1="SK",AE4044,""))</f>
        <v>451.61070000000001</v>
      </c>
    </row>
    <row r="4045" spans="27:32" ht="15">
      <c r="AA4045" s="463" t="s">
        <v>13182</v>
      </c>
      <c r="AB4045" s="462" t="s">
        <v>13183</v>
      </c>
      <c r="AC4045" s="462" t="s">
        <v>13184</v>
      </c>
      <c r="AD4045" s="464">
        <v>13577.6684</v>
      </c>
      <c r="AE4045" s="465">
        <v>543.17433000000005</v>
      </c>
      <c r="AF4045" s="86">
        <f>IF(verze!$E$1="CZK",AD4045,IF(verze!$E$1="SK",AE4045,""))</f>
        <v>543.17433000000005</v>
      </c>
    </row>
    <row r="4046" spans="27:32" ht="15">
      <c r="AA4046" s="463" t="s">
        <v>13185</v>
      </c>
      <c r="AB4046" s="462" t="s">
        <v>13186</v>
      </c>
      <c r="AC4046" s="462" t="s">
        <v>13187</v>
      </c>
      <c r="AD4046" s="464">
        <v>1309.6771200000001</v>
      </c>
      <c r="AE4046" s="465">
        <v>52.393610000000002</v>
      </c>
      <c r="AF4046" s="86">
        <f>IF(verze!$E$1="CZK",AD4046,IF(verze!$E$1="SK",AE4046,""))</f>
        <v>52.393610000000002</v>
      </c>
    </row>
    <row r="4047" spans="27:32" ht="15">
      <c r="AA4047" s="463" t="s">
        <v>13188</v>
      </c>
      <c r="AB4047" s="462" t="s">
        <v>13189</v>
      </c>
      <c r="AC4047" s="462" t="s">
        <v>13190</v>
      </c>
      <c r="AD4047" s="464">
        <v>157.48656</v>
      </c>
      <c r="AE4047" s="465">
        <v>6.3002500000000001</v>
      </c>
      <c r="AF4047" s="86">
        <f>IF(verze!$E$1="CZK",AD4047,IF(verze!$E$1="SK",AE4047,""))</f>
        <v>6.3002500000000001</v>
      </c>
    </row>
    <row r="4048" spans="27:32" ht="15">
      <c r="AA4048" s="463" t="s">
        <v>13191</v>
      </c>
      <c r="AB4048" s="462" t="s">
        <v>13192</v>
      </c>
      <c r="AC4048" s="462" t="s">
        <v>13193</v>
      </c>
      <c r="AD4048" s="464">
        <v>159.90599</v>
      </c>
      <c r="AE4048" s="465">
        <v>6.39703</v>
      </c>
      <c r="AF4048" s="86">
        <f>IF(verze!$E$1="CZK",AD4048,IF(verze!$E$1="SK",AE4048,""))</f>
        <v>6.39703</v>
      </c>
    </row>
    <row r="4049" spans="27:32" ht="15">
      <c r="AA4049" s="463" t="s">
        <v>13194</v>
      </c>
      <c r="AB4049" s="462" t="s">
        <v>13195</v>
      </c>
      <c r="AC4049" s="462" t="s">
        <v>13196</v>
      </c>
      <c r="AD4049" s="464">
        <v>1347.52998</v>
      </c>
      <c r="AE4049" s="465">
        <v>53.907919999999997</v>
      </c>
      <c r="AF4049" s="86">
        <f>IF(verze!$E$1="CZK",AD4049,IF(verze!$E$1="SK",AE4049,""))</f>
        <v>53.907919999999997</v>
      </c>
    </row>
    <row r="4050" spans="27:32" ht="15">
      <c r="AA4050" s="463" t="s">
        <v>13197</v>
      </c>
      <c r="AB4050" s="462" t="s">
        <v>13198</v>
      </c>
      <c r="AC4050" s="462" t="s">
        <v>13199</v>
      </c>
      <c r="AD4050" s="464">
        <v>1469.39489</v>
      </c>
      <c r="AE4050" s="465">
        <v>58.783110000000001</v>
      </c>
      <c r="AF4050" s="86">
        <f>IF(verze!$E$1="CZK",AD4050,IF(verze!$E$1="SK",AE4050,""))</f>
        <v>58.783110000000001</v>
      </c>
    </row>
    <row r="4051" spans="27:32" ht="15">
      <c r="AA4051" s="463" t="s">
        <v>13200</v>
      </c>
      <c r="AB4051" s="462" t="s">
        <v>13201</v>
      </c>
      <c r="AC4051" s="462" t="s">
        <v>13202</v>
      </c>
      <c r="AD4051" s="464">
        <v>253.03852000000001</v>
      </c>
      <c r="AE4051" s="465">
        <v>11.59244</v>
      </c>
      <c r="AF4051" s="86">
        <f>IF(verze!$E$1="CZK",AD4051,IF(verze!$E$1="SK",AE4051,""))</f>
        <v>11.59244</v>
      </c>
    </row>
    <row r="4052" spans="27:32" ht="15">
      <c r="AA4052" s="463" t="s">
        <v>13203</v>
      </c>
      <c r="AB4052" s="462" t="s">
        <v>13204</v>
      </c>
      <c r="AC4052" s="462" t="s">
        <v>13205</v>
      </c>
      <c r="AD4052" s="464">
        <v>253.03852000000001</v>
      </c>
      <c r="AE4052" s="465">
        <v>11.59244</v>
      </c>
      <c r="AF4052" s="86">
        <f>IF(verze!$E$1="CZK",AD4052,IF(verze!$E$1="SK",AE4052,""))</f>
        <v>11.59244</v>
      </c>
    </row>
    <row r="4053" spans="27:32" ht="15">
      <c r="AA4053" s="463" t="s">
        <v>13206</v>
      </c>
      <c r="AB4053" s="462" t="s">
        <v>13207</v>
      </c>
      <c r="AC4053" s="462" t="s">
        <v>13208</v>
      </c>
      <c r="AD4053" s="464">
        <v>78.753780000000006</v>
      </c>
      <c r="AE4053" s="465">
        <v>3.7883399999999998</v>
      </c>
      <c r="AF4053" s="86">
        <f>IF(verze!$E$1="CZK",AD4053,IF(verze!$E$1="SK",AE4053,""))</f>
        <v>3.7883399999999998</v>
      </c>
    </row>
    <row r="4054" spans="27:32" ht="15">
      <c r="AA4054" s="463" t="s">
        <v>13209</v>
      </c>
      <c r="AB4054" s="462" t="s">
        <v>13210</v>
      </c>
      <c r="AC4054" s="462" t="s">
        <v>13211</v>
      </c>
      <c r="AD4054" s="464">
        <v>78.753780000000006</v>
      </c>
      <c r="AE4054" s="465">
        <v>3.7883399999999998</v>
      </c>
      <c r="AF4054" s="86">
        <f>IF(verze!$E$1="CZK",AD4054,IF(verze!$E$1="SK",AE4054,""))</f>
        <v>3.7883399999999998</v>
      </c>
    </row>
    <row r="4055" spans="27:32" ht="15">
      <c r="AA4055" s="463" t="s">
        <v>13212</v>
      </c>
      <c r="AB4055" s="462" t="s">
        <v>13213</v>
      </c>
      <c r="AC4055" s="462" t="s">
        <v>13214</v>
      </c>
      <c r="AD4055" s="464">
        <v>78.753780000000006</v>
      </c>
      <c r="AE4055" s="465">
        <v>3.7883399999999998</v>
      </c>
      <c r="AF4055" s="86">
        <f>IF(verze!$E$1="CZK",AD4055,IF(verze!$E$1="SK",AE4055,""))</f>
        <v>3.7883399999999998</v>
      </c>
    </row>
    <row r="4056" spans="27:32" ht="15">
      <c r="AA4056" s="463" t="s">
        <v>13215</v>
      </c>
      <c r="AB4056" s="462" t="s">
        <v>13216</v>
      </c>
      <c r="AC4056" s="462" t="s">
        <v>13217</v>
      </c>
      <c r="AD4056" s="464">
        <v>154.18450000000001</v>
      </c>
      <c r="AE4056" s="465">
        <v>7.0636599999999996</v>
      </c>
      <c r="AF4056" s="86">
        <f>IF(verze!$E$1="CZK",AD4056,IF(verze!$E$1="SK",AE4056,""))</f>
        <v>7.0636599999999996</v>
      </c>
    </row>
    <row r="4057" spans="27:32" ht="15">
      <c r="AA4057" s="463" t="s">
        <v>13218</v>
      </c>
      <c r="AB4057" s="462" t="s">
        <v>13219</v>
      </c>
      <c r="AC4057" s="462" t="s">
        <v>13220</v>
      </c>
      <c r="AD4057" s="464">
        <v>1643.4192700000001</v>
      </c>
      <c r="AE4057" s="465">
        <v>71.487380000000002</v>
      </c>
      <c r="AF4057" s="86">
        <f>IF(verze!$E$1="CZK",AD4057,IF(verze!$E$1="SK",AE4057,""))</f>
        <v>71.487380000000002</v>
      </c>
    </row>
    <row r="4058" spans="27:32" ht="15">
      <c r="AA4058" s="463" t="s">
        <v>13221</v>
      </c>
      <c r="AB4058" s="462" t="s">
        <v>13222</v>
      </c>
      <c r="AC4058" s="462" t="s">
        <v>13223</v>
      </c>
      <c r="AD4058" s="464">
        <v>1643.4192700000001</v>
      </c>
      <c r="AE4058" s="465">
        <v>71.487380000000002</v>
      </c>
      <c r="AF4058" s="86">
        <f>IF(verze!$E$1="CZK",AD4058,IF(verze!$E$1="SK",AE4058,""))</f>
        <v>71.487380000000002</v>
      </c>
    </row>
    <row r="4059" spans="27:32" ht="15">
      <c r="AA4059" s="463" t="s">
        <v>13224</v>
      </c>
      <c r="AB4059" s="462" t="s">
        <v>13225</v>
      </c>
      <c r="AC4059" s="462" t="s">
        <v>13226</v>
      </c>
      <c r="AD4059" s="464">
        <v>1643.4192700000001</v>
      </c>
      <c r="AE4059" s="465">
        <v>71.487380000000002</v>
      </c>
      <c r="AF4059" s="86">
        <f>IF(verze!$E$1="CZK",AD4059,IF(verze!$E$1="SK",AE4059,""))</f>
        <v>71.487380000000002</v>
      </c>
    </row>
    <row r="4060" spans="27:32" ht="15">
      <c r="AA4060" s="463" t="s">
        <v>13227</v>
      </c>
      <c r="AB4060" s="462" t="s">
        <v>13228</v>
      </c>
      <c r="AC4060" s="462" t="s">
        <v>13229</v>
      </c>
      <c r="AD4060" s="464">
        <v>1643.4192700000001</v>
      </c>
      <c r="AE4060" s="465">
        <v>71.487380000000002</v>
      </c>
      <c r="AF4060" s="86">
        <f>IF(verze!$E$1="CZK",AD4060,IF(verze!$E$1="SK",AE4060,""))</f>
        <v>71.487380000000002</v>
      </c>
    </row>
    <row r="4061" spans="27:32" ht="15">
      <c r="AA4061" s="463" t="s">
        <v>13230</v>
      </c>
      <c r="AB4061" s="462" t="s">
        <v>13231</v>
      </c>
      <c r="AC4061" s="462" t="s">
        <v>13232</v>
      </c>
      <c r="AD4061" s="464">
        <v>1643.4192700000001</v>
      </c>
      <c r="AE4061" s="465">
        <v>71.487380000000002</v>
      </c>
      <c r="AF4061" s="86">
        <f>IF(verze!$E$1="CZK",AD4061,IF(verze!$E$1="SK",AE4061,""))</f>
        <v>71.487380000000002</v>
      </c>
    </row>
    <row r="4062" spans="27:32" ht="15">
      <c r="AA4062" s="463" t="s">
        <v>13233</v>
      </c>
      <c r="AB4062" s="462" t="s">
        <v>13234</v>
      </c>
      <c r="AC4062" s="462" t="s">
        <v>13235</v>
      </c>
      <c r="AD4062" s="464">
        <v>1643.4192700000001</v>
      </c>
      <c r="AE4062" s="465">
        <v>71.487380000000002</v>
      </c>
      <c r="AF4062" s="86">
        <f>IF(verze!$E$1="CZK",AD4062,IF(verze!$E$1="SK",AE4062,""))</f>
        <v>71.487380000000002</v>
      </c>
    </row>
    <row r="4063" spans="27:32" ht="15">
      <c r="AA4063" s="463" t="s">
        <v>13236</v>
      </c>
      <c r="AB4063" s="462" t="s">
        <v>13237</v>
      </c>
      <c r="AC4063" s="462" t="s">
        <v>13238</v>
      </c>
      <c r="AD4063" s="464">
        <v>79.521389999999997</v>
      </c>
      <c r="AE4063" s="465">
        <v>3.45912</v>
      </c>
      <c r="AF4063" s="86">
        <f>IF(verze!$E$1="CZK",AD4063,IF(verze!$E$1="SK",AE4063,""))</f>
        <v>3.45912</v>
      </c>
    </row>
    <row r="4064" spans="27:32" ht="15">
      <c r="AA4064" s="463" t="s">
        <v>13239</v>
      </c>
      <c r="AB4064" s="462" t="s">
        <v>13240</v>
      </c>
      <c r="AC4064" s="462" t="s">
        <v>13241</v>
      </c>
      <c r="AD4064" s="464">
        <v>79.521389999999997</v>
      </c>
      <c r="AE4064" s="465">
        <v>3.45912</v>
      </c>
      <c r="AF4064" s="86">
        <f>IF(verze!$E$1="CZK",AD4064,IF(verze!$E$1="SK",AE4064,""))</f>
        <v>3.45912</v>
      </c>
    </row>
    <row r="4065" spans="27:32" ht="15">
      <c r="AA4065" s="463" t="s">
        <v>13242</v>
      </c>
      <c r="AB4065" s="462" t="s">
        <v>13243</v>
      </c>
      <c r="AC4065" s="462" t="s">
        <v>13244</v>
      </c>
      <c r="AD4065" s="464">
        <v>386.24227999999999</v>
      </c>
      <c r="AE4065" s="465">
        <v>16.801220000000001</v>
      </c>
      <c r="AF4065" s="86">
        <f>IF(verze!$E$1="CZK",AD4065,IF(verze!$E$1="SK",AE4065,""))</f>
        <v>16.801220000000001</v>
      </c>
    </row>
    <row r="4066" spans="27:32" ht="15">
      <c r="AA4066" s="463" t="s">
        <v>13245</v>
      </c>
      <c r="AB4066" s="462" t="s">
        <v>13246</v>
      </c>
      <c r="AC4066" s="462" t="s">
        <v>13247</v>
      </c>
      <c r="AD4066" s="464">
        <v>386.24227999999999</v>
      </c>
      <c r="AE4066" s="465">
        <v>16.801220000000001</v>
      </c>
      <c r="AF4066" s="86">
        <f>IF(verze!$E$1="CZK",AD4066,IF(verze!$E$1="SK",AE4066,""))</f>
        <v>16.801220000000001</v>
      </c>
    </row>
    <row r="4067" spans="27:32" ht="15">
      <c r="AA4067" s="463" t="s">
        <v>13248</v>
      </c>
      <c r="AB4067" s="462" t="s">
        <v>13249</v>
      </c>
      <c r="AC4067" s="462" t="s">
        <v>13250</v>
      </c>
      <c r="AD4067" s="464">
        <v>1309.6771200000001</v>
      </c>
      <c r="AE4067" s="465">
        <v>52.393610000000002</v>
      </c>
      <c r="AF4067" s="86">
        <f>IF(verze!$E$1="CZK",AD4067,IF(verze!$E$1="SK",AE4067,""))</f>
        <v>52.393610000000002</v>
      </c>
    </row>
    <row r="4068" spans="27:32" ht="15">
      <c r="AA4068" s="463" t="s">
        <v>13251</v>
      </c>
      <c r="AB4068" s="462" t="s">
        <v>13252</v>
      </c>
      <c r="AC4068" s="462" t="s">
        <v>13253</v>
      </c>
      <c r="AD4068" s="464">
        <v>116.28798</v>
      </c>
      <c r="AE4068" s="465">
        <v>5.3274999999999997</v>
      </c>
      <c r="AF4068" s="86">
        <f>IF(verze!$E$1="CZK",AD4068,IF(verze!$E$1="SK",AE4068,""))</f>
        <v>5.3274999999999997</v>
      </c>
    </row>
    <row r="4069" spans="27:32" ht="15">
      <c r="AA4069" s="463" t="s">
        <v>13254</v>
      </c>
      <c r="AB4069" s="462" t="s">
        <v>13255</v>
      </c>
      <c r="AC4069" s="462" t="s">
        <v>13256</v>
      </c>
      <c r="AD4069" s="464">
        <v>125.53318</v>
      </c>
      <c r="AE4069" s="465">
        <v>5.7510599999999998</v>
      </c>
      <c r="AF4069" s="86">
        <f>IF(verze!$E$1="CZK",AD4069,IF(verze!$E$1="SK",AE4069,""))</f>
        <v>5.7510599999999998</v>
      </c>
    </row>
    <row r="4070" spans="27:32" ht="15">
      <c r="AA4070" s="463" t="s">
        <v>13257</v>
      </c>
      <c r="AB4070" s="462" t="s">
        <v>13258</v>
      </c>
      <c r="AC4070" s="462" t="s">
        <v>13259</v>
      </c>
      <c r="AD4070" s="464">
        <v>1524.1580799999999</v>
      </c>
      <c r="AE4070" s="465">
        <v>0</v>
      </c>
      <c r="AF4070" s="86">
        <f>IF(verze!$E$1="CZK",AD4070,IF(verze!$E$1="SK",AE4070,""))</f>
        <v>0</v>
      </c>
    </row>
    <row r="4071" spans="27:32" ht="15">
      <c r="AA4071" s="463" t="s">
        <v>13260</v>
      </c>
      <c r="AB4071" s="462" t="s">
        <v>13261</v>
      </c>
      <c r="AC4071" s="462" t="s">
        <v>13262</v>
      </c>
      <c r="AD4071" s="464">
        <v>1251.77721</v>
      </c>
      <c r="AE4071" s="465">
        <v>50.077330000000003</v>
      </c>
      <c r="AF4071" s="86">
        <f>IF(verze!$E$1="CZK",AD4071,IF(verze!$E$1="SK",AE4071,""))</f>
        <v>50.077330000000003</v>
      </c>
    </row>
    <row r="4072" spans="27:32" ht="15">
      <c r="AA4072" s="463" t="s">
        <v>13263</v>
      </c>
      <c r="AB4072" s="462" t="s">
        <v>13264</v>
      </c>
      <c r="AC4072" s="462" t="s">
        <v>13265</v>
      </c>
      <c r="AD4072" s="464">
        <v>1268.5654199999999</v>
      </c>
      <c r="AE4072" s="465">
        <v>50.748939999999997</v>
      </c>
      <c r="AF4072" s="86">
        <f>IF(verze!$E$1="CZK",AD4072,IF(verze!$E$1="SK",AE4072,""))</f>
        <v>50.748939999999997</v>
      </c>
    </row>
    <row r="4073" spans="27:32" ht="15">
      <c r="AA4073" s="463" t="s">
        <v>13266</v>
      </c>
      <c r="AB4073" s="462" t="s">
        <v>13267</v>
      </c>
      <c r="AC4073" s="462" t="s">
        <v>13268</v>
      </c>
      <c r="AD4073" s="464">
        <v>1349.86799</v>
      </c>
      <c r="AE4073" s="465">
        <v>54.001440000000002</v>
      </c>
      <c r="AF4073" s="86">
        <f>IF(verze!$E$1="CZK",AD4073,IF(verze!$E$1="SK",AE4073,""))</f>
        <v>54.001440000000002</v>
      </c>
    </row>
    <row r="4074" spans="27:32" ht="15">
      <c r="AA4074" s="463" t="s">
        <v>13269</v>
      </c>
      <c r="AB4074" s="462" t="s">
        <v>13270</v>
      </c>
      <c r="AC4074" s="462" t="s">
        <v>13271</v>
      </c>
      <c r="AD4074" s="464">
        <v>260.99360999999999</v>
      </c>
      <c r="AE4074" s="465">
        <v>10.441039999999999</v>
      </c>
      <c r="AF4074" s="86">
        <f>IF(verze!$E$1="CZK",AD4074,IF(verze!$E$1="SK",AE4074,""))</f>
        <v>10.441039999999999</v>
      </c>
    </row>
    <row r="4075" spans="27:32" ht="15">
      <c r="AA4075" s="463" t="s">
        <v>13272</v>
      </c>
      <c r="AB4075" s="462" t="s">
        <v>13273</v>
      </c>
      <c r="AC4075" s="462" t="s">
        <v>13274</v>
      </c>
      <c r="AD4075" s="464">
        <v>74.822919999999996</v>
      </c>
      <c r="AE4075" s="465">
        <v>2.99329</v>
      </c>
      <c r="AF4075" s="86">
        <f>IF(verze!$E$1="CZK",AD4075,IF(verze!$E$1="SK",AE4075,""))</f>
        <v>2.99329</v>
      </c>
    </row>
    <row r="4076" spans="27:32" ht="15">
      <c r="AA4076" s="463" t="s">
        <v>13275</v>
      </c>
      <c r="AB4076" s="462" t="s">
        <v>13276</v>
      </c>
      <c r="AC4076" s="462" t="s">
        <v>13277</v>
      </c>
      <c r="AD4076" s="464">
        <v>186.55488</v>
      </c>
      <c r="AE4076" s="465">
        <v>7.46312</v>
      </c>
      <c r="AF4076" s="86">
        <f>IF(verze!$E$1="CZK",AD4076,IF(verze!$E$1="SK",AE4076,""))</f>
        <v>7.46312</v>
      </c>
    </row>
    <row r="4077" spans="27:32" ht="15">
      <c r="AA4077" s="463" t="s">
        <v>13278</v>
      </c>
      <c r="AB4077" s="462" t="s">
        <v>13279</v>
      </c>
      <c r="AC4077" s="462" t="s">
        <v>13280</v>
      </c>
      <c r="AD4077" s="464">
        <v>520.57146</v>
      </c>
      <c r="AE4077" s="465">
        <v>20.82544</v>
      </c>
      <c r="AF4077" s="86">
        <f>IF(verze!$E$1="CZK",AD4077,IF(verze!$E$1="SK",AE4077,""))</f>
        <v>20.82544</v>
      </c>
    </row>
    <row r="4078" spans="27:32" ht="15">
      <c r="AA4078" s="463" t="s">
        <v>13281</v>
      </c>
      <c r="AB4078" s="462" t="s">
        <v>13282</v>
      </c>
      <c r="AC4078" s="462" t="s">
        <v>13283</v>
      </c>
      <c r="AD4078" s="464">
        <v>583.70006000000001</v>
      </c>
      <c r="AE4078" s="465">
        <v>23.350909999999999</v>
      </c>
      <c r="AF4078" s="86">
        <f>IF(verze!$E$1="CZK",AD4078,IF(verze!$E$1="SK",AE4078,""))</f>
        <v>23.350909999999999</v>
      </c>
    </row>
    <row r="4079" spans="27:32" ht="15">
      <c r="AA4079" s="463" t="s">
        <v>13284</v>
      </c>
      <c r="AB4079" s="462" t="s">
        <v>13285</v>
      </c>
      <c r="AC4079" s="462" t="s">
        <v>13286</v>
      </c>
      <c r="AD4079" s="464">
        <v>1319.0239999999999</v>
      </c>
      <c r="AE4079" s="465">
        <v>52.767539999999997</v>
      </c>
      <c r="AF4079" s="86">
        <f>IF(verze!$E$1="CZK",AD4079,IF(verze!$E$1="SK",AE4079,""))</f>
        <v>52.767539999999997</v>
      </c>
    </row>
    <row r="4080" spans="27:32" ht="15">
      <c r="AA4080" s="463" t="s">
        <v>13287</v>
      </c>
      <c r="AB4080" s="462" t="s">
        <v>13288</v>
      </c>
      <c r="AC4080" s="462" t="s">
        <v>13289</v>
      </c>
      <c r="AD4080" s="464">
        <v>1319.0239999999999</v>
      </c>
      <c r="AE4080" s="465">
        <v>52.767539999999997</v>
      </c>
      <c r="AF4080" s="86">
        <f>IF(verze!$E$1="CZK",AD4080,IF(verze!$E$1="SK",AE4080,""))</f>
        <v>52.767539999999997</v>
      </c>
    </row>
    <row r="4081" spans="27:32" ht="15">
      <c r="AA4081" s="463" t="s">
        <v>13290</v>
      </c>
      <c r="AB4081" s="462" t="s">
        <v>13291</v>
      </c>
      <c r="AC4081" s="462" t="s">
        <v>13292</v>
      </c>
      <c r="AD4081" s="464">
        <v>234.83577</v>
      </c>
      <c r="AE4081" s="465">
        <v>9.3946100000000001</v>
      </c>
      <c r="AF4081" s="86">
        <f>IF(verze!$E$1="CZK",AD4081,IF(verze!$E$1="SK",AE4081,""))</f>
        <v>9.3946100000000001</v>
      </c>
    </row>
    <row r="4082" spans="27:32" ht="15">
      <c r="AA4082" s="463" t="s">
        <v>13293</v>
      </c>
      <c r="AB4082" s="462" t="s">
        <v>13294</v>
      </c>
      <c r="AC4082" s="462" t="s">
        <v>13295</v>
      </c>
      <c r="AD4082" s="464">
        <v>353.77569999999997</v>
      </c>
      <c r="AE4082" s="465">
        <v>17.293859999999999</v>
      </c>
      <c r="AF4082" s="86">
        <f>IF(verze!$E$1="CZK",AD4082,IF(verze!$E$1="SK",AE4082,""))</f>
        <v>17.293859999999999</v>
      </c>
    </row>
    <row r="4083" spans="27:32" ht="15">
      <c r="AA4083" s="463" t="s">
        <v>13296</v>
      </c>
      <c r="AB4083" s="462" t="s">
        <v>13297</v>
      </c>
      <c r="AC4083" s="462" t="s">
        <v>13298</v>
      </c>
      <c r="AD4083" s="464">
        <v>353.77569999999997</v>
      </c>
      <c r="AE4083" s="465">
        <v>17.293859999999999</v>
      </c>
      <c r="AF4083" s="86">
        <f>IF(verze!$E$1="CZK",AD4083,IF(verze!$E$1="SK",AE4083,""))</f>
        <v>17.293859999999999</v>
      </c>
    </row>
    <row r="4084" spans="27:32" ht="15">
      <c r="AA4084" s="463" t="s">
        <v>13299</v>
      </c>
      <c r="AB4084" s="462" t="s">
        <v>13300</v>
      </c>
      <c r="AC4084" s="462" t="s">
        <v>13301</v>
      </c>
      <c r="AD4084" s="464">
        <v>353.77569999999997</v>
      </c>
      <c r="AE4084" s="465">
        <v>17.293859999999999</v>
      </c>
      <c r="AF4084" s="86">
        <f>IF(verze!$E$1="CZK",AD4084,IF(verze!$E$1="SK",AE4084,""))</f>
        <v>17.293859999999999</v>
      </c>
    </row>
    <row r="4085" spans="27:32" ht="15">
      <c r="AA4085" s="463" t="s">
        <v>13302</v>
      </c>
      <c r="AB4085" s="462" t="s">
        <v>13303</v>
      </c>
      <c r="AC4085" s="462" t="s">
        <v>13304</v>
      </c>
      <c r="AD4085" s="464">
        <v>438.35295000000002</v>
      </c>
      <c r="AE4085" s="465">
        <v>21.4283</v>
      </c>
      <c r="AF4085" s="86">
        <f>IF(verze!$E$1="CZK",AD4085,IF(verze!$E$1="SK",AE4085,""))</f>
        <v>21.4283</v>
      </c>
    </row>
    <row r="4086" spans="27:32" ht="15">
      <c r="AA4086" s="463" t="s">
        <v>13305</v>
      </c>
      <c r="AB4086" s="462" t="s">
        <v>13306</v>
      </c>
      <c r="AC4086" s="462" t="s">
        <v>13307</v>
      </c>
      <c r="AD4086" s="464">
        <v>451.13499000000002</v>
      </c>
      <c r="AE4086" s="465">
        <v>22.053129999999999</v>
      </c>
      <c r="AF4086" s="86">
        <f>IF(verze!$E$1="CZK",AD4086,IF(verze!$E$1="SK",AE4086,""))</f>
        <v>22.053129999999999</v>
      </c>
    </row>
    <row r="4087" spans="27:32" ht="15">
      <c r="AA4087" s="463" t="s">
        <v>13308</v>
      </c>
      <c r="AB4087" s="462" t="s">
        <v>13309</v>
      </c>
      <c r="AC4087" s="462" t="s">
        <v>13310</v>
      </c>
      <c r="AD4087" s="464">
        <v>438.35295000000002</v>
      </c>
      <c r="AE4087" s="465">
        <v>21.4283</v>
      </c>
      <c r="AF4087" s="86">
        <f>IF(verze!$E$1="CZK",AD4087,IF(verze!$E$1="SK",AE4087,""))</f>
        <v>21.4283</v>
      </c>
    </row>
    <row r="4088" spans="27:32" ht="15">
      <c r="AA4088" s="463" t="s">
        <v>13311</v>
      </c>
      <c r="AB4088" s="462" t="s">
        <v>13312</v>
      </c>
      <c r="AC4088" s="462" t="s">
        <v>13313</v>
      </c>
      <c r="AD4088" s="464">
        <v>451.13499000000002</v>
      </c>
      <c r="AE4088" s="465">
        <v>22.053129999999999</v>
      </c>
      <c r="AF4088" s="86">
        <f>IF(verze!$E$1="CZK",AD4088,IF(verze!$E$1="SK",AE4088,""))</f>
        <v>22.053129999999999</v>
      </c>
    </row>
    <row r="4089" spans="27:32" ht="15">
      <c r="AA4089" s="463" t="s">
        <v>13314</v>
      </c>
      <c r="AB4089" s="462" t="s">
        <v>13315</v>
      </c>
      <c r="AC4089" s="462" t="s">
        <v>13316</v>
      </c>
      <c r="AD4089" s="464">
        <v>438.35295000000002</v>
      </c>
      <c r="AE4089" s="465">
        <v>21.4283</v>
      </c>
      <c r="AF4089" s="86">
        <f>IF(verze!$E$1="CZK",AD4089,IF(verze!$E$1="SK",AE4089,""))</f>
        <v>21.4283</v>
      </c>
    </row>
    <row r="4090" spans="27:32" ht="15">
      <c r="AA4090" s="463" t="s">
        <v>13317</v>
      </c>
      <c r="AB4090" s="462" t="s">
        <v>13318</v>
      </c>
      <c r="AC4090" s="462" t="s">
        <v>13319</v>
      </c>
      <c r="AD4090" s="464">
        <v>451.13499000000002</v>
      </c>
      <c r="AE4090" s="465">
        <v>22.053129999999999</v>
      </c>
      <c r="AF4090" s="86">
        <f>IF(verze!$E$1="CZK",AD4090,IF(verze!$E$1="SK",AE4090,""))</f>
        <v>22.053129999999999</v>
      </c>
    </row>
    <row r="4091" spans="27:32" ht="15">
      <c r="AA4091" s="463" t="s">
        <v>13320</v>
      </c>
      <c r="AB4091" s="462" t="s">
        <v>13321</v>
      </c>
      <c r="AC4091" s="462" t="s">
        <v>13322</v>
      </c>
      <c r="AD4091" s="464">
        <v>437.66820999999999</v>
      </c>
      <c r="AE4091" s="465">
        <v>21.0534</v>
      </c>
      <c r="AF4091" s="86">
        <f>IF(verze!$E$1="CZK",AD4091,IF(verze!$E$1="SK",AE4091,""))</f>
        <v>21.0534</v>
      </c>
    </row>
    <row r="4092" spans="27:32" ht="15">
      <c r="AA4092" s="463" t="s">
        <v>13323</v>
      </c>
      <c r="AB4092" s="462" t="s">
        <v>13324</v>
      </c>
      <c r="AC4092" s="462" t="s">
        <v>13325</v>
      </c>
      <c r="AD4092" s="464">
        <v>450.65764000000001</v>
      </c>
      <c r="AE4092" s="465">
        <v>21.678260000000002</v>
      </c>
      <c r="AF4092" s="86">
        <f>IF(verze!$E$1="CZK",AD4092,IF(verze!$E$1="SK",AE4092,""))</f>
        <v>21.678260000000002</v>
      </c>
    </row>
    <row r="4093" spans="27:32" ht="15">
      <c r="AA4093" s="463" t="s">
        <v>13326</v>
      </c>
      <c r="AB4093" s="462" t="s">
        <v>13327</v>
      </c>
      <c r="AC4093" s="462" t="s">
        <v>13328</v>
      </c>
      <c r="AD4093" s="464">
        <v>437.66820999999999</v>
      </c>
      <c r="AE4093" s="465">
        <v>21.0534</v>
      </c>
      <c r="AF4093" s="86">
        <f>IF(verze!$E$1="CZK",AD4093,IF(verze!$E$1="SK",AE4093,""))</f>
        <v>21.0534</v>
      </c>
    </row>
    <row r="4094" spans="27:32" ht="15">
      <c r="AA4094" s="463" t="s">
        <v>13329</v>
      </c>
      <c r="AB4094" s="462" t="s">
        <v>13330</v>
      </c>
      <c r="AC4094" s="462" t="s">
        <v>13331</v>
      </c>
      <c r="AD4094" s="464">
        <v>450.65764000000001</v>
      </c>
      <c r="AE4094" s="465">
        <v>21.678260000000002</v>
      </c>
      <c r="AF4094" s="86">
        <f>IF(verze!$E$1="CZK",AD4094,IF(verze!$E$1="SK",AE4094,""))</f>
        <v>21.678260000000002</v>
      </c>
    </row>
    <row r="4095" spans="27:32" ht="15">
      <c r="AA4095" s="463" t="s">
        <v>13332</v>
      </c>
      <c r="AB4095" s="462" t="s">
        <v>13333</v>
      </c>
      <c r="AC4095" s="462" t="s">
        <v>13334</v>
      </c>
      <c r="AD4095" s="464">
        <v>437.66820999999999</v>
      </c>
      <c r="AE4095" s="465">
        <v>21.0534</v>
      </c>
      <c r="AF4095" s="86">
        <f>IF(verze!$E$1="CZK",AD4095,IF(verze!$E$1="SK",AE4095,""))</f>
        <v>21.0534</v>
      </c>
    </row>
    <row r="4096" spans="27:32" ht="15">
      <c r="AA4096" s="463" t="s">
        <v>13335</v>
      </c>
      <c r="AB4096" s="462" t="s">
        <v>13336</v>
      </c>
      <c r="AC4096" s="462" t="s">
        <v>13337</v>
      </c>
      <c r="AD4096" s="464">
        <v>450.65764000000001</v>
      </c>
      <c r="AE4096" s="465">
        <v>21.678260000000002</v>
      </c>
      <c r="AF4096" s="86">
        <f>IF(verze!$E$1="CZK",AD4096,IF(verze!$E$1="SK",AE4096,""))</f>
        <v>21.678260000000002</v>
      </c>
    </row>
    <row r="4097" spans="27:32" ht="15">
      <c r="AA4097" s="463" t="s">
        <v>13338</v>
      </c>
      <c r="AB4097" s="462" t="s">
        <v>13339</v>
      </c>
      <c r="AC4097" s="462" t="s">
        <v>13340</v>
      </c>
      <c r="AD4097" s="464">
        <v>1071.7399700000001</v>
      </c>
      <c r="AE4097" s="465">
        <v>49.099580000000003</v>
      </c>
      <c r="AF4097" s="86">
        <f>IF(verze!$E$1="CZK",AD4097,IF(verze!$E$1="SK",AE4097,""))</f>
        <v>49.099580000000003</v>
      </c>
    </row>
    <row r="4098" spans="27:32" ht="15">
      <c r="AA4098" s="463" t="s">
        <v>13341</v>
      </c>
      <c r="AB4098" s="462" t="s">
        <v>13342</v>
      </c>
      <c r="AC4098" s="462" t="s">
        <v>13343</v>
      </c>
      <c r="AD4098" s="464">
        <v>535.87599</v>
      </c>
      <c r="AE4098" s="465">
        <v>24.550080000000001</v>
      </c>
      <c r="AF4098" s="86">
        <f>IF(verze!$E$1="CZK",AD4098,IF(verze!$E$1="SK",AE4098,""))</f>
        <v>24.550080000000001</v>
      </c>
    </row>
    <row r="4099" spans="27:32" ht="15">
      <c r="AA4099" s="463" t="s">
        <v>13344</v>
      </c>
      <c r="AB4099" s="462" t="s">
        <v>13345</v>
      </c>
      <c r="AC4099" s="462" t="s">
        <v>13346</v>
      </c>
      <c r="AD4099" s="464">
        <v>338.78471999999999</v>
      </c>
      <c r="AE4099" s="465">
        <v>15.52074</v>
      </c>
      <c r="AF4099" s="86">
        <f>IF(verze!$E$1="CZK",AD4099,IF(verze!$E$1="SK",AE4099,""))</f>
        <v>15.52074</v>
      </c>
    </row>
    <row r="4100" spans="27:32" ht="15">
      <c r="AA4100" s="463" t="s">
        <v>13347</v>
      </c>
      <c r="AB4100" s="462" t="s">
        <v>13348</v>
      </c>
      <c r="AC4100" s="462" t="s">
        <v>13349</v>
      </c>
      <c r="AD4100" s="464">
        <v>444.51526999999999</v>
      </c>
      <c r="AE4100" s="465">
        <v>20.364560000000001</v>
      </c>
      <c r="AF4100" s="86">
        <f>IF(verze!$E$1="CZK",AD4100,IF(verze!$E$1="SK",AE4100,""))</f>
        <v>20.364560000000001</v>
      </c>
    </row>
    <row r="4101" spans="27:32" ht="15">
      <c r="AA4101" s="463" t="s">
        <v>13350</v>
      </c>
      <c r="AB4101" s="462" t="s">
        <v>13351</v>
      </c>
      <c r="AC4101" s="462" t="s">
        <v>13352</v>
      </c>
      <c r="AD4101" s="464">
        <v>539.11737000000005</v>
      </c>
      <c r="AE4101" s="465">
        <v>24.698560000000001</v>
      </c>
      <c r="AF4101" s="86">
        <f>IF(verze!$E$1="CZK",AD4101,IF(verze!$E$1="SK",AE4101,""))</f>
        <v>24.698560000000001</v>
      </c>
    </row>
    <row r="4102" spans="27:32" ht="15">
      <c r="AA4102" s="463" t="s">
        <v>13353</v>
      </c>
      <c r="AB4102" s="462" t="s">
        <v>13354</v>
      </c>
      <c r="AC4102" s="462" t="s">
        <v>13355</v>
      </c>
      <c r="AD4102" s="464">
        <v>609.76129000000003</v>
      </c>
      <c r="AE4102" s="465">
        <v>27.93496</v>
      </c>
      <c r="AF4102" s="86">
        <f>IF(verze!$E$1="CZK",AD4102,IF(verze!$E$1="SK",AE4102,""))</f>
        <v>27.93496</v>
      </c>
    </row>
    <row r="4103" spans="27:32" ht="15">
      <c r="AA4103" s="463" t="s">
        <v>13356</v>
      </c>
      <c r="AB4103" s="462" t="s">
        <v>13357</v>
      </c>
      <c r="AC4103" s="462" t="s">
        <v>13358</v>
      </c>
      <c r="AD4103" s="464">
        <v>807.46942000000001</v>
      </c>
      <c r="AE4103" s="465">
        <v>36.992579999999997</v>
      </c>
      <c r="AF4103" s="86">
        <f>IF(verze!$E$1="CZK",AD4103,IF(verze!$E$1="SK",AE4103,""))</f>
        <v>36.992579999999997</v>
      </c>
    </row>
    <row r="4104" spans="27:32" ht="15">
      <c r="AA4104" s="463" t="s">
        <v>13359</v>
      </c>
      <c r="AB4104" s="462" t="s">
        <v>13360</v>
      </c>
      <c r="AC4104" s="462" t="s">
        <v>13361</v>
      </c>
      <c r="AD4104" s="464">
        <v>887.81080999999995</v>
      </c>
      <c r="AE4104" s="465">
        <v>40.67324</v>
      </c>
      <c r="AF4104" s="86">
        <f>IF(verze!$E$1="CZK",AD4104,IF(verze!$E$1="SK",AE4104,""))</f>
        <v>40.67324</v>
      </c>
    </row>
    <row r="4105" spans="27:32" ht="15">
      <c r="AA4105" s="463" t="s">
        <v>13362</v>
      </c>
      <c r="AB4105" s="462" t="s">
        <v>13363</v>
      </c>
      <c r="AC4105" s="462" t="s">
        <v>13364</v>
      </c>
      <c r="AD4105" s="464">
        <v>368.83722</v>
      </c>
      <c r="AE4105" s="465">
        <v>16.89752</v>
      </c>
      <c r="AF4105" s="86">
        <f>IF(verze!$E$1="CZK",AD4105,IF(verze!$E$1="SK",AE4105,""))</f>
        <v>16.89752</v>
      </c>
    </row>
    <row r="4106" spans="27:32" ht="15">
      <c r="AA4106" s="463" t="s">
        <v>13365</v>
      </c>
      <c r="AB4106" s="462" t="s">
        <v>13366</v>
      </c>
      <c r="AC4106" s="462" t="s">
        <v>13367</v>
      </c>
      <c r="AD4106" s="464">
        <v>759.51220000000001</v>
      </c>
      <c r="AE4106" s="465">
        <v>34.795499999999997</v>
      </c>
      <c r="AF4106" s="86">
        <f>IF(verze!$E$1="CZK",AD4106,IF(verze!$E$1="SK",AE4106,""))</f>
        <v>34.795499999999997</v>
      </c>
    </row>
    <row r="4107" spans="27:32" ht="15">
      <c r="AA4107" s="463" t="s">
        <v>13368</v>
      </c>
      <c r="AB4107" s="462" t="s">
        <v>13369</v>
      </c>
      <c r="AC4107" s="462" t="s">
        <v>13370</v>
      </c>
      <c r="AD4107" s="464">
        <v>1328.7302299999999</v>
      </c>
      <c r="AE4107" s="465">
        <v>60.873080000000002</v>
      </c>
      <c r="AF4107" s="86">
        <f>IF(verze!$E$1="CZK",AD4107,IF(verze!$E$1="SK",AE4107,""))</f>
        <v>60.873080000000002</v>
      </c>
    </row>
    <row r="4108" spans="27:32" ht="15">
      <c r="AA4108" s="463" t="s">
        <v>13371</v>
      </c>
      <c r="AB4108" s="462" t="s">
        <v>13372</v>
      </c>
      <c r="AC4108" s="462" t="s">
        <v>13373</v>
      </c>
      <c r="AD4108" s="464">
        <v>523.41090999999994</v>
      </c>
      <c r="AE4108" s="465">
        <v>23.978999999999999</v>
      </c>
      <c r="AF4108" s="86">
        <f>IF(verze!$E$1="CZK",AD4108,IF(verze!$E$1="SK",AE4108,""))</f>
        <v>23.978999999999999</v>
      </c>
    </row>
    <row r="4109" spans="27:32" ht="15">
      <c r="AA4109" s="463" t="s">
        <v>13374</v>
      </c>
      <c r="AB4109" s="462" t="s">
        <v>13375</v>
      </c>
      <c r="AC4109" s="462" t="s">
        <v>13376</v>
      </c>
      <c r="AD4109" s="464">
        <v>475.82808999999997</v>
      </c>
      <c r="AE4109" s="465">
        <v>21.79908</v>
      </c>
      <c r="AF4109" s="86">
        <f>IF(verze!$E$1="CZK",AD4109,IF(verze!$E$1="SK",AE4109,""))</f>
        <v>21.79908</v>
      </c>
    </row>
    <row r="4110" spans="27:32" ht="15">
      <c r="AA4110" s="463" t="s">
        <v>13377</v>
      </c>
      <c r="AB4110" s="462" t="s">
        <v>13378</v>
      </c>
      <c r="AC4110" s="462" t="s">
        <v>13379</v>
      </c>
      <c r="AD4110" s="464">
        <v>523.41090999999994</v>
      </c>
      <c r="AE4110" s="465">
        <v>23.978999999999999</v>
      </c>
      <c r="AF4110" s="86">
        <f>IF(verze!$E$1="CZK",AD4110,IF(verze!$E$1="SK",AE4110,""))</f>
        <v>23.978999999999999</v>
      </c>
    </row>
    <row r="4111" spans="27:32" ht="15">
      <c r="AA4111" s="463" t="s">
        <v>13380</v>
      </c>
      <c r="AB4111" s="462" t="s">
        <v>13381</v>
      </c>
      <c r="AC4111" s="462" t="s">
        <v>13382</v>
      </c>
      <c r="AD4111" s="464">
        <v>475.82808999999997</v>
      </c>
      <c r="AE4111" s="465">
        <v>21.79908</v>
      </c>
      <c r="AF4111" s="86">
        <f>IF(verze!$E$1="CZK",AD4111,IF(verze!$E$1="SK",AE4111,""))</f>
        <v>21.79908</v>
      </c>
    </row>
    <row r="4112" spans="27:32" ht="15">
      <c r="AA4112" s="463" t="s">
        <v>13383</v>
      </c>
      <c r="AB4112" s="462" t="s">
        <v>13384</v>
      </c>
      <c r="AC4112" s="462" t="s">
        <v>13385</v>
      </c>
      <c r="AD4112" s="464">
        <v>338.94407000000001</v>
      </c>
      <c r="AE4112" s="465">
        <v>15.528040000000001</v>
      </c>
      <c r="AF4112" s="86">
        <f>IF(verze!$E$1="CZK",AD4112,IF(verze!$E$1="SK",AE4112,""))</f>
        <v>15.528040000000001</v>
      </c>
    </row>
    <row r="4113" spans="27:32" ht="15">
      <c r="AA4113" s="463" t="s">
        <v>13386</v>
      </c>
      <c r="AB4113" s="462" t="s">
        <v>13387</v>
      </c>
      <c r="AC4113" s="462" t="s">
        <v>13388</v>
      </c>
      <c r="AD4113" s="464">
        <v>1535.38958</v>
      </c>
      <c r="AE4113" s="465">
        <v>61.423229999999997</v>
      </c>
      <c r="AF4113" s="86">
        <f>IF(verze!$E$1="CZK",AD4113,IF(verze!$E$1="SK",AE4113,""))</f>
        <v>61.423229999999997</v>
      </c>
    </row>
    <row r="4114" spans="27:32" ht="15">
      <c r="AA4114" s="463" t="s">
        <v>13386</v>
      </c>
      <c r="AB4114" s="462" t="s">
        <v>13389</v>
      </c>
      <c r="AC4114" s="462" t="s">
        <v>13390</v>
      </c>
      <c r="AD4114" s="464">
        <v>580.48815000000002</v>
      </c>
      <c r="AE4114" s="465">
        <v>23.285869999999999</v>
      </c>
      <c r="AF4114" s="86">
        <f>IF(verze!$E$1="CZK",AD4114,IF(verze!$E$1="SK",AE4114,""))</f>
        <v>23.285869999999999</v>
      </c>
    </row>
    <row r="4115" spans="27:32" ht="15">
      <c r="AA4115" s="463" t="s">
        <v>13391</v>
      </c>
      <c r="AB4115" s="462" t="s">
        <v>13392</v>
      </c>
      <c r="AC4115" s="462" t="s">
        <v>13393</v>
      </c>
      <c r="AD4115" s="464">
        <v>247.93525</v>
      </c>
      <c r="AE4115" s="465">
        <v>10.928739999999999</v>
      </c>
      <c r="AF4115" s="86">
        <f>IF(verze!$E$1="CZK",AD4115,IF(verze!$E$1="SK",AE4115,""))</f>
        <v>10.928739999999999</v>
      </c>
    </row>
    <row r="4116" spans="27:32" ht="15">
      <c r="AA4116" s="463" t="s">
        <v>13394</v>
      </c>
      <c r="AB4116" s="462" t="s">
        <v>13395</v>
      </c>
      <c r="AC4116" s="462" t="s">
        <v>13396</v>
      </c>
      <c r="AD4116" s="464">
        <v>235.65928</v>
      </c>
      <c r="AE4116" s="465">
        <v>10.38762</v>
      </c>
      <c r="AF4116" s="86">
        <f>IF(verze!$E$1="CZK",AD4116,IF(verze!$E$1="SK",AE4116,""))</f>
        <v>10.38762</v>
      </c>
    </row>
    <row r="4117" spans="27:32" ht="15">
      <c r="AA4117" s="463" t="s">
        <v>13397</v>
      </c>
      <c r="AB4117" s="462" t="s">
        <v>13398</v>
      </c>
      <c r="AC4117" s="462" t="s">
        <v>13399</v>
      </c>
      <c r="AD4117" s="464">
        <v>4328.3798399999996</v>
      </c>
      <c r="AE4117" s="465">
        <v>198.29588000000001</v>
      </c>
      <c r="AF4117" s="86">
        <f>IF(verze!$E$1="CZK",AD4117,IF(verze!$E$1="SK",AE4117,""))</f>
        <v>198.29588000000001</v>
      </c>
    </row>
    <row r="4118" spans="27:32" ht="15">
      <c r="AA4118" s="463" t="s">
        <v>13400</v>
      </c>
      <c r="AB4118" s="462" t="s">
        <v>13401</v>
      </c>
      <c r="AC4118" s="462" t="s">
        <v>13402</v>
      </c>
      <c r="AD4118" s="464">
        <v>4139.8428700000004</v>
      </c>
      <c r="AE4118" s="465">
        <v>189.65845999999999</v>
      </c>
      <c r="AF4118" s="86">
        <f>IF(verze!$E$1="CZK",AD4118,IF(verze!$E$1="SK",AE4118,""))</f>
        <v>189.65845999999999</v>
      </c>
    </row>
    <row r="4119" spans="27:32" ht="15">
      <c r="AA4119" s="463" t="s">
        <v>13403</v>
      </c>
      <c r="AB4119" s="462" t="s">
        <v>13404</v>
      </c>
      <c r="AC4119" s="462" t="s">
        <v>13405</v>
      </c>
      <c r="AD4119" s="464">
        <v>2339.1756</v>
      </c>
      <c r="AE4119" s="465">
        <v>107.16455999999999</v>
      </c>
      <c r="AF4119" s="86">
        <f>IF(verze!$E$1="CZK",AD4119,IF(verze!$E$1="SK",AE4119,""))</f>
        <v>107.16455999999999</v>
      </c>
    </row>
    <row r="4120" spans="27:32" ht="15">
      <c r="AA4120" s="463" t="s">
        <v>13406</v>
      </c>
      <c r="AB4120" s="462" t="s">
        <v>13407</v>
      </c>
      <c r="AC4120" s="462" t="s">
        <v>13408</v>
      </c>
      <c r="AD4120" s="464">
        <v>3831.6413899999998</v>
      </c>
      <c r="AE4120" s="465">
        <v>175.53883999999999</v>
      </c>
      <c r="AF4120" s="86">
        <f>IF(verze!$E$1="CZK",AD4120,IF(verze!$E$1="SK",AE4120,""))</f>
        <v>175.53883999999999</v>
      </c>
    </row>
    <row r="4121" spans="27:32" ht="15">
      <c r="AA4121" s="463" t="s">
        <v>13409</v>
      </c>
      <c r="AB4121" s="462" t="s">
        <v>13410</v>
      </c>
      <c r="AC4121" s="462" t="s">
        <v>13411</v>
      </c>
      <c r="AD4121" s="464">
        <v>3512.1544100000001</v>
      </c>
      <c r="AE4121" s="465">
        <v>160.90217999999999</v>
      </c>
      <c r="AF4121" s="86">
        <f>IF(verze!$E$1="CZK",AD4121,IF(verze!$E$1="SK",AE4121,""))</f>
        <v>160.90217999999999</v>
      </c>
    </row>
    <row r="4122" spans="27:32" ht="15">
      <c r="AA4122" s="463" t="s">
        <v>13412</v>
      </c>
      <c r="AB4122" s="462" t="s">
        <v>13413</v>
      </c>
      <c r="AC4122" s="462" t="s">
        <v>13414</v>
      </c>
      <c r="AD4122" s="464">
        <v>2715.1153599999998</v>
      </c>
      <c r="AE4122" s="465">
        <v>124.38748</v>
      </c>
      <c r="AF4122" s="86">
        <f>IF(verze!$E$1="CZK",AD4122,IF(verze!$E$1="SK",AE4122,""))</f>
        <v>124.38748</v>
      </c>
    </row>
    <row r="4123" spans="27:32" ht="15">
      <c r="AA4123" s="463" t="s">
        <v>13415</v>
      </c>
      <c r="AB4123" s="462" t="s">
        <v>13416</v>
      </c>
      <c r="AC4123" s="462" t="s">
        <v>13417</v>
      </c>
      <c r="AD4123" s="464">
        <v>14315.034019999999</v>
      </c>
      <c r="AE4123" s="465">
        <v>655.81407999999999</v>
      </c>
      <c r="AF4123" s="86">
        <f>IF(verze!$E$1="CZK",AD4123,IF(verze!$E$1="SK",AE4123,""))</f>
        <v>655.81407999999999</v>
      </c>
    </row>
    <row r="4124" spans="27:32" ht="15">
      <c r="AA4124" s="463" t="s">
        <v>13418</v>
      </c>
      <c r="AB4124" s="462" t="s">
        <v>13419</v>
      </c>
      <c r="AC4124" s="462" t="s">
        <v>13420</v>
      </c>
      <c r="AD4124" s="464">
        <v>4753.3323300000002</v>
      </c>
      <c r="AE4124" s="465">
        <v>228.65243000000001</v>
      </c>
      <c r="AF4124" s="86">
        <f>IF(verze!$E$1="CZK",AD4124,IF(verze!$E$1="SK",AE4124,""))</f>
        <v>228.65243000000001</v>
      </c>
    </row>
    <row r="4125" spans="27:32" ht="15">
      <c r="AA4125" s="463" t="s">
        <v>13421</v>
      </c>
      <c r="AB4125" s="462" t="s">
        <v>13422</v>
      </c>
      <c r="AC4125" s="462" t="s">
        <v>13423</v>
      </c>
      <c r="AD4125" s="464">
        <v>4753.3323300000002</v>
      </c>
      <c r="AE4125" s="465">
        <v>217.76421999999999</v>
      </c>
      <c r="AF4125" s="86">
        <f>IF(verze!$E$1="CZK",AD4125,IF(verze!$E$1="SK",AE4125,""))</f>
        <v>217.76421999999999</v>
      </c>
    </row>
    <row r="4126" spans="27:32" ht="15">
      <c r="AA4126" s="463" t="s">
        <v>13424</v>
      </c>
      <c r="AB4126" s="462" t="s">
        <v>13425</v>
      </c>
      <c r="AC4126" s="462" t="s">
        <v>13426</v>
      </c>
      <c r="AD4126" s="464">
        <v>2136.2272499999999</v>
      </c>
      <c r="AE4126" s="465">
        <v>97.866900000000001</v>
      </c>
      <c r="AF4126" s="86">
        <f>IF(verze!$E$1="CZK",AD4126,IF(verze!$E$1="SK",AE4126,""))</f>
        <v>97.866900000000001</v>
      </c>
    </row>
    <row r="4127" spans="27:32" ht="15">
      <c r="AA4127" s="463" t="s">
        <v>13427</v>
      </c>
      <c r="AB4127" s="462" t="s">
        <v>13428</v>
      </c>
      <c r="AC4127" s="462" t="s">
        <v>13429</v>
      </c>
      <c r="AD4127" s="464">
        <v>206.45661999999999</v>
      </c>
      <c r="AE4127" s="465">
        <v>9.45838</v>
      </c>
      <c r="AF4127" s="86">
        <f>IF(verze!$E$1="CZK",AD4127,IF(verze!$E$1="SK",AE4127,""))</f>
        <v>9.45838</v>
      </c>
    </row>
    <row r="4128" spans="27:32" ht="15">
      <c r="AA4128" s="463" t="s">
        <v>13430</v>
      </c>
      <c r="AB4128" s="462" t="s">
        <v>13431</v>
      </c>
      <c r="AC4128" s="462" t="s">
        <v>13432</v>
      </c>
      <c r="AD4128" s="464">
        <v>402.67455000000001</v>
      </c>
      <c r="AE4128" s="465">
        <v>18.447700000000001</v>
      </c>
      <c r="AF4128" s="86">
        <f>IF(verze!$E$1="CZK",AD4128,IF(verze!$E$1="SK",AE4128,""))</f>
        <v>18.447700000000001</v>
      </c>
    </row>
    <row r="4129" spans="27:32" ht="15">
      <c r="AA4129" s="463" t="s">
        <v>13433</v>
      </c>
      <c r="AB4129" s="462" t="s">
        <v>13434</v>
      </c>
      <c r="AC4129" s="462" t="s">
        <v>13435</v>
      </c>
      <c r="AD4129" s="464">
        <v>320.12743</v>
      </c>
      <c r="AE4129" s="465">
        <v>14.665979999999999</v>
      </c>
      <c r="AF4129" s="86">
        <f>IF(verze!$E$1="CZK",AD4129,IF(verze!$E$1="SK",AE4129,""))</f>
        <v>14.665979999999999</v>
      </c>
    </row>
    <row r="4130" spans="27:32" ht="15">
      <c r="AA4130" s="463" t="s">
        <v>13436</v>
      </c>
      <c r="AB4130" s="462" t="s">
        <v>13437</v>
      </c>
      <c r="AC4130" s="462" t="s">
        <v>13438</v>
      </c>
      <c r="AD4130" s="464">
        <v>123.01985000000001</v>
      </c>
      <c r="AE4130" s="465">
        <v>5.6359000000000004</v>
      </c>
      <c r="AF4130" s="86">
        <f>IF(verze!$E$1="CZK",AD4130,IF(verze!$E$1="SK",AE4130,""))</f>
        <v>5.6359000000000004</v>
      </c>
    </row>
    <row r="4131" spans="27:32" ht="15">
      <c r="AA4131" s="463" t="s">
        <v>13439</v>
      </c>
      <c r="AB4131" s="462" t="s">
        <v>13440</v>
      </c>
      <c r="AC4131" s="462" t="s">
        <v>13441</v>
      </c>
      <c r="AD4131" s="464">
        <v>123.01985000000001</v>
      </c>
      <c r="AE4131" s="465">
        <v>5.6359000000000004</v>
      </c>
      <c r="AF4131" s="86">
        <f>IF(verze!$E$1="CZK",AD4131,IF(verze!$E$1="SK",AE4131,""))</f>
        <v>5.6359000000000004</v>
      </c>
    </row>
    <row r="4132" spans="27:32" ht="15">
      <c r="AA4132" s="463" t="s">
        <v>13442</v>
      </c>
      <c r="AB4132" s="462" t="s">
        <v>13443</v>
      </c>
      <c r="AC4132" s="462" t="s">
        <v>13444</v>
      </c>
      <c r="AD4132" s="464">
        <v>332.69416000000001</v>
      </c>
      <c r="AE4132" s="465">
        <v>15.2417</v>
      </c>
      <c r="AF4132" s="86">
        <f>IF(verze!$E$1="CZK",AD4132,IF(verze!$E$1="SK",AE4132,""))</f>
        <v>15.2417</v>
      </c>
    </row>
    <row r="4133" spans="27:32" ht="15">
      <c r="AA4133" s="463" t="s">
        <v>13445</v>
      </c>
      <c r="AB4133" s="462" t="s">
        <v>13446</v>
      </c>
      <c r="AC4133" s="462" t="s">
        <v>13447</v>
      </c>
      <c r="AD4133" s="464">
        <v>371.81761999999998</v>
      </c>
      <c r="AE4133" s="465">
        <v>17.034079999999999</v>
      </c>
      <c r="AF4133" s="86">
        <f>IF(verze!$E$1="CZK",AD4133,IF(verze!$E$1="SK",AE4133,""))</f>
        <v>17.034079999999999</v>
      </c>
    </row>
    <row r="4134" spans="27:32" ht="15">
      <c r="AA4134" s="463" t="s">
        <v>13448</v>
      </c>
      <c r="AB4134" s="462" t="s">
        <v>13449</v>
      </c>
      <c r="AC4134" s="462" t="s">
        <v>13450</v>
      </c>
      <c r="AD4134" s="464">
        <v>384.47325000000001</v>
      </c>
      <c r="AE4134" s="465">
        <v>17.613859999999999</v>
      </c>
      <c r="AF4134" s="86">
        <f>IF(verze!$E$1="CZK",AD4134,IF(verze!$E$1="SK",AE4134,""))</f>
        <v>17.613859999999999</v>
      </c>
    </row>
    <row r="4135" spans="27:32" ht="15">
      <c r="AA4135" s="463" t="s">
        <v>13451</v>
      </c>
      <c r="AB4135" s="462" t="s">
        <v>13452</v>
      </c>
      <c r="AC4135" s="462" t="s">
        <v>13453</v>
      </c>
      <c r="AD4135" s="464">
        <v>326.41820000000001</v>
      </c>
      <c r="AE4135" s="465">
        <v>14.954179999999999</v>
      </c>
      <c r="AF4135" s="86">
        <f>IF(verze!$E$1="CZK",AD4135,IF(verze!$E$1="SK",AE4135,""))</f>
        <v>14.954179999999999</v>
      </c>
    </row>
    <row r="4136" spans="27:32" ht="15">
      <c r="AA4136" s="463" t="s">
        <v>13454</v>
      </c>
      <c r="AB4136" s="462" t="s">
        <v>13455</v>
      </c>
      <c r="AC4136" s="462" t="s">
        <v>13456</v>
      </c>
      <c r="AD4136" s="464">
        <v>363.62151999999998</v>
      </c>
      <c r="AE4136" s="465">
        <v>16.658580000000001</v>
      </c>
      <c r="AF4136" s="86">
        <f>IF(verze!$E$1="CZK",AD4136,IF(verze!$E$1="SK",AE4136,""))</f>
        <v>16.658580000000001</v>
      </c>
    </row>
    <row r="4137" spans="27:32" ht="15">
      <c r="AA4137" s="463" t="s">
        <v>13457</v>
      </c>
      <c r="AB4137" s="462" t="s">
        <v>13458</v>
      </c>
      <c r="AC4137" s="462" t="s">
        <v>13459</v>
      </c>
      <c r="AD4137" s="464">
        <v>379.25382999999999</v>
      </c>
      <c r="AE4137" s="465">
        <v>17.374739999999999</v>
      </c>
      <c r="AF4137" s="86">
        <f>IF(verze!$E$1="CZK",AD4137,IF(verze!$E$1="SK",AE4137,""))</f>
        <v>17.374739999999999</v>
      </c>
    </row>
    <row r="4138" spans="27:32" ht="15">
      <c r="AA4138" s="463" t="s">
        <v>13460</v>
      </c>
      <c r="AB4138" s="462" t="s">
        <v>13461</v>
      </c>
      <c r="AC4138" s="462" t="s">
        <v>13462</v>
      </c>
      <c r="AD4138" s="464">
        <v>245.86183</v>
      </c>
      <c r="AE4138" s="465">
        <v>11.26366</v>
      </c>
      <c r="AF4138" s="86">
        <f>IF(verze!$E$1="CZK",AD4138,IF(verze!$E$1="SK",AE4138,""))</f>
        <v>11.26366</v>
      </c>
    </row>
    <row r="4139" spans="27:32" ht="15">
      <c r="AA4139" s="463" t="s">
        <v>13463</v>
      </c>
      <c r="AB4139" s="462" t="s">
        <v>13464</v>
      </c>
      <c r="AC4139" s="462" t="s">
        <v>13465</v>
      </c>
      <c r="AD4139" s="464">
        <v>304.93623000000002</v>
      </c>
      <c r="AE4139" s="465">
        <v>13.97002</v>
      </c>
      <c r="AF4139" s="86">
        <f>IF(verze!$E$1="CZK",AD4139,IF(verze!$E$1="SK",AE4139,""))</f>
        <v>13.97002</v>
      </c>
    </row>
    <row r="4140" spans="27:32" ht="15">
      <c r="AA4140" s="463" t="s">
        <v>13466</v>
      </c>
      <c r="AB4140" s="462" t="s">
        <v>13467</v>
      </c>
      <c r="AC4140" s="462" t="s">
        <v>13468</v>
      </c>
      <c r="AD4140" s="464">
        <v>331.73770999999999</v>
      </c>
      <c r="AE4140" s="465">
        <v>15.197900000000001</v>
      </c>
      <c r="AF4140" s="86">
        <f>IF(verze!$E$1="CZK",AD4140,IF(verze!$E$1="SK",AE4140,""))</f>
        <v>15.197900000000001</v>
      </c>
    </row>
    <row r="4141" spans="27:32" ht="15">
      <c r="AA4141" s="463" t="s">
        <v>13469</v>
      </c>
      <c r="AB4141" s="462" t="s">
        <v>13470</v>
      </c>
      <c r="AC4141" s="462" t="s">
        <v>13471</v>
      </c>
      <c r="AD4141" s="464">
        <v>421.30578000000003</v>
      </c>
      <c r="AE4141" s="465">
        <v>19.301259999999999</v>
      </c>
      <c r="AF4141" s="86">
        <f>IF(verze!$E$1="CZK",AD4141,IF(verze!$E$1="SK",AE4141,""))</f>
        <v>19.301259999999999</v>
      </c>
    </row>
    <row r="4142" spans="27:32" ht="15">
      <c r="AA4142" s="463" t="s">
        <v>13472</v>
      </c>
      <c r="AB4142" s="462" t="s">
        <v>13473</v>
      </c>
      <c r="AC4142" s="462" t="s">
        <v>13474</v>
      </c>
      <c r="AD4142" s="464">
        <v>536.40755999999999</v>
      </c>
      <c r="AE4142" s="465">
        <v>24.574400000000001</v>
      </c>
      <c r="AF4142" s="86">
        <f>IF(verze!$E$1="CZK",AD4142,IF(verze!$E$1="SK",AE4142,""))</f>
        <v>24.574400000000001</v>
      </c>
    </row>
    <row r="4143" spans="27:32" ht="15">
      <c r="AA4143" s="463" t="s">
        <v>13475</v>
      </c>
      <c r="AB4143" s="462" t="s">
        <v>13476</v>
      </c>
      <c r="AC4143" s="462" t="s">
        <v>13477</v>
      </c>
      <c r="AD4143" s="464">
        <v>593.65818000000002</v>
      </c>
      <c r="AE4143" s="465">
        <v>27.197240000000001</v>
      </c>
      <c r="AF4143" s="86">
        <f>IF(verze!$E$1="CZK",AD4143,IF(verze!$E$1="SK",AE4143,""))</f>
        <v>27.197240000000001</v>
      </c>
    </row>
    <row r="4144" spans="27:32" ht="15">
      <c r="AA4144" s="463" t="s">
        <v>13478</v>
      </c>
      <c r="AB4144" s="462" t="s">
        <v>13479</v>
      </c>
      <c r="AC4144" s="462" t="s">
        <v>13480</v>
      </c>
      <c r="AD4144" s="464">
        <v>374.83341000000001</v>
      </c>
      <c r="AE4144" s="465">
        <v>0</v>
      </c>
      <c r="AF4144" s="86">
        <f>IF(verze!$E$1="CZK",AD4144,IF(verze!$E$1="SK",AE4144,""))</f>
        <v>0</v>
      </c>
    </row>
    <row r="4145" spans="27:32" ht="15">
      <c r="AA4145" s="463" t="s">
        <v>13481</v>
      </c>
      <c r="AB4145" s="462" t="s">
        <v>13482</v>
      </c>
      <c r="AC4145" s="462" t="s">
        <v>13483</v>
      </c>
      <c r="AD4145" s="464">
        <v>3271.3790399999998</v>
      </c>
      <c r="AE4145" s="465">
        <v>130.87144000000001</v>
      </c>
      <c r="AF4145" s="86">
        <f>IF(verze!$E$1="CZK",AD4145,IF(verze!$E$1="SK",AE4145,""))</f>
        <v>130.87144000000001</v>
      </c>
    </row>
    <row r="4146" spans="27:32" ht="15">
      <c r="AA4146" s="463" t="s">
        <v>13484</v>
      </c>
      <c r="AB4146" s="462" t="s">
        <v>13485</v>
      </c>
      <c r="AC4146" s="462" t="s">
        <v>13486</v>
      </c>
      <c r="AD4146" s="464">
        <v>611.68849999999998</v>
      </c>
      <c r="AE4146" s="465">
        <v>24.470580000000002</v>
      </c>
      <c r="AF4146" s="86">
        <f>IF(verze!$E$1="CZK",AD4146,IF(verze!$E$1="SK",AE4146,""))</f>
        <v>24.470580000000002</v>
      </c>
    </row>
    <row r="4147" spans="27:32" ht="15">
      <c r="AA4147" s="463" t="s">
        <v>13487</v>
      </c>
      <c r="AB4147" s="462" t="s">
        <v>13488</v>
      </c>
      <c r="AC4147" s="462" t="s">
        <v>13489</v>
      </c>
      <c r="AD4147" s="464">
        <v>156.1317</v>
      </c>
      <c r="AE4147" s="465">
        <v>6.2460399999999998</v>
      </c>
      <c r="AF4147" s="86">
        <f>IF(verze!$E$1="CZK",AD4147,IF(verze!$E$1="SK",AE4147,""))</f>
        <v>6.2460399999999998</v>
      </c>
    </row>
    <row r="4148" spans="27:32" ht="15">
      <c r="AA4148" s="463" t="s">
        <v>13490</v>
      </c>
      <c r="AB4148" s="462" t="s">
        <v>13491</v>
      </c>
      <c r="AC4148" s="462" t="s">
        <v>13492</v>
      </c>
      <c r="AD4148" s="464">
        <v>148.67948000000001</v>
      </c>
      <c r="AE4148" s="465">
        <v>5.9479300000000004</v>
      </c>
      <c r="AF4148" s="86">
        <f>IF(verze!$E$1="CZK",AD4148,IF(verze!$E$1="SK",AE4148,""))</f>
        <v>5.9479300000000004</v>
      </c>
    </row>
    <row r="4149" spans="27:32" ht="15">
      <c r="AA4149" s="463" t="s">
        <v>13493</v>
      </c>
      <c r="AB4149" s="462" t="s">
        <v>13494</v>
      </c>
      <c r="AC4149" s="462" t="s">
        <v>13495</v>
      </c>
      <c r="AD4149" s="464">
        <v>2609.1905400000001</v>
      </c>
      <c r="AE4149" s="465">
        <v>105.05564</v>
      </c>
      <c r="AF4149" s="86">
        <f>IF(verze!$E$1="CZK",AD4149,IF(verze!$E$1="SK",AE4149,""))</f>
        <v>105.05564</v>
      </c>
    </row>
    <row r="4150" spans="27:32" ht="15">
      <c r="AA4150" s="463" t="s">
        <v>13493</v>
      </c>
      <c r="AB4150" s="462" t="s">
        <v>13496</v>
      </c>
      <c r="AC4150" s="462" t="s">
        <v>13497</v>
      </c>
      <c r="AD4150" s="464">
        <v>2539.79718</v>
      </c>
      <c r="AE4150" s="465">
        <v>93.997150000000005</v>
      </c>
      <c r="AF4150" s="86">
        <f>IF(verze!$E$1="CZK",AD4150,IF(verze!$E$1="SK",AE4150,""))</f>
        <v>93.997150000000005</v>
      </c>
    </row>
    <row r="4151" spans="27:32" ht="15">
      <c r="AA4151" s="463" t="s">
        <v>13498</v>
      </c>
      <c r="AB4151" s="462" t="s">
        <v>13499</v>
      </c>
      <c r="AC4151" s="462" t="s">
        <v>13500</v>
      </c>
      <c r="AD4151" s="464">
        <v>538.91719000000001</v>
      </c>
      <c r="AE4151" s="465">
        <v>24.689399999999999</v>
      </c>
      <c r="AF4151" s="86">
        <f>IF(verze!$E$1="CZK",AD4151,IF(verze!$E$1="SK",AE4151,""))</f>
        <v>24.689399999999999</v>
      </c>
    </row>
    <row r="4152" spans="27:32" ht="15">
      <c r="AA4152" s="463" t="s">
        <v>13501</v>
      </c>
      <c r="AB4152" s="462" t="s">
        <v>13502</v>
      </c>
      <c r="AC4152" s="462" t="s">
        <v>13503</v>
      </c>
      <c r="AD4152" s="464">
        <v>173.85158999999999</v>
      </c>
      <c r="AE4152" s="465">
        <v>8.3628900000000002</v>
      </c>
      <c r="AF4152" s="86">
        <f>IF(verze!$E$1="CZK",AD4152,IF(verze!$E$1="SK",AE4152,""))</f>
        <v>8.3628900000000002</v>
      </c>
    </row>
    <row r="4153" spans="27:32" ht="15">
      <c r="AA4153" s="463" t="s">
        <v>13504</v>
      </c>
      <c r="AB4153" s="462" t="s">
        <v>13505</v>
      </c>
      <c r="AC4153" s="462" t="s">
        <v>13506</v>
      </c>
      <c r="AD4153" s="464">
        <v>660.09464000000003</v>
      </c>
      <c r="AE4153" s="465">
        <v>30.2409</v>
      </c>
      <c r="AF4153" s="86">
        <f>IF(verze!$E$1="CZK",AD4153,IF(verze!$E$1="SK",AE4153,""))</f>
        <v>30.2409</v>
      </c>
    </row>
    <row r="4154" spans="27:32" ht="15">
      <c r="AA4154" s="463" t="s">
        <v>13507</v>
      </c>
      <c r="AB4154" s="462" t="s">
        <v>13508</v>
      </c>
      <c r="AC4154" s="462" t="s">
        <v>13509</v>
      </c>
      <c r="AD4154" s="464">
        <v>855.72320999999999</v>
      </c>
      <c r="AE4154" s="465">
        <v>39.203220000000002</v>
      </c>
      <c r="AF4154" s="86">
        <f>IF(verze!$E$1="CZK",AD4154,IF(verze!$E$1="SK",AE4154,""))</f>
        <v>39.203220000000002</v>
      </c>
    </row>
    <row r="4155" spans="27:32" ht="15">
      <c r="AA4155" s="463" t="s">
        <v>13510</v>
      </c>
      <c r="AB4155" s="462" t="s">
        <v>13511</v>
      </c>
      <c r="AC4155" s="462" t="s">
        <v>13512</v>
      </c>
      <c r="AD4155" s="464">
        <v>1053.6685399999999</v>
      </c>
      <c r="AE4155" s="465">
        <v>48.271680000000003</v>
      </c>
      <c r="AF4155" s="86">
        <f>IF(verze!$E$1="CZK",AD4155,IF(verze!$E$1="SK",AE4155,""))</f>
        <v>48.271680000000003</v>
      </c>
    </row>
    <row r="4156" spans="27:32" ht="15">
      <c r="AA4156" s="463" t="s">
        <v>13513</v>
      </c>
      <c r="AB4156" s="462" t="s">
        <v>13514</v>
      </c>
      <c r="AC4156" s="462" t="s">
        <v>13515</v>
      </c>
      <c r="AD4156" s="464">
        <v>125.62347</v>
      </c>
      <c r="AE4156" s="465">
        <v>5.1522600000000001</v>
      </c>
      <c r="AF4156" s="86">
        <f>IF(verze!$E$1="CZK",AD4156,IF(verze!$E$1="SK",AE4156,""))</f>
        <v>5.1522600000000001</v>
      </c>
    </row>
    <row r="4157" spans="27:32" ht="15">
      <c r="AA4157" s="463" t="s">
        <v>13516</v>
      </c>
      <c r="AB4157" s="462" t="s">
        <v>13517</v>
      </c>
      <c r="AC4157" s="462" t="s">
        <v>13518</v>
      </c>
      <c r="AD4157" s="464">
        <v>34.7423</v>
      </c>
      <c r="AE4157" s="465">
        <v>1.4249000000000001</v>
      </c>
      <c r="AF4157" s="86">
        <f>IF(verze!$E$1="CZK",AD4157,IF(verze!$E$1="SK",AE4157,""))</f>
        <v>1.4249000000000001</v>
      </c>
    </row>
    <row r="4158" spans="27:32" ht="15">
      <c r="AA4158" s="463" t="s">
        <v>13519</v>
      </c>
      <c r="AB4158" s="462" t="s">
        <v>13520</v>
      </c>
      <c r="AC4158" s="462" t="s">
        <v>13521</v>
      </c>
      <c r="AD4158" s="464">
        <v>41.932859999999998</v>
      </c>
      <c r="AE4158" s="465">
        <v>1.7198</v>
      </c>
      <c r="AF4158" s="86">
        <f>IF(verze!$E$1="CZK",AD4158,IF(verze!$E$1="SK",AE4158,""))</f>
        <v>1.7198</v>
      </c>
    </row>
    <row r="4159" spans="27:32" ht="15">
      <c r="AA4159" s="463" t="s">
        <v>13522</v>
      </c>
      <c r="AB4159" s="462" t="s">
        <v>13523</v>
      </c>
      <c r="AC4159" s="462" t="s">
        <v>13524</v>
      </c>
      <c r="AD4159" s="464">
        <v>26.05115</v>
      </c>
      <c r="AE4159" s="465">
        <v>1.06846</v>
      </c>
      <c r="AF4159" s="86">
        <f>IF(verze!$E$1="CZK",AD4159,IF(verze!$E$1="SK",AE4159,""))</f>
        <v>1.06846</v>
      </c>
    </row>
    <row r="4160" spans="27:32" ht="15">
      <c r="AA4160" s="463" t="s">
        <v>13525</v>
      </c>
      <c r="AB4160" s="462" t="s">
        <v>13526</v>
      </c>
      <c r="AC4160" s="462" t="s">
        <v>13527</v>
      </c>
      <c r="AD4160" s="464">
        <v>3790.7662599999999</v>
      </c>
      <c r="AE4160" s="465">
        <v>151.64952</v>
      </c>
      <c r="AF4160" s="86">
        <f>IF(verze!$E$1="CZK",AD4160,IF(verze!$E$1="SK",AE4160,""))</f>
        <v>151.64952</v>
      </c>
    </row>
    <row r="4161" spans="27:32" ht="15">
      <c r="AA4161" s="463" t="s">
        <v>13528</v>
      </c>
      <c r="AB4161" s="462" t="s">
        <v>13529</v>
      </c>
      <c r="AC4161" s="462" t="s">
        <v>13530</v>
      </c>
      <c r="AD4161" s="464">
        <v>1385.97351</v>
      </c>
      <c r="AE4161" s="465">
        <v>63.495559999999998</v>
      </c>
      <c r="AF4161" s="86">
        <f>IF(verze!$E$1="CZK",AD4161,IF(verze!$E$1="SK",AE4161,""))</f>
        <v>63.495559999999998</v>
      </c>
    </row>
    <row r="4162" spans="27:32" ht="15">
      <c r="AA4162" s="463" t="s">
        <v>13531</v>
      </c>
      <c r="AB4162" s="462" t="s">
        <v>13532</v>
      </c>
      <c r="AC4162" s="462" t="s">
        <v>13533</v>
      </c>
      <c r="AD4162" s="464">
        <v>1541.50675</v>
      </c>
      <c r="AE4162" s="465">
        <v>70.620999999999995</v>
      </c>
      <c r="AF4162" s="86">
        <f>IF(verze!$E$1="CZK",AD4162,IF(verze!$E$1="SK",AE4162,""))</f>
        <v>70.620999999999995</v>
      </c>
    </row>
    <row r="4163" spans="27:32" ht="15">
      <c r="AA4163" s="463" t="s">
        <v>13534</v>
      </c>
      <c r="AB4163" s="462" t="s">
        <v>13535</v>
      </c>
      <c r="AC4163" s="462" t="s">
        <v>13536</v>
      </c>
      <c r="AD4163" s="464">
        <v>909.48386000000005</v>
      </c>
      <c r="AE4163" s="465">
        <v>41.666139999999999</v>
      </c>
      <c r="AF4163" s="86">
        <f>IF(verze!$E$1="CZK",AD4163,IF(verze!$E$1="SK",AE4163,""))</f>
        <v>41.666139999999999</v>
      </c>
    </row>
    <row r="4164" spans="27:32" ht="15">
      <c r="AA4164" s="463" t="s">
        <v>13537</v>
      </c>
      <c r="AB4164" s="462" t="s">
        <v>13538</v>
      </c>
      <c r="AC4164" s="462" t="s">
        <v>13539</v>
      </c>
      <c r="AD4164" s="464">
        <v>904.87981000000002</v>
      </c>
      <c r="AE4164" s="465">
        <v>0</v>
      </c>
      <c r="AF4164" s="86">
        <f>IF(verze!$E$1="CZK",AD4164,IF(verze!$E$1="SK",AE4164,""))</f>
        <v>0</v>
      </c>
    </row>
    <row r="4165" spans="27:32" ht="15">
      <c r="AA4165" s="463" t="s">
        <v>13540</v>
      </c>
      <c r="AB4165" s="462" t="s">
        <v>13541</v>
      </c>
      <c r="AC4165" s="462" t="s">
        <v>13542</v>
      </c>
      <c r="AD4165" s="464">
        <v>168.82336000000001</v>
      </c>
      <c r="AE4165" s="465">
        <v>7.7343000000000002</v>
      </c>
      <c r="AF4165" s="86">
        <f>IF(verze!$E$1="CZK",AD4165,IF(verze!$E$1="SK",AE4165,""))</f>
        <v>7.7343000000000002</v>
      </c>
    </row>
    <row r="4166" spans="27:32" ht="15">
      <c r="AA4166" s="463" t="s">
        <v>13543</v>
      </c>
      <c r="AB4166" s="462" t="s">
        <v>13544</v>
      </c>
      <c r="AC4166" s="462" t="s">
        <v>13545</v>
      </c>
      <c r="AD4166" s="464">
        <v>257.43234999999999</v>
      </c>
      <c r="AE4166" s="465">
        <v>11.34736</v>
      </c>
      <c r="AF4166" s="86">
        <f>IF(verze!$E$1="CZK",AD4166,IF(verze!$E$1="SK",AE4166,""))</f>
        <v>11.34736</v>
      </c>
    </row>
    <row r="4167" spans="27:32" ht="15">
      <c r="AA4167" s="463" t="s">
        <v>13546</v>
      </c>
      <c r="AB4167" s="462" t="s">
        <v>13547</v>
      </c>
      <c r="AC4167" s="462" t="s">
        <v>13548</v>
      </c>
      <c r="AD4167" s="464">
        <v>132.38453999999999</v>
      </c>
      <c r="AE4167" s="465">
        <v>5.2960399999999996</v>
      </c>
      <c r="AF4167" s="86">
        <f>IF(verze!$E$1="CZK",AD4167,IF(verze!$E$1="SK",AE4167,""))</f>
        <v>5.2960399999999996</v>
      </c>
    </row>
    <row r="4168" spans="27:32" ht="15">
      <c r="AA4168" s="463" t="s">
        <v>13549</v>
      </c>
      <c r="AB4168" s="462" t="s">
        <v>13550</v>
      </c>
      <c r="AC4168" s="462" t="s">
        <v>13551</v>
      </c>
      <c r="AD4168" s="464">
        <v>1403.2853600000001</v>
      </c>
      <c r="AE4168" s="465">
        <v>56.138399999999997</v>
      </c>
      <c r="AF4168" s="86">
        <f>IF(verze!$E$1="CZK",AD4168,IF(verze!$E$1="SK",AE4168,""))</f>
        <v>56.138399999999997</v>
      </c>
    </row>
    <row r="4169" spans="27:32" ht="15">
      <c r="AA4169" s="463" t="s">
        <v>13552</v>
      </c>
      <c r="AB4169" s="462" t="s">
        <v>13553</v>
      </c>
      <c r="AC4169" s="462" t="s">
        <v>13554</v>
      </c>
      <c r="AD4169" s="464">
        <v>1231.4478300000001</v>
      </c>
      <c r="AE4169" s="465">
        <v>49.264049999999997</v>
      </c>
      <c r="AF4169" s="86">
        <f>IF(verze!$E$1="CZK",AD4169,IF(verze!$E$1="SK",AE4169,""))</f>
        <v>49.264049999999997</v>
      </c>
    </row>
    <row r="4170" spans="27:32" ht="15">
      <c r="AA4170" s="463" t="s">
        <v>13555</v>
      </c>
      <c r="AB4170" s="462" t="s">
        <v>13556</v>
      </c>
      <c r="AC4170" s="462" t="s">
        <v>13557</v>
      </c>
      <c r="AD4170" s="464">
        <v>1247.9713400000001</v>
      </c>
      <c r="AE4170" s="465">
        <v>49.925069999999998</v>
      </c>
      <c r="AF4170" s="86">
        <f>IF(verze!$E$1="CZK",AD4170,IF(verze!$E$1="SK",AE4170,""))</f>
        <v>49.925069999999998</v>
      </c>
    </row>
    <row r="4171" spans="27:32" ht="15">
      <c r="AA4171" s="463" t="s">
        <v>13558</v>
      </c>
      <c r="AB4171" s="462" t="s">
        <v>13559</v>
      </c>
      <c r="AC4171" s="462" t="s">
        <v>13560</v>
      </c>
      <c r="AD4171" s="464">
        <v>1260.1515199999999</v>
      </c>
      <c r="AE4171" s="465">
        <v>50.738340000000001</v>
      </c>
      <c r="AF4171" s="86">
        <f>IF(verze!$E$1="CZK",AD4171,IF(verze!$E$1="SK",AE4171,""))</f>
        <v>50.738340000000001</v>
      </c>
    </row>
    <row r="4172" spans="27:32" ht="15">
      <c r="AA4172" s="463" t="s">
        <v>13561</v>
      </c>
      <c r="AB4172" s="462" t="s">
        <v>13562</v>
      </c>
      <c r="AC4172" s="462" t="s">
        <v>13563</v>
      </c>
      <c r="AD4172" s="464">
        <v>802.31152999999995</v>
      </c>
      <c r="AE4172" s="465">
        <v>32.304049999999997</v>
      </c>
      <c r="AF4172" s="86">
        <f>IF(verze!$E$1="CZK",AD4172,IF(verze!$E$1="SK",AE4172,""))</f>
        <v>32.304049999999997</v>
      </c>
    </row>
    <row r="4173" spans="27:32" ht="15">
      <c r="AA4173" s="463" t="s">
        <v>13564</v>
      </c>
      <c r="AB4173" s="462" t="s">
        <v>13565</v>
      </c>
      <c r="AC4173" s="462" t="s">
        <v>13566</v>
      </c>
      <c r="AD4173" s="464">
        <v>1260.1515199999999</v>
      </c>
      <c r="AE4173" s="465">
        <v>50.738340000000001</v>
      </c>
      <c r="AF4173" s="86">
        <f>IF(verze!$E$1="CZK",AD4173,IF(verze!$E$1="SK",AE4173,""))</f>
        <v>50.738340000000001</v>
      </c>
    </row>
    <row r="4174" spans="27:32" ht="15">
      <c r="AA4174" s="463" t="s">
        <v>13567</v>
      </c>
      <c r="AB4174" s="462" t="s">
        <v>13568</v>
      </c>
      <c r="AC4174" s="462" t="s">
        <v>13569</v>
      </c>
      <c r="AD4174" s="464">
        <v>933.11728000000005</v>
      </c>
      <c r="AE4174" s="465">
        <v>37.570749999999997</v>
      </c>
      <c r="AF4174" s="86">
        <f>IF(verze!$E$1="CZK",AD4174,IF(verze!$E$1="SK",AE4174,""))</f>
        <v>37.570749999999997</v>
      </c>
    </row>
    <row r="4175" spans="27:32" ht="15">
      <c r="AA4175" s="463" t="s">
        <v>13570</v>
      </c>
      <c r="AB4175" s="462" t="s">
        <v>13571</v>
      </c>
      <c r="AC4175" s="462" t="s">
        <v>13572</v>
      </c>
      <c r="AD4175" s="464">
        <v>1469.44677</v>
      </c>
      <c r="AE4175" s="465">
        <v>59.165370000000003</v>
      </c>
      <c r="AF4175" s="86">
        <f>IF(verze!$E$1="CZK",AD4175,IF(verze!$E$1="SK",AE4175,""))</f>
        <v>59.165370000000003</v>
      </c>
    </row>
    <row r="4176" spans="27:32" ht="15">
      <c r="AA4176" s="463" t="s">
        <v>13573</v>
      </c>
      <c r="AB4176" s="462" t="s">
        <v>13574</v>
      </c>
      <c r="AC4176" s="462" t="s">
        <v>13575</v>
      </c>
      <c r="AD4176" s="464">
        <v>251.71468999999999</v>
      </c>
      <c r="AE4176" s="465">
        <v>10.13496</v>
      </c>
      <c r="AF4176" s="86">
        <f>IF(verze!$E$1="CZK",AD4176,IF(verze!$E$1="SK",AE4176,""))</f>
        <v>10.13496</v>
      </c>
    </row>
    <row r="4177" spans="27:32" ht="15">
      <c r="AA4177" s="463" t="s">
        <v>13576</v>
      </c>
      <c r="AB4177" s="462" t="s">
        <v>13577</v>
      </c>
      <c r="AC4177" s="462" t="s">
        <v>13578</v>
      </c>
      <c r="AD4177" s="464">
        <v>251.71468999999999</v>
      </c>
      <c r="AE4177" s="465">
        <v>10.13496</v>
      </c>
      <c r="AF4177" s="86">
        <f>IF(verze!$E$1="CZK",AD4177,IF(verze!$E$1="SK",AE4177,""))</f>
        <v>10.13496</v>
      </c>
    </row>
    <row r="4178" spans="27:32" ht="15">
      <c r="AA4178" s="463" t="s">
        <v>13579</v>
      </c>
      <c r="AB4178" s="462" t="s">
        <v>13580</v>
      </c>
      <c r="AC4178" s="462" t="s">
        <v>13581</v>
      </c>
      <c r="AD4178" s="464">
        <v>402.74072999999999</v>
      </c>
      <c r="AE4178" s="465">
        <v>16.215869999999999</v>
      </c>
      <c r="AF4178" s="86">
        <f>IF(verze!$E$1="CZK",AD4178,IF(verze!$E$1="SK",AE4178,""))</f>
        <v>16.215869999999999</v>
      </c>
    </row>
    <row r="4179" spans="27:32" ht="15">
      <c r="AA4179" s="463" t="s">
        <v>13582</v>
      </c>
      <c r="AB4179" s="462" t="s">
        <v>13583</v>
      </c>
      <c r="AC4179" s="462" t="s">
        <v>13584</v>
      </c>
      <c r="AD4179" s="464">
        <v>251.71468999999999</v>
      </c>
      <c r="AE4179" s="465">
        <v>10.13496</v>
      </c>
      <c r="AF4179" s="86">
        <f>IF(verze!$E$1="CZK",AD4179,IF(verze!$E$1="SK",AE4179,""))</f>
        <v>10.13496</v>
      </c>
    </row>
    <row r="4180" spans="27:32" ht="15">
      <c r="AA4180" s="463" t="s">
        <v>13585</v>
      </c>
      <c r="AB4180" s="462" t="s">
        <v>13586</v>
      </c>
      <c r="AC4180" s="462" t="s">
        <v>13587</v>
      </c>
      <c r="AD4180" s="464">
        <v>402.74072999999999</v>
      </c>
      <c r="AE4180" s="465">
        <v>16.215869999999999</v>
      </c>
      <c r="AF4180" s="86">
        <f>IF(verze!$E$1="CZK",AD4180,IF(verze!$E$1="SK",AE4180,""))</f>
        <v>16.215869999999999</v>
      </c>
    </row>
    <row r="4181" spans="27:32" ht="15">
      <c r="AA4181" s="463" t="s">
        <v>13588</v>
      </c>
      <c r="AB4181" s="462" t="s">
        <v>13589</v>
      </c>
      <c r="AC4181" s="462" t="s">
        <v>13590</v>
      </c>
      <c r="AD4181" s="464">
        <v>251.71468999999999</v>
      </c>
      <c r="AE4181" s="465">
        <v>10.13496</v>
      </c>
      <c r="AF4181" s="86">
        <f>IF(verze!$E$1="CZK",AD4181,IF(verze!$E$1="SK",AE4181,""))</f>
        <v>10.13496</v>
      </c>
    </row>
    <row r="4182" spans="27:32" ht="15">
      <c r="AA4182" s="463" t="s">
        <v>13591</v>
      </c>
      <c r="AB4182" s="462" t="s">
        <v>13592</v>
      </c>
      <c r="AC4182" s="462" t="s">
        <v>13593</v>
      </c>
      <c r="AD4182" s="464">
        <v>402.74072999999999</v>
      </c>
      <c r="AE4182" s="465">
        <v>16.215869999999999</v>
      </c>
      <c r="AF4182" s="86">
        <f>IF(verze!$E$1="CZK",AD4182,IF(verze!$E$1="SK",AE4182,""))</f>
        <v>16.215869999999999</v>
      </c>
    </row>
    <row r="4183" spans="27:32" ht="15">
      <c r="AA4183" s="463" t="s">
        <v>13594</v>
      </c>
      <c r="AB4183" s="462" t="s">
        <v>13595</v>
      </c>
      <c r="AC4183" s="462" t="s">
        <v>13596</v>
      </c>
      <c r="AD4183" s="464">
        <v>251.71468999999999</v>
      </c>
      <c r="AE4183" s="465">
        <v>10.13496</v>
      </c>
      <c r="AF4183" s="86">
        <f>IF(verze!$E$1="CZK",AD4183,IF(verze!$E$1="SK",AE4183,""))</f>
        <v>10.13496</v>
      </c>
    </row>
    <row r="4184" spans="27:32" ht="15">
      <c r="AA4184" s="463" t="s">
        <v>13597</v>
      </c>
      <c r="AB4184" s="462" t="s">
        <v>13598</v>
      </c>
      <c r="AC4184" s="462" t="s">
        <v>13599</v>
      </c>
      <c r="AD4184" s="464">
        <v>402.74072999999999</v>
      </c>
      <c r="AE4184" s="465">
        <v>16.215869999999999</v>
      </c>
      <c r="AF4184" s="86">
        <f>IF(verze!$E$1="CZK",AD4184,IF(verze!$E$1="SK",AE4184,""))</f>
        <v>16.215869999999999</v>
      </c>
    </row>
    <row r="4185" spans="27:32" ht="15">
      <c r="AA4185" s="463" t="s">
        <v>13600</v>
      </c>
      <c r="AB4185" s="462" t="s">
        <v>13601</v>
      </c>
      <c r="AC4185" s="462" t="s">
        <v>13602</v>
      </c>
      <c r="AD4185" s="464">
        <v>251.71468999999999</v>
      </c>
      <c r="AE4185" s="465">
        <v>10.13496</v>
      </c>
      <c r="AF4185" s="86">
        <f>IF(verze!$E$1="CZK",AD4185,IF(verze!$E$1="SK",AE4185,""))</f>
        <v>10.13496</v>
      </c>
    </row>
    <row r="4186" spans="27:32" ht="15">
      <c r="AA4186" s="463" t="s">
        <v>13603</v>
      </c>
      <c r="AB4186" s="462" t="s">
        <v>13604</v>
      </c>
      <c r="AC4186" s="462" t="s">
        <v>13605</v>
      </c>
      <c r="AD4186" s="464">
        <v>402.74072999999999</v>
      </c>
      <c r="AE4186" s="465">
        <v>16.215869999999999</v>
      </c>
      <c r="AF4186" s="86">
        <f>IF(verze!$E$1="CZK",AD4186,IF(verze!$E$1="SK",AE4186,""))</f>
        <v>16.215869999999999</v>
      </c>
    </row>
    <row r="4187" spans="27:32" ht="15">
      <c r="AA4187" s="463" t="s">
        <v>13606</v>
      </c>
      <c r="AB4187" s="462" t="s">
        <v>13607</v>
      </c>
      <c r="AC4187" s="462" t="s">
        <v>13608</v>
      </c>
      <c r="AD4187" s="464">
        <v>294.59332999999998</v>
      </c>
      <c r="AE4187" s="465">
        <v>11.86145</v>
      </c>
      <c r="AF4187" s="86">
        <f>IF(verze!$E$1="CZK",AD4187,IF(verze!$E$1="SK",AE4187,""))</f>
        <v>11.86145</v>
      </c>
    </row>
    <row r="4188" spans="27:32" ht="15">
      <c r="AA4188" s="463" t="s">
        <v>13609</v>
      </c>
      <c r="AB4188" s="462" t="s">
        <v>13610</v>
      </c>
      <c r="AC4188" s="462" t="s">
        <v>13611</v>
      </c>
      <c r="AD4188" s="464">
        <v>471.72962000000001</v>
      </c>
      <c r="AE4188" s="465">
        <v>18.993580000000001</v>
      </c>
      <c r="AF4188" s="86">
        <f>IF(verze!$E$1="CZK",AD4188,IF(verze!$E$1="SK",AE4188,""))</f>
        <v>18.993580000000001</v>
      </c>
    </row>
    <row r="4189" spans="27:32" ht="15">
      <c r="AA4189" s="463" t="s">
        <v>13612</v>
      </c>
      <c r="AB4189" s="462" t="s">
        <v>13613</v>
      </c>
      <c r="AC4189" s="462" t="s">
        <v>13614</v>
      </c>
      <c r="AD4189" s="464">
        <v>294.59332999999998</v>
      </c>
      <c r="AE4189" s="465">
        <v>11.86145</v>
      </c>
      <c r="AF4189" s="86">
        <f>IF(verze!$E$1="CZK",AD4189,IF(verze!$E$1="SK",AE4189,""))</f>
        <v>11.86145</v>
      </c>
    </row>
    <row r="4190" spans="27:32" ht="15">
      <c r="AA4190" s="463" t="s">
        <v>13615</v>
      </c>
      <c r="AB4190" s="462" t="s">
        <v>13616</v>
      </c>
      <c r="AC4190" s="462" t="s">
        <v>13617</v>
      </c>
      <c r="AD4190" s="464">
        <v>471.72962000000001</v>
      </c>
      <c r="AE4190" s="465">
        <v>18.993580000000001</v>
      </c>
      <c r="AF4190" s="86">
        <f>IF(verze!$E$1="CZK",AD4190,IF(verze!$E$1="SK",AE4190,""))</f>
        <v>18.993580000000001</v>
      </c>
    </row>
    <row r="4191" spans="27:32" ht="15">
      <c r="AA4191" s="463" t="s">
        <v>13618</v>
      </c>
      <c r="AB4191" s="462" t="s">
        <v>13619</v>
      </c>
      <c r="AC4191" s="462" t="s">
        <v>13620</v>
      </c>
      <c r="AD4191" s="464">
        <v>294.59332999999998</v>
      </c>
      <c r="AE4191" s="465">
        <v>11.86145</v>
      </c>
      <c r="AF4191" s="86">
        <f>IF(verze!$E$1="CZK",AD4191,IF(verze!$E$1="SK",AE4191,""))</f>
        <v>11.86145</v>
      </c>
    </row>
    <row r="4192" spans="27:32" ht="15">
      <c r="AA4192" s="463" t="s">
        <v>13621</v>
      </c>
      <c r="AB4192" s="462" t="s">
        <v>13622</v>
      </c>
      <c r="AC4192" s="462" t="s">
        <v>13623</v>
      </c>
      <c r="AD4192" s="464">
        <v>471.72962000000001</v>
      </c>
      <c r="AE4192" s="465">
        <v>18.993580000000001</v>
      </c>
      <c r="AF4192" s="86">
        <f>IF(verze!$E$1="CZK",AD4192,IF(verze!$E$1="SK",AE4192,""))</f>
        <v>18.993580000000001</v>
      </c>
    </row>
    <row r="4193" spans="27:32" ht="15">
      <c r="AA4193" s="463" t="s">
        <v>13624</v>
      </c>
      <c r="AB4193" s="462" t="s">
        <v>13625</v>
      </c>
      <c r="AC4193" s="462" t="s">
        <v>13626</v>
      </c>
      <c r="AD4193" s="464">
        <v>1536.1220900000001</v>
      </c>
      <c r="AE4193" s="465">
        <v>73.893020000000007</v>
      </c>
      <c r="AF4193" s="86">
        <f>IF(verze!$E$1="CZK",AD4193,IF(verze!$E$1="SK",AE4193,""))</f>
        <v>73.893020000000007</v>
      </c>
    </row>
    <row r="4194" spans="27:32" ht="15">
      <c r="AA4194" s="463" t="s">
        <v>13627</v>
      </c>
      <c r="AB4194" s="462" t="s">
        <v>13628</v>
      </c>
      <c r="AC4194" s="462" t="s">
        <v>13629</v>
      </c>
      <c r="AD4194" s="464">
        <v>1564.2560900000001</v>
      </c>
      <c r="AE4194" s="465">
        <v>75.246359999999996</v>
      </c>
      <c r="AF4194" s="86">
        <f>IF(verze!$E$1="CZK",AD4194,IF(verze!$E$1="SK",AE4194,""))</f>
        <v>75.246359999999996</v>
      </c>
    </row>
    <row r="4195" spans="27:32" ht="15">
      <c r="AA4195" s="463" t="s">
        <v>13630</v>
      </c>
      <c r="AB4195" s="462" t="s">
        <v>13631</v>
      </c>
      <c r="AC4195" s="462" t="s">
        <v>13632</v>
      </c>
      <c r="AD4195" s="464">
        <v>783.76777000000004</v>
      </c>
      <c r="AE4195" s="465">
        <v>26.431979999999999</v>
      </c>
      <c r="AF4195" s="86">
        <f>IF(verze!$E$1="CZK",AD4195,IF(verze!$E$1="SK",AE4195,""))</f>
        <v>26.431979999999999</v>
      </c>
    </row>
    <row r="4196" spans="27:32" ht="15">
      <c r="AA4196" s="463" t="s">
        <v>13633</v>
      </c>
      <c r="AB4196" s="462" t="s">
        <v>13634</v>
      </c>
      <c r="AC4196" s="462" t="s">
        <v>13635</v>
      </c>
      <c r="AD4196" s="464">
        <v>2119.2126899999998</v>
      </c>
      <c r="AE4196" s="465">
        <v>101.94179</v>
      </c>
      <c r="AF4196" s="86">
        <f>IF(verze!$E$1="CZK",AD4196,IF(verze!$E$1="SK",AE4196,""))</f>
        <v>101.94179</v>
      </c>
    </row>
    <row r="4197" spans="27:32" ht="15">
      <c r="AA4197" s="463" t="s">
        <v>13636</v>
      </c>
      <c r="AB4197" s="462" t="s">
        <v>13637</v>
      </c>
      <c r="AC4197" s="462" t="s">
        <v>13638</v>
      </c>
      <c r="AD4197" s="464">
        <v>1509.0884599999999</v>
      </c>
      <c r="AE4197" s="465">
        <v>72.592590000000001</v>
      </c>
      <c r="AF4197" s="86">
        <f>IF(verze!$E$1="CZK",AD4197,IF(verze!$E$1="SK",AE4197,""))</f>
        <v>72.592590000000001</v>
      </c>
    </row>
    <row r="4198" spans="27:32" ht="15">
      <c r="AA4198" s="463" t="s">
        <v>13639</v>
      </c>
      <c r="AB4198" s="462" t="s">
        <v>13640</v>
      </c>
      <c r="AC4198" s="462" t="s">
        <v>13641</v>
      </c>
      <c r="AD4198" s="464">
        <v>1536.1220900000001</v>
      </c>
      <c r="AE4198" s="465">
        <v>73.893020000000007</v>
      </c>
      <c r="AF4198" s="86">
        <f>IF(verze!$E$1="CZK",AD4198,IF(verze!$E$1="SK",AE4198,""))</f>
        <v>73.893020000000007</v>
      </c>
    </row>
    <row r="4199" spans="27:32" ht="15">
      <c r="AA4199" s="463" t="s">
        <v>13642</v>
      </c>
      <c r="AB4199" s="462" t="s">
        <v>13643</v>
      </c>
      <c r="AC4199" s="462" t="s">
        <v>13644</v>
      </c>
      <c r="AD4199" s="464">
        <v>1551.2739200000001</v>
      </c>
      <c r="AE4199" s="465">
        <v>74.621859999999998</v>
      </c>
      <c r="AF4199" s="86">
        <f>IF(verze!$E$1="CZK",AD4199,IF(verze!$E$1="SK",AE4199,""))</f>
        <v>74.621859999999998</v>
      </c>
    </row>
    <row r="4200" spans="27:32" ht="15">
      <c r="AA4200" s="463" t="s">
        <v>13645</v>
      </c>
      <c r="AB4200" s="462" t="s">
        <v>13646</v>
      </c>
      <c r="AC4200" s="462" t="s">
        <v>13647</v>
      </c>
      <c r="AD4200" s="464">
        <v>1564.2560900000001</v>
      </c>
      <c r="AE4200" s="465">
        <v>75.246359999999996</v>
      </c>
      <c r="AF4200" s="86">
        <f>IF(verze!$E$1="CZK",AD4200,IF(verze!$E$1="SK",AE4200,""))</f>
        <v>75.246359999999996</v>
      </c>
    </row>
    <row r="4201" spans="27:32" ht="15">
      <c r="AA4201" s="463" t="s">
        <v>13648</v>
      </c>
      <c r="AB4201" s="462" t="s">
        <v>13649</v>
      </c>
      <c r="AC4201" s="462" t="s">
        <v>13650</v>
      </c>
      <c r="AD4201" s="464">
        <v>2119.2126899999998</v>
      </c>
      <c r="AE4201" s="465">
        <v>101.94179</v>
      </c>
      <c r="AF4201" s="86">
        <f>IF(verze!$E$1="CZK",AD4201,IF(verze!$E$1="SK",AE4201,""))</f>
        <v>101.94179</v>
      </c>
    </row>
    <row r="4202" spans="27:32" ht="15">
      <c r="AA4202" s="463" t="s">
        <v>13651</v>
      </c>
      <c r="AB4202" s="462" t="s">
        <v>13652</v>
      </c>
      <c r="AC4202" s="462" t="s">
        <v>13653</v>
      </c>
      <c r="AD4202" s="464">
        <v>1509.0884599999999</v>
      </c>
      <c r="AE4202" s="465">
        <v>72.592590000000001</v>
      </c>
      <c r="AF4202" s="86">
        <f>IF(verze!$E$1="CZK",AD4202,IF(verze!$E$1="SK",AE4202,""))</f>
        <v>72.592590000000001</v>
      </c>
    </row>
    <row r="4203" spans="27:32" ht="15">
      <c r="AA4203" s="463" t="s">
        <v>13654</v>
      </c>
      <c r="AB4203" s="462" t="s">
        <v>13655</v>
      </c>
      <c r="AC4203" s="462" t="s">
        <v>13656</v>
      </c>
      <c r="AD4203" s="464">
        <v>1536.1220900000001</v>
      </c>
      <c r="AE4203" s="465">
        <v>73.893020000000007</v>
      </c>
      <c r="AF4203" s="86">
        <f>IF(verze!$E$1="CZK",AD4203,IF(verze!$E$1="SK",AE4203,""))</f>
        <v>73.893020000000007</v>
      </c>
    </row>
    <row r="4204" spans="27:32" ht="15">
      <c r="AA4204" s="463" t="s">
        <v>13657</v>
      </c>
      <c r="AB4204" s="462" t="s">
        <v>13658</v>
      </c>
      <c r="AC4204" s="462" t="s">
        <v>13659</v>
      </c>
      <c r="AD4204" s="464">
        <v>1551.2739200000001</v>
      </c>
      <c r="AE4204" s="465">
        <v>74.621859999999998</v>
      </c>
      <c r="AF4204" s="86">
        <f>IF(verze!$E$1="CZK",AD4204,IF(verze!$E$1="SK",AE4204,""))</f>
        <v>74.621859999999998</v>
      </c>
    </row>
    <row r="4205" spans="27:32" ht="15">
      <c r="AA4205" s="463" t="s">
        <v>13660</v>
      </c>
      <c r="AB4205" s="462" t="s">
        <v>13661</v>
      </c>
      <c r="AC4205" s="462" t="s">
        <v>13662</v>
      </c>
      <c r="AD4205" s="464">
        <v>1564.2560900000001</v>
      </c>
      <c r="AE4205" s="465">
        <v>75.246359999999996</v>
      </c>
      <c r="AF4205" s="86">
        <f>IF(verze!$E$1="CZK",AD4205,IF(verze!$E$1="SK",AE4205,""))</f>
        <v>75.246359999999996</v>
      </c>
    </row>
    <row r="4206" spans="27:32" ht="15">
      <c r="AA4206" s="463" t="s">
        <v>13663</v>
      </c>
      <c r="AB4206" s="462" t="s">
        <v>13664</v>
      </c>
      <c r="AC4206" s="462" t="s">
        <v>13665</v>
      </c>
      <c r="AD4206" s="464">
        <v>2119.2126899999998</v>
      </c>
      <c r="AE4206" s="465">
        <v>101.94179</v>
      </c>
      <c r="AF4206" s="86">
        <f>IF(verze!$E$1="CZK",AD4206,IF(verze!$E$1="SK",AE4206,""))</f>
        <v>101.94179</v>
      </c>
    </row>
    <row r="4207" spans="27:32" ht="15">
      <c r="AA4207" s="463" t="s">
        <v>13666</v>
      </c>
      <c r="AB4207" s="462" t="s">
        <v>13667</v>
      </c>
      <c r="AC4207" s="462" t="s">
        <v>13668</v>
      </c>
      <c r="AD4207" s="464">
        <v>3837.6298999999999</v>
      </c>
      <c r="AE4207" s="465">
        <v>0</v>
      </c>
      <c r="AF4207" s="86">
        <f>IF(verze!$E$1="CZK",AD4207,IF(verze!$E$1="SK",AE4207,""))</f>
        <v>0</v>
      </c>
    </row>
    <row r="4208" spans="27:32" ht="15">
      <c r="AA4208" s="463" t="s">
        <v>13669</v>
      </c>
      <c r="AB4208" s="462" t="s">
        <v>13670</v>
      </c>
      <c r="AC4208" s="462" t="s">
        <v>13671</v>
      </c>
      <c r="AD4208" s="464">
        <v>1016.0391100000001</v>
      </c>
      <c r="AE4208" s="465">
        <v>40.646630000000002</v>
      </c>
      <c r="AF4208" s="86">
        <f>IF(verze!$E$1="CZK",AD4208,IF(verze!$E$1="SK",AE4208,""))</f>
        <v>40.646630000000002</v>
      </c>
    </row>
    <row r="4209" spans="27:32" ht="15">
      <c r="AA4209" s="463" t="s">
        <v>13672</v>
      </c>
      <c r="AB4209" s="462" t="s">
        <v>13673</v>
      </c>
      <c r="AC4209" s="462" t="s">
        <v>13674</v>
      </c>
      <c r="AD4209" s="464">
        <v>1047.9223099999999</v>
      </c>
      <c r="AE4209" s="465">
        <v>41.9221</v>
      </c>
      <c r="AF4209" s="86">
        <f>IF(verze!$E$1="CZK",AD4209,IF(verze!$E$1="SK",AE4209,""))</f>
        <v>41.9221</v>
      </c>
    </row>
    <row r="4210" spans="27:32" ht="15">
      <c r="AA4210" s="463" t="s">
        <v>13675</v>
      </c>
      <c r="AB4210" s="462" t="s">
        <v>13676</v>
      </c>
      <c r="AC4210" s="462" t="s">
        <v>13677</v>
      </c>
      <c r="AD4210" s="464">
        <v>1715.6528599999999</v>
      </c>
      <c r="AE4210" s="465">
        <v>0</v>
      </c>
      <c r="AF4210" s="86">
        <f>IF(verze!$E$1="CZK",AD4210,IF(verze!$E$1="SK",AE4210,""))</f>
        <v>0</v>
      </c>
    </row>
    <row r="4211" spans="27:32" ht="15">
      <c r="AA4211" s="463" t="s">
        <v>13678</v>
      </c>
      <c r="AB4211" s="462" t="s">
        <v>13679</v>
      </c>
      <c r="AC4211" s="462" t="s">
        <v>13680</v>
      </c>
      <c r="AD4211" s="464">
        <v>335.52298000000002</v>
      </c>
      <c r="AE4211" s="465">
        <v>16.139869999999998</v>
      </c>
      <c r="AF4211" s="86">
        <f>IF(verze!$E$1="CZK",AD4211,IF(verze!$E$1="SK",AE4211,""))</f>
        <v>16.139869999999998</v>
      </c>
    </row>
    <row r="4212" spans="27:32" ht="15">
      <c r="AA4212" s="463" t="s">
        <v>13681</v>
      </c>
      <c r="AB4212" s="462" t="s">
        <v>13682</v>
      </c>
      <c r="AC4212" s="462" t="s">
        <v>13683</v>
      </c>
      <c r="AD4212" s="464">
        <v>414.31076999999999</v>
      </c>
      <c r="AE4212" s="465">
        <v>18.980820000000001</v>
      </c>
      <c r="AF4212" s="86">
        <f>IF(verze!$E$1="CZK",AD4212,IF(verze!$E$1="SK",AE4212,""))</f>
        <v>18.980820000000001</v>
      </c>
    </row>
    <row r="4213" spans="27:32" ht="15">
      <c r="AA4213" s="463" t="s">
        <v>13684</v>
      </c>
      <c r="AB4213" s="462" t="s">
        <v>13685</v>
      </c>
      <c r="AC4213" s="462" t="s">
        <v>13686</v>
      </c>
      <c r="AD4213" s="464">
        <v>521.88358000000005</v>
      </c>
      <c r="AE4213" s="465">
        <v>23.909040000000001</v>
      </c>
      <c r="AF4213" s="86">
        <f>IF(verze!$E$1="CZK",AD4213,IF(verze!$E$1="SK",AE4213,""))</f>
        <v>23.909040000000001</v>
      </c>
    </row>
    <row r="4214" spans="27:32" ht="15">
      <c r="AA4214" s="463" t="s">
        <v>13687</v>
      </c>
      <c r="AB4214" s="462" t="s">
        <v>13688</v>
      </c>
      <c r="AC4214" s="462" t="s">
        <v>13689</v>
      </c>
      <c r="AD4214" s="464">
        <v>574.90824999999995</v>
      </c>
      <c r="AE4214" s="465">
        <v>26.338239999999999</v>
      </c>
      <c r="AF4214" s="86">
        <f>IF(verze!$E$1="CZK",AD4214,IF(verze!$E$1="SK",AE4214,""))</f>
        <v>26.338239999999999</v>
      </c>
    </row>
    <row r="4215" spans="27:32" ht="15">
      <c r="AA4215" s="463" t="s">
        <v>13690</v>
      </c>
      <c r="AB4215" s="462" t="s">
        <v>13691</v>
      </c>
      <c r="AC4215" s="462" t="s">
        <v>13692</v>
      </c>
      <c r="AD4215" s="464">
        <v>636.14017000000001</v>
      </c>
      <c r="AE4215" s="465">
        <v>29.143460000000001</v>
      </c>
      <c r="AF4215" s="86">
        <f>IF(verze!$E$1="CZK",AD4215,IF(verze!$E$1="SK",AE4215,""))</f>
        <v>29.143460000000001</v>
      </c>
    </row>
    <row r="4216" spans="27:32" ht="15">
      <c r="AA4216" s="463" t="s">
        <v>13693</v>
      </c>
      <c r="AB4216" s="462" t="s">
        <v>13694</v>
      </c>
      <c r="AC4216" s="462" t="s">
        <v>13695</v>
      </c>
      <c r="AD4216" s="464">
        <v>733.67088000000001</v>
      </c>
      <c r="AE4216" s="465">
        <v>33.611640000000001</v>
      </c>
      <c r="AF4216" s="86">
        <f>IF(verze!$E$1="CZK",AD4216,IF(verze!$E$1="SK",AE4216,""))</f>
        <v>33.611640000000001</v>
      </c>
    </row>
    <row r="4217" spans="27:32" ht="15">
      <c r="AA4217" s="463" t="s">
        <v>13696</v>
      </c>
      <c r="AB4217" s="462" t="s">
        <v>13697</v>
      </c>
      <c r="AC4217" s="462" t="s">
        <v>13698</v>
      </c>
      <c r="AD4217" s="464">
        <v>967.18840999999998</v>
      </c>
      <c r="AE4217" s="465">
        <v>44.309759999999997</v>
      </c>
      <c r="AF4217" s="86">
        <f>IF(verze!$E$1="CZK",AD4217,IF(verze!$E$1="SK",AE4217,""))</f>
        <v>44.309759999999997</v>
      </c>
    </row>
    <row r="4218" spans="27:32" ht="15">
      <c r="AA4218" s="463" t="s">
        <v>13699</v>
      </c>
      <c r="AB4218" s="462" t="s">
        <v>13700</v>
      </c>
      <c r="AC4218" s="462" t="s">
        <v>13701</v>
      </c>
      <c r="AD4218" s="464">
        <v>1072.2145700000001</v>
      </c>
      <c r="AE4218" s="465">
        <v>49.121319999999997</v>
      </c>
      <c r="AF4218" s="86">
        <f>IF(verze!$E$1="CZK",AD4218,IF(verze!$E$1="SK",AE4218,""))</f>
        <v>49.121319999999997</v>
      </c>
    </row>
    <row r="4219" spans="27:32" ht="15">
      <c r="AA4219" s="463" t="s">
        <v>13702</v>
      </c>
      <c r="AB4219" s="462" t="s">
        <v>13703</v>
      </c>
      <c r="AC4219" s="462" t="s">
        <v>13704</v>
      </c>
      <c r="AD4219" s="464">
        <v>1176.15092</v>
      </c>
      <c r="AE4219" s="465">
        <v>53.882959999999997</v>
      </c>
      <c r="AF4219" s="86">
        <f>IF(verze!$E$1="CZK",AD4219,IF(verze!$E$1="SK",AE4219,""))</f>
        <v>53.882959999999997</v>
      </c>
    </row>
    <row r="4220" spans="27:32" ht="15">
      <c r="AA4220" s="463" t="s">
        <v>13705</v>
      </c>
      <c r="AB4220" s="462" t="s">
        <v>13706</v>
      </c>
      <c r="AC4220" s="462" t="s">
        <v>13707</v>
      </c>
      <c r="AD4220" s="464">
        <v>1577.6911700000001</v>
      </c>
      <c r="AE4220" s="465">
        <v>72.278720000000007</v>
      </c>
      <c r="AF4220" s="86">
        <f>IF(verze!$E$1="CZK",AD4220,IF(verze!$E$1="SK",AE4220,""))</f>
        <v>72.278720000000007</v>
      </c>
    </row>
    <row r="4221" spans="27:32" ht="15">
      <c r="AA4221" s="463" t="s">
        <v>13708</v>
      </c>
      <c r="AB4221" s="462" t="s">
        <v>13709</v>
      </c>
      <c r="AC4221" s="462" t="s">
        <v>13710</v>
      </c>
      <c r="AD4221" s="464">
        <v>1814.34482</v>
      </c>
      <c r="AE4221" s="465">
        <v>83.120500000000007</v>
      </c>
      <c r="AF4221" s="86">
        <f>IF(verze!$E$1="CZK",AD4221,IF(verze!$E$1="SK",AE4221,""))</f>
        <v>83.120500000000007</v>
      </c>
    </row>
    <row r="4222" spans="27:32" ht="15">
      <c r="AA4222" s="463" t="s">
        <v>13711</v>
      </c>
      <c r="AB4222" s="462" t="s">
        <v>13712</v>
      </c>
      <c r="AC4222" s="462" t="s">
        <v>13713</v>
      </c>
      <c r="AD4222" s="464">
        <v>46.70796</v>
      </c>
      <c r="AE4222" s="465">
        <v>2.1398199999999998</v>
      </c>
      <c r="AF4222" s="86">
        <f>IF(verze!$E$1="CZK",AD4222,IF(verze!$E$1="SK",AE4222,""))</f>
        <v>2.1398199999999998</v>
      </c>
    </row>
    <row r="4223" spans="27:32" ht="15">
      <c r="AA4223" s="463" t="s">
        <v>13714</v>
      </c>
      <c r="AB4223" s="462" t="s">
        <v>13715</v>
      </c>
      <c r="AC4223" s="462" t="s">
        <v>13716</v>
      </c>
      <c r="AD4223" s="464">
        <v>83.0364</v>
      </c>
      <c r="AE4223" s="465">
        <v>3.80416</v>
      </c>
      <c r="AF4223" s="86">
        <f>IF(verze!$E$1="CZK",AD4223,IF(verze!$E$1="SK",AE4223,""))</f>
        <v>3.80416</v>
      </c>
    </row>
    <row r="4224" spans="27:32" ht="15">
      <c r="AA4224" s="463" t="s">
        <v>13717</v>
      </c>
      <c r="AB4224" s="462" t="s">
        <v>13718</v>
      </c>
      <c r="AC4224" s="462" t="s">
        <v>13719</v>
      </c>
      <c r="AD4224" s="464">
        <v>83.0364</v>
      </c>
      <c r="AE4224" s="465">
        <v>3.80416</v>
      </c>
      <c r="AF4224" s="86">
        <f>IF(verze!$E$1="CZK",AD4224,IF(verze!$E$1="SK",AE4224,""))</f>
        <v>3.80416</v>
      </c>
    </row>
    <row r="4225" spans="27:32" ht="15">
      <c r="AA4225" s="463" t="s">
        <v>13720</v>
      </c>
      <c r="AB4225" s="462" t="s">
        <v>13721</v>
      </c>
      <c r="AC4225" s="462" t="s">
        <v>13722</v>
      </c>
      <c r="AD4225" s="464">
        <v>37.069839999999999</v>
      </c>
      <c r="AE4225" s="465">
        <v>1.69828</v>
      </c>
      <c r="AF4225" s="86">
        <f>IF(verze!$E$1="CZK",AD4225,IF(verze!$E$1="SK",AE4225,""))</f>
        <v>1.69828</v>
      </c>
    </row>
    <row r="4226" spans="27:32" ht="15">
      <c r="AA4226" s="463" t="s">
        <v>13723</v>
      </c>
      <c r="AB4226" s="462" t="s">
        <v>13724</v>
      </c>
      <c r="AC4226" s="462" t="s">
        <v>13725</v>
      </c>
      <c r="AD4226" s="464">
        <v>1710.03035</v>
      </c>
      <c r="AE4226" s="465">
        <v>78.341560000000001</v>
      </c>
      <c r="AF4226" s="86">
        <f>IF(verze!$E$1="CZK",AD4226,IF(verze!$E$1="SK",AE4226,""))</f>
        <v>78.341560000000001</v>
      </c>
    </row>
    <row r="4227" spans="27:32" ht="15">
      <c r="AA4227" s="463" t="s">
        <v>13726</v>
      </c>
      <c r="AB4227" s="462" t="s">
        <v>13727</v>
      </c>
      <c r="AC4227" s="462" t="s">
        <v>13728</v>
      </c>
      <c r="AD4227" s="464">
        <v>1966.53493</v>
      </c>
      <c r="AE4227" s="465">
        <v>90.092780000000005</v>
      </c>
      <c r="AF4227" s="86">
        <f>IF(verze!$E$1="CZK",AD4227,IF(verze!$E$1="SK",AE4227,""))</f>
        <v>90.092780000000005</v>
      </c>
    </row>
    <row r="4228" spans="27:32" ht="15">
      <c r="AA4228" s="463" t="s">
        <v>13729</v>
      </c>
      <c r="AB4228" s="462" t="s">
        <v>13730</v>
      </c>
      <c r="AC4228" s="462" t="s">
        <v>13731</v>
      </c>
      <c r="AD4228" s="464">
        <v>46.70796</v>
      </c>
      <c r="AE4228" s="465">
        <v>2.1398199999999998</v>
      </c>
      <c r="AF4228" s="86">
        <f>IF(verze!$E$1="CZK",AD4228,IF(verze!$E$1="SK",AE4228,""))</f>
        <v>2.1398199999999998</v>
      </c>
    </row>
    <row r="4229" spans="27:32" ht="15">
      <c r="AA4229" s="463" t="s">
        <v>13732</v>
      </c>
      <c r="AB4229" s="462" t="s">
        <v>13733</v>
      </c>
      <c r="AC4229" s="462" t="s">
        <v>13734</v>
      </c>
      <c r="AD4229" s="464">
        <v>83.0364</v>
      </c>
      <c r="AE4229" s="465">
        <v>3.80416</v>
      </c>
      <c r="AF4229" s="86">
        <f>IF(verze!$E$1="CZK",AD4229,IF(verze!$E$1="SK",AE4229,""))</f>
        <v>3.80416</v>
      </c>
    </row>
    <row r="4230" spans="27:32" ht="15">
      <c r="AA4230" s="463" t="s">
        <v>13735</v>
      </c>
      <c r="AB4230" s="462" t="s">
        <v>13736</v>
      </c>
      <c r="AC4230" s="462" t="s">
        <v>13737</v>
      </c>
      <c r="AD4230" s="464">
        <v>83.0364</v>
      </c>
      <c r="AE4230" s="465">
        <v>3.80416</v>
      </c>
      <c r="AF4230" s="86">
        <f>IF(verze!$E$1="CZK",AD4230,IF(verze!$E$1="SK",AE4230,""))</f>
        <v>3.80416</v>
      </c>
    </row>
    <row r="4231" spans="27:32" ht="15">
      <c r="AA4231" s="463" t="s">
        <v>13738</v>
      </c>
      <c r="AB4231" s="462" t="s">
        <v>13739</v>
      </c>
      <c r="AC4231" s="462" t="s">
        <v>13740</v>
      </c>
      <c r="AD4231" s="464">
        <v>29.655850000000001</v>
      </c>
      <c r="AE4231" s="465">
        <v>1.3586199999999999</v>
      </c>
      <c r="AF4231" s="86">
        <f>IF(verze!$E$1="CZK",AD4231,IF(verze!$E$1="SK",AE4231,""))</f>
        <v>1.3586199999999999</v>
      </c>
    </row>
    <row r="4232" spans="27:32" ht="15">
      <c r="AA4232" s="463" t="s">
        <v>13741</v>
      </c>
      <c r="AB4232" s="462" t="s">
        <v>13742</v>
      </c>
      <c r="AC4232" s="462" t="s">
        <v>13743</v>
      </c>
      <c r="AD4232" s="464">
        <v>43.000959999999999</v>
      </c>
      <c r="AE4232" s="465">
        <v>1.97</v>
      </c>
      <c r="AF4232" s="86">
        <f>IF(verze!$E$1="CZK",AD4232,IF(verze!$E$1="SK",AE4232,""))</f>
        <v>1.97</v>
      </c>
    </row>
    <row r="4233" spans="27:32" ht="15">
      <c r="AA4233" s="463" t="s">
        <v>13744</v>
      </c>
      <c r="AB4233" s="462" t="s">
        <v>13745</v>
      </c>
      <c r="AC4233" s="462" t="s">
        <v>13746</v>
      </c>
      <c r="AD4233" s="464">
        <v>8775.3808900000004</v>
      </c>
      <c r="AE4233" s="465">
        <v>422.12747000000002</v>
      </c>
      <c r="AF4233" s="86">
        <f>IF(verze!$E$1="CZK",AD4233,IF(verze!$E$1="SK",AE4233,""))</f>
        <v>422.12747000000002</v>
      </c>
    </row>
    <row r="4234" spans="27:32" ht="15">
      <c r="AA4234" s="463" t="s">
        <v>13747</v>
      </c>
      <c r="AB4234" s="462" t="s">
        <v>13748</v>
      </c>
      <c r="AC4234" s="462" t="s">
        <v>13749</v>
      </c>
      <c r="AD4234" s="464">
        <v>204.56419</v>
      </c>
      <c r="AE4234" s="465">
        <v>9.8402600000000007</v>
      </c>
      <c r="AF4234" s="86">
        <f>IF(verze!$E$1="CZK",AD4234,IF(verze!$E$1="SK",AE4234,""))</f>
        <v>9.8402600000000007</v>
      </c>
    </row>
    <row r="4235" spans="27:32" ht="15">
      <c r="AA4235" s="463" t="s">
        <v>13750</v>
      </c>
      <c r="AB4235" s="462" t="s">
        <v>13751</v>
      </c>
      <c r="AC4235" s="462" t="s">
        <v>13752</v>
      </c>
      <c r="AD4235" s="464">
        <v>204.56419</v>
      </c>
      <c r="AE4235" s="465">
        <v>9.8402600000000007</v>
      </c>
      <c r="AF4235" s="86">
        <f>IF(verze!$E$1="CZK",AD4235,IF(verze!$E$1="SK",AE4235,""))</f>
        <v>9.8402600000000007</v>
      </c>
    </row>
    <row r="4236" spans="27:32" ht="15">
      <c r="AA4236" s="463" t="s">
        <v>13753</v>
      </c>
      <c r="AB4236" s="462" t="s">
        <v>13754</v>
      </c>
      <c r="AC4236" s="462" t="s">
        <v>13755</v>
      </c>
      <c r="AD4236" s="464">
        <v>0</v>
      </c>
      <c r="AE4236" s="465">
        <v>0</v>
      </c>
      <c r="AF4236" s="86">
        <f>IF(verze!$E$1="CZK",AD4236,IF(verze!$E$1="SK",AE4236,""))</f>
        <v>0</v>
      </c>
    </row>
    <row r="4237" spans="27:32" ht="15">
      <c r="AA4237" s="463" t="s">
        <v>13756</v>
      </c>
      <c r="AB4237" s="462" t="s">
        <v>13757</v>
      </c>
      <c r="AC4237" s="462" t="s">
        <v>13758</v>
      </c>
      <c r="AD4237" s="464">
        <v>1986.91569</v>
      </c>
      <c r="AE4237" s="465">
        <v>95.577830000000006</v>
      </c>
      <c r="AF4237" s="86">
        <f>IF(verze!$E$1="CZK",AD4237,IF(verze!$E$1="SK",AE4237,""))</f>
        <v>95.577830000000006</v>
      </c>
    </row>
    <row r="4238" spans="27:32" ht="15">
      <c r="AA4238" s="463" t="s">
        <v>13759</v>
      </c>
      <c r="AB4238" s="462" t="s">
        <v>13760</v>
      </c>
      <c r="AC4238" s="462" t="s">
        <v>13761</v>
      </c>
      <c r="AD4238" s="464">
        <v>8394.2006500000007</v>
      </c>
      <c r="AE4238" s="465">
        <v>335.80982</v>
      </c>
      <c r="AF4238" s="86">
        <f>IF(verze!$E$1="CZK",AD4238,IF(verze!$E$1="SK",AE4238,""))</f>
        <v>335.80982</v>
      </c>
    </row>
    <row r="4239" spans="27:32" ht="15">
      <c r="AA4239" s="463" t="s">
        <v>13762</v>
      </c>
      <c r="AB4239" s="462" t="s">
        <v>13763</v>
      </c>
      <c r="AC4239" s="462" t="s">
        <v>13764</v>
      </c>
      <c r="AD4239" s="464">
        <v>1.1726700000000001</v>
      </c>
      <c r="AE4239" s="465">
        <v>5.6410000000000002E-2</v>
      </c>
      <c r="AF4239" s="86">
        <f>IF(verze!$E$1="CZK",AD4239,IF(verze!$E$1="SK",AE4239,""))</f>
        <v>5.6410000000000002E-2</v>
      </c>
    </row>
    <row r="4240" spans="27:32" ht="15">
      <c r="AA4240" s="463" t="s">
        <v>13765</v>
      </c>
      <c r="AB4240" s="462" t="s">
        <v>13766</v>
      </c>
      <c r="AC4240" s="462" t="s">
        <v>13767</v>
      </c>
      <c r="AD4240" s="464">
        <v>174.6147</v>
      </c>
      <c r="AE4240" s="465">
        <v>8.3995999999999995</v>
      </c>
      <c r="AF4240" s="86">
        <f>IF(verze!$E$1="CZK",AD4240,IF(verze!$E$1="SK",AE4240,""))</f>
        <v>8.3995999999999995</v>
      </c>
    </row>
    <row r="4241" spans="27:32" ht="15">
      <c r="AA4241" s="463" t="s">
        <v>1320</v>
      </c>
      <c r="AB4241" s="462" t="s">
        <v>13768</v>
      </c>
      <c r="AC4241" s="462" t="s">
        <v>13769</v>
      </c>
      <c r="AD4241" s="464">
        <v>0</v>
      </c>
      <c r="AE4241" s="465">
        <v>8.5356799999999993</v>
      </c>
      <c r="AF4241" s="86">
        <f>IF(verze!$E$1="CZK",AD4241,IF(verze!$E$1="SK",AE4241,""))</f>
        <v>8.5356799999999993</v>
      </c>
    </row>
    <row r="4242" spans="27:32" ht="15">
      <c r="AA4242" s="463" t="s">
        <v>13765</v>
      </c>
      <c r="AB4242" s="462" t="s">
        <v>13770</v>
      </c>
      <c r="AC4242" s="462" t="s">
        <v>13771</v>
      </c>
      <c r="AD4242" s="464">
        <v>167.54246000000001</v>
      </c>
      <c r="AE4242" s="465">
        <v>8.0594000000000001</v>
      </c>
      <c r="AF4242" s="86">
        <f>IF(verze!$E$1="CZK",AD4242,IF(verze!$E$1="SK",AE4242,""))</f>
        <v>8.0594000000000001</v>
      </c>
    </row>
    <row r="4243" spans="27:32" ht="15">
      <c r="AA4243" s="463" t="s">
        <v>13772</v>
      </c>
      <c r="AB4243" s="462" t="s">
        <v>13773</v>
      </c>
      <c r="AC4243" s="462" t="s">
        <v>13774</v>
      </c>
      <c r="AD4243" s="464">
        <v>174.6147</v>
      </c>
      <c r="AE4243" s="465">
        <v>8.3995999999999995</v>
      </c>
      <c r="AF4243" s="86">
        <f>IF(verze!$E$1="CZK",AD4243,IF(verze!$E$1="SK",AE4243,""))</f>
        <v>8.3995999999999995</v>
      </c>
    </row>
    <row r="4244" spans="27:32" ht="15">
      <c r="AA4244" s="463" t="s">
        <v>1320</v>
      </c>
      <c r="AB4244" s="462" t="s">
        <v>13775</v>
      </c>
      <c r="AC4244" s="462" t="s">
        <v>13776</v>
      </c>
      <c r="AD4244" s="464">
        <v>0</v>
      </c>
      <c r="AE4244" s="465">
        <v>8.5356799999999993</v>
      </c>
      <c r="AF4244" s="86">
        <f>IF(verze!$E$1="CZK",AD4244,IF(verze!$E$1="SK",AE4244,""))</f>
        <v>8.5356799999999993</v>
      </c>
    </row>
    <row r="4245" spans="27:32" ht="15">
      <c r="AA4245" s="463" t="s">
        <v>13772</v>
      </c>
      <c r="AB4245" s="462" t="s">
        <v>13777</v>
      </c>
      <c r="AC4245" s="462" t="s">
        <v>13778</v>
      </c>
      <c r="AD4245" s="464">
        <v>167.54246000000001</v>
      </c>
      <c r="AE4245" s="465">
        <v>8.0594000000000001</v>
      </c>
      <c r="AF4245" s="86">
        <f>IF(verze!$E$1="CZK",AD4245,IF(verze!$E$1="SK",AE4245,""))</f>
        <v>8.0594000000000001</v>
      </c>
    </row>
    <row r="4246" spans="27:32" ht="15">
      <c r="AA4246" s="463" t="s">
        <v>13779</v>
      </c>
      <c r="AB4246" s="462" t="s">
        <v>13780</v>
      </c>
      <c r="AC4246" s="462" t="s">
        <v>13781</v>
      </c>
      <c r="AD4246" s="464">
        <v>244.82070999999999</v>
      </c>
      <c r="AE4246" s="465">
        <v>11.776759999999999</v>
      </c>
      <c r="AF4246" s="86">
        <f>IF(verze!$E$1="CZK",AD4246,IF(verze!$E$1="SK",AE4246,""))</f>
        <v>11.776759999999999</v>
      </c>
    </row>
    <row r="4247" spans="27:32" ht="15">
      <c r="AA4247" s="463" t="s">
        <v>13782</v>
      </c>
      <c r="AB4247" s="462" t="s">
        <v>13783</v>
      </c>
      <c r="AC4247" s="462" t="s">
        <v>13784</v>
      </c>
      <c r="AD4247" s="464">
        <v>244.82070999999999</v>
      </c>
      <c r="AE4247" s="465">
        <v>11.776759999999999</v>
      </c>
      <c r="AF4247" s="86">
        <f>IF(verze!$E$1="CZK",AD4247,IF(verze!$E$1="SK",AE4247,""))</f>
        <v>11.776759999999999</v>
      </c>
    </row>
    <row r="4248" spans="27:32" ht="15">
      <c r="AA4248" s="463" t="s">
        <v>13785</v>
      </c>
      <c r="AB4248" s="462" t="s">
        <v>13786</v>
      </c>
      <c r="AC4248" s="462" t="s">
        <v>13787</v>
      </c>
      <c r="AD4248" s="464">
        <v>16.44079</v>
      </c>
      <c r="AE4248" s="465">
        <v>0.78757999999999995</v>
      </c>
      <c r="AF4248" s="86">
        <f>IF(verze!$E$1="CZK",AD4248,IF(verze!$E$1="SK",AE4248,""))</f>
        <v>0.78757999999999995</v>
      </c>
    </row>
    <row r="4249" spans="27:32" ht="15">
      <c r="AA4249" s="463" t="s">
        <v>13788</v>
      </c>
      <c r="AB4249" s="462" t="s">
        <v>13789</v>
      </c>
      <c r="AC4249" s="462" t="s">
        <v>13790</v>
      </c>
      <c r="AD4249" s="464">
        <v>71.483109999999996</v>
      </c>
      <c r="AE4249" s="465">
        <v>3.4244300000000001</v>
      </c>
      <c r="AF4249" s="86">
        <f>IF(verze!$E$1="CZK",AD4249,IF(verze!$E$1="SK",AE4249,""))</f>
        <v>3.4244300000000001</v>
      </c>
    </row>
    <row r="4250" spans="27:32" ht="15">
      <c r="AA4250" s="463" t="s">
        <v>13791</v>
      </c>
      <c r="AB4250" s="462" t="s">
        <v>13792</v>
      </c>
      <c r="AC4250" s="462" t="s">
        <v>13793</v>
      </c>
      <c r="AD4250" s="464">
        <v>3697.3706999999999</v>
      </c>
      <c r="AE4250" s="465">
        <v>147.91323</v>
      </c>
      <c r="AF4250" s="86">
        <f>IF(verze!$E$1="CZK",AD4250,IF(verze!$E$1="SK",AE4250,""))</f>
        <v>147.91323</v>
      </c>
    </row>
    <row r="4251" spans="27:32" ht="15">
      <c r="AA4251" s="463" t="s">
        <v>13791</v>
      </c>
      <c r="AB4251" s="462" t="s">
        <v>13794</v>
      </c>
      <c r="AC4251" s="462" t="s">
        <v>13795</v>
      </c>
      <c r="AD4251" s="464">
        <v>1397.873</v>
      </c>
      <c r="AE4251" s="465">
        <v>56.074680000000001</v>
      </c>
      <c r="AF4251" s="86">
        <f>IF(verze!$E$1="CZK",AD4251,IF(verze!$E$1="SK",AE4251,""))</f>
        <v>56.074680000000001</v>
      </c>
    </row>
    <row r="4252" spans="27:32" ht="15">
      <c r="AA4252" s="463" t="s">
        <v>13796</v>
      </c>
      <c r="AB4252" s="462" t="s">
        <v>13797</v>
      </c>
      <c r="AC4252" s="462" t="s">
        <v>13798</v>
      </c>
      <c r="AD4252" s="464">
        <v>5931.0519800000002</v>
      </c>
      <c r="AE4252" s="465">
        <v>237.27162000000001</v>
      </c>
      <c r="AF4252" s="86">
        <f>IF(verze!$E$1="CZK",AD4252,IF(verze!$E$1="SK",AE4252,""))</f>
        <v>237.27162000000001</v>
      </c>
    </row>
    <row r="4253" spans="27:32" ht="15">
      <c r="AA4253" s="463" t="s">
        <v>13796</v>
      </c>
      <c r="AB4253" s="462" t="s">
        <v>13799</v>
      </c>
      <c r="AC4253" s="462" t="s">
        <v>13800</v>
      </c>
      <c r="AD4253" s="464">
        <v>2242.3663999999999</v>
      </c>
      <c r="AE4253" s="465">
        <v>89.95093</v>
      </c>
      <c r="AF4253" s="86">
        <f>IF(verze!$E$1="CZK",AD4253,IF(verze!$E$1="SK",AE4253,""))</f>
        <v>89.95093</v>
      </c>
    </row>
    <row r="4254" spans="27:32" ht="15">
      <c r="AA4254" s="463" t="s">
        <v>13801</v>
      </c>
      <c r="AB4254" s="462" t="s">
        <v>13802</v>
      </c>
      <c r="AC4254" s="462" t="s">
        <v>13803</v>
      </c>
      <c r="AD4254" s="464">
        <v>86451.942020000002</v>
      </c>
      <c r="AE4254" s="465">
        <v>3458.5080499999999</v>
      </c>
      <c r="AF4254" s="86">
        <f>IF(verze!$E$1="CZK",AD4254,IF(verze!$E$1="SK",AE4254,""))</f>
        <v>3458.5080499999999</v>
      </c>
    </row>
    <row r="4255" spans="27:32" ht="15">
      <c r="AA4255" s="463" t="s">
        <v>13801</v>
      </c>
      <c r="AB4255" s="462" t="s">
        <v>13804</v>
      </c>
      <c r="AC4255" s="462" t="s">
        <v>13805</v>
      </c>
      <c r="AD4255" s="464">
        <v>32685.079450000001</v>
      </c>
      <c r="AE4255" s="465">
        <v>1311.1386199999999</v>
      </c>
      <c r="AF4255" s="86">
        <f>IF(verze!$E$1="CZK",AD4255,IF(verze!$E$1="SK",AE4255,""))</f>
        <v>1311.1386199999999</v>
      </c>
    </row>
    <row r="4256" spans="27:32" ht="15">
      <c r="AA4256" s="463" t="s">
        <v>13806</v>
      </c>
      <c r="AB4256" s="462" t="s">
        <v>13807</v>
      </c>
      <c r="AC4256" s="462" t="s">
        <v>13808</v>
      </c>
      <c r="AD4256" s="464">
        <v>17.79804</v>
      </c>
      <c r="AE4256" s="465">
        <v>0.85614999999999997</v>
      </c>
      <c r="AF4256" s="86">
        <f>IF(verze!$E$1="CZK",AD4256,IF(verze!$E$1="SK",AE4256,""))</f>
        <v>0.85614999999999997</v>
      </c>
    </row>
    <row r="4257" spans="27:32" ht="15">
      <c r="AA4257" s="463" t="s">
        <v>13809</v>
      </c>
      <c r="AB4257" s="462" t="s">
        <v>13810</v>
      </c>
      <c r="AC4257" s="462" t="s">
        <v>13811</v>
      </c>
      <c r="AD4257" s="464">
        <v>16.488900000000001</v>
      </c>
      <c r="AE4257" s="465">
        <v>0.79318999999999995</v>
      </c>
      <c r="AF4257" s="86">
        <f>IF(verze!$E$1="CZK",AD4257,IF(verze!$E$1="SK",AE4257,""))</f>
        <v>0.79318999999999995</v>
      </c>
    </row>
    <row r="4258" spans="27:32" ht="15">
      <c r="AA4258" s="463" t="s">
        <v>13812</v>
      </c>
      <c r="AB4258" s="462" t="s">
        <v>13813</v>
      </c>
      <c r="AC4258" s="462" t="s">
        <v>13814</v>
      </c>
      <c r="AD4258" s="464">
        <v>110.31064000000001</v>
      </c>
      <c r="AE4258" s="465">
        <v>5.3063399999999996</v>
      </c>
      <c r="AF4258" s="86">
        <f>IF(verze!$E$1="CZK",AD4258,IF(verze!$E$1="SK",AE4258,""))</f>
        <v>5.3063399999999996</v>
      </c>
    </row>
    <row r="4259" spans="27:32" ht="15">
      <c r="AA4259" s="463" t="s">
        <v>13815</v>
      </c>
      <c r="AB4259" s="462" t="s">
        <v>13816</v>
      </c>
      <c r="AC4259" s="462" t="s">
        <v>13817</v>
      </c>
      <c r="AD4259" s="464">
        <v>2429.1340100000002</v>
      </c>
      <c r="AE4259" s="465">
        <v>111.28582</v>
      </c>
      <c r="AF4259" s="86">
        <f>IF(verze!$E$1="CZK",AD4259,IF(verze!$E$1="SK",AE4259,""))</f>
        <v>111.28582</v>
      </c>
    </row>
    <row r="4260" spans="27:32" ht="15">
      <c r="AA4260" s="463" t="s">
        <v>13818</v>
      </c>
      <c r="AB4260" s="462" t="s">
        <v>13819</v>
      </c>
      <c r="AC4260" s="462" t="s">
        <v>13820</v>
      </c>
      <c r="AD4260" s="464">
        <v>3205.3918399999998</v>
      </c>
      <c r="AE4260" s="465">
        <v>146.84848</v>
      </c>
      <c r="AF4260" s="86">
        <f>IF(verze!$E$1="CZK",AD4260,IF(verze!$E$1="SK",AE4260,""))</f>
        <v>146.84848</v>
      </c>
    </row>
    <row r="4261" spans="27:32" ht="15">
      <c r="AA4261" s="463" t="s">
        <v>13821</v>
      </c>
      <c r="AB4261" s="462" t="s">
        <v>13822</v>
      </c>
      <c r="AC4261" s="462" t="s">
        <v>13823</v>
      </c>
      <c r="AD4261" s="464">
        <v>377.27866999999998</v>
      </c>
      <c r="AE4261" s="465">
        <v>15.093030000000001</v>
      </c>
      <c r="AF4261" s="86">
        <f>IF(verze!$E$1="CZK",AD4261,IF(verze!$E$1="SK",AE4261,""))</f>
        <v>15.093030000000001</v>
      </c>
    </row>
    <row r="4262" spans="27:32" ht="15">
      <c r="AA4262" s="463" t="s">
        <v>13824</v>
      </c>
      <c r="AB4262" s="462" t="s">
        <v>13825</v>
      </c>
      <c r="AC4262" s="462" t="s">
        <v>13826</v>
      </c>
      <c r="AD4262" s="464">
        <v>16.488900000000001</v>
      </c>
      <c r="AE4262" s="465">
        <v>0.79318999999999995</v>
      </c>
      <c r="AF4262" s="86">
        <f>IF(verze!$E$1="CZK",AD4262,IF(verze!$E$1="SK",AE4262,""))</f>
        <v>0.79318999999999995</v>
      </c>
    </row>
    <row r="4263" spans="27:32" ht="15">
      <c r="AA4263" s="463" t="s">
        <v>13827</v>
      </c>
      <c r="AB4263" s="462" t="s">
        <v>13828</v>
      </c>
      <c r="AC4263" s="462" t="s">
        <v>13829</v>
      </c>
      <c r="AD4263" s="464">
        <v>386.74495000000002</v>
      </c>
      <c r="AE4263" s="465">
        <v>18.603840000000002</v>
      </c>
      <c r="AF4263" s="86">
        <f>IF(verze!$E$1="CZK",AD4263,IF(verze!$E$1="SK",AE4263,""))</f>
        <v>18.603840000000002</v>
      </c>
    </row>
    <row r="4264" spans="27:32" ht="15">
      <c r="AA4264" s="463" t="s">
        <v>13830</v>
      </c>
      <c r="AB4264" s="462" t="s">
        <v>13831</v>
      </c>
      <c r="AC4264" s="462" t="s">
        <v>13832</v>
      </c>
      <c r="AD4264" s="464">
        <v>408.73441000000003</v>
      </c>
      <c r="AE4264" s="465">
        <v>19.66159</v>
      </c>
      <c r="AF4264" s="86">
        <f>IF(verze!$E$1="CZK",AD4264,IF(verze!$E$1="SK",AE4264,""))</f>
        <v>19.66159</v>
      </c>
    </row>
    <row r="4265" spans="27:32" ht="15">
      <c r="AA4265" s="463" t="s">
        <v>13833</v>
      </c>
      <c r="AB4265" s="462" t="s">
        <v>13834</v>
      </c>
      <c r="AC4265" s="462" t="s">
        <v>13835</v>
      </c>
      <c r="AD4265" s="464">
        <v>434.68875000000003</v>
      </c>
      <c r="AE4265" s="465">
        <v>20.9101</v>
      </c>
      <c r="AF4265" s="86">
        <f>IF(verze!$E$1="CZK",AD4265,IF(verze!$E$1="SK",AE4265,""))</f>
        <v>20.9101</v>
      </c>
    </row>
    <row r="4266" spans="27:32" ht="15">
      <c r="AA4266" s="463" t="s">
        <v>13836</v>
      </c>
      <c r="AB4266" s="462" t="s">
        <v>13837</v>
      </c>
      <c r="AC4266" s="462" t="s">
        <v>13838</v>
      </c>
      <c r="AD4266" s="464">
        <v>462.20101</v>
      </c>
      <c r="AE4266" s="465">
        <v>22.233540000000001</v>
      </c>
      <c r="AF4266" s="86">
        <f>IF(verze!$E$1="CZK",AD4266,IF(verze!$E$1="SK",AE4266,""))</f>
        <v>22.233540000000001</v>
      </c>
    </row>
    <row r="4267" spans="27:32" ht="15">
      <c r="AA4267" s="463" t="s">
        <v>13839</v>
      </c>
      <c r="AB4267" s="462" t="s">
        <v>13840</v>
      </c>
      <c r="AC4267" s="462" t="s">
        <v>13841</v>
      </c>
      <c r="AD4267" s="464">
        <v>484.76744000000002</v>
      </c>
      <c r="AE4267" s="465">
        <v>23.31907</v>
      </c>
      <c r="AF4267" s="86">
        <f>IF(verze!$E$1="CZK",AD4267,IF(verze!$E$1="SK",AE4267,""))</f>
        <v>23.31907</v>
      </c>
    </row>
    <row r="4268" spans="27:32" ht="15">
      <c r="AA4268" s="463" t="s">
        <v>13842</v>
      </c>
      <c r="AB4268" s="462" t="s">
        <v>13843</v>
      </c>
      <c r="AC4268" s="462" t="s">
        <v>13844</v>
      </c>
      <c r="AD4268" s="464">
        <v>510.87416999999999</v>
      </c>
      <c r="AE4268" s="465">
        <v>24.57489</v>
      </c>
      <c r="AF4268" s="86">
        <f>IF(verze!$E$1="CZK",AD4268,IF(verze!$E$1="SK",AE4268,""))</f>
        <v>24.57489</v>
      </c>
    </row>
    <row r="4269" spans="27:32" ht="15">
      <c r="AA4269" s="463" t="s">
        <v>13845</v>
      </c>
      <c r="AB4269" s="462" t="s">
        <v>13846</v>
      </c>
      <c r="AC4269" s="462" t="s">
        <v>13847</v>
      </c>
      <c r="AD4269" s="464">
        <v>381.15609000000001</v>
      </c>
      <c r="AE4269" s="465">
        <v>18.335000000000001</v>
      </c>
      <c r="AF4269" s="86">
        <f>IF(verze!$E$1="CZK",AD4269,IF(verze!$E$1="SK",AE4269,""))</f>
        <v>18.335000000000001</v>
      </c>
    </row>
    <row r="4270" spans="27:32" ht="15">
      <c r="AA4270" s="463" t="s">
        <v>13848</v>
      </c>
      <c r="AB4270" s="462" t="s">
        <v>13849</v>
      </c>
      <c r="AC4270" s="462" t="s">
        <v>13850</v>
      </c>
      <c r="AD4270" s="464">
        <v>402.16705999999999</v>
      </c>
      <c r="AE4270" s="465">
        <v>19.345700000000001</v>
      </c>
      <c r="AF4270" s="86">
        <f>IF(verze!$E$1="CZK",AD4270,IF(verze!$E$1="SK",AE4270,""))</f>
        <v>19.345700000000001</v>
      </c>
    </row>
    <row r="4271" spans="27:32" ht="15">
      <c r="AA4271" s="463" t="s">
        <v>13851</v>
      </c>
      <c r="AB4271" s="462" t="s">
        <v>13852</v>
      </c>
      <c r="AC4271" s="462" t="s">
        <v>13853</v>
      </c>
      <c r="AD4271" s="464">
        <v>427.11748</v>
      </c>
      <c r="AE4271" s="465">
        <v>20.5459</v>
      </c>
      <c r="AF4271" s="86">
        <f>IF(verze!$E$1="CZK",AD4271,IF(verze!$E$1="SK",AE4271,""))</f>
        <v>20.5459</v>
      </c>
    </row>
    <row r="4272" spans="27:32" ht="15">
      <c r="AA4272" s="463" t="s">
        <v>13854</v>
      </c>
      <c r="AB4272" s="462" t="s">
        <v>13855</v>
      </c>
      <c r="AC4272" s="462" t="s">
        <v>13856</v>
      </c>
      <c r="AD4272" s="464">
        <v>453.40973000000002</v>
      </c>
      <c r="AE4272" s="465">
        <v>21.810639999999999</v>
      </c>
      <c r="AF4272" s="86">
        <f>IF(verze!$E$1="CZK",AD4272,IF(verze!$E$1="SK",AE4272,""))</f>
        <v>21.810639999999999</v>
      </c>
    </row>
    <row r="4273" spans="27:32" ht="15">
      <c r="AA4273" s="463" t="s">
        <v>13857</v>
      </c>
      <c r="AB4273" s="462" t="s">
        <v>13858</v>
      </c>
      <c r="AC4273" s="462" t="s">
        <v>13859</v>
      </c>
      <c r="AD4273" s="464">
        <v>471.92752999999999</v>
      </c>
      <c r="AE4273" s="465">
        <v>22.701419999999999</v>
      </c>
      <c r="AF4273" s="86">
        <f>IF(verze!$E$1="CZK",AD4273,IF(verze!$E$1="SK",AE4273,""))</f>
        <v>22.701419999999999</v>
      </c>
    </row>
    <row r="4274" spans="27:32" ht="15">
      <c r="AA4274" s="463" t="s">
        <v>13860</v>
      </c>
      <c r="AB4274" s="462" t="s">
        <v>13861</v>
      </c>
      <c r="AC4274" s="462" t="s">
        <v>13862</v>
      </c>
      <c r="AD4274" s="464">
        <v>495.84600999999998</v>
      </c>
      <c r="AE4274" s="465">
        <v>23.851990000000001</v>
      </c>
      <c r="AF4274" s="86">
        <f>IF(verze!$E$1="CZK",AD4274,IF(verze!$E$1="SK",AE4274,""))</f>
        <v>23.851990000000001</v>
      </c>
    </row>
    <row r="4275" spans="27:32" ht="15">
      <c r="AA4275" s="463" t="s">
        <v>13863</v>
      </c>
      <c r="AB4275" s="462" t="s">
        <v>13864</v>
      </c>
      <c r="AC4275" s="462" t="s">
        <v>13865</v>
      </c>
      <c r="AD4275" s="464">
        <v>249.85856000000001</v>
      </c>
      <c r="AE4275" s="465">
        <v>12.0191</v>
      </c>
      <c r="AF4275" s="86">
        <f>IF(verze!$E$1="CZK",AD4275,IF(verze!$E$1="SK",AE4275,""))</f>
        <v>12.0191</v>
      </c>
    </row>
    <row r="4276" spans="27:32" ht="15">
      <c r="AA4276" s="463" t="s">
        <v>13866</v>
      </c>
      <c r="AB4276" s="462" t="s">
        <v>13867</v>
      </c>
      <c r="AC4276" s="462" t="s">
        <v>13868</v>
      </c>
      <c r="AD4276" s="464">
        <v>249.85856000000001</v>
      </c>
      <c r="AE4276" s="465">
        <v>12.0191</v>
      </c>
      <c r="AF4276" s="86">
        <f>IF(verze!$E$1="CZK",AD4276,IF(verze!$E$1="SK",AE4276,""))</f>
        <v>12.0191</v>
      </c>
    </row>
    <row r="4277" spans="27:32" ht="15">
      <c r="AA4277" s="463" t="s">
        <v>13869</v>
      </c>
      <c r="AB4277" s="462" t="s">
        <v>13870</v>
      </c>
      <c r="AC4277" s="462" t="s">
        <v>13871</v>
      </c>
      <c r="AD4277" s="464">
        <v>250.16165000000001</v>
      </c>
      <c r="AE4277" s="465">
        <v>12.03369</v>
      </c>
      <c r="AF4277" s="86">
        <f>IF(verze!$E$1="CZK",AD4277,IF(verze!$E$1="SK",AE4277,""))</f>
        <v>12.03369</v>
      </c>
    </row>
    <row r="4278" spans="27:32" ht="15">
      <c r="AA4278" s="463" t="s">
        <v>13872</v>
      </c>
      <c r="AB4278" s="462" t="s">
        <v>13873</v>
      </c>
      <c r="AC4278" s="462" t="s">
        <v>13874</v>
      </c>
      <c r="AD4278" s="464">
        <v>250.16165000000001</v>
      </c>
      <c r="AE4278" s="465">
        <v>12.03369</v>
      </c>
      <c r="AF4278" s="86">
        <f>IF(verze!$E$1="CZK",AD4278,IF(verze!$E$1="SK",AE4278,""))</f>
        <v>12.03369</v>
      </c>
    </row>
    <row r="4279" spans="27:32" ht="15">
      <c r="AA4279" s="463" t="s">
        <v>13875</v>
      </c>
      <c r="AB4279" s="462" t="s">
        <v>13876</v>
      </c>
      <c r="AC4279" s="462" t="s">
        <v>13877</v>
      </c>
      <c r="AD4279" s="464">
        <v>260.67007000000001</v>
      </c>
      <c r="AE4279" s="465">
        <v>12.53918</v>
      </c>
      <c r="AF4279" s="86">
        <f>IF(verze!$E$1="CZK",AD4279,IF(verze!$E$1="SK",AE4279,""))</f>
        <v>12.53918</v>
      </c>
    </row>
    <row r="4280" spans="27:32" ht="15">
      <c r="AA4280" s="463" t="s">
        <v>13878</v>
      </c>
      <c r="AB4280" s="462" t="s">
        <v>13879</v>
      </c>
      <c r="AC4280" s="462" t="s">
        <v>13880</v>
      </c>
      <c r="AD4280" s="464">
        <v>260.67007000000001</v>
      </c>
      <c r="AE4280" s="465">
        <v>12.53918</v>
      </c>
      <c r="AF4280" s="86">
        <f>IF(verze!$E$1="CZK",AD4280,IF(verze!$E$1="SK",AE4280,""))</f>
        <v>12.53918</v>
      </c>
    </row>
    <row r="4281" spans="27:32" ht="15">
      <c r="AA4281" s="463" t="s">
        <v>13881</v>
      </c>
      <c r="AB4281" s="462" t="s">
        <v>13882</v>
      </c>
      <c r="AC4281" s="462" t="s">
        <v>13883</v>
      </c>
      <c r="AD4281" s="464">
        <v>253.81685999999999</v>
      </c>
      <c r="AE4281" s="465">
        <v>11.945819999999999</v>
      </c>
      <c r="AF4281" s="86">
        <f>IF(verze!$E$1="CZK",AD4281,IF(verze!$E$1="SK",AE4281,""))</f>
        <v>11.945819999999999</v>
      </c>
    </row>
    <row r="4282" spans="27:32" ht="15">
      <c r="AA4282" s="463" t="s">
        <v>13884</v>
      </c>
      <c r="AB4282" s="462" t="s">
        <v>13885</v>
      </c>
      <c r="AC4282" s="462" t="s">
        <v>13886</v>
      </c>
      <c r="AD4282" s="464">
        <v>253.81685999999999</v>
      </c>
      <c r="AE4282" s="465">
        <v>11.945819999999999</v>
      </c>
      <c r="AF4282" s="86">
        <f>IF(verze!$E$1="CZK",AD4282,IF(verze!$E$1="SK",AE4282,""))</f>
        <v>11.945819999999999</v>
      </c>
    </row>
    <row r="4283" spans="27:32" ht="15">
      <c r="AA4283" s="463" t="s">
        <v>13887</v>
      </c>
      <c r="AB4283" s="462" t="s">
        <v>13888</v>
      </c>
      <c r="AC4283" s="462" t="s">
        <v>13889</v>
      </c>
      <c r="AD4283" s="464">
        <v>258.97115000000002</v>
      </c>
      <c r="AE4283" s="465">
        <v>12.1884</v>
      </c>
      <c r="AF4283" s="86">
        <f>IF(verze!$E$1="CZK",AD4283,IF(verze!$E$1="SK",AE4283,""))</f>
        <v>12.1884</v>
      </c>
    </row>
    <row r="4284" spans="27:32" ht="15">
      <c r="AA4284" s="463" t="s">
        <v>13890</v>
      </c>
      <c r="AB4284" s="462" t="s">
        <v>13891</v>
      </c>
      <c r="AC4284" s="462" t="s">
        <v>13892</v>
      </c>
      <c r="AD4284" s="464">
        <v>258.97115000000002</v>
      </c>
      <c r="AE4284" s="465">
        <v>12.1884</v>
      </c>
      <c r="AF4284" s="86">
        <f>IF(verze!$E$1="CZK",AD4284,IF(verze!$E$1="SK",AE4284,""))</f>
        <v>12.1884</v>
      </c>
    </row>
    <row r="4285" spans="27:32" ht="15">
      <c r="AA4285" s="463" t="s">
        <v>13893</v>
      </c>
      <c r="AB4285" s="462" t="s">
        <v>13894</v>
      </c>
      <c r="AC4285" s="462" t="s">
        <v>13895</v>
      </c>
      <c r="AD4285" s="464">
        <v>282.28789999999998</v>
      </c>
      <c r="AE4285" s="465">
        <v>13.57906</v>
      </c>
      <c r="AF4285" s="86">
        <f>IF(verze!$E$1="CZK",AD4285,IF(verze!$E$1="SK",AE4285,""))</f>
        <v>13.57906</v>
      </c>
    </row>
    <row r="4286" spans="27:32" ht="15">
      <c r="AA4286" s="463" t="s">
        <v>13896</v>
      </c>
      <c r="AB4286" s="462" t="s">
        <v>13897</v>
      </c>
      <c r="AC4286" s="462" t="s">
        <v>13898</v>
      </c>
      <c r="AD4286" s="464">
        <v>282.28789999999998</v>
      </c>
      <c r="AE4286" s="465">
        <v>13.57906</v>
      </c>
      <c r="AF4286" s="86">
        <f>IF(verze!$E$1="CZK",AD4286,IF(verze!$E$1="SK",AE4286,""))</f>
        <v>13.57906</v>
      </c>
    </row>
    <row r="4287" spans="27:32" ht="15">
      <c r="AA4287" s="463" t="s">
        <v>13899</v>
      </c>
      <c r="AB4287" s="462" t="s">
        <v>13900</v>
      </c>
      <c r="AC4287" s="462" t="s">
        <v>13901</v>
      </c>
      <c r="AD4287" s="464">
        <v>287.69375000000002</v>
      </c>
      <c r="AE4287" s="465">
        <v>13.83911</v>
      </c>
      <c r="AF4287" s="86">
        <f>IF(verze!$E$1="CZK",AD4287,IF(verze!$E$1="SK",AE4287,""))</f>
        <v>13.83911</v>
      </c>
    </row>
    <row r="4288" spans="27:32" ht="15">
      <c r="AA4288" s="463" t="s">
        <v>13902</v>
      </c>
      <c r="AB4288" s="462" t="s">
        <v>13903</v>
      </c>
      <c r="AC4288" s="462" t="s">
        <v>13904</v>
      </c>
      <c r="AD4288" s="464">
        <v>287.69375000000002</v>
      </c>
      <c r="AE4288" s="465">
        <v>13.83911</v>
      </c>
      <c r="AF4288" s="86">
        <f>IF(verze!$E$1="CZK",AD4288,IF(verze!$E$1="SK",AE4288,""))</f>
        <v>13.83911</v>
      </c>
    </row>
    <row r="4289" spans="27:32" ht="15">
      <c r="AA4289" s="463" t="s">
        <v>13905</v>
      </c>
      <c r="AB4289" s="462" t="s">
        <v>13906</v>
      </c>
      <c r="AC4289" s="462" t="s">
        <v>13907</v>
      </c>
      <c r="AD4289" s="464">
        <v>293.09949999999998</v>
      </c>
      <c r="AE4289" s="465">
        <v>14.09915</v>
      </c>
      <c r="AF4289" s="86">
        <f>IF(verze!$E$1="CZK",AD4289,IF(verze!$E$1="SK",AE4289,""))</f>
        <v>14.09915</v>
      </c>
    </row>
    <row r="4290" spans="27:32" ht="15">
      <c r="AA4290" s="463" t="s">
        <v>13908</v>
      </c>
      <c r="AB4290" s="462" t="s">
        <v>13909</v>
      </c>
      <c r="AC4290" s="462" t="s">
        <v>13910</v>
      </c>
      <c r="AD4290" s="464">
        <v>293.09949999999998</v>
      </c>
      <c r="AE4290" s="465">
        <v>14.09915</v>
      </c>
      <c r="AF4290" s="86">
        <f>IF(verze!$E$1="CZK",AD4290,IF(verze!$E$1="SK",AE4290,""))</f>
        <v>14.09915</v>
      </c>
    </row>
    <row r="4291" spans="27:32" ht="15">
      <c r="AA4291" s="463" t="s">
        <v>13911</v>
      </c>
      <c r="AB4291" s="462" t="s">
        <v>13912</v>
      </c>
      <c r="AC4291" s="462" t="s">
        <v>13913</v>
      </c>
      <c r="AD4291" s="464">
        <v>290.56889999999999</v>
      </c>
      <c r="AE4291" s="465">
        <v>13.67554</v>
      </c>
      <c r="AF4291" s="86">
        <f>IF(verze!$E$1="CZK",AD4291,IF(verze!$E$1="SK",AE4291,""))</f>
        <v>13.67554</v>
      </c>
    </row>
    <row r="4292" spans="27:32" ht="15">
      <c r="AA4292" s="463" t="s">
        <v>13914</v>
      </c>
      <c r="AB4292" s="462" t="s">
        <v>13915</v>
      </c>
      <c r="AC4292" s="462" t="s">
        <v>13916</v>
      </c>
      <c r="AD4292" s="464">
        <v>290.56889999999999</v>
      </c>
      <c r="AE4292" s="465">
        <v>13.67554</v>
      </c>
      <c r="AF4292" s="86">
        <f>IF(verze!$E$1="CZK",AD4292,IF(verze!$E$1="SK",AE4292,""))</f>
        <v>13.67554</v>
      </c>
    </row>
    <row r="4293" spans="27:32" ht="15">
      <c r="AA4293" s="463" t="s">
        <v>13917</v>
      </c>
      <c r="AB4293" s="462" t="s">
        <v>13918</v>
      </c>
      <c r="AC4293" s="462" t="s">
        <v>13919</v>
      </c>
      <c r="AD4293" s="464">
        <v>295.82576</v>
      </c>
      <c r="AE4293" s="465">
        <v>13.922940000000001</v>
      </c>
      <c r="AF4293" s="86">
        <f>IF(verze!$E$1="CZK",AD4293,IF(verze!$E$1="SK",AE4293,""))</f>
        <v>13.922940000000001</v>
      </c>
    </row>
    <row r="4294" spans="27:32" ht="15">
      <c r="AA4294" s="463" t="s">
        <v>13920</v>
      </c>
      <c r="AB4294" s="462" t="s">
        <v>13921</v>
      </c>
      <c r="AC4294" s="462" t="s">
        <v>13922</v>
      </c>
      <c r="AD4294" s="464">
        <v>295.82576</v>
      </c>
      <c r="AE4294" s="465">
        <v>13.922940000000001</v>
      </c>
      <c r="AF4294" s="86">
        <f>IF(verze!$E$1="CZK",AD4294,IF(verze!$E$1="SK",AE4294,""))</f>
        <v>13.922940000000001</v>
      </c>
    </row>
    <row r="4295" spans="27:32" ht="15">
      <c r="AA4295" s="463" t="s">
        <v>13923</v>
      </c>
      <c r="AB4295" s="462" t="s">
        <v>13924</v>
      </c>
      <c r="AC4295" s="462" t="s">
        <v>13925</v>
      </c>
      <c r="AD4295" s="464">
        <v>369.06438000000003</v>
      </c>
      <c r="AE4295" s="465">
        <v>14.85988</v>
      </c>
      <c r="AF4295" s="86">
        <f>IF(verze!$E$1="CZK",AD4295,IF(verze!$E$1="SK",AE4295,""))</f>
        <v>14.85988</v>
      </c>
    </row>
    <row r="4296" spans="27:32" ht="15">
      <c r="AA4296" s="463" t="s">
        <v>13926</v>
      </c>
      <c r="AB4296" s="462" t="s">
        <v>13927</v>
      </c>
      <c r="AC4296" s="462" t="s">
        <v>13928</v>
      </c>
      <c r="AD4296" s="464">
        <v>635.19086000000004</v>
      </c>
      <c r="AE4296" s="465">
        <v>25.57516</v>
      </c>
      <c r="AF4296" s="86">
        <f>IF(verze!$E$1="CZK",AD4296,IF(verze!$E$1="SK",AE4296,""))</f>
        <v>25.57516</v>
      </c>
    </row>
    <row r="4297" spans="27:32" ht="15">
      <c r="AA4297" s="463" t="s">
        <v>13929</v>
      </c>
      <c r="AB4297" s="462" t="s">
        <v>13930</v>
      </c>
      <c r="AC4297" s="462" t="s">
        <v>13931</v>
      </c>
      <c r="AD4297" s="464">
        <v>1727.2194500000001</v>
      </c>
      <c r="AE4297" s="465">
        <v>69.544240000000002</v>
      </c>
      <c r="AF4297" s="86">
        <f>IF(verze!$E$1="CZK",AD4297,IF(verze!$E$1="SK",AE4297,""))</f>
        <v>69.544240000000002</v>
      </c>
    </row>
    <row r="4298" spans="27:32" ht="15">
      <c r="AA4298" s="463" t="s">
        <v>13932</v>
      </c>
      <c r="AB4298" s="462" t="s">
        <v>13933</v>
      </c>
      <c r="AC4298" s="462" t="s">
        <v>13934</v>
      </c>
      <c r="AD4298" s="464">
        <v>1357.08044</v>
      </c>
      <c r="AE4298" s="465">
        <v>54.641069999999999</v>
      </c>
      <c r="AF4298" s="86">
        <f>IF(verze!$E$1="CZK",AD4298,IF(verze!$E$1="SK",AE4298,""))</f>
        <v>54.641069999999999</v>
      </c>
    </row>
    <row r="4299" spans="27:32" ht="15">
      <c r="AA4299" s="463" t="s">
        <v>13935</v>
      </c>
      <c r="AB4299" s="462" t="s">
        <v>13936</v>
      </c>
      <c r="AC4299" s="462" t="s">
        <v>13937</v>
      </c>
      <c r="AD4299" s="464">
        <v>124.76130999999999</v>
      </c>
      <c r="AE4299" s="465">
        <v>4.9910800000000002</v>
      </c>
      <c r="AF4299" s="86">
        <f>IF(verze!$E$1="CZK",AD4299,IF(verze!$E$1="SK",AE4299,""))</f>
        <v>4.9910800000000002</v>
      </c>
    </row>
    <row r="4300" spans="27:32" ht="15">
      <c r="AA4300" s="463" t="s">
        <v>13938</v>
      </c>
      <c r="AB4300" s="462" t="s">
        <v>13939</v>
      </c>
      <c r="AC4300" s="462" t="s">
        <v>13940</v>
      </c>
      <c r="AD4300" s="464">
        <v>0</v>
      </c>
      <c r="AE4300" s="465">
        <v>0</v>
      </c>
      <c r="AF4300" s="86">
        <f>IF(verze!$E$1="CZK",AD4300,IF(verze!$E$1="SK",AE4300,""))</f>
        <v>0</v>
      </c>
    </row>
    <row r="4301" spans="27:32" ht="15">
      <c r="AA4301" s="463" t="s">
        <v>13941</v>
      </c>
      <c r="AB4301" s="462" t="s">
        <v>13942</v>
      </c>
      <c r="AC4301" s="462" t="s">
        <v>13943</v>
      </c>
      <c r="AD4301" s="464">
        <v>944.79182000000003</v>
      </c>
      <c r="AE4301" s="465">
        <v>45.260480000000001</v>
      </c>
      <c r="AF4301" s="86">
        <f>IF(verze!$E$1="CZK",AD4301,IF(verze!$E$1="SK",AE4301,""))</f>
        <v>45.260480000000001</v>
      </c>
    </row>
    <row r="4302" spans="27:32" ht="15">
      <c r="AA4302" s="463" t="s">
        <v>13944</v>
      </c>
      <c r="AB4302" s="462" t="s">
        <v>13945</v>
      </c>
      <c r="AC4302" s="462" t="s">
        <v>13946</v>
      </c>
      <c r="AD4302" s="464">
        <v>83.311239999999998</v>
      </c>
      <c r="AE4302" s="465">
        <v>4.0075799999999999</v>
      </c>
      <c r="AF4302" s="86">
        <f>IF(verze!$E$1="CZK",AD4302,IF(verze!$E$1="SK",AE4302,""))</f>
        <v>4.0075799999999999</v>
      </c>
    </row>
    <row r="4303" spans="27:32" ht="15">
      <c r="AA4303" s="463" t="s">
        <v>13944</v>
      </c>
      <c r="AB4303" s="462" t="s">
        <v>13947</v>
      </c>
      <c r="AC4303" s="462" t="s">
        <v>13948</v>
      </c>
      <c r="AD4303" s="464">
        <v>38.839700000000001</v>
      </c>
      <c r="AE4303" s="465">
        <v>1.55802</v>
      </c>
      <c r="AF4303" s="86">
        <f>IF(verze!$E$1="CZK",AD4303,IF(verze!$E$1="SK",AE4303,""))</f>
        <v>1.55802</v>
      </c>
    </row>
    <row r="4304" spans="27:32" ht="15">
      <c r="AA4304" s="463" t="s">
        <v>13949</v>
      </c>
      <c r="AB4304" s="462" t="s">
        <v>13950</v>
      </c>
      <c r="AC4304" s="462" t="s">
        <v>13951</v>
      </c>
      <c r="AD4304" s="464">
        <v>83.311239999999998</v>
      </c>
      <c r="AE4304" s="465">
        <v>4.0075799999999999</v>
      </c>
      <c r="AF4304" s="86">
        <f>IF(verze!$E$1="CZK",AD4304,IF(verze!$E$1="SK",AE4304,""))</f>
        <v>4.0075799999999999</v>
      </c>
    </row>
    <row r="4305" spans="27:32" ht="15">
      <c r="AA4305" s="463" t="s">
        <v>13952</v>
      </c>
      <c r="AB4305" s="462" t="s">
        <v>13953</v>
      </c>
      <c r="AC4305" s="462" t="s">
        <v>13954</v>
      </c>
      <c r="AD4305" s="464">
        <v>3804.5645399999999</v>
      </c>
      <c r="AE4305" s="465">
        <v>174.29836</v>
      </c>
      <c r="AF4305" s="86">
        <f>IF(verze!$E$1="CZK",AD4305,IF(verze!$E$1="SK",AE4305,""))</f>
        <v>174.29836</v>
      </c>
    </row>
    <row r="4306" spans="27:32" ht="15">
      <c r="AA4306" s="463" t="s">
        <v>13955</v>
      </c>
      <c r="AB4306" s="462" t="s">
        <v>13956</v>
      </c>
      <c r="AC4306" s="462" t="s">
        <v>13957</v>
      </c>
      <c r="AD4306" s="464">
        <v>3804.5645399999999</v>
      </c>
      <c r="AE4306" s="465">
        <v>174.29836</v>
      </c>
      <c r="AF4306" s="86">
        <f>IF(verze!$E$1="CZK",AD4306,IF(verze!$E$1="SK",AE4306,""))</f>
        <v>174.29836</v>
      </c>
    </row>
    <row r="4307" spans="27:32" ht="15">
      <c r="AA4307" s="463" t="s">
        <v>13958</v>
      </c>
      <c r="AB4307" s="462" t="s">
        <v>13959</v>
      </c>
      <c r="AC4307" s="462" t="s">
        <v>13960</v>
      </c>
      <c r="AD4307" s="464">
        <v>675.79633999999999</v>
      </c>
      <c r="AE4307" s="465">
        <v>32.508249999999997</v>
      </c>
      <c r="AF4307" s="86">
        <f>IF(verze!$E$1="CZK",AD4307,IF(verze!$E$1="SK",AE4307,""))</f>
        <v>32.508249999999997</v>
      </c>
    </row>
    <row r="4308" spans="27:32" ht="15">
      <c r="AA4308" s="463" t="s">
        <v>13961</v>
      </c>
      <c r="AB4308" s="462" t="s">
        <v>13962</v>
      </c>
      <c r="AC4308" s="462" t="s">
        <v>13963</v>
      </c>
      <c r="AD4308" s="464">
        <v>675.79633999999999</v>
      </c>
      <c r="AE4308" s="465">
        <v>32.508249999999997</v>
      </c>
      <c r="AF4308" s="86">
        <f>IF(verze!$E$1="CZK",AD4308,IF(verze!$E$1="SK",AE4308,""))</f>
        <v>32.508249999999997</v>
      </c>
    </row>
    <row r="4309" spans="27:32" ht="15">
      <c r="AA4309" s="463" t="s">
        <v>13964</v>
      </c>
      <c r="AB4309" s="462" t="s">
        <v>13965</v>
      </c>
      <c r="AC4309" s="462" t="s">
        <v>13966</v>
      </c>
      <c r="AD4309" s="464">
        <v>675.79633999999999</v>
      </c>
      <c r="AE4309" s="465">
        <v>32.508249999999997</v>
      </c>
      <c r="AF4309" s="86">
        <f>IF(verze!$E$1="CZK",AD4309,IF(verze!$E$1="SK",AE4309,""))</f>
        <v>32.508249999999997</v>
      </c>
    </row>
    <row r="4310" spans="27:32" ht="15">
      <c r="AA4310" s="463" t="s">
        <v>13967</v>
      </c>
      <c r="AB4310" s="462" t="s">
        <v>13968</v>
      </c>
      <c r="AC4310" s="462" t="s">
        <v>13969</v>
      </c>
      <c r="AD4310" s="464">
        <v>200.66466</v>
      </c>
      <c r="AE4310" s="465">
        <v>9.6526899999999998</v>
      </c>
      <c r="AF4310" s="86">
        <f>IF(verze!$E$1="CZK",AD4310,IF(verze!$E$1="SK",AE4310,""))</f>
        <v>9.6526899999999998</v>
      </c>
    </row>
    <row r="4311" spans="27:32" ht="15">
      <c r="AA4311" s="463" t="s">
        <v>13970</v>
      </c>
      <c r="AB4311" s="462" t="s">
        <v>13971</v>
      </c>
      <c r="AC4311" s="462" t="s">
        <v>13972</v>
      </c>
      <c r="AD4311" s="464">
        <v>200.66466</v>
      </c>
      <c r="AE4311" s="465">
        <v>9.6526899999999998</v>
      </c>
      <c r="AF4311" s="86">
        <f>IF(verze!$E$1="CZK",AD4311,IF(verze!$E$1="SK",AE4311,""))</f>
        <v>9.6526899999999998</v>
      </c>
    </row>
    <row r="4312" spans="27:32" ht="15">
      <c r="AA4312" s="463" t="s">
        <v>13973</v>
      </c>
      <c r="AB4312" s="462" t="s">
        <v>13974</v>
      </c>
      <c r="AC4312" s="462" t="s">
        <v>13975</v>
      </c>
      <c r="AD4312" s="464">
        <v>155.98670000000001</v>
      </c>
      <c r="AE4312" s="465">
        <v>0</v>
      </c>
      <c r="AF4312" s="86">
        <f>IF(verze!$E$1="CZK",AD4312,IF(verze!$E$1="SK",AE4312,""))</f>
        <v>0</v>
      </c>
    </row>
    <row r="4313" spans="27:32" ht="15">
      <c r="AA4313" s="463" t="s">
        <v>13976</v>
      </c>
      <c r="AB4313" s="462" t="s">
        <v>13977</v>
      </c>
      <c r="AC4313" s="462" t="s">
        <v>13978</v>
      </c>
      <c r="AD4313" s="464">
        <v>167.90226999999999</v>
      </c>
      <c r="AE4313" s="465">
        <v>8.0767299999999995</v>
      </c>
      <c r="AF4313" s="86">
        <f>IF(verze!$E$1="CZK",AD4313,IF(verze!$E$1="SK",AE4313,""))</f>
        <v>8.0767299999999995</v>
      </c>
    </row>
    <row r="4314" spans="27:32" ht="15">
      <c r="AA4314" s="463" t="s">
        <v>13979</v>
      </c>
      <c r="AB4314" s="462" t="s">
        <v>13980</v>
      </c>
      <c r="AC4314" s="462" t="s">
        <v>13981</v>
      </c>
      <c r="AD4314" s="464">
        <v>167.90226999999999</v>
      </c>
      <c r="AE4314" s="465">
        <v>8.0767299999999995</v>
      </c>
      <c r="AF4314" s="86">
        <f>IF(verze!$E$1="CZK",AD4314,IF(verze!$E$1="SK",AE4314,""))</f>
        <v>8.0767299999999995</v>
      </c>
    </row>
    <row r="4315" spans="27:32" ht="15">
      <c r="AA4315" s="463" t="s">
        <v>13982</v>
      </c>
      <c r="AB4315" s="462" t="s">
        <v>13983</v>
      </c>
      <c r="AC4315" s="462" t="s">
        <v>13984</v>
      </c>
      <c r="AD4315" s="464">
        <v>22.21011</v>
      </c>
      <c r="AE4315" s="465">
        <v>1.0684</v>
      </c>
      <c r="AF4315" s="86">
        <f>IF(verze!$E$1="CZK",AD4315,IF(verze!$E$1="SK",AE4315,""))</f>
        <v>1.0684</v>
      </c>
    </row>
    <row r="4316" spans="27:32" ht="15">
      <c r="AA4316" s="463" t="s">
        <v>13985</v>
      </c>
      <c r="AB4316" s="462" t="s">
        <v>13986</v>
      </c>
      <c r="AC4316" s="462" t="s">
        <v>13987</v>
      </c>
      <c r="AD4316" s="464">
        <v>21.356439999999999</v>
      </c>
      <c r="AE4316" s="465">
        <v>1.0273399999999999</v>
      </c>
      <c r="AF4316" s="86">
        <f>IF(verze!$E$1="CZK",AD4316,IF(verze!$E$1="SK",AE4316,""))</f>
        <v>1.0273399999999999</v>
      </c>
    </row>
    <row r="4317" spans="27:32" ht="15">
      <c r="AA4317" s="463" t="s">
        <v>13988</v>
      </c>
      <c r="AB4317" s="462" t="s">
        <v>13989</v>
      </c>
      <c r="AC4317" s="462" t="s">
        <v>13990</v>
      </c>
      <c r="AD4317" s="464">
        <v>1032.8782200000001</v>
      </c>
      <c r="AE4317" s="465">
        <v>41.587470000000003</v>
      </c>
      <c r="AF4317" s="86">
        <f>IF(verze!$E$1="CZK",AD4317,IF(verze!$E$1="SK",AE4317,""))</f>
        <v>41.587470000000003</v>
      </c>
    </row>
    <row r="4318" spans="27:32" ht="15">
      <c r="AA4318" s="463" t="s">
        <v>13991</v>
      </c>
      <c r="AB4318" s="462" t="s">
        <v>13992</v>
      </c>
      <c r="AC4318" s="462" t="s">
        <v>13993</v>
      </c>
      <c r="AD4318" s="464">
        <v>182.03933000000001</v>
      </c>
      <c r="AE4318" s="465">
        <v>8.7567500000000003</v>
      </c>
      <c r="AF4318" s="86">
        <f>IF(verze!$E$1="CZK",AD4318,IF(verze!$E$1="SK",AE4318,""))</f>
        <v>8.7567500000000003</v>
      </c>
    </row>
    <row r="4319" spans="27:32" ht="15">
      <c r="AA4319" s="463" t="s">
        <v>13994</v>
      </c>
      <c r="AB4319" s="462" t="s">
        <v>13995</v>
      </c>
      <c r="AC4319" s="462" t="s">
        <v>13996</v>
      </c>
      <c r="AD4319" s="464">
        <v>12.63311</v>
      </c>
      <c r="AE4319" s="465">
        <v>0.60770000000000002</v>
      </c>
      <c r="AF4319" s="86">
        <f>IF(verze!$E$1="CZK",AD4319,IF(verze!$E$1="SK",AE4319,""))</f>
        <v>0.60770000000000002</v>
      </c>
    </row>
    <row r="4320" spans="27:32" ht="15">
      <c r="AA4320" s="463" t="s">
        <v>13997</v>
      </c>
      <c r="AB4320" s="462" t="s">
        <v>13998</v>
      </c>
      <c r="AC4320" s="462" t="s">
        <v>13999</v>
      </c>
      <c r="AD4320" s="464">
        <v>131.11276000000001</v>
      </c>
      <c r="AE4320" s="465">
        <v>0</v>
      </c>
      <c r="AF4320" s="86">
        <f>IF(verze!$E$1="CZK",AD4320,IF(verze!$E$1="SK",AE4320,""))</f>
        <v>0</v>
      </c>
    </row>
    <row r="4321" spans="27:32" ht="15">
      <c r="AA4321" s="463" t="s">
        <v>14000</v>
      </c>
      <c r="AB4321" s="462" t="s">
        <v>14001</v>
      </c>
      <c r="AC4321" s="462" t="s">
        <v>14002</v>
      </c>
      <c r="AD4321" s="464">
        <v>131.11276000000001</v>
      </c>
      <c r="AE4321" s="465">
        <v>0</v>
      </c>
      <c r="AF4321" s="86">
        <f>IF(verze!$E$1="CZK",AD4321,IF(verze!$E$1="SK",AE4321,""))</f>
        <v>0</v>
      </c>
    </row>
    <row r="4322" spans="27:32" ht="15">
      <c r="AA4322" s="463" t="s">
        <v>14003</v>
      </c>
      <c r="AB4322" s="462" t="s">
        <v>14004</v>
      </c>
      <c r="AC4322" s="462" t="s">
        <v>14005</v>
      </c>
      <c r="AD4322" s="464">
        <v>167.79875999999999</v>
      </c>
      <c r="AE4322" s="465">
        <v>8.0717300000000005</v>
      </c>
      <c r="AF4322" s="86">
        <f>IF(verze!$E$1="CZK",AD4322,IF(verze!$E$1="SK",AE4322,""))</f>
        <v>8.0717300000000005</v>
      </c>
    </row>
    <row r="4323" spans="27:32" ht="15">
      <c r="AA4323" s="463" t="s">
        <v>14006</v>
      </c>
      <c r="AB4323" s="462" t="s">
        <v>14007</v>
      </c>
      <c r="AC4323" s="462" t="s">
        <v>14008</v>
      </c>
      <c r="AD4323" s="464">
        <v>167.79875999999999</v>
      </c>
      <c r="AE4323" s="465">
        <v>8.0717300000000005</v>
      </c>
      <c r="AF4323" s="86">
        <f>IF(verze!$E$1="CZK",AD4323,IF(verze!$E$1="SK",AE4323,""))</f>
        <v>8.0717300000000005</v>
      </c>
    </row>
    <row r="4324" spans="27:32" ht="15">
      <c r="AA4324" s="463" t="s">
        <v>14009</v>
      </c>
      <c r="AB4324" s="462" t="s">
        <v>14010</v>
      </c>
      <c r="AC4324" s="462" t="s">
        <v>14011</v>
      </c>
      <c r="AD4324" s="464">
        <v>167.79875999999999</v>
      </c>
      <c r="AE4324" s="465">
        <v>8.0717300000000005</v>
      </c>
      <c r="AF4324" s="86">
        <f>IF(verze!$E$1="CZK",AD4324,IF(verze!$E$1="SK",AE4324,""))</f>
        <v>8.0717300000000005</v>
      </c>
    </row>
    <row r="4325" spans="27:32" ht="15">
      <c r="AA4325" s="463" t="s">
        <v>14012</v>
      </c>
      <c r="AB4325" s="462" t="s">
        <v>14013</v>
      </c>
      <c r="AC4325" s="462" t="s">
        <v>14014</v>
      </c>
      <c r="AD4325" s="464">
        <v>167.79875999999999</v>
      </c>
      <c r="AE4325" s="465">
        <v>8.0717300000000005</v>
      </c>
      <c r="AF4325" s="86">
        <f>IF(verze!$E$1="CZK",AD4325,IF(verze!$E$1="SK",AE4325,""))</f>
        <v>8.0717300000000005</v>
      </c>
    </row>
    <row r="4326" spans="27:32" ht="15">
      <c r="AA4326" s="463" t="s">
        <v>14015</v>
      </c>
      <c r="AB4326" s="462" t="s">
        <v>14016</v>
      </c>
      <c r="AC4326" s="462" t="s">
        <v>14017</v>
      </c>
      <c r="AD4326" s="464">
        <v>167.79875999999999</v>
      </c>
      <c r="AE4326" s="465">
        <v>8.0717300000000005</v>
      </c>
      <c r="AF4326" s="86">
        <f>IF(verze!$E$1="CZK",AD4326,IF(verze!$E$1="SK",AE4326,""))</f>
        <v>8.0717300000000005</v>
      </c>
    </row>
    <row r="4327" spans="27:32" ht="15">
      <c r="AA4327" s="463" t="s">
        <v>14015</v>
      </c>
      <c r="AB4327" s="462" t="s">
        <v>14018</v>
      </c>
      <c r="AC4327" s="462" t="s">
        <v>14019</v>
      </c>
      <c r="AD4327" s="464">
        <v>0</v>
      </c>
      <c r="AE4327" s="465">
        <v>8.0219000000000005</v>
      </c>
      <c r="AF4327" s="86">
        <f>IF(verze!$E$1="CZK",AD4327,IF(verze!$E$1="SK",AE4327,""))</f>
        <v>8.0219000000000005</v>
      </c>
    </row>
    <row r="4328" spans="27:32" ht="15">
      <c r="AA4328" s="463" t="s">
        <v>14020</v>
      </c>
      <c r="AB4328" s="462" t="s">
        <v>14021</v>
      </c>
      <c r="AC4328" s="462" t="s">
        <v>14022</v>
      </c>
      <c r="AD4328" s="464">
        <v>167.79875999999999</v>
      </c>
      <c r="AE4328" s="465">
        <v>8.0717300000000005</v>
      </c>
      <c r="AF4328" s="86">
        <f>IF(verze!$E$1="CZK",AD4328,IF(verze!$E$1="SK",AE4328,""))</f>
        <v>8.0717300000000005</v>
      </c>
    </row>
    <row r="4329" spans="27:32" ht="15">
      <c r="AA4329" s="463" t="s">
        <v>14020</v>
      </c>
      <c r="AB4329" s="462" t="s">
        <v>14023</v>
      </c>
      <c r="AC4329" s="462" t="s">
        <v>14024</v>
      </c>
      <c r="AD4329" s="464">
        <v>0</v>
      </c>
      <c r="AE4329" s="465">
        <v>8.0219000000000005</v>
      </c>
      <c r="AF4329" s="86">
        <f>IF(verze!$E$1="CZK",AD4329,IF(verze!$E$1="SK",AE4329,""))</f>
        <v>8.0219000000000005</v>
      </c>
    </row>
    <row r="4330" spans="27:32" ht="15">
      <c r="AA4330" s="463" t="s">
        <v>14025</v>
      </c>
      <c r="AB4330" s="462" t="s">
        <v>14026</v>
      </c>
      <c r="AC4330" s="462" t="s">
        <v>14027</v>
      </c>
      <c r="AD4330" s="464">
        <v>173.85158999999999</v>
      </c>
      <c r="AE4330" s="465">
        <v>8.3628900000000002</v>
      </c>
      <c r="AF4330" s="86">
        <f>IF(verze!$E$1="CZK",AD4330,IF(verze!$E$1="SK",AE4330,""))</f>
        <v>8.3628900000000002</v>
      </c>
    </row>
    <row r="4331" spans="27:32" ht="15">
      <c r="AA4331" s="463" t="s">
        <v>14025</v>
      </c>
      <c r="AB4331" s="462" t="s">
        <v>14028</v>
      </c>
      <c r="AC4331" s="462" t="s">
        <v>14029</v>
      </c>
      <c r="AD4331" s="464">
        <v>0</v>
      </c>
      <c r="AE4331" s="465">
        <v>8.31128</v>
      </c>
      <c r="AF4331" s="86">
        <f>IF(verze!$E$1="CZK",AD4331,IF(verze!$E$1="SK",AE4331,""))</f>
        <v>8.31128</v>
      </c>
    </row>
    <row r="4332" spans="27:32" ht="15">
      <c r="AA4332" s="463" t="s">
        <v>14030</v>
      </c>
      <c r="AB4332" s="462" t="s">
        <v>14031</v>
      </c>
      <c r="AC4332" s="462" t="s">
        <v>14032</v>
      </c>
      <c r="AD4332" s="464">
        <v>173.85158999999999</v>
      </c>
      <c r="AE4332" s="465">
        <v>8.3628900000000002</v>
      </c>
      <c r="AF4332" s="86">
        <f>IF(verze!$E$1="CZK",AD4332,IF(verze!$E$1="SK",AE4332,""))</f>
        <v>8.3628900000000002</v>
      </c>
    </row>
    <row r="4333" spans="27:32" ht="15">
      <c r="AA4333" s="463" t="s">
        <v>14030</v>
      </c>
      <c r="AB4333" s="462" t="s">
        <v>14033</v>
      </c>
      <c r="AC4333" s="462" t="s">
        <v>14034</v>
      </c>
      <c r="AD4333" s="464">
        <v>0</v>
      </c>
      <c r="AE4333" s="465">
        <v>8.31128</v>
      </c>
      <c r="AF4333" s="86">
        <f>IF(verze!$E$1="CZK",AD4333,IF(verze!$E$1="SK",AE4333,""))</f>
        <v>8.31128</v>
      </c>
    </row>
    <row r="4334" spans="27:32" ht="15">
      <c r="AA4334" s="463" t="s">
        <v>14035</v>
      </c>
      <c r="AB4334" s="462" t="s">
        <v>14036</v>
      </c>
      <c r="AC4334" s="462" t="s">
        <v>14037</v>
      </c>
      <c r="AD4334" s="464">
        <v>177.64917</v>
      </c>
      <c r="AE4334" s="465">
        <v>8.3610000000000007</v>
      </c>
      <c r="AF4334" s="86">
        <f>IF(verze!$E$1="CZK",AD4334,IF(verze!$E$1="SK",AE4334,""))</f>
        <v>8.3610000000000007</v>
      </c>
    </row>
    <row r="4335" spans="27:32" ht="15">
      <c r="AA4335" s="463" t="s">
        <v>14038</v>
      </c>
      <c r="AB4335" s="462" t="s">
        <v>14039</v>
      </c>
      <c r="AC4335" s="462" t="s">
        <v>14040</v>
      </c>
      <c r="AD4335" s="464">
        <v>177.64917</v>
      </c>
      <c r="AE4335" s="465">
        <v>8.3610000000000007</v>
      </c>
      <c r="AF4335" s="86">
        <f>IF(verze!$E$1="CZK",AD4335,IF(verze!$E$1="SK",AE4335,""))</f>
        <v>8.3610000000000007</v>
      </c>
    </row>
    <row r="4336" spans="27:32" ht="15">
      <c r="AA4336" s="463" t="s">
        <v>14041</v>
      </c>
      <c r="AB4336" s="462" t="s">
        <v>14042</v>
      </c>
      <c r="AC4336" s="462" t="s">
        <v>14043</v>
      </c>
      <c r="AD4336" s="464">
        <v>235.21960000000001</v>
      </c>
      <c r="AE4336" s="465">
        <v>11.314909999999999</v>
      </c>
      <c r="AF4336" s="86">
        <f>IF(verze!$E$1="CZK",AD4336,IF(verze!$E$1="SK",AE4336,""))</f>
        <v>11.314909999999999</v>
      </c>
    </row>
    <row r="4337" spans="27:32" ht="15">
      <c r="AA4337" s="463" t="s">
        <v>14044</v>
      </c>
      <c r="AB4337" s="462" t="s">
        <v>14045</v>
      </c>
      <c r="AC4337" s="462" t="s">
        <v>14046</v>
      </c>
      <c r="AD4337" s="464">
        <v>235.21960000000001</v>
      </c>
      <c r="AE4337" s="465">
        <v>11.314909999999999</v>
      </c>
      <c r="AF4337" s="86">
        <f>IF(verze!$E$1="CZK",AD4337,IF(verze!$E$1="SK",AE4337,""))</f>
        <v>11.314909999999999</v>
      </c>
    </row>
    <row r="4338" spans="27:32" ht="15">
      <c r="AA4338" s="463" t="s">
        <v>14047</v>
      </c>
      <c r="AB4338" s="462" t="s">
        <v>14048</v>
      </c>
      <c r="AC4338" s="462" t="s">
        <v>14049</v>
      </c>
      <c r="AD4338" s="464">
        <v>235.21960000000001</v>
      </c>
      <c r="AE4338" s="465">
        <v>11.314909999999999</v>
      </c>
      <c r="AF4338" s="86">
        <f>IF(verze!$E$1="CZK",AD4338,IF(verze!$E$1="SK",AE4338,""))</f>
        <v>11.314909999999999</v>
      </c>
    </row>
    <row r="4339" spans="27:32" ht="15">
      <c r="AA4339" s="463" t="s">
        <v>14050</v>
      </c>
      <c r="AB4339" s="462" t="s">
        <v>14051</v>
      </c>
      <c r="AC4339" s="462" t="s">
        <v>14052</v>
      </c>
      <c r="AD4339" s="464">
        <v>235.21960000000001</v>
      </c>
      <c r="AE4339" s="465">
        <v>11.314909999999999</v>
      </c>
      <c r="AF4339" s="86">
        <f>IF(verze!$E$1="CZK",AD4339,IF(verze!$E$1="SK",AE4339,""))</f>
        <v>11.314909999999999</v>
      </c>
    </row>
    <row r="4340" spans="27:32" ht="15">
      <c r="AA4340" s="463" t="s">
        <v>14053</v>
      </c>
      <c r="AB4340" s="462" t="s">
        <v>14054</v>
      </c>
      <c r="AC4340" s="462" t="s">
        <v>14055</v>
      </c>
      <c r="AD4340" s="464">
        <v>248.82093</v>
      </c>
      <c r="AE4340" s="465">
        <v>11.969200000000001</v>
      </c>
      <c r="AF4340" s="86">
        <f>IF(verze!$E$1="CZK",AD4340,IF(verze!$E$1="SK",AE4340,""))</f>
        <v>11.969200000000001</v>
      </c>
    </row>
    <row r="4341" spans="27:32" ht="15">
      <c r="AA4341" s="463" t="s">
        <v>14056</v>
      </c>
      <c r="AB4341" s="462" t="s">
        <v>14057</v>
      </c>
      <c r="AC4341" s="462" t="s">
        <v>14058</v>
      </c>
      <c r="AD4341" s="464">
        <v>248.82093</v>
      </c>
      <c r="AE4341" s="465">
        <v>11.969200000000001</v>
      </c>
      <c r="AF4341" s="86">
        <f>IF(verze!$E$1="CZK",AD4341,IF(verze!$E$1="SK",AE4341,""))</f>
        <v>11.969200000000001</v>
      </c>
    </row>
    <row r="4342" spans="27:32" ht="15">
      <c r="AA4342" s="463" t="s">
        <v>14059</v>
      </c>
      <c r="AB4342" s="462" t="s">
        <v>14060</v>
      </c>
      <c r="AC4342" s="462" t="s">
        <v>14061</v>
      </c>
      <c r="AD4342" s="464">
        <v>256.82152000000002</v>
      </c>
      <c r="AE4342" s="465">
        <v>12.35403</v>
      </c>
      <c r="AF4342" s="86">
        <f>IF(verze!$E$1="CZK",AD4342,IF(verze!$E$1="SK",AE4342,""))</f>
        <v>12.35403</v>
      </c>
    </row>
    <row r="4343" spans="27:32" ht="15">
      <c r="AA4343" s="463" t="s">
        <v>14062</v>
      </c>
      <c r="AB4343" s="462" t="s">
        <v>14063</v>
      </c>
      <c r="AC4343" s="462" t="s">
        <v>14064</v>
      </c>
      <c r="AD4343" s="464">
        <v>256.82152000000002</v>
      </c>
      <c r="AE4343" s="465">
        <v>12.35403</v>
      </c>
      <c r="AF4343" s="86">
        <f>IF(verze!$E$1="CZK",AD4343,IF(verze!$E$1="SK",AE4343,""))</f>
        <v>12.35403</v>
      </c>
    </row>
    <row r="4344" spans="27:32" ht="15">
      <c r="AA4344" s="463" t="s">
        <v>14065</v>
      </c>
      <c r="AB4344" s="462" t="s">
        <v>14066</v>
      </c>
      <c r="AC4344" s="462" t="s">
        <v>14067</v>
      </c>
      <c r="AD4344" s="464">
        <v>8.5305</v>
      </c>
      <c r="AE4344" s="465">
        <v>0.37128</v>
      </c>
      <c r="AF4344" s="86">
        <f>IF(verze!$E$1="CZK",AD4344,IF(verze!$E$1="SK",AE4344,""))</f>
        <v>0.37128</v>
      </c>
    </row>
    <row r="4345" spans="27:32" ht="15">
      <c r="AA4345" s="463" t="s">
        <v>14068</v>
      </c>
      <c r="AB4345" s="462" t="s">
        <v>14069</v>
      </c>
      <c r="AC4345" s="462" t="s">
        <v>14070</v>
      </c>
      <c r="AD4345" s="464">
        <v>8.5305</v>
      </c>
      <c r="AE4345" s="465">
        <v>0.37128</v>
      </c>
      <c r="AF4345" s="86">
        <f>IF(verze!$E$1="CZK",AD4345,IF(verze!$E$1="SK",AE4345,""))</f>
        <v>0.37128</v>
      </c>
    </row>
    <row r="4346" spans="27:32" ht="15">
      <c r="AA4346" s="463" t="s">
        <v>14071</v>
      </c>
      <c r="AB4346" s="462" t="s">
        <v>14072</v>
      </c>
      <c r="AC4346" s="462" t="s">
        <v>14073</v>
      </c>
      <c r="AD4346" s="464">
        <v>410.37308999999999</v>
      </c>
      <c r="AE4346" s="465">
        <v>17.1844</v>
      </c>
      <c r="AF4346" s="86">
        <f>IF(verze!$E$1="CZK",AD4346,IF(verze!$E$1="SK",AE4346,""))</f>
        <v>17.1844</v>
      </c>
    </row>
    <row r="4347" spans="27:32" ht="15">
      <c r="AA4347" s="463" t="s">
        <v>14074</v>
      </c>
      <c r="AB4347" s="462" t="s">
        <v>14075</v>
      </c>
      <c r="AC4347" s="462" t="s">
        <v>14076</v>
      </c>
      <c r="AD4347" s="464">
        <v>22.248280000000001</v>
      </c>
      <c r="AE4347" s="465">
        <v>1.0702199999999999</v>
      </c>
      <c r="AF4347" s="86">
        <f>IF(verze!$E$1="CZK",AD4347,IF(verze!$E$1="SK",AE4347,""))</f>
        <v>1.0702199999999999</v>
      </c>
    </row>
    <row r="4348" spans="27:32" ht="15">
      <c r="AA4348" s="463" t="s">
        <v>14077</v>
      </c>
      <c r="AB4348" s="462" t="s">
        <v>14078</v>
      </c>
      <c r="AC4348" s="462" t="s">
        <v>14079</v>
      </c>
      <c r="AD4348" s="464">
        <v>990.30849999999998</v>
      </c>
      <c r="AE4348" s="465">
        <v>0</v>
      </c>
      <c r="AF4348" s="86">
        <f>IF(verze!$E$1="CZK",AD4348,IF(verze!$E$1="SK",AE4348,""))</f>
        <v>0</v>
      </c>
    </row>
    <row r="4349" spans="27:32" ht="15">
      <c r="AA4349" s="463" t="s">
        <v>14080</v>
      </c>
      <c r="AB4349" s="462" t="s">
        <v>14081</v>
      </c>
      <c r="AC4349" s="462" t="s">
        <v>14082</v>
      </c>
      <c r="AD4349" s="464">
        <v>988.87707</v>
      </c>
      <c r="AE4349" s="465">
        <v>41.409269999999999</v>
      </c>
      <c r="AF4349" s="86">
        <f>IF(verze!$E$1="CZK",AD4349,IF(verze!$E$1="SK",AE4349,""))</f>
        <v>41.409269999999999</v>
      </c>
    </row>
    <row r="4350" spans="27:32" ht="15">
      <c r="AA4350" s="463" t="s">
        <v>14080</v>
      </c>
      <c r="AB4350" s="462" t="s">
        <v>14083</v>
      </c>
      <c r="AC4350" s="462" t="s">
        <v>14084</v>
      </c>
      <c r="AD4350" s="464">
        <v>988.87707</v>
      </c>
      <c r="AE4350" s="465">
        <v>41.409269999999999</v>
      </c>
      <c r="AF4350" s="86">
        <f>IF(verze!$E$1="CZK",AD4350,IF(verze!$E$1="SK",AE4350,""))</f>
        <v>41.409269999999999</v>
      </c>
    </row>
    <row r="4351" spans="27:32" ht="15">
      <c r="AA4351" s="463" t="s">
        <v>14085</v>
      </c>
      <c r="AB4351" s="462" t="s">
        <v>14086</v>
      </c>
      <c r="AC4351" s="462" t="s">
        <v>14087</v>
      </c>
      <c r="AD4351" s="464">
        <v>0</v>
      </c>
      <c r="AE4351" s="465">
        <v>0</v>
      </c>
      <c r="AF4351" s="86">
        <f>IF(verze!$E$1="CZK",AD4351,IF(verze!$E$1="SK",AE4351,""))</f>
        <v>0</v>
      </c>
    </row>
    <row r="4352" spans="27:32" ht="15">
      <c r="AA4352" s="463" t="s">
        <v>14088</v>
      </c>
      <c r="AB4352" s="462" t="s">
        <v>14089</v>
      </c>
      <c r="AC4352" s="462" t="s">
        <v>14090</v>
      </c>
      <c r="AD4352" s="464">
        <v>1137.05134</v>
      </c>
      <c r="AE4352" s="465">
        <v>47.614100000000001</v>
      </c>
      <c r="AF4352" s="86">
        <f>IF(verze!$E$1="CZK",AD4352,IF(verze!$E$1="SK",AE4352,""))</f>
        <v>47.614100000000001</v>
      </c>
    </row>
    <row r="4353" spans="27:32" ht="15">
      <c r="AA4353" s="463" t="s">
        <v>14091</v>
      </c>
      <c r="AB4353" s="462" t="s">
        <v>14092</v>
      </c>
      <c r="AC4353" s="462" t="s">
        <v>14093</v>
      </c>
      <c r="AD4353" s="464">
        <v>1.13368</v>
      </c>
      <c r="AE4353" s="465">
        <v>5.4539999999999998E-2</v>
      </c>
      <c r="AF4353" s="86">
        <f>IF(verze!$E$1="CZK",AD4353,IF(verze!$E$1="SK",AE4353,""))</f>
        <v>5.4539999999999998E-2</v>
      </c>
    </row>
    <row r="4354" spans="27:32" ht="15">
      <c r="AA4354" s="463" t="s">
        <v>14094</v>
      </c>
      <c r="AB4354" s="462" t="s">
        <v>14095</v>
      </c>
      <c r="AC4354" s="462" t="s">
        <v>14096</v>
      </c>
      <c r="AD4354" s="464">
        <v>199.28737000000001</v>
      </c>
      <c r="AE4354" s="465">
        <v>9.5864600000000006</v>
      </c>
      <c r="AF4354" s="86">
        <f>IF(verze!$E$1="CZK",AD4354,IF(verze!$E$1="SK",AE4354,""))</f>
        <v>9.5864600000000006</v>
      </c>
    </row>
    <row r="4355" spans="27:32" ht="15">
      <c r="AA4355" s="463" t="s">
        <v>14097</v>
      </c>
      <c r="AB4355" s="462" t="s">
        <v>14098</v>
      </c>
      <c r="AC4355" s="462" t="s">
        <v>14099</v>
      </c>
      <c r="AD4355" s="464">
        <v>199.28737000000001</v>
      </c>
      <c r="AE4355" s="465">
        <v>9.5864600000000006</v>
      </c>
      <c r="AF4355" s="86">
        <f>IF(verze!$E$1="CZK",AD4355,IF(verze!$E$1="SK",AE4355,""))</f>
        <v>9.5864600000000006</v>
      </c>
    </row>
    <row r="4356" spans="27:32" ht="15">
      <c r="AA4356" s="463" t="s">
        <v>14100</v>
      </c>
      <c r="AB4356" s="462" t="s">
        <v>14101</v>
      </c>
      <c r="AC4356" s="462" t="s">
        <v>14102</v>
      </c>
      <c r="AD4356" s="464">
        <v>212.02325999999999</v>
      </c>
      <c r="AE4356" s="465">
        <v>10.19909</v>
      </c>
      <c r="AF4356" s="86">
        <f>IF(verze!$E$1="CZK",AD4356,IF(verze!$E$1="SK",AE4356,""))</f>
        <v>10.19909</v>
      </c>
    </row>
    <row r="4357" spans="27:32" ht="15">
      <c r="AA4357" s="463" t="s">
        <v>14103</v>
      </c>
      <c r="AB4357" s="462" t="s">
        <v>14104</v>
      </c>
      <c r="AC4357" s="462" t="s">
        <v>14105</v>
      </c>
      <c r="AD4357" s="464">
        <v>271.30831999999998</v>
      </c>
      <c r="AE4357" s="465">
        <v>12.76904</v>
      </c>
      <c r="AF4357" s="86">
        <f>IF(verze!$E$1="CZK",AD4357,IF(verze!$E$1="SK",AE4357,""))</f>
        <v>12.76904</v>
      </c>
    </row>
    <row r="4358" spans="27:32" ht="15">
      <c r="AA4358" s="463" t="s">
        <v>14106</v>
      </c>
      <c r="AB4358" s="462" t="s">
        <v>14107</v>
      </c>
      <c r="AC4358" s="462" t="s">
        <v>14108</v>
      </c>
      <c r="AD4358" s="464">
        <v>271.30831999999998</v>
      </c>
      <c r="AE4358" s="465">
        <v>12.76904</v>
      </c>
      <c r="AF4358" s="86">
        <f>IF(verze!$E$1="CZK",AD4358,IF(verze!$E$1="SK",AE4358,""))</f>
        <v>12.76904</v>
      </c>
    </row>
    <row r="4359" spans="27:32" ht="15">
      <c r="AA4359" s="463" t="s">
        <v>14109</v>
      </c>
      <c r="AB4359" s="462" t="s">
        <v>14110</v>
      </c>
      <c r="AC4359" s="462" t="s">
        <v>14111</v>
      </c>
      <c r="AD4359" s="464">
        <v>876.88133000000005</v>
      </c>
      <c r="AE4359" s="465">
        <v>42.181170000000002</v>
      </c>
      <c r="AF4359" s="86">
        <f>IF(verze!$E$1="CZK",AD4359,IF(verze!$E$1="SK",AE4359,""))</f>
        <v>42.181170000000002</v>
      </c>
    </row>
    <row r="4360" spans="27:32" ht="15">
      <c r="AA4360" s="463" t="s">
        <v>14112</v>
      </c>
      <c r="AB4360" s="462" t="s">
        <v>14113</v>
      </c>
      <c r="AC4360" s="462" t="s">
        <v>14114</v>
      </c>
      <c r="AD4360" s="464">
        <v>876.88133000000005</v>
      </c>
      <c r="AE4360" s="465">
        <v>42.181170000000002</v>
      </c>
      <c r="AF4360" s="86">
        <f>IF(verze!$E$1="CZK",AD4360,IF(verze!$E$1="SK",AE4360,""))</f>
        <v>42.181170000000002</v>
      </c>
    </row>
    <row r="4361" spans="27:32" ht="15">
      <c r="AA4361" s="463" t="s">
        <v>14115</v>
      </c>
      <c r="AB4361" s="462" t="s">
        <v>14116</v>
      </c>
      <c r="AC4361" s="462" t="s">
        <v>14117</v>
      </c>
      <c r="AD4361" s="464">
        <v>876.88133000000005</v>
      </c>
      <c r="AE4361" s="465">
        <v>42.181170000000002</v>
      </c>
      <c r="AF4361" s="86">
        <f>IF(verze!$E$1="CZK",AD4361,IF(verze!$E$1="SK",AE4361,""))</f>
        <v>42.181170000000002</v>
      </c>
    </row>
    <row r="4362" spans="27:32" ht="15">
      <c r="AA4362" s="463" t="s">
        <v>14118</v>
      </c>
      <c r="AB4362" s="462" t="s">
        <v>14119</v>
      </c>
      <c r="AC4362" s="462" t="s">
        <v>14120</v>
      </c>
      <c r="AD4362" s="464">
        <v>199.28737000000001</v>
      </c>
      <c r="AE4362" s="465">
        <v>9.5864600000000006</v>
      </c>
      <c r="AF4362" s="86">
        <f>IF(verze!$E$1="CZK",AD4362,IF(verze!$E$1="SK",AE4362,""))</f>
        <v>9.5864600000000006</v>
      </c>
    </row>
    <row r="4363" spans="27:32" ht="15">
      <c r="AA4363" s="463" t="s">
        <v>14121</v>
      </c>
      <c r="AB4363" s="462" t="s">
        <v>14122</v>
      </c>
      <c r="AC4363" s="462" t="s">
        <v>14123</v>
      </c>
      <c r="AD4363" s="464">
        <v>199.28737000000001</v>
      </c>
      <c r="AE4363" s="465">
        <v>9.5864600000000006</v>
      </c>
      <c r="AF4363" s="86">
        <f>IF(verze!$E$1="CZK",AD4363,IF(verze!$E$1="SK",AE4363,""))</f>
        <v>9.5864600000000006</v>
      </c>
    </row>
    <row r="4364" spans="27:32" ht="15">
      <c r="AA4364" s="463" t="s">
        <v>14124</v>
      </c>
      <c r="AB4364" s="462" t="s">
        <v>14125</v>
      </c>
      <c r="AC4364" s="462" t="s">
        <v>14126</v>
      </c>
      <c r="AD4364" s="464">
        <v>199.28737000000001</v>
      </c>
      <c r="AE4364" s="465">
        <v>9.5864600000000006</v>
      </c>
      <c r="AF4364" s="86">
        <f>IF(verze!$E$1="CZK",AD4364,IF(verze!$E$1="SK",AE4364,""))</f>
        <v>9.5864600000000006</v>
      </c>
    </row>
    <row r="4365" spans="27:32" ht="15">
      <c r="AA4365" s="463" t="s">
        <v>14127</v>
      </c>
      <c r="AB4365" s="462" t="s">
        <v>14128</v>
      </c>
      <c r="AC4365" s="462" t="s">
        <v>14129</v>
      </c>
      <c r="AD4365" s="464">
        <v>199.28737000000001</v>
      </c>
      <c r="AE4365" s="465">
        <v>9.5864600000000006</v>
      </c>
      <c r="AF4365" s="86">
        <f>IF(verze!$E$1="CZK",AD4365,IF(verze!$E$1="SK",AE4365,""))</f>
        <v>9.5864600000000006</v>
      </c>
    </row>
    <row r="4366" spans="27:32" ht="15">
      <c r="AA4366" s="463" t="s">
        <v>14130</v>
      </c>
      <c r="AB4366" s="462" t="s">
        <v>14131</v>
      </c>
      <c r="AC4366" s="462" t="s">
        <v>14132</v>
      </c>
      <c r="AD4366" s="464">
        <v>199.28737000000001</v>
      </c>
      <c r="AE4366" s="465">
        <v>9.5864600000000006</v>
      </c>
      <c r="AF4366" s="86">
        <f>IF(verze!$E$1="CZK",AD4366,IF(verze!$E$1="SK",AE4366,""))</f>
        <v>9.5864600000000006</v>
      </c>
    </row>
    <row r="4367" spans="27:32" ht="15">
      <c r="AA4367" s="463" t="s">
        <v>14133</v>
      </c>
      <c r="AB4367" s="462" t="s">
        <v>14134</v>
      </c>
      <c r="AC4367" s="462" t="s">
        <v>14135</v>
      </c>
      <c r="AD4367" s="464">
        <v>199.28737000000001</v>
      </c>
      <c r="AE4367" s="465">
        <v>9.5864600000000006</v>
      </c>
      <c r="AF4367" s="86">
        <f>IF(verze!$E$1="CZK",AD4367,IF(verze!$E$1="SK",AE4367,""))</f>
        <v>9.5864600000000006</v>
      </c>
    </row>
    <row r="4368" spans="27:32" ht="15">
      <c r="AA4368" s="463" t="s">
        <v>14136</v>
      </c>
      <c r="AB4368" s="462" t="s">
        <v>14137</v>
      </c>
      <c r="AC4368" s="462" t="s">
        <v>14138</v>
      </c>
      <c r="AD4368" s="464">
        <v>199.28737000000001</v>
      </c>
      <c r="AE4368" s="465">
        <v>9.5864600000000006</v>
      </c>
      <c r="AF4368" s="86">
        <f>IF(verze!$E$1="CZK",AD4368,IF(verze!$E$1="SK",AE4368,""))</f>
        <v>9.5864600000000006</v>
      </c>
    </row>
    <row r="4369" spans="27:32" ht="15">
      <c r="AA4369" s="463" t="s">
        <v>14139</v>
      </c>
      <c r="AB4369" s="462" t="s">
        <v>14140</v>
      </c>
      <c r="AC4369" s="462" t="s">
        <v>14141</v>
      </c>
      <c r="AD4369" s="464">
        <v>199.28737000000001</v>
      </c>
      <c r="AE4369" s="465">
        <v>9.5864600000000006</v>
      </c>
      <c r="AF4369" s="86">
        <f>IF(verze!$E$1="CZK",AD4369,IF(verze!$E$1="SK",AE4369,""))</f>
        <v>9.5864600000000006</v>
      </c>
    </row>
    <row r="4370" spans="27:32" ht="15">
      <c r="AA4370" s="463" t="s">
        <v>14142</v>
      </c>
      <c r="AB4370" s="462" t="s">
        <v>14143</v>
      </c>
      <c r="AC4370" s="462" t="s">
        <v>14144</v>
      </c>
      <c r="AD4370" s="464">
        <v>199.28737000000001</v>
      </c>
      <c r="AE4370" s="465">
        <v>9.5864600000000006</v>
      </c>
      <c r="AF4370" s="86">
        <f>IF(verze!$E$1="CZK",AD4370,IF(verze!$E$1="SK",AE4370,""))</f>
        <v>9.5864600000000006</v>
      </c>
    </row>
    <row r="4371" spans="27:32" ht="15">
      <c r="AA4371" s="463" t="s">
        <v>14145</v>
      </c>
      <c r="AB4371" s="462" t="s">
        <v>14146</v>
      </c>
      <c r="AC4371" s="462" t="s">
        <v>14147</v>
      </c>
      <c r="AD4371" s="464">
        <v>199.28737000000001</v>
      </c>
      <c r="AE4371" s="465">
        <v>9.5864600000000006</v>
      </c>
      <c r="AF4371" s="86">
        <f>IF(verze!$E$1="CZK",AD4371,IF(verze!$E$1="SK",AE4371,""))</f>
        <v>9.5864600000000006</v>
      </c>
    </row>
    <row r="4372" spans="27:32" ht="15">
      <c r="AA4372" s="463" t="s">
        <v>14148</v>
      </c>
      <c r="AB4372" s="462" t="s">
        <v>14149</v>
      </c>
      <c r="AC4372" s="462" t="s">
        <v>14150</v>
      </c>
      <c r="AD4372" s="464">
        <v>199.28737000000001</v>
      </c>
      <c r="AE4372" s="465">
        <v>9.5864600000000006</v>
      </c>
      <c r="AF4372" s="86">
        <f>IF(verze!$E$1="CZK",AD4372,IF(verze!$E$1="SK",AE4372,""))</f>
        <v>9.5864600000000006</v>
      </c>
    </row>
    <row r="4373" spans="27:32" ht="15">
      <c r="AA4373" s="463" t="s">
        <v>14151</v>
      </c>
      <c r="AB4373" s="462" t="s">
        <v>14152</v>
      </c>
      <c r="AC4373" s="462" t="s">
        <v>14153</v>
      </c>
      <c r="AD4373" s="464">
        <v>199.28737000000001</v>
      </c>
      <c r="AE4373" s="465">
        <v>9.5864600000000006</v>
      </c>
      <c r="AF4373" s="86">
        <f>IF(verze!$E$1="CZK",AD4373,IF(verze!$E$1="SK",AE4373,""))</f>
        <v>9.5864600000000006</v>
      </c>
    </row>
    <row r="4374" spans="27:32" ht="15">
      <c r="AA4374" s="463" t="s">
        <v>14154</v>
      </c>
      <c r="AB4374" s="462" t="s">
        <v>14155</v>
      </c>
      <c r="AC4374" s="462" t="s">
        <v>14156</v>
      </c>
      <c r="AD4374" s="464">
        <v>205.6566</v>
      </c>
      <c r="AE4374" s="465">
        <v>9.89283</v>
      </c>
      <c r="AF4374" s="86">
        <f>IF(verze!$E$1="CZK",AD4374,IF(verze!$E$1="SK",AE4374,""))</f>
        <v>9.89283</v>
      </c>
    </row>
    <row r="4375" spans="27:32" ht="15">
      <c r="AA4375" s="463" t="s">
        <v>14157</v>
      </c>
      <c r="AB4375" s="462" t="s">
        <v>14158</v>
      </c>
      <c r="AC4375" s="462" t="s">
        <v>14159</v>
      </c>
      <c r="AD4375" s="464">
        <v>205.6566</v>
      </c>
      <c r="AE4375" s="465">
        <v>9.89283</v>
      </c>
      <c r="AF4375" s="86">
        <f>IF(verze!$E$1="CZK",AD4375,IF(verze!$E$1="SK",AE4375,""))</f>
        <v>9.89283</v>
      </c>
    </row>
    <row r="4376" spans="27:32" ht="15">
      <c r="AA4376" s="463" t="s">
        <v>14160</v>
      </c>
      <c r="AB4376" s="462" t="s">
        <v>14161</v>
      </c>
      <c r="AC4376" s="462" t="s">
        <v>14162</v>
      </c>
      <c r="AD4376" s="464">
        <v>212.02325999999999</v>
      </c>
      <c r="AE4376" s="465">
        <v>10.19909</v>
      </c>
      <c r="AF4376" s="86">
        <f>IF(verze!$E$1="CZK",AD4376,IF(verze!$E$1="SK",AE4376,""))</f>
        <v>10.19909</v>
      </c>
    </row>
    <row r="4377" spans="27:32" ht="15">
      <c r="AA4377" s="463" t="s">
        <v>14163</v>
      </c>
      <c r="AB4377" s="462" t="s">
        <v>14164</v>
      </c>
      <c r="AC4377" s="462" t="s">
        <v>14165</v>
      </c>
      <c r="AD4377" s="464">
        <v>212.02325999999999</v>
      </c>
      <c r="AE4377" s="465">
        <v>10.19909</v>
      </c>
      <c r="AF4377" s="86">
        <f>IF(verze!$E$1="CZK",AD4377,IF(verze!$E$1="SK",AE4377,""))</f>
        <v>10.19909</v>
      </c>
    </row>
    <row r="4378" spans="27:32" ht="15">
      <c r="AA4378" s="463" t="s">
        <v>14166</v>
      </c>
      <c r="AB4378" s="462" t="s">
        <v>14167</v>
      </c>
      <c r="AC4378" s="462" t="s">
        <v>14168</v>
      </c>
      <c r="AD4378" s="464">
        <v>272.35435999999999</v>
      </c>
      <c r="AE4378" s="465">
        <v>13.101229999999999</v>
      </c>
      <c r="AF4378" s="86">
        <f>IF(verze!$E$1="CZK",AD4378,IF(verze!$E$1="SK",AE4378,""))</f>
        <v>13.101229999999999</v>
      </c>
    </row>
    <row r="4379" spans="27:32" ht="15">
      <c r="AA4379" s="463" t="s">
        <v>14169</v>
      </c>
      <c r="AB4379" s="462" t="s">
        <v>14170</v>
      </c>
      <c r="AC4379" s="462" t="s">
        <v>14171</v>
      </c>
      <c r="AD4379" s="464">
        <v>272.35435999999999</v>
      </c>
      <c r="AE4379" s="465">
        <v>13.101229999999999</v>
      </c>
      <c r="AF4379" s="86">
        <f>IF(verze!$E$1="CZK",AD4379,IF(verze!$E$1="SK",AE4379,""))</f>
        <v>13.101229999999999</v>
      </c>
    </row>
    <row r="4380" spans="27:32" ht="15">
      <c r="AA4380" s="463" t="s">
        <v>14172</v>
      </c>
      <c r="AB4380" s="462" t="s">
        <v>14173</v>
      </c>
      <c r="AC4380" s="462" t="s">
        <v>14174</v>
      </c>
      <c r="AD4380" s="464">
        <v>212.58418</v>
      </c>
      <c r="AE4380" s="465">
        <v>10.00522</v>
      </c>
      <c r="AF4380" s="86">
        <f>IF(verze!$E$1="CZK",AD4380,IF(verze!$E$1="SK",AE4380,""))</f>
        <v>10.00522</v>
      </c>
    </row>
    <row r="4381" spans="27:32" ht="15">
      <c r="AA4381" s="463" t="s">
        <v>14175</v>
      </c>
      <c r="AB4381" s="462" t="s">
        <v>14176</v>
      </c>
      <c r="AC4381" s="462" t="s">
        <v>14177</v>
      </c>
      <c r="AD4381" s="464">
        <v>212.58418</v>
      </c>
      <c r="AE4381" s="465">
        <v>10.00522</v>
      </c>
      <c r="AF4381" s="86">
        <f>IF(verze!$E$1="CZK",AD4381,IF(verze!$E$1="SK",AE4381,""))</f>
        <v>10.00522</v>
      </c>
    </row>
    <row r="4382" spans="27:32" ht="15">
      <c r="AA4382" s="463" t="s">
        <v>14178</v>
      </c>
      <c r="AB4382" s="462" t="s">
        <v>14179</v>
      </c>
      <c r="AC4382" s="462" t="s">
        <v>14180</v>
      </c>
      <c r="AD4382" s="464">
        <v>271.30831999999998</v>
      </c>
      <c r="AE4382" s="465">
        <v>12.76904</v>
      </c>
      <c r="AF4382" s="86">
        <f>IF(verze!$E$1="CZK",AD4382,IF(verze!$E$1="SK",AE4382,""))</f>
        <v>12.76904</v>
      </c>
    </row>
    <row r="4383" spans="27:32" ht="15">
      <c r="AA4383" s="463" t="s">
        <v>14181</v>
      </c>
      <c r="AB4383" s="462" t="s">
        <v>14182</v>
      </c>
      <c r="AC4383" s="462" t="s">
        <v>14183</v>
      </c>
      <c r="AD4383" s="464">
        <v>271.30831999999998</v>
      </c>
      <c r="AE4383" s="465">
        <v>12.76904</v>
      </c>
      <c r="AF4383" s="86">
        <f>IF(verze!$E$1="CZK",AD4383,IF(verze!$E$1="SK",AE4383,""))</f>
        <v>12.76904</v>
      </c>
    </row>
    <row r="4384" spans="27:32" ht="15">
      <c r="AA4384" s="463" t="s">
        <v>14184</v>
      </c>
      <c r="AB4384" s="462" t="s">
        <v>14185</v>
      </c>
      <c r="AC4384" s="462" t="s">
        <v>14186</v>
      </c>
      <c r="AD4384" s="464">
        <v>224.76160999999999</v>
      </c>
      <c r="AE4384" s="465">
        <v>10.81185</v>
      </c>
      <c r="AF4384" s="86">
        <f>IF(verze!$E$1="CZK",AD4384,IF(verze!$E$1="SK",AE4384,""))</f>
        <v>10.81185</v>
      </c>
    </row>
    <row r="4385" spans="27:32" ht="15">
      <c r="AA4385" s="463" t="s">
        <v>14187</v>
      </c>
      <c r="AB4385" s="462" t="s">
        <v>14188</v>
      </c>
      <c r="AC4385" s="462" t="s">
        <v>14189</v>
      </c>
      <c r="AD4385" s="464">
        <v>224.76160999999999</v>
      </c>
      <c r="AE4385" s="465">
        <v>10.81185</v>
      </c>
      <c r="AF4385" s="86">
        <f>IF(verze!$E$1="CZK",AD4385,IF(verze!$E$1="SK",AE4385,""))</f>
        <v>10.81185</v>
      </c>
    </row>
    <row r="4386" spans="27:32" ht="15">
      <c r="AA4386" s="463" t="s">
        <v>14190</v>
      </c>
      <c r="AB4386" s="462" t="s">
        <v>14191</v>
      </c>
      <c r="AC4386" s="462" t="s">
        <v>14192</v>
      </c>
      <c r="AD4386" s="464">
        <v>285.09025000000003</v>
      </c>
      <c r="AE4386" s="465">
        <v>13.71386</v>
      </c>
      <c r="AF4386" s="86">
        <f>IF(verze!$E$1="CZK",AD4386,IF(verze!$E$1="SK",AE4386,""))</f>
        <v>13.71386</v>
      </c>
    </row>
    <row r="4387" spans="27:32" ht="15">
      <c r="AA4387" s="463" t="s">
        <v>14190</v>
      </c>
      <c r="AB4387" s="462" t="s">
        <v>14193</v>
      </c>
      <c r="AC4387" s="462" t="s">
        <v>14194</v>
      </c>
      <c r="AD4387" s="464">
        <v>285.09025000000003</v>
      </c>
      <c r="AE4387" s="465">
        <v>13.71386</v>
      </c>
      <c r="AF4387" s="86">
        <f>IF(verze!$E$1="CZK",AD4387,IF(verze!$E$1="SK",AE4387,""))</f>
        <v>13.71386</v>
      </c>
    </row>
    <row r="4388" spans="27:32" ht="15">
      <c r="AA4388" s="463" t="s">
        <v>14195</v>
      </c>
      <c r="AB4388" s="462" t="s">
        <v>14196</v>
      </c>
      <c r="AC4388" s="462" t="s">
        <v>14197</v>
      </c>
      <c r="AD4388" s="464">
        <v>285.09025000000003</v>
      </c>
      <c r="AE4388" s="465">
        <v>13.71386</v>
      </c>
      <c r="AF4388" s="86">
        <f>IF(verze!$E$1="CZK",AD4388,IF(verze!$E$1="SK",AE4388,""))</f>
        <v>13.71386</v>
      </c>
    </row>
    <row r="4389" spans="27:32" ht="15">
      <c r="AA4389" s="463" t="s">
        <v>14195</v>
      </c>
      <c r="AB4389" s="462" t="s">
        <v>14198</v>
      </c>
      <c r="AC4389" s="462" t="s">
        <v>14199</v>
      </c>
      <c r="AD4389" s="464">
        <v>285.09025000000003</v>
      </c>
      <c r="AE4389" s="465">
        <v>13.71386</v>
      </c>
      <c r="AF4389" s="86">
        <f>IF(verze!$E$1="CZK",AD4389,IF(verze!$E$1="SK",AE4389,""))</f>
        <v>13.71386</v>
      </c>
    </row>
    <row r="4390" spans="27:32" ht="15">
      <c r="AA4390" s="463" t="s">
        <v>14200</v>
      </c>
      <c r="AB4390" s="462" t="s">
        <v>14201</v>
      </c>
      <c r="AC4390" s="462" t="s">
        <v>14202</v>
      </c>
      <c r="AD4390" s="464">
        <v>237.4975</v>
      </c>
      <c r="AE4390" s="465">
        <v>11.424480000000001</v>
      </c>
      <c r="AF4390" s="86">
        <f>IF(verze!$E$1="CZK",AD4390,IF(verze!$E$1="SK",AE4390,""))</f>
        <v>11.424480000000001</v>
      </c>
    </row>
    <row r="4391" spans="27:32" ht="15">
      <c r="AA4391" s="463" t="s">
        <v>14203</v>
      </c>
      <c r="AB4391" s="462" t="s">
        <v>14204</v>
      </c>
      <c r="AC4391" s="462" t="s">
        <v>14205</v>
      </c>
      <c r="AD4391" s="464">
        <v>237.4975</v>
      </c>
      <c r="AE4391" s="465">
        <v>11.424480000000001</v>
      </c>
      <c r="AF4391" s="86">
        <f>IF(verze!$E$1="CZK",AD4391,IF(verze!$E$1="SK",AE4391,""))</f>
        <v>11.424480000000001</v>
      </c>
    </row>
    <row r="4392" spans="27:32" ht="15">
      <c r="AA4392" s="463" t="s">
        <v>14206</v>
      </c>
      <c r="AB4392" s="462" t="s">
        <v>14207</v>
      </c>
      <c r="AC4392" s="462" t="s">
        <v>14208</v>
      </c>
      <c r="AD4392" s="464">
        <v>297.82612</v>
      </c>
      <c r="AE4392" s="465">
        <v>14.32652</v>
      </c>
      <c r="AF4392" s="86">
        <f>IF(verze!$E$1="CZK",AD4392,IF(verze!$E$1="SK",AE4392,""))</f>
        <v>14.32652</v>
      </c>
    </row>
    <row r="4393" spans="27:32" ht="15">
      <c r="AA4393" s="463" t="s">
        <v>14206</v>
      </c>
      <c r="AB4393" s="462" t="s">
        <v>14209</v>
      </c>
      <c r="AC4393" s="462" t="s">
        <v>14210</v>
      </c>
      <c r="AD4393" s="464">
        <v>297.82612</v>
      </c>
      <c r="AE4393" s="465">
        <v>14.32652</v>
      </c>
      <c r="AF4393" s="86">
        <f>IF(verze!$E$1="CZK",AD4393,IF(verze!$E$1="SK",AE4393,""))</f>
        <v>14.32652</v>
      </c>
    </row>
    <row r="4394" spans="27:32" ht="15">
      <c r="AA4394" s="463" t="s">
        <v>14211</v>
      </c>
      <c r="AB4394" s="462" t="s">
        <v>14212</v>
      </c>
      <c r="AC4394" s="462" t="s">
        <v>14213</v>
      </c>
      <c r="AD4394" s="464">
        <v>297.82612</v>
      </c>
      <c r="AE4394" s="465">
        <v>14.32652</v>
      </c>
      <c r="AF4394" s="86">
        <f>IF(verze!$E$1="CZK",AD4394,IF(verze!$E$1="SK",AE4394,""))</f>
        <v>14.32652</v>
      </c>
    </row>
    <row r="4395" spans="27:32" ht="15">
      <c r="AA4395" s="463" t="s">
        <v>14211</v>
      </c>
      <c r="AB4395" s="462" t="s">
        <v>14214</v>
      </c>
      <c r="AC4395" s="462" t="s">
        <v>14215</v>
      </c>
      <c r="AD4395" s="464">
        <v>297.82612</v>
      </c>
      <c r="AE4395" s="465">
        <v>14.32652</v>
      </c>
      <c r="AF4395" s="86">
        <f>IF(verze!$E$1="CZK",AD4395,IF(verze!$E$1="SK",AE4395,""))</f>
        <v>14.32652</v>
      </c>
    </row>
    <row r="4396" spans="27:32" ht="15">
      <c r="AA4396" s="463" t="s">
        <v>14216</v>
      </c>
      <c r="AB4396" s="462" t="s">
        <v>14217</v>
      </c>
      <c r="AC4396" s="462" t="s">
        <v>14218</v>
      </c>
      <c r="AD4396" s="464">
        <v>428.64139</v>
      </c>
      <c r="AE4396" s="465">
        <v>17.949400000000001</v>
      </c>
      <c r="AF4396" s="86">
        <f>IF(verze!$E$1="CZK",AD4396,IF(verze!$E$1="SK",AE4396,""))</f>
        <v>17.949400000000001</v>
      </c>
    </row>
    <row r="4397" spans="27:32" ht="15">
      <c r="AA4397" s="463" t="s">
        <v>14219</v>
      </c>
      <c r="AB4397" s="462" t="s">
        <v>14220</v>
      </c>
      <c r="AC4397" s="462" t="s">
        <v>14221</v>
      </c>
      <c r="AD4397" s="464">
        <v>462.90732000000003</v>
      </c>
      <c r="AE4397" s="465">
        <v>18.638390000000001</v>
      </c>
      <c r="AF4397" s="86">
        <f>IF(verze!$E$1="CZK",AD4397,IF(verze!$E$1="SK",AE4397,""))</f>
        <v>18.638390000000001</v>
      </c>
    </row>
    <row r="4398" spans="27:32" ht="15">
      <c r="AA4398" s="463" t="s">
        <v>14222</v>
      </c>
      <c r="AB4398" s="462" t="s">
        <v>14223</v>
      </c>
      <c r="AC4398" s="462" t="s">
        <v>14224</v>
      </c>
      <c r="AD4398" s="464">
        <v>837.75361999999996</v>
      </c>
      <c r="AE4398" s="465">
        <v>40.29898</v>
      </c>
      <c r="AF4398" s="86">
        <f>IF(verze!$E$1="CZK",AD4398,IF(verze!$E$1="SK",AE4398,""))</f>
        <v>40.29898</v>
      </c>
    </row>
    <row r="4399" spans="27:32" ht="15">
      <c r="AA4399" s="463" t="s">
        <v>14225</v>
      </c>
      <c r="AB4399" s="462" t="s">
        <v>14226</v>
      </c>
      <c r="AC4399" s="462" t="s">
        <v>14227</v>
      </c>
      <c r="AD4399" s="464">
        <v>478.74345</v>
      </c>
      <c r="AE4399" s="465">
        <v>23.02929</v>
      </c>
      <c r="AF4399" s="86">
        <f>IF(verze!$E$1="CZK",AD4399,IF(verze!$E$1="SK",AE4399,""))</f>
        <v>23.02929</v>
      </c>
    </row>
    <row r="4400" spans="27:32" ht="15">
      <c r="AA4400" s="463" t="s">
        <v>14228</v>
      </c>
      <c r="AB4400" s="462" t="s">
        <v>14229</v>
      </c>
      <c r="AC4400" s="462" t="s">
        <v>14230</v>
      </c>
      <c r="AD4400" s="464">
        <v>478.74345</v>
      </c>
      <c r="AE4400" s="465">
        <v>23.02929</v>
      </c>
      <c r="AF4400" s="86">
        <f>IF(verze!$E$1="CZK",AD4400,IF(verze!$E$1="SK",AE4400,""))</f>
        <v>23.02929</v>
      </c>
    </row>
    <row r="4401" spans="27:32" ht="15">
      <c r="AA4401" s="463" t="s">
        <v>14231</v>
      </c>
      <c r="AB4401" s="462" t="s">
        <v>14232</v>
      </c>
      <c r="AC4401" s="462" t="s">
        <v>14233</v>
      </c>
      <c r="AD4401" s="464">
        <v>478.74345</v>
      </c>
      <c r="AE4401" s="465">
        <v>23.02929</v>
      </c>
      <c r="AF4401" s="86">
        <f>IF(verze!$E$1="CZK",AD4401,IF(verze!$E$1="SK",AE4401,""))</f>
        <v>23.02929</v>
      </c>
    </row>
    <row r="4402" spans="27:32" ht="15">
      <c r="AA4402" s="463" t="s">
        <v>14234</v>
      </c>
      <c r="AB4402" s="462" t="s">
        <v>14235</v>
      </c>
      <c r="AC4402" s="462" t="s">
        <v>14236</v>
      </c>
      <c r="AD4402" s="464">
        <v>478.74345</v>
      </c>
      <c r="AE4402" s="465">
        <v>23.02929</v>
      </c>
      <c r="AF4402" s="86">
        <f>IF(verze!$E$1="CZK",AD4402,IF(verze!$E$1="SK",AE4402,""))</f>
        <v>23.02929</v>
      </c>
    </row>
    <row r="4403" spans="27:32" ht="15">
      <c r="AA4403" s="463" t="s">
        <v>14237</v>
      </c>
      <c r="AB4403" s="462" t="s">
        <v>14238</v>
      </c>
      <c r="AC4403" s="462" t="s">
        <v>14239</v>
      </c>
      <c r="AD4403" s="464">
        <v>205.6566</v>
      </c>
      <c r="AE4403" s="465">
        <v>9.89283</v>
      </c>
      <c r="AF4403" s="86">
        <f>IF(verze!$E$1="CZK",AD4403,IF(verze!$E$1="SK",AE4403,""))</f>
        <v>9.89283</v>
      </c>
    </row>
    <row r="4404" spans="27:32" ht="15">
      <c r="AA4404" s="463" t="s">
        <v>14240</v>
      </c>
      <c r="AB4404" s="462" t="s">
        <v>14241</v>
      </c>
      <c r="AC4404" s="462" t="s">
        <v>14242</v>
      </c>
      <c r="AD4404" s="464">
        <v>205.6566</v>
      </c>
      <c r="AE4404" s="465">
        <v>9.89283</v>
      </c>
      <c r="AF4404" s="86">
        <f>IF(verze!$E$1="CZK",AD4404,IF(verze!$E$1="SK",AE4404,""))</f>
        <v>9.89283</v>
      </c>
    </row>
    <row r="4405" spans="27:32" ht="15">
      <c r="AA4405" s="463" t="s">
        <v>14243</v>
      </c>
      <c r="AB4405" s="462" t="s">
        <v>14244</v>
      </c>
      <c r="AC4405" s="462" t="s">
        <v>14245</v>
      </c>
      <c r="AD4405" s="464">
        <v>212.02325999999999</v>
      </c>
      <c r="AE4405" s="465">
        <v>10.19909</v>
      </c>
      <c r="AF4405" s="86">
        <f>IF(verze!$E$1="CZK",AD4405,IF(verze!$E$1="SK",AE4405,""))</f>
        <v>10.19909</v>
      </c>
    </row>
    <row r="4406" spans="27:32" ht="15">
      <c r="AA4406" s="463" t="s">
        <v>14246</v>
      </c>
      <c r="AB4406" s="462" t="s">
        <v>14247</v>
      </c>
      <c r="AC4406" s="462" t="s">
        <v>14248</v>
      </c>
      <c r="AD4406" s="464">
        <v>212.02325999999999</v>
      </c>
      <c r="AE4406" s="465">
        <v>10.19909</v>
      </c>
      <c r="AF4406" s="86">
        <f>IF(verze!$E$1="CZK",AD4406,IF(verze!$E$1="SK",AE4406,""))</f>
        <v>10.19909</v>
      </c>
    </row>
    <row r="4407" spans="27:32" ht="15">
      <c r="AA4407" s="463" t="s">
        <v>14249</v>
      </c>
      <c r="AB4407" s="462" t="s">
        <v>14250</v>
      </c>
      <c r="AC4407" s="462" t="s">
        <v>14251</v>
      </c>
      <c r="AD4407" s="464">
        <v>212.58418</v>
      </c>
      <c r="AE4407" s="465">
        <v>10.00522</v>
      </c>
      <c r="AF4407" s="86">
        <f>IF(verze!$E$1="CZK",AD4407,IF(verze!$E$1="SK",AE4407,""))</f>
        <v>10.00522</v>
      </c>
    </row>
    <row r="4408" spans="27:32" ht="15">
      <c r="AA4408" s="463" t="s">
        <v>14252</v>
      </c>
      <c r="AB4408" s="462" t="s">
        <v>14253</v>
      </c>
      <c r="AC4408" s="462" t="s">
        <v>14254</v>
      </c>
      <c r="AD4408" s="464">
        <v>212.58418</v>
      </c>
      <c r="AE4408" s="465">
        <v>10.00522</v>
      </c>
      <c r="AF4408" s="86">
        <f>IF(verze!$E$1="CZK",AD4408,IF(verze!$E$1="SK",AE4408,""))</f>
        <v>10.00522</v>
      </c>
    </row>
    <row r="4409" spans="27:32" ht="15">
      <c r="AA4409" s="463" t="s">
        <v>14255</v>
      </c>
      <c r="AB4409" s="462" t="s">
        <v>14256</v>
      </c>
      <c r="AC4409" s="462" t="s">
        <v>14257</v>
      </c>
      <c r="AD4409" s="464">
        <v>136.94762</v>
      </c>
      <c r="AE4409" s="465">
        <v>6.5876799999999998</v>
      </c>
      <c r="AF4409" s="86">
        <f>IF(verze!$E$1="CZK",AD4409,IF(verze!$E$1="SK",AE4409,""))</f>
        <v>6.5876799999999998</v>
      </c>
    </row>
    <row r="4410" spans="27:32" ht="15">
      <c r="AA4410" s="463" t="s">
        <v>14258</v>
      </c>
      <c r="AB4410" s="462" t="s">
        <v>14259</v>
      </c>
      <c r="AC4410" s="462" t="s">
        <v>14260</v>
      </c>
      <c r="AD4410" s="464">
        <v>136.94762</v>
      </c>
      <c r="AE4410" s="465">
        <v>6.5876799999999998</v>
      </c>
      <c r="AF4410" s="86">
        <f>IF(verze!$E$1="CZK",AD4410,IF(verze!$E$1="SK",AE4410,""))</f>
        <v>6.5876799999999998</v>
      </c>
    </row>
    <row r="4411" spans="27:32" ht="15">
      <c r="AA4411" s="463" t="s">
        <v>14261</v>
      </c>
      <c r="AB4411" s="462" t="s">
        <v>14262</v>
      </c>
      <c r="AC4411" s="462" t="s">
        <v>14263</v>
      </c>
      <c r="AD4411" s="464">
        <v>136.94762</v>
      </c>
      <c r="AE4411" s="465">
        <v>6.5876799999999998</v>
      </c>
      <c r="AF4411" s="86">
        <f>IF(verze!$E$1="CZK",AD4411,IF(verze!$E$1="SK",AE4411,""))</f>
        <v>6.5876799999999998</v>
      </c>
    </row>
    <row r="4412" spans="27:32" ht="15">
      <c r="AA4412" s="463" t="s">
        <v>14264</v>
      </c>
      <c r="AB4412" s="462" t="s">
        <v>14265</v>
      </c>
      <c r="AC4412" s="462" t="s">
        <v>14266</v>
      </c>
      <c r="AD4412" s="464">
        <v>136.94762</v>
      </c>
      <c r="AE4412" s="465">
        <v>6.5876799999999998</v>
      </c>
      <c r="AF4412" s="86">
        <f>IF(verze!$E$1="CZK",AD4412,IF(verze!$E$1="SK",AE4412,""))</f>
        <v>6.5876799999999998</v>
      </c>
    </row>
    <row r="4413" spans="27:32" ht="15">
      <c r="AA4413" s="463" t="s">
        <v>14267</v>
      </c>
      <c r="AB4413" s="462" t="s">
        <v>14268</v>
      </c>
      <c r="AC4413" s="462" t="s">
        <v>14269</v>
      </c>
      <c r="AD4413" s="464">
        <v>136.94762</v>
      </c>
      <c r="AE4413" s="465">
        <v>6.5876799999999998</v>
      </c>
      <c r="AF4413" s="86">
        <f>IF(verze!$E$1="CZK",AD4413,IF(verze!$E$1="SK",AE4413,""))</f>
        <v>6.5876799999999998</v>
      </c>
    </row>
    <row r="4414" spans="27:32" ht="15">
      <c r="AA4414" s="463" t="s">
        <v>14270</v>
      </c>
      <c r="AB4414" s="462" t="s">
        <v>14271</v>
      </c>
      <c r="AC4414" s="462" t="s">
        <v>14272</v>
      </c>
      <c r="AD4414" s="464">
        <v>93.745649999999998</v>
      </c>
      <c r="AE4414" s="465">
        <v>4.5095000000000001</v>
      </c>
      <c r="AF4414" s="86">
        <f>IF(verze!$E$1="CZK",AD4414,IF(verze!$E$1="SK",AE4414,""))</f>
        <v>4.5095000000000001</v>
      </c>
    </row>
    <row r="4415" spans="27:32" ht="15">
      <c r="AA4415" s="463" t="s">
        <v>14273</v>
      </c>
      <c r="AB4415" s="462" t="s">
        <v>14274</v>
      </c>
      <c r="AC4415" s="462" t="s">
        <v>14275</v>
      </c>
      <c r="AD4415" s="464">
        <v>93.745649999999998</v>
      </c>
      <c r="AE4415" s="465">
        <v>4.5095000000000001</v>
      </c>
      <c r="AF4415" s="86">
        <f>IF(verze!$E$1="CZK",AD4415,IF(verze!$E$1="SK",AE4415,""))</f>
        <v>4.5095000000000001</v>
      </c>
    </row>
    <row r="4416" spans="27:32" ht="15">
      <c r="AA4416" s="463" t="s">
        <v>14276</v>
      </c>
      <c r="AB4416" s="462" t="s">
        <v>14277</v>
      </c>
      <c r="AC4416" s="462" t="s">
        <v>14278</v>
      </c>
      <c r="AD4416" s="464">
        <v>93.745649999999998</v>
      </c>
      <c r="AE4416" s="465">
        <v>4.5095000000000001</v>
      </c>
      <c r="AF4416" s="86">
        <f>IF(verze!$E$1="CZK",AD4416,IF(verze!$E$1="SK",AE4416,""))</f>
        <v>4.5095000000000001</v>
      </c>
    </row>
    <row r="4417" spans="27:32" ht="15">
      <c r="AA4417" s="463" t="s">
        <v>14279</v>
      </c>
      <c r="AB4417" s="462" t="s">
        <v>14280</v>
      </c>
      <c r="AC4417" s="462" t="s">
        <v>14281</v>
      </c>
      <c r="AD4417" s="464">
        <v>93.745649999999998</v>
      </c>
      <c r="AE4417" s="465">
        <v>4.5095000000000001</v>
      </c>
      <c r="AF4417" s="86">
        <f>IF(verze!$E$1="CZK",AD4417,IF(verze!$E$1="SK",AE4417,""))</f>
        <v>4.5095000000000001</v>
      </c>
    </row>
    <row r="4418" spans="27:32" ht="15">
      <c r="AA4418" s="463" t="s">
        <v>14282</v>
      </c>
      <c r="AB4418" s="462" t="s">
        <v>14283</v>
      </c>
      <c r="AC4418" s="462" t="s">
        <v>14284</v>
      </c>
      <c r="AD4418" s="464">
        <v>93.745649999999998</v>
      </c>
      <c r="AE4418" s="465">
        <v>4.5095000000000001</v>
      </c>
      <c r="AF4418" s="86">
        <f>IF(verze!$E$1="CZK",AD4418,IF(verze!$E$1="SK",AE4418,""))</f>
        <v>4.5095000000000001</v>
      </c>
    </row>
    <row r="4419" spans="27:32" ht="15">
      <c r="AA4419" s="463" t="s">
        <v>14285</v>
      </c>
      <c r="AB4419" s="462" t="s">
        <v>14286</v>
      </c>
      <c r="AC4419" s="462" t="s">
        <v>14287</v>
      </c>
      <c r="AD4419" s="464">
        <v>1144.8660299999999</v>
      </c>
      <c r="AE4419" s="465">
        <v>46.954979999999999</v>
      </c>
      <c r="AF4419" s="86">
        <f>IF(verze!$E$1="CZK",AD4419,IF(verze!$E$1="SK",AE4419,""))</f>
        <v>46.954979999999999</v>
      </c>
    </row>
    <row r="4420" spans="27:32" ht="15">
      <c r="AA4420" s="463" t="s">
        <v>14288</v>
      </c>
      <c r="AB4420" s="462" t="s">
        <v>14289</v>
      </c>
      <c r="AC4420" s="462" t="s">
        <v>14290</v>
      </c>
      <c r="AD4420" s="464">
        <v>483.02420999999998</v>
      </c>
      <c r="AE4420" s="465">
        <v>23.235199999999999</v>
      </c>
      <c r="AF4420" s="86">
        <f>IF(verze!$E$1="CZK",AD4420,IF(verze!$E$1="SK",AE4420,""))</f>
        <v>23.235199999999999</v>
      </c>
    </row>
    <row r="4421" spans="27:32" ht="15">
      <c r="AA4421" s="463" t="s">
        <v>14291</v>
      </c>
      <c r="AB4421" s="462" t="s">
        <v>14292</v>
      </c>
      <c r="AC4421" s="462" t="s">
        <v>14293</v>
      </c>
      <c r="AD4421" s="464">
        <v>495.34919000000002</v>
      </c>
      <c r="AE4421" s="465">
        <v>23.82807</v>
      </c>
      <c r="AF4421" s="86">
        <f>IF(verze!$E$1="CZK",AD4421,IF(verze!$E$1="SK",AE4421,""))</f>
        <v>23.82807</v>
      </c>
    </row>
    <row r="4422" spans="27:32" ht="15">
      <c r="AA4422" s="463" t="s">
        <v>14294</v>
      </c>
      <c r="AB4422" s="462" t="s">
        <v>14295</v>
      </c>
      <c r="AC4422" s="462" t="s">
        <v>14296</v>
      </c>
      <c r="AD4422" s="464">
        <v>507.67662999999999</v>
      </c>
      <c r="AE4422" s="465">
        <v>24.42107</v>
      </c>
      <c r="AF4422" s="86">
        <f>IF(verze!$E$1="CZK",AD4422,IF(verze!$E$1="SK",AE4422,""))</f>
        <v>24.42107</v>
      </c>
    </row>
    <row r="4423" spans="27:32" ht="15">
      <c r="AA4423" s="463" t="s">
        <v>14297</v>
      </c>
      <c r="AB4423" s="462" t="s">
        <v>14298</v>
      </c>
      <c r="AC4423" s="462" t="s">
        <v>14299</v>
      </c>
      <c r="AD4423" s="464">
        <v>506.17187000000001</v>
      </c>
      <c r="AE4423" s="465">
        <v>23.82282</v>
      </c>
      <c r="AF4423" s="86">
        <f>IF(verze!$E$1="CZK",AD4423,IF(verze!$E$1="SK",AE4423,""))</f>
        <v>23.82282</v>
      </c>
    </row>
    <row r="4424" spans="27:32" ht="15">
      <c r="AA4424" s="463" t="s">
        <v>14300</v>
      </c>
      <c r="AB4424" s="462" t="s">
        <v>14301</v>
      </c>
      <c r="AC4424" s="462" t="s">
        <v>14302</v>
      </c>
      <c r="AD4424" s="464">
        <v>624.44169999999997</v>
      </c>
      <c r="AE4424" s="465">
        <v>30.0379</v>
      </c>
      <c r="AF4424" s="86">
        <f>IF(verze!$E$1="CZK",AD4424,IF(verze!$E$1="SK",AE4424,""))</f>
        <v>30.0379</v>
      </c>
    </row>
    <row r="4425" spans="27:32" ht="15">
      <c r="AA4425" s="463" t="s">
        <v>14303</v>
      </c>
      <c r="AB4425" s="462" t="s">
        <v>14304</v>
      </c>
      <c r="AC4425" s="462" t="s">
        <v>14305</v>
      </c>
      <c r="AD4425" s="464">
        <v>619.83149000000003</v>
      </c>
      <c r="AE4425" s="465">
        <v>29.172160000000002</v>
      </c>
      <c r="AF4425" s="86">
        <f>IF(verze!$E$1="CZK",AD4425,IF(verze!$E$1="SK",AE4425,""))</f>
        <v>29.172160000000002</v>
      </c>
    </row>
    <row r="4426" spans="27:32" ht="15">
      <c r="AA4426" s="463" t="s">
        <v>14306</v>
      </c>
      <c r="AB4426" s="462" t="s">
        <v>14307</v>
      </c>
      <c r="AC4426" s="462" t="s">
        <v>14308</v>
      </c>
      <c r="AD4426" s="464">
        <v>483.02420999999998</v>
      </c>
      <c r="AE4426" s="465">
        <v>23.235199999999999</v>
      </c>
      <c r="AF4426" s="86">
        <f>IF(verze!$E$1="CZK",AD4426,IF(verze!$E$1="SK",AE4426,""))</f>
        <v>23.235199999999999</v>
      </c>
    </row>
    <row r="4427" spans="27:32" ht="15">
      <c r="AA4427" s="463" t="s">
        <v>14309</v>
      </c>
      <c r="AB4427" s="462" t="s">
        <v>14310</v>
      </c>
      <c r="AC4427" s="462" t="s">
        <v>14311</v>
      </c>
      <c r="AD4427" s="464">
        <v>483.02420999999998</v>
      </c>
      <c r="AE4427" s="465">
        <v>23.235199999999999</v>
      </c>
      <c r="AF4427" s="86">
        <f>IF(verze!$E$1="CZK",AD4427,IF(verze!$E$1="SK",AE4427,""))</f>
        <v>23.235199999999999</v>
      </c>
    </row>
    <row r="4428" spans="27:32" ht="15">
      <c r="AA4428" s="463" t="s">
        <v>14312</v>
      </c>
      <c r="AB4428" s="462" t="s">
        <v>14313</v>
      </c>
      <c r="AC4428" s="462" t="s">
        <v>14314</v>
      </c>
      <c r="AD4428" s="464">
        <v>483.02420999999998</v>
      </c>
      <c r="AE4428" s="465">
        <v>23.235199999999999</v>
      </c>
      <c r="AF4428" s="86">
        <f>IF(verze!$E$1="CZK",AD4428,IF(verze!$E$1="SK",AE4428,""))</f>
        <v>23.235199999999999</v>
      </c>
    </row>
    <row r="4429" spans="27:32" ht="15">
      <c r="AA4429" s="463" t="s">
        <v>14315</v>
      </c>
      <c r="AB4429" s="462" t="s">
        <v>14316</v>
      </c>
      <c r="AC4429" s="462" t="s">
        <v>14317</v>
      </c>
      <c r="AD4429" s="464">
        <v>483.02420999999998</v>
      </c>
      <c r="AE4429" s="465">
        <v>23.235199999999999</v>
      </c>
      <c r="AF4429" s="86">
        <f>IF(verze!$E$1="CZK",AD4429,IF(verze!$E$1="SK",AE4429,""))</f>
        <v>23.235199999999999</v>
      </c>
    </row>
    <row r="4430" spans="27:32" ht="15">
      <c r="AA4430" s="463" t="s">
        <v>14318</v>
      </c>
      <c r="AB4430" s="462" t="s">
        <v>14319</v>
      </c>
      <c r="AC4430" s="462" t="s">
        <v>14320</v>
      </c>
      <c r="AD4430" s="464">
        <v>483.02420999999998</v>
      </c>
      <c r="AE4430" s="465">
        <v>23.235199999999999</v>
      </c>
      <c r="AF4430" s="86">
        <f>IF(verze!$E$1="CZK",AD4430,IF(verze!$E$1="SK",AE4430,""))</f>
        <v>23.235199999999999</v>
      </c>
    </row>
    <row r="4431" spans="27:32" ht="15">
      <c r="AA4431" s="463" t="s">
        <v>14321</v>
      </c>
      <c r="AB4431" s="462" t="s">
        <v>14322</v>
      </c>
      <c r="AC4431" s="462" t="s">
        <v>14323</v>
      </c>
      <c r="AD4431" s="464">
        <v>483.02420999999998</v>
      </c>
      <c r="AE4431" s="465">
        <v>23.235199999999999</v>
      </c>
      <c r="AF4431" s="86">
        <f>IF(verze!$E$1="CZK",AD4431,IF(verze!$E$1="SK",AE4431,""))</f>
        <v>23.235199999999999</v>
      </c>
    </row>
    <row r="4432" spans="27:32" ht="15">
      <c r="AA4432" s="463" t="s">
        <v>14324</v>
      </c>
      <c r="AB4432" s="462" t="s">
        <v>14325</v>
      </c>
      <c r="AC4432" s="462" t="s">
        <v>14326</v>
      </c>
      <c r="AD4432" s="464">
        <v>495.34919000000002</v>
      </c>
      <c r="AE4432" s="465">
        <v>23.82807</v>
      </c>
      <c r="AF4432" s="86">
        <f>IF(verze!$E$1="CZK",AD4432,IF(verze!$E$1="SK",AE4432,""))</f>
        <v>23.82807</v>
      </c>
    </row>
    <row r="4433" spans="27:32" ht="15">
      <c r="AA4433" s="463" t="s">
        <v>14327</v>
      </c>
      <c r="AB4433" s="462" t="s">
        <v>14328</v>
      </c>
      <c r="AC4433" s="462" t="s">
        <v>14329</v>
      </c>
      <c r="AD4433" s="464">
        <v>507.67662999999999</v>
      </c>
      <c r="AE4433" s="465">
        <v>24.42107</v>
      </c>
      <c r="AF4433" s="86">
        <f>IF(verze!$E$1="CZK",AD4433,IF(verze!$E$1="SK",AE4433,""))</f>
        <v>24.42107</v>
      </c>
    </row>
    <row r="4434" spans="27:32" ht="15">
      <c r="AA4434" s="463" t="s">
        <v>14330</v>
      </c>
      <c r="AB4434" s="462" t="s">
        <v>14331</v>
      </c>
      <c r="AC4434" s="462" t="s">
        <v>14332</v>
      </c>
      <c r="AD4434" s="464">
        <v>506.17187000000001</v>
      </c>
      <c r="AE4434" s="465">
        <v>23.82282</v>
      </c>
      <c r="AF4434" s="86">
        <f>IF(verze!$E$1="CZK",AD4434,IF(verze!$E$1="SK",AE4434,""))</f>
        <v>23.82282</v>
      </c>
    </row>
    <row r="4435" spans="27:32" ht="15">
      <c r="AA4435" s="463" t="s">
        <v>14333</v>
      </c>
      <c r="AB4435" s="462" t="s">
        <v>14334</v>
      </c>
      <c r="AC4435" s="462" t="s">
        <v>14335</v>
      </c>
      <c r="AD4435" s="464">
        <v>532.32677999999999</v>
      </c>
      <c r="AE4435" s="465">
        <v>25.606829999999999</v>
      </c>
      <c r="AF4435" s="86">
        <f>IF(verze!$E$1="CZK",AD4435,IF(verze!$E$1="SK",AE4435,""))</f>
        <v>25.606829999999999</v>
      </c>
    </row>
    <row r="4436" spans="27:32" ht="15">
      <c r="AA4436" s="463" t="s">
        <v>14336</v>
      </c>
      <c r="AB4436" s="462" t="s">
        <v>14337</v>
      </c>
      <c r="AC4436" s="462" t="s">
        <v>14338</v>
      </c>
      <c r="AD4436" s="464">
        <v>556.97682999999995</v>
      </c>
      <c r="AE4436" s="465">
        <v>26.7926</v>
      </c>
      <c r="AF4436" s="86">
        <f>IF(verze!$E$1="CZK",AD4436,IF(verze!$E$1="SK",AE4436,""))</f>
        <v>26.7926</v>
      </c>
    </row>
    <row r="4437" spans="27:32" ht="15">
      <c r="AA4437" s="463" t="s">
        <v>14339</v>
      </c>
      <c r="AB4437" s="462" t="s">
        <v>14340</v>
      </c>
      <c r="AC4437" s="462" t="s">
        <v>14341</v>
      </c>
      <c r="AD4437" s="464">
        <v>624.44169999999997</v>
      </c>
      <c r="AE4437" s="465">
        <v>30.0379</v>
      </c>
      <c r="AF4437" s="86">
        <f>IF(verze!$E$1="CZK",AD4437,IF(verze!$E$1="SK",AE4437,""))</f>
        <v>30.0379</v>
      </c>
    </row>
    <row r="4438" spans="27:32" ht="15">
      <c r="AA4438" s="463" t="s">
        <v>14342</v>
      </c>
      <c r="AB4438" s="462" t="s">
        <v>14343</v>
      </c>
      <c r="AC4438" s="462" t="s">
        <v>14344</v>
      </c>
      <c r="AD4438" s="464">
        <v>619.83149000000003</v>
      </c>
      <c r="AE4438" s="465">
        <v>29.172160000000002</v>
      </c>
      <c r="AF4438" s="86">
        <f>IF(verze!$E$1="CZK",AD4438,IF(verze!$E$1="SK",AE4438,""))</f>
        <v>29.172160000000002</v>
      </c>
    </row>
    <row r="4439" spans="27:32" ht="15">
      <c r="AA4439" s="463" t="s">
        <v>14345</v>
      </c>
      <c r="AB4439" s="462" t="s">
        <v>14346</v>
      </c>
      <c r="AC4439" s="462" t="s">
        <v>14347</v>
      </c>
      <c r="AD4439" s="464">
        <v>649.09185000000002</v>
      </c>
      <c r="AE4439" s="465">
        <v>31.223659999999999</v>
      </c>
      <c r="AF4439" s="86">
        <f>IF(verze!$E$1="CZK",AD4439,IF(verze!$E$1="SK",AE4439,""))</f>
        <v>31.223659999999999</v>
      </c>
    </row>
    <row r="4440" spans="27:32" ht="15">
      <c r="AA4440" s="463" t="s">
        <v>14348</v>
      </c>
      <c r="AB4440" s="462" t="s">
        <v>14349</v>
      </c>
      <c r="AC4440" s="462" t="s">
        <v>14350</v>
      </c>
      <c r="AD4440" s="464">
        <v>673.74437999999998</v>
      </c>
      <c r="AE4440" s="465">
        <v>32.409529999999997</v>
      </c>
      <c r="AF4440" s="86">
        <f>IF(verze!$E$1="CZK",AD4440,IF(verze!$E$1="SK",AE4440,""))</f>
        <v>32.409529999999997</v>
      </c>
    </row>
    <row r="4441" spans="27:32" ht="15">
      <c r="AA4441" s="463" t="s">
        <v>14351</v>
      </c>
      <c r="AB4441" s="462" t="s">
        <v>14352</v>
      </c>
      <c r="AC4441" s="462" t="s">
        <v>14353</v>
      </c>
      <c r="AD4441" s="464">
        <v>483.02420999999998</v>
      </c>
      <c r="AE4441" s="465">
        <v>23.235199999999999</v>
      </c>
      <c r="AF4441" s="86">
        <f>IF(verze!$E$1="CZK",AD4441,IF(verze!$E$1="SK",AE4441,""))</f>
        <v>23.235199999999999</v>
      </c>
    </row>
    <row r="4442" spans="27:32" ht="15">
      <c r="AA4442" s="463" t="s">
        <v>14354</v>
      </c>
      <c r="AB4442" s="462" t="s">
        <v>14355</v>
      </c>
      <c r="AC4442" s="462" t="s">
        <v>14356</v>
      </c>
      <c r="AD4442" s="464">
        <v>483.02420999999998</v>
      </c>
      <c r="AE4442" s="465">
        <v>23.235199999999999</v>
      </c>
      <c r="AF4442" s="86">
        <f>IF(verze!$E$1="CZK",AD4442,IF(verze!$E$1="SK",AE4442,""))</f>
        <v>23.235199999999999</v>
      </c>
    </row>
    <row r="4443" spans="27:32" ht="15">
      <c r="AA4443" s="463" t="s">
        <v>14357</v>
      </c>
      <c r="AB4443" s="462" t="s">
        <v>14358</v>
      </c>
      <c r="AC4443" s="462" t="s">
        <v>14359</v>
      </c>
      <c r="AD4443" s="464">
        <v>506.17187000000001</v>
      </c>
      <c r="AE4443" s="465">
        <v>23.82282</v>
      </c>
      <c r="AF4443" s="86">
        <f>IF(verze!$E$1="CZK",AD4443,IF(verze!$E$1="SK",AE4443,""))</f>
        <v>23.82282</v>
      </c>
    </row>
    <row r="4444" spans="27:32" ht="15">
      <c r="AA4444" s="463" t="s">
        <v>14360</v>
      </c>
      <c r="AB4444" s="462" t="s">
        <v>14361</v>
      </c>
      <c r="AC4444" s="462" t="s">
        <v>14362</v>
      </c>
      <c r="AD4444" s="464">
        <v>556.97682999999995</v>
      </c>
      <c r="AE4444" s="465">
        <v>26.7926</v>
      </c>
      <c r="AF4444" s="86">
        <f>IF(verze!$E$1="CZK",AD4444,IF(verze!$E$1="SK",AE4444,""))</f>
        <v>26.7926</v>
      </c>
    </row>
    <row r="4445" spans="27:32" ht="15">
      <c r="AA4445" s="463" t="s">
        <v>14363</v>
      </c>
      <c r="AB4445" s="462" t="s">
        <v>14364</v>
      </c>
      <c r="AC4445" s="462" t="s">
        <v>14365</v>
      </c>
      <c r="AD4445" s="464">
        <v>624.44169999999997</v>
      </c>
      <c r="AE4445" s="465">
        <v>30.0379</v>
      </c>
      <c r="AF4445" s="86">
        <f>IF(verze!$E$1="CZK",AD4445,IF(verze!$E$1="SK",AE4445,""))</f>
        <v>30.0379</v>
      </c>
    </row>
    <row r="4446" spans="27:32" ht="15">
      <c r="AA4446" s="463" t="s">
        <v>14366</v>
      </c>
      <c r="AB4446" s="462" t="s">
        <v>14367</v>
      </c>
      <c r="AC4446" s="462" t="s">
        <v>14368</v>
      </c>
      <c r="AD4446" s="464">
        <v>649.09185000000002</v>
      </c>
      <c r="AE4446" s="465">
        <v>31.223659999999999</v>
      </c>
      <c r="AF4446" s="86">
        <f>IF(verze!$E$1="CZK",AD4446,IF(verze!$E$1="SK",AE4446,""))</f>
        <v>31.223659999999999</v>
      </c>
    </row>
    <row r="4447" spans="27:32" ht="15">
      <c r="AA4447" s="463" t="s">
        <v>14369</v>
      </c>
      <c r="AB4447" s="462" t="s">
        <v>14370</v>
      </c>
      <c r="AC4447" s="462" t="s">
        <v>14371</v>
      </c>
      <c r="AD4447" s="464">
        <v>488.08481</v>
      </c>
      <c r="AE4447" s="465">
        <v>23.478629999999999</v>
      </c>
      <c r="AF4447" s="86">
        <f>IF(verze!$E$1="CZK",AD4447,IF(verze!$E$1="SK",AE4447,""))</f>
        <v>23.478629999999999</v>
      </c>
    </row>
    <row r="4448" spans="27:32" ht="15">
      <c r="AA4448" s="463" t="s">
        <v>14372</v>
      </c>
      <c r="AB4448" s="462" t="s">
        <v>14373</v>
      </c>
      <c r="AC4448" s="462" t="s">
        <v>14374</v>
      </c>
      <c r="AD4448" s="464">
        <v>488.08481</v>
      </c>
      <c r="AE4448" s="465">
        <v>23.478629999999999</v>
      </c>
      <c r="AF4448" s="86">
        <f>IF(verze!$E$1="CZK",AD4448,IF(verze!$E$1="SK",AE4448,""))</f>
        <v>23.478629999999999</v>
      </c>
    </row>
    <row r="4449" spans="27:32" ht="15">
      <c r="AA4449" s="463" t="s">
        <v>14375</v>
      </c>
      <c r="AB4449" s="462" t="s">
        <v>14376</v>
      </c>
      <c r="AC4449" s="462" t="s">
        <v>14377</v>
      </c>
      <c r="AD4449" s="464">
        <v>488.08481</v>
      </c>
      <c r="AE4449" s="465">
        <v>23.478629999999999</v>
      </c>
      <c r="AF4449" s="86">
        <f>IF(verze!$E$1="CZK",AD4449,IF(verze!$E$1="SK",AE4449,""))</f>
        <v>23.478629999999999</v>
      </c>
    </row>
    <row r="4450" spans="27:32" ht="15">
      <c r="AA4450" s="463" t="s">
        <v>14378</v>
      </c>
      <c r="AB4450" s="462" t="s">
        <v>14379</v>
      </c>
      <c r="AC4450" s="462" t="s">
        <v>14380</v>
      </c>
      <c r="AD4450" s="464">
        <v>488.08481</v>
      </c>
      <c r="AE4450" s="465">
        <v>23.478629999999999</v>
      </c>
      <c r="AF4450" s="86">
        <f>IF(verze!$E$1="CZK",AD4450,IF(verze!$E$1="SK",AE4450,""))</f>
        <v>23.478629999999999</v>
      </c>
    </row>
    <row r="4451" spans="27:32" ht="15">
      <c r="AA4451" s="463" t="s">
        <v>14381</v>
      </c>
      <c r="AB4451" s="462" t="s">
        <v>14382</v>
      </c>
      <c r="AC4451" s="462" t="s">
        <v>14383</v>
      </c>
      <c r="AD4451" s="464">
        <v>456.08251000000001</v>
      </c>
      <c r="AE4451" s="465">
        <v>18.774999999999999</v>
      </c>
      <c r="AF4451" s="86">
        <f>IF(verze!$E$1="CZK",AD4451,IF(verze!$E$1="SK",AE4451,""))</f>
        <v>18.774999999999999</v>
      </c>
    </row>
    <row r="4452" spans="27:32" ht="15">
      <c r="AA4452" s="463" t="s">
        <v>14384</v>
      </c>
      <c r="AB4452" s="462" t="s">
        <v>14385</v>
      </c>
      <c r="AC4452" s="462" t="s">
        <v>14386</v>
      </c>
      <c r="AD4452" s="464">
        <v>731.51364000000001</v>
      </c>
      <c r="AE4452" s="465">
        <v>0</v>
      </c>
      <c r="AF4452" s="86">
        <f>IF(verze!$E$1="CZK",AD4452,IF(verze!$E$1="SK",AE4452,""))</f>
        <v>0</v>
      </c>
    </row>
    <row r="4453" spans="27:32" ht="15">
      <c r="AA4453" s="463" t="s">
        <v>14387</v>
      </c>
      <c r="AB4453" s="462" t="s">
        <v>14388</v>
      </c>
      <c r="AC4453" s="462" t="s">
        <v>14389</v>
      </c>
      <c r="AD4453" s="464">
        <v>537.52067</v>
      </c>
      <c r="AE4453" s="465">
        <v>21.642520000000001</v>
      </c>
      <c r="AF4453" s="86">
        <f>IF(verze!$E$1="CZK",AD4453,IF(verze!$E$1="SK",AE4453,""))</f>
        <v>21.642520000000001</v>
      </c>
    </row>
    <row r="4454" spans="27:32" ht="15">
      <c r="AA4454" s="463" t="s">
        <v>14390</v>
      </c>
      <c r="AB4454" s="462" t="s">
        <v>14391</v>
      </c>
      <c r="AC4454" s="462" t="s">
        <v>14392</v>
      </c>
      <c r="AD4454" s="464">
        <v>1071.13942</v>
      </c>
      <c r="AE4454" s="465">
        <v>43.128019999999999</v>
      </c>
      <c r="AF4454" s="86">
        <f>IF(verze!$E$1="CZK",AD4454,IF(verze!$E$1="SK",AE4454,""))</f>
        <v>43.128019999999999</v>
      </c>
    </row>
    <row r="4455" spans="27:32" ht="15">
      <c r="AA4455" s="463" t="s">
        <v>14393</v>
      </c>
      <c r="AB4455" s="462" t="s">
        <v>14394</v>
      </c>
      <c r="AC4455" s="462" t="s">
        <v>14395</v>
      </c>
      <c r="AD4455" s="464">
        <v>801.27659000000006</v>
      </c>
      <c r="AE4455" s="465">
        <v>32.26238</v>
      </c>
      <c r="AF4455" s="86">
        <f>IF(verze!$E$1="CZK",AD4455,IF(verze!$E$1="SK",AE4455,""))</f>
        <v>32.26238</v>
      </c>
    </row>
    <row r="4456" spans="27:32" ht="15">
      <c r="AA4456" s="463" t="s">
        <v>14396</v>
      </c>
      <c r="AB4456" s="462" t="s">
        <v>14397</v>
      </c>
      <c r="AC4456" s="462" t="s">
        <v>14398</v>
      </c>
      <c r="AD4456" s="464">
        <v>984.71790999999996</v>
      </c>
      <c r="AE4456" s="465">
        <v>39.648350000000001</v>
      </c>
      <c r="AF4456" s="86">
        <f>IF(verze!$E$1="CZK",AD4456,IF(verze!$E$1="SK",AE4456,""))</f>
        <v>39.648350000000001</v>
      </c>
    </row>
    <row r="4457" spans="27:32" ht="15">
      <c r="AA4457" s="463" t="s">
        <v>14399</v>
      </c>
      <c r="AB4457" s="462" t="s">
        <v>14400</v>
      </c>
      <c r="AC4457" s="462" t="s">
        <v>14401</v>
      </c>
      <c r="AD4457" s="464">
        <v>1835.9612099999999</v>
      </c>
      <c r="AE4457" s="465">
        <v>73.922600000000003</v>
      </c>
      <c r="AF4457" s="86">
        <f>IF(verze!$E$1="CZK",AD4457,IF(verze!$E$1="SK",AE4457,""))</f>
        <v>73.922600000000003</v>
      </c>
    </row>
    <row r="4458" spans="27:32" ht="15">
      <c r="AA4458" s="463" t="s">
        <v>14402</v>
      </c>
      <c r="AB4458" s="462" t="s">
        <v>14403</v>
      </c>
      <c r="AC4458" s="462" t="s">
        <v>14404</v>
      </c>
      <c r="AD4458" s="464">
        <v>367.85232000000002</v>
      </c>
      <c r="AE4458" s="465">
        <v>14.81109</v>
      </c>
      <c r="AF4458" s="86">
        <f>IF(verze!$E$1="CZK",AD4458,IF(verze!$E$1="SK",AE4458,""))</f>
        <v>14.81109</v>
      </c>
    </row>
    <row r="4459" spans="27:32" ht="15">
      <c r="AA4459" s="463" t="s">
        <v>14405</v>
      </c>
      <c r="AB4459" s="462" t="s">
        <v>14406</v>
      </c>
      <c r="AC4459" s="462" t="s">
        <v>14407</v>
      </c>
      <c r="AD4459" s="464">
        <v>1526.4620500000001</v>
      </c>
      <c r="AE4459" s="465">
        <v>61.460970000000003</v>
      </c>
      <c r="AF4459" s="86">
        <f>IF(verze!$E$1="CZK",AD4459,IF(verze!$E$1="SK",AE4459,""))</f>
        <v>61.460970000000003</v>
      </c>
    </row>
    <row r="4460" spans="27:32" ht="15">
      <c r="AA4460" s="463" t="s">
        <v>14408</v>
      </c>
      <c r="AB4460" s="462" t="s">
        <v>14409</v>
      </c>
      <c r="AC4460" s="462" t="s">
        <v>14410</v>
      </c>
      <c r="AD4460" s="464">
        <v>1526.4620500000001</v>
      </c>
      <c r="AE4460" s="465">
        <v>61.460970000000003</v>
      </c>
      <c r="AF4460" s="86">
        <f>IF(verze!$E$1="CZK",AD4460,IF(verze!$E$1="SK",AE4460,""))</f>
        <v>61.460970000000003</v>
      </c>
    </row>
    <row r="4461" spans="27:32" ht="15">
      <c r="AA4461" s="463" t="s">
        <v>14411</v>
      </c>
      <c r="AB4461" s="462" t="s">
        <v>14412</v>
      </c>
      <c r="AC4461" s="462" t="s">
        <v>14413</v>
      </c>
      <c r="AD4461" s="464">
        <v>2083.8928999999998</v>
      </c>
      <c r="AE4461" s="465">
        <v>83.905270000000002</v>
      </c>
      <c r="AF4461" s="86">
        <f>IF(verze!$E$1="CZK",AD4461,IF(verze!$E$1="SK",AE4461,""))</f>
        <v>83.905270000000002</v>
      </c>
    </row>
    <row r="4462" spans="27:32" ht="15">
      <c r="AA4462" s="463" t="s">
        <v>14414</v>
      </c>
      <c r="AB4462" s="462" t="s">
        <v>14415</v>
      </c>
      <c r="AC4462" s="462" t="s">
        <v>14416</v>
      </c>
      <c r="AD4462" s="464">
        <v>1541.3842099999999</v>
      </c>
      <c r="AE4462" s="465">
        <v>62.061790000000002</v>
      </c>
      <c r="AF4462" s="86">
        <f>IF(verze!$E$1="CZK",AD4462,IF(verze!$E$1="SK",AE4462,""))</f>
        <v>62.061790000000002</v>
      </c>
    </row>
    <row r="4463" spans="27:32" ht="15">
      <c r="AA4463" s="463" t="s">
        <v>14417</v>
      </c>
      <c r="AB4463" s="462" t="s">
        <v>14418</v>
      </c>
      <c r="AC4463" s="462" t="s">
        <v>14419</v>
      </c>
      <c r="AD4463" s="464">
        <v>1541.3842099999999</v>
      </c>
      <c r="AE4463" s="465">
        <v>62.061790000000002</v>
      </c>
      <c r="AF4463" s="86">
        <f>IF(verze!$E$1="CZK",AD4463,IF(verze!$E$1="SK",AE4463,""))</f>
        <v>62.061790000000002</v>
      </c>
    </row>
    <row r="4464" spans="27:32" ht="15">
      <c r="AA4464" s="463" t="s">
        <v>14420</v>
      </c>
      <c r="AB4464" s="462" t="s">
        <v>14421</v>
      </c>
      <c r="AC4464" s="462" t="s">
        <v>14422</v>
      </c>
      <c r="AD4464" s="464">
        <v>2098.8198200000002</v>
      </c>
      <c r="AE4464" s="465">
        <v>84.506209999999996</v>
      </c>
      <c r="AF4464" s="86">
        <f>IF(verze!$E$1="CZK",AD4464,IF(verze!$E$1="SK",AE4464,""))</f>
        <v>84.506209999999996</v>
      </c>
    </row>
    <row r="4465" spans="27:32" ht="15">
      <c r="AA4465" s="463" t="s">
        <v>14423</v>
      </c>
      <c r="AB4465" s="462" t="s">
        <v>14424</v>
      </c>
      <c r="AC4465" s="462" t="s">
        <v>14425</v>
      </c>
      <c r="AD4465" s="464">
        <v>1572.8835799999999</v>
      </c>
      <c r="AE4465" s="465">
        <v>63.710880000000003</v>
      </c>
      <c r="AF4465" s="86">
        <f>IF(verze!$E$1="CZK",AD4465,IF(verze!$E$1="SK",AE4465,""))</f>
        <v>63.710880000000003</v>
      </c>
    </row>
    <row r="4466" spans="27:32" ht="15">
      <c r="AA4466" s="463" t="s">
        <v>14426</v>
      </c>
      <c r="AB4466" s="462" t="s">
        <v>14427</v>
      </c>
      <c r="AC4466" s="462" t="s">
        <v>14428</v>
      </c>
      <c r="AD4466" s="464">
        <v>1572.8835799999999</v>
      </c>
      <c r="AE4466" s="465">
        <v>63.710880000000003</v>
      </c>
      <c r="AF4466" s="86">
        <f>IF(verze!$E$1="CZK",AD4466,IF(verze!$E$1="SK",AE4466,""))</f>
        <v>63.710880000000003</v>
      </c>
    </row>
    <row r="4467" spans="27:32" ht="15">
      <c r="AA4467" s="463" t="s">
        <v>14429</v>
      </c>
      <c r="AB4467" s="462" t="s">
        <v>14430</v>
      </c>
      <c r="AC4467" s="462" t="s">
        <v>14431</v>
      </c>
      <c r="AD4467" s="464">
        <v>263.57643000000002</v>
      </c>
      <c r="AE4467" s="465">
        <v>10.612550000000001</v>
      </c>
      <c r="AF4467" s="86">
        <f>IF(verze!$E$1="CZK",AD4467,IF(verze!$E$1="SK",AE4467,""))</f>
        <v>10.612550000000001</v>
      </c>
    </row>
    <row r="4468" spans="27:32" ht="15">
      <c r="AA4468" s="463" t="s">
        <v>14432</v>
      </c>
      <c r="AB4468" s="462" t="s">
        <v>14433</v>
      </c>
      <c r="AC4468" s="462" t="s">
        <v>14434</v>
      </c>
      <c r="AD4468" s="464">
        <v>965.89157</v>
      </c>
      <c r="AE4468" s="465">
        <v>38.81324</v>
      </c>
      <c r="AF4468" s="86">
        <f>IF(verze!$E$1="CZK",AD4468,IF(verze!$E$1="SK",AE4468,""))</f>
        <v>38.81324</v>
      </c>
    </row>
    <row r="4469" spans="27:32" ht="15">
      <c r="AA4469" s="463" t="s">
        <v>14435</v>
      </c>
      <c r="AB4469" s="462" t="s">
        <v>14436</v>
      </c>
      <c r="AC4469" s="462" t="s">
        <v>14437</v>
      </c>
      <c r="AD4469" s="464">
        <v>1034.85015</v>
      </c>
      <c r="AE4469" s="465">
        <v>41.666910000000001</v>
      </c>
      <c r="AF4469" s="86">
        <f>IF(verze!$E$1="CZK",AD4469,IF(verze!$E$1="SK",AE4469,""))</f>
        <v>41.666910000000001</v>
      </c>
    </row>
    <row r="4470" spans="27:32" ht="15">
      <c r="AA4470" s="463" t="s">
        <v>14438</v>
      </c>
      <c r="AB4470" s="462" t="s">
        <v>14439</v>
      </c>
      <c r="AC4470" s="462" t="s">
        <v>14440</v>
      </c>
      <c r="AD4470" s="464">
        <v>1034.84788</v>
      </c>
      <c r="AE4470" s="465">
        <v>0</v>
      </c>
      <c r="AF4470" s="86">
        <f>IF(verze!$E$1="CZK",AD4470,IF(verze!$E$1="SK",AE4470,""))</f>
        <v>0</v>
      </c>
    </row>
    <row r="4471" spans="27:32" ht="15">
      <c r="AA4471" s="463" t="s">
        <v>14441</v>
      </c>
      <c r="AB4471" s="462" t="s">
        <v>14442</v>
      </c>
      <c r="AC4471" s="462" t="s">
        <v>14443</v>
      </c>
      <c r="AD4471" s="464">
        <v>1091.04772</v>
      </c>
      <c r="AE4471" s="465">
        <v>43.647350000000003</v>
      </c>
      <c r="AF4471" s="86">
        <f>IF(verze!$E$1="CZK",AD4471,IF(verze!$E$1="SK",AE4471,""))</f>
        <v>43.647350000000003</v>
      </c>
    </row>
    <row r="4472" spans="27:32" ht="15">
      <c r="AA4472" s="463" t="s">
        <v>14444</v>
      </c>
      <c r="AB4472" s="462" t="s">
        <v>14445</v>
      </c>
      <c r="AC4472" s="462" t="s">
        <v>14446</v>
      </c>
      <c r="AD4472" s="464">
        <v>3779.1951300000001</v>
      </c>
      <c r="AE4472" s="465">
        <v>151.18661</v>
      </c>
      <c r="AF4472" s="86">
        <f>IF(verze!$E$1="CZK",AD4472,IF(verze!$E$1="SK",AE4472,""))</f>
        <v>151.18661</v>
      </c>
    </row>
    <row r="4473" spans="27:32" ht="15">
      <c r="AA4473" s="463" t="s">
        <v>14447</v>
      </c>
      <c r="AB4473" s="462" t="s">
        <v>14448</v>
      </c>
      <c r="AC4473" s="462" t="s">
        <v>14449</v>
      </c>
      <c r="AD4473" s="464">
        <v>3779.1951300000001</v>
      </c>
      <c r="AE4473" s="465">
        <v>151.18661</v>
      </c>
      <c r="AF4473" s="86">
        <f>IF(verze!$E$1="CZK",AD4473,IF(verze!$E$1="SK",AE4473,""))</f>
        <v>151.18661</v>
      </c>
    </row>
    <row r="4474" spans="27:32" ht="15">
      <c r="AA4474" s="463" t="s">
        <v>14450</v>
      </c>
      <c r="AB4474" s="462" t="s">
        <v>14451</v>
      </c>
      <c r="AC4474" s="462" t="s">
        <v>14452</v>
      </c>
      <c r="AD4474" s="464">
        <v>196.62896000000001</v>
      </c>
      <c r="AE4474" s="465">
        <v>9.4585500000000007</v>
      </c>
      <c r="AF4474" s="86">
        <f>IF(verze!$E$1="CZK",AD4474,IF(verze!$E$1="SK",AE4474,""))</f>
        <v>9.4585500000000007</v>
      </c>
    </row>
    <row r="4475" spans="27:32" ht="15">
      <c r="AA4475" s="463" t="s">
        <v>14453</v>
      </c>
      <c r="AB4475" s="462" t="s">
        <v>14454</v>
      </c>
      <c r="AC4475" s="462" t="s">
        <v>14455</v>
      </c>
      <c r="AD4475" s="464">
        <v>196.62896000000001</v>
      </c>
      <c r="AE4475" s="465">
        <v>9.4585500000000007</v>
      </c>
      <c r="AF4475" s="86">
        <f>IF(verze!$E$1="CZK",AD4475,IF(verze!$E$1="SK",AE4475,""))</f>
        <v>9.4585500000000007</v>
      </c>
    </row>
    <row r="4476" spans="27:32" ht="15">
      <c r="AA4476" s="463" t="s">
        <v>14456</v>
      </c>
      <c r="AB4476" s="462" t="s">
        <v>14457</v>
      </c>
      <c r="AC4476" s="462" t="s">
        <v>14458</v>
      </c>
      <c r="AD4476" s="464">
        <v>196.62896000000001</v>
      </c>
      <c r="AE4476" s="465">
        <v>9.4585500000000007</v>
      </c>
      <c r="AF4476" s="86">
        <f>IF(verze!$E$1="CZK",AD4476,IF(verze!$E$1="SK",AE4476,""))</f>
        <v>9.4585500000000007</v>
      </c>
    </row>
    <row r="4477" spans="27:32" ht="15">
      <c r="AA4477" s="463" t="s">
        <v>14459</v>
      </c>
      <c r="AB4477" s="462" t="s">
        <v>14460</v>
      </c>
      <c r="AC4477" s="462" t="s">
        <v>14461</v>
      </c>
      <c r="AD4477" s="464">
        <v>196.62896000000001</v>
      </c>
      <c r="AE4477" s="465">
        <v>9.4585500000000007</v>
      </c>
      <c r="AF4477" s="86">
        <f>IF(verze!$E$1="CZK",AD4477,IF(verze!$E$1="SK",AE4477,""))</f>
        <v>9.4585500000000007</v>
      </c>
    </row>
    <row r="4478" spans="27:32" ht="15">
      <c r="AA4478" s="463" t="s">
        <v>14462</v>
      </c>
      <c r="AB4478" s="462" t="s">
        <v>14463</v>
      </c>
      <c r="AC4478" s="462" t="s">
        <v>14464</v>
      </c>
      <c r="AD4478" s="464">
        <v>196.62896000000001</v>
      </c>
      <c r="AE4478" s="465">
        <v>9.4585500000000007</v>
      </c>
      <c r="AF4478" s="86">
        <f>IF(verze!$E$1="CZK",AD4478,IF(verze!$E$1="SK",AE4478,""))</f>
        <v>9.4585500000000007</v>
      </c>
    </row>
    <row r="4479" spans="27:32" ht="15">
      <c r="AA4479" s="463" t="s">
        <v>14465</v>
      </c>
      <c r="AB4479" s="462" t="s">
        <v>14466</v>
      </c>
      <c r="AC4479" s="462" t="s">
        <v>14467</v>
      </c>
      <c r="AD4479" s="464">
        <v>196.62896000000001</v>
      </c>
      <c r="AE4479" s="465">
        <v>9.4585500000000007</v>
      </c>
      <c r="AF4479" s="86">
        <f>IF(verze!$E$1="CZK",AD4479,IF(verze!$E$1="SK",AE4479,""))</f>
        <v>9.4585500000000007</v>
      </c>
    </row>
    <row r="4480" spans="27:32" ht="15">
      <c r="AA4480" s="463" t="s">
        <v>14468</v>
      </c>
      <c r="AB4480" s="462" t="s">
        <v>14469</v>
      </c>
      <c r="AC4480" s="462" t="s">
        <v>14470</v>
      </c>
      <c r="AD4480" s="464">
        <v>196.62896000000001</v>
      </c>
      <c r="AE4480" s="465">
        <v>9.4585500000000007</v>
      </c>
      <c r="AF4480" s="86">
        <f>IF(verze!$E$1="CZK",AD4480,IF(verze!$E$1="SK",AE4480,""))</f>
        <v>9.4585500000000007</v>
      </c>
    </row>
    <row r="4481" spans="27:32" ht="15">
      <c r="AA4481" s="463" t="s">
        <v>14471</v>
      </c>
      <c r="AB4481" s="462" t="s">
        <v>14472</v>
      </c>
      <c r="AC4481" s="462" t="s">
        <v>14473</v>
      </c>
      <c r="AD4481" s="464">
        <v>196.62896000000001</v>
      </c>
      <c r="AE4481" s="465">
        <v>9.4585500000000007</v>
      </c>
      <c r="AF4481" s="86">
        <f>IF(verze!$E$1="CZK",AD4481,IF(verze!$E$1="SK",AE4481,""))</f>
        <v>9.4585500000000007</v>
      </c>
    </row>
    <row r="4482" spans="27:32" ht="15">
      <c r="AA4482" s="463" t="s">
        <v>14474</v>
      </c>
      <c r="AB4482" s="462" t="s">
        <v>14475</v>
      </c>
      <c r="AC4482" s="462" t="s">
        <v>14476</v>
      </c>
      <c r="AD4482" s="464">
        <v>461.29987</v>
      </c>
      <c r="AE4482" s="465">
        <v>22.190180000000002</v>
      </c>
      <c r="AF4482" s="86">
        <f>IF(verze!$E$1="CZK",AD4482,IF(verze!$E$1="SK",AE4482,""))</f>
        <v>22.190180000000002</v>
      </c>
    </row>
    <row r="4483" spans="27:32" ht="15">
      <c r="AA4483" s="463" t="s">
        <v>14477</v>
      </c>
      <c r="AB4483" s="462" t="s">
        <v>14478</v>
      </c>
      <c r="AC4483" s="462" t="s">
        <v>14479</v>
      </c>
      <c r="AD4483" s="464">
        <v>196.62896000000001</v>
      </c>
      <c r="AE4483" s="465">
        <v>9.4585500000000007</v>
      </c>
      <c r="AF4483" s="86">
        <f>IF(verze!$E$1="CZK",AD4483,IF(verze!$E$1="SK",AE4483,""))</f>
        <v>9.4585500000000007</v>
      </c>
    </row>
    <row r="4484" spans="27:32" ht="15">
      <c r="AA4484" s="463" t="s">
        <v>14480</v>
      </c>
      <c r="AB4484" s="462" t="s">
        <v>14481</v>
      </c>
      <c r="AC4484" s="462" t="s">
        <v>14482</v>
      </c>
      <c r="AD4484" s="464">
        <v>196.62896000000001</v>
      </c>
      <c r="AE4484" s="465">
        <v>9.4585500000000007</v>
      </c>
      <c r="AF4484" s="86">
        <f>IF(verze!$E$1="CZK",AD4484,IF(verze!$E$1="SK",AE4484,""))</f>
        <v>9.4585500000000007</v>
      </c>
    </row>
    <row r="4485" spans="27:32" ht="15">
      <c r="AA4485" s="463" t="s">
        <v>14483</v>
      </c>
      <c r="AB4485" s="462" t="s">
        <v>14484</v>
      </c>
      <c r="AC4485" s="462" t="s">
        <v>14485</v>
      </c>
      <c r="AD4485" s="464">
        <v>196.62896000000001</v>
      </c>
      <c r="AE4485" s="465">
        <v>9.4585500000000007</v>
      </c>
      <c r="AF4485" s="86">
        <f>IF(verze!$E$1="CZK",AD4485,IF(verze!$E$1="SK",AE4485,""))</f>
        <v>9.4585500000000007</v>
      </c>
    </row>
    <row r="4486" spans="27:32" ht="15">
      <c r="AA4486" s="463" t="s">
        <v>14486</v>
      </c>
      <c r="AB4486" s="462" t="s">
        <v>14487</v>
      </c>
      <c r="AC4486" s="462" t="s">
        <v>14488</v>
      </c>
      <c r="AD4486" s="464">
        <v>196.62896000000001</v>
      </c>
      <c r="AE4486" s="465">
        <v>9.4585500000000007</v>
      </c>
      <c r="AF4486" s="86">
        <f>IF(verze!$E$1="CZK",AD4486,IF(verze!$E$1="SK",AE4486,""))</f>
        <v>9.4585500000000007</v>
      </c>
    </row>
    <row r="4487" spans="27:32" ht="15">
      <c r="AA4487" s="463" t="s">
        <v>14489</v>
      </c>
      <c r="AB4487" s="462" t="s">
        <v>14490</v>
      </c>
      <c r="AC4487" s="462" t="s">
        <v>14491</v>
      </c>
      <c r="AD4487" s="464">
        <v>202.68385000000001</v>
      </c>
      <c r="AE4487" s="465">
        <v>9.7498400000000007</v>
      </c>
      <c r="AF4487" s="86">
        <f>IF(verze!$E$1="CZK",AD4487,IF(verze!$E$1="SK",AE4487,""))</f>
        <v>9.7498400000000007</v>
      </c>
    </row>
    <row r="4488" spans="27:32" ht="15">
      <c r="AA4488" s="463" t="s">
        <v>14492</v>
      </c>
      <c r="AB4488" s="462" t="s">
        <v>14493</v>
      </c>
      <c r="AC4488" s="462" t="s">
        <v>14494</v>
      </c>
      <c r="AD4488" s="464">
        <v>202.68385000000001</v>
      </c>
      <c r="AE4488" s="465">
        <v>9.7498400000000007</v>
      </c>
      <c r="AF4488" s="86">
        <f>IF(verze!$E$1="CZK",AD4488,IF(verze!$E$1="SK",AE4488,""))</f>
        <v>9.7498400000000007</v>
      </c>
    </row>
    <row r="4489" spans="27:32" ht="15">
      <c r="AA4489" s="463" t="s">
        <v>14495</v>
      </c>
      <c r="AB4489" s="462" t="s">
        <v>14496</v>
      </c>
      <c r="AC4489" s="462" t="s">
        <v>14497</v>
      </c>
      <c r="AD4489" s="464">
        <v>201.50291000000001</v>
      </c>
      <c r="AE4489" s="465">
        <v>9.4836799999999997</v>
      </c>
      <c r="AF4489" s="86">
        <f>IF(verze!$E$1="CZK",AD4489,IF(verze!$E$1="SK",AE4489,""))</f>
        <v>9.4836799999999997</v>
      </c>
    </row>
    <row r="4490" spans="27:32" ht="15">
      <c r="AA4490" s="463" t="s">
        <v>14498</v>
      </c>
      <c r="AB4490" s="462" t="s">
        <v>14499</v>
      </c>
      <c r="AC4490" s="462" t="s">
        <v>14500</v>
      </c>
      <c r="AD4490" s="464">
        <v>201.50291000000001</v>
      </c>
      <c r="AE4490" s="465">
        <v>9.4836799999999997</v>
      </c>
      <c r="AF4490" s="86">
        <f>IF(verze!$E$1="CZK",AD4490,IF(verze!$E$1="SK",AE4490,""))</f>
        <v>9.4836799999999997</v>
      </c>
    </row>
    <row r="4491" spans="27:32" ht="15">
      <c r="AA4491" s="463" t="s">
        <v>14501</v>
      </c>
      <c r="AB4491" s="462" t="s">
        <v>14502</v>
      </c>
      <c r="AC4491" s="462" t="s">
        <v>14503</v>
      </c>
      <c r="AD4491" s="464">
        <v>205.71261000000001</v>
      </c>
      <c r="AE4491" s="465">
        <v>9.6818000000000008</v>
      </c>
      <c r="AF4491" s="86">
        <f>IF(verze!$E$1="CZK",AD4491,IF(verze!$E$1="SK",AE4491,""))</f>
        <v>9.6818000000000008</v>
      </c>
    </row>
    <row r="4492" spans="27:32" ht="15">
      <c r="AA4492" s="463" t="s">
        <v>14504</v>
      </c>
      <c r="AB4492" s="462" t="s">
        <v>14505</v>
      </c>
      <c r="AC4492" s="462" t="s">
        <v>14506</v>
      </c>
      <c r="AD4492" s="464">
        <v>205.71261000000001</v>
      </c>
      <c r="AE4492" s="465">
        <v>9.6818000000000008</v>
      </c>
      <c r="AF4492" s="86">
        <f>IF(verze!$E$1="CZK",AD4492,IF(verze!$E$1="SK",AE4492,""))</f>
        <v>9.6818000000000008</v>
      </c>
    </row>
    <row r="4493" spans="27:32" ht="15">
      <c r="AA4493" s="463" t="s">
        <v>14507</v>
      </c>
      <c r="AB4493" s="462" t="s">
        <v>14508</v>
      </c>
      <c r="AC4493" s="462" t="s">
        <v>14509</v>
      </c>
      <c r="AD4493" s="464">
        <v>201.50291000000001</v>
      </c>
      <c r="AE4493" s="465">
        <v>9.4836799999999997</v>
      </c>
      <c r="AF4493" s="86">
        <f>IF(verze!$E$1="CZK",AD4493,IF(verze!$E$1="SK",AE4493,""))</f>
        <v>9.4836799999999997</v>
      </c>
    </row>
    <row r="4494" spans="27:32" ht="15">
      <c r="AA4494" s="463" t="s">
        <v>14510</v>
      </c>
      <c r="AB4494" s="462" t="s">
        <v>14511</v>
      </c>
      <c r="AC4494" s="462" t="s">
        <v>14512</v>
      </c>
      <c r="AD4494" s="464">
        <v>201.50291000000001</v>
      </c>
      <c r="AE4494" s="465">
        <v>9.4836799999999997</v>
      </c>
      <c r="AF4494" s="86">
        <f>IF(verze!$E$1="CZK",AD4494,IF(verze!$E$1="SK",AE4494,""))</f>
        <v>9.4836799999999997</v>
      </c>
    </row>
    <row r="4495" spans="27:32" ht="15">
      <c r="AA4495" s="463" t="s">
        <v>14513</v>
      </c>
      <c r="AB4495" s="462" t="s">
        <v>14514</v>
      </c>
      <c r="AC4495" s="462" t="s">
        <v>14515</v>
      </c>
      <c r="AD4495" s="464">
        <v>261.88945000000001</v>
      </c>
      <c r="AE4495" s="465">
        <v>12.59784</v>
      </c>
      <c r="AF4495" s="86">
        <f>IF(verze!$E$1="CZK",AD4495,IF(verze!$E$1="SK",AE4495,""))</f>
        <v>12.59784</v>
      </c>
    </row>
    <row r="4496" spans="27:32" ht="15">
      <c r="AA4496" s="463" t="s">
        <v>14516</v>
      </c>
      <c r="AB4496" s="462" t="s">
        <v>14517</v>
      </c>
      <c r="AC4496" s="462" t="s">
        <v>14518</v>
      </c>
      <c r="AD4496" s="464">
        <v>261.88945000000001</v>
      </c>
      <c r="AE4496" s="465">
        <v>12.59784</v>
      </c>
      <c r="AF4496" s="86">
        <f>IF(verze!$E$1="CZK",AD4496,IF(verze!$E$1="SK",AE4496,""))</f>
        <v>12.59784</v>
      </c>
    </row>
    <row r="4497" spans="27:32" ht="15">
      <c r="AA4497" s="463" t="s">
        <v>14519</v>
      </c>
      <c r="AB4497" s="462" t="s">
        <v>14520</v>
      </c>
      <c r="AC4497" s="462" t="s">
        <v>14521</v>
      </c>
      <c r="AD4497" s="464">
        <v>261.88945000000001</v>
      </c>
      <c r="AE4497" s="465">
        <v>12.59784</v>
      </c>
      <c r="AF4497" s="86">
        <f>IF(verze!$E$1="CZK",AD4497,IF(verze!$E$1="SK",AE4497,""))</f>
        <v>12.59784</v>
      </c>
    </row>
    <row r="4498" spans="27:32" ht="15">
      <c r="AA4498" s="463" t="s">
        <v>14522</v>
      </c>
      <c r="AB4498" s="462" t="s">
        <v>14523</v>
      </c>
      <c r="AC4498" s="462" t="s">
        <v>14524</v>
      </c>
      <c r="AD4498" s="464">
        <v>261.88945000000001</v>
      </c>
      <c r="AE4498" s="465">
        <v>12.59784</v>
      </c>
      <c r="AF4498" s="86">
        <f>IF(verze!$E$1="CZK",AD4498,IF(verze!$E$1="SK",AE4498,""))</f>
        <v>12.59784</v>
      </c>
    </row>
    <row r="4499" spans="27:32" ht="15">
      <c r="AA4499" s="463" t="s">
        <v>14525</v>
      </c>
      <c r="AB4499" s="462" t="s">
        <v>14526</v>
      </c>
      <c r="AC4499" s="462" t="s">
        <v>14527</v>
      </c>
      <c r="AD4499" s="464">
        <v>267.49022000000002</v>
      </c>
      <c r="AE4499" s="465">
        <v>12.86725</v>
      </c>
      <c r="AF4499" s="86">
        <f>IF(verze!$E$1="CZK",AD4499,IF(verze!$E$1="SK",AE4499,""))</f>
        <v>12.86725</v>
      </c>
    </row>
    <row r="4500" spans="27:32" ht="15">
      <c r="AA4500" s="463" t="s">
        <v>14528</v>
      </c>
      <c r="AB4500" s="462" t="s">
        <v>14529</v>
      </c>
      <c r="AC4500" s="462" t="s">
        <v>14530</v>
      </c>
      <c r="AD4500" s="464">
        <v>267.49022000000002</v>
      </c>
      <c r="AE4500" s="465">
        <v>12.86725</v>
      </c>
      <c r="AF4500" s="86">
        <f>IF(verze!$E$1="CZK",AD4500,IF(verze!$E$1="SK",AE4500,""))</f>
        <v>12.86725</v>
      </c>
    </row>
    <row r="4501" spans="27:32" ht="15">
      <c r="AA4501" s="463" t="s">
        <v>14531</v>
      </c>
      <c r="AB4501" s="462" t="s">
        <v>14532</v>
      </c>
      <c r="AC4501" s="462" t="s">
        <v>14533</v>
      </c>
      <c r="AD4501" s="464">
        <v>264.27006</v>
      </c>
      <c r="AE4501" s="465">
        <v>12.437799999999999</v>
      </c>
      <c r="AF4501" s="86">
        <f>IF(verze!$E$1="CZK",AD4501,IF(verze!$E$1="SK",AE4501,""))</f>
        <v>12.437799999999999</v>
      </c>
    </row>
    <row r="4502" spans="27:32" ht="15">
      <c r="AA4502" s="463" t="s">
        <v>14534</v>
      </c>
      <c r="AB4502" s="462" t="s">
        <v>14535</v>
      </c>
      <c r="AC4502" s="462" t="s">
        <v>14536</v>
      </c>
      <c r="AD4502" s="464">
        <v>264.27006</v>
      </c>
      <c r="AE4502" s="465">
        <v>12.437799999999999</v>
      </c>
      <c r="AF4502" s="86">
        <f>IF(verze!$E$1="CZK",AD4502,IF(verze!$E$1="SK",AE4502,""))</f>
        <v>12.437799999999999</v>
      </c>
    </row>
    <row r="4503" spans="27:32" ht="15">
      <c r="AA4503" s="463" t="s">
        <v>14537</v>
      </c>
      <c r="AB4503" s="462" t="s">
        <v>14538</v>
      </c>
      <c r="AC4503" s="462" t="s">
        <v>14539</v>
      </c>
      <c r="AD4503" s="464">
        <v>268.16392000000002</v>
      </c>
      <c r="AE4503" s="465">
        <v>12.621040000000001</v>
      </c>
      <c r="AF4503" s="86">
        <f>IF(verze!$E$1="CZK",AD4503,IF(verze!$E$1="SK",AE4503,""))</f>
        <v>12.621040000000001</v>
      </c>
    </row>
    <row r="4504" spans="27:32" ht="15">
      <c r="AA4504" s="463" t="s">
        <v>14540</v>
      </c>
      <c r="AB4504" s="462" t="s">
        <v>14541</v>
      </c>
      <c r="AC4504" s="462" t="s">
        <v>14542</v>
      </c>
      <c r="AD4504" s="464">
        <v>268.16392000000002</v>
      </c>
      <c r="AE4504" s="465">
        <v>12.621040000000001</v>
      </c>
      <c r="AF4504" s="86">
        <f>IF(verze!$E$1="CZK",AD4504,IF(verze!$E$1="SK",AE4504,""))</f>
        <v>12.621040000000001</v>
      </c>
    </row>
    <row r="4505" spans="27:32" ht="15">
      <c r="AA4505" s="463" t="s">
        <v>14543</v>
      </c>
      <c r="AB4505" s="462" t="s">
        <v>14544</v>
      </c>
      <c r="AC4505" s="462" t="s">
        <v>14545</v>
      </c>
      <c r="AD4505" s="464">
        <v>283.49137000000002</v>
      </c>
      <c r="AE4505" s="465">
        <v>13.63696</v>
      </c>
      <c r="AF4505" s="86">
        <f>IF(verze!$E$1="CZK",AD4505,IF(verze!$E$1="SK",AE4505,""))</f>
        <v>13.63696</v>
      </c>
    </row>
    <row r="4506" spans="27:32" ht="15">
      <c r="AA4506" s="463" t="s">
        <v>14546</v>
      </c>
      <c r="AB4506" s="462" t="s">
        <v>14547</v>
      </c>
      <c r="AC4506" s="462" t="s">
        <v>14548</v>
      </c>
      <c r="AD4506" s="464">
        <v>283.49137000000002</v>
      </c>
      <c r="AE4506" s="465">
        <v>13.63696</v>
      </c>
      <c r="AF4506" s="86">
        <f>IF(verze!$E$1="CZK",AD4506,IF(verze!$E$1="SK",AE4506,""))</f>
        <v>13.63696</v>
      </c>
    </row>
    <row r="4507" spans="27:32" ht="15">
      <c r="AA4507" s="463" t="s">
        <v>14549</v>
      </c>
      <c r="AB4507" s="462" t="s">
        <v>14550</v>
      </c>
      <c r="AC4507" s="462" t="s">
        <v>14551</v>
      </c>
      <c r="AD4507" s="464">
        <v>38.057609999999997</v>
      </c>
      <c r="AE4507" s="465">
        <v>1.8307199999999999</v>
      </c>
      <c r="AF4507" s="86">
        <f>IF(verze!$E$1="CZK",AD4507,IF(verze!$E$1="SK",AE4507,""))</f>
        <v>1.8307199999999999</v>
      </c>
    </row>
    <row r="4508" spans="27:32" ht="15">
      <c r="AA4508" s="463" t="s">
        <v>14552</v>
      </c>
      <c r="AB4508" s="462" t="s">
        <v>14553</v>
      </c>
      <c r="AC4508" s="462" t="s">
        <v>14554</v>
      </c>
      <c r="AD4508" s="464">
        <v>38.057609999999997</v>
      </c>
      <c r="AE4508" s="465">
        <v>1.8307199999999999</v>
      </c>
      <c r="AF4508" s="86">
        <f>IF(verze!$E$1="CZK",AD4508,IF(verze!$E$1="SK",AE4508,""))</f>
        <v>1.8307199999999999</v>
      </c>
    </row>
    <row r="4509" spans="27:32" ht="15">
      <c r="AA4509" s="463" t="s">
        <v>14555</v>
      </c>
      <c r="AB4509" s="462" t="s">
        <v>14556</v>
      </c>
      <c r="AC4509" s="462" t="s">
        <v>14557</v>
      </c>
      <c r="AD4509" s="464">
        <v>410.14211</v>
      </c>
      <c r="AE4509" s="465">
        <v>19.30322</v>
      </c>
      <c r="AF4509" s="86">
        <f>IF(verze!$E$1="CZK",AD4509,IF(verze!$E$1="SK",AE4509,""))</f>
        <v>19.30322</v>
      </c>
    </row>
    <row r="4510" spans="27:32" ht="15">
      <c r="AA4510" s="463" t="s">
        <v>14558</v>
      </c>
      <c r="AB4510" s="462" t="s">
        <v>14559</v>
      </c>
      <c r="AC4510" s="462" t="s">
        <v>14560</v>
      </c>
      <c r="AD4510" s="464">
        <v>410.14211</v>
      </c>
      <c r="AE4510" s="465">
        <v>19.30322</v>
      </c>
      <c r="AF4510" s="86">
        <f>IF(verze!$E$1="CZK",AD4510,IF(verze!$E$1="SK",AE4510,""))</f>
        <v>19.30322</v>
      </c>
    </row>
    <row r="4511" spans="27:32" ht="15">
      <c r="AA4511" s="463" t="s">
        <v>14561</v>
      </c>
      <c r="AB4511" s="462" t="s">
        <v>14562</v>
      </c>
      <c r="AC4511" s="462" t="s">
        <v>14563</v>
      </c>
      <c r="AD4511" s="464">
        <v>430.13905</v>
      </c>
      <c r="AE4511" s="465">
        <v>20.244340000000001</v>
      </c>
      <c r="AF4511" s="86">
        <f>IF(verze!$E$1="CZK",AD4511,IF(verze!$E$1="SK",AE4511,""))</f>
        <v>20.244340000000001</v>
      </c>
    </row>
    <row r="4512" spans="27:32" ht="15">
      <c r="AA4512" s="463" t="s">
        <v>14561</v>
      </c>
      <c r="AB4512" s="462" t="s">
        <v>14564</v>
      </c>
      <c r="AC4512" s="462" t="s">
        <v>14565</v>
      </c>
      <c r="AD4512" s="464">
        <v>430.13905</v>
      </c>
      <c r="AE4512" s="465">
        <v>20.244340000000001</v>
      </c>
      <c r="AF4512" s="86">
        <f>IF(verze!$E$1="CZK",AD4512,IF(verze!$E$1="SK",AE4512,""))</f>
        <v>20.244340000000001</v>
      </c>
    </row>
    <row r="4513" spans="27:32" ht="15">
      <c r="AA4513" s="463" t="s">
        <v>14566</v>
      </c>
      <c r="AB4513" s="462" t="s">
        <v>14567</v>
      </c>
      <c r="AC4513" s="462" t="s">
        <v>14568</v>
      </c>
      <c r="AD4513" s="464">
        <v>858.79056000000003</v>
      </c>
      <c r="AE4513" s="465">
        <v>41.310929999999999</v>
      </c>
      <c r="AF4513" s="86">
        <f>IF(verze!$E$1="CZK",AD4513,IF(verze!$E$1="SK",AE4513,""))</f>
        <v>41.310929999999999</v>
      </c>
    </row>
    <row r="4514" spans="27:32" ht="15">
      <c r="AA4514" s="463" t="s">
        <v>14569</v>
      </c>
      <c r="AB4514" s="462" t="s">
        <v>14570</v>
      </c>
      <c r="AC4514" s="462" t="s">
        <v>14571</v>
      </c>
      <c r="AD4514" s="464">
        <v>1083.91274</v>
      </c>
      <c r="AE4514" s="465">
        <v>52.140120000000003</v>
      </c>
      <c r="AF4514" s="86">
        <f>IF(verze!$E$1="CZK",AD4514,IF(verze!$E$1="SK",AE4514,""))</f>
        <v>52.140120000000003</v>
      </c>
    </row>
    <row r="4515" spans="27:32" ht="15">
      <c r="AA4515" s="463" t="s">
        <v>14572</v>
      </c>
      <c r="AB4515" s="462" t="s">
        <v>14573</v>
      </c>
      <c r="AC4515" s="462" t="s">
        <v>14574</v>
      </c>
      <c r="AD4515" s="464">
        <v>473.98581000000001</v>
      </c>
      <c r="AE4515" s="465">
        <v>22.800439999999998</v>
      </c>
      <c r="AF4515" s="86">
        <f>IF(verze!$E$1="CZK",AD4515,IF(verze!$E$1="SK",AE4515,""))</f>
        <v>22.800439999999998</v>
      </c>
    </row>
    <row r="4516" spans="27:32" ht="15">
      <c r="AA4516" s="463" t="s">
        <v>14575</v>
      </c>
      <c r="AB4516" s="462" t="s">
        <v>14576</v>
      </c>
      <c r="AC4516" s="462" t="s">
        <v>14577</v>
      </c>
      <c r="AD4516" s="464">
        <v>473.98581000000001</v>
      </c>
      <c r="AE4516" s="465">
        <v>22.800439999999998</v>
      </c>
      <c r="AF4516" s="86">
        <f>IF(verze!$E$1="CZK",AD4516,IF(verze!$E$1="SK",AE4516,""))</f>
        <v>22.800439999999998</v>
      </c>
    </row>
    <row r="4517" spans="27:32" ht="15">
      <c r="AA4517" s="463" t="s">
        <v>14578</v>
      </c>
      <c r="AB4517" s="462" t="s">
        <v>14579</v>
      </c>
      <c r="AC4517" s="462" t="s">
        <v>14580</v>
      </c>
      <c r="AD4517" s="464">
        <v>484.39747</v>
      </c>
      <c r="AE4517" s="465">
        <v>23.301259999999999</v>
      </c>
      <c r="AF4517" s="86">
        <f>IF(verze!$E$1="CZK",AD4517,IF(verze!$E$1="SK",AE4517,""))</f>
        <v>23.301259999999999</v>
      </c>
    </row>
    <row r="4518" spans="27:32" ht="15">
      <c r="AA4518" s="463" t="s">
        <v>14581</v>
      </c>
      <c r="AB4518" s="462" t="s">
        <v>14582</v>
      </c>
      <c r="AC4518" s="462" t="s">
        <v>14583</v>
      </c>
      <c r="AD4518" s="464">
        <v>484.39747</v>
      </c>
      <c r="AE4518" s="465">
        <v>23.301259999999999</v>
      </c>
      <c r="AF4518" s="86">
        <f>IF(verze!$E$1="CZK",AD4518,IF(verze!$E$1="SK",AE4518,""))</f>
        <v>23.301259999999999</v>
      </c>
    </row>
    <row r="4519" spans="27:32" ht="15">
      <c r="AA4519" s="463" t="s">
        <v>14584</v>
      </c>
      <c r="AB4519" s="462" t="s">
        <v>14585</v>
      </c>
      <c r="AC4519" s="462" t="s">
        <v>14586</v>
      </c>
      <c r="AD4519" s="464">
        <v>484.39747</v>
      </c>
      <c r="AE4519" s="465">
        <v>23.301259999999999</v>
      </c>
      <c r="AF4519" s="86">
        <f>IF(verze!$E$1="CZK",AD4519,IF(verze!$E$1="SK",AE4519,""))</f>
        <v>23.301259999999999</v>
      </c>
    </row>
    <row r="4520" spans="27:32" ht="15">
      <c r="AA4520" s="463" t="s">
        <v>14587</v>
      </c>
      <c r="AB4520" s="462" t="s">
        <v>14588</v>
      </c>
      <c r="AC4520" s="462" t="s">
        <v>14589</v>
      </c>
      <c r="AD4520" s="464">
        <v>37.067149999999998</v>
      </c>
      <c r="AE4520" s="465">
        <v>1.7830699999999999</v>
      </c>
      <c r="AF4520" s="86">
        <f>IF(verze!$E$1="CZK",AD4520,IF(verze!$E$1="SK",AE4520,""))</f>
        <v>1.7830699999999999</v>
      </c>
    </row>
    <row r="4521" spans="27:32" ht="15">
      <c r="AA4521" s="463" t="s">
        <v>14587</v>
      </c>
      <c r="AB4521" s="462" t="s">
        <v>14590</v>
      </c>
      <c r="AC4521" s="462" t="s">
        <v>14591</v>
      </c>
      <c r="AD4521" s="464">
        <v>37.067149999999998</v>
      </c>
      <c r="AE4521" s="465">
        <v>1.7830699999999999</v>
      </c>
      <c r="AF4521" s="86">
        <f>IF(verze!$E$1="CZK",AD4521,IF(verze!$E$1="SK",AE4521,""))</f>
        <v>1.7830699999999999</v>
      </c>
    </row>
    <row r="4522" spans="27:32" ht="15">
      <c r="AA4522" s="463" t="s">
        <v>14592</v>
      </c>
      <c r="AB4522" s="462" t="s">
        <v>14593</v>
      </c>
      <c r="AC4522" s="462" t="s">
        <v>14594</v>
      </c>
      <c r="AD4522" s="464">
        <v>37.067149999999998</v>
      </c>
      <c r="AE4522" s="465">
        <v>1.7830699999999999</v>
      </c>
      <c r="AF4522" s="86">
        <f>IF(verze!$E$1="CZK",AD4522,IF(verze!$E$1="SK",AE4522,""))</f>
        <v>1.7830699999999999</v>
      </c>
    </row>
    <row r="4523" spans="27:32" ht="15">
      <c r="AA4523" s="463" t="s">
        <v>14592</v>
      </c>
      <c r="AB4523" s="462" t="s">
        <v>14595</v>
      </c>
      <c r="AC4523" s="462" t="s">
        <v>14596</v>
      </c>
      <c r="AD4523" s="464">
        <v>37.067149999999998</v>
      </c>
      <c r="AE4523" s="465">
        <v>1.7830699999999999</v>
      </c>
      <c r="AF4523" s="86">
        <f>IF(verze!$E$1="CZK",AD4523,IF(verze!$E$1="SK",AE4523,""))</f>
        <v>1.7830699999999999</v>
      </c>
    </row>
    <row r="4524" spans="27:32" ht="15">
      <c r="AA4524" s="463" t="s">
        <v>14597</v>
      </c>
      <c r="AB4524" s="462" t="s">
        <v>14598</v>
      </c>
      <c r="AC4524" s="462" t="s">
        <v>14599</v>
      </c>
      <c r="AD4524" s="464">
        <v>173.07250999999999</v>
      </c>
      <c r="AE4524" s="465">
        <v>8.1456199999999992</v>
      </c>
      <c r="AF4524" s="86">
        <f>IF(verze!$E$1="CZK",AD4524,IF(verze!$E$1="SK",AE4524,""))</f>
        <v>8.1456199999999992</v>
      </c>
    </row>
    <row r="4525" spans="27:32" ht="15">
      <c r="AA4525" s="463" t="s">
        <v>14600</v>
      </c>
      <c r="AB4525" s="462" t="s">
        <v>14601</v>
      </c>
      <c r="AC4525" s="462" t="s">
        <v>14602</v>
      </c>
      <c r="AD4525" s="464">
        <v>981.54911000000004</v>
      </c>
      <c r="AE4525" s="465">
        <v>0</v>
      </c>
      <c r="AF4525" s="86">
        <f>IF(verze!$E$1="CZK",AD4525,IF(verze!$E$1="SK",AE4525,""))</f>
        <v>0</v>
      </c>
    </row>
    <row r="4526" spans="27:32" ht="15">
      <c r="AA4526" s="463" t="s">
        <v>14603</v>
      </c>
      <c r="AB4526" s="462" t="s">
        <v>14604</v>
      </c>
      <c r="AC4526" s="462" t="s">
        <v>14605</v>
      </c>
      <c r="AD4526" s="464">
        <v>271.58456000000001</v>
      </c>
      <c r="AE4526" s="465">
        <v>12.4421</v>
      </c>
      <c r="AF4526" s="86">
        <f>IF(verze!$E$1="CZK",AD4526,IF(verze!$E$1="SK",AE4526,""))</f>
        <v>12.4421</v>
      </c>
    </row>
    <row r="4527" spans="27:32" ht="15">
      <c r="AA4527" s="463" t="s">
        <v>14606</v>
      </c>
      <c r="AB4527" s="462" t="s">
        <v>14607</v>
      </c>
      <c r="AC4527" s="462" t="s">
        <v>14608</v>
      </c>
      <c r="AD4527" s="464">
        <v>320.42038000000002</v>
      </c>
      <c r="AE4527" s="465">
        <v>14.67942</v>
      </c>
      <c r="AF4527" s="86">
        <f>IF(verze!$E$1="CZK",AD4527,IF(verze!$E$1="SK",AE4527,""))</f>
        <v>14.67942</v>
      </c>
    </row>
    <row r="4528" spans="27:32" ht="15">
      <c r="AA4528" s="463" t="s">
        <v>14609</v>
      </c>
      <c r="AB4528" s="462" t="s">
        <v>14610</v>
      </c>
      <c r="AC4528" s="462" t="s">
        <v>14611</v>
      </c>
      <c r="AD4528" s="464">
        <v>362.16833000000003</v>
      </c>
      <c r="AE4528" s="465">
        <v>16.592020000000002</v>
      </c>
      <c r="AF4528" s="86">
        <f>IF(verze!$E$1="CZK",AD4528,IF(verze!$E$1="SK",AE4528,""))</f>
        <v>16.592020000000002</v>
      </c>
    </row>
    <row r="4529" spans="27:32" ht="15">
      <c r="AA4529" s="463" t="s">
        <v>14612</v>
      </c>
      <c r="AB4529" s="462" t="s">
        <v>14613</v>
      </c>
      <c r="AC4529" s="462" t="s">
        <v>14614</v>
      </c>
      <c r="AD4529" s="464">
        <v>1110.6467</v>
      </c>
      <c r="AE4529" s="465">
        <v>44.731229999999996</v>
      </c>
      <c r="AF4529" s="86">
        <f>IF(verze!$E$1="CZK",AD4529,IF(verze!$E$1="SK",AE4529,""))</f>
        <v>44.731229999999996</v>
      </c>
    </row>
    <row r="4530" spans="27:32" ht="15">
      <c r="AA4530" s="463" t="s">
        <v>14615</v>
      </c>
      <c r="AB4530" s="462" t="s">
        <v>14616</v>
      </c>
      <c r="AC4530" s="462" t="s">
        <v>14617</v>
      </c>
      <c r="AD4530" s="464">
        <v>1469.5998199999999</v>
      </c>
      <c r="AE4530" s="465">
        <v>60.273440000000001</v>
      </c>
      <c r="AF4530" s="86">
        <f>IF(verze!$E$1="CZK",AD4530,IF(verze!$E$1="SK",AE4530,""))</f>
        <v>60.273440000000001</v>
      </c>
    </row>
    <row r="4531" spans="27:32" ht="15">
      <c r="AA4531" s="463" t="s">
        <v>14615</v>
      </c>
      <c r="AB4531" s="462" t="s">
        <v>14618</v>
      </c>
      <c r="AC4531" s="462" t="s">
        <v>14619</v>
      </c>
      <c r="AD4531" s="464">
        <v>481.40879999999999</v>
      </c>
      <c r="AE4531" s="465">
        <v>19.31138</v>
      </c>
      <c r="AF4531" s="86">
        <f>IF(verze!$E$1="CZK",AD4531,IF(verze!$E$1="SK",AE4531,""))</f>
        <v>19.31138</v>
      </c>
    </row>
    <row r="4532" spans="27:32" ht="15">
      <c r="AA4532" s="463" t="s">
        <v>14620</v>
      </c>
      <c r="AB4532" s="462" t="s">
        <v>14621</v>
      </c>
      <c r="AC4532" s="462" t="s">
        <v>14622</v>
      </c>
      <c r="AD4532" s="464">
        <v>275.58625000000001</v>
      </c>
      <c r="AE4532" s="465">
        <v>13.256690000000001</v>
      </c>
      <c r="AF4532" s="86">
        <f>IF(verze!$E$1="CZK",AD4532,IF(verze!$E$1="SK",AE4532,""))</f>
        <v>13.256690000000001</v>
      </c>
    </row>
    <row r="4533" spans="27:32" ht="15">
      <c r="AA4533" s="463" t="s">
        <v>14623</v>
      </c>
      <c r="AB4533" s="462" t="s">
        <v>14624</v>
      </c>
      <c r="AC4533" s="462" t="s">
        <v>14625</v>
      </c>
      <c r="AD4533" s="464">
        <v>275.58625000000001</v>
      </c>
      <c r="AE4533" s="465">
        <v>13.256690000000001</v>
      </c>
      <c r="AF4533" s="86">
        <f>IF(verze!$E$1="CZK",AD4533,IF(verze!$E$1="SK",AE4533,""))</f>
        <v>13.256690000000001</v>
      </c>
    </row>
    <row r="4534" spans="27:32" ht="15">
      <c r="AA4534" s="463" t="s">
        <v>14626</v>
      </c>
      <c r="AB4534" s="462" t="s">
        <v>14627</v>
      </c>
      <c r="AC4534" s="462" t="s">
        <v>14628</v>
      </c>
      <c r="AD4534" s="464">
        <v>280.87873000000002</v>
      </c>
      <c r="AE4534" s="465">
        <v>13.51127</v>
      </c>
      <c r="AF4534" s="86">
        <f>IF(verze!$E$1="CZK",AD4534,IF(verze!$E$1="SK",AE4534,""))</f>
        <v>13.51127</v>
      </c>
    </row>
    <row r="4535" spans="27:32" ht="15">
      <c r="AA4535" s="463" t="s">
        <v>14629</v>
      </c>
      <c r="AB4535" s="462" t="s">
        <v>14630</v>
      </c>
      <c r="AC4535" s="462" t="s">
        <v>14631</v>
      </c>
      <c r="AD4535" s="464">
        <v>280.87873000000002</v>
      </c>
      <c r="AE4535" s="465">
        <v>13.51127</v>
      </c>
      <c r="AF4535" s="86">
        <f>IF(verze!$E$1="CZK",AD4535,IF(verze!$E$1="SK",AE4535,""))</f>
        <v>13.51127</v>
      </c>
    </row>
    <row r="4536" spans="27:32" ht="15">
      <c r="AA4536" s="463" t="s">
        <v>14632</v>
      </c>
      <c r="AB4536" s="462" t="s">
        <v>14633</v>
      </c>
      <c r="AC4536" s="462" t="s">
        <v>14634</v>
      </c>
      <c r="AD4536" s="464">
        <v>988.93798000000004</v>
      </c>
      <c r="AE4536" s="465">
        <v>39.562449999999998</v>
      </c>
      <c r="AF4536" s="86">
        <f>IF(verze!$E$1="CZK",AD4536,IF(verze!$E$1="SK",AE4536,""))</f>
        <v>39.562449999999998</v>
      </c>
    </row>
    <row r="4537" spans="27:32" ht="15">
      <c r="AA4537" s="463" t="s">
        <v>14635</v>
      </c>
      <c r="AB4537" s="462" t="s">
        <v>14636</v>
      </c>
      <c r="AC4537" s="462" t="s">
        <v>14637</v>
      </c>
      <c r="AD4537" s="464">
        <v>988.93798000000004</v>
      </c>
      <c r="AE4537" s="465">
        <v>39.562449999999998</v>
      </c>
      <c r="AF4537" s="86">
        <f>IF(verze!$E$1="CZK",AD4537,IF(verze!$E$1="SK",AE4537,""))</f>
        <v>39.562449999999998</v>
      </c>
    </row>
    <row r="4538" spans="27:32" ht="15">
      <c r="AA4538" s="463" t="s">
        <v>14638</v>
      </c>
      <c r="AB4538" s="462" t="s">
        <v>14639</v>
      </c>
      <c r="AC4538" s="462" t="s">
        <v>14640</v>
      </c>
      <c r="AD4538" s="464">
        <v>16.908080000000002</v>
      </c>
      <c r="AE4538" s="465">
        <v>0.81335000000000002</v>
      </c>
      <c r="AF4538" s="86">
        <f>IF(verze!$E$1="CZK",AD4538,IF(verze!$E$1="SK",AE4538,""))</f>
        <v>0.81335000000000002</v>
      </c>
    </row>
    <row r="4539" spans="27:32" ht="15">
      <c r="AA4539" s="463" t="s">
        <v>14641</v>
      </c>
      <c r="AB4539" s="462" t="s">
        <v>14642</v>
      </c>
      <c r="AC4539" s="462" t="s">
        <v>14643</v>
      </c>
      <c r="AD4539" s="464">
        <v>211.60056</v>
      </c>
      <c r="AE4539" s="465">
        <v>8.5198499999999999</v>
      </c>
      <c r="AF4539" s="86">
        <f>IF(verze!$E$1="CZK",AD4539,IF(verze!$E$1="SK",AE4539,""))</f>
        <v>8.5198499999999999</v>
      </c>
    </row>
    <row r="4540" spans="27:32" ht="15">
      <c r="AA4540" s="463" t="s">
        <v>14644</v>
      </c>
      <c r="AB4540" s="462" t="s">
        <v>14645</v>
      </c>
      <c r="AC4540" s="462" t="s">
        <v>14646</v>
      </c>
      <c r="AD4540" s="464">
        <v>2063.8628699999999</v>
      </c>
      <c r="AE4540" s="465">
        <v>82.564779999999999</v>
      </c>
      <c r="AF4540" s="86">
        <f>IF(verze!$E$1="CZK",AD4540,IF(verze!$E$1="SK",AE4540,""))</f>
        <v>82.564779999999999</v>
      </c>
    </row>
    <row r="4541" spans="27:32" ht="15">
      <c r="AA4541" s="463" t="s">
        <v>14644</v>
      </c>
      <c r="AB4541" s="462" t="s">
        <v>14647</v>
      </c>
      <c r="AC4541" s="462" t="s">
        <v>14648</v>
      </c>
      <c r="AD4541" s="464">
        <v>780.28899999999999</v>
      </c>
      <c r="AE4541" s="465">
        <v>31.300740000000001</v>
      </c>
      <c r="AF4541" s="86">
        <f>IF(verze!$E$1="CZK",AD4541,IF(verze!$E$1="SK",AE4541,""))</f>
        <v>31.300740000000001</v>
      </c>
    </row>
    <row r="4542" spans="27:32" ht="15">
      <c r="AA4542" s="463" t="s">
        <v>14649</v>
      </c>
      <c r="AB4542" s="462" t="s">
        <v>14650</v>
      </c>
      <c r="AC4542" s="462" t="s">
        <v>14651</v>
      </c>
      <c r="AD4542" s="464">
        <v>218.14608000000001</v>
      </c>
      <c r="AE4542" s="465">
        <v>10.49362</v>
      </c>
      <c r="AF4542" s="86">
        <f>IF(verze!$E$1="CZK",AD4542,IF(verze!$E$1="SK",AE4542,""))</f>
        <v>10.49362</v>
      </c>
    </row>
    <row r="4543" spans="27:32" ht="15">
      <c r="AA4543" s="463" t="s">
        <v>14652</v>
      </c>
      <c r="AB4543" s="462" t="s">
        <v>14653</v>
      </c>
      <c r="AC4543" s="462" t="s">
        <v>14654</v>
      </c>
      <c r="AD4543" s="464">
        <v>218.14608000000001</v>
      </c>
      <c r="AE4543" s="465">
        <v>10.49362</v>
      </c>
      <c r="AF4543" s="86">
        <f>IF(verze!$E$1="CZK",AD4543,IF(verze!$E$1="SK",AE4543,""))</f>
        <v>10.49362</v>
      </c>
    </row>
    <row r="4544" spans="27:32" ht="15">
      <c r="AA4544" s="463" t="s">
        <v>14655</v>
      </c>
      <c r="AB4544" s="462" t="s">
        <v>14656</v>
      </c>
      <c r="AC4544" s="462" t="s">
        <v>14657</v>
      </c>
      <c r="AD4544" s="464">
        <v>222.02244999999999</v>
      </c>
      <c r="AE4544" s="465">
        <v>10.680099999999999</v>
      </c>
      <c r="AF4544" s="86">
        <f>IF(verze!$E$1="CZK",AD4544,IF(verze!$E$1="SK",AE4544,""))</f>
        <v>10.680099999999999</v>
      </c>
    </row>
    <row r="4545" spans="27:32" ht="15">
      <c r="AA4545" s="463" t="s">
        <v>14658</v>
      </c>
      <c r="AB4545" s="462" t="s">
        <v>14659</v>
      </c>
      <c r="AC4545" s="462" t="s">
        <v>14660</v>
      </c>
      <c r="AD4545" s="464">
        <v>222.02244999999999</v>
      </c>
      <c r="AE4545" s="465">
        <v>10.680099999999999</v>
      </c>
      <c r="AF4545" s="86">
        <f>IF(verze!$E$1="CZK",AD4545,IF(verze!$E$1="SK",AE4545,""))</f>
        <v>10.680099999999999</v>
      </c>
    </row>
    <row r="4546" spans="27:32" ht="15">
      <c r="AA4546" s="463" t="s">
        <v>14661</v>
      </c>
      <c r="AB4546" s="462" t="s">
        <v>14662</v>
      </c>
      <c r="AC4546" s="462" t="s">
        <v>14663</v>
      </c>
      <c r="AD4546" s="464">
        <v>225.89116000000001</v>
      </c>
      <c r="AE4546" s="465">
        <v>10.86618</v>
      </c>
      <c r="AF4546" s="86">
        <f>IF(verze!$E$1="CZK",AD4546,IF(verze!$E$1="SK",AE4546,""))</f>
        <v>10.86618</v>
      </c>
    </row>
    <row r="4547" spans="27:32" ht="15">
      <c r="AA4547" s="463" t="s">
        <v>14664</v>
      </c>
      <c r="AB4547" s="462" t="s">
        <v>14665</v>
      </c>
      <c r="AC4547" s="462" t="s">
        <v>14666</v>
      </c>
      <c r="AD4547" s="464">
        <v>225.89116000000001</v>
      </c>
      <c r="AE4547" s="465">
        <v>10.86618</v>
      </c>
      <c r="AF4547" s="86">
        <f>IF(verze!$E$1="CZK",AD4547,IF(verze!$E$1="SK",AE4547,""))</f>
        <v>10.86618</v>
      </c>
    </row>
    <row r="4548" spans="27:32" ht="15">
      <c r="AA4548" s="463" t="s">
        <v>14667</v>
      </c>
      <c r="AB4548" s="462" t="s">
        <v>14668</v>
      </c>
      <c r="AC4548" s="462" t="s">
        <v>14669</v>
      </c>
      <c r="AD4548" s="464">
        <v>208.07782</v>
      </c>
      <c r="AE4548" s="465">
        <v>10.00929</v>
      </c>
      <c r="AF4548" s="86">
        <f>IF(verze!$E$1="CZK",AD4548,IF(verze!$E$1="SK",AE4548,""))</f>
        <v>10.00929</v>
      </c>
    </row>
    <row r="4549" spans="27:32" ht="15">
      <c r="AA4549" s="463" t="s">
        <v>14670</v>
      </c>
      <c r="AB4549" s="462" t="s">
        <v>14671</v>
      </c>
      <c r="AC4549" s="462" t="s">
        <v>14672</v>
      </c>
      <c r="AD4549" s="464">
        <v>208.07782</v>
      </c>
      <c r="AE4549" s="465">
        <v>10.00929</v>
      </c>
      <c r="AF4549" s="86">
        <f>IF(verze!$E$1="CZK",AD4549,IF(verze!$E$1="SK",AE4549,""))</f>
        <v>10.00929</v>
      </c>
    </row>
    <row r="4550" spans="27:32" ht="15">
      <c r="AA4550" s="463" t="s">
        <v>14673</v>
      </c>
      <c r="AB4550" s="462" t="s">
        <v>14674</v>
      </c>
      <c r="AC4550" s="462" t="s">
        <v>14675</v>
      </c>
      <c r="AD4550" s="464">
        <v>210.40101000000001</v>
      </c>
      <c r="AE4550" s="465">
        <v>10.12106</v>
      </c>
      <c r="AF4550" s="86">
        <f>IF(verze!$E$1="CZK",AD4550,IF(verze!$E$1="SK",AE4550,""))</f>
        <v>10.12106</v>
      </c>
    </row>
    <row r="4551" spans="27:32" ht="15">
      <c r="AA4551" s="463" t="s">
        <v>14676</v>
      </c>
      <c r="AB4551" s="462" t="s">
        <v>14677</v>
      </c>
      <c r="AC4551" s="462" t="s">
        <v>14678</v>
      </c>
      <c r="AD4551" s="464">
        <v>210.40101000000001</v>
      </c>
      <c r="AE4551" s="465">
        <v>10.12106</v>
      </c>
      <c r="AF4551" s="86">
        <f>IF(verze!$E$1="CZK",AD4551,IF(verze!$E$1="SK",AE4551,""))</f>
        <v>10.12106</v>
      </c>
    </row>
    <row r="4552" spans="27:32" ht="15">
      <c r="AA4552" s="463" t="s">
        <v>14679</v>
      </c>
      <c r="AB4552" s="462" t="s">
        <v>14680</v>
      </c>
      <c r="AC4552" s="462" t="s">
        <v>14681</v>
      </c>
      <c r="AD4552" s="464">
        <v>214.27737999999999</v>
      </c>
      <c r="AE4552" s="465">
        <v>10.307510000000001</v>
      </c>
      <c r="AF4552" s="86">
        <f>IF(verze!$E$1="CZK",AD4552,IF(verze!$E$1="SK",AE4552,""))</f>
        <v>10.307510000000001</v>
      </c>
    </row>
    <row r="4553" spans="27:32" ht="15">
      <c r="AA4553" s="463" t="s">
        <v>14682</v>
      </c>
      <c r="AB4553" s="462" t="s">
        <v>14683</v>
      </c>
      <c r="AC4553" s="462" t="s">
        <v>14684</v>
      </c>
      <c r="AD4553" s="464">
        <v>214.27737999999999</v>
      </c>
      <c r="AE4553" s="465">
        <v>10.307510000000001</v>
      </c>
      <c r="AF4553" s="86">
        <f>IF(verze!$E$1="CZK",AD4553,IF(verze!$E$1="SK",AE4553,""))</f>
        <v>10.307510000000001</v>
      </c>
    </row>
    <row r="4554" spans="27:32" ht="15">
      <c r="AA4554" s="463" t="s">
        <v>14685</v>
      </c>
      <c r="AB4554" s="462" t="s">
        <v>14686</v>
      </c>
      <c r="AC4554" s="462" t="s">
        <v>14687</v>
      </c>
      <c r="AD4554" s="464">
        <v>218.14608000000001</v>
      </c>
      <c r="AE4554" s="465">
        <v>10.49362</v>
      </c>
      <c r="AF4554" s="86">
        <f>IF(verze!$E$1="CZK",AD4554,IF(verze!$E$1="SK",AE4554,""))</f>
        <v>10.49362</v>
      </c>
    </row>
    <row r="4555" spans="27:32" ht="15">
      <c r="AA4555" s="463" t="s">
        <v>14688</v>
      </c>
      <c r="AB4555" s="462" t="s">
        <v>14689</v>
      </c>
      <c r="AC4555" s="462" t="s">
        <v>14690</v>
      </c>
      <c r="AD4555" s="464">
        <v>218.14608000000001</v>
      </c>
      <c r="AE4555" s="465">
        <v>10.49362</v>
      </c>
      <c r="AF4555" s="86">
        <f>IF(verze!$E$1="CZK",AD4555,IF(verze!$E$1="SK",AE4555,""))</f>
        <v>10.49362</v>
      </c>
    </row>
    <row r="4556" spans="27:32" ht="15">
      <c r="AA4556" s="463" t="s">
        <v>14691</v>
      </c>
      <c r="AB4556" s="462" t="s">
        <v>14692</v>
      </c>
      <c r="AC4556" s="462" t="s">
        <v>14693</v>
      </c>
      <c r="AD4556" s="464">
        <v>222.02244999999999</v>
      </c>
      <c r="AE4556" s="465">
        <v>10.680099999999999</v>
      </c>
      <c r="AF4556" s="86">
        <f>IF(verze!$E$1="CZK",AD4556,IF(verze!$E$1="SK",AE4556,""))</f>
        <v>10.680099999999999</v>
      </c>
    </row>
    <row r="4557" spans="27:32" ht="15">
      <c r="AA4557" s="463" t="s">
        <v>1320</v>
      </c>
      <c r="AB4557" s="462" t="s">
        <v>14694</v>
      </c>
      <c r="AC4557" s="462" t="s">
        <v>14695</v>
      </c>
      <c r="AD4557" s="464">
        <v>216.11760000000001</v>
      </c>
      <c r="AE4557" s="465">
        <v>10.171519999999999</v>
      </c>
      <c r="AF4557" s="86">
        <f>IF(verze!$E$1="CZK",AD4557,IF(verze!$E$1="SK",AE4557,""))</f>
        <v>10.171519999999999</v>
      </c>
    </row>
    <row r="4558" spans="27:32" ht="15">
      <c r="AA4558" s="463" t="s">
        <v>14696</v>
      </c>
      <c r="AB4558" s="462" t="s">
        <v>14697</v>
      </c>
      <c r="AC4558" s="462" t="s">
        <v>14698</v>
      </c>
      <c r="AD4558" s="464">
        <v>222.02244999999999</v>
      </c>
      <c r="AE4558" s="465">
        <v>10.680099999999999</v>
      </c>
      <c r="AF4558" s="86">
        <f>IF(verze!$E$1="CZK",AD4558,IF(verze!$E$1="SK",AE4558,""))</f>
        <v>10.680099999999999</v>
      </c>
    </row>
    <row r="4559" spans="27:32" ht="15">
      <c r="AA4559" s="463" t="s">
        <v>1320</v>
      </c>
      <c r="AB4559" s="462" t="s">
        <v>14699</v>
      </c>
      <c r="AC4559" s="462" t="s">
        <v>14700</v>
      </c>
      <c r="AD4559" s="464">
        <v>216.11760000000001</v>
      </c>
      <c r="AE4559" s="465">
        <v>10.171519999999999</v>
      </c>
      <c r="AF4559" s="86">
        <f>IF(verze!$E$1="CZK",AD4559,IF(verze!$E$1="SK",AE4559,""))</f>
        <v>10.171519999999999</v>
      </c>
    </row>
    <row r="4560" spans="27:32" ht="15">
      <c r="AA4560" s="463" t="s">
        <v>14701</v>
      </c>
      <c r="AB4560" s="462" t="s">
        <v>14702</v>
      </c>
      <c r="AC4560" s="462" t="s">
        <v>14703</v>
      </c>
      <c r="AD4560" s="464">
        <v>219.88341</v>
      </c>
      <c r="AE4560" s="465">
        <v>10.348739999999999</v>
      </c>
      <c r="AF4560" s="86">
        <f>IF(verze!$E$1="CZK",AD4560,IF(verze!$E$1="SK",AE4560,""))</f>
        <v>10.348739999999999</v>
      </c>
    </row>
    <row r="4561" spans="27:32" ht="15">
      <c r="AA4561" s="463" t="s">
        <v>1320</v>
      </c>
      <c r="AB4561" s="462" t="s">
        <v>14704</v>
      </c>
      <c r="AC4561" s="462" t="s">
        <v>14705</v>
      </c>
      <c r="AD4561" s="464">
        <v>219.88341</v>
      </c>
      <c r="AE4561" s="465">
        <v>10.348739999999999</v>
      </c>
      <c r="AF4561" s="86">
        <f>IF(verze!$E$1="CZK",AD4561,IF(verze!$E$1="SK",AE4561,""))</f>
        <v>10.348739999999999</v>
      </c>
    </row>
    <row r="4562" spans="27:32" ht="15">
      <c r="AA4562" s="463" t="s">
        <v>14706</v>
      </c>
      <c r="AB4562" s="462" t="s">
        <v>14707</v>
      </c>
      <c r="AC4562" s="462" t="s">
        <v>14708</v>
      </c>
      <c r="AD4562" s="464">
        <v>219.88341</v>
      </c>
      <c r="AE4562" s="465">
        <v>10.348739999999999</v>
      </c>
      <c r="AF4562" s="86">
        <f>IF(verze!$E$1="CZK",AD4562,IF(verze!$E$1="SK",AE4562,""))</f>
        <v>10.348739999999999</v>
      </c>
    </row>
    <row r="4563" spans="27:32" ht="15">
      <c r="AA4563" s="463" t="s">
        <v>1320</v>
      </c>
      <c r="AB4563" s="462" t="s">
        <v>14709</v>
      </c>
      <c r="AC4563" s="462" t="s">
        <v>14710</v>
      </c>
      <c r="AD4563" s="464">
        <v>219.88341</v>
      </c>
      <c r="AE4563" s="465">
        <v>10.348739999999999</v>
      </c>
      <c r="AF4563" s="86">
        <f>IF(verze!$E$1="CZK",AD4563,IF(verze!$E$1="SK",AE4563,""))</f>
        <v>10.348739999999999</v>
      </c>
    </row>
    <row r="4564" spans="27:32" ht="15">
      <c r="AA4564" s="463" t="s">
        <v>14711</v>
      </c>
      <c r="AB4564" s="462" t="s">
        <v>14712</v>
      </c>
      <c r="AC4564" s="462" t="s">
        <v>14713</v>
      </c>
      <c r="AD4564" s="464">
        <v>229.76492999999999</v>
      </c>
      <c r="AE4564" s="465">
        <v>11.052530000000001</v>
      </c>
      <c r="AF4564" s="86">
        <f>IF(verze!$E$1="CZK",AD4564,IF(verze!$E$1="SK",AE4564,""))</f>
        <v>11.052530000000001</v>
      </c>
    </row>
    <row r="4565" spans="27:32" ht="15">
      <c r="AA4565" s="463" t="s">
        <v>14714</v>
      </c>
      <c r="AB4565" s="462" t="s">
        <v>14715</v>
      </c>
      <c r="AC4565" s="462" t="s">
        <v>14716</v>
      </c>
      <c r="AD4565" s="464">
        <v>229.76492999999999</v>
      </c>
      <c r="AE4565" s="465">
        <v>11.052530000000001</v>
      </c>
      <c r="AF4565" s="86">
        <f>IF(verze!$E$1="CZK",AD4565,IF(verze!$E$1="SK",AE4565,""))</f>
        <v>11.052530000000001</v>
      </c>
    </row>
    <row r="4566" spans="27:32" ht="15">
      <c r="AA4566" s="463" t="s">
        <v>14717</v>
      </c>
      <c r="AB4566" s="462" t="s">
        <v>14718</v>
      </c>
      <c r="AC4566" s="462" t="s">
        <v>14719</v>
      </c>
      <c r="AD4566" s="464">
        <v>235.60476</v>
      </c>
      <c r="AE4566" s="465">
        <v>11.33343</v>
      </c>
      <c r="AF4566" s="86">
        <f>IF(verze!$E$1="CZK",AD4566,IF(verze!$E$1="SK",AE4566,""))</f>
        <v>11.33343</v>
      </c>
    </row>
    <row r="4567" spans="27:32" ht="15">
      <c r="AA4567" s="463" t="s">
        <v>14720</v>
      </c>
      <c r="AB4567" s="462" t="s">
        <v>14721</v>
      </c>
      <c r="AC4567" s="462" t="s">
        <v>14722</v>
      </c>
      <c r="AD4567" s="464">
        <v>235.60476</v>
      </c>
      <c r="AE4567" s="465">
        <v>11.33343</v>
      </c>
      <c r="AF4567" s="86">
        <f>IF(verze!$E$1="CZK",AD4567,IF(verze!$E$1="SK",AE4567,""))</f>
        <v>11.33343</v>
      </c>
    </row>
    <row r="4568" spans="27:32" ht="15">
      <c r="AA4568" s="463" t="s">
        <v>14723</v>
      </c>
      <c r="AB4568" s="462" t="s">
        <v>14724</v>
      </c>
      <c r="AC4568" s="462" t="s">
        <v>14725</v>
      </c>
      <c r="AD4568" s="464">
        <v>243.54496</v>
      </c>
      <c r="AE4568" s="465">
        <v>11.715400000000001</v>
      </c>
      <c r="AF4568" s="86">
        <f>IF(verze!$E$1="CZK",AD4568,IF(verze!$E$1="SK",AE4568,""))</f>
        <v>11.715400000000001</v>
      </c>
    </row>
    <row r="4569" spans="27:32" ht="15">
      <c r="AA4569" s="463" t="s">
        <v>14726</v>
      </c>
      <c r="AB4569" s="462" t="s">
        <v>14727</v>
      </c>
      <c r="AC4569" s="462" t="s">
        <v>14728</v>
      </c>
      <c r="AD4569" s="464">
        <v>243.54496</v>
      </c>
      <c r="AE4569" s="465">
        <v>11.715400000000001</v>
      </c>
      <c r="AF4569" s="86">
        <f>IF(verze!$E$1="CZK",AD4569,IF(verze!$E$1="SK",AE4569,""))</f>
        <v>11.715400000000001</v>
      </c>
    </row>
    <row r="4570" spans="27:32" ht="15">
      <c r="AA4570" s="463" t="s">
        <v>14729</v>
      </c>
      <c r="AB4570" s="462" t="s">
        <v>14730</v>
      </c>
      <c r="AC4570" s="462" t="s">
        <v>14731</v>
      </c>
      <c r="AD4570" s="464">
        <v>268.07722999999999</v>
      </c>
      <c r="AE4570" s="465">
        <v>12.895490000000001</v>
      </c>
      <c r="AF4570" s="86">
        <f>IF(verze!$E$1="CZK",AD4570,IF(verze!$E$1="SK",AE4570,""))</f>
        <v>12.895490000000001</v>
      </c>
    </row>
    <row r="4571" spans="27:32" ht="15">
      <c r="AA4571" s="463" t="s">
        <v>14732</v>
      </c>
      <c r="AB4571" s="462" t="s">
        <v>14733</v>
      </c>
      <c r="AC4571" s="462" t="s">
        <v>14734</v>
      </c>
      <c r="AD4571" s="464">
        <v>268.07722999999999</v>
      </c>
      <c r="AE4571" s="465">
        <v>12.895490000000001</v>
      </c>
      <c r="AF4571" s="86">
        <f>IF(verze!$E$1="CZK",AD4571,IF(verze!$E$1="SK",AE4571,""))</f>
        <v>12.895490000000001</v>
      </c>
    </row>
    <row r="4572" spans="27:32" ht="15">
      <c r="AA4572" s="463" t="s">
        <v>14735</v>
      </c>
      <c r="AB4572" s="462" t="s">
        <v>14736</v>
      </c>
      <c r="AC4572" s="462" t="s">
        <v>14737</v>
      </c>
      <c r="AD4572" s="464">
        <v>273.01260000000002</v>
      </c>
      <c r="AE4572" s="465">
        <v>13.132899999999999</v>
      </c>
      <c r="AF4572" s="86">
        <f>IF(verze!$E$1="CZK",AD4572,IF(verze!$E$1="SK",AE4572,""))</f>
        <v>13.132899999999999</v>
      </c>
    </row>
    <row r="4573" spans="27:32" ht="15">
      <c r="AA4573" s="463" t="s">
        <v>14738</v>
      </c>
      <c r="AB4573" s="462" t="s">
        <v>14739</v>
      </c>
      <c r="AC4573" s="462" t="s">
        <v>14740</v>
      </c>
      <c r="AD4573" s="464">
        <v>273.01260000000002</v>
      </c>
      <c r="AE4573" s="465">
        <v>13.132899999999999</v>
      </c>
      <c r="AF4573" s="86">
        <f>IF(verze!$E$1="CZK",AD4573,IF(verze!$E$1="SK",AE4573,""))</f>
        <v>13.132899999999999</v>
      </c>
    </row>
    <row r="4574" spans="27:32" ht="15">
      <c r="AA4574" s="463" t="s">
        <v>14741</v>
      </c>
      <c r="AB4574" s="462" t="s">
        <v>14742</v>
      </c>
      <c r="AC4574" s="462" t="s">
        <v>14743</v>
      </c>
      <c r="AD4574" s="464">
        <v>277.95048000000003</v>
      </c>
      <c r="AE4574" s="465">
        <v>13.370430000000001</v>
      </c>
      <c r="AF4574" s="86">
        <f>IF(verze!$E$1="CZK",AD4574,IF(verze!$E$1="SK",AE4574,""))</f>
        <v>13.370430000000001</v>
      </c>
    </row>
    <row r="4575" spans="27:32" ht="15">
      <c r="AA4575" s="463" t="s">
        <v>14744</v>
      </c>
      <c r="AB4575" s="462" t="s">
        <v>14745</v>
      </c>
      <c r="AC4575" s="462" t="s">
        <v>14746</v>
      </c>
      <c r="AD4575" s="464">
        <v>277.95048000000003</v>
      </c>
      <c r="AE4575" s="465">
        <v>13.370430000000001</v>
      </c>
      <c r="AF4575" s="86">
        <f>IF(verze!$E$1="CZK",AD4575,IF(verze!$E$1="SK",AE4575,""))</f>
        <v>13.370430000000001</v>
      </c>
    </row>
    <row r="4576" spans="27:32" ht="15">
      <c r="AA4576" s="463" t="s">
        <v>14747</v>
      </c>
      <c r="AB4576" s="462" t="s">
        <v>14748</v>
      </c>
      <c r="AC4576" s="462" t="s">
        <v>14749</v>
      </c>
      <c r="AD4576" s="464">
        <v>282.88328000000001</v>
      </c>
      <c r="AE4576" s="465">
        <v>13.60773</v>
      </c>
      <c r="AF4576" s="86">
        <f>IF(verze!$E$1="CZK",AD4576,IF(verze!$E$1="SK",AE4576,""))</f>
        <v>13.60773</v>
      </c>
    </row>
    <row r="4577" spans="27:32" ht="15">
      <c r="AA4577" s="463" t="s">
        <v>14750</v>
      </c>
      <c r="AB4577" s="462" t="s">
        <v>14751</v>
      </c>
      <c r="AC4577" s="462" t="s">
        <v>14752</v>
      </c>
      <c r="AD4577" s="464">
        <v>282.88328000000001</v>
      </c>
      <c r="AE4577" s="465">
        <v>13.60773</v>
      </c>
      <c r="AF4577" s="86">
        <f>IF(verze!$E$1="CZK",AD4577,IF(verze!$E$1="SK",AE4577,""))</f>
        <v>13.60773</v>
      </c>
    </row>
    <row r="4578" spans="27:32" ht="15">
      <c r="AA4578" s="463" t="s">
        <v>14753</v>
      </c>
      <c r="AB4578" s="462" t="s">
        <v>14754</v>
      </c>
      <c r="AC4578" s="462" t="s">
        <v>14755</v>
      </c>
      <c r="AD4578" s="464">
        <v>280.16149000000001</v>
      </c>
      <c r="AE4578" s="465">
        <v>13.185700000000001</v>
      </c>
      <c r="AF4578" s="86">
        <f>IF(verze!$E$1="CZK",AD4578,IF(verze!$E$1="SK",AE4578,""))</f>
        <v>13.185700000000001</v>
      </c>
    </row>
    <row r="4579" spans="27:32" ht="15">
      <c r="AA4579" s="463" t="s">
        <v>14756</v>
      </c>
      <c r="AB4579" s="462" t="s">
        <v>14757</v>
      </c>
      <c r="AC4579" s="462" t="s">
        <v>14758</v>
      </c>
      <c r="AD4579" s="464">
        <v>280.16149000000001</v>
      </c>
      <c r="AE4579" s="465">
        <v>13.185700000000001</v>
      </c>
      <c r="AF4579" s="86">
        <f>IF(verze!$E$1="CZK",AD4579,IF(verze!$E$1="SK",AE4579,""))</f>
        <v>13.185700000000001</v>
      </c>
    </row>
    <row r="4580" spans="27:32" ht="15">
      <c r="AA4580" s="463" t="s">
        <v>14759</v>
      </c>
      <c r="AB4580" s="462" t="s">
        <v>14760</v>
      </c>
      <c r="AC4580" s="462" t="s">
        <v>14761</v>
      </c>
      <c r="AD4580" s="464">
        <v>292.74898000000002</v>
      </c>
      <c r="AE4580" s="465">
        <v>14.08229</v>
      </c>
      <c r="AF4580" s="86">
        <f>IF(verze!$E$1="CZK",AD4580,IF(verze!$E$1="SK",AE4580,""))</f>
        <v>14.08229</v>
      </c>
    </row>
    <row r="4581" spans="27:32" ht="15">
      <c r="AA4581" s="463" t="s">
        <v>14762</v>
      </c>
      <c r="AB4581" s="462" t="s">
        <v>14763</v>
      </c>
      <c r="AC4581" s="462" t="s">
        <v>14764</v>
      </c>
      <c r="AD4581" s="464">
        <v>292.74898000000002</v>
      </c>
      <c r="AE4581" s="465">
        <v>14.08229</v>
      </c>
      <c r="AF4581" s="86">
        <f>IF(verze!$E$1="CZK",AD4581,IF(verze!$E$1="SK",AE4581,""))</f>
        <v>14.08229</v>
      </c>
    </row>
    <row r="4582" spans="27:32" ht="15">
      <c r="AA4582" s="463" t="s">
        <v>14765</v>
      </c>
      <c r="AB4582" s="462" t="s">
        <v>14766</v>
      </c>
      <c r="AC4582" s="462" t="s">
        <v>14767</v>
      </c>
      <c r="AD4582" s="464">
        <v>300.18995999999999</v>
      </c>
      <c r="AE4582" s="465">
        <v>14.44021</v>
      </c>
      <c r="AF4582" s="86">
        <f>IF(verze!$E$1="CZK",AD4582,IF(verze!$E$1="SK",AE4582,""))</f>
        <v>14.44021</v>
      </c>
    </row>
    <row r="4583" spans="27:32" ht="15">
      <c r="AA4583" s="463" t="s">
        <v>14768</v>
      </c>
      <c r="AB4583" s="462" t="s">
        <v>14769</v>
      </c>
      <c r="AC4583" s="462" t="s">
        <v>14770</v>
      </c>
      <c r="AD4583" s="464">
        <v>300.18995999999999</v>
      </c>
      <c r="AE4583" s="465">
        <v>14.44021</v>
      </c>
      <c r="AF4583" s="86">
        <f>IF(verze!$E$1="CZK",AD4583,IF(verze!$E$1="SK",AE4583,""))</f>
        <v>14.44021</v>
      </c>
    </row>
    <row r="4584" spans="27:32" ht="15">
      <c r="AA4584" s="463" t="s">
        <v>14771</v>
      </c>
      <c r="AB4584" s="462" t="s">
        <v>14772</v>
      </c>
      <c r="AC4584" s="462" t="s">
        <v>14773</v>
      </c>
      <c r="AD4584" s="464">
        <v>308.13261999999997</v>
      </c>
      <c r="AE4584" s="465">
        <v>14.822279999999999</v>
      </c>
      <c r="AF4584" s="86">
        <f>IF(verze!$E$1="CZK",AD4584,IF(verze!$E$1="SK",AE4584,""))</f>
        <v>14.822279999999999</v>
      </c>
    </row>
    <row r="4585" spans="27:32" ht="15">
      <c r="AA4585" s="463" t="s">
        <v>14774</v>
      </c>
      <c r="AB4585" s="462" t="s">
        <v>14775</v>
      </c>
      <c r="AC4585" s="462" t="s">
        <v>14776</v>
      </c>
      <c r="AD4585" s="464">
        <v>308.13261999999997</v>
      </c>
      <c r="AE4585" s="465">
        <v>14.822279999999999</v>
      </c>
      <c r="AF4585" s="86">
        <f>IF(verze!$E$1="CZK",AD4585,IF(verze!$E$1="SK",AE4585,""))</f>
        <v>14.822279999999999</v>
      </c>
    </row>
    <row r="4586" spans="27:32" ht="15">
      <c r="AA4586" s="463" t="s">
        <v>14777</v>
      </c>
      <c r="AB4586" s="462" t="s">
        <v>14778</v>
      </c>
      <c r="AC4586" s="462" t="s">
        <v>14779</v>
      </c>
      <c r="AD4586" s="464">
        <v>343.85318000000001</v>
      </c>
      <c r="AE4586" s="465">
        <v>16.540590000000002</v>
      </c>
      <c r="AF4586" s="86">
        <f>IF(verze!$E$1="CZK",AD4586,IF(verze!$E$1="SK",AE4586,""))</f>
        <v>16.540590000000002</v>
      </c>
    </row>
    <row r="4587" spans="27:32" ht="15">
      <c r="AA4587" s="463" t="s">
        <v>14780</v>
      </c>
      <c r="AB4587" s="462" t="s">
        <v>14781</v>
      </c>
      <c r="AC4587" s="462" t="s">
        <v>14782</v>
      </c>
      <c r="AD4587" s="464">
        <v>343.85318000000001</v>
      </c>
      <c r="AE4587" s="465">
        <v>16.540590000000002</v>
      </c>
      <c r="AF4587" s="86">
        <f>IF(verze!$E$1="CZK",AD4587,IF(verze!$E$1="SK",AE4587,""))</f>
        <v>16.540590000000002</v>
      </c>
    </row>
    <row r="4588" spans="27:32" ht="15">
      <c r="AA4588" s="463" t="s">
        <v>14783</v>
      </c>
      <c r="AB4588" s="462" t="s">
        <v>14784</v>
      </c>
      <c r="AC4588" s="462" t="s">
        <v>14785</v>
      </c>
      <c r="AD4588" s="464">
        <v>347.69150999999999</v>
      </c>
      <c r="AE4588" s="465">
        <v>16.72522</v>
      </c>
      <c r="AF4588" s="86">
        <f>IF(verze!$E$1="CZK",AD4588,IF(verze!$E$1="SK",AE4588,""))</f>
        <v>16.72522</v>
      </c>
    </row>
    <row r="4589" spans="27:32" ht="15">
      <c r="AA4589" s="463" t="s">
        <v>14786</v>
      </c>
      <c r="AB4589" s="462" t="s">
        <v>14787</v>
      </c>
      <c r="AC4589" s="462" t="s">
        <v>14788</v>
      </c>
      <c r="AD4589" s="464">
        <v>347.69150999999999</v>
      </c>
      <c r="AE4589" s="465">
        <v>16.72522</v>
      </c>
      <c r="AF4589" s="86">
        <f>IF(verze!$E$1="CZK",AD4589,IF(verze!$E$1="SK",AE4589,""))</f>
        <v>16.72522</v>
      </c>
    </row>
    <row r="4590" spans="27:32" ht="15">
      <c r="AA4590" s="463" t="s">
        <v>14789</v>
      </c>
      <c r="AB4590" s="462" t="s">
        <v>14790</v>
      </c>
      <c r="AC4590" s="462" t="s">
        <v>14791</v>
      </c>
      <c r="AD4590" s="464">
        <v>354.09370999999999</v>
      </c>
      <c r="AE4590" s="465">
        <v>17.033180000000002</v>
      </c>
      <c r="AF4590" s="86">
        <f>IF(verze!$E$1="CZK",AD4590,IF(verze!$E$1="SK",AE4590,""))</f>
        <v>17.033180000000002</v>
      </c>
    </row>
    <row r="4591" spans="27:32" ht="15">
      <c r="AA4591" s="463" t="s">
        <v>14792</v>
      </c>
      <c r="AB4591" s="462" t="s">
        <v>14793</v>
      </c>
      <c r="AC4591" s="462" t="s">
        <v>14794</v>
      </c>
      <c r="AD4591" s="464">
        <v>354.09370999999999</v>
      </c>
      <c r="AE4591" s="465">
        <v>17.033180000000002</v>
      </c>
      <c r="AF4591" s="86">
        <f>IF(verze!$E$1="CZK",AD4591,IF(verze!$E$1="SK",AE4591,""))</f>
        <v>17.033180000000002</v>
      </c>
    </row>
    <row r="4592" spans="27:32" ht="15">
      <c r="AA4592" s="463" t="s">
        <v>14795</v>
      </c>
      <c r="AB4592" s="462" t="s">
        <v>14796</v>
      </c>
      <c r="AC4592" s="462" t="s">
        <v>14797</v>
      </c>
      <c r="AD4592" s="464">
        <v>360.48838000000001</v>
      </c>
      <c r="AE4592" s="465">
        <v>17.340789999999998</v>
      </c>
      <c r="AF4592" s="86">
        <f>IF(verze!$E$1="CZK",AD4592,IF(verze!$E$1="SK",AE4592,""))</f>
        <v>17.340789999999998</v>
      </c>
    </row>
    <row r="4593" spans="27:32" ht="15">
      <c r="AA4593" s="463" t="s">
        <v>14798</v>
      </c>
      <c r="AB4593" s="462" t="s">
        <v>14799</v>
      </c>
      <c r="AC4593" s="462" t="s">
        <v>14800</v>
      </c>
      <c r="AD4593" s="464">
        <v>360.48838000000001</v>
      </c>
      <c r="AE4593" s="465">
        <v>17.340789999999998</v>
      </c>
      <c r="AF4593" s="86">
        <f>IF(verze!$E$1="CZK",AD4593,IF(verze!$E$1="SK",AE4593,""))</f>
        <v>17.340789999999998</v>
      </c>
    </row>
    <row r="4594" spans="27:32" ht="15">
      <c r="AA4594" s="463" t="s">
        <v>14801</v>
      </c>
      <c r="AB4594" s="462" t="s">
        <v>14802</v>
      </c>
      <c r="AC4594" s="462" t="s">
        <v>14803</v>
      </c>
      <c r="AD4594" s="464">
        <v>357.13297</v>
      </c>
      <c r="AE4594" s="465">
        <v>16.80836</v>
      </c>
      <c r="AF4594" s="86">
        <f>IF(verze!$E$1="CZK",AD4594,IF(verze!$E$1="SK",AE4594,""))</f>
        <v>16.80836</v>
      </c>
    </row>
    <row r="4595" spans="27:32" ht="15">
      <c r="AA4595" s="463" t="s">
        <v>1320</v>
      </c>
      <c r="AB4595" s="462" t="s">
        <v>14804</v>
      </c>
      <c r="AC4595" s="462" t="s">
        <v>14805</v>
      </c>
      <c r="AD4595" s="464">
        <v>357.13297</v>
      </c>
      <c r="AE4595" s="465">
        <v>16.80836</v>
      </c>
      <c r="AF4595" s="86">
        <f>IF(verze!$E$1="CZK",AD4595,IF(verze!$E$1="SK",AE4595,""))</f>
        <v>16.80836</v>
      </c>
    </row>
    <row r="4596" spans="27:32" ht="15">
      <c r="AA4596" s="463" t="s">
        <v>14806</v>
      </c>
      <c r="AB4596" s="462" t="s">
        <v>14807</v>
      </c>
      <c r="AC4596" s="462" t="s">
        <v>14808</v>
      </c>
      <c r="AD4596" s="464">
        <v>357.13297</v>
      </c>
      <c r="AE4596" s="465">
        <v>16.80836</v>
      </c>
      <c r="AF4596" s="86">
        <f>IF(verze!$E$1="CZK",AD4596,IF(verze!$E$1="SK",AE4596,""))</f>
        <v>16.80836</v>
      </c>
    </row>
    <row r="4597" spans="27:32" ht="15">
      <c r="AA4597" s="463" t="s">
        <v>1320</v>
      </c>
      <c r="AB4597" s="462" t="s">
        <v>14809</v>
      </c>
      <c r="AC4597" s="462" t="s">
        <v>14810</v>
      </c>
      <c r="AD4597" s="464">
        <v>357.13297</v>
      </c>
      <c r="AE4597" s="465">
        <v>16.80836</v>
      </c>
      <c r="AF4597" s="86">
        <f>IF(verze!$E$1="CZK",AD4597,IF(verze!$E$1="SK",AE4597,""))</f>
        <v>16.80836</v>
      </c>
    </row>
    <row r="4598" spans="27:32" ht="15">
      <c r="AA4598" s="463" t="s">
        <v>14811</v>
      </c>
      <c r="AB4598" s="462" t="s">
        <v>14812</v>
      </c>
      <c r="AC4598" s="462" t="s">
        <v>14813</v>
      </c>
      <c r="AD4598" s="464">
        <v>363.36250999999999</v>
      </c>
      <c r="AE4598" s="465">
        <v>17.10154</v>
      </c>
      <c r="AF4598" s="86">
        <f>IF(verze!$E$1="CZK",AD4598,IF(verze!$E$1="SK",AE4598,""))</f>
        <v>17.10154</v>
      </c>
    </row>
    <row r="4599" spans="27:32" ht="15">
      <c r="AA4599" s="463" t="s">
        <v>1320</v>
      </c>
      <c r="AB4599" s="462" t="s">
        <v>14814</v>
      </c>
      <c r="AC4599" s="462" t="s">
        <v>14815</v>
      </c>
      <c r="AD4599" s="464">
        <v>363.36250999999999</v>
      </c>
      <c r="AE4599" s="465">
        <v>17.10154</v>
      </c>
      <c r="AF4599" s="86">
        <f>IF(verze!$E$1="CZK",AD4599,IF(verze!$E$1="SK",AE4599,""))</f>
        <v>17.10154</v>
      </c>
    </row>
    <row r="4600" spans="27:32" ht="15">
      <c r="AA4600" s="463" t="s">
        <v>14816</v>
      </c>
      <c r="AB4600" s="462" t="s">
        <v>14817</v>
      </c>
      <c r="AC4600" s="462" t="s">
        <v>14818</v>
      </c>
      <c r="AD4600" s="464">
        <v>363.36250999999999</v>
      </c>
      <c r="AE4600" s="465">
        <v>17.10154</v>
      </c>
      <c r="AF4600" s="86">
        <f>IF(verze!$E$1="CZK",AD4600,IF(verze!$E$1="SK",AE4600,""))</f>
        <v>17.10154</v>
      </c>
    </row>
    <row r="4601" spans="27:32" ht="15">
      <c r="AA4601" s="463" t="s">
        <v>1320</v>
      </c>
      <c r="AB4601" s="462" t="s">
        <v>14819</v>
      </c>
      <c r="AC4601" s="462" t="s">
        <v>14820</v>
      </c>
      <c r="AD4601" s="464">
        <v>363.36250999999999</v>
      </c>
      <c r="AE4601" s="465">
        <v>17.10154</v>
      </c>
      <c r="AF4601" s="86">
        <f>IF(verze!$E$1="CZK",AD4601,IF(verze!$E$1="SK",AE4601,""))</f>
        <v>17.10154</v>
      </c>
    </row>
    <row r="4602" spans="27:32" ht="15">
      <c r="AA4602" s="463" t="s">
        <v>14821</v>
      </c>
      <c r="AB4602" s="462" t="s">
        <v>14822</v>
      </c>
      <c r="AC4602" s="462" t="s">
        <v>14823</v>
      </c>
      <c r="AD4602" s="464">
        <v>379.68511999999998</v>
      </c>
      <c r="AE4602" s="465">
        <v>18.264230000000001</v>
      </c>
      <c r="AF4602" s="86">
        <f>IF(verze!$E$1="CZK",AD4602,IF(verze!$E$1="SK",AE4602,""))</f>
        <v>18.264230000000001</v>
      </c>
    </row>
    <row r="4603" spans="27:32" ht="15">
      <c r="AA4603" s="463" t="s">
        <v>14824</v>
      </c>
      <c r="AB4603" s="462" t="s">
        <v>14825</v>
      </c>
      <c r="AC4603" s="462" t="s">
        <v>14826</v>
      </c>
      <c r="AD4603" s="464">
        <v>379.68511999999998</v>
      </c>
      <c r="AE4603" s="465">
        <v>18.264230000000001</v>
      </c>
      <c r="AF4603" s="86">
        <f>IF(verze!$E$1="CZK",AD4603,IF(verze!$E$1="SK",AE4603,""))</f>
        <v>18.264230000000001</v>
      </c>
    </row>
    <row r="4604" spans="27:32" ht="15">
      <c r="AA4604" s="463" t="s">
        <v>14827</v>
      </c>
      <c r="AB4604" s="462" t="s">
        <v>14828</v>
      </c>
      <c r="AC4604" s="462" t="s">
        <v>14829</v>
      </c>
      <c r="AD4604" s="464">
        <v>389.34050000000002</v>
      </c>
      <c r="AE4604" s="465">
        <v>18.728680000000001</v>
      </c>
      <c r="AF4604" s="86">
        <f>IF(verze!$E$1="CZK",AD4604,IF(verze!$E$1="SK",AE4604,""))</f>
        <v>18.728680000000001</v>
      </c>
    </row>
    <row r="4605" spans="27:32" ht="15">
      <c r="AA4605" s="463" t="s">
        <v>14830</v>
      </c>
      <c r="AB4605" s="462" t="s">
        <v>14831</v>
      </c>
      <c r="AC4605" s="462" t="s">
        <v>14832</v>
      </c>
      <c r="AD4605" s="464">
        <v>389.34050000000002</v>
      </c>
      <c r="AE4605" s="465">
        <v>18.728680000000001</v>
      </c>
      <c r="AF4605" s="86">
        <f>IF(verze!$E$1="CZK",AD4605,IF(verze!$E$1="SK",AE4605,""))</f>
        <v>18.728680000000001</v>
      </c>
    </row>
    <row r="4606" spans="27:32" ht="15">
      <c r="AA4606" s="463" t="s">
        <v>14833</v>
      </c>
      <c r="AB4606" s="462" t="s">
        <v>14834</v>
      </c>
      <c r="AC4606" s="462" t="s">
        <v>14835</v>
      </c>
      <c r="AD4606" s="464">
        <v>402.46422999999999</v>
      </c>
      <c r="AE4606" s="465">
        <v>19.35998</v>
      </c>
      <c r="AF4606" s="86">
        <f>IF(verze!$E$1="CZK",AD4606,IF(verze!$E$1="SK",AE4606,""))</f>
        <v>19.35998</v>
      </c>
    </row>
    <row r="4607" spans="27:32" ht="15">
      <c r="AA4607" s="463" t="s">
        <v>14836</v>
      </c>
      <c r="AB4607" s="462" t="s">
        <v>14837</v>
      </c>
      <c r="AC4607" s="462" t="s">
        <v>14838</v>
      </c>
      <c r="AD4607" s="464">
        <v>402.46422999999999</v>
      </c>
      <c r="AE4607" s="465">
        <v>19.35998</v>
      </c>
      <c r="AF4607" s="86">
        <f>IF(verze!$E$1="CZK",AD4607,IF(verze!$E$1="SK",AE4607,""))</f>
        <v>19.35998</v>
      </c>
    </row>
    <row r="4608" spans="27:32" ht="15">
      <c r="AA4608" s="463" t="s">
        <v>14839</v>
      </c>
      <c r="AB4608" s="462" t="s">
        <v>14840</v>
      </c>
      <c r="AC4608" s="462" t="s">
        <v>14841</v>
      </c>
      <c r="AD4608" s="464">
        <v>557.43890999999996</v>
      </c>
      <c r="AE4608" s="465">
        <v>26.814820000000001</v>
      </c>
      <c r="AF4608" s="86">
        <f>IF(verze!$E$1="CZK",AD4608,IF(verze!$E$1="SK",AE4608,""))</f>
        <v>26.814820000000001</v>
      </c>
    </row>
    <row r="4609" spans="27:32" ht="15">
      <c r="AA4609" s="463" t="s">
        <v>14842</v>
      </c>
      <c r="AB4609" s="462" t="s">
        <v>14843</v>
      </c>
      <c r="AC4609" s="462" t="s">
        <v>14844</v>
      </c>
      <c r="AD4609" s="464">
        <v>557.43890999999996</v>
      </c>
      <c r="AE4609" s="465">
        <v>26.814820000000001</v>
      </c>
      <c r="AF4609" s="86">
        <f>IF(verze!$E$1="CZK",AD4609,IF(verze!$E$1="SK",AE4609,""))</f>
        <v>26.814820000000001</v>
      </c>
    </row>
    <row r="4610" spans="27:32" ht="15">
      <c r="AA4610" s="463" t="s">
        <v>14845</v>
      </c>
      <c r="AB4610" s="462" t="s">
        <v>14846</v>
      </c>
      <c r="AC4610" s="462" t="s">
        <v>14847</v>
      </c>
      <c r="AD4610" s="464">
        <v>567.51482999999996</v>
      </c>
      <c r="AE4610" s="465">
        <v>27.299520000000001</v>
      </c>
      <c r="AF4610" s="86">
        <f>IF(verze!$E$1="CZK",AD4610,IF(verze!$E$1="SK",AE4610,""))</f>
        <v>27.299520000000001</v>
      </c>
    </row>
    <row r="4611" spans="27:32" ht="15">
      <c r="AA4611" s="463" t="s">
        <v>14848</v>
      </c>
      <c r="AB4611" s="462" t="s">
        <v>14849</v>
      </c>
      <c r="AC4611" s="462" t="s">
        <v>14850</v>
      </c>
      <c r="AD4611" s="464">
        <v>567.51482999999996</v>
      </c>
      <c r="AE4611" s="465">
        <v>27.299520000000001</v>
      </c>
      <c r="AF4611" s="86">
        <f>IF(verze!$E$1="CZK",AD4611,IF(verze!$E$1="SK",AE4611,""))</f>
        <v>27.299520000000001</v>
      </c>
    </row>
    <row r="4612" spans="27:32" ht="15">
      <c r="AA4612" s="463" t="s">
        <v>14851</v>
      </c>
      <c r="AB4612" s="462" t="s">
        <v>14852</v>
      </c>
      <c r="AC4612" s="462" t="s">
        <v>14853</v>
      </c>
      <c r="AD4612" s="464">
        <v>577.59074999999996</v>
      </c>
      <c r="AE4612" s="465">
        <v>27.784199999999998</v>
      </c>
      <c r="AF4612" s="86">
        <f>IF(verze!$E$1="CZK",AD4612,IF(verze!$E$1="SK",AE4612,""))</f>
        <v>27.784199999999998</v>
      </c>
    </row>
    <row r="4613" spans="27:32" ht="15">
      <c r="AA4613" s="463" t="s">
        <v>14854</v>
      </c>
      <c r="AB4613" s="462" t="s">
        <v>14855</v>
      </c>
      <c r="AC4613" s="462" t="s">
        <v>14856</v>
      </c>
      <c r="AD4613" s="464">
        <v>577.59074999999996</v>
      </c>
      <c r="AE4613" s="465">
        <v>27.784199999999998</v>
      </c>
      <c r="AF4613" s="86">
        <f>IF(verze!$E$1="CZK",AD4613,IF(verze!$E$1="SK",AE4613,""))</f>
        <v>27.784199999999998</v>
      </c>
    </row>
    <row r="4614" spans="27:32" ht="15">
      <c r="AA4614" s="463" t="s">
        <v>14857</v>
      </c>
      <c r="AB4614" s="462" t="s">
        <v>14858</v>
      </c>
      <c r="AC4614" s="462" t="s">
        <v>14859</v>
      </c>
      <c r="AD4614" s="464">
        <v>572.03471999999999</v>
      </c>
      <c r="AE4614" s="465">
        <v>26.922619999999998</v>
      </c>
      <c r="AF4614" s="86">
        <f>IF(verze!$E$1="CZK",AD4614,IF(verze!$E$1="SK",AE4614,""))</f>
        <v>26.922619999999998</v>
      </c>
    </row>
    <row r="4615" spans="27:32" ht="15">
      <c r="AA4615" s="463" t="s">
        <v>14860</v>
      </c>
      <c r="AB4615" s="462" t="s">
        <v>14861</v>
      </c>
      <c r="AC4615" s="462" t="s">
        <v>14862</v>
      </c>
      <c r="AD4615" s="464">
        <v>572.03471999999999</v>
      </c>
      <c r="AE4615" s="465">
        <v>26.922619999999998</v>
      </c>
      <c r="AF4615" s="86">
        <f>IF(verze!$E$1="CZK",AD4615,IF(verze!$E$1="SK",AE4615,""))</f>
        <v>26.922619999999998</v>
      </c>
    </row>
    <row r="4616" spans="27:32" ht="15">
      <c r="AA4616" s="463" t="s">
        <v>14863</v>
      </c>
      <c r="AB4616" s="462" t="s">
        <v>14864</v>
      </c>
      <c r="AC4616" s="462" t="s">
        <v>14865</v>
      </c>
      <c r="AD4616" s="464">
        <v>597.74</v>
      </c>
      <c r="AE4616" s="465">
        <v>28.753450000000001</v>
      </c>
      <c r="AF4616" s="86">
        <f>IF(verze!$E$1="CZK",AD4616,IF(verze!$E$1="SK",AE4616,""))</f>
        <v>28.753450000000001</v>
      </c>
    </row>
    <row r="4617" spans="27:32" ht="15">
      <c r="AA4617" s="463" t="s">
        <v>14866</v>
      </c>
      <c r="AB4617" s="462" t="s">
        <v>14867</v>
      </c>
      <c r="AC4617" s="462" t="s">
        <v>14868</v>
      </c>
      <c r="AD4617" s="464">
        <v>597.74</v>
      </c>
      <c r="AE4617" s="465">
        <v>28.753450000000001</v>
      </c>
      <c r="AF4617" s="86">
        <f>IF(verze!$E$1="CZK",AD4617,IF(verze!$E$1="SK",AE4617,""))</f>
        <v>28.753450000000001</v>
      </c>
    </row>
    <row r="4618" spans="27:32" ht="15">
      <c r="AA4618" s="463" t="s">
        <v>14869</v>
      </c>
      <c r="AB4618" s="462" t="s">
        <v>14870</v>
      </c>
      <c r="AC4618" s="462" t="s">
        <v>14871</v>
      </c>
      <c r="AD4618" s="464">
        <v>612.93876999999998</v>
      </c>
      <c r="AE4618" s="465">
        <v>29.484570000000001</v>
      </c>
      <c r="AF4618" s="86">
        <f>IF(verze!$E$1="CZK",AD4618,IF(verze!$E$1="SK",AE4618,""))</f>
        <v>29.484570000000001</v>
      </c>
    </row>
    <row r="4619" spans="27:32" ht="15">
      <c r="AA4619" s="463" t="s">
        <v>14872</v>
      </c>
      <c r="AB4619" s="462" t="s">
        <v>14873</v>
      </c>
      <c r="AC4619" s="462" t="s">
        <v>14874</v>
      </c>
      <c r="AD4619" s="464">
        <v>612.93876999999998</v>
      </c>
      <c r="AE4619" s="465">
        <v>29.484570000000001</v>
      </c>
      <c r="AF4619" s="86">
        <f>IF(verze!$E$1="CZK",AD4619,IF(verze!$E$1="SK",AE4619,""))</f>
        <v>29.484570000000001</v>
      </c>
    </row>
    <row r="4620" spans="27:32" ht="15">
      <c r="AA4620" s="463" t="s">
        <v>14875</v>
      </c>
      <c r="AB4620" s="462" t="s">
        <v>14876</v>
      </c>
      <c r="AC4620" s="462" t="s">
        <v>14877</v>
      </c>
      <c r="AD4620" s="464">
        <v>633.59735999999998</v>
      </c>
      <c r="AE4620" s="465">
        <v>30.47831</v>
      </c>
      <c r="AF4620" s="86">
        <f>IF(verze!$E$1="CZK",AD4620,IF(verze!$E$1="SK",AE4620,""))</f>
        <v>30.47831</v>
      </c>
    </row>
    <row r="4621" spans="27:32" ht="15">
      <c r="AA4621" s="463" t="s">
        <v>14878</v>
      </c>
      <c r="AB4621" s="462" t="s">
        <v>14879</v>
      </c>
      <c r="AC4621" s="462" t="s">
        <v>14880</v>
      </c>
      <c r="AD4621" s="464">
        <v>633.59735999999998</v>
      </c>
      <c r="AE4621" s="465">
        <v>30.47831</v>
      </c>
      <c r="AF4621" s="86">
        <f>IF(verze!$E$1="CZK",AD4621,IF(verze!$E$1="SK",AE4621,""))</f>
        <v>30.47831</v>
      </c>
    </row>
    <row r="4622" spans="27:32" ht="15">
      <c r="AA4622" s="463" t="s">
        <v>14881</v>
      </c>
      <c r="AB4622" s="462" t="s">
        <v>14882</v>
      </c>
      <c r="AC4622" s="462" t="s">
        <v>14883</v>
      </c>
      <c r="AD4622" s="464">
        <v>218.14608000000001</v>
      </c>
      <c r="AE4622" s="465">
        <v>10.49362</v>
      </c>
      <c r="AF4622" s="86">
        <f>IF(verze!$E$1="CZK",AD4622,IF(verze!$E$1="SK",AE4622,""))</f>
        <v>10.49362</v>
      </c>
    </row>
    <row r="4623" spans="27:32" ht="15">
      <c r="AA4623" s="463" t="s">
        <v>14884</v>
      </c>
      <c r="AB4623" s="462" t="s">
        <v>14885</v>
      </c>
      <c r="AC4623" s="462" t="s">
        <v>14886</v>
      </c>
      <c r="AD4623" s="464">
        <v>218.14608000000001</v>
      </c>
      <c r="AE4623" s="465">
        <v>10.49362</v>
      </c>
      <c r="AF4623" s="86">
        <f>IF(verze!$E$1="CZK",AD4623,IF(verze!$E$1="SK",AE4623,""))</f>
        <v>10.49362</v>
      </c>
    </row>
    <row r="4624" spans="27:32" ht="15">
      <c r="AA4624" s="463" t="s">
        <v>14887</v>
      </c>
      <c r="AB4624" s="462" t="s">
        <v>14888</v>
      </c>
      <c r="AC4624" s="462" t="s">
        <v>14889</v>
      </c>
      <c r="AD4624" s="464">
        <v>222.02244999999999</v>
      </c>
      <c r="AE4624" s="465">
        <v>10.680099999999999</v>
      </c>
      <c r="AF4624" s="86">
        <f>IF(verze!$E$1="CZK",AD4624,IF(verze!$E$1="SK",AE4624,""))</f>
        <v>10.680099999999999</v>
      </c>
    </row>
    <row r="4625" spans="27:32" ht="15">
      <c r="AA4625" s="463" t="s">
        <v>14890</v>
      </c>
      <c r="AB4625" s="462" t="s">
        <v>14891</v>
      </c>
      <c r="AC4625" s="462" t="s">
        <v>14892</v>
      </c>
      <c r="AD4625" s="464">
        <v>222.02244999999999</v>
      </c>
      <c r="AE4625" s="465">
        <v>10.680099999999999</v>
      </c>
      <c r="AF4625" s="86">
        <f>IF(verze!$E$1="CZK",AD4625,IF(verze!$E$1="SK",AE4625,""))</f>
        <v>10.680099999999999</v>
      </c>
    </row>
    <row r="4626" spans="27:32" ht="15">
      <c r="AA4626" s="463" t="s">
        <v>14893</v>
      </c>
      <c r="AB4626" s="462" t="s">
        <v>14894</v>
      </c>
      <c r="AC4626" s="462" t="s">
        <v>14895</v>
      </c>
      <c r="AD4626" s="464">
        <v>225.89116000000001</v>
      </c>
      <c r="AE4626" s="465">
        <v>10.86618</v>
      </c>
      <c r="AF4626" s="86">
        <f>IF(verze!$E$1="CZK",AD4626,IF(verze!$E$1="SK",AE4626,""))</f>
        <v>10.86618</v>
      </c>
    </row>
    <row r="4627" spans="27:32" ht="15">
      <c r="AA4627" s="463" t="s">
        <v>14896</v>
      </c>
      <c r="AB4627" s="462" t="s">
        <v>14897</v>
      </c>
      <c r="AC4627" s="462" t="s">
        <v>14898</v>
      </c>
      <c r="AD4627" s="464">
        <v>225.89116000000001</v>
      </c>
      <c r="AE4627" s="465">
        <v>10.86618</v>
      </c>
      <c r="AF4627" s="86">
        <f>IF(verze!$E$1="CZK",AD4627,IF(verze!$E$1="SK",AE4627,""))</f>
        <v>10.86618</v>
      </c>
    </row>
    <row r="4628" spans="27:32" ht="15">
      <c r="AA4628" s="463" t="s">
        <v>14899</v>
      </c>
      <c r="AB4628" s="462" t="s">
        <v>14900</v>
      </c>
      <c r="AC4628" s="462" t="s">
        <v>14901</v>
      </c>
      <c r="AD4628" s="464">
        <v>229.76492999999999</v>
      </c>
      <c r="AE4628" s="465">
        <v>11.052530000000001</v>
      </c>
      <c r="AF4628" s="86">
        <f>IF(verze!$E$1="CZK",AD4628,IF(verze!$E$1="SK",AE4628,""))</f>
        <v>11.052530000000001</v>
      </c>
    </row>
    <row r="4629" spans="27:32" ht="15">
      <c r="AA4629" s="463" t="s">
        <v>14902</v>
      </c>
      <c r="AB4629" s="462" t="s">
        <v>14903</v>
      </c>
      <c r="AC4629" s="462" t="s">
        <v>14904</v>
      </c>
      <c r="AD4629" s="464">
        <v>229.76492999999999</v>
      </c>
      <c r="AE4629" s="465">
        <v>11.052530000000001</v>
      </c>
      <c r="AF4629" s="86">
        <f>IF(verze!$E$1="CZK",AD4629,IF(verze!$E$1="SK",AE4629,""))</f>
        <v>11.052530000000001</v>
      </c>
    </row>
    <row r="4630" spans="27:32" ht="15">
      <c r="AA4630" s="463" t="s">
        <v>14905</v>
      </c>
      <c r="AB4630" s="462" t="s">
        <v>14906</v>
      </c>
      <c r="AC4630" s="462" t="s">
        <v>14907</v>
      </c>
      <c r="AD4630" s="464">
        <v>208.07782</v>
      </c>
      <c r="AE4630" s="465">
        <v>10.00929</v>
      </c>
      <c r="AF4630" s="86">
        <f>IF(verze!$E$1="CZK",AD4630,IF(verze!$E$1="SK",AE4630,""))</f>
        <v>10.00929</v>
      </c>
    </row>
    <row r="4631" spans="27:32" ht="15">
      <c r="AA4631" s="463" t="s">
        <v>14908</v>
      </c>
      <c r="AB4631" s="462" t="s">
        <v>14909</v>
      </c>
      <c r="AC4631" s="462" t="s">
        <v>14910</v>
      </c>
      <c r="AD4631" s="464">
        <v>208.07782</v>
      </c>
      <c r="AE4631" s="465">
        <v>10.00929</v>
      </c>
      <c r="AF4631" s="86">
        <f>IF(verze!$E$1="CZK",AD4631,IF(verze!$E$1="SK",AE4631,""))</f>
        <v>10.00929</v>
      </c>
    </row>
    <row r="4632" spans="27:32" ht="15">
      <c r="AA4632" s="463" t="s">
        <v>14911</v>
      </c>
      <c r="AB4632" s="462" t="s">
        <v>14912</v>
      </c>
      <c r="AC4632" s="462" t="s">
        <v>14913</v>
      </c>
      <c r="AD4632" s="464">
        <v>210.40101000000001</v>
      </c>
      <c r="AE4632" s="465">
        <v>10.12106</v>
      </c>
      <c r="AF4632" s="86">
        <f>IF(verze!$E$1="CZK",AD4632,IF(verze!$E$1="SK",AE4632,""))</f>
        <v>10.12106</v>
      </c>
    </row>
    <row r="4633" spans="27:32" ht="15">
      <c r="AA4633" s="463" t="s">
        <v>14914</v>
      </c>
      <c r="AB4633" s="462" t="s">
        <v>14915</v>
      </c>
      <c r="AC4633" s="462" t="s">
        <v>14916</v>
      </c>
      <c r="AD4633" s="464">
        <v>210.40101000000001</v>
      </c>
      <c r="AE4633" s="465">
        <v>10.12106</v>
      </c>
      <c r="AF4633" s="86">
        <f>IF(verze!$E$1="CZK",AD4633,IF(verze!$E$1="SK",AE4633,""))</f>
        <v>10.12106</v>
      </c>
    </row>
    <row r="4634" spans="27:32" ht="15">
      <c r="AA4634" s="463" t="s">
        <v>14917</v>
      </c>
      <c r="AB4634" s="462" t="s">
        <v>14918</v>
      </c>
      <c r="AC4634" s="462" t="s">
        <v>14919</v>
      </c>
      <c r="AD4634" s="464">
        <v>214.27737999999999</v>
      </c>
      <c r="AE4634" s="465">
        <v>10.307510000000001</v>
      </c>
      <c r="AF4634" s="86">
        <f>IF(verze!$E$1="CZK",AD4634,IF(verze!$E$1="SK",AE4634,""))</f>
        <v>10.307510000000001</v>
      </c>
    </row>
    <row r="4635" spans="27:32" ht="15">
      <c r="AA4635" s="463" t="s">
        <v>14920</v>
      </c>
      <c r="AB4635" s="462" t="s">
        <v>14921</v>
      </c>
      <c r="AC4635" s="462" t="s">
        <v>14922</v>
      </c>
      <c r="AD4635" s="464">
        <v>214.27737999999999</v>
      </c>
      <c r="AE4635" s="465">
        <v>10.307510000000001</v>
      </c>
      <c r="AF4635" s="86">
        <f>IF(verze!$E$1="CZK",AD4635,IF(verze!$E$1="SK",AE4635,""))</f>
        <v>10.307510000000001</v>
      </c>
    </row>
    <row r="4636" spans="27:32" ht="15">
      <c r="AA4636" s="463" t="s">
        <v>14923</v>
      </c>
      <c r="AB4636" s="462" t="s">
        <v>14924</v>
      </c>
      <c r="AC4636" s="462" t="s">
        <v>14925</v>
      </c>
      <c r="AD4636" s="464">
        <v>218.14608000000001</v>
      </c>
      <c r="AE4636" s="465">
        <v>10.49362</v>
      </c>
      <c r="AF4636" s="86">
        <f>IF(verze!$E$1="CZK",AD4636,IF(verze!$E$1="SK",AE4636,""))</f>
        <v>10.49362</v>
      </c>
    </row>
    <row r="4637" spans="27:32" ht="15">
      <c r="AA4637" s="463" t="s">
        <v>14926</v>
      </c>
      <c r="AB4637" s="462" t="s">
        <v>14927</v>
      </c>
      <c r="AC4637" s="462" t="s">
        <v>14928</v>
      </c>
      <c r="AD4637" s="464">
        <v>218.14608000000001</v>
      </c>
      <c r="AE4637" s="465">
        <v>10.49362</v>
      </c>
      <c r="AF4637" s="86">
        <f>IF(verze!$E$1="CZK",AD4637,IF(verze!$E$1="SK",AE4637,""))</f>
        <v>10.49362</v>
      </c>
    </row>
    <row r="4638" spans="27:32" ht="15">
      <c r="AA4638" s="463" t="s">
        <v>14929</v>
      </c>
      <c r="AB4638" s="462" t="s">
        <v>14930</v>
      </c>
      <c r="AC4638" s="462" t="s">
        <v>14931</v>
      </c>
      <c r="AD4638" s="464">
        <v>222.02244999999999</v>
      </c>
      <c r="AE4638" s="465">
        <v>10.680099999999999</v>
      </c>
      <c r="AF4638" s="86">
        <f>IF(verze!$E$1="CZK",AD4638,IF(verze!$E$1="SK",AE4638,""))</f>
        <v>10.680099999999999</v>
      </c>
    </row>
    <row r="4639" spans="27:32" ht="15">
      <c r="AA4639" s="463" t="s">
        <v>1320</v>
      </c>
      <c r="AB4639" s="462" t="s">
        <v>14932</v>
      </c>
      <c r="AC4639" s="462" t="s">
        <v>14933</v>
      </c>
      <c r="AD4639" s="464">
        <v>216.11760000000001</v>
      </c>
      <c r="AE4639" s="465">
        <v>10.171519999999999</v>
      </c>
      <c r="AF4639" s="86">
        <f>IF(verze!$E$1="CZK",AD4639,IF(verze!$E$1="SK",AE4639,""))</f>
        <v>10.171519999999999</v>
      </c>
    </row>
    <row r="4640" spans="27:32" ht="15">
      <c r="AA4640" s="463" t="s">
        <v>14934</v>
      </c>
      <c r="AB4640" s="462" t="s">
        <v>14935</v>
      </c>
      <c r="AC4640" s="462" t="s">
        <v>14936</v>
      </c>
      <c r="AD4640" s="464">
        <v>222.02244999999999</v>
      </c>
      <c r="AE4640" s="465">
        <v>10.680099999999999</v>
      </c>
      <c r="AF4640" s="86">
        <f>IF(verze!$E$1="CZK",AD4640,IF(verze!$E$1="SK",AE4640,""))</f>
        <v>10.680099999999999</v>
      </c>
    </row>
    <row r="4641" spans="27:32" ht="15">
      <c r="AA4641" s="463" t="s">
        <v>1320</v>
      </c>
      <c r="AB4641" s="462" t="s">
        <v>14937</v>
      </c>
      <c r="AC4641" s="462" t="s">
        <v>14938</v>
      </c>
      <c r="AD4641" s="464">
        <v>216.11760000000001</v>
      </c>
      <c r="AE4641" s="465">
        <v>10.171519999999999</v>
      </c>
      <c r="AF4641" s="86">
        <f>IF(verze!$E$1="CZK",AD4641,IF(verze!$E$1="SK",AE4641,""))</f>
        <v>10.171519999999999</v>
      </c>
    </row>
    <row r="4642" spans="27:32" ht="15">
      <c r="AA4642" s="463" t="s">
        <v>14939</v>
      </c>
      <c r="AB4642" s="462" t="s">
        <v>14940</v>
      </c>
      <c r="AC4642" s="462" t="s">
        <v>14941</v>
      </c>
      <c r="AD4642" s="464">
        <v>219.88341</v>
      </c>
      <c r="AE4642" s="465">
        <v>10.348739999999999</v>
      </c>
      <c r="AF4642" s="86">
        <f>IF(verze!$E$1="CZK",AD4642,IF(verze!$E$1="SK",AE4642,""))</f>
        <v>10.348739999999999</v>
      </c>
    </row>
    <row r="4643" spans="27:32" ht="15">
      <c r="AA4643" s="463" t="s">
        <v>1320</v>
      </c>
      <c r="AB4643" s="462" t="s">
        <v>14942</v>
      </c>
      <c r="AC4643" s="462" t="s">
        <v>14943</v>
      </c>
      <c r="AD4643" s="464">
        <v>219.88341</v>
      </c>
      <c r="AE4643" s="465">
        <v>10.348739999999999</v>
      </c>
      <c r="AF4643" s="86">
        <f>IF(verze!$E$1="CZK",AD4643,IF(verze!$E$1="SK",AE4643,""))</f>
        <v>10.348739999999999</v>
      </c>
    </row>
    <row r="4644" spans="27:32" ht="15">
      <c r="AA4644" s="463" t="s">
        <v>14944</v>
      </c>
      <c r="AB4644" s="462" t="s">
        <v>14945</v>
      </c>
      <c r="AC4644" s="462" t="s">
        <v>14946</v>
      </c>
      <c r="AD4644" s="464">
        <v>219.88341</v>
      </c>
      <c r="AE4644" s="465">
        <v>10.348739999999999</v>
      </c>
      <c r="AF4644" s="86">
        <f>IF(verze!$E$1="CZK",AD4644,IF(verze!$E$1="SK",AE4644,""))</f>
        <v>10.348739999999999</v>
      </c>
    </row>
    <row r="4645" spans="27:32" ht="15">
      <c r="AA4645" s="463" t="s">
        <v>1320</v>
      </c>
      <c r="AB4645" s="462" t="s">
        <v>14947</v>
      </c>
      <c r="AC4645" s="462" t="s">
        <v>14948</v>
      </c>
      <c r="AD4645" s="464">
        <v>219.88341</v>
      </c>
      <c r="AE4645" s="465">
        <v>10.348739999999999</v>
      </c>
      <c r="AF4645" s="86">
        <f>IF(verze!$E$1="CZK",AD4645,IF(verze!$E$1="SK",AE4645,""))</f>
        <v>10.348739999999999</v>
      </c>
    </row>
    <row r="4646" spans="27:32" ht="15">
      <c r="AA4646" s="463" t="s">
        <v>14949</v>
      </c>
      <c r="AB4646" s="462" t="s">
        <v>14950</v>
      </c>
      <c r="AC4646" s="462" t="s">
        <v>14951</v>
      </c>
      <c r="AD4646" s="464">
        <v>229.76492999999999</v>
      </c>
      <c r="AE4646" s="465">
        <v>11.052530000000001</v>
      </c>
      <c r="AF4646" s="86">
        <f>IF(verze!$E$1="CZK",AD4646,IF(verze!$E$1="SK",AE4646,""))</f>
        <v>11.052530000000001</v>
      </c>
    </row>
    <row r="4647" spans="27:32" ht="15">
      <c r="AA4647" s="463" t="s">
        <v>14952</v>
      </c>
      <c r="AB4647" s="462" t="s">
        <v>14953</v>
      </c>
      <c r="AC4647" s="462" t="s">
        <v>14954</v>
      </c>
      <c r="AD4647" s="464">
        <v>229.76492999999999</v>
      </c>
      <c r="AE4647" s="465">
        <v>11.052530000000001</v>
      </c>
      <c r="AF4647" s="86">
        <f>IF(verze!$E$1="CZK",AD4647,IF(verze!$E$1="SK",AE4647,""))</f>
        <v>11.052530000000001</v>
      </c>
    </row>
    <row r="4648" spans="27:32" ht="15">
      <c r="AA4648" s="463" t="s">
        <v>14955</v>
      </c>
      <c r="AB4648" s="462" t="s">
        <v>14956</v>
      </c>
      <c r="AC4648" s="462" t="s">
        <v>14957</v>
      </c>
      <c r="AD4648" s="464">
        <v>235.60476</v>
      </c>
      <c r="AE4648" s="465">
        <v>11.33343</v>
      </c>
      <c r="AF4648" s="86">
        <f>IF(verze!$E$1="CZK",AD4648,IF(verze!$E$1="SK",AE4648,""))</f>
        <v>11.33343</v>
      </c>
    </row>
    <row r="4649" spans="27:32" ht="15">
      <c r="AA4649" s="463" t="s">
        <v>14958</v>
      </c>
      <c r="AB4649" s="462" t="s">
        <v>14959</v>
      </c>
      <c r="AC4649" s="462" t="s">
        <v>14960</v>
      </c>
      <c r="AD4649" s="464">
        <v>235.60476</v>
      </c>
      <c r="AE4649" s="465">
        <v>11.33343</v>
      </c>
      <c r="AF4649" s="86">
        <f>IF(verze!$E$1="CZK",AD4649,IF(verze!$E$1="SK",AE4649,""))</f>
        <v>11.33343</v>
      </c>
    </row>
    <row r="4650" spans="27:32" ht="15">
      <c r="AA4650" s="463" t="s">
        <v>14961</v>
      </c>
      <c r="AB4650" s="462" t="s">
        <v>14962</v>
      </c>
      <c r="AC4650" s="462" t="s">
        <v>14963</v>
      </c>
      <c r="AD4650" s="464">
        <v>243.54496</v>
      </c>
      <c r="AE4650" s="465">
        <v>11.715400000000001</v>
      </c>
      <c r="AF4650" s="86">
        <f>IF(verze!$E$1="CZK",AD4650,IF(verze!$E$1="SK",AE4650,""))</f>
        <v>11.715400000000001</v>
      </c>
    </row>
    <row r="4651" spans="27:32" ht="15">
      <c r="AA4651" s="463" t="s">
        <v>14964</v>
      </c>
      <c r="AB4651" s="462" t="s">
        <v>14965</v>
      </c>
      <c r="AC4651" s="462" t="s">
        <v>14966</v>
      </c>
      <c r="AD4651" s="464">
        <v>243.54496</v>
      </c>
      <c r="AE4651" s="465">
        <v>11.715400000000001</v>
      </c>
      <c r="AF4651" s="86">
        <f>IF(verze!$E$1="CZK",AD4651,IF(verze!$E$1="SK",AE4651,""))</f>
        <v>11.715400000000001</v>
      </c>
    </row>
    <row r="4652" spans="27:32" ht="15">
      <c r="AA4652" s="463" t="s">
        <v>14967</v>
      </c>
      <c r="AB4652" s="462" t="s">
        <v>14968</v>
      </c>
      <c r="AC4652" s="462" t="s">
        <v>14969</v>
      </c>
      <c r="AD4652" s="464">
        <v>268.07722999999999</v>
      </c>
      <c r="AE4652" s="465">
        <v>12.895490000000001</v>
      </c>
      <c r="AF4652" s="86">
        <f>IF(verze!$E$1="CZK",AD4652,IF(verze!$E$1="SK",AE4652,""))</f>
        <v>12.895490000000001</v>
      </c>
    </row>
    <row r="4653" spans="27:32" ht="15">
      <c r="AA4653" s="463" t="s">
        <v>14970</v>
      </c>
      <c r="AB4653" s="462" t="s">
        <v>14971</v>
      </c>
      <c r="AC4653" s="462" t="s">
        <v>14972</v>
      </c>
      <c r="AD4653" s="464">
        <v>268.07722999999999</v>
      </c>
      <c r="AE4653" s="465">
        <v>12.895490000000001</v>
      </c>
      <c r="AF4653" s="86">
        <f>IF(verze!$E$1="CZK",AD4653,IF(verze!$E$1="SK",AE4653,""))</f>
        <v>12.895490000000001</v>
      </c>
    </row>
    <row r="4654" spans="27:32" ht="15">
      <c r="AA4654" s="463" t="s">
        <v>14973</v>
      </c>
      <c r="AB4654" s="462" t="s">
        <v>14974</v>
      </c>
      <c r="AC4654" s="462" t="s">
        <v>14975</v>
      </c>
      <c r="AD4654" s="464">
        <v>273.01260000000002</v>
      </c>
      <c r="AE4654" s="465">
        <v>13.132899999999999</v>
      </c>
      <c r="AF4654" s="86">
        <f>IF(verze!$E$1="CZK",AD4654,IF(verze!$E$1="SK",AE4654,""))</f>
        <v>13.132899999999999</v>
      </c>
    </row>
    <row r="4655" spans="27:32" ht="15">
      <c r="AA4655" s="463" t="s">
        <v>14976</v>
      </c>
      <c r="AB4655" s="462" t="s">
        <v>14977</v>
      </c>
      <c r="AC4655" s="462" t="s">
        <v>14978</v>
      </c>
      <c r="AD4655" s="464">
        <v>273.01260000000002</v>
      </c>
      <c r="AE4655" s="465">
        <v>13.132899999999999</v>
      </c>
      <c r="AF4655" s="86">
        <f>IF(verze!$E$1="CZK",AD4655,IF(verze!$E$1="SK",AE4655,""))</f>
        <v>13.132899999999999</v>
      </c>
    </row>
    <row r="4656" spans="27:32" ht="15">
      <c r="AA4656" s="463" t="s">
        <v>14979</v>
      </c>
      <c r="AB4656" s="462" t="s">
        <v>14980</v>
      </c>
      <c r="AC4656" s="462" t="s">
        <v>14981</v>
      </c>
      <c r="AD4656" s="464">
        <v>277.95048000000003</v>
      </c>
      <c r="AE4656" s="465">
        <v>13.370430000000001</v>
      </c>
      <c r="AF4656" s="86">
        <f>IF(verze!$E$1="CZK",AD4656,IF(verze!$E$1="SK",AE4656,""))</f>
        <v>13.370430000000001</v>
      </c>
    </row>
    <row r="4657" spans="27:32" ht="15">
      <c r="AA4657" s="463" t="s">
        <v>14982</v>
      </c>
      <c r="AB4657" s="462" t="s">
        <v>14983</v>
      </c>
      <c r="AC4657" s="462" t="s">
        <v>14984</v>
      </c>
      <c r="AD4657" s="464">
        <v>277.95048000000003</v>
      </c>
      <c r="AE4657" s="465">
        <v>13.370430000000001</v>
      </c>
      <c r="AF4657" s="86">
        <f>IF(verze!$E$1="CZK",AD4657,IF(verze!$E$1="SK",AE4657,""))</f>
        <v>13.370430000000001</v>
      </c>
    </row>
    <row r="4658" spans="27:32" ht="15">
      <c r="AA4658" s="463" t="s">
        <v>14985</v>
      </c>
      <c r="AB4658" s="462" t="s">
        <v>14986</v>
      </c>
      <c r="AC4658" s="462" t="s">
        <v>14987</v>
      </c>
      <c r="AD4658" s="464">
        <v>282.88328000000001</v>
      </c>
      <c r="AE4658" s="465">
        <v>13.60773</v>
      </c>
      <c r="AF4658" s="86">
        <f>IF(verze!$E$1="CZK",AD4658,IF(verze!$E$1="SK",AE4658,""))</f>
        <v>13.60773</v>
      </c>
    </row>
    <row r="4659" spans="27:32" ht="15">
      <c r="AA4659" s="463" t="s">
        <v>14988</v>
      </c>
      <c r="AB4659" s="462" t="s">
        <v>14989</v>
      </c>
      <c r="AC4659" s="462" t="s">
        <v>14990</v>
      </c>
      <c r="AD4659" s="464">
        <v>282.88328000000001</v>
      </c>
      <c r="AE4659" s="465">
        <v>13.60773</v>
      </c>
      <c r="AF4659" s="86">
        <f>IF(verze!$E$1="CZK",AD4659,IF(verze!$E$1="SK",AE4659,""))</f>
        <v>13.60773</v>
      </c>
    </row>
    <row r="4660" spans="27:32" ht="15">
      <c r="AA4660" s="463" t="s">
        <v>14991</v>
      </c>
      <c r="AB4660" s="462" t="s">
        <v>14992</v>
      </c>
      <c r="AC4660" s="462" t="s">
        <v>14993</v>
      </c>
      <c r="AD4660" s="464">
        <v>280.16149000000001</v>
      </c>
      <c r="AE4660" s="465">
        <v>13.185700000000001</v>
      </c>
      <c r="AF4660" s="86">
        <f>IF(verze!$E$1="CZK",AD4660,IF(verze!$E$1="SK",AE4660,""))</f>
        <v>13.185700000000001</v>
      </c>
    </row>
    <row r="4661" spans="27:32" ht="15">
      <c r="AA4661" s="463" t="s">
        <v>14994</v>
      </c>
      <c r="AB4661" s="462" t="s">
        <v>14995</v>
      </c>
      <c r="AC4661" s="462" t="s">
        <v>14996</v>
      </c>
      <c r="AD4661" s="464">
        <v>280.16149000000001</v>
      </c>
      <c r="AE4661" s="465">
        <v>13.185700000000001</v>
      </c>
      <c r="AF4661" s="86">
        <f>IF(verze!$E$1="CZK",AD4661,IF(verze!$E$1="SK",AE4661,""))</f>
        <v>13.185700000000001</v>
      </c>
    </row>
    <row r="4662" spans="27:32" ht="15">
      <c r="AA4662" s="463" t="s">
        <v>14997</v>
      </c>
      <c r="AB4662" s="462" t="s">
        <v>14998</v>
      </c>
      <c r="AC4662" s="462" t="s">
        <v>14999</v>
      </c>
      <c r="AD4662" s="464">
        <v>292.74898000000002</v>
      </c>
      <c r="AE4662" s="465">
        <v>14.08229</v>
      </c>
      <c r="AF4662" s="86">
        <f>IF(verze!$E$1="CZK",AD4662,IF(verze!$E$1="SK",AE4662,""))</f>
        <v>14.08229</v>
      </c>
    </row>
    <row r="4663" spans="27:32" ht="15">
      <c r="AA4663" s="463" t="s">
        <v>15000</v>
      </c>
      <c r="AB4663" s="462" t="s">
        <v>15001</v>
      </c>
      <c r="AC4663" s="462" t="s">
        <v>15002</v>
      </c>
      <c r="AD4663" s="464">
        <v>292.74898000000002</v>
      </c>
      <c r="AE4663" s="465">
        <v>14.08229</v>
      </c>
      <c r="AF4663" s="86">
        <f>IF(verze!$E$1="CZK",AD4663,IF(verze!$E$1="SK",AE4663,""))</f>
        <v>14.08229</v>
      </c>
    </row>
    <row r="4664" spans="27:32" ht="15">
      <c r="AA4664" s="463" t="s">
        <v>15003</v>
      </c>
      <c r="AB4664" s="462" t="s">
        <v>15004</v>
      </c>
      <c r="AC4664" s="462" t="s">
        <v>15005</v>
      </c>
      <c r="AD4664" s="464">
        <v>300.18995999999999</v>
      </c>
      <c r="AE4664" s="465">
        <v>14.44021</v>
      </c>
      <c r="AF4664" s="86">
        <f>IF(verze!$E$1="CZK",AD4664,IF(verze!$E$1="SK",AE4664,""))</f>
        <v>14.44021</v>
      </c>
    </row>
    <row r="4665" spans="27:32" ht="15">
      <c r="AA4665" s="463" t="s">
        <v>15006</v>
      </c>
      <c r="AB4665" s="462" t="s">
        <v>15007</v>
      </c>
      <c r="AC4665" s="462" t="s">
        <v>15008</v>
      </c>
      <c r="AD4665" s="464">
        <v>300.18995999999999</v>
      </c>
      <c r="AE4665" s="465">
        <v>14.44021</v>
      </c>
      <c r="AF4665" s="86">
        <f>IF(verze!$E$1="CZK",AD4665,IF(verze!$E$1="SK",AE4665,""))</f>
        <v>14.44021</v>
      </c>
    </row>
    <row r="4666" spans="27:32" ht="15">
      <c r="AA4666" s="463" t="s">
        <v>15009</v>
      </c>
      <c r="AB4666" s="462" t="s">
        <v>15010</v>
      </c>
      <c r="AC4666" s="462" t="s">
        <v>15011</v>
      </c>
      <c r="AD4666" s="464">
        <v>308.13261999999997</v>
      </c>
      <c r="AE4666" s="465">
        <v>14.822279999999999</v>
      </c>
      <c r="AF4666" s="86">
        <f>IF(verze!$E$1="CZK",AD4666,IF(verze!$E$1="SK",AE4666,""))</f>
        <v>14.822279999999999</v>
      </c>
    </row>
    <row r="4667" spans="27:32" ht="15">
      <c r="AA4667" s="463" t="s">
        <v>15012</v>
      </c>
      <c r="AB4667" s="462" t="s">
        <v>15013</v>
      </c>
      <c r="AC4667" s="462" t="s">
        <v>15014</v>
      </c>
      <c r="AD4667" s="464">
        <v>308.13261999999997</v>
      </c>
      <c r="AE4667" s="465">
        <v>14.822279999999999</v>
      </c>
      <c r="AF4667" s="86">
        <f>IF(verze!$E$1="CZK",AD4667,IF(verze!$E$1="SK",AE4667,""))</f>
        <v>14.822279999999999</v>
      </c>
    </row>
    <row r="4668" spans="27:32" ht="15">
      <c r="AA4668" s="463" t="s">
        <v>15015</v>
      </c>
      <c r="AB4668" s="462" t="s">
        <v>15016</v>
      </c>
      <c r="AC4668" s="462" t="s">
        <v>15017</v>
      </c>
      <c r="AD4668" s="464">
        <v>343.85318000000001</v>
      </c>
      <c r="AE4668" s="465">
        <v>16.540590000000002</v>
      </c>
      <c r="AF4668" s="86">
        <f>IF(verze!$E$1="CZK",AD4668,IF(verze!$E$1="SK",AE4668,""))</f>
        <v>16.540590000000002</v>
      </c>
    </row>
    <row r="4669" spans="27:32" ht="15">
      <c r="AA4669" s="463" t="s">
        <v>15018</v>
      </c>
      <c r="AB4669" s="462" t="s">
        <v>15019</v>
      </c>
      <c r="AC4669" s="462" t="s">
        <v>15020</v>
      </c>
      <c r="AD4669" s="464">
        <v>343.85318000000001</v>
      </c>
      <c r="AE4669" s="465">
        <v>16.540590000000002</v>
      </c>
      <c r="AF4669" s="86">
        <f>IF(verze!$E$1="CZK",AD4669,IF(verze!$E$1="SK",AE4669,""))</f>
        <v>16.540590000000002</v>
      </c>
    </row>
    <row r="4670" spans="27:32" ht="15">
      <c r="AA4670" s="463" t="s">
        <v>15021</v>
      </c>
      <c r="AB4670" s="462" t="s">
        <v>15022</v>
      </c>
      <c r="AC4670" s="462" t="s">
        <v>15023</v>
      </c>
      <c r="AD4670" s="464">
        <v>347.69150999999999</v>
      </c>
      <c r="AE4670" s="465">
        <v>16.72522</v>
      </c>
      <c r="AF4670" s="86">
        <f>IF(verze!$E$1="CZK",AD4670,IF(verze!$E$1="SK",AE4670,""))</f>
        <v>16.72522</v>
      </c>
    </row>
    <row r="4671" spans="27:32" ht="15">
      <c r="AA4671" s="463" t="s">
        <v>15024</v>
      </c>
      <c r="AB4671" s="462" t="s">
        <v>15025</v>
      </c>
      <c r="AC4671" s="462" t="s">
        <v>15026</v>
      </c>
      <c r="AD4671" s="464">
        <v>347.69150999999999</v>
      </c>
      <c r="AE4671" s="465">
        <v>16.72522</v>
      </c>
      <c r="AF4671" s="86">
        <f>IF(verze!$E$1="CZK",AD4671,IF(verze!$E$1="SK",AE4671,""))</f>
        <v>16.72522</v>
      </c>
    </row>
    <row r="4672" spans="27:32" ht="15">
      <c r="AA4672" s="463" t="s">
        <v>15027</v>
      </c>
      <c r="AB4672" s="462" t="s">
        <v>15028</v>
      </c>
      <c r="AC4672" s="462" t="s">
        <v>15029</v>
      </c>
      <c r="AD4672" s="464">
        <v>354.09370999999999</v>
      </c>
      <c r="AE4672" s="465">
        <v>17.033180000000002</v>
      </c>
      <c r="AF4672" s="86">
        <f>IF(verze!$E$1="CZK",AD4672,IF(verze!$E$1="SK",AE4672,""))</f>
        <v>17.033180000000002</v>
      </c>
    </row>
    <row r="4673" spans="27:32" ht="15">
      <c r="AA4673" s="463" t="s">
        <v>15030</v>
      </c>
      <c r="AB4673" s="462" t="s">
        <v>15031</v>
      </c>
      <c r="AC4673" s="462" t="s">
        <v>15032</v>
      </c>
      <c r="AD4673" s="464">
        <v>354.09370999999999</v>
      </c>
      <c r="AE4673" s="465">
        <v>17.033180000000002</v>
      </c>
      <c r="AF4673" s="86">
        <f>IF(verze!$E$1="CZK",AD4673,IF(verze!$E$1="SK",AE4673,""))</f>
        <v>17.033180000000002</v>
      </c>
    </row>
    <row r="4674" spans="27:32" ht="15">
      <c r="AA4674" s="463" t="s">
        <v>15033</v>
      </c>
      <c r="AB4674" s="462" t="s">
        <v>15034</v>
      </c>
      <c r="AC4674" s="462" t="s">
        <v>15035</v>
      </c>
      <c r="AD4674" s="464">
        <v>360.48838000000001</v>
      </c>
      <c r="AE4674" s="465">
        <v>17.340789999999998</v>
      </c>
      <c r="AF4674" s="86">
        <f>IF(verze!$E$1="CZK",AD4674,IF(verze!$E$1="SK",AE4674,""))</f>
        <v>17.340789999999998</v>
      </c>
    </row>
    <row r="4675" spans="27:32" ht="15">
      <c r="AA4675" s="463" t="s">
        <v>15036</v>
      </c>
      <c r="AB4675" s="462" t="s">
        <v>15037</v>
      </c>
      <c r="AC4675" s="462" t="s">
        <v>15038</v>
      </c>
      <c r="AD4675" s="464">
        <v>360.48838000000001</v>
      </c>
      <c r="AE4675" s="465">
        <v>17.340789999999998</v>
      </c>
      <c r="AF4675" s="86">
        <f>IF(verze!$E$1="CZK",AD4675,IF(verze!$E$1="SK",AE4675,""))</f>
        <v>17.340789999999998</v>
      </c>
    </row>
    <row r="4676" spans="27:32" ht="15">
      <c r="AA4676" s="463" t="s">
        <v>15039</v>
      </c>
      <c r="AB4676" s="462" t="s">
        <v>15040</v>
      </c>
      <c r="AC4676" s="462" t="s">
        <v>15041</v>
      </c>
      <c r="AD4676" s="464">
        <v>366.89069999999998</v>
      </c>
      <c r="AE4676" s="465">
        <v>17.648779999999999</v>
      </c>
      <c r="AF4676" s="86">
        <f>IF(verze!$E$1="CZK",AD4676,IF(verze!$E$1="SK",AE4676,""))</f>
        <v>17.648779999999999</v>
      </c>
    </row>
    <row r="4677" spans="27:32" ht="15">
      <c r="AA4677" s="463" t="s">
        <v>1320</v>
      </c>
      <c r="AB4677" s="462" t="s">
        <v>15042</v>
      </c>
      <c r="AC4677" s="462" t="s">
        <v>15043</v>
      </c>
      <c r="AD4677" s="464">
        <v>357.13297</v>
      </c>
      <c r="AE4677" s="465">
        <v>16.80836</v>
      </c>
      <c r="AF4677" s="86">
        <f>IF(verze!$E$1="CZK",AD4677,IF(verze!$E$1="SK",AE4677,""))</f>
        <v>16.80836</v>
      </c>
    </row>
    <row r="4678" spans="27:32" ht="15">
      <c r="AA4678" s="463" t="s">
        <v>15044</v>
      </c>
      <c r="AB4678" s="462" t="s">
        <v>15045</v>
      </c>
      <c r="AC4678" s="462" t="s">
        <v>15046</v>
      </c>
      <c r="AD4678" s="464">
        <v>366.89069999999998</v>
      </c>
      <c r="AE4678" s="465">
        <v>17.648779999999999</v>
      </c>
      <c r="AF4678" s="86">
        <f>IF(verze!$E$1="CZK",AD4678,IF(verze!$E$1="SK",AE4678,""))</f>
        <v>17.648779999999999</v>
      </c>
    </row>
    <row r="4679" spans="27:32" ht="15">
      <c r="AA4679" s="463" t="s">
        <v>1320</v>
      </c>
      <c r="AB4679" s="462" t="s">
        <v>15047</v>
      </c>
      <c r="AC4679" s="462" t="s">
        <v>15048</v>
      </c>
      <c r="AD4679" s="464">
        <v>357.13297</v>
      </c>
      <c r="AE4679" s="465">
        <v>16.80836</v>
      </c>
      <c r="AF4679" s="86">
        <f>IF(verze!$E$1="CZK",AD4679,IF(verze!$E$1="SK",AE4679,""))</f>
        <v>16.80836</v>
      </c>
    </row>
    <row r="4680" spans="27:32" ht="15">
      <c r="AA4680" s="463" t="s">
        <v>15049</v>
      </c>
      <c r="AB4680" s="462" t="s">
        <v>15050</v>
      </c>
      <c r="AC4680" s="462" t="s">
        <v>15051</v>
      </c>
      <c r="AD4680" s="464">
        <v>363.36250999999999</v>
      </c>
      <c r="AE4680" s="465">
        <v>17.10154</v>
      </c>
      <c r="AF4680" s="86">
        <f>IF(verze!$E$1="CZK",AD4680,IF(verze!$E$1="SK",AE4680,""))</f>
        <v>17.10154</v>
      </c>
    </row>
    <row r="4681" spans="27:32" ht="15">
      <c r="AA4681" s="463" t="s">
        <v>15049</v>
      </c>
      <c r="AB4681" s="462" t="s">
        <v>15052</v>
      </c>
      <c r="AC4681" s="462" t="s">
        <v>15053</v>
      </c>
      <c r="AD4681" s="464">
        <v>339.22372999999999</v>
      </c>
      <c r="AE4681" s="465">
        <v>15.96546</v>
      </c>
      <c r="AF4681" s="86">
        <f>IF(verze!$E$1="CZK",AD4681,IF(verze!$E$1="SK",AE4681,""))</f>
        <v>15.96546</v>
      </c>
    </row>
    <row r="4682" spans="27:32" ht="15">
      <c r="AA4682" s="463" t="s">
        <v>1320</v>
      </c>
      <c r="AB4682" s="462" t="s">
        <v>15054</v>
      </c>
      <c r="AC4682" s="462" t="s">
        <v>15055</v>
      </c>
      <c r="AD4682" s="464">
        <v>363.36250999999999</v>
      </c>
      <c r="AE4682" s="465">
        <v>17.10154</v>
      </c>
      <c r="AF4682" s="86">
        <f>IF(verze!$E$1="CZK",AD4682,IF(verze!$E$1="SK",AE4682,""))</f>
        <v>17.10154</v>
      </c>
    </row>
    <row r="4683" spans="27:32" ht="15">
      <c r="AA4683" s="463" t="s">
        <v>15056</v>
      </c>
      <c r="AB4683" s="462" t="s">
        <v>15057</v>
      </c>
      <c r="AC4683" s="462" t="s">
        <v>15058</v>
      </c>
      <c r="AD4683" s="464">
        <v>363.36250999999999</v>
      </c>
      <c r="AE4683" s="465">
        <v>17.10154</v>
      </c>
      <c r="AF4683" s="86">
        <f>IF(verze!$E$1="CZK",AD4683,IF(verze!$E$1="SK",AE4683,""))</f>
        <v>17.10154</v>
      </c>
    </row>
    <row r="4684" spans="27:32" ht="15">
      <c r="AA4684" s="463" t="s">
        <v>15056</v>
      </c>
      <c r="AB4684" s="462" t="s">
        <v>15059</v>
      </c>
      <c r="AC4684" s="462" t="s">
        <v>15060</v>
      </c>
      <c r="AD4684" s="464">
        <v>339.22372999999999</v>
      </c>
      <c r="AE4684" s="465">
        <v>15.96546</v>
      </c>
      <c r="AF4684" s="86">
        <f>IF(verze!$E$1="CZK",AD4684,IF(verze!$E$1="SK",AE4684,""))</f>
        <v>15.96546</v>
      </c>
    </row>
    <row r="4685" spans="27:32" ht="15">
      <c r="AA4685" s="463" t="s">
        <v>1320</v>
      </c>
      <c r="AB4685" s="462" t="s">
        <v>15061</v>
      </c>
      <c r="AC4685" s="462" t="s">
        <v>15062</v>
      </c>
      <c r="AD4685" s="464">
        <v>363.36250999999999</v>
      </c>
      <c r="AE4685" s="465">
        <v>17.10154</v>
      </c>
      <c r="AF4685" s="86">
        <f>IF(verze!$E$1="CZK",AD4685,IF(verze!$E$1="SK",AE4685,""))</f>
        <v>17.10154</v>
      </c>
    </row>
    <row r="4686" spans="27:32" ht="15">
      <c r="AA4686" s="463" t="s">
        <v>15063</v>
      </c>
      <c r="AB4686" s="462" t="s">
        <v>15064</v>
      </c>
      <c r="AC4686" s="462" t="s">
        <v>15065</v>
      </c>
      <c r="AD4686" s="464">
        <v>379.68511999999998</v>
      </c>
      <c r="AE4686" s="465">
        <v>18.264230000000001</v>
      </c>
      <c r="AF4686" s="86">
        <f>IF(verze!$E$1="CZK",AD4686,IF(verze!$E$1="SK",AE4686,""))</f>
        <v>18.264230000000001</v>
      </c>
    </row>
    <row r="4687" spans="27:32" ht="15">
      <c r="AA4687" s="463" t="s">
        <v>15066</v>
      </c>
      <c r="AB4687" s="462" t="s">
        <v>15067</v>
      </c>
      <c r="AC4687" s="462" t="s">
        <v>15068</v>
      </c>
      <c r="AD4687" s="464">
        <v>379.68511999999998</v>
      </c>
      <c r="AE4687" s="465">
        <v>18.264230000000001</v>
      </c>
      <c r="AF4687" s="86">
        <f>IF(verze!$E$1="CZK",AD4687,IF(verze!$E$1="SK",AE4687,""))</f>
        <v>18.264230000000001</v>
      </c>
    </row>
    <row r="4688" spans="27:32" ht="15">
      <c r="AA4688" s="463" t="s">
        <v>15069</v>
      </c>
      <c r="AB4688" s="462" t="s">
        <v>15070</v>
      </c>
      <c r="AC4688" s="462" t="s">
        <v>15071</v>
      </c>
      <c r="AD4688" s="464">
        <v>389.34050000000002</v>
      </c>
      <c r="AE4688" s="465">
        <v>18.728680000000001</v>
      </c>
      <c r="AF4688" s="86">
        <f>IF(verze!$E$1="CZK",AD4688,IF(verze!$E$1="SK",AE4688,""))</f>
        <v>18.728680000000001</v>
      </c>
    </row>
    <row r="4689" spans="27:32" ht="15">
      <c r="AA4689" s="463" t="s">
        <v>15072</v>
      </c>
      <c r="AB4689" s="462" t="s">
        <v>15073</v>
      </c>
      <c r="AC4689" s="462" t="s">
        <v>15074</v>
      </c>
      <c r="AD4689" s="464">
        <v>389.34050000000002</v>
      </c>
      <c r="AE4689" s="465">
        <v>18.728680000000001</v>
      </c>
      <c r="AF4689" s="86">
        <f>IF(verze!$E$1="CZK",AD4689,IF(verze!$E$1="SK",AE4689,""))</f>
        <v>18.728680000000001</v>
      </c>
    </row>
    <row r="4690" spans="27:32" ht="15">
      <c r="AA4690" s="463" t="s">
        <v>15075</v>
      </c>
      <c r="AB4690" s="462" t="s">
        <v>15076</v>
      </c>
      <c r="AC4690" s="462" t="s">
        <v>15077</v>
      </c>
      <c r="AD4690" s="464">
        <v>402.46422999999999</v>
      </c>
      <c r="AE4690" s="465">
        <v>19.35998</v>
      </c>
      <c r="AF4690" s="86">
        <f>IF(verze!$E$1="CZK",AD4690,IF(verze!$E$1="SK",AE4690,""))</f>
        <v>19.35998</v>
      </c>
    </row>
    <row r="4691" spans="27:32" ht="15">
      <c r="AA4691" s="463" t="s">
        <v>15078</v>
      </c>
      <c r="AB4691" s="462" t="s">
        <v>15079</v>
      </c>
      <c r="AC4691" s="462" t="s">
        <v>15080</v>
      </c>
      <c r="AD4691" s="464">
        <v>402.46422999999999</v>
      </c>
      <c r="AE4691" s="465">
        <v>19.35998</v>
      </c>
      <c r="AF4691" s="86">
        <f>IF(verze!$E$1="CZK",AD4691,IF(verze!$E$1="SK",AE4691,""))</f>
        <v>19.35998</v>
      </c>
    </row>
    <row r="4692" spans="27:32" ht="15">
      <c r="AA4692" s="463" t="s">
        <v>15081</v>
      </c>
      <c r="AB4692" s="462" t="s">
        <v>15082</v>
      </c>
      <c r="AC4692" s="462" t="s">
        <v>15083</v>
      </c>
      <c r="AD4692" s="464">
        <v>557.43890999999996</v>
      </c>
      <c r="AE4692" s="465">
        <v>26.814820000000001</v>
      </c>
      <c r="AF4692" s="86">
        <f>IF(verze!$E$1="CZK",AD4692,IF(verze!$E$1="SK",AE4692,""))</f>
        <v>26.814820000000001</v>
      </c>
    </row>
    <row r="4693" spans="27:32" ht="15">
      <c r="AA4693" s="463" t="s">
        <v>15084</v>
      </c>
      <c r="AB4693" s="462" t="s">
        <v>15085</v>
      </c>
      <c r="AC4693" s="462" t="s">
        <v>15086</v>
      </c>
      <c r="AD4693" s="464">
        <v>557.43890999999996</v>
      </c>
      <c r="AE4693" s="465">
        <v>26.814820000000001</v>
      </c>
      <c r="AF4693" s="86">
        <f>IF(verze!$E$1="CZK",AD4693,IF(verze!$E$1="SK",AE4693,""))</f>
        <v>26.814820000000001</v>
      </c>
    </row>
    <row r="4694" spans="27:32" ht="15">
      <c r="AA4694" s="463" t="s">
        <v>15087</v>
      </c>
      <c r="AB4694" s="462" t="s">
        <v>15088</v>
      </c>
      <c r="AC4694" s="462" t="s">
        <v>15089</v>
      </c>
      <c r="AD4694" s="464">
        <v>567.51482999999996</v>
      </c>
      <c r="AE4694" s="465">
        <v>27.299520000000001</v>
      </c>
      <c r="AF4694" s="86">
        <f>IF(verze!$E$1="CZK",AD4694,IF(verze!$E$1="SK",AE4694,""))</f>
        <v>27.299520000000001</v>
      </c>
    </row>
    <row r="4695" spans="27:32" ht="15">
      <c r="AA4695" s="463" t="s">
        <v>15090</v>
      </c>
      <c r="AB4695" s="462" t="s">
        <v>15091</v>
      </c>
      <c r="AC4695" s="462" t="s">
        <v>15092</v>
      </c>
      <c r="AD4695" s="464">
        <v>567.51482999999996</v>
      </c>
      <c r="AE4695" s="465">
        <v>27.299520000000001</v>
      </c>
      <c r="AF4695" s="86">
        <f>IF(verze!$E$1="CZK",AD4695,IF(verze!$E$1="SK",AE4695,""))</f>
        <v>27.299520000000001</v>
      </c>
    </row>
    <row r="4696" spans="27:32" ht="15">
      <c r="AA4696" s="463" t="s">
        <v>15093</v>
      </c>
      <c r="AB4696" s="462" t="s">
        <v>15094</v>
      </c>
      <c r="AC4696" s="462" t="s">
        <v>15095</v>
      </c>
      <c r="AD4696" s="464">
        <v>577.59074999999996</v>
      </c>
      <c r="AE4696" s="465">
        <v>27.784199999999998</v>
      </c>
      <c r="AF4696" s="86">
        <f>IF(verze!$E$1="CZK",AD4696,IF(verze!$E$1="SK",AE4696,""))</f>
        <v>27.784199999999998</v>
      </c>
    </row>
    <row r="4697" spans="27:32" ht="15">
      <c r="AA4697" s="463" t="s">
        <v>15096</v>
      </c>
      <c r="AB4697" s="462" t="s">
        <v>15097</v>
      </c>
      <c r="AC4697" s="462" t="s">
        <v>15098</v>
      </c>
      <c r="AD4697" s="464">
        <v>577.59074999999996</v>
      </c>
      <c r="AE4697" s="465">
        <v>27.784199999999998</v>
      </c>
      <c r="AF4697" s="86">
        <f>IF(verze!$E$1="CZK",AD4697,IF(verze!$E$1="SK",AE4697,""))</f>
        <v>27.784199999999998</v>
      </c>
    </row>
    <row r="4698" spans="27:32" ht="15">
      <c r="AA4698" s="463" t="s">
        <v>15099</v>
      </c>
      <c r="AB4698" s="462" t="s">
        <v>15100</v>
      </c>
      <c r="AC4698" s="462" t="s">
        <v>15101</v>
      </c>
      <c r="AD4698" s="464">
        <v>572.03471999999999</v>
      </c>
      <c r="AE4698" s="465">
        <v>26.922619999999998</v>
      </c>
      <c r="AF4698" s="86">
        <f>IF(verze!$E$1="CZK",AD4698,IF(verze!$E$1="SK",AE4698,""))</f>
        <v>26.922619999999998</v>
      </c>
    </row>
    <row r="4699" spans="27:32" ht="15">
      <c r="AA4699" s="463" t="s">
        <v>15102</v>
      </c>
      <c r="AB4699" s="462" t="s">
        <v>15103</v>
      </c>
      <c r="AC4699" s="462" t="s">
        <v>15104</v>
      </c>
      <c r="AD4699" s="464">
        <v>572.03471999999999</v>
      </c>
      <c r="AE4699" s="465">
        <v>26.922619999999998</v>
      </c>
      <c r="AF4699" s="86">
        <f>IF(verze!$E$1="CZK",AD4699,IF(verze!$E$1="SK",AE4699,""))</f>
        <v>26.922619999999998</v>
      </c>
    </row>
    <row r="4700" spans="27:32" ht="15">
      <c r="AA4700" s="463" t="s">
        <v>15105</v>
      </c>
      <c r="AB4700" s="462" t="s">
        <v>15106</v>
      </c>
      <c r="AC4700" s="462" t="s">
        <v>15107</v>
      </c>
      <c r="AD4700" s="464">
        <v>597.74</v>
      </c>
      <c r="AE4700" s="465">
        <v>28.753450000000001</v>
      </c>
      <c r="AF4700" s="86">
        <f>IF(verze!$E$1="CZK",AD4700,IF(verze!$E$1="SK",AE4700,""))</f>
        <v>28.753450000000001</v>
      </c>
    </row>
    <row r="4701" spans="27:32" ht="15">
      <c r="AA4701" s="463" t="s">
        <v>15108</v>
      </c>
      <c r="AB4701" s="462" t="s">
        <v>15109</v>
      </c>
      <c r="AC4701" s="462" t="s">
        <v>15110</v>
      </c>
      <c r="AD4701" s="464">
        <v>597.74</v>
      </c>
      <c r="AE4701" s="465">
        <v>28.753450000000001</v>
      </c>
      <c r="AF4701" s="86">
        <f>IF(verze!$E$1="CZK",AD4701,IF(verze!$E$1="SK",AE4701,""))</f>
        <v>28.753450000000001</v>
      </c>
    </row>
    <row r="4702" spans="27:32" ht="15">
      <c r="AA4702" s="463" t="s">
        <v>15111</v>
      </c>
      <c r="AB4702" s="462" t="s">
        <v>15112</v>
      </c>
      <c r="AC4702" s="462" t="s">
        <v>15113</v>
      </c>
      <c r="AD4702" s="464">
        <v>612.93876999999998</v>
      </c>
      <c r="AE4702" s="465">
        <v>29.484570000000001</v>
      </c>
      <c r="AF4702" s="86">
        <f>IF(verze!$E$1="CZK",AD4702,IF(verze!$E$1="SK",AE4702,""))</f>
        <v>29.484570000000001</v>
      </c>
    </row>
    <row r="4703" spans="27:32" ht="15">
      <c r="AA4703" s="463" t="s">
        <v>15114</v>
      </c>
      <c r="AB4703" s="462" t="s">
        <v>15115</v>
      </c>
      <c r="AC4703" s="462" t="s">
        <v>15116</v>
      </c>
      <c r="AD4703" s="464">
        <v>612.93876999999998</v>
      </c>
      <c r="AE4703" s="465">
        <v>29.484570000000001</v>
      </c>
      <c r="AF4703" s="86">
        <f>IF(verze!$E$1="CZK",AD4703,IF(verze!$E$1="SK",AE4703,""))</f>
        <v>29.484570000000001</v>
      </c>
    </row>
    <row r="4704" spans="27:32" ht="15">
      <c r="AA4704" s="463" t="s">
        <v>15117</v>
      </c>
      <c r="AB4704" s="462" t="s">
        <v>15118</v>
      </c>
      <c r="AC4704" s="462" t="s">
        <v>15119</v>
      </c>
      <c r="AD4704" s="464">
        <v>633.59735999999998</v>
      </c>
      <c r="AE4704" s="465">
        <v>30.47831</v>
      </c>
      <c r="AF4704" s="86">
        <f>IF(verze!$E$1="CZK",AD4704,IF(verze!$E$1="SK",AE4704,""))</f>
        <v>30.47831</v>
      </c>
    </row>
    <row r="4705" spans="27:32" ht="15">
      <c r="AA4705" s="463" t="s">
        <v>15120</v>
      </c>
      <c r="AB4705" s="462" t="s">
        <v>15121</v>
      </c>
      <c r="AC4705" s="462" t="s">
        <v>15122</v>
      </c>
      <c r="AD4705" s="464">
        <v>633.59735999999998</v>
      </c>
      <c r="AE4705" s="465">
        <v>30.47831</v>
      </c>
      <c r="AF4705" s="86">
        <f>IF(verze!$E$1="CZK",AD4705,IF(verze!$E$1="SK",AE4705,""))</f>
        <v>30.47831</v>
      </c>
    </row>
    <row r="4706" spans="27:32" ht="15">
      <c r="AA4706" s="463" t="s">
        <v>15123</v>
      </c>
      <c r="AB4706" s="462" t="s">
        <v>15124</v>
      </c>
      <c r="AC4706" s="462" t="s">
        <v>15125</v>
      </c>
      <c r="AD4706" s="464">
        <v>218.14608000000001</v>
      </c>
      <c r="AE4706" s="465">
        <v>10.49362</v>
      </c>
      <c r="AF4706" s="86">
        <f>IF(verze!$E$1="CZK",AD4706,IF(verze!$E$1="SK",AE4706,""))</f>
        <v>10.49362</v>
      </c>
    </row>
    <row r="4707" spans="27:32" ht="15">
      <c r="AA4707" s="463" t="s">
        <v>15126</v>
      </c>
      <c r="AB4707" s="462" t="s">
        <v>15127</v>
      </c>
      <c r="AC4707" s="462" t="s">
        <v>15128</v>
      </c>
      <c r="AD4707" s="464">
        <v>218.14608000000001</v>
      </c>
      <c r="AE4707" s="465">
        <v>10.49362</v>
      </c>
      <c r="AF4707" s="86">
        <f>IF(verze!$E$1="CZK",AD4707,IF(verze!$E$1="SK",AE4707,""))</f>
        <v>10.49362</v>
      </c>
    </row>
    <row r="4708" spans="27:32" ht="15">
      <c r="AA4708" s="463" t="s">
        <v>15129</v>
      </c>
      <c r="AB4708" s="462" t="s">
        <v>15130</v>
      </c>
      <c r="AC4708" s="462" t="s">
        <v>15131</v>
      </c>
      <c r="AD4708" s="464">
        <v>222.02244999999999</v>
      </c>
      <c r="AE4708" s="465">
        <v>10.680099999999999</v>
      </c>
      <c r="AF4708" s="86">
        <f>IF(verze!$E$1="CZK",AD4708,IF(verze!$E$1="SK",AE4708,""))</f>
        <v>10.680099999999999</v>
      </c>
    </row>
    <row r="4709" spans="27:32" ht="15">
      <c r="AA4709" s="463" t="s">
        <v>15132</v>
      </c>
      <c r="AB4709" s="462" t="s">
        <v>15133</v>
      </c>
      <c r="AC4709" s="462" t="s">
        <v>15134</v>
      </c>
      <c r="AD4709" s="464">
        <v>222.02244999999999</v>
      </c>
      <c r="AE4709" s="465">
        <v>10.680099999999999</v>
      </c>
      <c r="AF4709" s="86">
        <f>IF(verze!$E$1="CZK",AD4709,IF(verze!$E$1="SK",AE4709,""))</f>
        <v>10.680099999999999</v>
      </c>
    </row>
    <row r="4710" spans="27:32" ht="15">
      <c r="AA4710" s="463" t="s">
        <v>15135</v>
      </c>
      <c r="AB4710" s="462" t="s">
        <v>15136</v>
      </c>
      <c r="AC4710" s="462" t="s">
        <v>15137</v>
      </c>
      <c r="AD4710" s="464">
        <v>225.89116000000001</v>
      </c>
      <c r="AE4710" s="465">
        <v>10.86618</v>
      </c>
      <c r="AF4710" s="86">
        <f>IF(verze!$E$1="CZK",AD4710,IF(verze!$E$1="SK",AE4710,""))</f>
        <v>10.86618</v>
      </c>
    </row>
    <row r="4711" spans="27:32" ht="15">
      <c r="AA4711" s="463" t="s">
        <v>15138</v>
      </c>
      <c r="AB4711" s="462" t="s">
        <v>15139</v>
      </c>
      <c r="AC4711" s="462" t="s">
        <v>15140</v>
      </c>
      <c r="AD4711" s="464">
        <v>225.89116000000001</v>
      </c>
      <c r="AE4711" s="465">
        <v>10.86618</v>
      </c>
      <c r="AF4711" s="86">
        <f>IF(verze!$E$1="CZK",AD4711,IF(verze!$E$1="SK",AE4711,""))</f>
        <v>10.86618</v>
      </c>
    </row>
    <row r="4712" spans="27:32" ht="15">
      <c r="AA4712" s="463" t="s">
        <v>15141</v>
      </c>
      <c r="AB4712" s="462" t="s">
        <v>15142</v>
      </c>
      <c r="AC4712" s="462" t="s">
        <v>15143</v>
      </c>
      <c r="AD4712" s="464">
        <v>229.76492999999999</v>
      </c>
      <c r="AE4712" s="465">
        <v>11.052530000000001</v>
      </c>
      <c r="AF4712" s="86">
        <f>IF(verze!$E$1="CZK",AD4712,IF(verze!$E$1="SK",AE4712,""))</f>
        <v>11.052530000000001</v>
      </c>
    </row>
    <row r="4713" spans="27:32" ht="15">
      <c r="AA4713" s="463" t="s">
        <v>15144</v>
      </c>
      <c r="AB4713" s="462" t="s">
        <v>15145</v>
      </c>
      <c r="AC4713" s="462" t="s">
        <v>15146</v>
      </c>
      <c r="AD4713" s="464">
        <v>229.76492999999999</v>
      </c>
      <c r="AE4713" s="465">
        <v>11.052530000000001</v>
      </c>
      <c r="AF4713" s="86">
        <f>IF(verze!$E$1="CZK",AD4713,IF(verze!$E$1="SK",AE4713,""))</f>
        <v>11.052530000000001</v>
      </c>
    </row>
    <row r="4714" spans="27:32" ht="15">
      <c r="AA4714" s="463" t="s">
        <v>15147</v>
      </c>
      <c r="AB4714" s="462" t="s">
        <v>15148</v>
      </c>
      <c r="AC4714" s="462" t="s">
        <v>15149</v>
      </c>
      <c r="AD4714" s="464">
        <v>208.07782</v>
      </c>
      <c r="AE4714" s="465">
        <v>10.00929</v>
      </c>
      <c r="AF4714" s="86">
        <f>IF(verze!$E$1="CZK",AD4714,IF(verze!$E$1="SK",AE4714,""))</f>
        <v>10.00929</v>
      </c>
    </row>
    <row r="4715" spans="27:32" ht="15">
      <c r="AA4715" s="463" t="s">
        <v>15150</v>
      </c>
      <c r="AB4715" s="462" t="s">
        <v>15151</v>
      </c>
      <c r="AC4715" s="462" t="s">
        <v>15152</v>
      </c>
      <c r="AD4715" s="464">
        <v>208.07782</v>
      </c>
      <c r="AE4715" s="465">
        <v>10.00929</v>
      </c>
      <c r="AF4715" s="86">
        <f>IF(verze!$E$1="CZK",AD4715,IF(verze!$E$1="SK",AE4715,""))</f>
        <v>10.00929</v>
      </c>
    </row>
    <row r="4716" spans="27:32" ht="15">
      <c r="AA4716" s="463" t="s">
        <v>15153</v>
      </c>
      <c r="AB4716" s="462" t="s">
        <v>15154</v>
      </c>
      <c r="AC4716" s="462" t="s">
        <v>15155</v>
      </c>
      <c r="AD4716" s="464">
        <v>210.40101000000001</v>
      </c>
      <c r="AE4716" s="465">
        <v>10.12106</v>
      </c>
      <c r="AF4716" s="86">
        <f>IF(verze!$E$1="CZK",AD4716,IF(verze!$E$1="SK",AE4716,""))</f>
        <v>10.12106</v>
      </c>
    </row>
    <row r="4717" spans="27:32" ht="15">
      <c r="AA4717" s="463" t="s">
        <v>15156</v>
      </c>
      <c r="AB4717" s="462" t="s">
        <v>15157</v>
      </c>
      <c r="AC4717" s="462" t="s">
        <v>15158</v>
      </c>
      <c r="AD4717" s="464">
        <v>210.40101000000001</v>
      </c>
      <c r="AE4717" s="465">
        <v>10.12106</v>
      </c>
      <c r="AF4717" s="86">
        <f>IF(verze!$E$1="CZK",AD4717,IF(verze!$E$1="SK",AE4717,""))</f>
        <v>10.12106</v>
      </c>
    </row>
    <row r="4718" spans="27:32" ht="15">
      <c r="AA4718" s="463" t="s">
        <v>15159</v>
      </c>
      <c r="AB4718" s="462" t="s">
        <v>15160</v>
      </c>
      <c r="AC4718" s="462" t="s">
        <v>15161</v>
      </c>
      <c r="AD4718" s="464">
        <v>214.27737999999999</v>
      </c>
      <c r="AE4718" s="465">
        <v>10.307510000000001</v>
      </c>
      <c r="AF4718" s="86">
        <f>IF(verze!$E$1="CZK",AD4718,IF(verze!$E$1="SK",AE4718,""))</f>
        <v>10.307510000000001</v>
      </c>
    </row>
    <row r="4719" spans="27:32" ht="15">
      <c r="AA4719" s="463" t="s">
        <v>15162</v>
      </c>
      <c r="AB4719" s="462" t="s">
        <v>15163</v>
      </c>
      <c r="AC4719" s="462" t="s">
        <v>15164</v>
      </c>
      <c r="AD4719" s="464">
        <v>214.27737999999999</v>
      </c>
      <c r="AE4719" s="465">
        <v>10.307510000000001</v>
      </c>
      <c r="AF4719" s="86">
        <f>IF(verze!$E$1="CZK",AD4719,IF(verze!$E$1="SK",AE4719,""))</f>
        <v>10.307510000000001</v>
      </c>
    </row>
    <row r="4720" spans="27:32" ht="15">
      <c r="AA4720" s="463" t="s">
        <v>15165</v>
      </c>
      <c r="AB4720" s="462" t="s">
        <v>15166</v>
      </c>
      <c r="AC4720" s="462" t="s">
        <v>15167</v>
      </c>
      <c r="AD4720" s="464">
        <v>218.14608000000001</v>
      </c>
      <c r="AE4720" s="465">
        <v>10.49362</v>
      </c>
      <c r="AF4720" s="86">
        <f>IF(verze!$E$1="CZK",AD4720,IF(verze!$E$1="SK",AE4720,""))</f>
        <v>10.49362</v>
      </c>
    </row>
    <row r="4721" spans="27:32" ht="15">
      <c r="AA4721" s="463" t="s">
        <v>15168</v>
      </c>
      <c r="AB4721" s="462" t="s">
        <v>15169</v>
      </c>
      <c r="AC4721" s="462" t="s">
        <v>15170</v>
      </c>
      <c r="AD4721" s="464">
        <v>218.14608000000001</v>
      </c>
      <c r="AE4721" s="465">
        <v>10.49362</v>
      </c>
      <c r="AF4721" s="86">
        <f>IF(verze!$E$1="CZK",AD4721,IF(verze!$E$1="SK",AE4721,""))</f>
        <v>10.49362</v>
      </c>
    </row>
    <row r="4722" spans="27:32" ht="15">
      <c r="AA4722" s="463" t="s">
        <v>15171</v>
      </c>
      <c r="AB4722" s="462" t="s">
        <v>15172</v>
      </c>
      <c r="AC4722" s="462" t="s">
        <v>15173</v>
      </c>
      <c r="AD4722" s="464">
        <v>222.02244999999999</v>
      </c>
      <c r="AE4722" s="465">
        <v>10.680099999999999</v>
      </c>
      <c r="AF4722" s="86">
        <f>IF(verze!$E$1="CZK",AD4722,IF(verze!$E$1="SK",AE4722,""))</f>
        <v>10.680099999999999</v>
      </c>
    </row>
    <row r="4723" spans="27:32" ht="15">
      <c r="AA4723" s="463" t="s">
        <v>1320</v>
      </c>
      <c r="AB4723" s="462" t="s">
        <v>15174</v>
      </c>
      <c r="AC4723" s="462" t="s">
        <v>15175</v>
      </c>
      <c r="AD4723" s="464">
        <v>216.11760000000001</v>
      </c>
      <c r="AE4723" s="465">
        <v>10.171519999999999</v>
      </c>
      <c r="AF4723" s="86">
        <f>IF(verze!$E$1="CZK",AD4723,IF(verze!$E$1="SK",AE4723,""))</f>
        <v>10.171519999999999</v>
      </c>
    </row>
    <row r="4724" spans="27:32" ht="15">
      <c r="AA4724" s="463" t="s">
        <v>15176</v>
      </c>
      <c r="AB4724" s="462" t="s">
        <v>15177</v>
      </c>
      <c r="AC4724" s="462" t="s">
        <v>15178</v>
      </c>
      <c r="AD4724" s="464">
        <v>222.02244999999999</v>
      </c>
      <c r="AE4724" s="465">
        <v>10.680099999999999</v>
      </c>
      <c r="AF4724" s="86">
        <f>IF(verze!$E$1="CZK",AD4724,IF(verze!$E$1="SK",AE4724,""))</f>
        <v>10.680099999999999</v>
      </c>
    </row>
    <row r="4725" spans="27:32" ht="15">
      <c r="AA4725" s="463" t="s">
        <v>1320</v>
      </c>
      <c r="AB4725" s="462" t="s">
        <v>15179</v>
      </c>
      <c r="AC4725" s="462" t="s">
        <v>15180</v>
      </c>
      <c r="AD4725" s="464">
        <v>216.11760000000001</v>
      </c>
      <c r="AE4725" s="465">
        <v>10.171519999999999</v>
      </c>
      <c r="AF4725" s="86">
        <f>IF(verze!$E$1="CZK",AD4725,IF(verze!$E$1="SK",AE4725,""))</f>
        <v>10.171519999999999</v>
      </c>
    </row>
    <row r="4726" spans="27:32" ht="15">
      <c r="AA4726" s="463" t="s">
        <v>15181</v>
      </c>
      <c r="AB4726" s="462" t="s">
        <v>15182</v>
      </c>
      <c r="AC4726" s="462" t="s">
        <v>15183</v>
      </c>
      <c r="AD4726" s="464">
        <v>219.88341</v>
      </c>
      <c r="AE4726" s="465">
        <v>10.348739999999999</v>
      </c>
      <c r="AF4726" s="86">
        <f>IF(verze!$E$1="CZK",AD4726,IF(verze!$E$1="SK",AE4726,""))</f>
        <v>10.348739999999999</v>
      </c>
    </row>
    <row r="4727" spans="27:32" ht="15">
      <c r="AA4727" s="463" t="s">
        <v>15181</v>
      </c>
      <c r="AB4727" s="462" t="s">
        <v>15184</v>
      </c>
      <c r="AC4727" s="462" t="s">
        <v>15185</v>
      </c>
      <c r="AD4727" s="464">
        <v>219.88341</v>
      </c>
      <c r="AE4727" s="465">
        <v>10.348739999999999</v>
      </c>
      <c r="AF4727" s="86">
        <f>IF(verze!$E$1="CZK",AD4727,IF(verze!$E$1="SK",AE4727,""))</f>
        <v>10.348739999999999</v>
      </c>
    </row>
    <row r="4728" spans="27:32" ht="15">
      <c r="AA4728" s="463" t="s">
        <v>1320</v>
      </c>
      <c r="AB4728" s="462" t="s">
        <v>15186</v>
      </c>
      <c r="AC4728" s="462" t="s">
        <v>15187</v>
      </c>
      <c r="AD4728" s="464">
        <v>219.88341</v>
      </c>
      <c r="AE4728" s="465">
        <v>10.348739999999999</v>
      </c>
      <c r="AF4728" s="86">
        <f>IF(verze!$E$1="CZK",AD4728,IF(verze!$E$1="SK",AE4728,""))</f>
        <v>10.348739999999999</v>
      </c>
    </row>
    <row r="4729" spans="27:32" ht="15">
      <c r="AA4729" s="463" t="s">
        <v>15188</v>
      </c>
      <c r="AB4729" s="462" t="s">
        <v>15189</v>
      </c>
      <c r="AC4729" s="462" t="s">
        <v>15190</v>
      </c>
      <c r="AD4729" s="464">
        <v>219.88341</v>
      </c>
      <c r="AE4729" s="465">
        <v>10.348739999999999</v>
      </c>
      <c r="AF4729" s="86">
        <f>IF(verze!$E$1="CZK",AD4729,IF(verze!$E$1="SK",AE4729,""))</f>
        <v>10.348739999999999</v>
      </c>
    </row>
    <row r="4730" spans="27:32" ht="15">
      <c r="AA4730" s="463" t="s">
        <v>15188</v>
      </c>
      <c r="AB4730" s="462" t="s">
        <v>15191</v>
      </c>
      <c r="AC4730" s="462" t="s">
        <v>15192</v>
      </c>
      <c r="AD4730" s="464">
        <v>219.88341</v>
      </c>
      <c r="AE4730" s="465">
        <v>10.348739999999999</v>
      </c>
      <c r="AF4730" s="86">
        <f>IF(verze!$E$1="CZK",AD4730,IF(verze!$E$1="SK",AE4730,""))</f>
        <v>10.348739999999999</v>
      </c>
    </row>
    <row r="4731" spans="27:32" ht="15">
      <c r="AA4731" s="463" t="s">
        <v>1320</v>
      </c>
      <c r="AB4731" s="462" t="s">
        <v>15193</v>
      </c>
      <c r="AC4731" s="462" t="s">
        <v>15194</v>
      </c>
      <c r="AD4731" s="464">
        <v>219.88341</v>
      </c>
      <c r="AE4731" s="465">
        <v>10.348739999999999</v>
      </c>
      <c r="AF4731" s="86">
        <f>IF(verze!$E$1="CZK",AD4731,IF(verze!$E$1="SK",AE4731,""))</f>
        <v>10.348739999999999</v>
      </c>
    </row>
    <row r="4732" spans="27:32" ht="15">
      <c r="AA4732" s="463" t="s">
        <v>15195</v>
      </c>
      <c r="AB4732" s="462" t="s">
        <v>15196</v>
      </c>
      <c r="AC4732" s="462" t="s">
        <v>15197</v>
      </c>
      <c r="AD4732" s="464">
        <v>229.76492999999999</v>
      </c>
      <c r="AE4732" s="465">
        <v>11.052530000000001</v>
      </c>
      <c r="AF4732" s="86">
        <f>IF(verze!$E$1="CZK",AD4732,IF(verze!$E$1="SK",AE4732,""))</f>
        <v>11.052530000000001</v>
      </c>
    </row>
    <row r="4733" spans="27:32" ht="15">
      <c r="AA4733" s="463" t="s">
        <v>15198</v>
      </c>
      <c r="AB4733" s="462" t="s">
        <v>15199</v>
      </c>
      <c r="AC4733" s="462" t="s">
        <v>15200</v>
      </c>
      <c r="AD4733" s="464">
        <v>229.76492999999999</v>
      </c>
      <c r="AE4733" s="465">
        <v>11.052530000000001</v>
      </c>
      <c r="AF4733" s="86">
        <f>IF(verze!$E$1="CZK",AD4733,IF(verze!$E$1="SK",AE4733,""))</f>
        <v>11.052530000000001</v>
      </c>
    </row>
    <row r="4734" spans="27:32" ht="15">
      <c r="AA4734" s="463" t="s">
        <v>15201</v>
      </c>
      <c r="AB4734" s="462" t="s">
        <v>15202</v>
      </c>
      <c r="AC4734" s="462" t="s">
        <v>15203</v>
      </c>
      <c r="AD4734" s="464">
        <v>235.60476</v>
      </c>
      <c r="AE4734" s="465">
        <v>11.33343</v>
      </c>
      <c r="AF4734" s="86">
        <f>IF(verze!$E$1="CZK",AD4734,IF(verze!$E$1="SK",AE4734,""))</f>
        <v>11.33343</v>
      </c>
    </row>
    <row r="4735" spans="27:32" ht="15">
      <c r="AA4735" s="463" t="s">
        <v>15204</v>
      </c>
      <c r="AB4735" s="462" t="s">
        <v>15205</v>
      </c>
      <c r="AC4735" s="462" t="s">
        <v>15206</v>
      </c>
      <c r="AD4735" s="464">
        <v>235.60476</v>
      </c>
      <c r="AE4735" s="465">
        <v>11.33343</v>
      </c>
      <c r="AF4735" s="86">
        <f>IF(verze!$E$1="CZK",AD4735,IF(verze!$E$1="SK",AE4735,""))</f>
        <v>11.33343</v>
      </c>
    </row>
    <row r="4736" spans="27:32" ht="15">
      <c r="AA4736" s="463" t="s">
        <v>15207</v>
      </c>
      <c r="AB4736" s="462" t="s">
        <v>15208</v>
      </c>
      <c r="AC4736" s="462" t="s">
        <v>15209</v>
      </c>
      <c r="AD4736" s="464">
        <v>243.54496</v>
      </c>
      <c r="AE4736" s="465">
        <v>11.715400000000001</v>
      </c>
      <c r="AF4736" s="86">
        <f>IF(verze!$E$1="CZK",AD4736,IF(verze!$E$1="SK",AE4736,""))</f>
        <v>11.715400000000001</v>
      </c>
    </row>
    <row r="4737" spans="27:32" ht="15">
      <c r="AA4737" s="463" t="s">
        <v>15210</v>
      </c>
      <c r="AB4737" s="462" t="s">
        <v>15211</v>
      </c>
      <c r="AC4737" s="462" t="s">
        <v>15212</v>
      </c>
      <c r="AD4737" s="464">
        <v>243.54496</v>
      </c>
      <c r="AE4737" s="465">
        <v>11.715400000000001</v>
      </c>
      <c r="AF4737" s="86">
        <f>IF(verze!$E$1="CZK",AD4737,IF(verze!$E$1="SK",AE4737,""))</f>
        <v>11.715400000000001</v>
      </c>
    </row>
    <row r="4738" spans="27:32" ht="15">
      <c r="AA4738" s="463" t="s">
        <v>15213</v>
      </c>
      <c r="AB4738" s="462" t="s">
        <v>15214</v>
      </c>
      <c r="AC4738" s="462" t="s">
        <v>15215</v>
      </c>
      <c r="AD4738" s="464">
        <v>268.07722999999999</v>
      </c>
      <c r="AE4738" s="465">
        <v>12.895490000000001</v>
      </c>
      <c r="AF4738" s="86">
        <f>IF(verze!$E$1="CZK",AD4738,IF(verze!$E$1="SK",AE4738,""))</f>
        <v>12.895490000000001</v>
      </c>
    </row>
    <row r="4739" spans="27:32" ht="15">
      <c r="AA4739" s="463" t="s">
        <v>15216</v>
      </c>
      <c r="AB4739" s="462" t="s">
        <v>15217</v>
      </c>
      <c r="AC4739" s="462" t="s">
        <v>15218</v>
      </c>
      <c r="AD4739" s="464">
        <v>268.07722999999999</v>
      </c>
      <c r="AE4739" s="465">
        <v>12.895490000000001</v>
      </c>
      <c r="AF4739" s="86">
        <f>IF(verze!$E$1="CZK",AD4739,IF(verze!$E$1="SK",AE4739,""))</f>
        <v>12.895490000000001</v>
      </c>
    </row>
    <row r="4740" spans="27:32" ht="15">
      <c r="AA4740" s="463" t="s">
        <v>15219</v>
      </c>
      <c r="AB4740" s="462" t="s">
        <v>15220</v>
      </c>
      <c r="AC4740" s="462" t="s">
        <v>15221</v>
      </c>
      <c r="AD4740" s="464">
        <v>273.01260000000002</v>
      </c>
      <c r="AE4740" s="465">
        <v>13.132899999999999</v>
      </c>
      <c r="AF4740" s="86">
        <f>IF(verze!$E$1="CZK",AD4740,IF(verze!$E$1="SK",AE4740,""))</f>
        <v>13.132899999999999</v>
      </c>
    </row>
    <row r="4741" spans="27:32" ht="15">
      <c r="AA4741" s="463" t="s">
        <v>15222</v>
      </c>
      <c r="AB4741" s="462" t="s">
        <v>15223</v>
      </c>
      <c r="AC4741" s="462" t="s">
        <v>15224</v>
      </c>
      <c r="AD4741" s="464">
        <v>273.01260000000002</v>
      </c>
      <c r="AE4741" s="465">
        <v>13.132899999999999</v>
      </c>
      <c r="AF4741" s="86">
        <f>IF(verze!$E$1="CZK",AD4741,IF(verze!$E$1="SK",AE4741,""))</f>
        <v>13.132899999999999</v>
      </c>
    </row>
    <row r="4742" spans="27:32" ht="15">
      <c r="AA4742" s="463" t="s">
        <v>15225</v>
      </c>
      <c r="AB4742" s="462" t="s">
        <v>15226</v>
      </c>
      <c r="AC4742" s="462" t="s">
        <v>15227</v>
      </c>
      <c r="AD4742" s="464">
        <v>277.95048000000003</v>
      </c>
      <c r="AE4742" s="465">
        <v>13.370430000000001</v>
      </c>
      <c r="AF4742" s="86">
        <f>IF(verze!$E$1="CZK",AD4742,IF(verze!$E$1="SK",AE4742,""))</f>
        <v>13.370430000000001</v>
      </c>
    </row>
    <row r="4743" spans="27:32" ht="15">
      <c r="AA4743" s="463" t="s">
        <v>15228</v>
      </c>
      <c r="AB4743" s="462" t="s">
        <v>15229</v>
      </c>
      <c r="AC4743" s="462" t="s">
        <v>15230</v>
      </c>
      <c r="AD4743" s="464">
        <v>277.95048000000003</v>
      </c>
      <c r="AE4743" s="465">
        <v>13.370430000000001</v>
      </c>
      <c r="AF4743" s="86">
        <f>IF(verze!$E$1="CZK",AD4743,IF(verze!$E$1="SK",AE4743,""))</f>
        <v>13.370430000000001</v>
      </c>
    </row>
    <row r="4744" spans="27:32" ht="15">
      <c r="AA4744" s="463" t="s">
        <v>15231</v>
      </c>
      <c r="AB4744" s="462" t="s">
        <v>15232</v>
      </c>
      <c r="AC4744" s="462" t="s">
        <v>15233</v>
      </c>
      <c r="AD4744" s="464">
        <v>282.88328000000001</v>
      </c>
      <c r="AE4744" s="465">
        <v>13.60773</v>
      </c>
      <c r="AF4744" s="86">
        <f>IF(verze!$E$1="CZK",AD4744,IF(verze!$E$1="SK",AE4744,""))</f>
        <v>13.60773</v>
      </c>
    </row>
    <row r="4745" spans="27:32" ht="15">
      <c r="AA4745" s="463" t="s">
        <v>15234</v>
      </c>
      <c r="AB4745" s="462" t="s">
        <v>15235</v>
      </c>
      <c r="AC4745" s="462" t="s">
        <v>15236</v>
      </c>
      <c r="AD4745" s="464">
        <v>282.88328000000001</v>
      </c>
      <c r="AE4745" s="465">
        <v>13.60773</v>
      </c>
      <c r="AF4745" s="86">
        <f>IF(verze!$E$1="CZK",AD4745,IF(verze!$E$1="SK",AE4745,""))</f>
        <v>13.60773</v>
      </c>
    </row>
    <row r="4746" spans="27:32" ht="15">
      <c r="AA4746" s="463" t="s">
        <v>15237</v>
      </c>
      <c r="AB4746" s="462" t="s">
        <v>15238</v>
      </c>
      <c r="AC4746" s="462" t="s">
        <v>15239</v>
      </c>
      <c r="AD4746" s="464">
        <v>280.16149000000001</v>
      </c>
      <c r="AE4746" s="465">
        <v>13.185700000000001</v>
      </c>
      <c r="AF4746" s="86">
        <f>IF(verze!$E$1="CZK",AD4746,IF(verze!$E$1="SK",AE4746,""))</f>
        <v>13.185700000000001</v>
      </c>
    </row>
    <row r="4747" spans="27:32" ht="15">
      <c r="AA4747" s="463" t="s">
        <v>15240</v>
      </c>
      <c r="AB4747" s="462" t="s">
        <v>15241</v>
      </c>
      <c r="AC4747" s="462" t="s">
        <v>15242</v>
      </c>
      <c r="AD4747" s="464">
        <v>280.16149000000001</v>
      </c>
      <c r="AE4747" s="465">
        <v>13.185700000000001</v>
      </c>
      <c r="AF4747" s="86">
        <f>IF(verze!$E$1="CZK",AD4747,IF(verze!$E$1="SK",AE4747,""))</f>
        <v>13.185700000000001</v>
      </c>
    </row>
    <row r="4748" spans="27:32" ht="15">
      <c r="AA4748" s="463" t="s">
        <v>15243</v>
      </c>
      <c r="AB4748" s="462" t="s">
        <v>15244</v>
      </c>
      <c r="AC4748" s="462" t="s">
        <v>15245</v>
      </c>
      <c r="AD4748" s="464">
        <v>292.74898000000002</v>
      </c>
      <c r="AE4748" s="465">
        <v>14.08229</v>
      </c>
      <c r="AF4748" s="86">
        <f>IF(verze!$E$1="CZK",AD4748,IF(verze!$E$1="SK",AE4748,""))</f>
        <v>14.08229</v>
      </c>
    </row>
    <row r="4749" spans="27:32" ht="15">
      <c r="AA4749" s="463" t="s">
        <v>15246</v>
      </c>
      <c r="AB4749" s="462" t="s">
        <v>15247</v>
      </c>
      <c r="AC4749" s="462" t="s">
        <v>15248</v>
      </c>
      <c r="AD4749" s="464">
        <v>292.74898000000002</v>
      </c>
      <c r="AE4749" s="465">
        <v>14.08229</v>
      </c>
      <c r="AF4749" s="86">
        <f>IF(verze!$E$1="CZK",AD4749,IF(verze!$E$1="SK",AE4749,""))</f>
        <v>14.08229</v>
      </c>
    </row>
    <row r="4750" spans="27:32" ht="15">
      <c r="AA4750" s="463" t="s">
        <v>15249</v>
      </c>
      <c r="AB4750" s="462" t="s">
        <v>15250</v>
      </c>
      <c r="AC4750" s="462" t="s">
        <v>15251</v>
      </c>
      <c r="AD4750" s="464">
        <v>300.18995999999999</v>
      </c>
      <c r="AE4750" s="465">
        <v>14.44021</v>
      </c>
      <c r="AF4750" s="86">
        <f>IF(verze!$E$1="CZK",AD4750,IF(verze!$E$1="SK",AE4750,""))</f>
        <v>14.44021</v>
      </c>
    </row>
    <row r="4751" spans="27:32" ht="15">
      <c r="AA4751" s="463" t="s">
        <v>15252</v>
      </c>
      <c r="AB4751" s="462" t="s">
        <v>15253</v>
      </c>
      <c r="AC4751" s="462" t="s">
        <v>15254</v>
      </c>
      <c r="AD4751" s="464">
        <v>300.18995999999999</v>
      </c>
      <c r="AE4751" s="465">
        <v>14.44021</v>
      </c>
      <c r="AF4751" s="86">
        <f>IF(verze!$E$1="CZK",AD4751,IF(verze!$E$1="SK",AE4751,""))</f>
        <v>14.44021</v>
      </c>
    </row>
    <row r="4752" spans="27:32" ht="15">
      <c r="AA4752" s="463" t="s">
        <v>15255</v>
      </c>
      <c r="AB4752" s="462" t="s">
        <v>15256</v>
      </c>
      <c r="AC4752" s="462" t="s">
        <v>15257</v>
      </c>
      <c r="AD4752" s="464">
        <v>308.13261999999997</v>
      </c>
      <c r="AE4752" s="465">
        <v>14.822279999999999</v>
      </c>
      <c r="AF4752" s="86">
        <f>IF(verze!$E$1="CZK",AD4752,IF(verze!$E$1="SK",AE4752,""))</f>
        <v>14.822279999999999</v>
      </c>
    </row>
    <row r="4753" spans="27:32" ht="15">
      <c r="AA4753" s="463" t="s">
        <v>15258</v>
      </c>
      <c r="AB4753" s="462" t="s">
        <v>15259</v>
      </c>
      <c r="AC4753" s="462" t="s">
        <v>15260</v>
      </c>
      <c r="AD4753" s="464">
        <v>308.13261999999997</v>
      </c>
      <c r="AE4753" s="465">
        <v>14.822279999999999</v>
      </c>
      <c r="AF4753" s="86">
        <f>IF(verze!$E$1="CZK",AD4753,IF(verze!$E$1="SK",AE4753,""))</f>
        <v>14.822279999999999</v>
      </c>
    </row>
    <row r="4754" spans="27:32" ht="15">
      <c r="AA4754" s="463" t="s">
        <v>15261</v>
      </c>
      <c r="AB4754" s="462" t="s">
        <v>15262</v>
      </c>
      <c r="AC4754" s="462" t="s">
        <v>15263</v>
      </c>
      <c r="AD4754" s="464">
        <v>343.85318000000001</v>
      </c>
      <c r="AE4754" s="465">
        <v>16.540590000000002</v>
      </c>
      <c r="AF4754" s="86">
        <f>IF(verze!$E$1="CZK",AD4754,IF(verze!$E$1="SK",AE4754,""))</f>
        <v>16.540590000000002</v>
      </c>
    </row>
    <row r="4755" spans="27:32" ht="15">
      <c r="AA4755" s="463" t="s">
        <v>15264</v>
      </c>
      <c r="AB4755" s="462" t="s">
        <v>15265</v>
      </c>
      <c r="AC4755" s="462" t="s">
        <v>15266</v>
      </c>
      <c r="AD4755" s="464">
        <v>343.85318000000001</v>
      </c>
      <c r="AE4755" s="465">
        <v>16.540590000000002</v>
      </c>
      <c r="AF4755" s="86">
        <f>IF(verze!$E$1="CZK",AD4755,IF(verze!$E$1="SK",AE4755,""))</f>
        <v>16.540590000000002</v>
      </c>
    </row>
    <row r="4756" spans="27:32" ht="15">
      <c r="AA4756" s="463" t="s">
        <v>15267</v>
      </c>
      <c r="AB4756" s="462" t="s">
        <v>15268</v>
      </c>
      <c r="AC4756" s="462" t="s">
        <v>15269</v>
      </c>
      <c r="AD4756" s="464">
        <v>347.69150999999999</v>
      </c>
      <c r="AE4756" s="465">
        <v>16.72522</v>
      </c>
      <c r="AF4756" s="86">
        <f>IF(verze!$E$1="CZK",AD4756,IF(verze!$E$1="SK",AE4756,""))</f>
        <v>16.72522</v>
      </c>
    </row>
    <row r="4757" spans="27:32" ht="15">
      <c r="AA4757" s="463" t="s">
        <v>15270</v>
      </c>
      <c r="AB4757" s="462" t="s">
        <v>15271</v>
      </c>
      <c r="AC4757" s="462" t="s">
        <v>15272</v>
      </c>
      <c r="AD4757" s="464">
        <v>347.69150999999999</v>
      </c>
      <c r="AE4757" s="465">
        <v>16.72522</v>
      </c>
      <c r="AF4757" s="86">
        <f>IF(verze!$E$1="CZK",AD4757,IF(verze!$E$1="SK",AE4757,""))</f>
        <v>16.72522</v>
      </c>
    </row>
    <row r="4758" spans="27:32" ht="15">
      <c r="AA4758" s="463" t="s">
        <v>15273</v>
      </c>
      <c r="AB4758" s="462" t="s">
        <v>15274</v>
      </c>
      <c r="AC4758" s="462" t="s">
        <v>15275</v>
      </c>
      <c r="AD4758" s="464">
        <v>354.09370999999999</v>
      </c>
      <c r="AE4758" s="465">
        <v>17.033180000000002</v>
      </c>
      <c r="AF4758" s="86">
        <f>IF(verze!$E$1="CZK",AD4758,IF(verze!$E$1="SK",AE4758,""))</f>
        <v>17.033180000000002</v>
      </c>
    </row>
    <row r="4759" spans="27:32" ht="15">
      <c r="AA4759" s="463" t="s">
        <v>15276</v>
      </c>
      <c r="AB4759" s="462" t="s">
        <v>15277</v>
      </c>
      <c r="AC4759" s="462" t="s">
        <v>15278</v>
      </c>
      <c r="AD4759" s="464">
        <v>354.09370999999999</v>
      </c>
      <c r="AE4759" s="465">
        <v>17.033180000000002</v>
      </c>
      <c r="AF4759" s="86">
        <f>IF(verze!$E$1="CZK",AD4759,IF(verze!$E$1="SK",AE4759,""))</f>
        <v>17.033180000000002</v>
      </c>
    </row>
    <row r="4760" spans="27:32" ht="15">
      <c r="AA4760" s="463" t="s">
        <v>15279</v>
      </c>
      <c r="AB4760" s="462" t="s">
        <v>15280</v>
      </c>
      <c r="AC4760" s="462" t="s">
        <v>15281</v>
      </c>
      <c r="AD4760" s="464">
        <v>360.48838000000001</v>
      </c>
      <c r="AE4760" s="465">
        <v>17.340789999999998</v>
      </c>
      <c r="AF4760" s="86">
        <f>IF(verze!$E$1="CZK",AD4760,IF(verze!$E$1="SK",AE4760,""))</f>
        <v>17.340789999999998</v>
      </c>
    </row>
    <row r="4761" spans="27:32" ht="15">
      <c r="AA4761" s="463" t="s">
        <v>15282</v>
      </c>
      <c r="AB4761" s="462" t="s">
        <v>15283</v>
      </c>
      <c r="AC4761" s="462" t="s">
        <v>15284</v>
      </c>
      <c r="AD4761" s="464">
        <v>360.48838000000001</v>
      </c>
      <c r="AE4761" s="465">
        <v>17.340789999999998</v>
      </c>
      <c r="AF4761" s="86">
        <f>IF(verze!$E$1="CZK",AD4761,IF(verze!$E$1="SK",AE4761,""))</f>
        <v>17.340789999999998</v>
      </c>
    </row>
    <row r="4762" spans="27:32" ht="15">
      <c r="AA4762" s="463" t="s">
        <v>15285</v>
      </c>
      <c r="AB4762" s="462" t="s">
        <v>15286</v>
      </c>
      <c r="AC4762" s="462" t="s">
        <v>15287</v>
      </c>
      <c r="AD4762" s="464">
        <v>357.13297</v>
      </c>
      <c r="AE4762" s="465">
        <v>16.80836</v>
      </c>
      <c r="AF4762" s="86">
        <f>IF(verze!$E$1="CZK",AD4762,IF(verze!$E$1="SK",AE4762,""))</f>
        <v>16.80836</v>
      </c>
    </row>
    <row r="4763" spans="27:32" ht="15">
      <c r="AA4763" s="463" t="s">
        <v>1320</v>
      </c>
      <c r="AB4763" s="462" t="s">
        <v>15288</v>
      </c>
      <c r="AC4763" s="462" t="s">
        <v>15289</v>
      </c>
      <c r="AD4763" s="464">
        <v>357.13297</v>
      </c>
      <c r="AE4763" s="465">
        <v>16.80836</v>
      </c>
      <c r="AF4763" s="86">
        <f>IF(verze!$E$1="CZK",AD4763,IF(verze!$E$1="SK",AE4763,""))</f>
        <v>16.80836</v>
      </c>
    </row>
    <row r="4764" spans="27:32" ht="15">
      <c r="AA4764" s="463" t="s">
        <v>15290</v>
      </c>
      <c r="AB4764" s="462" t="s">
        <v>15291</v>
      </c>
      <c r="AC4764" s="462" t="s">
        <v>15292</v>
      </c>
      <c r="AD4764" s="464">
        <v>357.13297</v>
      </c>
      <c r="AE4764" s="465">
        <v>16.80836</v>
      </c>
      <c r="AF4764" s="86">
        <f>IF(verze!$E$1="CZK",AD4764,IF(verze!$E$1="SK",AE4764,""))</f>
        <v>16.80836</v>
      </c>
    </row>
    <row r="4765" spans="27:32" ht="15">
      <c r="AA4765" s="463" t="s">
        <v>1320</v>
      </c>
      <c r="AB4765" s="462" t="s">
        <v>15293</v>
      </c>
      <c r="AC4765" s="462" t="s">
        <v>15294</v>
      </c>
      <c r="AD4765" s="464">
        <v>357.13297</v>
      </c>
      <c r="AE4765" s="465">
        <v>16.80836</v>
      </c>
      <c r="AF4765" s="86">
        <f>IF(verze!$E$1="CZK",AD4765,IF(verze!$E$1="SK",AE4765,""))</f>
        <v>16.80836</v>
      </c>
    </row>
    <row r="4766" spans="27:32" ht="15">
      <c r="AA4766" s="463" t="s">
        <v>15295</v>
      </c>
      <c r="AB4766" s="462" t="s">
        <v>15296</v>
      </c>
      <c r="AC4766" s="462" t="s">
        <v>15297</v>
      </c>
      <c r="AD4766" s="464">
        <v>363.36250999999999</v>
      </c>
      <c r="AE4766" s="465">
        <v>17.10154</v>
      </c>
      <c r="AF4766" s="86">
        <f>IF(verze!$E$1="CZK",AD4766,IF(verze!$E$1="SK",AE4766,""))</f>
        <v>17.10154</v>
      </c>
    </row>
    <row r="4767" spans="27:32" ht="15">
      <c r="AA4767" s="463" t="s">
        <v>15295</v>
      </c>
      <c r="AB4767" s="462" t="s">
        <v>15298</v>
      </c>
      <c r="AC4767" s="462" t="s">
        <v>15299</v>
      </c>
      <c r="AD4767" s="464">
        <v>363.36250999999999</v>
      </c>
      <c r="AE4767" s="465">
        <v>17.10154</v>
      </c>
      <c r="AF4767" s="86">
        <f>IF(verze!$E$1="CZK",AD4767,IF(verze!$E$1="SK",AE4767,""))</f>
        <v>17.10154</v>
      </c>
    </row>
    <row r="4768" spans="27:32" ht="15">
      <c r="AA4768" s="463" t="s">
        <v>1320</v>
      </c>
      <c r="AB4768" s="462" t="s">
        <v>15300</v>
      </c>
      <c r="AC4768" s="462" t="s">
        <v>15301</v>
      </c>
      <c r="AD4768" s="464">
        <v>363.36250999999999</v>
      </c>
      <c r="AE4768" s="465">
        <v>17.10154</v>
      </c>
      <c r="AF4768" s="86">
        <f>IF(verze!$E$1="CZK",AD4768,IF(verze!$E$1="SK",AE4768,""))</f>
        <v>17.10154</v>
      </c>
    </row>
    <row r="4769" spans="27:32" ht="15">
      <c r="AA4769" s="463" t="s">
        <v>15302</v>
      </c>
      <c r="AB4769" s="462" t="s">
        <v>15303</v>
      </c>
      <c r="AC4769" s="462" t="s">
        <v>15304</v>
      </c>
      <c r="AD4769" s="464">
        <v>363.36250999999999</v>
      </c>
      <c r="AE4769" s="465">
        <v>17.10154</v>
      </c>
      <c r="AF4769" s="86">
        <f>IF(verze!$E$1="CZK",AD4769,IF(verze!$E$1="SK",AE4769,""))</f>
        <v>17.10154</v>
      </c>
    </row>
    <row r="4770" spans="27:32" ht="15">
      <c r="AA4770" s="463" t="s">
        <v>15302</v>
      </c>
      <c r="AB4770" s="462" t="s">
        <v>15305</v>
      </c>
      <c r="AC4770" s="462" t="s">
        <v>15306</v>
      </c>
      <c r="AD4770" s="464">
        <v>363.36250999999999</v>
      </c>
      <c r="AE4770" s="465">
        <v>17.10154</v>
      </c>
      <c r="AF4770" s="86">
        <f>IF(verze!$E$1="CZK",AD4770,IF(verze!$E$1="SK",AE4770,""))</f>
        <v>17.10154</v>
      </c>
    </row>
    <row r="4771" spans="27:32" ht="15">
      <c r="AA4771" s="463" t="s">
        <v>1320</v>
      </c>
      <c r="AB4771" s="462" t="s">
        <v>15307</v>
      </c>
      <c r="AC4771" s="462" t="s">
        <v>15308</v>
      </c>
      <c r="AD4771" s="464">
        <v>363.36250999999999</v>
      </c>
      <c r="AE4771" s="465">
        <v>17.10154</v>
      </c>
      <c r="AF4771" s="86">
        <f>IF(verze!$E$1="CZK",AD4771,IF(verze!$E$1="SK",AE4771,""))</f>
        <v>17.10154</v>
      </c>
    </row>
    <row r="4772" spans="27:32" ht="15">
      <c r="AA4772" s="463" t="s">
        <v>15309</v>
      </c>
      <c r="AB4772" s="462" t="s">
        <v>15310</v>
      </c>
      <c r="AC4772" s="462" t="s">
        <v>15311</v>
      </c>
      <c r="AD4772" s="464">
        <v>379.68511999999998</v>
      </c>
      <c r="AE4772" s="465">
        <v>18.264230000000001</v>
      </c>
      <c r="AF4772" s="86">
        <f>IF(verze!$E$1="CZK",AD4772,IF(verze!$E$1="SK",AE4772,""))</f>
        <v>18.264230000000001</v>
      </c>
    </row>
    <row r="4773" spans="27:32" ht="15">
      <c r="AA4773" s="463" t="s">
        <v>15312</v>
      </c>
      <c r="AB4773" s="462" t="s">
        <v>15313</v>
      </c>
      <c r="AC4773" s="462" t="s">
        <v>15314</v>
      </c>
      <c r="AD4773" s="464">
        <v>379.68511999999998</v>
      </c>
      <c r="AE4773" s="465">
        <v>18.264230000000001</v>
      </c>
      <c r="AF4773" s="86">
        <f>IF(verze!$E$1="CZK",AD4773,IF(verze!$E$1="SK",AE4773,""))</f>
        <v>18.264230000000001</v>
      </c>
    </row>
    <row r="4774" spans="27:32" ht="15">
      <c r="AA4774" s="463" t="s">
        <v>15315</v>
      </c>
      <c r="AB4774" s="462" t="s">
        <v>15316</v>
      </c>
      <c r="AC4774" s="462" t="s">
        <v>15317</v>
      </c>
      <c r="AD4774" s="464">
        <v>389.34050000000002</v>
      </c>
      <c r="AE4774" s="465">
        <v>18.728680000000001</v>
      </c>
      <c r="AF4774" s="86">
        <f>IF(verze!$E$1="CZK",AD4774,IF(verze!$E$1="SK",AE4774,""))</f>
        <v>18.728680000000001</v>
      </c>
    </row>
    <row r="4775" spans="27:32" ht="15">
      <c r="AA4775" s="463" t="s">
        <v>15318</v>
      </c>
      <c r="AB4775" s="462" t="s">
        <v>15319</v>
      </c>
      <c r="AC4775" s="462" t="s">
        <v>15320</v>
      </c>
      <c r="AD4775" s="464">
        <v>389.34050000000002</v>
      </c>
      <c r="AE4775" s="465">
        <v>18.728680000000001</v>
      </c>
      <c r="AF4775" s="86">
        <f>IF(verze!$E$1="CZK",AD4775,IF(verze!$E$1="SK",AE4775,""))</f>
        <v>18.728680000000001</v>
      </c>
    </row>
    <row r="4776" spans="27:32" ht="15">
      <c r="AA4776" s="463" t="s">
        <v>15321</v>
      </c>
      <c r="AB4776" s="462" t="s">
        <v>15322</v>
      </c>
      <c r="AC4776" s="462" t="s">
        <v>15323</v>
      </c>
      <c r="AD4776" s="464">
        <v>402.46422999999999</v>
      </c>
      <c r="AE4776" s="465">
        <v>19.35998</v>
      </c>
      <c r="AF4776" s="86">
        <f>IF(verze!$E$1="CZK",AD4776,IF(verze!$E$1="SK",AE4776,""))</f>
        <v>19.35998</v>
      </c>
    </row>
    <row r="4777" spans="27:32" ht="15">
      <c r="AA4777" s="463" t="s">
        <v>15324</v>
      </c>
      <c r="AB4777" s="462" t="s">
        <v>15325</v>
      </c>
      <c r="AC4777" s="462" t="s">
        <v>15326</v>
      </c>
      <c r="AD4777" s="464">
        <v>402.46422999999999</v>
      </c>
      <c r="AE4777" s="465">
        <v>19.35998</v>
      </c>
      <c r="AF4777" s="86">
        <f>IF(verze!$E$1="CZK",AD4777,IF(verze!$E$1="SK",AE4777,""))</f>
        <v>19.35998</v>
      </c>
    </row>
    <row r="4778" spans="27:32" ht="15">
      <c r="AA4778" s="463" t="s">
        <v>15327</v>
      </c>
      <c r="AB4778" s="462" t="s">
        <v>15328</v>
      </c>
      <c r="AC4778" s="462" t="s">
        <v>15329</v>
      </c>
      <c r="AD4778" s="464">
        <v>557.43890999999996</v>
      </c>
      <c r="AE4778" s="465">
        <v>26.814820000000001</v>
      </c>
      <c r="AF4778" s="86">
        <f>IF(verze!$E$1="CZK",AD4778,IF(verze!$E$1="SK",AE4778,""))</f>
        <v>26.814820000000001</v>
      </c>
    </row>
    <row r="4779" spans="27:32" ht="15">
      <c r="AA4779" s="463" t="s">
        <v>15330</v>
      </c>
      <c r="AB4779" s="462" t="s">
        <v>15331</v>
      </c>
      <c r="AC4779" s="462" t="s">
        <v>15332</v>
      </c>
      <c r="AD4779" s="464">
        <v>557.43890999999996</v>
      </c>
      <c r="AE4779" s="465">
        <v>26.814820000000001</v>
      </c>
      <c r="AF4779" s="86">
        <f>IF(verze!$E$1="CZK",AD4779,IF(verze!$E$1="SK",AE4779,""))</f>
        <v>26.814820000000001</v>
      </c>
    </row>
    <row r="4780" spans="27:32" ht="15">
      <c r="AA4780" s="463" t="s">
        <v>15333</v>
      </c>
      <c r="AB4780" s="462" t="s">
        <v>15334</v>
      </c>
      <c r="AC4780" s="462" t="s">
        <v>15335</v>
      </c>
      <c r="AD4780" s="464">
        <v>567.51482999999996</v>
      </c>
      <c r="AE4780" s="465">
        <v>27.299520000000001</v>
      </c>
      <c r="AF4780" s="86">
        <f>IF(verze!$E$1="CZK",AD4780,IF(verze!$E$1="SK",AE4780,""))</f>
        <v>27.299520000000001</v>
      </c>
    </row>
    <row r="4781" spans="27:32" ht="15">
      <c r="AA4781" s="463" t="s">
        <v>15336</v>
      </c>
      <c r="AB4781" s="462" t="s">
        <v>15337</v>
      </c>
      <c r="AC4781" s="462" t="s">
        <v>15338</v>
      </c>
      <c r="AD4781" s="464">
        <v>567.51482999999996</v>
      </c>
      <c r="AE4781" s="465">
        <v>27.299520000000001</v>
      </c>
      <c r="AF4781" s="86">
        <f>IF(verze!$E$1="CZK",AD4781,IF(verze!$E$1="SK",AE4781,""))</f>
        <v>27.299520000000001</v>
      </c>
    </row>
    <row r="4782" spans="27:32" ht="15">
      <c r="AA4782" s="463" t="s">
        <v>15339</v>
      </c>
      <c r="AB4782" s="462" t="s">
        <v>15340</v>
      </c>
      <c r="AC4782" s="462" t="s">
        <v>15341</v>
      </c>
      <c r="AD4782" s="464">
        <v>577.59074999999996</v>
      </c>
      <c r="AE4782" s="465">
        <v>27.784199999999998</v>
      </c>
      <c r="AF4782" s="86">
        <f>IF(verze!$E$1="CZK",AD4782,IF(verze!$E$1="SK",AE4782,""))</f>
        <v>27.784199999999998</v>
      </c>
    </row>
    <row r="4783" spans="27:32" ht="15">
      <c r="AA4783" s="463" t="s">
        <v>15342</v>
      </c>
      <c r="AB4783" s="462" t="s">
        <v>15343</v>
      </c>
      <c r="AC4783" s="462" t="s">
        <v>15344</v>
      </c>
      <c r="AD4783" s="464">
        <v>577.59074999999996</v>
      </c>
      <c r="AE4783" s="465">
        <v>27.784199999999998</v>
      </c>
      <c r="AF4783" s="86">
        <f>IF(verze!$E$1="CZK",AD4783,IF(verze!$E$1="SK",AE4783,""))</f>
        <v>27.784199999999998</v>
      </c>
    </row>
    <row r="4784" spans="27:32" ht="15">
      <c r="AA4784" s="463" t="s">
        <v>15345</v>
      </c>
      <c r="AB4784" s="462" t="s">
        <v>15346</v>
      </c>
      <c r="AC4784" s="462" t="s">
        <v>15347</v>
      </c>
      <c r="AD4784" s="464">
        <v>572.03471999999999</v>
      </c>
      <c r="AE4784" s="465">
        <v>26.922619999999998</v>
      </c>
      <c r="AF4784" s="86">
        <f>IF(verze!$E$1="CZK",AD4784,IF(verze!$E$1="SK",AE4784,""))</f>
        <v>26.922619999999998</v>
      </c>
    </row>
    <row r="4785" spans="27:32" ht="15">
      <c r="AA4785" s="463" t="s">
        <v>15348</v>
      </c>
      <c r="AB4785" s="462" t="s">
        <v>15349</v>
      </c>
      <c r="AC4785" s="462" t="s">
        <v>15350</v>
      </c>
      <c r="AD4785" s="464">
        <v>572.03471999999999</v>
      </c>
      <c r="AE4785" s="465">
        <v>26.922619999999998</v>
      </c>
      <c r="AF4785" s="86">
        <f>IF(verze!$E$1="CZK",AD4785,IF(verze!$E$1="SK",AE4785,""))</f>
        <v>26.922619999999998</v>
      </c>
    </row>
    <row r="4786" spans="27:32" ht="15">
      <c r="AA4786" s="463" t="s">
        <v>15351</v>
      </c>
      <c r="AB4786" s="462" t="s">
        <v>15352</v>
      </c>
      <c r="AC4786" s="462" t="s">
        <v>15353</v>
      </c>
      <c r="AD4786" s="464">
        <v>597.74</v>
      </c>
      <c r="AE4786" s="465">
        <v>28.753450000000001</v>
      </c>
      <c r="AF4786" s="86">
        <f>IF(verze!$E$1="CZK",AD4786,IF(verze!$E$1="SK",AE4786,""))</f>
        <v>28.753450000000001</v>
      </c>
    </row>
    <row r="4787" spans="27:32" ht="15">
      <c r="AA4787" s="463" t="s">
        <v>15354</v>
      </c>
      <c r="AB4787" s="462" t="s">
        <v>15355</v>
      </c>
      <c r="AC4787" s="462" t="s">
        <v>15356</v>
      </c>
      <c r="AD4787" s="464">
        <v>597.74</v>
      </c>
      <c r="AE4787" s="465">
        <v>28.753450000000001</v>
      </c>
      <c r="AF4787" s="86">
        <f>IF(verze!$E$1="CZK",AD4787,IF(verze!$E$1="SK",AE4787,""))</f>
        <v>28.753450000000001</v>
      </c>
    </row>
    <row r="4788" spans="27:32" ht="15">
      <c r="AA4788" s="463" t="s">
        <v>15357</v>
      </c>
      <c r="AB4788" s="462" t="s">
        <v>15358</v>
      </c>
      <c r="AC4788" s="462" t="s">
        <v>15359</v>
      </c>
      <c r="AD4788" s="464">
        <v>612.93876999999998</v>
      </c>
      <c r="AE4788" s="465">
        <v>29.484570000000001</v>
      </c>
      <c r="AF4788" s="86">
        <f>IF(verze!$E$1="CZK",AD4788,IF(verze!$E$1="SK",AE4788,""))</f>
        <v>29.484570000000001</v>
      </c>
    </row>
    <row r="4789" spans="27:32" ht="15">
      <c r="AA4789" s="463" t="s">
        <v>15360</v>
      </c>
      <c r="AB4789" s="462" t="s">
        <v>15361</v>
      </c>
      <c r="AC4789" s="462" t="s">
        <v>15362</v>
      </c>
      <c r="AD4789" s="464">
        <v>612.93876999999998</v>
      </c>
      <c r="AE4789" s="465">
        <v>29.484570000000001</v>
      </c>
      <c r="AF4789" s="86">
        <f>IF(verze!$E$1="CZK",AD4789,IF(verze!$E$1="SK",AE4789,""))</f>
        <v>29.484570000000001</v>
      </c>
    </row>
    <row r="4790" spans="27:32" ht="15">
      <c r="AA4790" s="463" t="s">
        <v>15363</v>
      </c>
      <c r="AB4790" s="462" t="s">
        <v>15364</v>
      </c>
      <c r="AC4790" s="462" t="s">
        <v>15365</v>
      </c>
      <c r="AD4790" s="464">
        <v>633.59735999999998</v>
      </c>
      <c r="AE4790" s="465">
        <v>30.47831</v>
      </c>
      <c r="AF4790" s="86">
        <f>IF(verze!$E$1="CZK",AD4790,IF(verze!$E$1="SK",AE4790,""))</f>
        <v>30.47831</v>
      </c>
    </row>
    <row r="4791" spans="27:32" ht="15">
      <c r="AA4791" s="463" t="s">
        <v>15366</v>
      </c>
      <c r="AB4791" s="462" t="s">
        <v>15367</v>
      </c>
      <c r="AC4791" s="462" t="s">
        <v>15368</v>
      </c>
      <c r="AD4791" s="464">
        <v>633.59735999999998</v>
      </c>
      <c r="AE4791" s="465">
        <v>30.47831</v>
      </c>
      <c r="AF4791" s="86">
        <f>IF(verze!$E$1="CZK",AD4791,IF(verze!$E$1="SK",AE4791,""))</f>
        <v>30.47831</v>
      </c>
    </row>
    <row r="4792" spans="27:32" ht="15">
      <c r="AA4792" s="463" t="s">
        <v>15369</v>
      </c>
      <c r="AB4792" s="462" t="s">
        <v>15370</v>
      </c>
      <c r="AC4792" s="462" t="s">
        <v>15371</v>
      </c>
      <c r="AD4792" s="464">
        <v>691.49091999999996</v>
      </c>
      <c r="AE4792" s="465">
        <v>0</v>
      </c>
      <c r="AF4792" s="86">
        <f>IF(verze!$E$1="CZK",AD4792,IF(verze!$E$1="SK",AE4792,""))</f>
        <v>0</v>
      </c>
    </row>
    <row r="4793" spans="27:32" ht="15">
      <c r="AA4793" s="463" t="s">
        <v>15372</v>
      </c>
      <c r="AB4793" s="462" t="s">
        <v>15373</v>
      </c>
      <c r="AC4793" s="462" t="s">
        <v>15374</v>
      </c>
      <c r="AD4793" s="464">
        <v>700.05894999999998</v>
      </c>
      <c r="AE4793" s="465">
        <v>0</v>
      </c>
      <c r="AF4793" s="86">
        <f>IF(verze!$E$1="CZK",AD4793,IF(verze!$E$1="SK",AE4793,""))</f>
        <v>0</v>
      </c>
    </row>
    <row r="4794" spans="27:32" ht="15">
      <c r="AA4794" s="463" t="s">
        <v>15375</v>
      </c>
      <c r="AB4794" s="462" t="s">
        <v>15376</v>
      </c>
      <c r="AC4794" s="462" t="s">
        <v>15377</v>
      </c>
      <c r="AD4794" s="464">
        <v>708.61374999999998</v>
      </c>
      <c r="AE4794" s="465">
        <v>0</v>
      </c>
      <c r="AF4794" s="86">
        <f>IF(verze!$E$1="CZK",AD4794,IF(verze!$E$1="SK",AE4794,""))</f>
        <v>0</v>
      </c>
    </row>
    <row r="4795" spans="27:32" ht="15">
      <c r="AA4795" s="463" t="s">
        <v>15378</v>
      </c>
      <c r="AB4795" s="462" t="s">
        <v>15379</v>
      </c>
      <c r="AC4795" s="462" t="s">
        <v>15380</v>
      </c>
      <c r="AD4795" s="464">
        <v>717.17651999999998</v>
      </c>
      <c r="AE4795" s="465">
        <v>0</v>
      </c>
      <c r="AF4795" s="86">
        <f>IF(verze!$E$1="CZK",AD4795,IF(verze!$E$1="SK",AE4795,""))</f>
        <v>0</v>
      </c>
    </row>
    <row r="4796" spans="27:32" ht="15">
      <c r="AA4796" s="463" t="s">
        <v>15381</v>
      </c>
      <c r="AB4796" s="462" t="s">
        <v>15382</v>
      </c>
      <c r="AC4796" s="462" t="s">
        <v>15383</v>
      </c>
      <c r="AD4796" s="464">
        <v>691.02489000000003</v>
      </c>
      <c r="AE4796" s="465">
        <v>0</v>
      </c>
      <c r="AF4796" s="86">
        <f>IF(verze!$E$1="CZK",AD4796,IF(verze!$E$1="SK",AE4796,""))</f>
        <v>0</v>
      </c>
    </row>
    <row r="4797" spans="27:32" ht="15">
      <c r="AA4797" s="463" t="s">
        <v>15384</v>
      </c>
      <c r="AB4797" s="462" t="s">
        <v>15385</v>
      </c>
      <c r="AC4797" s="462" t="s">
        <v>15386</v>
      </c>
      <c r="AD4797" s="464">
        <v>696.16097000000002</v>
      </c>
      <c r="AE4797" s="465">
        <v>0</v>
      </c>
      <c r="AF4797" s="86">
        <f>IF(verze!$E$1="CZK",AD4797,IF(verze!$E$1="SK",AE4797,""))</f>
        <v>0</v>
      </c>
    </row>
    <row r="4798" spans="27:32" ht="15">
      <c r="AA4798" s="463" t="s">
        <v>15387</v>
      </c>
      <c r="AB4798" s="462" t="s">
        <v>15388</v>
      </c>
      <c r="AC4798" s="462" t="s">
        <v>15389</v>
      </c>
      <c r="AD4798" s="464">
        <v>704.72373000000005</v>
      </c>
      <c r="AE4798" s="465">
        <v>0</v>
      </c>
      <c r="AF4798" s="86">
        <f>IF(verze!$E$1="CZK",AD4798,IF(verze!$E$1="SK",AE4798,""))</f>
        <v>0</v>
      </c>
    </row>
    <row r="4799" spans="27:32" ht="15">
      <c r="AA4799" s="463" t="s">
        <v>15390</v>
      </c>
      <c r="AB4799" s="462" t="s">
        <v>15391</v>
      </c>
      <c r="AC4799" s="462" t="s">
        <v>15392</v>
      </c>
      <c r="AD4799" s="464">
        <v>713.27854000000002</v>
      </c>
      <c r="AE4799" s="465">
        <v>0</v>
      </c>
      <c r="AF4799" s="86">
        <f>IF(verze!$E$1="CZK",AD4799,IF(verze!$E$1="SK",AE4799,""))</f>
        <v>0</v>
      </c>
    </row>
    <row r="4800" spans="27:32" ht="15">
      <c r="AA4800" s="463" t="s">
        <v>15393</v>
      </c>
      <c r="AB4800" s="462" t="s">
        <v>15394</v>
      </c>
      <c r="AC4800" s="462" t="s">
        <v>15395</v>
      </c>
      <c r="AD4800" s="464">
        <v>702.64340000000004</v>
      </c>
      <c r="AE4800" s="465">
        <v>27.66</v>
      </c>
      <c r="AF4800" s="86">
        <f>IF(verze!$E$1="CZK",AD4800,IF(verze!$E$1="SK",AE4800,""))</f>
        <v>27.66</v>
      </c>
    </row>
    <row r="4801" spans="27:32" ht="15">
      <c r="AA4801" s="463" t="s">
        <v>15396</v>
      </c>
      <c r="AB4801" s="462" t="s">
        <v>15397</v>
      </c>
      <c r="AC4801" s="462" t="s">
        <v>15398</v>
      </c>
      <c r="AD4801" s="464">
        <v>738.96145000000001</v>
      </c>
      <c r="AE4801" s="465">
        <v>0</v>
      </c>
      <c r="AF4801" s="86">
        <f>IF(verze!$E$1="CZK",AD4801,IF(verze!$E$1="SK",AE4801,""))</f>
        <v>0</v>
      </c>
    </row>
    <row r="4802" spans="27:32" ht="15">
      <c r="AA4802" s="463" t="s">
        <v>15399</v>
      </c>
      <c r="AB4802" s="462" t="s">
        <v>15400</v>
      </c>
      <c r="AC4802" s="462" t="s">
        <v>15401</v>
      </c>
      <c r="AD4802" s="464">
        <v>751.87217999999996</v>
      </c>
      <c r="AE4802" s="465">
        <v>0</v>
      </c>
      <c r="AF4802" s="86">
        <f>IF(verze!$E$1="CZK",AD4802,IF(verze!$E$1="SK",AE4802,""))</f>
        <v>0</v>
      </c>
    </row>
    <row r="4803" spans="27:32" ht="15">
      <c r="AA4803" s="463" t="s">
        <v>15402</v>
      </c>
      <c r="AB4803" s="462" t="s">
        <v>15403</v>
      </c>
      <c r="AC4803" s="462" t="s">
        <v>15404</v>
      </c>
      <c r="AD4803" s="464">
        <v>769.42371000000003</v>
      </c>
      <c r="AE4803" s="465">
        <v>0</v>
      </c>
      <c r="AF4803" s="86">
        <f>IF(verze!$E$1="CZK",AD4803,IF(verze!$E$1="SK",AE4803,""))</f>
        <v>0</v>
      </c>
    </row>
    <row r="4804" spans="27:32" ht="15">
      <c r="AA4804" s="463" t="s">
        <v>15405</v>
      </c>
      <c r="AB4804" s="462" t="s">
        <v>15406</v>
      </c>
      <c r="AC4804" s="462" t="s">
        <v>15407</v>
      </c>
      <c r="AD4804" s="464">
        <v>839.17723999999998</v>
      </c>
      <c r="AE4804" s="465">
        <v>0</v>
      </c>
      <c r="AF4804" s="86">
        <f>IF(verze!$E$1="CZK",AD4804,IF(verze!$E$1="SK",AE4804,""))</f>
        <v>0</v>
      </c>
    </row>
    <row r="4805" spans="27:32" ht="15">
      <c r="AA4805" s="463" t="s">
        <v>15408</v>
      </c>
      <c r="AB4805" s="462" t="s">
        <v>15409</v>
      </c>
      <c r="AC4805" s="462" t="s">
        <v>15410</v>
      </c>
      <c r="AD4805" s="464">
        <v>849.96321</v>
      </c>
      <c r="AE4805" s="465">
        <v>0</v>
      </c>
      <c r="AF4805" s="86">
        <f>IF(verze!$E$1="CZK",AD4805,IF(verze!$E$1="SK",AE4805,""))</f>
        <v>0</v>
      </c>
    </row>
    <row r="4806" spans="27:32" ht="15">
      <c r="AA4806" s="463" t="s">
        <v>15411</v>
      </c>
      <c r="AB4806" s="462" t="s">
        <v>15412</v>
      </c>
      <c r="AC4806" s="462" t="s">
        <v>15413</v>
      </c>
      <c r="AD4806" s="464">
        <v>860.75184999999999</v>
      </c>
      <c r="AE4806" s="465">
        <v>0</v>
      </c>
      <c r="AF4806" s="86">
        <f>IF(verze!$E$1="CZK",AD4806,IF(verze!$E$1="SK",AE4806,""))</f>
        <v>0</v>
      </c>
    </row>
    <row r="4807" spans="27:32" ht="15">
      <c r="AA4807" s="463" t="s">
        <v>15414</v>
      </c>
      <c r="AB4807" s="462" t="s">
        <v>15415</v>
      </c>
      <c r="AC4807" s="462" t="s">
        <v>15416</v>
      </c>
      <c r="AD4807" s="464">
        <v>871.55115999999998</v>
      </c>
      <c r="AE4807" s="465">
        <v>0</v>
      </c>
      <c r="AF4807" s="86">
        <f>IF(verze!$E$1="CZK",AD4807,IF(verze!$E$1="SK",AE4807,""))</f>
        <v>0</v>
      </c>
    </row>
    <row r="4808" spans="27:32" ht="15">
      <c r="AA4808" s="463" t="s">
        <v>15417</v>
      </c>
      <c r="AB4808" s="462" t="s">
        <v>15418</v>
      </c>
      <c r="AC4808" s="462" t="s">
        <v>15419</v>
      </c>
      <c r="AD4808" s="464">
        <v>893.12576999999999</v>
      </c>
      <c r="AE4808" s="465">
        <v>0</v>
      </c>
      <c r="AF4808" s="86">
        <f>IF(verze!$E$1="CZK",AD4808,IF(verze!$E$1="SK",AE4808,""))</f>
        <v>0</v>
      </c>
    </row>
    <row r="4809" spans="27:32" ht="15">
      <c r="AA4809" s="463" t="s">
        <v>15420</v>
      </c>
      <c r="AB4809" s="462" t="s">
        <v>15421</v>
      </c>
      <c r="AC4809" s="462" t="s">
        <v>15422</v>
      </c>
      <c r="AD4809" s="464">
        <v>909.40994000000001</v>
      </c>
      <c r="AE4809" s="465">
        <v>0</v>
      </c>
      <c r="AF4809" s="86">
        <f>IF(verze!$E$1="CZK",AD4809,IF(verze!$E$1="SK",AE4809,""))</f>
        <v>0</v>
      </c>
    </row>
    <row r="4810" spans="27:32" ht="15">
      <c r="AA4810" s="463" t="s">
        <v>15423</v>
      </c>
      <c r="AB4810" s="462" t="s">
        <v>15424</v>
      </c>
      <c r="AC4810" s="462" t="s">
        <v>15425</v>
      </c>
      <c r="AD4810" s="464">
        <v>1041.7547</v>
      </c>
      <c r="AE4810" s="465">
        <v>0</v>
      </c>
      <c r="AF4810" s="86">
        <f>IF(verze!$E$1="CZK",AD4810,IF(verze!$E$1="SK",AE4810,""))</f>
        <v>0</v>
      </c>
    </row>
    <row r="4811" spans="27:32" ht="15">
      <c r="AA4811" s="463" t="s">
        <v>15426</v>
      </c>
      <c r="AB4811" s="462" t="s">
        <v>15427</v>
      </c>
      <c r="AC4811" s="462" t="s">
        <v>15428</v>
      </c>
      <c r="AD4811" s="464">
        <v>1050.0777800000001</v>
      </c>
      <c r="AE4811" s="465">
        <v>0</v>
      </c>
      <c r="AF4811" s="86">
        <f>IF(verze!$E$1="CZK",AD4811,IF(verze!$E$1="SK",AE4811,""))</f>
        <v>0</v>
      </c>
    </row>
    <row r="4812" spans="27:32" ht="15">
      <c r="AA4812" s="463" t="s">
        <v>15429</v>
      </c>
      <c r="AB4812" s="462" t="s">
        <v>15430</v>
      </c>
      <c r="AC4812" s="462" t="s">
        <v>15431</v>
      </c>
      <c r="AD4812" s="464">
        <v>1063.94165</v>
      </c>
      <c r="AE4812" s="465">
        <v>0</v>
      </c>
      <c r="AF4812" s="86">
        <f>IF(verze!$E$1="CZK",AD4812,IF(verze!$E$1="SK",AE4812,""))</f>
        <v>0</v>
      </c>
    </row>
    <row r="4813" spans="27:32" ht="15">
      <c r="AA4813" s="463" t="s">
        <v>15432</v>
      </c>
      <c r="AB4813" s="462" t="s">
        <v>15433</v>
      </c>
      <c r="AC4813" s="462" t="s">
        <v>15434</v>
      </c>
      <c r="AD4813" s="464">
        <v>1091.6881000000001</v>
      </c>
      <c r="AE4813" s="465">
        <v>42.98</v>
      </c>
      <c r="AF4813" s="86">
        <f>IF(verze!$E$1="CZK",AD4813,IF(verze!$E$1="SK",AE4813,""))</f>
        <v>42.98</v>
      </c>
    </row>
    <row r="4814" spans="27:32" ht="15">
      <c r="AA4814" s="463" t="s">
        <v>15435</v>
      </c>
      <c r="AB4814" s="462" t="s">
        <v>15436</v>
      </c>
      <c r="AC4814" s="462" t="s">
        <v>15437</v>
      </c>
      <c r="AD4814" s="464">
        <v>1119.4212199999999</v>
      </c>
      <c r="AE4814" s="465">
        <v>0</v>
      </c>
      <c r="AF4814" s="86">
        <f>IF(verze!$E$1="CZK",AD4814,IF(verze!$E$1="SK",AE4814,""))</f>
        <v>0</v>
      </c>
    </row>
    <row r="4815" spans="27:32" ht="15">
      <c r="AA4815" s="463" t="s">
        <v>15438</v>
      </c>
      <c r="AB4815" s="462" t="s">
        <v>15439</v>
      </c>
      <c r="AC4815" s="462" t="s">
        <v>15440</v>
      </c>
      <c r="AD4815" s="464">
        <v>1140.3515600000001</v>
      </c>
      <c r="AE4815" s="465">
        <v>0</v>
      </c>
      <c r="AF4815" s="86">
        <f>IF(verze!$E$1="CZK",AD4815,IF(verze!$E$1="SK",AE4815,""))</f>
        <v>0</v>
      </c>
    </row>
    <row r="4816" spans="27:32" ht="15">
      <c r="AA4816" s="463" t="s">
        <v>15441</v>
      </c>
      <c r="AB4816" s="462" t="s">
        <v>15442</v>
      </c>
      <c r="AC4816" s="462" t="s">
        <v>15443</v>
      </c>
      <c r="AD4816" s="464">
        <v>1168.79555</v>
      </c>
      <c r="AE4816" s="465">
        <v>0</v>
      </c>
      <c r="AF4816" s="86">
        <f>IF(verze!$E$1="CZK",AD4816,IF(verze!$E$1="SK",AE4816,""))</f>
        <v>0</v>
      </c>
    </row>
    <row r="4817" spans="27:32" ht="15">
      <c r="AA4817" s="463" t="s">
        <v>15444</v>
      </c>
      <c r="AB4817" s="462" t="s">
        <v>15445</v>
      </c>
      <c r="AC4817" s="462" t="s">
        <v>15446</v>
      </c>
      <c r="AD4817" s="464">
        <v>1513.1405</v>
      </c>
      <c r="AE4817" s="465">
        <v>0</v>
      </c>
      <c r="AF4817" s="86">
        <f>IF(verze!$E$1="CZK",AD4817,IF(verze!$E$1="SK",AE4817,""))</f>
        <v>0</v>
      </c>
    </row>
    <row r="4818" spans="27:32" ht="15">
      <c r="AA4818" s="463" t="s">
        <v>15447</v>
      </c>
      <c r="AB4818" s="462" t="s">
        <v>15448</v>
      </c>
      <c r="AC4818" s="462" t="s">
        <v>15449</v>
      </c>
      <c r="AD4818" s="464">
        <v>1556.32707</v>
      </c>
      <c r="AE4818" s="465">
        <v>0</v>
      </c>
      <c r="AF4818" s="86">
        <f>IF(verze!$E$1="CZK",AD4818,IF(verze!$E$1="SK",AE4818,""))</f>
        <v>0</v>
      </c>
    </row>
    <row r="4819" spans="27:32" ht="15">
      <c r="AA4819" s="463" t="s">
        <v>15450</v>
      </c>
      <c r="AB4819" s="462" t="s">
        <v>15451</v>
      </c>
      <c r="AC4819" s="462" t="s">
        <v>15452</v>
      </c>
      <c r="AD4819" s="464">
        <v>0</v>
      </c>
      <c r="AE4819" s="465">
        <v>0</v>
      </c>
      <c r="AF4819" s="86">
        <f>IF(verze!$E$1="CZK",AD4819,IF(verze!$E$1="SK",AE4819,""))</f>
        <v>0</v>
      </c>
    </row>
    <row r="4820" spans="27:32" ht="15">
      <c r="AA4820" s="463" t="s">
        <v>15453</v>
      </c>
      <c r="AB4820" s="462" t="s">
        <v>15454</v>
      </c>
      <c r="AC4820" s="462" t="s">
        <v>15455</v>
      </c>
      <c r="AD4820" s="464">
        <v>1632.09529</v>
      </c>
      <c r="AE4820" s="465">
        <v>0</v>
      </c>
      <c r="AF4820" s="86">
        <f>IF(verze!$E$1="CZK",AD4820,IF(verze!$E$1="SK",AE4820,""))</f>
        <v>0</v>
      </c>
    </row>
    <row r="4821" spans="27:32" ht="15">
      <c r="AA4821" s="463" t="s">
        <v>15456</v>
      </c>
      <c r="AB4821" s="462" t="s">
        <v>15457</v>
      </c>
      <c r="AC4821" s="462" t="s">
        <v>15458</v>
      </c>
      <c r="AD4821" s="464">
        <v>1676.3867700000001</v>
      </c>
      <c r="AE4821" s="465">
        <v>0</v>
      </c>
      <c r="AF4821" s="86">
        <f>IF(verze!$E$1="CZK",AD4821,IF(verze!$E$1="SK",AE4821,""))</f>
        <v>0</v>
      </c>
    </row>
    <row r="4822" spans="27:32" ht="15">
      <c r="AA4822" s="463" t="s">
        <v>15459</v>
      </c>
      <c r="AB4822" s="462" t="s">
        <v>15460</v>
      </c>
      <c r="AC4822" s="462" t="s">
        <v>15461</v>
      </c>
      <c r="AD4822" s="464">
        <v>691.49091999999996</v>
      </c>
      <c r="AE4822" s="465">
        <v>0</v>
      </c>
      <c r="AF4822" s="86">
        <f>IF(verze!$E$1="CZK",AD4822,IF(verze!$E$1="SK",AE4822,""))</f>
        <v>0</v>
      </c>
    </row>
    <row r="4823" spans="27:32" ht="15">
      <c r="AA4823" s="463" t="s">
        <v>15462</v>
      </c>
      <c r="AB4823" s="462" t="s">
        <v>15463</v>
      </c>
      <c r="AC4823" s="462" t="s">
        <v>15464</v>
      </c>
      <c r="AD4823" s="464">
        <v>700.05894999999998</v>
      </c>
      <c r="AE4823" s="465">
        <v>0</v>
      </c>
      <c r="AF4823" s="86">
        <f>IF(verze!$E$1="CZK",AD4823,IF(verze!$E$1="SK",AE4823,""))</f>
        <v>0</v>
      </c>
    </row>
    <row r="4824" spans="27:32" ht="15">
      <c r="AA4824" s="463" t="s">
        <v>15465</v>
      </c>
      <c r="AB4824" s="462" t="s">
        <v>15466</v>
      </c>
      <c r="AC4824" s="462" t="s">
        <v>15467</v>
      </c>
      <c r="AD4824" s="464">
        <v>708.61374999999998</v>
      </c>
      <c r="AE4824" s="465">
        <v>0</v>
      </c>
      <c r="AF4824" s="86">
        <f>IF(verze!$E$1="CZK",AD4824,IF(verze!$E$1="SK",AE4824,""))</f>
        <v>0</v>
      </c>
    </row>
    <row r="4825" spans="27:32" ht="15">
      <c r="AA4825" s="463" t="s">
        <v>15468</v>
      </c>
      <c r="AB4825" s="462" t="s">
        <v>15469</v>
      </c>
      <c r="AC4825" s="462" t="s">
        <v>15470</v>
      </c>
      <c r="AD4825" s="464">
        <v>691.02489000000003</v>
      </c>
      <c r="AE4825" s="465">
        <v>0</v>
      </c>
      <c r="AF4825" s="86">
        <f>IF(verze!$E$1="CZK",AD4825,IF(verze!$E$1="SK",AE4825,""))</f>
        <v>0</v>
      </c>
    </row>
    <row r="4826" spans="27:32" ht="15">
      <c r="AA4826" s="463" t="s">
        <v>15471</v>
      </c>
      <c r="AB4826" s="462" t="s">
        <v>15472</v>
      </c>
      <c r="AC4826" s="462" t="s">
        <v>15473</v>
      </c>
      <c r="AD4826" s="464">
        <v>696.16097000000002</v>
      </c>
      <c r="AE4826" s="465">
        <v>0</v>
      </c>
      <c r="AF4826" s="86">
        <f>IF(verze!$E$1="CZK",AD4826,IF(verze!$E$1="SK",AE4826,""))</f>
        <v>0</v>
      </c>
    </row>
    <row r="4827" spans="27:32" ht="15">
      <c r="AA4827" s="463" t="s">
        <v>15474</v>
      </c>
      <c r="AB4827" s="462" t="s">
        <v>15475</v>
      </c>
      <c r="AC4827" s="462" t="s">
        <v>15476</v>
      </c>
      <c r="AD4827" s="464">
        <v>702.64340000000004</v>
      </c>
      <c r="AE4827" s="465">
        <v>27.66</v>
      </c>
      <c r="AF4827" s="86">
        <f>IF(verze!$E$1="CZK",AD4827,IF(verze!$E$1="SK",AE4827,""))</f>
        <v>27.66</v>
      </c>
    </row>
    <row r="4828" spans="27:32" ht="15">
      <c r="AA4828" s="463" t="s">
        <v>15477</v>
      </c>
      <c r="AB4828" s="462" t="s">
        <v>15478</v>
      </c>
      <c r="AC4828" s="462" t="s">
        <v>15479</v>
      </c>
      <c r="AD4828" s="464">
        <v>751.87217999999996</v>
      </c>
      <c r="AE4828" s="465">
        <v>0</v>
      </c>
      <c r="AF4828" s="86">
        <f>IF(verze!$E$1="CZK",AD4828,IF(verze!$E$1="SK",AE4828,""))</f>
        <v>0</v>
      </c>
    </row>
    <row r="4829" spans="27:32" ht="15">
      <c r="AA4829" s="463" t="s">
        <v>15480</v>
      </c>
      <c r="AB4829" s="462" t="s">
        <v>15481</v>
      </c>
      <c r="AC4829" s="462" t="s">
        <v>15482</v>
      </c>
      <c r="AD4829" s="464">
        <v>769.42371000000003</v>
      </c>
      <c r="AE4829" s="465">
        <v>0</v>
      </c>
      <c r="AF4829" s="86">
        <f>IF(verze!$E$1="CZK",AD4829,IF(verze!$E$1="SK",AE4829,""))</f>
        <v>0</v>
      </c>
    </row>
    <row r="4830" spans="27:32" ht="15">
      <c r="AA4830" s="463" t="s">
        <v>15483</v>
      </c>
      <c r="AB4830" s="462" t="s">
        <v>15484</v>
      </c>
      <c r="AC4830" s="462" t="s">
        <v>15485</v>
      </c>
      <c r="AD4830" s="464">
        <v>871.55115999999998</v>
      </c>
      <c r="AE4830" s="465">
        <v>0</v>
      </c>
      <c r="AF4830" s="86">
        <f>IF(verze!$E$1="CZK",AD4830,IF(verze!$E$1="SK",AE4830,""))</f>
        <v>0</v>
      </c>
    </row>
    <row r="4831" spans="27:32" ht="15">
      <c r="AA4831" s="463" t="s">
        <v>15486</v>
      </c>
      <c r="AB4831" s="462" t="s">
        <v>15487</v>
      </c>
      <c r="AC4831" s="462" t="s">
        <v>15488</v>
      </c>
      <c r="AD4831" s="464">
        <v>909.40994000000001</v>
      </c>
      <c r="AE4831" s="465">
        <v>0</v>
      </c>
      <c r="AF4831" s="86">
        <f>IF(verze!$E$1="CZK",AD4831,IF(verze!$E$1="SK",AE4831,""))</f>
        <v>0</v>
      </c>
    </row>
    <row r="4832" spans="27:32" ht="15">
      <c r="AA4832" s="463" t="s">
        <v>15489</v>
      </c>
      <c r="AB4832" s="462" t="s">
        <v>15490</v>
      </c>
      <c r="AC4832" s="462" t="s">
        <v>15491</v>
      </c>
      <c r="AD4832" s="464">
        <v>1041.7547</v>
      </c>
      <c r="AE4832" s="465">
        <v>0</v>
      </c>
      <c r="AF4832" s="86">
        <f>IF(verze!$E$1="CZK",AD4832,IF(verze!$E$1="SK",AE4832,""))</f>
        <v>0</v>
      </c>
    </row>
    <row r="4833" spans="27:32" ht="15">
      <c r="AA4833" s="463" t="s">
        <v>15492</v>
      </c>
      <c r="AB4833" s="462" t="s">
        <v>15493</v>
      </c>
      <c r="AC4833" s="462" t="s">
        <v>15494</v>
      </c>
      <c r="AD4833" s="464">
        <v>1676.3867700000001</v>
      </c>
      <c r="AE4833" s="465">
        <v>0</v>
      </c>
      <c r="AF4833" s="86">
        <f>IF(verze!$E$1="CZK",AD4833,IF(verze!$E$1="SK",AE4833,""))</f>
        <v>0</v>
      </c>
    </row>
    <row r="4834" spans="27:32" ht="15">
      <c r="AA4834" s="463" t="s">
        <v>15495</v>
      </c>
      <c r="AB4834" s="462" t="s">
        <v>15496</v>
      </c>
      <c r="AC4834" s="462" t="s">
        <v>15497</v>
      </c>
      <c r="AD4834" s="464">
        <v>691.49091999999996</v>
      </c>
      <c r="AE4834" s="465">
        <v>0</v>
      </c>
      <c r="AF4834" s="86">
        <f>IF(verze!$E$1="CZK",AD4834,IF(verze!$E$1="SK",AE4834,""))</f>
        <v>0</v>
      </c>
    </row>
    <row r="4835" spans="27:32" ht="15">
      <c r="AA4835" s="463" t="s">
        <v>15498</v>
      </c>
      <c r="AB4835" s="462" t="s">
        <v>15499</v>
      </c>
      <c r="AC4835" s="462" t="s">
        <v>15500</v>
      </c>
      <c r="AD4835" s="464">
        <v>700.05894999999998</v>
      </c>
      <c r="AE4835" s="465">
        <v>0</v>
      </c>
      <c r="AF4835" s="86">
        <f>IF(verze!$E$1="CZK",AD4835,IF(verze!$E$1="SK",AE4835,""))</f>
        <v>0</v>
      </c>
    </row>
    <row r="4836" spans="27:32" ht="15">
      <c r="AA4836" s="463" t="s">
        <v>15501</v>
      </c>
      <c r="AB4836" s="462" t="s">
        <v>15502</v>
      </c>
      <c r="AC4836" s="462" t="s">
        <v>15503</v>
      </c>
      <c r="AD4836" s="464">
        <v>708.61374999999998</v>
      </c>
      <c r="AE4836" s="465">
        <v>0</v>
      </c>
      <c r="AF4836" s="86">
        <f>IF(verze!$E$1="CZK",AD4836,IF(verze!$E$1="SK",AE4836,""))</f>
        <v>0</v>
      </c>
    </row>
    <row r="4837" spans="27:32" ht="15">
      <c r="AA4837" s="463" t="s">
        <v>15504</v>
      </c>
      <c r="AB4837" s="462" t="s">
        <v>15505</v>
      </c>
      <c r="AC4837" s="462" t="s">
        <v>15506</v>
      </c>
      <c r="AD4837" s="464">
        <v>717.17651999999998</v>
      </c>
      <c r="AE4837" s="465">
        <v>0</v>
      </c>
      <c r="AF4837" s="86">
        <f>IF(verze!$E$1="CZK",AD4837,IF(verze!$E$1="SK",AE4837,""))</f>
        <v>0</v>
      </c>
    </row>
    <row r="4838" spans="27:32" ht="15">
      <c r="AA4838" s="463" t="s">
        <v>15507</v>
      </c>
      <c r="AB4838" s="462" t="s">
        <v>15508</v>
      </c>
      <c r="AC4838" s="462" t="s">
        <v>15509</v>
      </c>
      <c r="AD4838" s="464">
        <v>691.02489000000003</v>
      </c>
      <c r="AE4838" s="465">
        <v>0</v>
      </c>
      <c r="AF4838" s="86">
        <f>IF(verze!$E$1="CZK",AD4838,IF(verze!$E$1="SK",AE4838,""))</f>
        <v>0</v>
      </c>
    </row>
    <row r="4839" spans="27:32" ht="15">
      <c r="AA4839" s="463" t="s">
        <v>15510</v>
      </c>
      <c r="AB4839" s="462" t="s">
        <v>15511</v>
      </c>
      <c r="AC4839" s="462" t="s">
        <v>15512</v>
      </c>
      <c r="AD4839" s="464">
        <v>696.16097000000002</v>
      </c>
      <c r="AE4839" s="465">
        <v>0</v>
      </c>
      <c r="AF4839" s="86">
        <f>IF(verze!$E$1="CZK",AD4839,IF(verze!$E$1="SK",AE4839,""))</f>
        <v>0</v>
      </c>
    </row>
    <row r="4840" spans="27:32" ht="15">
      <c r="AA4840" s="463" t="s">
        <v>15513</v>
      </c>
      <c r="AB4840" s="462" t="s">
        <v>15514</v>
      </c>
      <c r="AC4840" s="462" t="s">
        <v>15515</v>
      </c>
      <c r="AD4840" s="464">
        <v>702.64340000000004</v>
      </c>
      <c r="AE4840" s="465">
        <v>27.66</v>
      </c>
      <c r="AF4840" s="86">
        <f>IF(verze!$E$1="CZK",AD4840,IF(verze!$E$1="SK",AE4840,""))</f>
        <v>27.66</v>
      </c>
    </row>
    <row r="4841" spans="27:32" ht="15">
      <c r="AA4841" s="463" t="s">
        <v>15516</v>
      </c>
      <c r="AB4841" s="462" t="s">
        <v>15517</v>
      </c>
      <c r="AC4841" s="462" t="s">
        <v>15518</v>
      </c>
      <c r="AD4841" s="464">
        <v>738.96145000000001</v>
      </c>
      <c r="AE4841" s="465">
        <v>0</v>
      </c>
      <c r="AF4841" s="86">
        <f>IF(verze!$E$1="CZK",AD4841,IF(verze!$E$1="SK",AE4841,""))</f>
        <v>0</v>
      </c>
    </row>
    <row r="4842" spans="27:32" ht="15">
      <c r="AA4842" s="463" t="s">
        <v>15516</v>
      </c>
      <c r="AB4842" s="462" t="s">
        <v>15519</v>
      </c>
      <c r="AC4842" s="462" t="s">
        <v>15520</v>
      </c>
      <c r="AD4842" s="464">
        <v>593.17475000000002</v>
      </c>
      <c r="AE4842" s="465">
        <v>14.68815</v>
      </c>
      <c r="AF4842" s="86">
        <f>IF(verze!$E$1="CZK",AD4842,IF(verze!$E$1="SK",AE4842,""))</f>
        <v>14.68815</v>
      </c>
    </row>
    <row r="4843" spans="27:32" ht="15">
      <c r="AA4843" s="463" t="s">
        <v>15521</v>
      </c>
      <c r="AB4843" s="462" t="s">
        <v>15522</v>
      </c>
      <c r="AC4843" s="462" t="s">
        <v>15523</v>
      </c>
      <c r="AD4843" s="464">
        <v>751.87217999999996</v>
      </c>
      <c r="AE4843" s="465">
        <v>0</v>
      </c>
      <c r="AF4843" s="86">
        <f>IF(verze!$E$1="CZK",AD4843,IF(verze!$E$1="SK",AE4843,""))</f>
        <v>0</v>
      </c>
    </row>
    <row r="4844" spans="27:32" ht="15">
      <c r="AA4844" s="463" t="s">
        <v>15524</v>
      </c>
      <c r="AB4844" s="462" t="s">
        <v>15525</v>
      </c>
      <c r="AC4844" s="462" t="s">
        <v>15526</v>
      </c>
      <c r="AD4844" s="464">
        <v>769.42371000000003</v>
      </c>
      <c r="AE4844" s="465">
        <v>0</v>
      </c>
      <c r="AF4844" s="86">
        <f>IF(verze!$E$1="CZK",AD4844,IF(verze!$E$1="SK",AE4844,""))</f>
        <v>0</v>
      </c>
    </row>
    <row r="4845" spans="27:32" ht="15">
      <c r="AA4845" s="463" t="s">
        <v>15524</v>
      </c>
      <c r="AB4845" s="462" t="s">
        <v>15527</v>
      </c>
      <c r="AC4845" s="462" t="s">
        <v>15528</v>
      </c>
      <c r="AD4845" s="464">
        <v>617.62801000000002</v>
      </c>
      <c r="AE4845" s="465">
        <v>15.29365</v>
      </c>
      <c r="AF4845" s="86">
        <f>IF(verze!$E$1="CZK",AD4845,IF(verze!$E$1="SK",AE4845,""))</f>
        <v>15.29365</v>
      </c>
    </row>
    <row r="4846" spans="27:32" ht="15">
      <c r="AA4846" s="463" t="s">
        <v>15529</v>
      </c>
      <c r="AB4846" s="462" t="s">
        <v>15530</v>
      </c>
      <c r="AC4846" s="462" t="s">
        <v>15531</v>
      </c>
      <c r="AD4846" s="464">
        <v>839.17723999999998</v>
      </c>
      <c r="AE4846" s="465">
        <v>0</v>
      </c>
      <c r="AF4846" s="86">
        <f>IF(verze!$E$1="CZK",AD4846,IF(verze!$E$1="SK",AE4846,""))</f>
        <v>0</v>
      </c>
    </row>
    <row r="4847" spans="27:32" ht="15">
      <c r="AA4847" s="463" t="s">
        <v>15532</v>
      </c>
      <c r="AB4847" s="462" t="s">
        <v>15533</v>
      </c>
      <c r="AC4847" s="462" t="s">
        <v>15534</v>
      </c>
      <c r="AD4847" s="464">
        <v>871.55115999999998</v>
      </c>
      <c r="AE4847" s="465">
        <v>0</v>
      </c>
      <c r="AF4847" s="86">
        <f>IF(verze!$E$1="CZK",AD4847,IF(verze!$E$1="SK",AE4847,""))</f>
        <v>0</v>
      </c>
    </row>
    <row r="4848" spans="27:32" ht="15">
      <c r="AA4848" s="463" t="s">
        <v>15535</v>
      </c>
      <c r="AB4848" s="462" t="s">
        <v>15536</v>
      </c>
      <c r="AC4848" s="462" t="s">
        <v>15537</v>
      </c>
      <c r="AD4848" s="464">
        <v>909.40994000000001</v>
      </c>
      <c r="AE4848" s="465">
        <v>0</v>
      </c>
      <c r="AF4848" s="86">
        <f>IF(verze!$E$1="CZK",AD4848,IF(verze!$E$1="SK",AE4848,""))</f>
        <v>0</v>
      </c>
    </row>
    <row r="4849" spans="27:32" ht="15">
      <c r="AA4849" s="463" t="s">
        <v>15538</v>
      </c>
      <c r="AB4849" s="462" t="s">
        <v>15539</v>
      </c>
      <c r="AC4849" s="462" t="s">
        <v>15540</v>
      </c>
      <c r="AD4849" s="464">
        <v>1041.7547</v>
      </c>
      <c r="AE4849" s="465">
        <v>0</v>
      </c>
      <c r="AF4849" s="86">
        <f>IF(verze!$E$1="CZK",AD4849,IF(verze!$E$1="SK",AE4849,""))</f>
        <v>0</v>
      </c>
    </row>
    <row r="4850" spans="27:32" ht="15">
      <c r="AA4850" s="463" t="s">
        <v>15541</v>
      </c>
      <c r="AB4850" s="462" t="s">
        <v>15542</v>
      </c>
      <c r="AC4850" s="462" t="s">
        <v>15543</v>
      </c>
      <c r="AD4850" s="464">
        <v>1062.6538399999999</v>
      </c>
      <c r="AE4850" s="465">
        <v>41.84</v>
      </c>
      <c r="AF4850" s="86">
        <f>IF(verze!$E$1="CZK",AD4850,IF(verze!$E$1="SK",AE4850,""))</f>
        <v>41.84</v>
      </c>
    </row>
    <row r="4851" spans="27:32" ht="15">
      <c r="AA4851" s="463" t="s">
        <v>15544</v>
      </c>
      <c r="AB4851" s="462" t="s">
        <v>15545</v>
      </c>
      <c r="AC4851" s="462" t="s">
        <v>15546</v>
      </c>
      <c r="AD4851" s="464">
        <v>898.57641999999998</v>
      </c>
      <c r="AE4851" s="465">
        <v>22.67428</v>
      </c>
      <c r="AF4851" s="86">
        <f>IF(verze!$E$1="CZK",AD4851,IF(verze!$E$1="SK",AE4851,""))</f>
        <v>22.67428</v>
      </c>
    </row>
    <row r="4852" spans="27:32" ht="15">
      <c r="AA4852" s="463" t="s">
        <v>15547</v>
      </c>
      <c r="AB4852" s="462" t="s">
        <v>15548</v>
      </c>
      <c r="AC4852" s="462" t="s">
        <v>15549</v>
      </c>
      <c r="AD4852" s="464">
        <v>0</v>
      </c>
      <c r="AE4852" s="465">
        <v>0</v>
      </c>
      <c r="AF4852" s="86">
        <f>IF(verze!$E$1="CZK",AD4852,IF(verze!$E$1="SK",AE4852,""))</f>
        <v>0</v>
      </c>
    </row>
    <row r="4853" spans="27:32" ht="15">
      <c r="AA4853" s="463" t="s">
        <v>15547</v>
      </c>
      <c r="AB4853" s="462" t="s">
        <v>15550</v>
      </c>
      <c r="AC4853" s="462" t="s">
        <v>15551</v>
      </c>
      <c r="AD4853" s="464">
        <v>938.20938999999998</v>
      </c>
      <c r="AE4853" s="465">
        <v>23.231850000000001</v>
      </c>
      <c r="AF4853" s="86">
        <f>IF(verze!$E$1="CZK",AD4853,IF(verze!$E$1="SK",AE4853,""))</f>
        <v>23.231850000000001</v>
      </c>
    </row>
    <row r="4854" spans="27:32" ht="15">
      <c r="AA4854" s="463" t="s">
        <v>15552</v>
      </c>
      <c r="AB4854" s="462" t="s">
        <v>15553</v>
      </c>
      <c r="AC4854" s="462" t="s">
        <v>15554</v>
      </c>
      <c r="AD4854" s="464">
        <v>1513.1405</v>
      </c>
      <c r="AE4854" s="465">
        <v>0</v>
      </c>
      <c r="AF4854" s="86">
        <f>IF(verze!$E$1="CZK",AD4854,IF(verze!$E$1="SK",AE4854,""))</f>
        <v>0</v>
      </c>
    </row>
    <row r="4855" spans="27:32" ht="15">
      <c r="AA4855" s="463" t="s">
        <v>15555</v>
      </c>
      <c r="AB4855" s="462" t="s">
        <v>15556</v>
      </c>
      <c r="AC4855" s="462" t="s">
        <v>15557</v>
      </c>
      <c r="AD4855" s="464">
        <v>1676.3867700000001</v>
      </c>
      <c r="AE4855" s="465">
        <v>0</v>
      </c>
      <c r="AF4855" s="86">
        <f>IF(verze!$E$1="CZK",AD4855,IF(verze!$E$1="SK",AE4855,""))</f>
        <v>0</v>
      </c>
    </row>
    <row r="4856" spans="27:32" ht="15">
      <c r="AA4856" s="463" t="s">
        <v>15555</v>
      </c>
      <c r="AB4856" s="462" t="s">
        <v>15558</v>
      </c>
      <c r="AC4856" s="462" t="s">
        <v>15559</v>
      </c>
      <c r="AD4856" s="464">
        <v>1345.6605400000001</v>
      </c>
      <c r="AE4856" s="465">
        <v>33.321109999999997</v>
      </c>
      <c r="AF4856" s="86">
        <f>IF(verze!$E$1="CZK",AD4856,IF(verze!$E$1="SK",AE4856,""))</f>
        <v>33.321109999999997</v>
      </c>
    </row>
    <row r="4857" spans="27:32" ht="15">
      <c r="AA4857" s="463" t="s">
        <v>15560</v>
      </c>
      <c r="AB4857" s="462" t="s">
        <v>15561</v>
      </c>
      <c r="AC4857" s="462" t="s">
        <v>15562</v>
      </c>
      <c r="AD4857" s="464">
        <v>229.76492999999999</v>
      </c>
      <c r="AE4857" s="465">
        <v>11.052530000000001</v>
      </c>
      <c r="AF4857" s="86">
        <f>IF(verze!$E$1="CZK",AD4857,IF(verze!$E$1="SK",AE4857,""))</f>
        <v>11.052530000000001</v>
      </c>
    </row>
    <row r="4858" spans="27:32" ht="15">
      <c r="AA4858" s="463" t="s">
        <v>15563</v>
      </c>
      <c r="AB4858" s="462" t="s">
        <v>15564</v>
      </c>
      <c r="AC4858" s="462" t="s">
        <v>15565</v>
      </c>
      <c r="AD4858" s="464">
        <v>229.76492999999999</v>
      </c>
      <c r="AE4858" s="465">
        <v>11.052530000000001</v>
      </c>
      <c r="AF4858" s="86">
        <f>IF(verze!$E$1="CZK",AD4858,IF(verze!$E$1="SK",AE4858,""))</f>
        <v>11.052530000000001</v>
      </c>
    </row>
    <row r="4859" spans="27:32" ht="15">
      <c r="AA4859" s="463" t="s">
        <v>15566</v>
      </c>
      <c r="AB4859" s="462" t="s">
        <v>15567</v>
      </c>
      <c r="AC4859" s="462" t="s">
        <v>15568</v>
      </c>
      <c r="AD4859" s="464">
        <v>15.801019999999999</v>
      </c>
      <c r="AE4859" s="465">
        <v>0</v>
      </c>
      <c r="AF4859" s="86">
        <f>IF(verze!$E$1="CZK",AD4859,IF(verze!$E$1="SK",AE4859,""))</f>
        <v>0</v>
      </c>
    </row>
    <row r="4860" spans="27:32" ht="15">
      <c r="AA4860" s="463" t="s">
        <v>15569</v>
      </c>
      <c r="AB4860" s="462" t="s">
        <v>15570</v>
      </c>
      <c r="AC4860" s="462" t="s">
        <v>15571</v>
      </c>
      <c r="AD4860" s="464">
        <v>15.975300000000001</v>
      </c>
      <c r="AE4860" s="465">
        <v>0</v>
      </c>
      <c r="AF4860" s="86">
        <f>IF(verze!$E$1="CZK",AD4860,IF(verze!$E$1="SK",AE4860,""))</f>
        <v>0</v>
      </c>
    </row>
    <row r="4861" spans="27:32" ht="15">
      <c r="AA4861" s="463" t="s">
        <v>15572</v>
      </c>
      <c r="AB4861" s="462" t="s">
        <v>15573</v>
      </c>
      <c r="AC4861" s="462" t="s">
        <v>15574</v>
      </c>
      <c r="AD4861" s="464">
        <v>16.27065</v>
      </c>
      <c r="AE4861" s="465">
        <v>0</v>
      </c>
      <c r="AF4861" s="86">
        <f>IF(verze!$E$1="CZK",AD4861,IF(verze!$E$1="SK",AE4861,""))</f>
        <v>0</v>
      </c>
    </row>
    <row r="4862" spans="27:32" ht="15">
      <c r="AA4862" s="463" t="s">
        <v>15575</v>
      </c>
      <c r="AB4862" s="462" t="s">
        <v>15576</v>
      </c>
      <c r="AC4862" s="462" t="s">
        <v>15577</v>
      </c>
      <c r="AD4862" s="464">
        <v>16.563459999999999</v>
      </c>
      <c r="AE4862" s="465">
        <v>0</v>
      </c>
      <c r="AF4862" s="86">
        <f>IF(verze!$E$1="CZK",AD4862,IF(verze!$E$1="SK",AE4862,""))</f>
        <v>0</v>
      </c>
    </row>
    <row r="4863" spans="27:32" ht="15">
      <c r="AA4863" s="463" t="s">
        <v>15578</v>
      </c>
      <c r="AB4863" s="462" t="s">
        <v>15579</v>
      </c>
      <c r="AC4863" s="462" t="s">
        <v>15580</v>
      </c>
      <c r="AD4863" s="464">
        <v>16.858809999999998</v>
      </c>
      <c r="AE4863" s="465">
        <v>0</v>
      </c>
      <c r="AF4863" s="86">
        <f>IF(verze!$E$1="CZK",AD4863,IF(verze!$E$1="SK",AE4863,""))</f>
        <v>0</v>
      </c>
    </row>
    <row r="4864" spans="27:32" ht="15">
      <c r="AA4864" s="463" t="s">
        <v>15581</v>
      </c>
      <c r="AB4864" s="462" t="s">
        <v>15582</v>
      </c>
      <c r="AC4864" s="462" t="s">
        <v>15583</v>
      </c>
      <c r="AD4864" s="464">
        <v>17.151710000000001</v>
      </c>
      <c r="AE4864" s="465">
        <v>0</v>
      </c>
      <c r="AF4864" s="86">
        <f>IF(verze!$E$1="CZK",AD4864,IF(verze!$E$1="SK",AE4864,""))</f>
        <v>0</v>
      </c>
    </row>
    <row r="4865" spans="27:32" ht="15">
      <c r="AA4865" s="463" t="s">
        <v>15584</v>
      </c>
      <c r="AB4865" s="462" t="s">
        <v>15585</v>
      </c>
      <c r="AC4865" s="462" t="s">
        <v>15586</v>
      </c>
      <c r="AD4865" s="464">
        <v>17.444520000000001</v>
      </c>
      <c r="AE4865" s="465">
        <v>0</v>
      </c>
      <c r="AF4865" s="86">
        <f>IF(verze!$E$1="CZK",AD4865,IF(verze!$E$1="SK",AE4865,""))</f>
        <v>0</v>
      </c>
    </row>
    <row r="4866" spans="27:32" ht="15">
      <c r="AA4866" s="463" t="s">
        <v>15587</v>
      </c>
      <c r="AB4866" s="462" t="s">
        <v>15588</v>
      </c>
      <c r="AC4866" s="462" t="s">
        <v>15589</v>
      </c>
      <c r="AD4866" s="464">
        <v>17.894780000000001</v>
      </c>
      <c r="AE4866" s="465">
        <v>0</v>
      </c>
      <c r="AF4866" s="86">
        <f>IF(verze!$E$1="CZK",AD4866,IF(verze!$E$1="SK",AE4866,""))</f>
        <v>0</v>
      </c>
    </row>
    <row r="4867" spans="27:32" ht="15">
      <c r="AA4867" s="463" t="s">
        <v>15590</v>
      </c>
      <c r="AB4867" s="462" t="s">
        <v>15591</v>
      </c>
      <c r="AC4867" s="462" t="s">
        <v>15592</v>
      </c>
      <c r="AD4867" s="464">
        <v>18.497509999999998</v>
      </c>
      <c r="AE4867" s="465">
        <v>0</v>
      </c>
      <c r="AF4867" s="86">
        <f>IF(verze!$E$1="CZK",AD4867,IF(verze!$E$1="SK",AE4867,""))</f>
        <v>0</v>
      </c>
    </row>
    <row r="4868" spans="27:32" ht="15">
      <c r="AA4868" s="463" t="s">
        <v>15593</v>
      </c>
      <c r="AB4868" s="462" t="s">
        <v>15594</v>
      </c>
      <c r="AC4868" s="462" t="s">
        <v>15595</v>
      </c>
      <c r="AD4868" s="464">
        <v>15.801019999999999</v>
      </c>
      <c r="AE4868" s="465">
        <v>0</v>
      </c>
      <c r="AF4868" s="86">
        <f>IF(verze!$E$1="CZK",AD4868,IF(verze!$E$1="SK",AE4868,""))</f>
        <v>0</v>
      </c>
    </row>
    <row r="4869" spans="27:32" ht="15">
      <c r="AA4869" s="463" t="s">
        <v>15596</v>
      </c>
      <c r="AB4869" s="462" t="s">
        <v>15597</v>
      </c>
      <c r="AC4869" s="462" t="s">
        <v>15598</v>
      </c>
      <c r="AD4869" s="464">
        <v>15.975300000000001</v>
      </c>
      <c r="AE4869" s="465">
        <v>0</v>
      </c>
      <c r="AF4869" s="86">
        <f>IF(verze!$E$1="CZK",AD4869,IF(verze!$E$1="SK",AE4869,""))</f>
        <v>0</v>
      </c>
    </row>
    <row r="4870" spans="27:32" ht="15">
      <c r="AA4870" s="463" t="s">
        <v>15599</v>
      </c>
      <c r="AB4870" s="462" t="s">
        <v>15600</v>
      </c>
      <c r="AC4870" s="462" t="s">
        <v>15601</v>
      </c>
      <c r="AD4870" s="464">
        <v>16.27065</v>
      </c>
      <c r="AE4870" s="465">
        <v>0</v>
      </c>
      <c r="AF4870" s="86">
        <f>IF(verze!$E$1="CZK",AD4870,IF(verze!$E$1="SK",AE4870,""))</f>
        <v>0</v>
      </c>
    </row>
    <row r="4871" spans="27:32" ht="15">
      <c r="AA4871" s="463" t="s">
        <v>15602</v>
      </c>
      <c r="AB4871" s="462" t="s">
        <v>15603</v>
      </c>
      <c r="AC4871" s="462" t="s">
        <v>15604</v>
      </c>
      <c r="AD4871" s="464">
        <v>16.563459999999999</v>
      </c>
      <c r="AE4871" s="465">
        <v>0</v>
      </c>
      <c r="AF4871" s="86">
        <f>IF(verze!$E$1="CZK",AD4871,IF(verze!$E$1="SK",AE4871,""))</f>
        <v>0</v>
      </c>
    </row>
    <row r="4872" spans="27:32" ht="15">
      <c r="AA4872" s="463" t="s">
        <v>15605</v>
      </c>
      <c r="AB4872" s="462" t="s">
        <v>15606</v>
      </c>
      <c r="AC4872" s="462" t="s">
        <v>15607</v>
      </c>
      <c r="AD4872" s="464">
        <v>16.858809999999998</v>
      </c>
      <c r="AE4872" s="465">
        <v>0</v>
      </c>
      <c r="AF4872" s="86">
        <f>IF(verze!$E$1="CZK",AD4872,IF(verze!$E$1="SK",AE4872,""))</f>
        <v>0</v>
      </c>
    </row>
    <row r="4873" spans="27:32" ht="15">
      <c r="AA4873" s="463" t="s">
        <v>15608</v>
      </c>
      <c r="AB4873" s="462" t="s">
        <v>15609</v>
      </c>
      <c r="AC4873" s="462" t="s">
        <v>15610</v>
      </c>
      <c r="AD4873" s="464">
        <v>17.151710000000001</v>
      </c>
      <c r="AE4873" s="465">
        <v>0</v>
      </c>
      <c r="AF4873" s="86">
        <f>IF(verze!$E$1="CZK",AD4873,IF(verze!$E$1="SK",AE4873,""))</f>
        <v>0</v>
      </c>
    </row>
    <row r="4874" spans="27:32" ht="15">
      <c r="AA4874" s="463" t="s">
        <v>15611</v>
      </c>
      <c r="AB4874" s="462" t="s">
        <v>15612</v>
      </c>
      <c r="AC4874" s="462" t="s">
        <v>15613</v>
      </c>
      <c r="AD4874" s="464">
        <v>17.444520000000001</v>
      </c>
      <c r="AE4874" s="465">
        <v>0</v>
      </c>
      <c r="AF4874" s="86">
        <f>IF(verze!$E$1="CZK",AD4874,IF(verze!$E$1="SK",AE4874,""))</f>
        <v>0</v>
      </c>
    </row>
    <row r="4875" spans="27:32" ht="15">
      <c r="AA4875" s="463" t="s">
        <v>15614</v>
      </c>
      <c r="AB4875" s="462" t="s">
        <v>15615</v>
      </c>
      <c r="AC4875" s="462" t="s">
        <v>15616</v>
      </c>
      <c r="AD4875" s="464">
        <v>17.894780000000001</v>
      </c>
      <c r="AE4875" s="465">
        <v>0</v>
      </c>
      <c r="AF4875" s="86">
        <f>IF(verze!$E$1="CZK",AD4875,IF(verze!$E$1="SK",AE4875,""))</f>
        <v>0</v>
      </c>
    </row>
    <row r="4876" spans="27:32" ht="15">
      <c r="AA4876" s="463" t="s">
        <v>15617</v>
      </c>
      <c r="AB4876" s="462" t="s">
        <v>15618</v>
      </c>
      <c r="AC4876" s="462" t="s">
        <v>15619</v>
      </c>
      <c r="AD4876" s="464">
        <v>18.497509999999998</v>
      </c>
      <c r="AE4876" s="465">
        <v>0</v>
      </c>
      <c r="AF4876" s="86">
        <f>IF(verze!$E$1="CZK",AD4876,IF(verze!$E$1="SK",AE4876,""))</f>
        <v>0</v>
      </c>
    </row>
    <row r="4877" spans="27:32" ht="15">
      <c r="AA4877" s="463" t="s">
        <v>15620</v>
      </c>
      <c r="AB4877" s="462" t="s">
        <v>15621</v>
      </c>
      <c r="AC4877" s="462" t="s">
        <v>15622</v>
      </c>
      <c r="AD4877" s="464">
        <v>15.801019999999999</v>
      </c>
      <c r="AE4877" s="465">
        <v>0</v>
      </c>
      <c r="AF4877" s="86">
        <f>IF(verze!$E$1="CZK",AD4877,IF(verze!$E$1="SK",AE4877,""))</f>
        <v>0</v>
      </c>
    </row>
    <row r="4878" spans="27:32" ht="15">
      <c r="AA4878" s="463" t="s">
        <v>15623</v>
      </c>
      <c r="AB4878" s="462" t="s">
        <v>15624</v>
      </c>
      <c r="AC4878" s="462" t="s">
        <v>15625</v>
      </c>
      <c r="AD4878" s="464">
        <v>15.975300000000001</v>
      </c>
      <c r="AE4878" s="465">
        <v>0</v>
      </c>
      <c r="AF4878" s="86">
        <f>IF(verze!$E$1="CZK",AD4878,IF(verze!$E$1="SK",AE4878,""))</f>
        <v>0</v>
      </c>
    </row>
    <row r="4879" spans="27:32" ht="15">
      <c r="AA4879" s="463" t="s">
        <v>15626</v>
      </c>
      <c r="AB4879" s="462" t="s">
        <v>15627</v>
      </c>
      <c r="AC4879" s="462" t="s">
        <v>15628</v>
      </c>
      <c r="AD4879" s="464">
        <v>16.27065</v>
      </c>
      <c r="AE4879" s="465">
        <v>0</v>
      </c>
      <c r="AF4879" s="86">
        <f>IF(verze!$E$1="CZK",AD4879,IF(verze!$E$1="SK",AE4879,""))</f>
        <v>0</v>
      </c>
    </row>
    <row r="4880" spans="27:32" ht="15">
      <c r="AA4880" s="463" t="s">
        <v>15629</v>
      </c>
      <c r="AB4880" s="462" t="s">
        <v>15630</v>
      </c>
      <c r="AC4880" s="462" t="s">
        <v>15631</v>
      </c>
      <c r="AD4880" s="464">
        <v>16.563459999999999</v>
      </c>
      <c r="AE4880" s="465">
        <v>0</v>
      </c>
      <c r="AF4880" s="86">
        <f>IF(verze!$E$1="CZK",AD4880,IF(verze!$E$1="SK",AE4880,""))</f>
        <v>0</v>
      </c>
    </row>
    <row r="4881" spans="27:32" ht="15">
      <c r="AA4881" s="463" t="s">
        <v>15632</v>
      </c>
      <c r="AB4881" s="462" t="s">
        <v>15633</v>
      </c>
      <c r="AC4881" s="462" t="s">
        <v>15634</v>
      </c>
      <c r="AD4881" s="464">
        <v>16.858809999999998</v>
      </c>
      <c r="AE4881" s="465">
        <v>0</v>
      </c>
      <c r="AF4881" s="86">
        <f>IF(verze!$E$1="CZK",AD4881,IF(verze!$E$1="SK",AE4881,""))</f>
        <v>0</v>
      </c>
    </row>
    <row r="4882" spans="27:32" ht="15">
      <c r="AA4882" s="463" t="s">
        <v>15635</v>
      </c>
      <c r="AB4882" s="462" t="s">
        <v>15636</v>
      </c>
      <c r="AC4882" s="462" t="s">
        <v>15637</v>
      </c>
      <c r="AD4882" s="464">
        <v>17.151710000000001</v>
      </c>
      <c r="AE4882" s="465">
        <v>0</v>
      </c>
      <c r="AF4882" s="86">
        <f>IF(verze!$E$1="CZK",AD4882,IF(verze!$E$1="SK",AE4882,""))</f>
        <v>0</v>
      </c>
    </row>
    <row r="4883" spans="27:32" ht="15">
      <c r="AA4883" s="463" t="s">
        <v>15638</v>
      </c>
      <c r="AB4883" s="462" t="s">
        <v>15639</v>
      </c>
      <c r="AC4883" s="462" t="s">
        <v>15640</v>
      </c>
      <c r="AD4883" s="464">
        <v>17.444520000000001</v>
      </c>
      <c r="AE4883" s="465">
        <v>0</v>
      </c>
      <c r="AF4883" s="86">
        <f>IF(verze!$E$1="CZK",AD4883,IF(verze!$E$1="SK",AE4883,""))</f>
        <v>0</v>
      </c>
    </row>
    <row r="4884" spans="27:32" ht="15">
      <c r="AA4884" s="463" t="s">
        <v>15641</v>
      </c>
      <c r="AB4884" s="462" t="s">
        <v>15642</v>
      </c>
      <c r="AC4884" s="462" t="s">
        <v>15643</v>
      </c>
      <c r="AD4884" s="464">
        <v>17.894780000000001</v>
      </c>
      <c r="AE4884" s="465">
        <v>0</v>
      </c>
      <c r="AF4884" s="86">
        <f>IF(verze!$E$1="CZK",AD4884,IF(verze!$E$1="SK",AE4884,""))</f>
        <v>0</v>
      </c>
    </row>
    <row r="4885" spans="27:32" ht="15">
      <c r="AA4885" s="463" t="s">
        <v>15644</v>
      </c>
      <c r="AB4885" s="462" t="s">
        <v>15645</v>
      </c>
      <c r="AC4885" s="462" t="s">
        <v>15646</v>
      </c>
      <c r="AD4885" s="464">
        <v>18.497509999999998</v>
      </c>
      <c r="AE4885" s="465">
        <v>0</v>
      </c>
      <c r="AF4885" s="86">
        <f>IF(verze!$E$1="CZK",AD4885,IF(verze!$E$1="SK",AE4885,""))</f>
        <v>0</v>
      </c>
    </row>
    <row r="4886" spans="27:32" ht="15">
      <c r="AA4886" s="463" t="s">
        <v>15647</v>
      </c>
      <c r="AB4886" s="462" t="s">
        <v>15648</v>
      </c>
      <c r="AC4886" s="462" t="s">
        <v>15649</v>
      </c>
      <c r="AD4886" s="464">
        <v>15.801019999999999</v>
      </c>
      <c r="AE4886" s="465">
        <v>0</v>
      </c>
      <c r="AF4886" s="86">
        <f>IF(verze!$E$1="CZK",AD4886,IF(verze!$E$1="SK",AE4886,""))</f>
        <v>0</v>
      </c>
    </row>
    <row r="4887" spans="27:32" ht="15">
      <c r="AA4887" s="463" t="s">
        <v>15650</v>
      </c>
      <c r="AB4887" s="462" t="s">
        <v>15651</v>
      </c>
      <c r="AC4887" s="462" t="s">
        <v>15652</v>
      </c>
      <c r="AD4887" s="464">
        <v>15.975300000000001</v>
      </c>
      <c r="AE4887" s="465">
        <v>0</v>
      </c>
      <c r="AF4887" s="86">
        <f>IF(verze!$E$1="CZK",AD4887,IF(verze!$E$1="SK",AE4887,""))</f>
        <v>0</v>
      </c>
    </row>
    <row r="4888" spans="27:32" ht="15">
      <c r="AA4888" s="463" t="s">
        <v>15653</v>
      </c>
      <c r="AB4888" s="462" t="s">
        <v>15654</v>
      </c>
      <c r="AC4888" s="462" t="s">
        <v>15655</v>
      </c>
      <c r="AD4888" s="464">
        <v>16.27065</v>
      </c>
      <c r="AE4888" s="465">
        <v>0</v>
      </c>
      <c r="AF4888" s="86">
        <f>IF(verze!$E$1="CZK",AD4888,IF(verze!$E$1="SK",AE4888,""))</f>
        <v>0</v>
      </c>
    </row>
    <row r="4889" spans="27:32" ht="15">
      <c r="AA4889" s="463" t="s">
        <v>15656</v>
      </c>
      <c r="AB4889" s="462" t="s">
        <v>15657</v>
      </c>
      <c r="AC4889" s="462" t="s">
        <v>15658</v>
      </c>
      <c r="AD4889" s="464">
        <v>16.563459999999999</v>
      </c>
      <c r="AE4889" s="465">
        <v>0</v>
      </c>
      <c r="AF4889" s="86">
        <f>IF(verze!$E$1="CZK",AD4889,IF(verze!$E$1="SK",AE4889,""))</f>
        <v>0</v>
      </c>
    </row>
    <row r="4890" spans="27:32" ht="15">
      <c r="AA4890" s="463" t="s">
        <v>15659</v>
      </c>
      <c r="AB4890" s="462" t="s">
        <v>15660</v>
      </c>
      <c r="AC4890" s="462" t="s">
        <v>15661</v>
      </c>
      <c r="AD4890" s="464">
        <v>16.858809999999998</v>
      </c>
      <c r="AE4890" s="465">
        <v>0</v>
      </c>
      <c r="AF4890" s="86">
        <f>IF(verze!$E$1="CZK",AD4890,IF(verze!$E$1="SK",AE4890,""))</f>
        <v>0</v>
      </c>
    </row>
    <row r="4891" spans="27:32" ht="15">
      <c r="AA4891" s="463" t="s">
        <v>15662</v>
      </c>
      <c r="AB4891" s="462" t="s">
        <v>15663</v>
      </c>
      <c r="AC4891" s="462" t="s">
        <v>15664</v>
      </c>
      <c r="AD4891" s="464">
        <v>17.151710000000001</v>
      </c>
      <c r="AE4891" s="465">
        <v>0</v>
      </c>
      <c r="AF4891" s="86">
        <f>IF(verze!$E$1="CZK",AD4891,IF(verze!$E$1="SK",AE4891,""))</f>
        <v>0</v>
      </c>
    </row>
    <row r="4892" spans="27:32" ht="15">
      <c r="AA4892" s="463" t="s">
        <v>15665</v>
      </c>
      <c r="AB4892" s="462" t="s">
        <v>15666</v>
      </c>
      <c r="AC4892" s="462" t="s">
        <v>15667</v>
      </c>
      <c r="AD4892" s="464">
        <v>17.444520000000001</v>
      </c>
      <c r="AE4892" s="465">
        <v>0</v>
      </c>
      <c r="AF4892" s="86">
        <f>IF(verze!$E$1="CZK",AD4892,IF(verze!$E$1="SK",AE4892,""))</f>
        <v>0</v>
      </c>
    </row>
    <row r="4893" spans="27:32" ht="15">
      <c r="AA4893" s="463" t="s">
        <v>15668</v>
      </c>
      <c r="AB4893" s="462" t="s">
        <v>15669</v>
      </c>
      <c r="AC4893" s="462" t="s">
        <v>15670</v>
      </c>
      <c r="AD4893" s="464">
        <v>17.894780000000001</v>
      </c>
      <c r="AE4893" s="465">
        <v>0</v>
      </c>
      <c r="AF4893" s="86">
        <f>IF(verze!$E$1="CZK",AD4893,IF(verze!$E$1="SK",AE4893,""))</f>
        <v>0</v>
      </c>
    </row>
    <row r="4894" spans="27:32" ht="15">
      <c r="AA4894" s="463" t="s">
        <v>15671</v>
      </c>
      <c r="AB4894" s="462" t="s">
        <v>15672</v>
      </c>
      <c r="AC4894" s="462" t="s">
        <v>15673</v>
      </c>
      <c r="AD4894" s="464">
        <v>18.497509999999998</v>
      </c>
      <c r="AE4894" s="465">
        <v>0</v>
      </c>
      <c r="AF4894" s="86">
        <f>IF(verze!$E$1="CZK",AD4894,IF(verze!$E$1="SK",AE4894,""))</f>
        <v>0</v>
      </c>
    </row>
    <row r="4895" spans="27:32" ht="15">
      <c r="AA4895" s="463" t="s">
        <v>15674</v>
      </c>
      <c r="AB4895" s="462" t="s">
        <v>15675</v>
      </c>
      <c r="AC4895" s="462" t="s">
        <v>15676</v>
      </c>
      <c r="AD4895" s="464">
        <v>15.801019999999999</v>
      </c>
      <c r="AE4895" s="465">
        <v>0</v>
      </c>
      <c r="AF4895" s="86">
        <f>IF(verze!$E$1="CZK",AD4895,IF(verze!$E$1="SK",AE4895,""))</f>
        <v>0</v>
      </c>
    </row>
    <row r="4896" spans="27:32" ht="15">
      <c r="AA4896" s="463" t="s">
        <v>15677</v>
      </c>
      <c r="AB4896" s="462" t="s">
        <v>15678</v>
      </c>
      <c r="AC4896" s="462" t="s">
        <v>15679</v>
      </c>
      <c r="AD4896" s="464">
        <v>15.975300000000001</v>
      </c>
      <c r="AE4896" s="465">
        <v>0</v>
      </c>
      <c r="AF4896" s="86">
        <f>IF(verze!$E$1="CZK",AD4896,IF(verze!$E$1="SK",AE4896,""))</f>
        <v>0</v>
      </c>
    </row>
    <row r="4897" spans="27:32" ht="15">
      <c r="AA4897" s="463" t="s">
        <v>15680</v>
      </c>
      <c r="AB4897" s="462" t="s">
        <v>15681</v>
      </c>
      <c r="AC4897" s="462" t="s">
        <v>15682</v>
      </c>
      <c r="AD4897" s="464">
        <v>16.563459999999999</v>
      </c>
      <c r="AE4897" s="465">
        <v>0</v>
      </c>
      <c r="AF4897" s="86">
        <f>IF(verze!$E$1="CZK",AD4897,IF(verze!$E$1="SK",AE4897,""))</f>
        <v>0</v>
      </c>
    </row>
    <row r="4898" spans="27:32" ht="15">
      <c r="AA4898" s="463" t="s">
        <v>15683</v>
      </c>
      <c r="AB4898" s="462" t="s">
        <v>15684</v>
      </c>
      <c r="AC4898" s="462" t="s">
        <v>15685</v>
      </c>
      <c r="AD4898" s="464">
        <v>16.858809999999998</v>
      </c>
      <c r="AE4898" s="465">
        <v>0</v>
      </c>
      <c r="AF4898" s="86">
        <f>IF(verze!$E$1="CZK",AD4898,IF(verze!$E$1="SK",AE4898,""))</f>
        <v>0</v>
      </c>
    </row>
    <row r="4899" spans="27:32" ht="15">
      <c r="AA4899" s="463" t="s">
        <v>15686</v>
      </c>
      <c r="AB4899" s="462" t="s">
        <v>15687</v>
      </c>
      <c r="AC4899" s="462" t="s">
        <v>15688</v>
      </c>
      <c r="AD4899" s="464">
        <v>17.151710000000001</v>
      </c>
      <c r="AE4899" s="465">
        <v>0</v>
      </c>
      <c r="AF4899" s="86">
        <f>IF(verze!$E$1="CZK",AD4899,IF(verze!$E$1="SK",AE4899,""))</f>
        <v>0</v>
      </c>
    </row>
    <row r="4900" spans="27:32" ht="15">
      <c r="AA4900" s="463" t="s">
        <v>15689</v>
      </c>
      <c r="AB4900" s="462" t="s">
        <v>15690</v>
      </c>
      <c r="AC4900" s="462" t="s">
        <v>15691</v>
      </c>
      <c r="AD4900" s="464">
        <v>18.497509999999998</v>
      </c>
      <c r="AE4900" s="465">
        <v>0</v>
      </c>
      <c r="AF4900" s="86">
        <f>IF(verze!$E$1="CZK",AD4900,IF(verze!$E$1="SK",AE4900,""))</f>
        <v>0</v>
      </c>
    </row>
    <row r="4901" spans="27:32" ht="15">
      <c r="AA4901" s="463" t="s">
        <v>15692</v>
      </c>
      <c r="AB4901" s="462" t="s">
        <v>15693</v>
      </c>
      <c r="AC4901" s="462" t="s">
        <v>15694</v>
      </c>
      <c r="AD4901" s="464">
        <v>11.304930000000001</v>
      </c>
      <c r="AE4901" s="465">
        <v>0.54381999999999997</v>
      </c>
      <c r="AF4901" s="86">
        <f>IF(verze!$E$1="CZK",AD4901,IF(verze!$E$1="SK",AE4901,""))</f>
        <v>0.54381999999999997</v>
      </c>
    </row>
    <row r="4902" spans="27:32" ht="15">
      <c r="AA4902" s="463" t="s">
        <v>15695</v>
      </c>
      <c r="AB4902" s="462" t="s">
        <v>15696</v>
      </c>
      <c r="AC4902" s="462" t="s">
        <v>15697</v>
      </c>
      <c r="AD4902" s="464">
        <v>11.43294</v>
      </c>
      <c r="AE4902" s="465">
        <v>0.54996999999999996</v>
      </c>
      <c r="AF4902" s="86">
        <f>IF(verze!$E$1="CZK",AD4902,IF(verze!$E$1="SK",AE4902,""))</f>
        <v>0.54996999999999996</v>
      </c>
    </row>
    <row r="4903" spans="27:32" ht="15">
      <c r="AA4903" s="463" t="s">
        <v>15698</v>
      </c>
      <c r="AB4903" s="462" t="s">
        <v>15699</v>
      </c>
      <c r="AC4903" s="462" t="s">
        <v>15700</v>
      </c>
      <c r="AD4903" s="464">
        <v>11.64367</v>
      </c>
      <c r="AE4903" s="465">
        <v>0.56011</v>
      </c>
      <c r="AF4903" s="86">
        <f>IF(verze!$E$1="CZK",AD4903,IF(verze!$E$1="SK",AE4903,""))</f>
        <v>0.56011</v>
      </c>
    </row>
    <row r="4904" spans="27:32" ht="15">
      <c r="AA4904" s="463" t="s">
        <v>15701</v>
      </c>
      <c r="AB4904" s="462" t="s">
        <v>15702</v>
      </c>
      <c r="AC4904" s="462" t="s">
        <v>15703</v>
      </c>
      <c r="AD4904" s="464">
        <v>11.851710000000001</v>
      </c>
      <c r="AE4904" s="465">
        <v>0.57011000000000001</v>
      </c>
      <c r="AF4904" s="86">
        <f>IF(verze!$E$1="CZK",AD4904,IF(verze!$E$1="SK",AE4904,""))</f>
        <v>0.57011000000000001</v>
      </c>
    </row>
    <row r="4905" spans="27:32" ht="15">
      <c r="AA4905" s="463" t="s">
        <v>15704</v>
      </c>
      <c r="AB4905" s="462" t="s">
        <v>15705</v>
      </c>
      <c r="AC4905" s="462" t="s">
        <v>15706</v>
      </c>
      <c r="AD4905" s="464">
        <v>12.06503</v>
      </c>
      <c r="AE4905" s="465">
        <v>0.58038000000000001</v>
      </c>
      <c r="AF4905" s="86">
        <f>IF(verze!$E$1="CZK",AD4905,IF(verze!$E$1="SK",AE4905,""))</f>
        <v>0.58038000000000001</v>
      </c>
    </row>
    <row r="4906" spans="27:32" ht="15">
      <c r="AA4906" s="463" t="s">
        <v>1320</v>
      </c>
      <c r="AB4906" s="462" t="s">
        <v>15707</v>
      </c>
      <c r="AC4906" s="462" t="s">
        <v>15708</v>
      </c>
      <c r="AD4906" s="464">
        <v>11.744149999999999</v>
      </c>
      <c r="AE4906" s="465">
        <v>0.55274000000000001</v>
      </c>
      <c r="AF4906" s="86">
        <f>IF(verze!$E$1="CZK",AD4906,IF(verze!$E$1="SK",AE4906,""))</f>
        <v>0.55274000000000001</v>
      </c>
    </row>
    <row r="4907" spans="27:32" ht="15">
      <c r="AA4907" s="463" t="s">
        <v>15709</v>
      </c>
      <c r="AB4907" s="462" t="s">
        <v>15710</v>
      </c>
      <c r="AC4907" s="462" t="s">
        <v>15711</v>
      </c>
      <c r="AD4907" s="464">
        <v>12.27576</v>
      </c>
      <c r="AE4907" s="465">
        <v>0.59052000000000004</v>
      </c>
      <c r="AF4907" s="86">
        <f>IF(verze!$E$1="CZK",AD4907,IF(verze!$E$1="SK",AE4907,""))</f>
        <v>0.59052000000000004</v>
      </c>
    </row>
    <row r="4908" spans="27:32" ht="15">
      <c r="AA4908" s="463" t="s">
        <v>1320</v>
      </c>
      <c r="AB4908" s="462" t="s">
        <v>15712</v>
      </c>
      <c r="AC4908" s="462" t="s">
        <v>15713</v>
      </c>
      <c r="AD4908" s="464">
        <v>11.94928</v>
      </c>
      <c r="AE4908" s="465">
        <v>0.56240000000000001</v>
      </c>
      <c r="AF4908" s="86">
        <f>IF(verze!$E$1="CZK",AD4908,IF(verze!$E$1="SK",AE4908,""))</f>
        <v>0.56240000000000001</v>
      </c>
    </row>
    <row r="4909" spans="27:32" ht="15">
      <c r="AA4909" s="463" t="s">
        <v>15714</v>
      </c>
      <c r="AB4909" s="462" t="s">
        <v>15715</v>
      </c>
      <c r="AC4909" s="462" t="s">
        <v>15716</v>
      </c>
      <c r="AD4909" s="464">
        <v>12.483689999999999</v>
      </c>
      <c r="AE4909" s="465">
        <v>0.60052000000000005</v>
      </c>
      <c r="AF4909" s="86">
        <f>IF(verze!$E$1="CZK",AD4909,IF(verze!$E$1="SK",AE4909,""))</f>
        <v>0.60052000000000005</v>
      </c>
    </row>
    <row r="4910" spans="27:32" ht="15">
      <c r="AA4910" s="463" t="s">
        <v>15717</v>
      </c>
      <c r="AB4910" s="462" t="s">
        <v>15718</v>
      </c>
      <c r="AC4910" s="462" t="s">
        <v>15719</v>
      </c>
      <c r="AD4910" s="464">
        <v>12.801130000000001</v>
      </c>
      <c r="AE4910" s="465">
        <v>0.61577999999999999</v>
      </c>
      <c r="AF4910" s="86">
        <f>IF(verze!$E$1="CZK",AD4910,IF(verze!$E$1="SK",AE4910,""))</f>
        <v>0.61577999999999999</v>
      </c>
    </row>
    <row r="4911" spans="27:32" ht="15">
      <c r="AA4911" s="463" t="s">
        <v>15720</v>
      </c>
      <c r="AB4911" s="462" t="s">
        <v>15721</v>
      </c>
      <c r="AC4911" s="462" t="s">
        <v>15722</v>
      </c>
      <c r="AD4911" s="464">
        <v>13.233129999999999</v>
      </c>
      <c r="AE4911" s="465">
        <v>0.63656999999999997</v>
      </c>
      <c r="AF4911" s="86">
        <f>IF(verze!$E$1="CZK",AD4911,IF(verze!$E$1="SK",AE4911,""))</f>
        <v>0.63656999999999997</v>
      </c>
    </row>
    <row r="4912" spans="27:32" ht="15">
      <c r="AA4912" s="463" t="s">
        <v>15723</v>
      </c>
      <c r="AB4912" s="462" t="s">
        <v>15724</v>
      </c>
      <c r="AC4912" s="462" t="s">
        <v>15725</v>
      </c>
      <c r="AD4912" s="464">
        <v>11.304930000000001</v>
      </c>
      <c r="AE4912" s="465">
        <v>0.54381999999999997</v>
      </c>
      <c r="AF4912" s="86">
        <f>IF(verze!$E$1="CZK",AD4912,IF(verze!$E$1="SK",AE4912,""))</f>
        <v>0.54381999999999997</v>
      </c>
    </row>
    <row r="4913" spans="27:32" ht="15">
      <c r="AA4913" s="463" t="s">
        <v>15726</v>
      </c>
      <c r="AB4913" s="462" t="s">
        <v>15727</v>
      </c>
      <c r="AC4913" s="462" t="s">
        <v>15728</v>
      </c>
      <c r="AD4913" s="464">
        <v>11.43294</v>
      </c>
      <c r="AE4913" s="465">
        <v>0.54996999999999996</v>
      </c>
      <c r="AF4913" s="86">
        <f>IF(verze!$E$1="CZK",AD4913,IF(verze!$E$1="SK",AE4913,""))</f>
        <v>0.54996999999999996</v>
      </c>
    </row>
    <row r="4914" spans="27:32" ht="15">
      <c r="AA4914" s="463" t="s">
        <v>15729</v>
      </c>
      <c r="AB4914" s="462" t="s">
        <v>15730</v>
      </c>
      <c r="AC4914" s="462" t="s">
        <v>15731</v>
      </c>
      <c r="AD4914" s="464">
        <v>11.64367</v>
      </c>
      <c r="AE4914" s="465">
        <v>0.56011</v>
      </c>
      <c r="AF4914" s="86">
        <f>IF(verze!$E$1="CZK",AD4914,IF(verze!$E$1="SK",AE4914,""))</f>
        <v>0.56011</v>
      </c>
    </row>
    <row r="4915" spans="27:32" ht="15">
      <c r="AA4915" s="463" t="s">
        <v>15732</v>
      </c>
      <c r="AB4915" s="462" t="s">
        <v>15733</v>
      </c>
      <c r="AC4915" s="462" t="s">
        <v>15734</v>
      </c>
      <c r="AD4915" s="464">
        <v>11.851710000000001</v>
      </c>
      <c r="AE4915" s="465">
        <v>0.57011000000000001</v>
      </c>
      <c r="AF4915" s="86">
        <f>IF(verze!$E$1="CZK",AD4915,IF(verze!$E$1="SK",AE4915,""))</f>
        <v>0.57011000000000001</v>
      </c>
    </row>
    <row r="4916" spans="27:32" ht="15">
      <c r="AA4916" s="463" t="s">
        <v>15735</v>
      </c>
      <c r="AB4916" s="462" t="s">
        <v>15736</v>
      </c>
      <c r="AC4916" s="462" t="s">
        <v>15737</v>
      </c>
      <c r="AD4916" s="464">
        <v>12.06503</v>
      </c>
      <c r="AE4916" s="465">
        <v>0.58038000000000001</v>
      </c>
      <c r="AF4916" s="86">
        <f>IF(verze!$E$1="CZK",AD4916,IF(verze!$E$1="SK",AE4916,""))</f>
        <v>0.58038000000000001</v>
      </c>
    </row>
    <row r="4917" spans="27:32" ht="15">
      <c r="AA4917" s="463" t="s">
        <v>15738</v>
      </c>
      <c r="AB4917" s="462" t="s">
        <v>15739</v>
      </c>
      <c r="AC4917" s="462" t="s">
        <v>15740</v>
      </c>
      <c r="AD4917" s="464">
        <v>12.27576</v>
      </c>
      <c r="AE4917" s="465">
        <v>0.59052000000000004</v>
      </c>
      <c r="AF4917" s="86">
        <f>IF(verze!$E$1="CZK",AD4917,IF(verze!$E$1="SK",AE4917,""))</f>
        <v>0.59052000000000004</v>
      </c>
    </row>
    <row r="4918" spans="27:32" ht="15">
      <c r="AA4918" s="463" t="s">
        <v>15741</v>
      </c>
      <c r="AB4918" s="462" t="s">
        <v>15742</v>
      </c>
      <c r="AC4918" s="462" t="s">
        <v>15743</v>
      </c>
      <c r="AD4918" s="464">
        <v>12.801130000000001</v>
      </c>
      <c r="AE4918" s="465">
        <v>0.61577999999999999</v>
      </c>
      <c r="AF4918" s="86">
        <f>IF(verze!$E$1="CZK",AD4918,IF(verze!$E$1="SK",AE4918,""))</f>
        <v>0.61577999999999999</v>
      </c>
    </row>
    <row r="4919" spans="27:32" ht="15">
      <c r="AA4919" s="463" t="s">
        <v>15744</v>
      </c>
      <c r="AB4919" s="462" t="s">
        <v>15745</v>
      </c>
      <c r="AC4919" s="462" t="s">
        <v>15746</v>
      </c>
      <c r="AD4919" s="464">
        <v>13.233129999999999</v>
      </c>
      <c r="AE4919" s="465">
        <v>0.63656999999999997</v>
      </c>
      <c r="AF4919" s="86">
        <f>IF(verze!$E$1="CZK",AD4919,IF(verze!$E$1="SK",AE4919,""))</f>
        <v>0.63656999999999997</v>
      </c>
    </row>
    <row r="4920" spans="27:32" ht="15">
      <c r="AA4920" s="463" t="s">
        <v>15747</v>
      </c>
      <c r="AB4920" s="462" t="s">
        <v>15748</v>
      </c>
      <c r="AC4920" s="462" t="s">
        <v>15749</v>
      </c>
      <c r="AD4920" s="464">
        <v>11.304930000000001</v>
      </c>
      <c r="AE4920" s="465">
        <v>0.54381999999999997</v>
      </c>
      <c r="AF4920" s="86">
        <f>IF(verze!$E$1="CZK",AD4920,IF(verze!$E$1="SK",AE4920,""))</f>
        <v>0.54381999999999997</v>
      </c>
    </row>
    <row r="4921" spans="27:32" ht="15">
      <c r="AA4921" s="463" t="s">
        <v>15750</v>
      </c>
      <c r="AB4921" s="462" t="s">
        <v>15751</v>
      </c>
      <c r="AC4921" s="462" t="s">
        <v>15752</v>
      </c>
      <c r="AD4921" s="464">
        <v>11.43294</v>
      </c>
      <c r="AE4921" s="465">
        <v>0.54996999999999996</v>
      </c>
      <c r="AF4921" s="86">
        <f>IF(verze!$E$1="CZK",AD4921,IF(verze!$E$1="SK",AE4921,""))</f>
        <v>0.54996999999999996</v>
      </c>
    </row>
    <row r="4922" spans="27:32" ht="15">
      <c r="AA4922" s="463" t="s">
        <v>15753</v>
      </c>
      <c r="AB4922" s="462" t="s">
        <v>15754</v>
      </c>
      <c r="AC4922" s="462" t="s">
        <v>15755</v>
      </c>
      <c r="AD4922" s="464">
        <v>11.64367</v>
      </c>
      <c r="AE4922" s="465">
        <v>0.56011</v>
      </c>
      <c r="AF4922" s="86">
        <f>IF(verze!$E$1="CZK",AD4922,IF(verze!$E$1="SK",AE4922,""))</f>
        <v>0.56011</v>
      </c>
    </row>
    <row r="4923" spans="27:32" ht="15">
      <c r="AA4923" s="463" t="s">
        <v>15756</v>
      </c>
      <c r="AB4923" s="462" t="s">
        <v>15757</v>
      </c>
      <c r="AC4923" s="462" t="s">
        <v>15758</v>
      </c>
      <c r="AD4923" s="464">
        <v>11.851710000000001</v>
      </c>
      <c r="AE4923" s="465">
        <v>0.57011000000000001</v>
      </c>
      <c r="AF4923" s="86">
        <f>IF(verze!$E$1="CZK",AD4923,IF(verze!$E$1="SK",AE4923,""))</f>
        <v>0.57011000000000001</v>
      </c>
    </row>
    <row r="4924" spans="27:32" ht="15">
      <c r="AA4924" s="463" t="s">
        <v>15759</v>
      </c>
      <c r="AB4924" s="462" t="s">
        <v>15760</v>
      </c>
      <c r="AC4924" s="462" t="s">
        <v>15761</v>
      </c>
      <c r="AD4924" s="464">
        <v>12.06503</v>
      </c>
      <c r="AE4924" s="465">
        <v>0.58038000000000001</v>
      </c>
      <c r="AF4924" s="86">
        <f>IF(verze!$E$1="CZK",AD4924,IF(verze!$E$1="SK",AE4924,""))</f>
        <v>0.58038000000000001</v>
      </c>
    </row>
    <row r="4925" spans="27:32" ht="15">
      <c r="AA4925" s="463" t="s">
        <v>1320</v>
      </c>
      <c r="AB4925" s="462" t="s">
        <v>15762</v>
      </c>
      <c r="AC4925" s="462" t="s">
        <v>15763</v>
      </c>
      <c r="AD4925" s="464">
        <v>11.744149999999999</v>
      </c>
      <c r="AE4925" s="465">
        <v>0.55274000000000001</v>
      </c>
      <c r="AF4925" s="86">
        <f>IF(verze!$E$1="CZK",AD4925,IF(verze!$E$1="SK",AE4925,""))</f>
        <v>0.55274000000000001</v>
      </c>
    </row>
    <row r="4926" spans="27:32" ht="15">
      <c r="AA4926" s="463" t="s">
        <v>15764</v>
      </c>
      <c r="AB4926" s="462" t="s">
        <v>15765</v>
      </c>
      <c r="AC4926" s="462" t="s">
        <v>15766</v>
      </c>
      <c r="AD4926" s="464">
        <v>12.27576</v>
      </c>
      <c r="AE4926" s="465">
        <v>0.59052000000000004</v>
      </c>
      <c r="AF4926" s="86">
        <f>IF(verze!$E$1="CZK",AD4926,IF(verze!$E$1="SK",AE4926,""))</f>
        <v>0.59052000000000004</v>
      </c>
    </row>
    <row r="4927" spans="27:32" ht="15">
      <c r="AA4927" s="463" t="s">
        <v>15767</v>
      </c>
      <c r="AB4927" s="462" t="s">
        <v>15768</v>
      </c>
      <c r="AC4927" s="462" t="s">
        <v>15769</v>
      </c>
      <c r="AD4927" s="464">
        <v>12.483689999999999</v>
      </c>
      <c r="AE4927" s="465">
        <v>0.60052000000000005</v>
      </c>
      <c r="AF4927" s="86">
        <f>IF(verze!$E$1="CZK",AD4927,IF(verze!$E$1="SK",AE4927,""))</f>
        <v>0.60052000000000005</v>
      </c>
    </row>
    <row r="4928" spans="27:32" ht="15">
      <c r="AA4928" s="463" t="s">
        <v>15770</v>
      </c>
      <c r="AB4928" s="462" t="s">
        <v>15771</v>
      </c>
      <c r="AC4928" s="462" t="s">
        <v>15772</v>
      </c>
      <c r="AD4928" s="464">
        <v>12.801130000000001</v>
      </c>
      <c r="AE4928" s="465">
        <v>0.61577999999999999</v>
      </c>
      <c r="AF4928" s="86">
        <f>IF(verze!$E$1="CZK",AD4928,IF(verze!$E$1="SK",AE4928,""))</f>
        <v>0.61577999999999999</v>
      </c>
    </row>
    <row r="4929" spans="27:32" ht="15">
      <c r="AA4929" s="463" t="s">
        <v>15773</v>
      </c>
      <c r="AB4929" s="462" t="s">
        <v>15774</v>
      </c>
      <c r="AC4929" s="462" t="s">
        <v>15775</v>
      </c>
      <c r="AD4929" s="464">
        <v>13.233129999999999</v>
      </c>
      <c r="AE4929" s="465">
        <v>0.63656999999999997</v>
      </c>
      <c r="AF4929" s="86">
        <f>IF(verze!$E$1="CZK",AD4929,IF(verze!$E$1="SK",AE4929,""))</f>
        <v>0.63656999999999997</v>
      </c>
    </row>
    <row r="4930" spans="27:32" ht="15">
      <c r="AA4930" s="463" t="s">
        <v>15776</v>
      </c>
      <c r="AB4930" s="462" t="s">
        <v>15777</v>
      </c>
      <c r="AC4930" s="462" t="s">
        <v>15778</v>
      </c>
      <c r="AD4930" s="464">
        <v>61.367899999999999</v>
      </c>
      <c r="AE4930" s="465">
        <v>2.9520300000000002</v>
      </c>
      <c r="AF4930" s="86">
        <f>IF(verze!$E$1="CZK",AD4930,IF(verze!$E$1="SK",AE4930,""))</f>
        <v>2.9520300000000002</v>
      </c>
    </row>
    <row r="4931" spans="27:32" ht="15">
      <c r="AA4931" s="463" t="s">
        <v>15779</v>
      </c>
      <c r="AB4931" s="462" t="s">
        <v>15780</v>
      </c>
      <c r="AC4931" s="462" t="s">
        <v>15781</v>
      </c>
      <c r="AD4931" s="464">
        <v>16.912929999999999</v>
      </c>
      <c r="AE4931" s="465">
        <v>0.81357999999999997</v>
      </c>
      <c r="AF4931" s="86">
        <f>IF(verze!$E$1="CZK",AD4931,IF(verze!$E$1="SK",AE4931,""))</f>
        <v>0.81357999999999997</v>
      </c>
    </row>
    <row r="4932" spans="27:32" ht="15">
      <c r="AA4932" s="463" t="s">
        <v>15782</v>
      </c>
      <c r="AB4932" s="462" t="s">
        <v>15783</v>
      </c>
      <c r="AC4932" s="462" t="s">
        <v>15784</v>
      </c>
      <c r="AD4932" s="464">
        <v>17.53717</v>
      </c>
      <c r="AE4932" s="465">
        <v>0.84358999999999995</v>
      </c>
      <c r="AF4932" s="86">
        <f>IF(verze!$E$1="CZK",AD4932,IF(verze!$E$1="SK",AE4932,""))</f>
        <v>0.84358999999999995</v>
      </c>
    </row>
    <row r="4933" spans="27:32" ht="15">
      <c r="AA4933" s="463" t="s">
        <v>15785</v>
      </c>
      <c r="AB4933" s="462" t="s">
        <v>15786</v>
      </c>
      <c r="AC4933" s="462" t="s">
        <v>15787</v>
      </c>
      <c r="AD4933" s="464">
        <v>24.69378</v>
      </c>
      <c r="AE4933" s="465">
        <v>1.1621999999999999</v>
      </c>
      <c r="AF4933" s="86">
        <f>IF(verze!$E$1="CZK",AD4933,IF(verze!$E$1="SK",AE4933,""))</f>
        <v>1.1621999999999999</v>
      </c>
    </row>
    <row r="4934" spans="27:32" ht="15">
      <c r="AA4934" s="463" t="s">
        <v>1320</v>
      </c>
      <c r="AB4934" s="462" t="s">
        <v>15788</v>
      </c>
      <c r="AC4934" s="462" t="s">
        <v>15789</v>
      </c>
      <c r="AD4934" s="464">
        <v>24.69378</v>
      </c>
      <c r="AE4934" s="465">
        <v>1.1621999999999999</v>
      </c>
      <c r="AF4934" s="86">
        <f>IF(verze!$E$1="CZK",AD4934,IF(verze!$E$1="SK",AE4934,""))</f>
        <v>1.1621999999999999</v>
      </c>
    </row>
    <row r="4935" spans="27:32" ht="15">
      <c r="AA4935" s="463" t="s">
        <v>15790</v>
      </c>
      <c r="AB4935" s="462" t="s">
        <v>15791</v>
      </c>
      <c r="AC4935" s="462" t="s">
        <v>15792</v>
      </c>
      <c r="AD4935" s="464">
        <v>25.299289999999999</v>
      </c>
      <c r="AE4935" s="465">
        <v>1.1907000000000001</v>
      </c>
      <c r="AF4935" s="86">
        <f>IF(verze!$E$1="CZK",AD4935,IF(verze!$E$1="SK",AE4935,""))</f>
        <v>1.1907000000000001</v>
      </c>
    </row>
    <row r="4936" spans="27:32" ht="15">
      <c r="AA4936" s="463" t="s">
        <v>15793</v>
      </c>
      <c r="AB4936" s="462" t="s">
        <v>15794</v>
      </c>
      <c r="AC4936" s="462" t="s">
        <v>15795</v>
      </c>
      <c r="AD4936" s="464">
        <v>49.383429999999997</v>
      </c>
      <c r="AE4936" s="465">
        <v>2.32422</v>
      </c>
      <c r="AF4936" s="86">
        <f>IF(verze!$E$1="CZK",AD4936,IF(verze!$E$1="SK",AE4936,""))</f>
        <v>2.32422</v>
      </c>
    </row>
    <row r="4937" spans="27:32" ht="15">
      <c r="AA4937" s="463" t="s">
        <v>1320</v>
      </c>
      <c r="AB4937" s="462" t="s">
        <v>15796</v>
      </c>
      <c r="AC4937" s="462" t="s">
        <v>15797</v>
      </c>
      <c r="AD4937" s="464">
        <v>49.383429999999997</v>
      </c>
      <c r="AE4937" s="465">
        <v>2.32422</v>
      </c>
      <c r="AF4937" s="86">
        <f>IF(verze!$E$1="CZK",AD4937,IF(verze!$E$1="SK",AE4937,""))</f>
        <v>2.32422</v>
      </c>
    </row>
    <row r="4938" spans="27:32" ht="15">
      <c r="AA4938" s="463" t="s">
        <v>15798</v>
      </c>
      <c r="AB4938" s="462" t="s">
        <v>15799</v>
      </c>
      <c r="AC4938" s="462" t="s">
        <v>15800</v>
      </c>
      <c r="AD4938" s="464">
        <v>49.991039999999998</v>
      </c>
      <c r="AE4938" s="465">
        <v>2.3528199999999999</v>
      </c>
      <c r="AF4938" s="86">
        <f>IF(verze!$E$1="CZK",AD4938,IF(verze!$E$1="SK",AE4938,""))</f>
        <v>2.3528199999999999</v>
      </c>
    </row>
    <row r="4939" spans="27:32" ht="15">
      <c r="AA4939" s="463" t="s">
        <v>15801</v>
      </c>
      <c r="AB4939" s="462" t="s">
        <v>15802</v>
      </c>
      <c r="AC4939" s="462" t="s">
        <v>15803</v>
      </c>
      <c r="AD4939" s="464">
        <v>223.77942999999999</v>
      </c>
      <c r="AE4939" s="465">
        <v>10.7646</v>
      </c>
      <c r="AF4939" s="86">
        <f>IF(verze!$E$1="CZK",AD4939,IF(verze!$E$1="SK",AE4939,""))</f>
        <v>10.7646</v>
      </c>
    </row>
    <row r="4940" spans="27:32" ht="15">
      <c r="AA4940" s="463" t="s">
        <v>15804</v>
      </c>
      <c r="AB4940" s="462" t="s">
        <v>15805</v>
      </c>
      <c r="AC4940" s="462" t="s">
        <v>15806</v>
      </c>
      <c r="AD4940" s="464">
        <v>223.77942999999999</v>
      </c>
      <c r="AE4940" s="465">
        <v>10.7646</v>
      </c>
      <c r="AF4940" s="86">
        <f>IF(verze!$E$1="CZK",AD4940,IF(verze!$E$1="SK",AE4940,""))</f>
        <v>10.7646</v>
      </c>
    </row>
    <row r="4941" spans="27:32" ht="15">
      <c r="AA4941" s="463" t="s">
        <v>15807</v>
      </c>
      <c r="AB4941" s="462" t="s">
        <v>15808</v>
      </c>
      <c r="AC4941" s="462" t="s">
        <v>15809</v>
      </c>
      <c r="AD4941" s="464">
        <v>224.26065</v>
      </c>
      <c r="AE4941" s="465">
        <v>10.787739999999999</v>
      </c>
      <c r="AF4941" s="86">
        <f>IF(verze!$E$1="CZK",AD4941,IF(verze!$E$1="SK",AE4941,""))</f>
        <v>10.787739999999999</v>
      </c>
    </row>
    <row r="4942" spans="27:32" ht="15">
      <c r="AA4942" s="463" t="s">
        <v>15810</v>
      </c>
      <c r="AB4942" s="462" t="s">
        <v>15811</v>
      </c>
      <c r="AC4942" s="462" t="s">
        <v>15812</v>
      </c>
      <c r="AD4942" s="464">
        <v>224.26065</v>
      </c>
      <c r="AE4942" s="465">
        <v>10.787739999999999</v>
      </c>
      <c r="AF4942" s="86">
        <f>IF(verze!$E$1="CZK",AD4942,IF(verze!$E$1="SK",AE4942,""))</f>
        <v>10.787739999999999</v>
      </c>
    </row>
    <row r="4943" spans="27:32" ht="15">
      <c r="AA4943" s="463" t="s">
        <v>15813</v>
      </c>
      <c r="AB4943" s="462" t="s">
        <v>15814</v>
      </c>
      <c r="AC4943" s="462" t="s">
        <v>15815</v>
      </c>
      <c r="AD4943" s="464">
        <v>229.11434</v>
      </c>
      <c r="AE4943" s="465">
        <v>11.02122</v>
      </c>
      <c r="AF4943" s="86">
        <f>IF(verze!$E$1="CZK",AD4943,IF(verze!$E$1="SK",AE4943,""))</f>
        <v>11.02122</v>
      </c>
    </row>
    <row r="4944" spans="27:32" ht="15">
      <c r="AA4944" s="463" t="s">
        <v>15816</v>
      </c>
      <c r="AB4944" s="462" t="s">
        <v>15817</v>
      </c>
      <c r="AC4944" s="462" t="s">
        <v>15818</v>
      </c>
      <c r="AD4944" s="464">
        <v>229.11434</v>
      </c>
      <c r="AE4944" s="465">
        <v>11.02122</v>
      </c>
      <c r="AF4944" s="86">
        <f>IF(verze!$E$1="CZK",AD4944,IF(verze!$E$1="SK",AE4944,""))</f>
        <v>11.02122</v>
      </c>
    </row>
    <row r="4945" spans="27:32" ht="15">
      <c r="AA4945" s="463" t="s">
        <v>15819</v>
      </c>
      <c r="AB4945" s="462" t="s">
        <v>15820</v>
      </c>
      <c r="AC4945" s="462" t="s">
        <v>15821</v>
      </c>
      <c r="AD4945" s="464">
        <v>232.02868000000001</v>
      </c>
      <c r="AE4945" s="465">
        <v>11.16142</v>
      </c>
      <c r="AF4945" s="86">
        <f>IF(verze!$E$1="CZK",AD4945,IF(verze!$E$1="SK",AE4945,""))</f>
        <v>11.16142</v>
      </c>
    </row>
    <row r="4946" spans="27:32" ht="15">
      <c r="AA4946" s="463" t="s">
        <v>15822</v>
      </c>
      <c r="AB4946" s="462" t="s">
        <v>15823</v>
      </c>
      <c r="AC4946" s="462" t="s">
        <v>15824</v>
      </c>
      <c r="AD4946" s="464">
        <v>232.02868000000001</v>
      </c>
      <c r="AE4946" s="465">
        <v>11.16142</v>
      </c>
      <c r="AF4946" s="86">
        <f>IF(verze!$E$1="CZK",AD4946,IF(verze!$E$1="SK",AE4946,""))</f>
        <v>11.16142</v>
      </c>
    </row>
    <row r="4947" spans="27:32" ht="15">
      <c r="AA4947" s="463" t="s">
        <v>15825</v>
      </c>
      <c r="AB4947" s="462" t="s">
        <v>15826</v>
      </c>
      <c r="AC4947" s="462" t="s">
        <v>15827</v>
      </c>
      <c r="AD4947" s="464">
        <v>233.96566000000001</v>
      </c>
      <c r="AE4947" s="465">
        <v>11.25459</v>
      </c>
      <c r="AF4947" s="86">
        <f>IF(verze!$E$1="CZK",AD4947,IF(verze!$E$1="SK",AE4947,""))</f>
        <v>11.25459</v>
      </c>
    </row>
    <row r="4948" spans="27:32" ht="15">
      <c r="AA4948" s="463" t="s">
        <v>15828</v>
      </c>
      <c r="AB4948" s="462" t="s">
        <v>15829</v>
      </c>
      <c r="AC4948" s="462" t="s">
        <v>15830</v>
      </c>
      <c r="AD4948" s="464">
        <v>233.96566000000001</v>
      </c>
      <c r="AE4948" s="465">
        <v>11.25459</v>
      </c>
      <c r="AF4948" s="86">
        <f>IF(verze!$E$1="CZK",AD4948,IF(verze!$E$1="SK",AE4948,""))</f>
        <v>11.25459</v>
      </c>
    </row>
    <row r="4949" spans="27:32" ht="15">
      <c r="AA4949" s="463" t="s">
        <v>15831</v>
      </c>
      <c r="AB4949" s="462" t="s">
        <v>15832</v>
      </c>
      <c r="AC4949" s="462" t="s">
        <v>15833</v>
      </c>
      <c r="AD4949" s="464">
        <v>235.90276</v>
      </c>
      <c r="AE4949" s="465">
        <v>11.347770000000001</v>
      </c>
      <c r="AF4949" s="86">
        <f>IF(verze!$E$1="CZK",AD4949,IF(verze!$E$1="SK",AE4949,""))</f>
        <v>11.347770000000001</v>
      </c>
    </row>
    <row r="4950" spans="27:32" ht="15">
      <c r="AA4950" s="463" t="s">
        <v>15834</v>
      </c>
      <c r="AB4950" s="462" t="s">
        <v>15835</v>
      </c>
      <c r="AC4950" s="462" t="s">
        <v>15836</v>
      </c>
      <c r="AD4950" s="464">
        <v>235.90276</v>
      </c>
      <c r="AE4950" s="465">
        <v>11.347770000000001</v>
      </c>
      <c r="AF4950" s="86">
        <f>IF(verze!$E$1="CZK",AD4950,IF(verze!$E$1="SK",AE4950,""))</f>
        <v>11.347770000000001</v>
      </c>
    </row>
    <row r="4951" spans="27:32" ht="15">
      <c r="AA4951" s="463" t="s">
        <v>1320</v>
      </c>
      <c r="AB4951" s="462" t="s">
        <v>15837</v>
      </c>
      <c r="AC4951" s="462" t="s">
        <v>15838</v>
      </c>
      <c r="AD4951" s="464">
        <v>232.46064000000001</v>
      </c>
      <c r="AE4951" s="465">
        <v>10.9407</v>
      </c>
      <c r="AF4951" s="86">
        <f>IF(verze!$E$1="CZK",AD4951,IF(verze!$E$1="SK",AE4951,""))</f>
        <v>10.9407</v>
      </c>
    </row>
    <row r="4952" spans="27:32" ht="15">
      <c r="AA4952" s="463" t="s">
        <v>15839</v>
      </c>
      <c r="AB4952" s="462" t="s">
        <v>15840</v>
      </c>
      <c r="AC4952" s="462" t="s">
        <v>15841</v>
      </c>
      <c r="AD4952" s="464">
        <v>238.81201999999999</v>
      </c>
      <c r="AE4952" s="465">
        <v>11.487740000000001</v>
      </c>
      <c r="AF4952" s="86">
        <f>IF(verze!$E$1="CZK",AD4952,IF(verze!$E$1="SK",AE4952,""))</f>
        <v>11.487740000000001</v>
      </c>
    </row>
    <row r="4953" spans="27:32" ht="15">
      <c r="AA4953" s="463" t="s">
        <v>1320</v>
      </c>
      <c r="AB4953" s="462" t="s">
        <v>15842</v>
      </c>
      <c r="AC4953" s="462" t="s">
        <v>15843</v>
      </c>
      <c r="AD4953" s="464">
        <v>232.46064000000001</v>
      </c>
      <c r="AE4953" s="465">
        <v>10.9407</v>
      </c>
      <c r="AF4953" s="86">
        <f>IF(verze!$E$1="CZK",AD4953,IF(verze!$E$1="SK",AE4953,""))</f>
        <v>10.9407</v>
      </c>
    </row>
    <row r="4954" spans="27:32" ht="15">
      <c r="AA4954" s="463" t="s">
        <v>15844</v>
      </c>
      <c r="AB4954" s="462" t="s">
        <v>15845</v>
      </c>
      <c r="AC4954" s="462" t="s">
        <v>15846</v>
      </c>
      <c r="AD4954" s="464">
        <v>238.81201999999999</v>
      </c>
      <c r="AE4954" s="465">
        <v>11.487740000000001</v>
      </c>
      <c r="AF4954" s="86">
        <f>IF(verze!$E$1="CZK",AD4954,IF(verze!$E$1="SK",AE4954,""))</f>
        <v>11.487740000000001</v>
      </c>
    </row>
    <row r="4955" spans="27:32" ht="15">
      <c r="AA4955" s="463" t="s">
        <v>15847</v>
      </c>
      <c r="AB4955" s="462" t="s">
        <v>15848</v>
      </c>
      <c r="AC4955" s="462" t="s">
        <v>15849</v>
      </c>
      <c r="AD4955" s="464">
        <v>241.72376</v>
      </c>
      <c r="AE4955" s="465">
        <v>11.62778</v>
      </c>
      <c r="AF4955" s="86">
        <f>IF(verze!$E$1="CZK",AD4955,IF(verze!$E$1="SK",AE4955,""))</f>
        <v>11.62778</v>
      </c>
    </row>
    <row r="4956" spans="27:32" ht="15">
      <c r="AA4956" s="463" t="s">
        <v>15850</v>
      </c>
      <c r="AB4956" s="462" t="s">
        <v>15851</v>
      </c>
      <c r="AC4956" s="462" t="s">
        <v>15852</v>
      </c>
      <c r="AD4956" s="464">
        <v>241.72376</v>
      </c>
      <c r="AE4956" s="465">
        <v>11.62778</v>
      </c>
      <c r="AF4956" s="86">
        <f>IF(verze!$E$1="CZK",AD4956,IF(verze!$E$1="SK",AE4956,""))</f>
        <v>11.62778</v>
      </c>
    </row>
    <row r="4957" spans="27:32" ht="15">
      <c r="AA4957" s="463" t="s">
        <v>1320</v>
      </c>
      <c r="AB4957" s="462" t="s">
        <v>15853</v>
      </c>
      <c r="AC4957" s="462" t="s">
        <v>15854</v>
      </c>
      <c r="AD4957" s="464">
        <v>237.18776</v>
      </c>
      <c r="AE4957" s="465">
        <v>11.163180000000001</v>
      </c>
      <c r="AF4957" s="86">
        <f>IF(verze!$E$1="CZK",AD4957,IF(verze!$E$1="SK",AE4957,""))</f>
        <v>11.163180000000001</v>
      </c>
    </row>
    <row r="4958" spans="27:32" ht="15">
      <c r="AA4958" s="463" t="s">
        <v>15855</v>
      </c>
      <c r="AB4958" s="462" t="s">
        <v>15856</v>
      </c>
      <c r="AC4958" s="462" t="s">
        <v>15857</v>
      </c>
      <c r="AD4958" s="464">
        <v>237.18776</v>
      </c>
      <c r="AE4958" s="465">
        <v>11.163180000000001</v>
      </c>
      <c r="AF4958" s="86">
        <f>IF(verze!$E$1="CZK",AD4958,IF(verze!$E$1="SK",AE4958,""))</f>
        <v>11.163180000000001</v>
      </c>
    </row>
    <row r="4959" spans="27:32" ht="15">
      <c r="AA4959" s="463" t="s">
        <v>1320</v>
      </c>
      <c r="AB4959" s="462" t="s">
        <v>15858</v>
      </c>
      <c r="AC4959" s="462" t="s">
        <v>15859</v>
      </c>
      <c r="AD4959" s="464">
        <v>237.18776</v>
      </c>
      <c r="AE4959" s="465">
        <v>11.163180000000001</v>
      </c>
      <c r="AF4959" s="86">
        <f>IF(verze!$E$1="CZK",AD4959,IF(verze!$E$1="SK",AE4959,""))</f>
        <v>11.163180000000001</v>
      </c>
    </row>
    <row r="4960" spans="27:32" ht="15">
      <c r="AA4960" s="463" t="s">
        <v>15860</v>
      </c>
      <c r="AB4960" s="462" t="s">
        <v>15861</v>
      </c>
      <c r="AC4960" s="462" t="s">
        <v>15862</v>
      </c>
      <c r="AD4960" s="464">
        <v>237.18776</v>
      </c>
      <c r="AE4960" s="465">
        <v>11.163180000000001</v>
      </c>
      <c r="AF4960" s="86">
        <f>IF(verze!$E$1="CZK",AD4960,IF(verze!$E$1="SK",AE4960,""))</f>
        <v>11.163180000000001</v>
      </c>
    </row>
    <row r="4961" spans="27:32" ht="15">
      <c r="AA4961" s="463" t="s">
        <v>15863</v>
      </c>
      <c r="AB4961" s="462" t="s">
        <v>15864</v>
      </c>
      <c r="AC4961" s="462" t="s">
        <v>15865</v>
      </c>
      <c r="AD4961" s="464">
        <v>245.61027000000001</v>
      </c>
      <c r="AE4961" s="465">
        <v>11.81475</v>
      </c>
      <c r="AF4961" s="86">
        <f>IF(verze!$E$1="CZK",AD4961,IF(verze!$E$1="SK",AE4961,""))</f>
        <v>11.81475</v>
      </c>
    </row>
    <row r="4962" spans="27:32" ht="15">
      <c r="AA4962" s="463" t="s">
        <v>15866</v>
      </c>
      <c r="AB4962" s="462" t="s">
        <v>15867</v>
      </c>
      <c r="AC4962" s="462" t="s">
        <v>15868</v>
      </c>
      <c r="AD4962" s="464">
        <v>245.61027000000001</v>
      </c>
      <c r="AE4962" s="465">
        <v>11.81475</v>
      </c>
      <c r="AF4962" s="86">
        <f>IF(verze!$E$1="CZK",AD4962,IF(verze!$E$1="SK",AE4962,""))</f>
        <v>11.81475</v>
      </c>
    </row>
    <row r="4963" spans="27:32" ht="15">
      <c r="AA4963" s="463" t="s">
        <v>15869</v>
      </c>
      <c r="AB4963" s="462" t="s">
        <v>15870</v>
      </c>
      <c r="AC4963" s="462" t="s">
        <v>15871</v>
      </c>
      <c r="AD4963" s="464">
        <v>241.90996999999999</v>
      </c>
      <c r="AE4963" s="465">
        <v>11.38542</v>
      </c>
      <c r="AF4963" s="86">
        <f>IF(verze!$E$1="CZK",AD4963,IF(verze!$E$1="SK",AE4963,""))</f>
        <v>11.38542</v>
      </c>
    </row>
    <row r="4964" spans="27:32" ht="15">
      <c r="AA4964" s="463" t="s">
        <v>15872</v>
      </c>
      <c r="AB4964" s="462" t="s">
        <v>15873</v>
      </c>
      <c r="AC4964" s="462" t="s">
        <v>15874</v>
      </c>
      <c r="AD4964" s="464">
        <v>248.51953</v>
      </c>
      <c r="AE4964" s="465">
        <v>11.954689999999999</v>
      </c>
      <c r="AF4964" s="86">
        <f>IF(verze!$E$1="CZK",AD4964,IF(verze!$E$1="SK",AE4964,""))</f>
        <v>11.954689999999999</v>
      </c>
    </row>
    <row r="4965" spans="27:32" ht="15">
      <c r="AA4965" s="463" t="s">
        <v>15875</v>
      </c>
      <c r="AB4965" s="462" t="s">
        <v>15876</v>
      </c>
      <c r="AC4965" s="462" t="s">
        <v>15877</v>
      </c>
      <c r="AD4965" s="464">
        <v>253.36837</v>
      </c>
      <c r="AE4965" s="465">
        <v>12.187939999999999</v>
      </c>
      <c r="AF4965" s="86">
        <f>IF(verze!$E$1="CZK",AD4965,IF(verze!$E$1="SK",AE4965,""))</f>
        <v>12.187939999999999</v>
      </c>
    </row>
    <row r="4966" spans="27:32" ht="15">
      <c r="AA4966" s="463" t="s">
        <v>15878</v>
      </c>
      <c r="AB4966" s="462" t="s">
        <v>15879</v>
      </c>
      <c r="AC4966" s="462" t="s">
        <v>15880</v>
      </c>
      <c r="AD4966" s="464">
        <v>253.36837</v>
      </c>
      <c r="AE4966" s="465">
        <v>12.187939999999999</v>
      </c>
      <c r="AF4966" s="86">
        <f>IF(verze!$E$1="CZK",AD4966,IF(verze!$E$1="SK",AE4966,""))</f>
        <v>12.187939999999999</v>
      </c>
    </row>
    <row r="4967" spans="27:32" ht="15">
      <c r="AA4967" s="463" t="s">
        <v>15881</v>
      </c>
      <c r="AB4967" s="462" t="s">
        <v>15882</v>
      </c>
      <c r="AC4967" s="462" t="s">
        <v>15883</v>
      </c>
      <c r="AD4967" s="464">
        <v>478.60127999999997</v>
      </c>
      <c r="AE4967" s="465">
        <v>23.022449999999999</v>
      </c>
      <c r="AF4967" s="86">
        <f>IF(verze!$E$1="CZK",AD4967,IF(verze!$E$1="SK",AE4967,""))</f>
        <v>23.022449999999999</v>
      </c>
    </row>
    <row r="4968" spans="27:32" ht="15">
      <c r="AA4968" s="463" t="s">
        <v>15884</v>
      </c>
      <c r="AB4968" s="462" t="s">
        <v>15885</v>
      </c>
      <c r="AC4968" s="462" t="s">
        <v>15886</v>
      </c>
      <c r="AD4968" s="464">
        <v>479.57344999999998</v>
      </c>
      <c r="AE4968" s="465">
        <v>23.069210000000002</v>
      </c>
      <c r="AF4968" s="86">
        <f>IF(verze!$E$1="CZK",AD4968,IF(verze!$E$1="SK",AE4968,""))</f>
        <v>23.069210000000002</v>
      </c>
    </row>
    <row r="4969" spans="27:32" ht="15">
      <c r="AA4969" s="463" t="s">
        <v>15887</v>
      </c>
      <c r="AB4969" s="462" t="s">
        <v>15888</v>
      </c>
      <c r="AC4969" s="462" t="s">
        <v>15889</v>
      </c>
      <c r="AD4969" s="464">
        <v>489.27857</v>
      </c>
      <c r="AE4969" s="465">
        <v>23.536069999999999</v>
      </c>
      <c r="AF4969" s="86">
        <f>IF(verze!$E$1="CZK",AD4969,IF(verze!$E$1="SK",AE4969,""))</f>
        <v>23.536069999999999</v>
      </c>
    </row>
    <row r="4970" spans="27:32" ht="15">
      <c r="AA4970" s="463" t="s">
        <v>15890</v>
      </c>
      <c r="AB4970" s="462" t="s">
        <v>15891</v>
      </c>
      <c r="AC4970" s="462" t="s">
        <v>15892</v>
      </c>
      <c r="AD4970" s="464">
        <v>498.97861999999998</v>
      </c>
      <c r="AE4970" s="465">
        <v>24.002659999999999</v>
      </c>
      <c r="AF4970" s="86">
        <f>IF(verze!$E$1="CZK",AD4970,IF(verze!$E$1="SK",AE4970,""))</f>
        <v>24.002659999999999</v>
      </c>
    </row>
    <row r="4971" spans="27:32" ht="15">
      <c r="AA4971" s="463" t="s">
        <v>15893</v>
      </c>
      <c r="AB4971" s="462" t="s">
        <v>15894</v>
      </c>
      <c r="AC4971" s="462" t="s">
        <v>15895</v>
      </c>
      <c r="AD4971" s="464">
        <v>504.59701000000001</v>
      </c>
      <c r="AE4971" s="465">
        <v>23.748699999999999</v>
      </c>
      <c r="AF4971" s="86">
        <f>IF(verze!$E$1="CZK",AD4971,IF(verze!$E$1="SK",AE4971,""))</f>
        <v>23.748699999999999</v>
      </c>
    </row>
    <row r="4972" spans="27:32" ht="15">
      <c r="AA4972" s="463" t="s">
        <v>15896</v>
      </c>
      <c r="AB4972" s="462" t="s">
        <v>15897</v>
      </c>
      <c r="AC4972" s="462" t="s">
        <v>15898</v>
      </c>
      <c r="AD4972" s="464">
        <v>537.79395</v>
      </c>
      <c r="AE4972" s="465">
        <v>25.86984</v>
      </c>
      <c r="AF4972" s="86">
        <f>IF(verze!$E$1="CZK",AD4972,IF(verze!$E$1="SK",AE4972,""))</f>
        <v>25.86984</v>
      </c>
    </row>
    <row r="4973" spans="27:32" ht="15">
      <c r="AA4973" s="463" t="s">
        <v>15899</v>
      </c>
      <c r="AB4973" s="462" t="s">
        <v>15900</v>
      </c>
      <c r="AC4973" s="462" t="s">
        <v>15901</v>
      </c>
      <c r="AD4973" s="464">
        <v>252.8922</v>
      </c>
      <c r="AE4973" s="465">
        <v>12.16503</v>
      </c>
      <c r="AF4973" s="86">
        <f>IF(verze!$E$1="CZK",AD4973,IF(verze!$E$1="SK",AE4973,""))</f>
        <v>12.16503</v>
      </c>
    </row>
    <row r="4974" spans="27:32" ht="15">
      <c r="AA4974" s="463" t="s">
        <v>15902</v>
      </c>
      <c r="AB4974" s="462" t="s">
        <v>15903</v>
      </c>
      <c r="AC4974" s="462" t="s">
        <v>15904</v>
      </c>
      <c r="AD4974" s="464">
        <v>252.8922</v>
      </c>
      <c r="AE4974" s="465">
        <v>12.16503</v>
      </c>
      <c r="AF4974" s="86">
        <f>IF(verze!$E$1="CZK",AD4974,IF(verze!$E$1="SK",AE4974,""))</f>
        <v>12.16503</v>
      </c>
    </row>
    <row r="4975" spans="27:32" ht="15">
      <c r="AA4975" s="463" t="s">
        <v>15905</v>
      </c>
      <c r="AB4975" s="462" t="s">
        <v>15906</v>
      </c>
      <c r="AC4975" s="462" t="s">
        <v>15907</v>
      </c>
      <c r="AD4975" s="464">
        <v>253.36837</v>
      </c>
      <c r="AE4975" s="465">
        <v>12.187939999999999</v>
      </c>
      <c r="AF4975" s="86">
        <f>IF(verze!$E$1="CZK",AD4975,IF(verze!$E$1="SK",AE4975,""))</f>
        <v>12.187939999999999</v>
      </c>
    </row>
    <row r="4976" spans="27:32" ht="15">
      <c r="AA4976" s="463" t="s">
        <v>15908</v>
      </c>
      <c r="AB4976" s="462" t="s">
        <v>15909</v>
      </c>
      <c r="AC4976" s="462" t="s">
        <v>15910</v>
      </c>
      <c r="AD4976" s="464">
        <v>253.36837</v>
      </c>
      <c r="AE4976" s="465">
        <v>12.187939999999999</v>
      </c>
      <c r="AF4976" s="86">
        <f>IF(verze!$E$1="CZK",AD4976,IF(verze!$E$1="SK",AE4976,""))</f>
        <v>12.187939999999999</v>
      </c>
    </row>
    <row r="4977" spans="27:32" ht="15">
      <c r="AA4977" s="463" t="s">
        <v>15911</v>
      </c>
      <c r="AB4977" s="462" t="s">
        <v>15912</v>
      </c>
      <c r="AC4977" s="462" t="s">
        <v>15913</v>
      </c>
      <c r="AD4977" s="464">
        <v>258.22465999999997</v>
      </c>
      <c r="AE4977" s="465">
        <v>12.42154</v>
      </c>
      <c r="AF4977" s="86">
        <f>IF(verze!$E$1="CZK",AD4977,IF(verze!$E$1="SK",AE4977,""))</f>
        <v>12.42154</v>
      </c>
    </row>
    <row r="4978" spans="27:32" ht="15">
      <c r="AA4978" s="463" t="s">
        <v>15914</v>
      </c>
      <c r="AB4978" s="462" t="s">
        <v>15915</v>
      </c>
      <c r="AC4978" s="462" t="s">
        <v>15916</v>
      </c>
      <c r="AD4978" s="464">
        <v>258.22465999999997</v>
      </c>
      <c r="AE4978" s="465">
        <v>12.42154</v>
      </c>
      <c r="AF4978" s="86">
        <f>IF(verze!$E$1="CZK",AD4978,IF(verze!$E$1="SK",AE4978,""))</f>
        <v>12.42154</v>
      </c>
    </row>
    <row r="4979" spans="27:32" ht="15">
      <c r="AA4979" s="463" t="s">
        <v>15917</v>
      </c>
      <c r="AB4979" s="462" t="s">
        <v>15918</v>
      </c>
      <c r="AC4979" s="462" t="s">
        <v>15919</v>
      </c>
      <c r="AD4979" s="464">
        <v>261.13144</v>
      </c>
      <c r="AE4979" s="465">
        <v>12.561360000000001</v>
      </c>
      <c r="AF4979" s="86">
        <f>IF(verze!$E$1="CZK",AD4979,IF(verze!$E$1="SK",AE4979,""))</f>
        <v>12.561360000000001</v>
      </c>
    </row>
    <row r="4980" spans="27:32" ht="15">
      <c r="AA4980" s="463" t="s">
        <v>15920</v>
      </c>
      <c r="AB4980" s="462" t="s">
        <v>15921</v>
      </c>
      <c r="AC4980" s="462" t="s">
        <v>15922</v>
      </c>
      <c r="AD4980" s="464">
        <v>261.13144</v>
      </c>
      <c r="AE4980" s="465">
        <v>12.561360000000001</v>
      </c>
      <c r="AF4980" s="86">
        <f>IF(verze!$E$1="CZK",AD4980,IF(verze!$E$1="SK",AE4980,""))</f>
        <v>12.561360000000001</v>
      </c>
    </row>
    <row r="4981" spans="27:32" ht="15">
      <c r="AA4981" s="463" t="s">
        <v>15923</v>
      </c>
      <c r="AB4981" s="462" t="s">
        <v>15924</v>
      </c>
      <c r="AC4981" s="462" t="s">
        <v>15925</v>
      </c>
      <c r="AD4981" s="464">
        <v>263.07337999999999</v>
      </c>
      <c r="AE4981" s="465">
        <v>12.654769999999999</v>
      </c>
      <c r="AF4981" s="86">
        <f>IF(verze!$E$1="CZK",AD4981,IF(verze!$E$1="SK",AE4981,""))</f>
        <v>12.654769999999999</v>
      </c>
    </row>
    <row r="4982" spans="27:32" ht="15">
      <c r="AA4982" s="463" t="s">
        <v>15926</v>
      </c>
      <c r="AB4982" s="462" t="s">
        <v>15927</v>
      </c>
      <c r="AC4982" s="462" t="s">
        <v>15928</v>
      </c>
      <c r="AD4982" s="464">
        <v>263.07337999999999</v>
      </c>
      <c r="AE4982" s="465">
        <v>12.654769999999999</v>
      </c>
      <c r="AF4982" s="86">
        <f>IF(verze!$E$1="CZK",AD4982,IF(verze!$E$1="SK",AE4982,""))</f>
        <v>12.654769999999999</v>
      </c>
    </row>
    <row r="4983" spans="27:32" ht="15">
      <c r="AA4983" s="463" t="s">
        <v>15929</v>
      </c>
      <c r="AB4983" s="462" t="s">
        <v>15930</v>
      </c>
      <c r="AC4983" s="462" t="s">
        <v>15931</v>
      </c>
      <c r="AD4983" s="464">
        <v>265.01544000000001</v>
      </c>
      <c r="AE4983" s="465">
        <v>12.748200000000001</v>
      </c>
      <c r="AF4983" s="86">
        <f>IF(verze!$E$1="CZK",AD4983,IF(verze!$E$1="SK",AE4983,""))</f>
        <v>12.748200000000001</v>
      </c>
    </row>
    <row r="4984" spans="27:32" ht="15">
      <c r="AA4984" s="463" t="s">
        <v>15932</v>
      </c>
      <c r="AB4984" s="462" t="s">
        <v>15933</v>
      </c>
      <c r="AC4984" s="462" t="s">
        <v>15934</v>
      </c>
      <c r="AD4984" s="464">
        <v>265.01544000000001</v>
      </c>
      <c r="AE4984" s="465">
        <v>12.748200000000001</v>
      </c>
      <c r="AF4984" s="86">
        <f>IF(verze!$E$1="CZK",AD4984,IF(verze!$E$1="SK",AE4984,""))</f>
        <v>12.748200000000001</v>
      </c>
    </row>
    <row r="4985" spans="27:32" ht="15">
      <c r="AA4985" s="463" t="s">
        <v>15935</v>
      </c>
      <c r="AB4985" s="462" t="s">
        <v>15936</v>
      </c>
      <c r="AC4985" s="462" t="s">
        <v>15937</v>
      </c>
      <c r="AD4985" s="464">
        <v>267.92221999999998</v>
      </c>
      <c r="AE4985" s="465">
        <v>12.888019999999999</v>
      </c>
      <c r="AF4985" s="86">
        <f>IF(verze!$E$1="CZK",AD4985,IF(verze!$E$1="SK",AE4985,""))</f>
        <v>12.888019999999999</v>
      </c>
    </row>
    <row r="4986" spans="27:32" ht="15">
      <c r="AA4986" s="463" t="s">
        <v>15938</v>
      </c>
      <c r="AB4986" s="462" t="s">
        <v>15939</v>
      </c>
      <c r="AC4986" s="462" t="s">
        <v>15940</v>
      </c>
      <c r="AD4986" s="464">
        <v>267.92221999999998</v>
      </c>
      <c r="AE4986" s="465">
        <v>12.888019999999999</v>
      </c>
      <c r="AF4986" s="86">
        <f>IF(verze!$E$1="CZK",AD4986,IF(verze!$E$1="SK",AE4986,""))</f>
        <v>12.888019999999999</v>
      </c>
    </row>
    <row r="4987" spans="27:32" ht="15">
      <c r="AA4987" s="463" t="s">
        <v>15941</v>
      </c>
      <c r="AB4987" s="462" t="s">
        <v>15942</v>
      </c>
      <c r="AC4987" s="462" t="s">
        <v>15943</v>
      </c>
      <c r="AD4987" s="464">
        <v>270.83645000000001</v>
      </c>
      <c r="AE4987" s="465">
        <v>13.02821</v>
      </c>
      <c r="AF4987" s="86">
        <f>IF(verze!$E$1="CZK",AD4987,IF(verze!$E$1="SK",AE4987,""))</f>
        <v>13.02821</v>
      </c>
    </row>
    <row r="4988" spans="27:32" ht="15">
      <c r="AA4988" s="463" t="s">
        <v>15944</v>
      </c>
      <c r="AB4988" s="462" t="s">
        <v>15945</v>
      </c>
      <c r="AC4988" s="462" t="s">
        <v>15946</v>
      </c>
      <c r="AD4988" s="464">
        <v>270.83645000000001</v>
      </c>
      <c r="AE4988" s="465">
        <v>13.02821</v>
      </c>
      <c r="AF4988" s="86">
        <f>IF(verze!$E$1="CZK",AD4988,IF(verze!$E$1="SK",AE4988,""))</f>
        <v>13.02821</v>
      </c>
    </row>
    <row r="4989" spans="27:32" ht="15">
      <c r="AA4989" s="463" t="s">
        <v>15947</v>
      </c>
      <c r="AB4989" s="462" t="s">
        <v>15948</v>
      </c>
      <c r="AC4989" s="462" t="s">
        <v>15949</v>
      </c>
      <c r="AD4989" s="464">
        <v>265.52375999999998</v>
      </c>
      <c r="AE4989" s="465">
        <v>12.496779999999999</v>
      </c>
      <c r="AF4989" s="86">
        <f>IF(verze!$E$1="CZK",AD4989,IF(verze!$E$1="SK",AE4989,""))</f>
        <v>12.496779999999999</v>
      </c>
    </row>
    <row r="4990" spans="27:32" ht="15">
      <c r="AA4990" s="463" t="s">
        <v>15950</v>
      </c>
      <c r="AB4990" s="462" t="s">
        <v>15951</v>
      </c>
      <c r="AC4990" s="462" t="s">
        <v>15952</v>
      </c>
      <c r="AD4990" s="464">
        <v>265.52375999999998</v>
      </c>
      <c r="AE4990" s="465">
        <v>12.496779999999999</v>
      </c>
      <c r="AF4990" s="86">
        <f>IF(verze!$E$1="CZK",AD4990,IF(verze!$E$1="SK",AE4990,""))</f>
        <v>12.496779999999999</v>
      </c>
    </row>
    <row r="4991" spans="27:32" ht="15">
      <c r="AA4991" s="463" t="s">
        <v>15953</v>
      </c>
      <c r="AB4991" s="462" t="s">
        <v>15954</v>
      </c>
      <c r="AC4991" s="462" t="s">
        <v>15955</v>
      </c>
      <c r="AD4991" s="464">
        <v>274.72046999999998</v>
      </c>
      <c r="AE4991" s="465">
        <v>13.21505</v>
      </c>
      <c r="AF4991" s="86">
        <f>IF(verze!$E$1="CZK",AD4991,IF(verze!$E$1="SK",AE4991,""))</f>
        <v>13.21505</v>
      </c>
    </row>
    <row r="4992" spans="27:32" ht="15">
      <c r="AA4992" s="463" t="s">
        <v>15956</v>
      </c>
      <c r="AB4992" s="462" t="s">
        <v>15957</v>
      </c>
      <c r="AC4992" s="462" t="s">
        <v>15958</v>
      </c>
      <c r="AD4992" s="464">
        <v>274.72046999999998</v>
      </c>
      <c r="AE4992" s="465">
        <v>13.21505</v>
      </c>
      <c r="AF4992" s="86">
        <f>IF(verze!$E$1="CZK",AD4992,IF(verze!$E$1="SK",AE4992,""))</f>
        <v>13.21505</v>
      </c>
    </row>
    <row r="4993" spans="27:32" ht="15">
      <c r="AA4993" s="463" t="s">
        <v>15959</v>
      </c>
      <c r="AB4993" s="462" t="s">
        <v>15960</v>
      </c>
      <c r="AC4993" s="462" t="s">
        <v>15961</v>
      </c>
      <c r="AD4993" s="464">
        <v>270.22431</v>
      </c>
      <c r="AE4993" s="465">
        <v>12.718019999999999</v>
      </c>
      <c r="AF4993" s="86">
        <f>IF(verze!$E$1="CZK",AD4993,IF(verze!$E$1="SK",AE4993,""))</f>
        <v>12.718019999999999</v>
      </c>
    </row>
    <row r="4994" spans="27:32" ht="15">
      <c r="AA4994" s="463" t="s">
        <v>15962</v>
      </c>
      <c r="AB4994" s="462" t="s">
        <v>15963</v>
      </c>
      <c r="AC4994" s="462" t="s">
        <v>15964</v>
      </c>
      <c r="AD4994" s="464">
        <v>277.60748999999998</v>
      </c>
      <c r="AE4994" s="465">
        <v>13.35392</v>
      </c>
      <c r="AF4994" s="86">
        <f>IF(verze!$E$1="CZK",AD4994,IF(verze!$E$1="SK",AE4994,""))</f>
        <v>13.35392</v>
      </c>
    </row>
    <row r="4995" spans="27:32" ht="15">
      <c r="AA4995" s="463" t="s">
        <v>15965</v>
      </c>
      <c r="AB4995" s="462" t="s">
        <v>15966</v>
      </c>
      <c r="AC4995" s="462" t="s">
        <v>15967</v>
      </c>
      <c r="AD4995" s="464">
        <v>282.45375999999999</v>
      </c>
      <c r="AE4995" s="465">
        <v>13.58704</v>
      </c>
      <c r="AF4995" s="86">
        <f>IF(verze!$E$1="CZK",AD4995,IF(verze!$E$1="SK",AE4995,""))</f>
        <v>13.58704</v>
      </c>
    </row>
    <row r="4996" spans="27:32" ht="15">
      <c r="AA4996" s="463" t="s">
        <v>15968</v>
      </c>
      <c r="AB4996" s="462" t="s">
        <v>15969</v>
      </c>
      <c r="AC4996" s="462" t="s">
        <v>15970</v>
      </c>
      <c r="AD4996" s="464">
        <v>282.45375999999999</v>
      </c>
      <c r="AE4996" s="465">
        <v>13.58704</v>
      </c>
      <c r="AF4996" s="86">
        <f>IF(verze!$E$1="CZK",AD4996,IF(verze!$E$1="SK",AE4996,""))</f>
        <v>13.58704</v>
      </c>
    </row>
    <row r="4997" spans="27:32" ht="15">
      <c r="AA4997" s="463" t="s">
        <v>15971</v>
      </c>
      <c r="AB4997" s="462" t="s">
        <v>15972</v>
      </c>
      <c r="AC4997" s="462" t="s">
        <v>15973</v>
      </c>
      <c r="AD4997" s="464">
        <v>536.84897999999998</v>
      </c>
      <c r="AE4997" s="465">
        <v>25.824369999999998</v>
      </c>
      <c r="AF4997" s="86">
        <f>IF(verze!$E$1="CZK",AD4997,IF(verze!$E$1="SK",AE4997,""))</f>
        <v>25.824369999999998</v>
      </c>
    </row>
    <row r="4998" spans="27:32" ht="15">
      <c r="AA4998" s="463" t="s">
        <v>15974</v>
      </c>
      <c r="AB4998" s="462" t="s">
        <v>15975</v>
      </c>
      <c r="AC4998" s="462" t="s">
        <v>15976</v>
      </c>
      <c r="AD4998" s="464">
        <v>537.79395</v>
      </c>
      <c r="AE4998" s="465">
        <v>25.86984</v>
      </c>
      <c r="AF4998" s="86">
        <f>IF(verze!$E$1="CZK",AD4998,IF(verze!$E$1="SK",AE4998,""))</f>
        <v>25.86984</v>
      </c>
    </row>
    <row r="4999" spans="27:32" ht="15">
      <c r="AA4999" s="463" t="s">
        <v>15977</v>
      </c>
      <c r="AB4999" s="462" t="s">
        <v>15978</v>
      </c>
      <c r="AC4999" s="462" t="s">
        <v>15979</v>
      </c>
      <c r="AD4999" s="464">
        <v>547.49897999999996</v>
      </c>
      <c r="AE4999" s="465">
        <v>26.336690000000001</v>
      </c>
      <c r="AF4999" s="86">
        <f>IF(verze!$E$1="CZK",AD4999,IF(verze!$E$1="SK",AE4999,""))</f>
        <v>26.336690000000001</v>
      </c>
    </row>
    <row r="5000" spans="27:32" ht="15">
      <c r="AA5000" s="463" t="s">
        <v>15980</v>
      </c>
      <c r="AB5000" s="462" t="s">
        <v>15981</v>
      </c>
      <c r="AC5000" s="462" t="s">
        <v>15982</v>
      </c>
      <c r="AD5000" s="464">
        <v>557.20162000000005</v>
      </c>
      <c r="AE5000" s="465">
        <v>26.80339</v>
      </c>
      <c r="AF5000" s="86">
        <f>IF(verze!$E$1="CZK",AD5000,IF(verze!$E$1="SK",AE5000,""))</f>
        <v>26.80339</v>
      </c>
    </row>
    <row r="5001" spans="27:32" ht="15">
      <c r="AA5001" s="463" t="s">
        <v>15983</v>
      </c>
      <c r="AB5001" s="462" t="s">
        <v>15984</v>
      </c>
      <c r="AC5001" s="462" t="s">
        <v>15985</v>
      </c>
      <c r="AD5001" s="464">
        <v>566.90911000000006</v>
      </c>
      <c r="AE5001" s="465">
        <v>27.270389999999999</v>
      </c>
      <c r="AF5001" s="86">
        <f>IF(verze!$E$1="CZK",AD5001,IF(verze!$E$1="SK",AE5001,""))</f>
        <v>27.270389999999999</v>
      </c>
    </row>
    <row r="5002" spans="27:32" ht="15">
      <c r="AA5002" s="463" t="s">
        <v>15986</v>
      </c>
      <c r="AB5002" s="462" t="s">
        <v>15987</v>
      </c>
      <c r="AC5002" s="462" t="s">
        <v>15988</v>
      </c>
      <c r="AD5002" s="464">
        <v>586.3143</v>
      </c>
      <c r="AE5002" s="465">
        <v>28.20382</v>
      </c>
      <c r="AF5002" s="86">
        <f>IF(verze!$E$1="CZK",AD5002,IF(verze!$E$1="SK",AE5002,""))</f>
        <v>28.20382</v>
      </c>
    </row>
    <row r="5003" spans="27:32" ht="15">
      <c r="AA5003" s="463" t="s">
        <v>15989</v>
      </c>
      <c r="AB5003" s="462" t="s">
        <v>15990</v>
      </c>
      <c r="AC5003" s="462" t="s">
        <v>15991</v>
      </c>
      <c r="AD5003" s="464">
        <v>596.01683000000003</v>
      </c>
      <c r="AE5003" s="465">
        <v>28.670570000000001</v>
      </c>
      <c r="AF5003" s="86">
        <f>IF(verze!$E$1="CZK",AD5003,IF(verze!$E$1="SK",AE5003,""))</f>
        <v>28.670570000000001</v>
      </c>
    </row>
    <row r="5004" spans="27:32" ht="15">
      <c r="AA5004" s="463" t="s">
        <v>15992</v>
      </c>
      <c r="AB5004" s="462" t="s">
        <v>15993</v>
      </c>
      <c r="AC5004" s="462" t="s">
        <v>15994</v>
      </c>
      <c r="AD5004" s="464">
        <v>223.77942999999999</v>
      </c>
      <c r="AE5004" s="465">
        <v>10.7646</v>
      </c>
      <c r="AF5004" s="86">
        <f>IF(verze!$E$1="CZK",AD5004,IF(verze!$E$1="SK",AE5004,""))</f>
        <v>10.7646</v>
      </c>
    </row>
    <row r="5005" spans="27:32" ht="15">
      <c r="AA5005" s="463" t="s">
        <v>15995</v>
      </c>
      <c r="AB5005" s="462" t="s">
        <v>15996</v>
      </c>
      <c r="AC5005" s="462" t="s">
        <v>15997</v>
      </c>
      <c r="AD5005" s="464">
        <v>223.77942999999999</v>
      </c>
      <c r="AE5005" s="465">
        <v>10.7646</v>
      </c>
      <c r="AF5005" s="86">
        <f>IF(verze!$E$1="CZK",AD5005,IF(verze!$E$1="SK",AE5005,""))</f>
        <v>10.7646</v>
      </c>
    </row>
    <row r="5006" spans="27:32" ht="15">
      <c r="AA5006" s="463" t="s">
        <v>15998</v>
      </c>
      <c r="AB5006" s="462" t="s">
        <v>15999</v>
      </c>
      <c r="AC5006" s="462" t="s">
        <v>16000</v>
      </c>
      <c r="AD5006" s="464">
        <v>224.26065</v>
      </c>
      <c r="AE5006" s="465">
        <v>10.787739999999999</v>
      </c>
      <c r="AF5006" s="86">
        <f>IF(verze!$E$1="CZK",AD5006,IF(verze!$E$1="SK",AE5006,""))</f>
        <v>10.787739999999999</v>
      </c>
    </row>
    <row r="5007" spans="27:32" ht="15">
      <c r="AA5007" s="463" t="s">
        <v>16001</v>
      </c>
      <c r="AB5007" s="462" t="s">
        <v>16002</v>
      </c>
      <c r="AC5007" s="462" t="s">
        <v>16003</v>
      </c>
      <c r="AD5007" s="464">
        <v>224.26065</v>
      </c>
      <c r="AE5007" s="465">
        <v>10.787739999999999</v>
      </c>
      <c r="AF5007" s="86">
        <f>IF(verze!$E$1="CZK",AD5007,IF(verze!$E$1="SK",AE5007,""))</f>
        <v>10.787739999999999</v>
      </c>
    </row>
    <row r="5008" spans="27:32" ht="15">
      <c r="AA5008" s="463" t="s">
        <v>16004</v>
      </c>
      <c r="AB5008" s="462" t="s">
        <v>16005</v>
      </c>
      <c r="AC5008" s="462" t="s">
        <v>16006</v>
      </c>
      <c r="AD5008" s="464">
        <v>229.11434</v>
      </c>
      <c r="AE5008" s="465">
        <v>11.02122</v>
      </c>
      <c r="AF5008" s="86">
        <f>IF(verze!$E$1="CZK",AD5008,IF(verze!$E$1="SK",AE5008,""))</f>
        <v>11.02122</v>
      </c>
    </row>
    <row r="5009" spans="27:32" ht="15">
      <c r="AA5009" s="463" t="s">
        <v>16007</v>
      </c>
      <c r="AB5009" s="462" t="s">
        <v>16008</v>
      </c>
      <c r="AC5009" s="462" t="s">
        <v>16009</v>
      </c>
      <c r="AD5009" s="464">
        <v>229.11434</v>
      </c>
      <c r="AE5009" s="465">
        <v>11.02122</v>
      </c>
      <c r="AF5009" s="86">
        <f>IF(verze!$E$1="CZK",AD5009,IF(verze!$E$1="SK",AE5009,""))</f>
        <v>11.02122</v>
      </c>
    </row>
    <row r="5010" spans="27:32" ht="15">
      <c r="AA5010" s="463" t="s">
        <v>16010</v>
      </c>
      <c r="AB5010" s="462" t="s">
        <v>16011</v>
      </c>
      <c r="AC5010" s="462" t="s">
        <v>16012</v>
      </c>
      <c r="AD5010" s="464">
        <v>478.60127999999997</v>
      </c>
      <c r="AE5010" s="465">
        <v>23.022449999999999</v>
      </c>
      <c r="AF5010" s="86">
        <f>IF(verze!$E$1="CZK",AD5010,IF(verze!$E$1="SK",AE5010,""))</f>
        <v>23.022449999999999</v>
      </c>
    </row>
    <row r="5011" spans="27:32" ht="15">
      <c r="AA5011" s="463" t="s">
        <v>16013</v>
      </c>
      <c r="AB5011" s="462" t="s">
        <v>16014</v>
      </c>
      <c r="AC5011" s="462" t="s">
        <v>16015</v>
      </c>
      <c r="AD5011" s="464">
        <v>479.57344999999998</v>
      </c>
      <c r="AE5011" s="465">
        <v>23.069210000000002</v>
      </c>
      <c r="AF5011" s="86">
        <f>IF(verze!$E$1="CZK",AD5011,IF(verze!$E$1="SK",AE5011,""))</f>
        <v>23.069210000000002</v>
      </c>
    </row>
    <row r="5012" spans="27:32" ht="15">
      <c r="AA5012" s="463" t="s">
        <v>16016</v>
      </c>
      <c r="AB5012" s="462" t="s">
        <v>16017</v>
      </c>
      <c r="AC5012" s="462" t="s">
        <v>16018</v>
      </c>
      <c r="AD5012" s="464">
        <v>489.27857</v>
      </c>
      <c r="AE5012" s="465">
        <v>23.536069999999999</v>
      </c>
      <c r="AF5012" s="86">
        <f>IF(verze!$E$1="CZK",AD5012,IF(verze!$E$1="SK",AE5012,""))</f>
        <v>23.536069999999999</v>
      </c>
    </row>
    <row r="5013" spans="27:32" ht="15">
      <c r="AA5013" s="463" t="s">
        <v>16019</v>
      </c>
      <c r="AB5013" s="462" t="s">
        <v>16020</v>
      </c>
      <c r="AC5013" s="462" t="s">
        <v>16021</v>
      </c>
      <c r="AD5013" s="464">
        <v>0</v>
      </c>
      <c r="AE5013" s="465">
        <v>0</v>
      </c>
      <c r="AF5013" s="86">
        <f>IF(verze!$E$1="CZK",AD5013,IF(verze!$E$1="SK",AE5013,""))</f>
        <v>0</v>
      </c>
    </row>
    <row r="5014" spans="27:32" ht="15">
      <c r="AA5014" s="463" t="s">
        <v>16022</v>
      </c>
      <c r="AB5014" s="462" t="s">
        <v>16023</v>
      </c>
      <c r="AC5014" s="462" t="s">
        <v>16024</v>
      </c>
      <c r="AD5014" s="464">
        <v>0</v>
      </c>
      <c r="AE5014" s="465">
        <v>0</v>
      </c>
      <c r="AF5014" s="86">
        <f>IF(verze!$E$1="CZK",AD5014,IF(verze!$E$1="SK",AE5014,""))</f>
        <v>0</v>
      </c>
    </row>
    <row r="5015" spans="27:32" ht="15">
      <c r="AA5015" s="463" t="s">
        <v>16025</v>
      </c>
      <c r="AB5015" s="462" t="s">
        <v>16026</v>
      </c>
      <c r="AC5015" s="462" t="s">
        <v>16027</v>
      </c>
      <c r="AD5015" s="464">
        <v>0</v>
      </c>
      <c r="AE5015" s="465">
        <v>0</v>
      </c>
      <c r="AF5015" s="86">
        <f>IF(verze!$E$1="CZK",AD5015,IF(verze!$E$1="SK",AE5015,""))</f>
        <v>0</v>
      </c>
    </row>
    <row r="5016" spans="27:32" ht="15">
      <c r="AA5016" s="463" t="s">
        <v>16028</v>
      </c>
      <c r="AB5016" s="462" t="s">
        <v>16029</v>
      </c>
      <c r="AC5016" s="462" t="s">
        <v>16030</v>
      </c>
      <c r="AD5016" s="464">
        <v>0</v>
      </c>
      <c r="AE5016" s="465">
        <v>0</v>
      </c>
      <c r="AF5016" s="86">
        <f>IF(verze!$E$1="CZK",AD5016,IF(verze!$E$1="SK",AE5016,""))</f>
        <v>0</v>
      </c>
    </row>
    <row r="5017" spans="27:32" ht="15">
      <c r="AA5017" s="463" t="s">
        <v>16031</v>
      </c>
      <c r="AB5017" s="462" t="s">
        <v>16032</v>
      </c>
      <c r="AC5017" s="462" t="s">
        <v>16033</v>
      </c>
      <c r="AD5017" s="464">
        <v>0</v>
      </c>
      <c r="AE5017" s="465">
        <v>0</v>
      </c>
      <c r="AF5017" s="86">
        <f>IF(verze!$E$1="CZK",AD5017,IF(verze!$E$1="SK",AE5017,""))</f>
        <v>0</v>
      </c>
    </row>
    <row r="5018" spans="27:32" ht="15">
      <c r="AA5018" s="463" t="s">
        <v>16034</v>
      </c>
      <c r="AB5018" s="462" t="s">
        <v>16035</v>
      </c>
      <c r="AC5018" s="462" t="s">
        <v>16036</v>
      </c>
      <c r="AD5018" s="464">
        <v>0</v>
      </c>
      <c r="AE5018" s="465">
        <v>0</v>
      </c>
      <c r="AF5018" s="86">
        <f>IF(verze!$E$1="CZK",AD5018,IF(verze!$E$1="SK",AE5018,""))</f>
        <v>0</v>
      </c>
    </row>
    <row r="5019" spans="27:32" ht="15">
      <c r="AA5019" s="463" t="s">
        <v>16037</v>
      </c>
      <c r="AB5019" s="462" t="s">
        <v>16038</v>
      </c>
      <c r="AC5019" s="462" t="s">
        <v>16039</v>
      </c>
      <c r="AD5019" s="464">
        <v>380.11588</v>
      </c>
      <c r="AE5019" s="465">
        <v>18.284949999999998</v>
      </c>
      <c r="AF5019" s="86">
        <f>IF(verze!$E$1="CZK",AD5019,IF(verze!$E$1="SK",AE5019,""))</f>
        <v>18.284949999999998</v>
      </c>
    </row>
    <row r="5020" spans="27:32" ht="15">
      <c r="AA5020" s="463" t="s">
        <v>16040</v>
      </c>
      <c r="AB5020" s="462" t="s">
        <v>16041</v>
      </c>
      <c r="AC5020" s="462" t="s">
        <v>16042</v>
      </c>
      <c r="AD5020" s="464">
        <v>380.11588</v>
      </c>
      <c r="AE5020" s="465">
        <v>18.284949999999998</v>
      </c>
      <c r="AF5020" s="86">
        <f>IF(verze!$E$1="CZK",AD5020,IF(verze!$E$1="SK",AE5020,""))</f>
        <v>18.284949999999998</v>
      </c>
    </row>
    <row r="5021" spans="27:32" ht="15">
      <c r="AA5021" s="463" t="s">
        <v>16043</v>
      </c>
      <c r="AB5021" s="462" t="s">
        <v>16044</v>
      </c>
      <c r="AC5021" s="462" t="s">
        <v>16045</v>
      </c>
      <c r="AD5021" s="464">
        <v>386.98174</v>
      </c>
      <c r="AE5021" s="465">
        <v>18.615220000000001</v>
      </c>
      <c r="AF5021" s="86">
        <f>IF(verze!$E$1="CZK",AD5021,IF(verze!$E$1="SK",AE5021,""))</f>
        <v>18.615220000000001</v>
      </c>
    </row>
    <row r="5022" spans="27:32" ht="15">
      <c r="AA5022" s="463" t="s">
        <v>16046</v>
      </c>
      <c r="AB5022" s="462" t="s">
        <v>16047</v>
      </c>
      <c r="AC5022" s="462" t="s">
        <v>16048</v>
      </c>
      <c r="AD5022" s="464">
        <v>386.98174</v>
      </c>
      <c r="AE5022" s="465">
        <v>18.615220000000001</v>
      </c>
      <c r="AF5022" s="86">
        <f>IF(verze!$E$1="CZK",AD5022,IF(verze!$E$1="SK",AE5022,""))</f>
        <v>18.615220000000001</v>
      </c>
    </row>
    <row r="5023" spans="27:32" ht="15">
      <c r="AA5023" s="463" t="s">
        <v>16049</v>
      </c>
      <c r="AB5023" s="462" t="s">
        <v>16050</v>
      </c>
      <c r="AC5023" s="462" t="s">
        <v>16051</v>
      </c>
      <c r="AD5023" s="464">
        <v>393.85784000000001</v>
      </c>
      <c r="AE5023" s="465">
        <v>18.945989999999998</v>
      </c>
      <c r="AF5023" s="86">
        <f>IF(verze!$E$1="CZK",AD5023,IF(verze!$E$1="SK",AE5023,""))</f>
        <v>18.945989999999998</v>
      </c>
    </row>
    <row r="5024" spans="27:32" ht="15">
      <c r="AA5024" s="463" t="s">
        <v>16052</v>
      </c>
      <c r="AB5024" s="462" t="s">
        <v>16053</v>
      </c>
      <c r="AC5024" s="462" t="s">
        <v>16054</v>
      </c>
      <c r="AD5024" s="464">
        <v>393.85784000000001</v>
      </c>
      <c r="AE5024" s="465">
        <v>18.945989999999998</v>
      </c>
      <c r="AF5024" s="86">
        <f>IF(verze!$E$1="CZK",AD5024,IF(verze!$E$1="SK",AE5024,""))</f>
        <v>18.945989999999998</v>
      </c>
    </row>
    <row r="5025" spans="27:32" ht="15">
      <c r="AA5025" s="463" t="s">
        <v>16055</v>
      </c>
      <c r="AB5025" s="462" t="s">
        <v>16056</v>
      </c>
      <c r="AC5025" s="462" t="s">
        <v>16057</v>
      </c>
      <c r="AD5025" s="464">
        <v>390.06617</v>
      </c>
      <c r="AE5025" s="465">
        <v>18.358360000000001</v>
      </c>
      <c r="AF5025" s="86">
        <f>IF(verze!$E$1="CZK",AD5025,IF(verze!$E$1="SK",AE5025,""))</f>
        <v>18.358360000000001</v>
      </c>
    </row>
    <row r="5026" spans="27:32" ht="15">
      <c r="AA5026" s="463" t="s">
        <v>16058</v>
      </c>
      <c r="AB5026" s="462" t="s">
        <v>16059</v>
      </c>
      <c r="AC5026" s="462" t="s">
        <v>16060</v>
      </c>
      <c r="AD5026" s="464">
        <v>390.06617</v>
      </c>
      <c r="AE5026" s="465">
        <v>18.358360000000001</v>
      </c>
      <c r="AF5026" s="86">
        <f>IF(verze!$E$1="CZK",AD5026,IF(verze!$E$1="SK",AE5026,""))</f>
        <v>18.358360000000001</v>
      </c>
    </row>
    <row r="5027" spans="27:32" ht="15">
      <c r="AA5027" s="463" t="s">
        <v>16061</v>
      </c>
      <c r="AB5027" s="462" t="s">
        <v>16062</v>
      </c>
      <c r="AC5027" s="462" t="s">
        <v>16063</v>
      </c>
      <c r="AD5027" s="464">
        <v>407.58967999999999</v>
      </c>
      <c r="AE5027" s="465">
        <v>19.60652</v>
      </c>
      <c r="AF5027" s="86">
        <f>IF(verze!$E$1="CZK",AD5027,IF(verze!$E$1="SK",AE5027,""))</f>
        <v>19.60652</v>
      </c>
    </row>
    <row r="5028" spans="27:32" ht="15">
      <c r="AA5028" s="463" t="s">
        <v>16064</v>
      </c>
      <c r="AB5028" s="462" t="s">
        <v>16065</v>
      </c>
      <c r="AC5028" s="462" t="s">
        <v>16066</v>
      </c>
      <c r="AD5028" s="464">
        <v>407.58967999999999</v>
      </c>
      <c r="AE5028" s="465">
        <v>19.60652</v>
      </c>
      <c r="AF5028" s="86">
        <f>IF(verze!$E$1="CZK",AD5028,IF(verze!$E$1="SK",AE5028,""))</f>
        <v>19.60652</v>
      </c>
    </row>
    <row r="5029" spans="27:32" ht="15">
      <c r="AA5029" s="463" t="s">
        <v>16067</v>
      </c>
      <c r="AB5029" s="462" t="s">
        <v>16068</v>
      </c>
      <c r="AC5029" s="462" t="s">
        <v>16069</v>
      </c>
      <c r="AD5029" s="464">
        <v>417.95686000000001</v>
      </c>
      <c r="AE5029" s="465">
        <v>20.105229999999999</v>
      </c>
      <c r="AF5029" s="86">
        <f>IF(verze!$E$1="CZK",AD5029,IF(verze!$E$1="SK",AE5029,""))</f>
        <v>20.105229999999999</v>
      </c>
    </row>
    <row r="5030" spans="27:32" ht="15">
      <c r="AA5030" s="463" t="s">
        <v>16070</v>
      </c>
      <c r="AB5030" s="462" t="s">
        <v>16071</v>
      </c>
      <c r="AC5030" s="462" t="s">
        <v>16072</v>
      </c>
      <c r="AD5030" s="464">
        <v>417.95686000000001</v>
      </c>
      <c r="AE5030" s="465">
        <v>20.105229999999999</v>
      </c>
      <c r="AF5030" s="86">
        <f>IF(verze!$E$1="CZK",AD5030,IF(verze!$E$1="SK",AE5030,""))</f>
        <v>20.105229999999999</v>
      </c>
    </row>
    <row r="5031" spans="27:32" ht="15">
      <c r="AA5031" s="463" t="s">
        <v>16073</v>
      </c>
      <c r="AB5031" s="462" t="s">
        <v>16074</v>
      </c>
      <c r="AC5031" s="462" t="s">
        <v>16075</v>
      </c>
      <c r="AD5031" s="464">
        <v>432.04088000000002</v>
      </c>
      <c r="AE5031" s="465">
        <v>20.782730000000001</v>
      </c>
      <c r="AF5031" s="86">
        <f>IF(verze!$E$1="CZK",AD5031,IF(verze!$E$1="SK",AE5031,""))</f>
        <v>20.782730000000001</v>
      </c>
    </row>
    <row r="5032" spans="27:32" ht="15">
      <c r="AA5032" s="463" t="s">
        <v>16076</v>
      </c>
      <c r="AB5032" s="462" t="s">
        <v>16077</v>
      </c>
      <c r="AC5032" s="462" t="s">
        <v>16078</v>
      </c>
      <c r="AD5032" s="464">
        <v>432.04088000000002</v>
      </c>
      <c r="AE5032" s="465">
        <v>20.782730000000001</v>
      </c>
      <c r="AF5032" s="86">
        <f>IF(verze!$E$1="CZK",AD5032,IF(verze!$E$1="SK",AE5032,""))</f>
        <v>20.782730000000001</v>
      </c>
    </row>
    <row r="5033" spans="27:32" ht="15">
      <c r="AA5033" s="463" t="s">
        <v>16079</v>
      </c>
      <c r="AB5033" s="462" t="s">
        <v>16080</v>
      </c>
      <c r="AC5033" s="462" t="s">
        <v>16081</v>
      </c>
      <c r="AD5033" s="464">
        <v>380.11588</v>
      </c>
      <c r="AE5033" s="465">
        <v>18.284949999999998</v>
      </c>
      <c r="AF5033" s="86">
        <f>IF(verze!$E$1="CZK",AD5033,IF(verze!$E$1="SK",AE5033,""))</f>
        <v>18.284949999999998</v>
      </c>
    </row>
    <row r="5034" spans="27:32" ht="15">
      <c r="AA5034" s="463" t="s">
        <v>16082</v>
      </c>
      <c r="AB5034" s="462" t="s">
        <v>16083</v>
      </c>
      <c r="AC5034" s="462" t="s">
        <v>16084</v>
      </c>
      <c r="AD5034" s="464">
        <v>380.11588</v>
      </c>
      <c r="AE5034" s="465">
        <v>18.284949999999998</v>
      </c>
      <c r="AF5034" s="86">
        <f>IF(verze!$E$1="CZK",AD5034,IF(verze!$E$1="SK",AE5034,""))</f>
        <v>18.284949999999998</v>
      </c>
    </row>
    <row r="5035" spans="27:32" ht="15">
      <c r="AA5035" s="463" t="s">
        <v>16085</v>
      </c>
      <c r="AB5035" s="462" t="s">
        <v>16086</v>
      </c>
      <c r="AC5035" s="462" t="s">
        <v>16087</v>
      </c>
      <c r="AD5035" s="464">
        <v>386.98174</v>
      </c>
      <c r="AE5035" s="465">
        <v>18.615220000000001</v>
      </c>
      <c r="AF5035" s="86">
        <f>IF(verze!$E$1="CZK",AD5035,IF(verze!$E$1="SK",AE5035,""))</f>
        <v>18.615220000000001</v>
      </c>
    </row>
    <row r="5036" spans="27:32" ht="15">
      <c r="AA5036" s="463" t="s">
        <v>16088</v>
      </c>
      <c r="AB5036" s="462" t="s">
        <v>16089</v>
      </c>
      <c r="AC5036" s="462" t="s">
        <v>16090</v>
      </c>
      <c r="AD5036" s="464">
        <v>386.98174</v>
      </c>
      <c r="AE5036" s="465">
        <v>18.615220000000001</v>
      </c>
      <c r="AF5036" s="86">
        <f>IF(verze!$E$1="CZK",AD5036,IF(verze!$E$1="SK",AE5036,""))</f>
        <v>18.615220000000001</v>
      </c>
    </row>
    <row r="5037" spans="27:32" ht="15">
      <c r="AA5037" s="463" t="s">
        <v>16091</v>
      </c>
      <c r="AB5037" s="462" t="s">
        <v>16092</v>
      </c>
      <c r="AC5037" s="462" t="s">
        <v>16093</v>
      </c>
      <c r="AD5037" s="464">
        <v>393.85784000000001</v>
      </c>
      <c r="AE5037" s="465">
        <v>18.945989999999998</v>
      </c>
      <c r="AF5037" s="86">
        <f>IF(verze!$E$1="CZK",AD5037,IF(verze!$E$1="SK",AE5037,""))</f>
        <v>18.945989999999998</v>
      </c>
    </row>
    <row r="5038" spans="27:32" ht="15">
      <c r="AA5038" s="463" t="s">
        <v>16094</v>
      </c>
      <c r="AB5038" s="462" t="s">
        <v>16095</v>
      </c>
      <c r="AC5038" s="462" t="s">
        <v>16096</v>
      </c>
      <c r="AD5038" s="464">
        <v>393.85784000000001</v>
      </c>
      <c r="AE5038" s="465">
        <v>18.945989999999998</v>
      </c>
      <c r="AF5038" s="86">
        <f>IF(verze!$E$1="CZK",AD5038,IF(verze!$E$1="SK",AE5038,""))</f>
        <v>18.945989999999998</v>
      </c>
    </row>
    <row r="5039" spans="27:32" ht="15">
      <c r="AA5039" s="463" t="s">
        <v>16097</v>
      </c>
      <c r="AB5039" s="462" t="s">
        <v>16098</v>
      </c>
      <c r="AC5039" s="462" t="s">
        <v>16099</v>
      </c>
      <c r="AD5039" s="464">
        <v>390.06617</v>
      </c>
      <c r="AE5039" s="465">
        <v>18.358360000000001</v>
      </c>
      <c r="AF5039" s="86">
        <f>IF(verze!$E$1="CZK",AD5039,IF(verze!$E$1="SK",AE5039,""))</f>
        <v>18.358360000000001</v>
      </c>
    </row>
    <row r="5040" spans="27:32" ht="15">
      <c r="AA5040" s="463" t="s">
        <v>16100</v>
      </c>
      <c r="AB5040" s="462" t="s">
        <v>16101</v>
      </c>
      <c r="AC5040" s="462" t="s">
        <v>16102</v>
      </c>
      <c r="AD5040" s="464">
        <v>390.06617</v>
      </c>
      <c r="AE5040" s="465">
        <v>18.358360000000001</v>
      </c>
      <c r="AF5040" s="86">
        <f>IF(verze!$E$1="CZK",AD5040,IF(verze!$E$1="SK",AE5040,""))</f>
        <v>18.358360000000001</v>
      </c>
    </row>
    <row r="5041" spans="27:32" ht="15">
      <c r="AA5041" s="463" t="s">
        <v>16103</v>
      </c>
      <c r="AB5041" s="462" t="s">
        <v>16104</v>
      </c>
      <c r="AC5041" s="462" t="s">
        <v>16105</v>
      </c>
      <c r="AD5041" s="464">
        <v>407.58967999999999</v>
      </c>
      <c r="AE5041" s="465">
        <v>19.60652</v>
      </c>
      <c r="AF5041" s="86">
        <f>IF(verze!$E$1="CZK",AD5041,IF(verze!$E$1="SK",AE5041,""))</f>
        <v>19.60652</v>
      </c>
    </row>
    <row r="5042" spans="27:32" ht="15">
      <c r="AA5042" s="463" t="s">
        <v>16106</v>
      </c>
      <c r="AB5042" s="462" t="s">
        <v>16107</v>
      </c>
      <c r="AC5042" s="462" t="s">
        <v>16108</v>
      </c>
      <c r="AD5042" s="464">
        <v>407.58967999999999</v>
      </c>
      <c r="AE5042" s="465">
        <v>19.60652</v>
      </c>
      <c r="AF5042" s="86">
        <f>IF(verze!$E$1="CZK",AD5042,IF(verze!$E$1="SK",AE5042,""))</f>
        <v>19.60652</v>
      </c>
    </row>
    <row r="5043" spans="27:32" ht="15">
      <c r="AA5043" s="463" t="s">
        <v>16109</v>
      </c>
      <c r="AB5043" s="462" t="s">
        <v>16110</v>
      </c>
      <c r="AC5043" s="462" t="s">
        <v>16111</v>
      </c>
      <c r="AD5043" s="464">
        <v>417.95686000000001</v>
      </c>
      <c r="AE5043" s="465">
        <v>20.105229999999999</v>
      </c>
      <c r="AF5043" s="86">
        <f>IF(verze!$E$1="CZK",AD5043,IF(verze!$E$1="SK",AE5043,""))</f>
        <v>20.105229999999999</v>
      </c>
    </row>
    <row r="5044" spans="27:32" ht="15">
      <c r="AA5044" s="463" t="s">
        <v>16112</v>
      </c>
      <c r="AB5044" s="462" t="s">
        <v>16113</v>
      </c>
      <c r="AC5044" s="462" t="s">
        <v>16114</v>
      </c>
      <c r="AD5044" s="464">
        <v>417.95686000000001</v>
      </c>
      <c r="AE5044" s="465">
        <v>20.105229999999999</v>
      </c>
      <c r="AF5044" s="86">
        <f>IF(verze!$E$1="CZK",AD5044,IF(verze!$E$1="SK",AE5044,""))</f>
        <v>20.105229999999999</v>
      </c>
    </row>
    <row r="5045" spans="27:32" ht="15">
      <c r="AA5045" s="463" t="s">
        <v>16115</v>
      </c>
      <c r="AB5045" s="462" t="s">
        <v>16116</v>
      </c>
      <c r="AC5045" s="462" t="s">
        <v>16117</v>
      </c>
      <c r="AD5045" s="464">
        <v>432.04088000000002</v>
      </c>
      <c r="AE5045" s="465">
        <v>20.782730000000001</v>
      </c>
      <c r="AF5045" s="86">
        <f>IF(verze!$E$1="CZK",AD5045,IF(verze!$E$1="SK",AE5045,""))</f>
        <v>20.782730000000001</v>
      </c>
    </row>
    <row r="5046" spans="27:32" ht="15">
      <c r="AA5046" s="463" t="s">
        <v>16118</v>
      </c>
      <c r="AB5046" s="462" t="s">
        <v>16119</v>
      </c>
      <c r="AC5046" s="462" t="s">
        <v>16120</v>
      </c>
      <c r="AD5046" s="464">
        <v>432.04088000000002</v>
      </c>
      <c r="AE5046" s="465">
        <v>20.782730000000001</v>
      </c>
      <c r="AF5046" s="86">
        <f>IF(verze!$E$1="CZK",AD5046,IF(verze!$E$1="SK",AE5046,""))</f>
        <v>20.782730000000001</v>
      </c>
    </row>
    <row r="5047" spans="27:32" ht="15">
      <c r="AA5047" s="463" t="s">
        <v>16121</v>
      </c>
      <c r="AB5047" s="462" t="s">
        <v>16122</v>
      </c>
      <c r="AC5047" s="462" t="s">
        <v>16123</v>
      </c>
      <c r="AD5047" s="464">
        <v>380.11588</v>
      </c>
      <c r="AE5047" s="465">
        <v>18.284949999999998</v>
      </c>
      <c r="AF5047" s="86">
        <f>IF(verze!$E$1="CZK",AD5047,IF(verze!$E$1="SK",AE5047,""))</f>
        <v>18.284949999999998</v>
      </c>
    </row>
    <row r="5048" spans="27:32" ht="15">
      <c r="AA5048" s="463" t="s">
        <v>16124</v>
      </c>
      <c r="AB5048" s="462" t="s">
        <v>16125</v>
      </c>
      <c r="AC5048" s="462" t="s">
        <v>16126</v>
      </c>
      <c r="AD5048" s="464">
        <v>380.11588</v>
      </c>
      <c r="AE5048" s="465">
        <v>18.284949999999998</v>
      </c>
      <c r="AF5048" s="86">
        <f>IF(verze!$E$1="CZK",AD5048,IF(verze!$E$1="SK",AE5048,""))</f>
        <v>18.284949999999998</v>
      </c>
    </row>
    <row r="5049" spans="27:32" ht="15">
      <c r="AA5049" s="463" t="s">
        <v>16127</v>
      </c>
      <c r="AB5049" s="462" t="s">
        <v>16128</v>
      </c>
      <c r="AC5049" s="462" t="s">
        <v>16129</v>
      </c>
      <c r="AD5049" s="464">
        <v>386.98174</v>
      </c>
      <c r="AE5049" s="465">
        <v>18.615220000000001</v>
      </c>
      <c r="AF5049" s="86">
        <f>IF(verze!$E$1="CZK",AD5049,IF(verze!$E$1="SK",AE5049,""))</f>
        <v>18.615220000000001</v>
      </c>
    </row>
    <row r="5050" spans="27:32" ht="15">
      <c r="AA5050" s="463" t="s">
        <v>16130</v>
      </c>
      <c r="AB5050" s="462" t="s">
        <v>16131</v>
      </c>
      <c r="AC5050" s="462" t="s">
        <v>16132</v>
      </c>
      <c r="AD5050" s="464">
        <v>386.98174</v>
      </c>
      <c r="AE5050" s="465">
        <v>18.615220000000001</v>
      </c>
      <c r="AF5050" s="86">
        <f>IF(verze!$E$1="CZK",AD5050,IF(verze!$E$1="SK",AE5050,""))</f>
        <v>18.615220000000001</v>
      </c>
    </row>
    <row r="5051" spans="27:32" ht="15">
      <c r="AA5051" s="463" t="s">
        <v>16133</v>
      </c>
      <c r="AB5051" s="462" t="s">
        <v>16134</v>
      </c>
      <c r="AC5051" s="462" t="s">
        <v>16135</v>
      </c>
      <c r="AD5051" s="464">
        <v>393.85784000000001</v>
      </c>
      <c r="AE5051" s="465">
        <v>18.945989999999998</v>
      </c>
      <c r="AF5051" s="86">
        <f>IF(verze!$E$1="CZK",AD5051,IF(verze!$E$1="SK",AE5051,""))</f>
        <v>18.945989999999998</v>
      </c>
    </row>
    <row r="5052" spans="27:32" ht="15">
      <c r="AA5052" s="463" t="s">
        <v>16136</v>
      </c>
      <c r="AB5052" s="462" t="s">
        <v>16137</v>
      </c>
      <c r="AC5052" s="462" t="s">
        <v>16138</v>
      </c>
      <c r="AD5052" s="464">
        <v>393.85784000000001</v>
      </c>
      <c r="AE5052" s="465">
        <v>18.945989999999998</v>
      </c>
      <c r="AF5052" s="86">
        <f>IF(verze!$E$1="CZK",AD5052,IF(verze!$E$1="SK",AE5052,""))</f>
        <v>18.945989999999998</v>
      </c>
    </row>
    <row r="5053" spans="27:32" ht="15">
      <c r="AA5053" s="463" t="s">
        <v>16139</v>
      </c>
      <c r="AB5053" s="462" t="s">
        <v>16140</v>
      </c>
      <c r="AC5053" s="462" t="s">
        <v>16141</v>
      </c>
      <c r="AD5053" s="464">
        <v>390.06617</v>
      </c>
      <c r="AE5053" s="465">
        <v>18.358360000000001</v>
      </c>
      <c r="AF5053" s="86">
        <f>IF(verze!$E$1="CZK",AD5053,IF(verze!$E$1="SK",AE5053,""))</f>
        <v>18.358360000000001</v>
      </c>
    </row>
    <row r="5054" spans="27:32" ht="15">
      <c r="AA5054" s="463" t="s">
        <v>16142</v>
      </c>
      <c r="AB5054" s="462" t="s">
        <v>16143</v>
      </c>
      <c r="AC5054" s="462" t="s">
        <v>16144</v>
      </c>
      <c r="AD5054" s="464">
        <v>390.06617</v>
      </c>
      <c r="AE5054" s="465">
        <v>18.358360000000001</v>
      </c>
      <c r="AF5054" s="86">
        <f>IF(verze!$E$1="CZK",AD5054,IF(verze!$E$1="SK",AE5054,""))</f>
        <v>18.358360000000001</v>
      </c>
    </row>
    <row r="5055" spans="27:32" ht="15">
      <c r="AA5055" s="463" t="s">
        <v>16145</v>
      </c>
      <c r="AB5055" s="462" t="s">
        <v>16146</v>
      </c>
      <c r="AC5055" s="462" t="s">
        <v>16147</v>
      </c>
      <c r="AD5055" s="464">
        <v>407.58967999999999</v>
      </c>
      <c r="AE5055" s="465">
        <v>19.60652</v>
      </c>
      <c r="AF5055" s="86">
        <f>IF(verze!$E$1="CZK",AD5055,IF(verze!$E$1="SK",AE5055,""))</f>
        <v>19.60652</v>
      </c>
    </row>
    <row r="5056" spans="27:32" ht="15">
      <c r="AA5056" s="463" t="s">
        <v>16148</v>
      </c>
      <c r="AB5056" s="462" t="s">
        <v>16149</v>
      </c>
      <c r="AC5056" s="462" t="s">
        <v>16150</v>
      </c>
      <c r="AD5056" s="464">
        <v>407.58967999999999</v>
      </c>
      <c r="AE5056" s="465">
        <v>19.60652</v>
      </c>
      <c r="AF5056" s="86">
        <f>IF(verze!$E$1="CZK",AD5056,IF(verze!$E$1="SK",AE5056,""))</f>
        <v>19.60652</v>
      </c>
    </row>
    <row r="5057" spans="27:32" ht="15">
      <c r="AA5057" s="463" t="s">
        <v>16151</v>
      </c>
      <c r="AB5057" s="462" t="s">
        <v>16152</v>
      </c>
      <c r="AC5057" s="462" t="s">
        <v>16153</v>
      </c>
      <c r="AD5057" s="464">
        <v>417.95686000000001</v>
      </c>
      <c r="AE5057" s="465">
        <v>20.105229999999999</v>
      </c>
      <c r="AF5057" s="86">
        <f>IF(verze!$E$1="CZK",AD5057,IF(verze!$E$1="SK",AE5057,""))</f>
        <v>20.105229999999999</v>
      </c>
    </row>
    <row r="5058" spans="27:32" ht="15">
      <c r="AA5058" s="463" t="s">
        <v>16154</v>
      </c>
      <c r="AB5058" s="462" t="s">
        <v>16155</v>
      </c>
      <c r="AC5058" s="462" t="s">
        <v>16156</v>
      </c>
      <c r="AD5058" s="464">
        <v>417.95686000000001</v>
      </c>
      <c r="AE5058" s="465">
        <v>20.105229999999999</v>
      </c>
      <c r="AF5058" s="86">
        <f>IF(verze!$E$1="CZK",AD5058,IF(verze!$E$1="SK",AE5058,""))</f>
        <v>20.105229999999999</v>
      </c>
    </row>
    <row r="5059" spans="27:32" ht="15">
      <c r="AA5059" s="463" t="s">
        <v>16157</v>
      </c>
      <c r="AB5059" s="462" t="s">
        <v>16158</v>
      </c>
      <c r="AC5059" s="462" t="s">
        <v>16159</v>
      </c>
      <c r="AD5059" s="464">
        <v>432.04088000000002</v>
      </c>
      <c r="AE5059" s="465">
        <v>20.782730000000001</v>
      </c>
      <c r="AF5059" s="86">
        <f>IF(verze!$E$1="CZK",AD5059,IF(verze!$E$1="SK",AE5059,""))</f>
        <v>20.782730000000001</v>
      </c>
    </row>
    <row r="5060" spans="27:32" ht="15">
      <c r="AA5060" s="463" t="s">
        <v>16160</v>
      </c>
      <c r="AB5060" s="462" t="s">
        <v>16161</v>
      </c>
      <c r="AC5060" s="462" t="s">
        <v>16162</v>
      </c>
      <c r="AD5060" s="464">
        <v>432.04088000000002</v>
      </c>
      <c r="AE5060" s="465">
        <v>20.782730000000001</v>
      </c>
      <c r="AF5060" s="86">
        <f>IF(verze!$E$1="CZK",AD5060,IF(verze!$E$1="SK",AE5060,""))</f>
        <v>20.782730000000001</v>
      </c>
    </row>
    <row r="5061" spans="27:32" ht="15">
      <c r="AA5061" s="463" t="s">
        <v>16163</v>
      </c>
      <c r="AB5061" s="462" t="s">
        <v>16164</v>
      </c>
      <c r="AC5061" s="462" t="s">
        <v>16165</v>
      </c>
      <c r="AD5061" s="464">
        <v>1095.39437</v>
      </c>
      <c r="AE5061" s="465">
        <v>0</v>
      </c>
      <c r="AF5061" s="86">
        <f>IF(verze!$E$1="CZK",AD5061,IF(verze!$E$1="SK",AE5061,""))</f>
        <v>0</v>
      </c>
    </row>
    <row r="5062" spans="27:32" ht="15">
      <c r="AA5062" s="463" t="s">
        <v>16166</v>
      </c>
      <c r="AB5062" s="462" t="s">
        <v>16167</v>
      </c>
      <c r="AC5062" s="462" t="s">
        <v>16168</v>
      </c>
      <c r="AD5062" s="464">
        <v>1109.8333500000001</v>
      </c>
      <c r="AE5062" s="465">
        <v>0</v>
      </c>
      <c r="AF5062" s="86">
        <f>IF(verze!$E$1="CZK",AD5062,IF(verze!$E$1="SK",AE5062,""))</f>
        <v>0</v>
      </c>
    </row>
    <row r="5063" spans="27:32" ht="15">
      <c r="AA5063" s="463" t="s">
        <v>16169</v>
      </c>
      <c r="AB5063" s="462" t="s">
        <v>16170</v>
      </c>
      <c r="AC5063" s="462" t="s">
        <v>16171</v>
      </c>
      <c r="AD5063" s="464">
        <v>1124.2724499999999</v>
      </c>
      <c r="AE5063" s="465">
        <v>0</v>
      </c>
      <c r="AF5063" s="86">
        <f>IF(verze!$E$1="CZK",AD5063,IF(verze!$E$1="SK",AE5063,""))</f>
        <v>0</v>
      </c>
    </row>
    <row r="5064" spans="27:32" ht="15">
      <c r="AA5064" s="463" t="s">
        <v>16172</v>
      </c>
      <c r="AB5064" s="462" t="s">
        <v>16173</v>
      </c>
      <c r="AC5064" s="462" t="s">
        <v>16174</v>
      </c>
      <c r="AD5064" s="464">
        <v>1108.4265499999999</v>
      </c>
      <c r="AE5064" s="465">
        <v>0</v>
      </c>
      <c r="AF5064" s="86">
        <f>IF(verze!$E$1="CZK",AD5064,IF(verze!$E$1="SK",AE5064,""))</f>
        <v>0</v>
      </c>
    </row>
    <row r="5065" spans="27:32" ht="15">
      <c r="AA5065" s="463" t="s">
        <v>16175</v>
      </c>
      <c r="AB5065" s="462" t="s">
        <v>16176</v>
      </c>
      <c r="AC5065" s="462" t="s">
        <v>16177</v>
      </c>
      <c r="AD5065" s="464">
        <v>1174.9300599999999</v>
      </c>
      <c r="AE5065" s="465">
        <v>0</v>
      </c>
      <c r="AF5065" s="86">
        <f>IF(verze!$E$1="CZK",AD5065,IF(verze!$E$1="SK",AE5065,""))</f>
        <v>0</v>
      </c>
    </row>
    <row r="5066" spans="27:32" ht="15">
      <c r="AA5066" s="463" t="s">
        <v>16178</v>
      </c>
      <c r="AB5066" s="462" t="s">
        <v>16179</v>
      </c>
      <c r="AC5066" s="462" t="s">
        <v>16180</v>
      </c>
      <c r="AD5066" s="464">
        <v>1204.5455899999999</v>
      </c>
      <c r="AE5066" s="465">
        <v>0</v>
      </c>
      <c r="AF5066" s="86">
        <f>IF(verze!$E$1="CZK",AD5066,IF(verze!$E$1="SK",AE5066,""))</f>
        <v>0</v>
      </c>
    </row>
    <row r="5067" spans="27:32" ht="15">
      <c r="AA5067" s="463" t="s">
        <v>16181</v>
      </c>
      <c r="AB5067" s="462" t="s">
        <v>16182</v>
      </c>
      <c r="AC5067" s="462" t="s">
        <v>16183</v>
      </c>
      <c r="AD5067" s="464">
        <v>1095.39437</v>
      </c>
      <c r="AE5067" s="465">
        <v>0</v>
      </c>
      <c r="AF5067" s="86">
        <f>IF(verze!$E$1="CZK",AD5067,IF(verze!$E$1="SK",AE5067,""))</f>
        <v>0</v>
      </c>
    </row>
    <row r="5068" spans="27:32" ht="15">
      <c r="AA5068" s="463" t="s">
        <v>16184</v>
      </c>
      <c r="AB5068" s="462" t="s">
        <v>16185</v>
      </c>
      <c r="AC5068" s="462" t="s">
        <v>16186</v>
      </c>
      <c r="AD5068" s="464">
        <v>1109.8333500000001</v>
      </c>
      <c r="AE5068" s="465">
        <v>0</v>
      </c>
      <c r="AF5068" s="86">
        <f>IF(verze!$E$1="CZK",AD5068,IF(verze!$E$1="SK",AE5068,""))</f>
        <v>0</v>
      </c>
    </row>
    <row r="5069" spans="27:32" ht="15">
      <c r="AA5069" s="463" t="s">
        <v>16187</v>
      </c>
      <c r="AB5069" s="462" t="s">
        <v>16188</v>
      </c>
      <c r="AC5069" s="462" t="s">
        <v>16189</v>
      </c>
      <c r="AD5069" s="464">
        <v>1124.2724499999999</v>
      </c>
      <c r="AE5069" s="465">
        <v>0</v>
      </c>
      <c r="AF5069" s="86">
        <f>IF(verze!$E$1="CZK",AD5069,IF(verze!$E$1="SK",AE5069,""))</f>
        <v>0</v>
      </c>
    </row>
    <row r="5070" spans="27:32" ht="15">
      <c r="AA5070" s="463" t="s">
        <v>16190</v>
      </c>
      <c r="AB5070" s="462" t="s">
        <v>16191</v>
      </c>
      <c r="AC5070" s="462" t="s">
        <v>16192</v>
      </c>
      <c r="AD5070" s="464">
        <v>1108.4265499999999</v>
      </c>
      <c r="AE5070" s="465">
        <v>0</v>
      </c>
      <c r="AF5070" s="86">
        <f>IF(verze!$E$1="CZK",AD5070,IF(verze!$E$1="SK",AE5070,""))</f>
        <v>0</v>
      </c>
    </row>
    <row r="5071" spans="27:32" ht="15">
      <c r="AA5071" s="463" t="s">
        <v>16193</v>
      </c>
      <c r="AB5071" s="462" t="s">
        <v>16194</v>
      </c>
      <c r="AC5071" s="462" t="s">
        <v>16195</v>
      </c>
      <c r="AD5071" s="464">
        <v>1153.1531</v>
      </c>
      <c r="AE5071" s="465">
        <v>0</v>
      </c>
      <c r="AF5071" s="86">
        <f>IF(verze!$E$1="CZK",AD5071,IF(verze!$E$1="SK",AE5071,""))</f>
        <v>0</v>
      </c>
    </row>
    <row r="5072" spans="27:32" ht="15">
      <c r="AA5072" s="463" t="s">
        <v>16196</v>
      </c>
      <c r="AB5072" s="462" t="s">
        <v>16197</v>
      </c>
      <c r="AC5072" s="462" t="s">
        <v>16198</v>
      </c>
      <c r="AD5072" s="464">
        <v>1174.9300599999999</v>
      </c>
      <c r="AE5072" s="465">
        <v>0</v>
      </c>
      <c r="AF5072" s="86">
        <f>IF(verze!$E$1="CZK",AD5072,IF(verze!$E$1="SK",AE5072,""))</f>
        <v>0</v>
      </c>
    </row>
    <row r="5073" spans="27:32" ht="15">
      <c r="AA5073" s="463" t="s">
        <v>16199</v>
      </c>
      <c r="AB5073" s="462" t="s">
        <v>16200</v>
      </c>
      <c r="AC5073" s="462" t="s">
        <v>16201</v>
      </c>
      <c r="AD5073" s="464">
        <v>1204.5455899999999</v>
      </c>
      <c r="AE5073" s="465">
        <v>0</v>
      </c>
      <c r="AF5073" s="86">
        <f>IF(verze!$E$1="CZK",AD5073,IF(verze!$E$1="SK",AE5073,""))</f>
        <v>0</v>
      </c>
    </row>
    <row r="5074" spans="27:32" ht="15">
      <c r="AA5074" s="463" t="s">
        <v>16202</v>
      </c>
      <c r="AB5074" s="462" t="s">
        <v>16203</v>
      </c>
      <c r="AC5074" s="462" t="s">
        <v>16204</v>
      </c>
      <c r="AD5074" s="464">
        <v>1095.39437</v>
      </c>
      <c r="AE5074" s="465">
        <v>0</v>
      </c>
      <c r="AF5074" s="86">
        <f>IF(verze!$E$1="CZK",AD5074,IF(verze!$E$1="SK",AE5074,""))</f>
        <v>0</v>
      </c>
    </row>
    <row r="5075" spans="27:32" ht="15">
      <c r="AA5075" s="463" t="s">
        <v>16205</v>
      </c>
      <c r="AB5075" s="462" t="s">
        <v>16206</v>
      </c>
      <c r="AC5075" s="462" t="s">
        <v>16207</v>
      </c>
      <c r="AD5075" s="464">
        <v>1109.8333500000001</v>
      </c>
      <c r="AE5075" s="465">
        <v>0</v>
      </c>
      <c r="AF5075" s="86">
        <f>IF(verze!$E$1="CZK",AD5075,IF(verze!$E$1="SK",AE5075,""))</f>
        <v>0</v>
      </c>
    </row>
    <row r="5076" spans="27:32" ht="15">
      <c r="AA5076" s="463" t="s">
        <v>16208</v>
      </c>
      <c r="AB5076" s="462" t="s">
        <v>16209</v>
      </c>
      <c r="AC5076" s="462" t="s">
        <v>16210</v>
      </c>
      <c r="AD5076" s="464">
        <v>1124.2724499999999</v>
      </c>
      <c r="AE5076" s="465">
        <v>0</v>
      </c>
      <c r="AF5076" s="86">
        <f>IF(verze!$E$1="CZK",AD5076,IF(verze!$E$1="SK",AE5076,""))</f>
        <v>0</v>
      </c>
    </row>
    <row r="5077" spans="27:32" ht="15">
      <c r="AA5077" s="463" t="s">
        <v>16211</v>
      </c>
      <c r="AB5077" s="462" t="s">
        <v>16212</v>
      </c>
      <c r="AC5077" s="462" t="s">
        <v>16213</v>
      </c>
      <c r="AD5077" s="464">
        <v>1108.4265499999999</v>
      </c>
      <c r="AE5077" s="465">
        <v>0</v>
      </c>
      <c r="AF5077" s="86">
        <f>IF(verze!$E$1="CZK",AD5077,IF(verze!$E$1="SK",AE5077,""))</f>
        <v>0</v>
      </c>
    </row>
    <row r="5078" spans="27:32" ht="15">
      <c r="AA5078" s="463" t="s">
        <v>16214</v>
      </c>
      <c r="AB5078" s="462" t="s">
        <v>16215</v>
      </c>
      <c r="AC5078" s="462" t="s">
        <v>16216</v>
      </c>
      <c r="AD5078" s="464">
        <v>1204.5455899999999</v>
      </c>
      <c r="AE5078" s="465">
        <v>0</v>
      </c>
      <c r="AF5078" s="86">
        <f>IF(verze!$E$1="CZK",AD5078,IF(verze!$E$1="SK",AE5078,""))</f>
        <v>0</v>
      </c>
    </row>
    <row r="5079" spans="27:32" ht="15">
      <c r="AA5079" s="463" t="s">
        <v>16217</v>
      </c>
      <c r="AB5079" s="462" t="s">
        <v>16218</v>
      </c>
      <c r="AC5079" s="462" t="s">
        <v>16219</v>
      </c>
      <c r="AD5079" s="464">
        <v>50.732700000000001</v>
      </c>
      <c r="AE5079" s="465">
        <v>2.4404300000000001</v>
      </c>
      <c r="AF5079" s="86">
        <f>IF(verze!$E$1="CZK",AD5079,IF(verze!$E$1="SK",AE5079,""))</f>
        <v>2.4404300000000001</v>
      </c>
    </row>
    <row r="5080" spans="27:32" ht="15">
      <c r="AA5080" s="463" t="s">
        <v>16220</v>
      </c>
      <c r="AB5080" s="462" t="s">
        <v>16221</v>
      </c>
      <c r="AC5080" s="462" t="s">
        <v>16222</v>
      </c>
      <c r="AD5080" s="464">
        <v>51.356920000000002</v>
      </c>
      <c r="AE5080" s="465">
        <v>2.4704600000000001</v>
      </c>
      <c r="AF5080" s="86">
        <f>IF(verze!$E$1="CZK",AD5080,IF(verze!$E$1="SK",AE5080,""))</f>
        <v>2.4704600000000001</v>
      </c>
    </row>
    <row r="5081" spans="27:32" ht="15">
      <c r="AA5081" s="463" t="s">
        <v>16223</v>
      </c>
      <c r="AB5081" s="462" t="s">
        <v>16224</v>
      </c>
      <c r="AC5081" s="462" t="s">
        <v>16225</v>
      </c>
      <c r="AD5081" s="464">
        <v>16.329339999999998</v>
      </c>
      <c r="AE5081" s="465">
        <v>0.78551000000000004</v>
      </c>
      <c r="AF5081" s="86">
        <f>IF(verze!$E$1="CZK",AD5081,IF(verze!$E$1="SK",AE5081,""))</f>
        <v>0.78551000000000004</v>
      </c>
    </row>
    <row r="5082" spans="27:32" ht="15">
      <c r="AA5082" s="463" t="s">
        <v>16226</v>
      </c>
      <c r="AB5082" s="462" t="s">
        <v>16227</v>
      </c>
      <c r="AC5082" s="462" t="s">
        <v>16228</v>
      </c>
      <c r="AD5082" s="464">
        <v>16.329339999999998</v>
      </c>
      <c r="AE5082" s="465">
        <v>0.78551000000000004</v>
      </c>
      <c r="AF5082" s="86">
        <f>IF(verze!$E$1="CZK",AD5082,IF(verze!$E$1="SK",AE5082,""))</f>
        <v>0.78551000000000004</v>
      </c>
    </row>
    <row r="5083" spans="27:32" ht="15">
      <c r="AA5083" s="463" t="s">
        <v>16229</v>
      </c>
      <c r="AB5083" s="462" t="s">
        <v>16230</v>
      </c>
      <c r="AC5083" s="462" t="s">
        <v>16231</v>
      </c>
      <c r="AD5083" s="464">
        <v>34.594949999999997</v>
      </c>
      <c r="AE5083" s="465">
        <v>1.66415</v>
      </c>
      <c r="AF5083" s="86">
        <f>IF(verze!$E$1="CZK",AD5083,IF(verze!$E$1="SK",AE5083,""))</f>
        <v>1.66415</v>
      </c>
    </row>
    <row r="5084" spans="27:32" ht="15">
      <c r="AA5084" s="463" t="s">
        <v>16232</v>
      </c>
      <c r="AB5084" s="462" t="s">
        <v>16233</v>
      </c>
      <c r="AC5084" s="462" t="s">
        <v>16234</v>
      </c>
      <c r="AD5084" s="464">
        <v>140.79085000000001</v>
      </c>
      <c r="AE5084" s="465">
        <v>0</v>
      </c>
      <c r="AF5084" s="86">
        <f>IF(verze!$E$1="CZK",AD5084,IF(verze!$E$1="SK",AE5084,""))</f>
        <v>0</v>
      </c>
    </row>
    <row r="5085" spans="27:32" ht="15">
      <c r="AA5085" s="463" t="s">
        <v>16235</v>
      </c>
      <c r="AB5085" s="462" t="s">
        <v>16236</v>
      </c>
      <c r="AC5085" s="462" t="s">
        <v>16237</v>
      </c>
      <c r="AD5085" s="464">
        <v>82.648240000000001</v>
      </c>
      <c r="AE5085" s="465">
        <v>0</v>
      </c>
      <c r="AF5085" s="86">
        <f>IF(verze!$E$1="CZK",AD5085,IF(verze!$E$1="SK",AE5085,""))</f>
        <v>0</v>
      </c>
    </row>
    <row r="5086" spans="27:32" ht="15">
      <c r="AA5086" s="463" t="s">
        <v>16238</v>
      </c>
      <c r="AB5086" s="462" t="s">
        <v>16239</v>
      </c>
      <c r="AC5086" s="462" t="s">
        <v>16240</v>
      </c>
      <c r="AD5086" s="464">
        <v>1483.13021</v>
      </c>
      <c r="AE5086" s="465">
        <v>71.34393</v>
      </c>
      <c r="AF5086" s="86">
        <f>IF(verze!$E$1="CZK",AD5086,IF(verze!$E$1="SK",AE5086,""))</f>
        <v>71.34393</v>
      </c>
    </row>
    <row r="5087" spans="27:32" ht="15">
      <c r="AA5087" s="463" t="s">
        <v>16241</v>
      </c>
      <c r="AB5087" s="462" t="s">
        <v>16242</v>
      </c>
      <c r="AC5087" s="462" t="s">
        <v>16243</v>
      </c>
      <c r="AD5087" s="464">
        <v>1774.2111399999999</v>
      </c>
      <c r="AE5087" s="465">
        <v>85.345950000000002</v>
      </c>
      <c r="AF5087" s="86">
        <f>IF(verze!$E$1="CZK",AD5087,IF(verze!$E$1="SK",AE5087,""))</f>
        <v>85.345950000000002</v>
      </c>
    </row>
    <row r="5088" spans="27:32" ht="15">
      <c r="AA5088" s="463" t="s">
        <v>16244</v>
      </c>
      <c r="AB5088" s="462" t="s">
        <v>16245</v>
      </c>
      <c r="AC5088" s="462" t="s">
        <v>16246</v>
      </c>
      <c r="AD5088" s="464">
        <v>2217.7650899999999</v>
      </c>
      <c r="AE5088" s="465">
        <v>106.6825</v>
      </c>
      <c r="AF5088" s="86">
        <f>IF(verze!$E$1="CZK",AD5088,IF(verze!$E$1="SK",AE5088,""))</f>
        <v>106.6825</v>
      </c>
    </row>
    <row r="5089" spans="27:32" ht="15">
      <c r="AA5089" s="463" t="s">
        <v>16247</v>
      </c>
      <c r="AB5089" s="462" t="s">
        <v>16248</v>
      </c>
      <c r="AC5089" s="462" t="s">
        <v>16249</v>
      </c>
      <c r="AD5089" s="464">
        <v>1483.13021</v>
      </c>
      <c r="AE5089" s="465">
        <v>71.34393</v>
      </c>
      <c r="AF5089" s="86">
        <f>IF(verze!$E$1="CZK",AD5089,IF(verze!$E$1="SK",AE5089,""))</f>
        <v>71.34393</v>
      </c>
    </row>
    <row r="5090" spans="27:32" ht="15">
      <c r="AA5090" s="463" t="s">
        <v>16250</v>
      </c>
      <c r="AB5090" s="462" t="s">
        <v>16251</v>
      </c>
      <c r="AC5090" s="462" t="s">
        <v>16252</v>
      </c>
      <c r="AD5090" s="464">
        <v>1774.2111399999999</v>
      </c>
      <c r="AE5090" s="465">
        <v>85.345950000000002</v>
      </c>
      <c r="AF5090" s="86">
        <f>IF(verze!$E$1="CZK",AD5090,IF(verze!$E$1="SK",AE5090,""))</f>
        <v>85.345950000000002</v>
      </c>
    </row>
    <row r="5091" spans="27:32" ht="15">
      <c r="AA5091" s="463" t="s">
        <v>16253</v>
      </c>
      <c r="AB5091" s="462" t="s">
        <v>16254</v>
      </c>
      <c r="AC5091" s="462" t="s">
        <v>16255</v>
      </c>
      <c r="AD5091" s="464">
        <v>2217.7650899999999</v>
      </c>
      <c r="AE5091" s="465">
        <v>106.6825</v>
      </c>
      <c r="AF5091" s="86">
        <f>IF(verze!$E$1="CZK",AD5091,IF(verze!$E$1="SK",AE5091,""))</f>
        <v>106.6825</v>
      </c>
    </row>
    <row r="5092" spans="27:32" ht="15">
      <c r="AA5092" s="463" t="s">
        <v>16256</v>
      </c>
      <c r="AB5092" s="462" t="s">
        <v>16257</v>
      </c>
      <c r="AC5092" s="462" t="s">
        <v>16258</v>
      </c>
      <c r="AD5092" s="464">
        <v>1483.13021</v>
      </c>
      <c r="AE5092" s="465">
        <v>71.34393</v>
      </c>
      <c r="AF5092" s="86">
        <f>IF(verze!$E$1="CZK",AD5092,IF(verze!$E$1="SK",AE5092,""))</f>
        <v>71.34393</v>
      </c>
    </row>
    <row r="5093" spans="27:32" ht="15">
      <c r="AA5093" s="463" t="s">
        <v>16259</v>
      </c>
      <c r="AB5093" s="462" t="s">
        <v>16260</v>
      </c>
      <c r="AC5093" s="462" t="s">
        <v>16261</v>
      </c>
      <c r="AD5093" s="464">
        <v>1774.2111399999999</v>
      </c>
      <c r="AE5093" s="465">
        <v>85.345950000000002</v>
      </c>
      <c r="AF5093" s="86">
        <f>IF(verze!$E$1="CZK",AD5093,IF(verze!$E$1="SK",AE5093,""))</f>
        <v>85.345950000000002</v>
      </c>
    </row>
    <row r="5094" spans="27:32" ht="15">
      <c r="AA5094" s="463" t="s">
        <v>16262</v>
      </c>
      <c r="AB5094" s="462" t="s">
        <v>16263</v>
      </c>
      <c r="AC5094" s="462" t="s">
        <v>16264</v>
      </c>
      <c r="AD5094" s="464">
        <v>2217.7650899999999</v>
      </c>
      <c r="AE5094" s="465">
        <v>106.6825</v>
      </c>
      <c r="AF5094" s="86">
        <f>IF(verze!$E$1="CZK",AD5094,IF(verze!$E$1="SK",AE5094,""))</f>
        <v>106.6825</v>
      </c>
    </row>
    <row r="5095" spans="27:32" ht="15">
      <c r="AA5095" s="463" t="s">
        <v>16265</v>
      </c>
      <c r="AB5095" s="462" t="s">
        <v>16266</v>
      </c>
      <c r="AC5095" s="462" t="s">
        <v>16267</v>
      </c>
      <c r="AD5095" s="464">
        <v>1447.9601500000001</v>
      </c>
      <c r="AE5095" s="465">
        <v>69.652109999999993</v>
      </c>
      <c r="AF5095" s="86">
        <f>IF(verze!$E$1="CZK",AD5095,IF(verze!$E$1="SK",AE5095,""))</f>
        <v>69.652109999999993</v>
      </c>
    </row>
    <row r="5096" spans="27:32" ht="15">
      <c r="AA5096" s="463" t="s">
        <v>16268</v>
      </c>
      <c r="AB5096" s="462" t="s">
        <v>16269</v>
      </c>
      <c r="AC5096" s="462" t="s">
        <v>16270</v>
      </c>
      <c r="AD5096" s="464">
        <v>2313.98819</v>
      </c>
      <c r="AE5096" s="465">
        <v>111.31119</v>
      </c>
      <c r="AF5096" s="86">
        <f>IF(verze!$E$1="CZK",AD5096,IF(verze!$E$1="SK",AE5096,""))</f>
        <v>111.31119</v>
      </c>
    </row>
    <row r="5097" spans="27:32" ht="15">
      <c r="AA5097" s="463" t="s">
        <v>16271</v>
      </c>
      <c r="AB5097" s="462" t="s">
        <v>16272</v>
      </c>
      <c r="AC5097" s="462" t="s">
        <v>16273</v>
      </c>
      <c r="AD5097" s="464">
        <v>2789.8338600000002</v>
      </c>
      <c r="AE5097" s="465">
        <v>134.20108999999999</v>
      </c>
      <c r="AF5097" s="86">
        <f>IF(verze!$E$1="CZK",AD5097,IF(verze!$E$1="SK",AE5097,""))</f>
        <v>134.20108999999999</v>
      </c>
    </row>
    <row r="5098" spans="27:32" ht="15">
      <c r="AA5098" s="463" t="s">
        <v>16274</v>
      </c>
      <c r="AB5098" s="462" t="s">
        <v>16275</v>
      </c>
      <c r="AC5098" s="462" t="s">
        <v>16276</v>
      </c>
      <c r="AD5098" s="464">
        <v>1447.9601500000001</v>
      </c>
      <c r="AE5098" s="465">
        <v>69.652109999999993</v>
      </c>
      <c r="AF5098" s="86">
        <f>IF(verze!$E$1="CZK",AD5098,IF(verze!$E$1="SK",AE5098,""))</f>
        <v>69.652109999999993</v>
      </c>
    </row>
    <row r="5099" spans="27:32" ht="15">
      <c r="AA5099" s="463" t="s">
        <v>16277</v>
      </c>
      <c r="AB5099" s="462" t="s">
        <v>16278</v>
      </c>
      <c r="AC5099" s="462" t="s">
        <v>16279</v>
      </c>
      <c r="AD5099" s="464">
        <v>2313.98819</v>
      </c>
      <c r="AE5099" s="465">
        <v>111.31119</v>
      </c>
      <c r="AF5099" s="86">
        <f>IF(verze!$E$1="CZK",AD5099,IF(verze!$E$1="SK",AE5099,""))</f>
        <v>111.31119</v>
      </c>
    </row>
    <row r="5100" spans="27:32" ht="15">
      <c r="AA5100" s="463" t="s">
        <v>16280</v>
      </c>
      <c r="AB5100" s="462" t="s">
        <v>16281</v>
      </c>
      <c r="AC5100" s="462" t="s">
        <v>16282</v>
      </c>
      <c r="AD5100" s="464">
        <v>2789.8338600000002</v>
      </c>
      <c r="AE5100" s="465">
        <v>134.20108999999999</v>
      </c>
      <c r="AF5100" s="86">
        <f>IF(verze!$E$1="CZK",AD5100,IF(verze!$E$1="SK",AE5100,""))</f>
        <v>134.20108999999999</v>
      </c>
    </row>
    <row r="5101" spans="27:32" ht="15">
      <c r="AA5101" s="463" t="s">
        <v>16283</v>
      </c>
      <c r="AB5101" s="462" t="s">
        <v>16284</v>
      </c>
      <c r="AC5101" s="462" t="s">
        <v>16285</v>
      </c>
      <c r="AD5101" s="464">
        <v>3105.9406899999999</v>
      </c>
      <c r="AE5101" s="465">
        <v>149.40696</v>
      </c>
      <c r="AF5101" s="86">
        <f>IF(verze!$E$1="CZK",AD5101,IF(verze!$E$1="SK",AE5101,""))</f>
        <v>149.40696</v>
      </c>
    </row>
    <row r="5102" spans="27:32" ht="15">
      <c r="AA5102" s="463" t="s">
        <v>16286</v>
      </c>
      <c r="AB5102" s="462" t="s">
        <v>16287</v>
      </c>
      <c r="AC5102" s="462" t="s">
        <v>16288</v>
      </c>
      <c r="AD5102" s="464">
        <v>1447.9601500000001</v>
      </c>
      <c r="AE5102" s="465">
        <v>69.652109999999993</v>
      </c>
      <c r="AF5102" s="86">
        <f>IF(verze!$E$1="CZK",AD5102,IF(verze!$E$1="SK",AE5102,""))</f>
        <v>69.652109999999993</v>
      </c>
    </row>
    <row r="5103" spans="27:32" ht="15">
      <c r="AA5103" s="463" t="s">
        <v>16289</v>
      </c>
      <c r="AB5103" s="462" t="s">
        <v>16290</v>
      </c>
      <c r="AC5103" s="462" t="s">
        <v>16291</v>
      </c>
      <c r="AD5103" s="464">
        <v>2313.98819</v>
      </c>
      <c r="AE5103" s="465">
        <v>111.31119</v>
      </c>
      <c r="AF5103" s="86">
        <f>IF(verze!$E$1="CZK",AD5103,IF(verze!$E$1="SK",AE5103,""))</f>
        <v>111.31119</v>
      </c>
    </row>
    <row r="5104" spans="27:32" ht="15">
      <c r="AA5104" s="463" t="s">
        <v>16292</v>
      </c>
      <c r="AB5104" s="462" t="s">
        <v>16293</v>
      </c>
      <c r="AC5104" s="462" t="s">
        <v>16294</v>
      </c>
      <c r="AD5104" s="464">
        <v>2789.8338600000002</v>
      </c>
      <c r="AE5104" s="465">
        <v>134.20108999999999</v>
      </c>
      <c r="AF5104" s="86">
        <f>IF(verze!$E$1="CZK",AD5104,IF(verze!$E$1="SK",AE5104,""))</f>
        <v>134.20108999999999</v>
      </c>
    </row>
    <row r="5105" spans="27:32" ht="15">
      <c r="AA5105" s="463" t="s">
        <v>16295</v>
      </c>
      <c r="AB5105" s="462" t="s">
        <v>16296</v>
      </c>
      <c r="AC5105" s="462" t="s">
        <v>16297</v>
      </c>
      <c r="AD5105" s="464">
        <v>950.74976000000004</v>
      </c>
      <c r="AE5105" s="465">
        <v>38.034709999999997</v>
      </c>
      <c r="AF5105" s="86">
        <f>IF(verze!$E$1="CZK",AD5105,IF(verze!$E$1="SK",AE5105,""))</f>
        <v>38.034709999999997</v>
      </c>
    </row>
    <row r="5106" spans="27:32" ht="15">
      <c r="AA5106" s="463" t="s">
        <v>16295</v>
      </c>
      <c r="AB5106" s="462" t="s">
        <v>16298</v>
      </c>
      <c r="AC5106" s="462" t="s">
        <v>16299</v>
      </c>
      <c r="AD5106" s="464">
        <v>359.45184999999998</v>
      </c>
      <c r="AE5106" s="465">
        <v>14.41915</v>
      </c>
      <c r="AF5106" s="86">
        <f>IF(verze!$E$1="CZK",AD5106,IF(verze!$E$1="SK",AE5106,""))</f>
        <v>14.41915</v>
      </c>
    </row>
    <row r="5107" spans="27:32" ht="15">
      <c r="AA5107" s="463" t="s">
        <v>16300</v>
      </c>
      <c r="AB5107" s="462" t="s">
        <v>16301</v>
      </c>
      <c r="AC5107" s="462" t="s">
        <v>16302</v>
      </c>
      <c r="AD5107" s="464">
        <v>3127.0683899999999</v>
      </c>
      <c r="AE5107" s="465">
        <v>125.09831</v>
      </c>
      <c r="AF5107" s="86">
        <f>IF(verze!$E$1="CZK",AD5107,IF(verze!$E$1="SK",AE5107,""))</f>
        <v>125.09831</v>
      </c>
    </row>
    <row r="5108" spans="27:32" ht="15">
      <c r="AA5108" s="463" t="s">
        <v>16300</v>
      </c>
      <c r="AB5108" s="462" t="s">
        <v>16303</v>
      </c>
      <c r="AC5108" s="462" t="s">
        <v>16304</v>
      </c>
      <c r="AD5108" s="464">
        <v>1182.2581499999999</v>
      </c>
      <c r="AE5108" s="465">
        <v>47.425440000000002</v>
      </c>
      <c r="AF5108" s="86">
        <f>IF(verze!$E$1="CZK",AD5108,IF(verze!$E$1="SK",AE5108,""))</f>
        <v>47.425440000000002</v>
      </c>
    </row>
    <row r="5109" spans="27:32" ht="15">
      <c r="AA5109" s="463" t="s">
        <v>16305</v>
      </c>
      <c r="AB5109" s="462" t="s">
        <v>16306</v>
      </c>
      <c r="AC5109" s="462" t="s">
        <v>16307</v>
      </c>
      <c r="AD5109" s="464">
        <v>904.13865999999996</v>
      </c>
      <c r="AE5109" s="465">
        <v>36.170050000000003</v>
      </c>
      <c r="AF5109" s="86">
        <f>IF(verze!$E$1="CZK",AD5109,IF(verze!$E$1="SK",AE5109,""))</f>
        <v>36.170050000000003</v>
      </c>
    </row>
    <row r="5110" spans="27:32" ht="15">
      <c r="AA5110" s="463" t="s">
        <v>16305</v>
      </c>
      <c r="AB5110" s="462" t="s">
        <v>16308</v>
      </c>
      <c r="AC5110" s="462" t="s">
        <v>16309</v>
      </c>
      <c r="AD5110" s="464">
        <v>341.8297</v>
      </c>
      <c r="AE5110" s="465">
        <v>13.712249999999999</v>
      </c>
      <c r="AF5110" s="86">
        <f>IF(verze!$E$1="CZK",AD5110,IF(verze!$E$1="SK",AE5110,""))</f>
        <v>13.712249999999999</v>
      </c>
    </row>
    <row r="5111" spans="27:32" ht="15">
      <c r="AA5111" s="463" t="s">
        <v>16310</v>
      </c>
      <c r="AB5111" s="462" t="s">
        <v>16311</v>
      </c>
      <c r="AC5111" s="462" t="s">
        <v>16312</v>
      </c>
      <c r="AD5111" s="464">
        <v>904.13865999999996</v>
      </c>
      <c r="AE5111" s="465">
        <v>36.170050000000003</v>
      </c>
      <c r="AF5111" s="86">
        <f>IF(verze!$E$1="CZK",AD5111,IF(verze!$E$1="SK",AE5111,""))</f>
        <v>36.170050000000003</v>
      </c>
    </row>
    <row r="5112" spans="27:32" ht="15">
      <c r="AA5112" s="463" t="s">
        <v>16313</v>
      </c>
      <c r="AB5112" s="462" t="s">
        <v>16314</v>
      </c>
      <c r="AC5112" s="462" t="s">
        <v>16315</v>
      </c>
      <c r="AD5112" s="464">
        <v>759.39449999999999</v>
      </c>
      <c r="AE5112" s="465">
        <v>30.379560000000001</v>
      </c>
      <c r="AF5112" s="86">
        <f>IF(verze!$E$1="CZK",AD5112,IF(verze!$E$1="SK",AE5112,""))</f>
        <v>30.379560000000001</v>
      </c>
    </row>
    <row r="5113" spans="27:32" ht="15">
      <c r="AA5113" s="463" t="s">
        <v>16313</v>
      </c>
      <c r="AB5113" s="462" t="s">
        <v>16316</v>
      </c>
      <c r="AC5113" s="462" t="s">
        <v>16317</v>
      </c>
      <c r="AD5113" s="464">
        <v>287.10565000000003</v>
      </c>
      <c r="AE5113" s="465">
        <v>11.51704</v>
      </c>
      <c r="AF5113" s="86">
        <f>IF(verze!$E$1="CZK",AD5113,IF(verze!$E$1="SK",AE5113,""))</f>
        <v>11.51704</v>
      </c>
    </row>
    <row r="5114" spans="27:32" ht="15">
      <c r="AA5114" s="463" t="s">
        <v>16318</v>
      </c>
      <c r="AB5114" s="462" t="s">
        <v>16319</v>
      </c>
      <c r="AC5114" s="462" t="s">
        <v>16320</v>
      </c>
      <c r="AD5114" s="464">
        <v>759.39449999999999</v>
      </c>
      <c r="AE5114" s="465">
        <v>30.379560000000001</v>
      </c>
      <c r="AF5114" s="86">
        <f>IF(verze!$E$1="CZK",AD5114,IF(verze!$E$1="SK",AE5114,""))</f>
        <v>30.379560000000001</v>
      </c>
    </row>
    <row r="5115" spans="27:32" ht="15">
      <c r="AA5115" s="463" t="s">
        <v>16318</v>
      </c>
      <c r="AB5115" s="462" t="s">
        <v>16321</v>
      </c>
      <c r="AC5115" s="462" t="s">
        <v>16322</v>
      </c>
      <c r="AD5115" s="464">
        <v>287.10565000000003</v>
      </c>
      <c r="AE5115" s="465">
        <v>11.51704</v>
      </c>
      <c r="AF5115" s="86">
        <f>IF(verze!$E$1="CZK",AD5115,IF(verze!$E$1="SK",AE5115,""))</f>
        <v>11.51704</v>
      </c>
    </row>
    <row r="5116" spans="27:32" ht="15">
      <c r="AA5116" s="463" t="s">
        <v>16323</v>
      </c>
      <c r="AB5116" s="462" t="s">
        <v>16324</v>
      </c>
      <c r="AC5116" s="462" t="s">
        <v>16325</v>
      </c>
      <c r="AD5116" s="464">
        <v>569.43814999999995</v>
      </c>
      <c r="AE5116" s="465">
        <v>22.780360000000002</v>
      </c>
      <c r="AF5116" s="86">
        <f>IF(verze!$E$1="CZK",AD5116,IF(verze!$E$1="SK",AE5116,""))</f>
        <v>22.780360000000002</v>
      </c>
    </row>
    <row r="5117" spans="27:32" ht="15">
      <c r="AA5117" s="463" t="s">
        <v>16323</v>
      </c>
      <c r="AB5117" s="462" t="s">
        <v>16326</v>
      </c>
      <c r="AC5117" s="462" t="s">
        <v>16327</v>
      </c>
      <c r="AD5117" s="464">
        <v>215.28885</v>
      </c>
      <c r="AE5117" s="465">
        <v>8.6361600000000003</v>
      </c>
      <c r="AF5117" s="86">
        <f>IF(verze!$E$1="CZK",AD5117,IF(verze!$E$1="SK",AE5117,""))</f>
        <v>8.6361600000000003</v>
      </c>
    </row>
    <row r="5118" spans="27:32" ht="15">
      <c r="AA5118" s="463" t="s">
        <v>16328</v>
      </c>
      <c r="AB5118" s="462" t="s">
        <v>16329</v>
      </c>
      <c r="AC5118" s="462" t="s">
        <v>16330</v>
      </c>
      <c r="AD5118" s="464">
        <v>100.18701</v>
      </c>
      <c r="AE5118" s="465">
        <v>4.0079900000000004</v>
      </c>
      <c r="AF5118" s="86">
        <f>IF(verze!$E$1="CZK",AD5118,IF(verze!$E$1="SK",AE5118,""))</f>
        <v>4.0079900000000004</v>
      </c>
    </row>
    <row r="5119" spans="27:32" ht="15">
      <c r="AA5119" s="463" t="s">
        <v>16328</v>
      </c>
      <c r="AB5119" s="462" t="s">
        <v>16331</v>
      </c>
      <c r="AC5119" s="462" t="s">
        <v>16332</v>
      </c>
      <c r="AD5119" s="464">
        <v>37.878050000000002</v>
      </c>
      <c r="AE5119" s="465">
        <v>1.5382800000000001</v>
      </c>
      <c r="AF5119" s="86">
        <f>IF(verze!$E$1="CZK",AD5119,IF(verze!$E$1="SK",AE5119,""))</f>
        <v>1.5382800000000001</v>
      </c>
    </row>
    <row r="5120" spans="27:32" ht="15">
      <c r="AA5120" s="463" t="s">
        <v>16333</v>
      </c>
      <c r="AB5120" s="462" t="s">
        <v>16334</v>
      </c>
      <c r="AC5120" s="462" t="s">
        <v>16335</v>
      </c>
      <c r="AD5120" s="464">
        <v>1621.46316</v>
      </c>
      <c r="AE5120" s="465">
        <v>64.866590000000002</v>
      </c>
      <c r="AF5120" s="86">
        <f>IF(verze!$E$1="CZK",AD5120,IF(verze!$E$1="SK",AE5120,""))</f>
        <v>64.866590000000002</v>
      </c>
    </row>
    <row r="5121" spans="27:32" ht="15">
      <c r="AA5121" s="463" t="s">
        <v>16333</v>
      </c>
      <c r="AB5121" s="462" t="s">
        <v>16336</v>
      </c>
      <c r="AC5121" s="462" t="s">
        <v>16337</v>
      </c>
      <c r="AD5121" s="464">
        <v>613.03004999999996</v>
      </c>
      <c r="AE5121" s="465">
        <v>24.591259999999998</v>
      </c>
      <c r="AF5121" s="86">
        <f>IF(verze!$E$1="CZK",AD5121,IF(verze!$E$1="SK",AE5121,""))</f>
        <v>24.591259999999998</v>
      </c>
    </row>
    <row r="5122" spans="27:32" ht="15">
      <c r="AA5122" s="463" t="s">
        <v>16338</v>
      </c>
      <c r="AB5122" s="462" t="s">
        <v>16339</v>
      </c>
      <c r="AC5122" s="462" t="s">
        <v>16340</v>
      </c>
      <c r="AD5122" s="464">
        <v>97.260310000000004</v>
      </c>
      <c r="AE5122" s="465">
        <v>4.6785699999999997</v>
      </c>
      <c r="AF5122" s="86">
        <f>IF(verze!$E$1="CZK",AD5122,IF(verze!$E$1="SK",AE5122,""))</f>
        <v>4.6785699999999997</v>
      </c>
    </row>
    <row r="5123" spans="27:32" ht="15">
      <c r="AA5123" s="463" t="s">
        <v>16341</v>
      </c>
      <c r="AB5123" s="462" t="s">
        <v>16342</v>
      </c>
      <c r="AC5123" s="462" t="s">
        <v>16343</v>
      </c>
      <c r="AD5123" s="464">
        <v>123.13359</v>
      </c>
      <c r="AE5123" s="465">
        <v>5.9231600000000002</v>
      </c>
      <c r="AF5123" s="86">
        <f>IF(verze!$E$1="CZK",AD5123,IF(verze!$E$1="SK",AE5123,""))</f>
        <v>5.9231600000000002</v>
      </c>
    </row>
    <row r="5124" spans="27:32" ht="15">
      <c r="AA5124" s="463" t="s">
        <v>16344</v>
      </c>
      <c r="AB5124" s="462" t="s">
        <v>16345</v>
      </c>
      <c r="AC5124" s="462" t="s">
        <v>16346</v>
      </c>
      <c r="AD5124" s="464">
        <v>169.30695</v>
      </c>
      <c r="AE5124" s="465">
        <v>8.1442599999999992</v>
      </c>
      <c r="AF5124" s="86">
        <f>IF(verze!$E$1="CZK",AD5124,IF(verze!$E$1="SK",AE5124,""))</f>
        <v>8.1442599999999992</v>
      </c>
    </row>
    <row r="5125" spans="27:32" ht="15">
      <c r="AA5125" s="463" t="s">
        <v>16347</v>
      </c>
      <c r="AB5125" s="462" t="s">
        <v>16348</v>
      </c>
      <c r="AC5125" s="462" t="s">
        <v>16349</v>
      </c>
      <c r="AD5125" s="464">
        <v>97.260310000000004</v>
      </c>
      <c r="AE5125" s="465">
        <v>4.6785699999999997</v>
      </c>
      <c r="AF5125" s="86">
        <f>IF(verze!$E$1="CZK",AD5125,IF(verze!$E$1="SK",AE5125,""))</f>
        <v>4.6785699999999997</v>
      </c>
    </row>
    <row r="5126" spans="27:32" ht="15">
      <c r="AA5126" s="463" t="s">
        <v>16350</v>
      </c>
      <c r="AB5126" s="462" t="s">
        <v>16351</v>
      </c>
      <c r="AC5126" s="462" t="s">
        <v>16352</v>
      </c>
      <c r="AD5126" s="464">
        <v>123.13359</v>
      </c>
      <c r="AE5126" s="465">
        <v>5.9231600000000002</v>
      </c>
      <c r="AF5126" s="86">
        <f>IF(verze!$E$1="CZK",AD5126,IF(verze!$E$1="SK",AE5126,""))</f>
        <v>5.9231600000000002</v>
      </c>
    </row>
    <row r="5127" spans="27:32" ht="15">
      <c r="AA5127" s="463" t="s">
        <v>16353</v>
      </c>
      <c r="AB5127" s="462" t="s">
        <v>16354</v>
      </c>
      <c r="AC5127" s="462" t="s">
        <v>16355</v>
      </c>
      <c r="AD5127" s="464">
        <v>169.30695</v>
      </c>
      <c r="AE5127" s="465">
        <v>8.1442599999999992</v>
      </c>
      <c r="AF5127" s="86">
        <f>IF(verze!$E$1="CZK",AD5127,IF(verze!$E$1="SK",AE5127,""))</f>
        <v>8.1442599999999992</v>
      </c>
    </row>
    <row r="5128" spans="27:32" ht="15">
      <c r="AA5128" s="463" t="s">
        <v>16356</v>
      </c>
      <c r="AB5128" s="462" t="s">
        <v>16357</v>
      </c>
      <c r="AC5128" s="462" t="s">
        <v>16358</v>
      </c>
      <c r="AD5128" s="464">
        <v>97.260310000000004</v>
      </c>
      <c r="AE5128" s="465">
        <v>4.6785699999999997</v>
      </c>
      <c r="AF5128" s="86">
        <f>IF(verze!$E$1="CZK",AD5128,IF(verze!$E$1="SK",AE5128,""))</f>
        <v>4.6785699999999997</v>
      </c>
    </row>
    <row r="5129" spans="27:32" ht="15">
      <c r="AA5129" s="463" t="s">
        <v>16359</v>
      </c>
      <c r="AB5129" s="462" t="s">
        <v>16360</v>
      </c>
      <c r="AC5129" s="462" t="s">
        <v>16361</v>
      </c>
      <c r="AD5129" s="464">
        <v>123.13359</v>
      </c>
      <c r="AE5129" s="465">
        <v>5.9231600000000002</v>
      </c>
      <c r="AF5129" s="86">
        <f>IF(verze!$E$1="CZK",AD5129,IF(verze!$E$1="SK",AE5129,""))</f>
        <v>5.9231600000000002</v>
      </c>
    </row>
    <row r="5130" spans="27:32" ht="15">
      <c r="AA5130" s="463" t="s">
        <v>16362</v>
      </c>
      <c r="AB5130" s="462" t="s">
        <v>16363</v>
      </c>
      <c r="AC5130" s="462" t="s">
        <v>16364</v>
      </c>
      <c r="AD5130" s="464">
        <v>169.30695</v>
      </c>
      <c r="AE5130" s="465">
        <v>8.1442599999999992</v>
      </c>
      <c r="AF5130" s="86">
        <f>IF(verze!$E$1="CZK",AD5130,IF(verze!$E$1="SK",AE5130,""))</f>
        <v>8.1442599999999992</v>
      </c>
    </row>
    <row r="5131" spans="27:32" ht="15">
      <c r="AA5131" s="463" t="s">
        <v>16365</v>
      </c>
      <c r="AB5131" s="462" t="s">
        <v>16366</v>
      </c>
      <c r="AC5131" s="462" t="s">
        <v>16367</v>
      </c>
      <c r="AD5131" s="464">
        <v>150.04737</v>
      </c>
      <c r="AE5131" s="465">
        <v>7.2178100000000001</v>
      </c>
      <c r="AF5131" s="86">
        <f>IF(verze!$E$1="CZK",AD5131,IF(verze!$E$1="SK",AE5131,""))</f>
        <v>7.2178100000000001</v>
      </c>
    </row>
    <row r="5132" spans="27:32" ht="15">
      <c r="AA5132" s="463" t="s">
        <v>16368</v>
      </c>
      <c r="AB5132" s="462" t="s">
        <v>16369</v>
      </c>
      <c r="AC5132" s="462" t="s">
        <v>16370</v>
      </c>
      <c r="AD5132" s="464">
        <v>150.04737</v>
      </c>
      <c r="AE5132" s="465">
        <v>7.2178100000000001</v>
      </c>
      <c r="AF5132" s="86">
        <f>IF(verze!$E$1="CZK",AD5132,IF(verze!$E$1="SK",AE5132,""))</f>
        <v>7.2178100000000001</v>
      </c>
    </row>
    <row r="5133" spans="27:32" ht="15">
      <c r="AA5133" s="463" t="s">
        <v>16371</v>
      </c>
      <c r="AB5133" s="462" t="s">
        <v>16372</v>
      </c>
      <c r="AC5133" s="462" t="s">
        <v>16373</v>
      </c>
      <c r="AD5133" s="464">
        <v>150.04737</v>
      </c>
      <c r="AE5133" s="465">
        <v>7.2178100000000001</v>
      </c>
      <c r="AF5133" s="86">
        <f>IF(verze!$E$1="CZK",AD5133,IF(verze!$E$1="SK",AE5133,""))</f>
        <v>7.2178100000000001</v>
      </c>
    </row>
    <row r="5134" spans="27:32" ht="15">
      <c r="AA5134" s="463" t="s">
        <v>16374</v>
      </c>
      <c r="AB5134" s="462" t="s">
        <v>16375</v>
      </c>
      <c r="AC5134" s="462" t="s">
        <v>16376</v>
      </c>
      <c r="AD5134" s="464">
        <v>4.4243899999999998</v>
      </c>
      <c r="AE5134" s="465">
        <v>0.21284</v>
      </c>
      <c r="AF5134" s="86">
        <f>IF(verze!$E$1="CZK",AD5134,IF(verze!$E$1="SK",AE5134,""))</f>
        <v>0.21284</v>
      </c>
    </row>
    <row r="5135" spans="27:32" ht="15">
      <c r="AA5135" s="463" t="s">
        <v>16377</v>
      </c>
      <c r="AB5135" s="462" t="s">
        <v>16378</v>
      </c>
      <c r="AC5135" s="462" t="s">
        <v>16379</v>
      </c>
      <c r="AD5135" s="464">
        <v>6.09389</v>
      </c>
      <c r="AE5135" s="465">
        <v>0.29314000000000001</v>
      </c>
      <c r="AF5135" s="86">
        <f>IF(verze!$E$1="CZK",AD5135,IF(verze!$E$1="SK",AE5135,""))</f>
        <v>0.29314000000000001</v>
      </c>
    </row>
    <row r="5136" spans="27:32" ht="15">
      <c r="AA5136" s="463" t="s">
        <v>16380</v>
      </c>
      <c r="AB5136" s="462" t="s">
        <v>16381</v>
      </c>
      <c r="AC5136" s="462" t="s">
        <v>16382</v>
      </c>
      <c r="AD5136" s="464">
        <v>7.9287099999999997</v>
      </c>
      <c r="AE5136" s="465">
        <v>0.38140000000000002</v>
      </c>
      <c r="AF5136" s="86">
        <f>IF(verze!$E$1="CZK",AD5136,IF(verze!$E$1="SK",AE5136,""))</f>
        <v>0.38140000000000002</v>
      </c>
    </row>
    <row r="5137" spans="27:32" ht="15">
      <c r="AA5137" s="463" t="s">
        <v>16383</v>
      </c>
      <c r="AB5137" s="462" t="s">
        <v>16384</v>
      </c>
      <c r="AC5137" s="462" t="s">
        <v>16385</v>
      </c>
      <c r="AD5137" s="464">
        <v>4.4243899999999998</v>
      </c>
      <c r="AE5137" s="465">
        <v>0.21284</v>
      </c>
      <c r="AF5137" s="86">
        <f>IF(verze!$E$1="CZK",AD5137,IF(verze!$E$1="SK",AE5137,""))</f>
        <v>0.21284</v>
      </c>
    </row>
    <row r="5138" spans="27:32" ht="15">
      <c r="AA5138" s="463" t="s">
        <v>16386</v>
      </c>
      <c r="AB5138" s="462" t="s">
        <v>16387</v>
      </c>
      <c r="AC5138" s="462" t="s">
        <v>16388</v>
      </c>
      <c r="AD5138" s="464">
        <v>6.09389</v>
      </c>
      <c r="AE5138" s="465">
        <v>0.29314000000000001</v>
      </c>
      <c r="AF5138" s="86">
        <f>IF(verze!$E$1="CZK",AD5138,IF(verze!$E$1="SK",AE5138,""))</f>
        <v>0.29314000000000001</v>
      </c>
    </row>
    <row r="5139" spans="27:32" ht="15">
      <c r="AA5139" s="463" t="s">
        <v>16389</v>
      </c>
      <c r="AB5139" s="462" t="s">
        <v>16390</v>
      </c>
      <c r="AC5139" s="462" t="s">
        <v>16391</v>
      </c>
      <c r="AD5139" s="464">
        <v>7.9287099999999997</v>
      </c>
      <c r="AE5139" s="465">
        <v>0.38140000000000002</v>
      </c>
      <c r="AF5139" s="86">
        <f>IF(verze!$E$1="CZK",AD5139,IF(verze!$E$1="SK",AE5139,""))</f>
        <v>0.38140000000000002</v>
      </c>
    </row>
    <row r="5140" spans="27:32" ht="15">
      <c r="AA5140" s="463" t="s">
        <v>16392</v>
      </c>
      <c r="AB5140" s="462" t="s">
        <v>16393</v>
      </c>
      <c r="AC5140" s="462" t="s">
        <v>16394</v>
      </c>
      <c r="AD5140" s="464">
        <v>4.4243899999999998</v>
      </c>
      <c r="AE5140" s="465">
        <v>0.21284</v>
      </c>
      <c r="AF5140" s="86">
        <f>IF(verze!$E$1="CZK",AD5140,IF(verze!$E$1="SK",AE5140,""))</f>
        <v>0.21284</v>
      </c>
    </row>
    <row r="5141" spans="27:32" ht="15">
      <c r="AA5141" s="463" t="s">
        <v>16395</v>
      </c>
      <c r="AB5141" s="462" t="s">
        <v>16396</v>
      </c>
      <c r="AC5141" s="462" t="s">
        <v>16397</v>
      </c>
      <c r="AD5141" s="464">
        <v>6.09389</v>
      </c>
      <c r="AE5141" s="465">
        <v>0.29314000000000001</v>
      </c>
      <c r="AF5141" s="86">
        <f>IF(verze!$E$1="CZK",AD5141,IF(verze!$E$1="SK",AE5141,""))</f>
        <v>0.29314000000000001</v>
      </c>
    </row>
    <row r="5142" spans="27:32" ht="15">
      <c r="AA5142" s="463" t="s">
        <v>16398</v>
      </c>
      <c r="AB5142" s="462" t="s">
        <v>16399</v>
      </c>
      <c r="AC5142" s="462" t="s">
        <v>16400</v>
      </c>
      <c r="AD5142" s="464">
        <v>7.9287099999999997</v>
      </c>
      <c r="AE5142" s="465">
        <v>0.38140000000000002</v>
      </c>
      <c r="AF5142" s="86">
        <f>IF(verze!$E$1="CZK",AD5142,IF(verze!$E$1="SK",AE5142,""))</f>
        <v>0.38140000000000002</v>
      </c>
    </row>
    <row r="5143" spans="27:32" ht="15">
      <c r="AA5143" s="463" t="s">
        <v>16401</v>
      </c>
      <c r="AB5143" s="462" t="s">
        <v>16402</v>
      </c>
      <c r="AC5143" s="462" t="s">
        <v>16403</v>
      </c>
      <c r="AD5143" s="464">
        <v>10.840870000000001</v>
      </c>
      <c r="AE5143" s="465">
        <v>0.52149000000000001</v>
      </c>
      <c r="AF5143" s="86">
        <f>IF(verze!$E$1="CZK",AD5143,IF(verze!$E$1="SK",AE5143,""))</f>
        <v>0.52149000000000001</v>
      </c>
    </row>
    <row r="5144" spans="27:32" ht="15">
      <c r="AA5144" s="463" t="s">
        <v>16404</v>
      </c>
      <c r="AB5144" s="462" t="s">
        <v>16405</v>
      </c>
      <c r="AC5144" s="462" t="s">
        <v>16406</v>
      </c>
      <c r="AD5144" s="464">
        <v>1769.17669</v>
      </c>
      <c r="AE5144" s="465">
        <v>85.10378</v>
      </c>
      <c r="AF5144" s="86">
        <f>IF(verze!$E$1="CZK",AD5144,IF(verze!$E$1="SK",AE5144,""))</f>
        <v>85.10378</v>
      </c>
    </row>
    <row r="5145" spans="27:32" ht="15">
      <c r="AA5145" s="463" t="s">
        <v>16407</v>
      </c>
      <c r="AB5145" s="462" t="s">
        <v>16408</v>
      </c>
      <c r="AC5145" s="462" t="s">
        <v>16409</v>
      </c>
      <c r="AD5145" s="464">
        <v>0</v>
      </c>
      <c r="AE5145" s="465">
        <v>0</v>
      </c>
      <c r="AF5145" s="86">
        <f>IF(verze!$E$1="CZK",AD5145,IF(verze!$E$1="SK",AE5145,""))</f>
        <v>0</v>
      </c>
    </row>
    <row r="5146" spans="27:32" ht="15">
      <c r="AA5146" s="463" t="s">
        <v>16410</v>
      </c>
      <c r="AB5146" s="462" t="s">
        <v>16411</v>
      </c>
      <c r="AC5146" s="462" t="s">
        <v>16412</v>
      </c>
      <c r="AD5146" s="464">
        <v>2919.1355600000002</v>
      </c>
      <c r="AE5146" s="465">
        <v>140.42095</v>
      </c>
      <c r="AF5146" s="86">
        <f>IF(verze!$E$1="CZK",AD5146,IF(verze!$E$1="SK",AE5146,""))</f>
        <v>140.42095</v>
      </c>
    </row>
    <row r="5147" spans="27:32" ht="15">
      <c r="AA5147" s="463" t="s">
        <v>16413</v>
      </c>
      <c r="AB5147" s="462" t="s">
        <v>16414</v>
      </c>
      <c r="AC5147" s="462" t="s">
        <v>16415</v>
      </c>
      <c r="AD5147" s="464">
        <v>2515.7653300000002</v>
      </c>
      <c r="AE5147" s="465">
        <v>121.01739000000001</v>
      </c>
      <c r="AF5147" s="86">
        <f>IF(verze!$E$1="CZK",AD5147,IF(verze!$E$1="SK",AE5147,""))</f>
        <v>121.01739000000001</v>
      </c>
    </row>
    <row r="5148" spans="27:32" ht="15">
      <c r="AA5148" s="463" t="s">
        <v>16416</v>
      </c>
      <c r="AB5148" s="462" t="s">
        <v>16417</v>
      </c>
      <c r="AC5148" s="462" t="s">
        <v>16418</v>
      </c>
      <c r="AD5148" s="464">
        <v>0</v>
      </c>
      <c r="AE5148" s="465">
        <v>0</v>
      </c>
      <c r="AF5148" s="86">
        <f>IF(verze!$E$1="CZK",AD5148,IF(verze!$E$1="SK",AE5148,""))</f>
        <v>0</v>
      </c>
    </row>
    <row r="5149" spans="27:32" ht="15">
      <c r="AA5149" s="463" t="s">
        <v>16419</v>
      </c>
      <c r="AB5149" s="462" t="s">
        <v>16420</v>
      </c>
      <c r="AC5149" s="462" t="s">
        <v>16421</v>
      </c>
      <c r="AD5149" s="464">
        <v>3911.6410299999998</v>
      </c>
      <c r="AE5149" s="465">
        <v>188.16405</v>
      </c>
      <c r="AF5149" s="86">
        <f>IF(verze!$E$1="CZK",AD5149,IF(verze!$E$1="SK",AE5149,""))</f>
        <v>188.16405</v>
      </c>
    </row>
    <row r="5150" spans="27:32" ht="15">
      <c r="AA5150" s="463" t="s">
        <v>16422</v>
      </c>
      <c r="AB5150" s="462" t="s">
        <v>16423</v>
      </c>
      <c r="AC5150" s="462" t="s">
        <v>16424</v>
      </c>
      <c r="AD5150" s="464">
        <v>557.04454999999996</v>
      </c>
      <c r="AE5150" s="465">
        <v>26.795850000000002</v>
      </c>
      <c r="AF5150" s="86">
        <f>IF(verze!$E$1="CZK",AD5150,IF(verze!$E$1="SK",AE5150,""))</f>
        <v>26.795850000000002</v>
      </c>
    </row>
    <row r="5151" spans="27:32" ht="15">
      <c r="AA5151" s="463" t="s">
        <v>16425</v>
      </c>
      <c r="AB5151" s="462" t="s">
        <v>16426</v>
      </c>
      <c r="AC5151" s="462" t="s">
        <v>16427</v>
      </c>
      <c r="AD5151" s="464">
        <v>557.04454999999996</v>
      </c>
      <c r="AE5151" s="465">
        <v>26.795850000000002</v>
      </c>
      <c r="AF5151" s="86">
        <f>IF(verze!$E$1="CZK",AD5151,IF(verze!$E$1="SK",AE5151,""))</f>
        <v>26.795850000000002</v>
      </c>
    </row>
    <row r="5152" spans="27:32" ht="15">
      <c r="AA5152" s="463" t="s">
        <v>16428</v>
      </c>
      <c r="AB5152" s="462" t="s">
        <v>16429</v>
      </c>
      <c r="AC5152" s="462" t="s">
        <v>16430</v>
      </c>
      <c r="AD5152" s="464">
        <v>557.04454999999996</v>
      </c>
      <c r="AE5152" s="465">
        <v>26.795850000000002</v>
      </c>
      <c r="AF5152" s="86">
        <f>IF(verze!$E$1="CZK",AD5152,IF(verze!$E$1="SK",AE5152,""))</f>
        <v>26.795850000000002</v>
      </c>
    </row>
    <row r="5153" spans="27:32" ht="15">
      <c r="AA5153" s="463" t="s">
        <v>16431</v>
      </c>
      <c r="AB5153" s="462" t="s">
        <v>16432</v>
      </c>
      <c r="AC5153" s="462" t="s">
        <v>16433</v>
      </c>
      <c r="AD5153" s="464">
        <v>557.04454999999996</v>
      </c>
      <c r="AE5153" s="465">
        <v>26.795850000000002</v>
      </c>
      <c r="AF5153" s="86">
        <f>IF(verze!$E$1="CZK",AD5153,IF(verze!$E$1="SK",AE5153,""))</f>
        <v>26.795850000000002</v>
      </c>
    </row>
    <row r="5154" spans="27:32" ht="15">
      <c r="AA5154" s="463" t="s">
        <v>16434</v>
      </c>
      <c r="AB5154" s="462" t="s">
        <v>16435</v>
      </c>
      <c r="AC5154" s="462" t="s">
        <v>16436</v>
      </c>
      <c r="AD5154" s="464">
        <v>557.04454999999996</v>
      </c>
      <c r="AE5154" s="465">
        <v>26.795850000000002</v>
      </c>
      <c r="AF5154" s="86">
        <f>IF(verze!$E$1="CZK",AD5154,IF(verze!$E$1="SK",AE5154,""))</f>
        <v>26.795850000000002</v>
      </c>
    </row>
    <row r="5155" spans="27:32" ht="15">
      <c r="AA5155" s="463" t="s">
        <v>16437</v>
      </c>
      <c r="AB5155" s="462" t="s">
        <v>16438</v>
      </c>
      <c r="AC5155" s="462" t="s">
        <v>16439</v>
      </c>
      <c r="AD5155" s="464">
        <v>557.04454999999996</v>
      </c>
      <c r="AE5155" s="465">
        <v>26.795850000000002</v>
      </c>
      <c r="AF5155" s="86">
        <f>IF(verze!$E$1="CZK",AD5155,IF(verze!$E$1="SK",AE5155,""))</f>
        <v>26.795850000000002</v>
      </c>
    </row>
    <row r="5156" spans="27:32" ht="15">
      <c r="AA5156" s="463" t="s">
        <v>16440</v>
      </c>
      <c r="AB5156" s="462" t="s">
        <v>16441</v>
      </c>
      <c r="AC5156" s="462" t="s">
        <v>16442</v>
      </c>
      <c r="AD5156" s="464">
        <v>741.56732999999997</v>
      </c>
      <c r="AE5156" s="465">
        <v>35.672049999999999</v>
      </c>
      <c r="AF5156" s="86">
        <f>IF(verze!$E$1="CZK",AD5156,IF(verze!$E$1="SK",AE5156,""))</f>
        <v>35.672049999999999</v>
      </c>
    </row>
    <row r="5157" spans="27:32" ht="15">
      <c r="AA5157" s="463" t="s">
        <v>16443</v>
      </c>
      <c r="AB5157" s="462" t="s">
        <v>16444</v>
      </c>
      <c r="AC5157" s="462" t="s">
        <v>16445</v>
      </c>
      <c r="AD5157" s="464">
        <v>741.56732999999997</v>
      </c>
      <c r="AE5157" s="465">
        <v>35.672049999999999</v>
      </c>
      <c r="AF5157" s="86">
        <f>IF(verze!$E$1="CZK",AD5157,IF(verze!$E$1="SK",AE5157,""))</f>
        <v>35.672049999999999</v>
      </c>
    </row>
    <row r="5158" spans="27:32" ht="15">
      <c r="AA5158" s="463" t="s">
        <v>16446</v>
      </c>
      <c r="AB5158" s="462" t="s">
        <v>16447</v>
      </c>
      <c r="AC5158" s="462" t="s">
        <v>16448</v>
      </c>
      <c r="AD5158" s="464">
        <v>741.56732999999997</v>
      </c>
      <c r="AE5158" s="465">
        <v>35.672049999999999</v>
      </c>
      <c r="AF5158" s="86">
        <f>IF(verze!$E$1="CZK",AD5158,IF(verze!$E$1="SK",AE5158,""))</f>
        <v>35.672049999999999</v>
      </c>
    </row>
    <row r="5159" spans="27:32" ht="15">
      <c r="AA5159" s="463" t="s">
        <v>16449</v>
      </c>
      <c r="AB5159" s="462" t="s">
        <v>16450</v>
      </c>
      <c r="AC5159" s="462" t="s">
        <v>16451</v>
      </c>
      <c r="AD5159" s="464">
        <v>47.835830000000001</v>
      </c>
      <c r="AE5159" s="465">
        <v>2.2513800000000002</v>
      </c>
      <c r="AF5159" s="86">
        <f>IF(verze!$E$1="CZK",AD5159,IF(verze!$E$1="SK",AE5159,""))</f>
        <v>2.2513800000000002</v>
      </c>
    </row>
    <row r="5160" spans="27:32" ht="15">
      <c r="AA5160" s="463" t="s">
        <v>16452</v>
      </c>
      <c r="AB5160" s="462" t="s">
        <v>16453</v>
      </c>
      <c r="AC5160" s="462" t="s">
        <v>16454</v>
      </c>
      <c r="AD5160" s="464">
        <v>47.835830000000001</v>
      </c>
      <c r="AE5160" s="465">
        <v>2.2513800000000002</v>
      </c>
      <c r="AF5160" s="86">
        <f>IF(verze!$E$1="CZK",AD5160,IF(verze!$E$1="SK",AE5160,""))</f>
        <v>2.2513800000000002</v>
      </c>
    </row>
    <row r="5161" spans="27:32" ht="15">
      <c r="AA5161" s="463" t="s">
        <v>16455</v>
      </c>
      <c r="AB5161" s="462" t="s">
        <v>16456</v>
      </c>
      <c r="AC5161" s="462" t="s">
        <v>16457</v>
      </c>
      <c r="AD5161" s="464">
        <v>63.058540000000001</v>
      </c>
      <c r="AE5161" s="465">
        <v>2.9678200000000001</v>
      </c>
      <c r="AF5161" s="86">
        <f>IF(verze!$E$1="CZK",AD5161,IF(verze!$E$1="SK",AE5161,""))</f>
        <v>2.9678200000000001</v>
      </c>
    </row>
    <row r="5162" spans="27:32" ht="15">
      <c r="AA5162" s="463" t="s">
        <v>16458</v>
      </c>
      <c r="AB5162" s="462" t="s">
        <v>16459</v>
      </c>
      <c r="AC5162" s="462" t="s">
        <v>16460</v>
      </c>
      <c r="AD5162" s="464">
        <v>63.058540000000001</v>
      </c>
      <c r="AE5162" s="465">
        <v>2.9678200000000001</v>
      </c>
      <c r="AF5162" s="86">
        <f>IF(verze!$E$1="CZK",AD5162,IF(verze!$E$1="SK",AE5162,""))</f>
        <v>2.9678200000000001</v>
      </c>
    </row>
    <row r="5163" spans="27:32" ht="15">
      <c r="AA5163" s="463" t="s">
        <v>16461</v>
      </c>
      <c r="AB5163" s="462" t="s">
        <v>16462</v>
      </c>
      <c r="AC5163" s="462" t="s">
        <v>16463</v>
      </c>
      <c r="AD5163" s="464">
        <v>82.624390000000005</v>
      </c>
      <c r="AE5163" s="465">
        <v>3.8886799999999999</v>
      </c>
      <c r="AF5163" s="86">
        <f>IF(verze!$E$1="CZK",AD5163,IF(verze!$E$1="SK",AE5163,""))</f>
        <v>3.8886799999999999</v>
      </c>
    </row>
    <row r="5164" spans="27:32" ht="15">
      <c r="AA5164" s="463" t="s">
        <v>16464</v>
      </c>
      <c r="AB5164" s="462" t="s">
        <v>16465</v>
      </c>
      <c r="AC5164" s="462" t="s">
        <v>16466</v>
      </c>
      <c r="AD5164" s="464">
        <v>82.624390000000005</v>
      </c>
      <c r="AE5164" s="465">
        <v>3.8886799999999999</v>
      </c>
      <c r="AF5164" s="86">
        <f>IF(verze!$E$1="CZK",AD5164,IF(verze!$E$1="SK",AE5164,""))</f>
        <v>3.8886799999999999</v>
      </c>
    </row>
    <row r="5165" spans="27:32" ht="15">
      <c r="AA5165" s="463" t="s">
        <v>16467</v>
      </c>
      <c r="AB5165" s="462" t="s">
        <v>16468</v>
      </c>
      <c r="AC5165" s="462" t="s">
        <v>16469</v>
      </c>
      <c r="AD5165" s="464">
        <v>113.93692</v>
      </c>
      <c r="AE5165" s="465">
        <v>5.3624000000000001</v>
      </c>
      <c r="AF5165" s="86">
        <f>IF(verze!$E$1="CZK",AD5165,IF(verze!$E$1="SK",AE5165,""))</f>
        <v>5.3624000000000001</v>
      </c>
    </row>
    <row r="5166" spans="27:32" ht="15">
      <c r="AA5166" s="463" t="s">
        <v>16470</v>
      </c>
      <c r="AB5166" s="462" t="s">
        <v>16471</v>
      </c>
      <c r="AC5166" s="462" t="s">
        <v>16472</v>
      </c>
      <c r="AD5166" s="464">
        <v>113.93692</v>
      </c>
      <c r="AE5166" s="465">
        <v>5.3624000000000001</v>
      </c>
      <c r="AF5166" s="86">
        <f>IF(verze!$E$1="CZK",AD5166,IF(verze!$E$1="SK",AE5166,""))</f>
        <v>5.3624000000000001</v>
      </c>
    </row>
    <row r="5167" spans="27:32" ht="15">
      <c r="AA5167" s="463" t="s">
        <v>16473</v>
      </c>
      <c r="AB5167" s="462" t="s">
        <v>16474</v>
      </c>
      <c r="AC5167" s="462" t="s">
        <v>16475</v>
      </c>
      <c r="AD5167" s="464">
        <v>47.835830000000001</v>
      </c>
      <c r="AE5167" s="465">
        <v>2.2513800000000002</v>
      </c>
      <c r="AF5167" s="86">
        <f>IF(verze!$E$1="CZK",AD5167,IF(verze!$E$1="SK",AE5167,""))</f>
        <v>2.2513800000000002</v>
      </c>
    </row>
    <row r="5168" spans="27:32" ht="15">
      <c r="AA5168" s="463" t="s">
        <v>16476</v>
      </c>
      <c r="AB5168" s="462" t="s">
        <v>16477</v>
      </c>
      <c r="AC5168" s="462" t="s">
        <v>16478</v>
      </c>
      <c r="AD5168" s="464">
        <v>47.835830000000001</v>
      </c>
      <c r="AE5168" s="465">
        <v>2.2513800000000002</v>
      </c>
      <c r="AF5168" s="86">
        <f>IF(verze!$E$1="CZK",AD5168,IF(verze!$E$1="SK",AE5168,""))</f>
        <v>2.2513800000000002</v>
      </c>
    </row>
    <row r="5169" spans="27:32" ht="15">
      <c r="AA5169" s="463" t="s">
        <v>16479</v>
      </c>
      <c r="AB5169" s="462" t="s">
        <v>16480</v>
      </c>
      <c r="AC5169" s="462" t="s">
        <v>16481</v>
      </c>
      <c r="AD5169" s="464">
        <v>63.058540000000001</v>
      </c>
      <c r="AE5169" s="465">
        <v>2.9678200000000001</v>
      </c>
      <c r="AF5169" s="86">
        <f>IF(verze!$E$1="CZK",AD5169,IF(verze!$E$1="SK",AE5169,""))</f>
        <v>2.9678200000000001</v>
      </c>
    </row>
    <row r="5170" spans="27:32" ht="15">
      <c r="AA5170" s="463" t="s">
        <v>16482</v>
      </c>
      <c r="AB5170" s="462" t="s">
        <v>16483</v>
      </c>
      <c r="AC5170" s="462" t="s">
        <v>16484</v>
      </c>
      <c r="AD5170" s="464">
        <v>63.058540000000001</v>
      </c>
      <c r="AE5170" s="465">
        <v>2.9678200000000001</v>
      </c>
      <c r="AF5170" s="86">
        <f>IF(verze!$E$1="CZK",AD5170,IF(verze!$E$1="SK",AE5170,""))</f>
        <v>2.9678200000000001</v>
      </c>
    </row>
    <row r="5171" spans="27:32" ht="15">
      <c r="AA5171" s="463" t="s">
        <v>16485</v>
      </c>
      <c r="AB5171" s="462" t="s">
        <v>16486</v>
      </c>
      <c r="AC5171" s="462" t="s">
        <v>16487</v>
      </c>
      <c r="AD5171" s="464">
        <v>82.624390000000005</v>
      </c>
      <c r="AE5171" s="465">
        <v>3.8886799999999999</v>
      </c>
      <c r="AF5171" s="86">
        <f>IF(verze!$E$1="CZK",AD5171,IF(verze!$E$1="SK",AE5171,""))</f>
        <v>3.8886799999999999</v>
      </c>
    </row>
    <row r="5172" spans="27:32" ht="15">
      <c r="AA5172" s="463" t="s">
        <v>16488</v>
      </c>
      <c r="AB5172" s="462" t="s">
        <v>16489</v>
      </c>
      <c r="AC5172" s="462" t="s">
        <v>16490</v>
      </c>
      <c r="AD5172" s="464">
        <v>82.624390000000005</v>
      </c>
      <c r="AE5172" s="465">
        <v>3.8886799999999999</v>
      </c>
      <c r="AF5172" s="86">
        <f>IF(verze!$E$1="CZK",AD5172,IF(verze!$E$1="SK",AE5172,""))</f>
        <v>3.8886799999999999</v>
      </c>
    </row>
    <row r="5173" spans="27:32" ht="15">
      <c r="AA5173" s="463" t="s">
        <v>16491</v>
      </c>
      <c r="AB5173" s="462" t="s">
        <v>16492</v>
      </c>
      <c r="AC5173" s="462" t="s">
        <v>16493</v>
      </c>
      <c r="AD5173" s="464">
        <v>113.93692</v>
      </c>
      <c r="AE5173" s="465">
        <v>5.3624000000000001</v>
      </c>
      <c r="AF5173" s="86">
        <f>IF(verze!$E$1="CZK",AD5173,IF(verze!$E$1="SK",AE5173,""))</f>
        <v>5.3624000000000001</v>
      </c>
    </row>
    <row r="5174" spans="27:32" ht="15">
      <c r="AA5174" s="463" t="s">
        <v>16494</v>
      </c>
      <c r="AB5174" s="462" t="s">
        <v>16495</v>
      </c>
      <c r="AC5174" s="462" t="s">
        <v>16496</v>
      </c>
      <c r="AD5174" s="464">
        <v>113.93692</v>
      </c>
      <c r="AE5174" s="465">
        <v>5.3624000000000001</v>
      </c>
      <c r="AF5174" s="86">
        <f>IF(verze!$E$1="CZK",AD5174,IF(verze!$E$1="SK",AE5174,""))</f>
        <v>5.3624000000000001</v>
      </c>
    </row>
    <row r="5175" spans="27:32" ht="15">
      <c r="AA5175" s="463" t="s">
        <v>16497</v>
      </c>
      <c r="AB5175" s="462" t="s">
        <v>16498</v>
      </c>
      <c r="AC5175" s="462" t="s">
        <v>16499</v>
      </c>
      <c r="AD5175" s="464">
        <v>47.835830000000001</v>
      </c>
      <c r="AE5175" s="465">
        <v>2.2513800000000002</v>
      </c>
      <c r="AF5175" s="86">
        <f>IF(verze!$E$1="CZK",AD5175,IF(verze!$E$1="SK",AE5175,""))</f>
        <v>2.2513800000000002</v>
      </c>
    </row>
    <row r="5176" spans="27:32" ht="15">
      <c r="AA5176" s="463" t="s">
        <v>16500</v>
      </c>
      <c r="AB5176" s="462" t="s">
        <v>16501</v>
      </c>
      <c r="AC5176" s="462" t="s">
        <v>16502</v>
      </c>
      <c r="AD5176" s="464">
        <v>47.835830000000001</v>
      </c>
      <c r="AE5176" s="465">
        <v>2.2513800000000002</v>
      </c>
      <c r="AF5176" s="86">
        <f>IF(verze!$E$1="CZK",AD5176,IF(verze!$E$1="SK",AE5176,""))</f>
        <v>2.2513800000000002</v>
      </c>
    </row>
    <row r="5177" spans="27:32" ht="15">
      <c r="AA5177" s="463" t="s">
        <v>16503</v>
      </c>
      <c r="AB5177" s="462" t="s">
        <v>16504</v>
      </c>
      <c r="AC5177" s="462" t="s">
        <v>16505</v>
      </c>
      <c r="AD5177" s="464">
        <v>63.058540000000001</v>
      </c>
      <c r="AE5177" s="465">
        <v>2.9678200000000001</v>
      </c>
      <c r="AF5177" s="86">
        <f>IF(verze!$E$1="CZK",AD5177,IF(verze!$E$1="SK",AE5177,""))</f>
        <v>2.9678200000000001</v>
      </c>
    </row>
    <row r="5178" spans="27:32" ht="15">
      <c r="AA5178" s="463" t="s">
        <v>16506</v>
      </c>
      <c r="AB5178" s="462" t="s">
        <v>16507</v>
      </c>
      <c r="AC5178" s="462" t="s">
        <v>16508</v>
      </c>
      <c r="AD5178" s="464">
        <v>63.058540000000001</v>
      </c>
      <c r="AE5178" s="465">
        <v>2.9678200000000001</v>
      </c>
      <c r="AF5178" s="86">
        <f>IF(verze!$E$1="CZK",AD5178,IF(verze!$E$1="SK",AE5178,""))</f>
        <v>2.9678200000000001</v>
      </c>
    </row>
    <row r="5179" spans="27:32" ht="15">
      <c r="AA5179" s="463" t="s">
        <v>16509</v>
      </c>
      <c r="AB5179" s="462" t="s">
        <v>16510</v>
      </c>
      <c r="AC5179" s="462" t="s">
        <v>16511</v>
      </c>
      <c r="AD5179" s="464">
        <v>82.624390000000005</v>
      </c>
      <c r="AE5179" s="465">
        <v>3.8886799999999999</v>
      </c>
      <c r="AF5179" s="86">
        <f>IF(verze!$E$1="CZK",AD5179,IF(verze!$E$1="SK",AE5179,""))</f>
        <v>3.8886799999999999</v>
      </c>
    </row>
    <row r="5180" spans="27:32" ht="15">
      <c r="AA5180" s="463" t="s">
        <v>16512</v>
      </c>
      <c r="AB5180" s="462" t="s">
        <v>16513</v>
      </c>
      <c r="AC5180" s="462" t="s">
        <v>16514</v>
      </c>
      <c r="AD5180" s="464">
        <v>82.624390000000005</v>
      </c>
      <c r="AE5180" s="465">
        <v>3.8886799999999999</v>
      </c>
      <c r="AF5180" s="86">
        <f>IF(verze!$E$1="CZK",AD5180,IF(verze!$E$1="SK",AE5180,""))</f>
        <v>3.8886799999999999</v>
      </c>
    </row>
    <row r="5181" spans="27:32" ht="15">
      <c r="AA5181" s="463" t="s">
        <v>16515</v>
      </c>
      <c r="AB5181" s="462" t="s">
        <v>16516</v>
      </c>
      <c r="AC5181" s="462" t="s">
        <v>16517</v>
      </c>
      <c r="AD5181" s="464">
        <v>113.93692</v>
      </c>
      <c r="AE5181" s="465">
        <v>5.3624000000000001</v>
      </c>
      <c r="AF5181" s="86">
        <f>IF(verze!$E$1="CZK",AD5181,IF(verze!$E$1="SK",AE5181,""))</f>
        <v>5.3624000000000001</v>
      </c>
    </row>
    <row r="5182" spans="27:32" ht="15">
      <c r="AA5182" s="463" t="s">
        <v>16518</v>
      </c>
      <c r="AB5182" s="462" t="s">
        <v>16519</v>
      </c>
      <c r="AC5182" s="462" t="s">
        <v>16520</v>
      </c>
      <c r="AD5182" s="464">
        <v>113.93692</v>
      </c>
      <c r="AE5182" s="465">
        <v>5.3624000000000001</v>
      </c>
      <c r="AF5182" s="86">
        <f>IF(verze!$E$1="CZK",AD5182,IF(verze!$E$1="SK",AE5182,""))</f>
        <v>5.3624000000000001</v>
      </c>
    </row>
    <row r="5183" spans="27:32" ht="15">
      <c r="AA5183" s="463" t="s">
        <v>16521</v>
      </c>
      <c r="AB5183" s="462" t="s">
        <v>16522</v>
      </c>
      <c r="AC5183" s="462" t="s">
        <v>16523</v>
      </c>
      <c r="AD5183" s="464">
        <v>15.54837</v>
      </c>
      <c r="AE5183" s="465">
        <v>0.74794000000000005</v>
      </c>
      <c r="AF5183" s="86">
        <f>IF(verze!$E$1="CZK",AD5183,IF(verze!$E$1="SK",AE5183,""))</f>
        <v>0.74794000000000005</v>
      </c>
    </row>
    <row r="5184" spans="27:32" ht="15">
      <c r="AA5184" s="463" t="s">
        <v>1320</v>
      </c>
      <c r="AB5184" s="462" t="s">
        <v>16524</v>
      </c>
      <c r="AC5184" s="462" t="s">
        <v>16525</v>
      </c>
      <c r="AD5184" s="464">
        <v>15.13485</v>
      </c>
      <c r="AE5184" s="465">
        <v>0.71231999999999995</v>
      </c>
      <c r="AF5184" s="86">
        <f>IF(verze!$E$1="CZK",AD5184,IF(verze!$E$1="SK",AE5184,""))</f>
        <v>0.71231999999999995</v>
      </c>
    </row>
    <row r="5185" spans="27:32" ht="15">
      <c r="AA5185" s="463" t="s">
        <v>16526</v>
      </c>
      <c r="AB5185" s="462" t="s">
        <v>16527</v>
      </c>
      <c r="AC5185" s="462" t="s">
        <v>16528</v>
      </c>
      <c r="AD5185" s="464">
        <v>6.12852</v>
      </c>
      <c r="AE5185" s="465">
        <v>0.29480000000000001</v>
      </c>
      <c r="AF5185" s="86">
        <f>IF(verze!$E$1="CZK",AD5185,IF(verze!$E$1="SK",AE5185,""))</f>
        <v>0.29480000000000001</v>
      </c>
    </row>
    <row r="5186" spans="27:32" ht="15">
      <c r="AA5186" s="463" t="s">
        <v>1320</v>
      </c>
      <c r="AB5186" s="462" t="s">
        <v>16529</v>
      </c>
      <c r="AC5186" s="462" t="s">
        <v>16530</v>
      </c>
      <c r="AD5186" s="464">
        <v>5.9655300000000002</v>
      </c>
      <c r="AE5186" s="465">
        <v>0.28076000000000001</v>
      </c>
      <c r="AF5186" s="86">
        <f>IF(verze!$E$1="CZK",AD5186,IF(verze!$E$1="SK",AE5186,""))</f>
        <v>0.28076000000000001</v>
      </c>
    </row>
    <row r="5187" spans="27:32" ht="15">
      <c r="AA5187" s="463" t="s">
        <v>16531</v>
      </c>
      <c r="AB5187" s="462" t="s">
        <v>16532</v>
      </c>
      <c r="AC5187" s="462" t="s">
        <v>16533</v>
      </c>
      <c r="AD5187" s="464">
        <v>6.12852</v>
      </c>
      <c r="AE5187" s="465">
        <v>0.29480000000000001</v>
      </c>
      <c r="AF5187" s="86">
        <f>IF(verze!$E$1="CZK",AD5187,IF(verze!$E$1="SK",AE5187,""))</f>
        <v>0.29480000000000001</v>
      </c>
    </row>
    <row r="5188" spans="27:32" ht="15">
      <c r="AA5188" s="463" t="s">
        <v>1320</v>
      </c>
      <c r="AB5188" s="462" t="s">
        <v>16534</v>
      </c>
      <c r="AC5188" s="462" t="s">
        <v>16535</v>
      </c>
      <c r="AD5188" s="464">
        <v>5.9655300000000002</v>
      </c>
      <c r="AE5188" s="465">
        <v>0.28076000000000001</v>
      </c>
      <c r="AF5188" s="86">
        <f>IF(verze!$E$1="CZK",AD5188,IF(verze!$E$1="SK",AE5188,""))</f>
        <v>0.28076000000000001</v>
      </c>
    </row>
    <row r="5189" spans="27:32" ht="15">
      <c r="AA5189" s="463" t="s">
        <v>16536</v>
      </c>
      <c r="AB5189" s="462" t="s">
        <v>16537</v>
      </c>
      <c r="AC5189" s="462" t="s">
        <v>16538</v>
      </c>
      <c r="AD5189" s="464">
        <v>6.12852</v>
      </c>
      <c r="AE5189" s="465">
        <v>0.29480000000000001</v>
      </c>
      <c r="AF5189" s="86">
        <f>IF(verze!$E$1="CZK",AD5189,IF(verze!$E$1="SK",AE5189,""))</f>
        <v>0.29480000000000001</v>
      </c>
    </row>
    <row r="5190" spans="27:32" ht="15">
      <c r="AA5190" s="463" t="s">
        <v>1320</v>
      </c>
      <c r="AB5190" s="462" t="s">
        <v>16539</v>
      </c>
      <c r="AC5190" s="462" t="s">
        <v>16540</v>
      </c>
      <c r="AD5190" s="464">
        <v>5.9655300000000002</v>
      </c>
      <c r="AE5190" s="465">
        <v>0.28076000000000001</v>
      </c>
      <c r="AF5190" s="86">
        <f>IF(verze!$E$1="CZK",AD5190,IF(verze!$E$1="SK",AE5190,""))</f>
        <v>0.28076000000000001</v>
      </c>
    </row>
    <row r="5191" spans="27:32" ht="15">
      <c r="AA5191" s="463" t="s">
        <v>16541</v>
      </c>
      <c r="AB5191" s="462" t="s">
        <v>16542</v>
      </c>
      <c r="AC5191" s="462" t="s">
        <v>16543</v>
      </c>
      <c r="AD5191" s="464">
        <v>84.141540000000006</v>
      </c>
      <c r="AE5191" s="465">
        <v>4.0475199999999996</v>
      </c>
      <c r="AF5191" s="86">
        <f>IF(verze!$E$1="CZK",AD5191,IF(verze!$E$1="SK",AE5191,""))</f>
        <v>4.0475199999999996</v>
      </c>
    </row>
    <row r="5192" spans="27:32" ht="15">
      <c r="AA5192" s="463" t="s">
        <v>16544</v>
      </c>
      <c r="AB5192" s="462" t="s">
        <v>16545</v>
      </c>
      <c r="AC5192" s="462" t="s">
        <v>16546</v>
      </c>
      <c r="AD5192" s="464">
        <v>107.39579000000001</v>
      </c>
      <c r="AE5192" s="465">
        <v>5.1661299999999999</v>
      </c>
      <c r="AF5192" s="86">
        <f>IF(verze!$E$1="CZK",AD5192,IF(verze!$E$1="SK",AE5192,""))</f>
        <v>5.1661299999999999</v>
      </c>
    </row>
    <row r="5193" spans="27:32" ht="15">
      <c r="AA5193" s="463" t="s">
        <v>16547</v>
      </c>
      <c r="AB5193" s="462" t="s">
        <v>16548</v>
      </c>
      <c r="AC5193" s="462" t="s">
        <v>16549</v>
      </c>
      <c r="AD5193" s="464">
        <v>107.39579000000001</v>
      </c>
      <c r="AE5193" s="465">
        <v>5.1661299999999999</v>
      </c>
      <c r="AF5193" s="86">
        <f>IF(verze!$E$1="CZK",AD5193,IF(verze!$E$1="SK",AE5193,""))</f>
        <v>5.1661299999999999</v>
      </c>
    </row>
    <row r="5194" spans="27:32" ht="15">
      <c r="AA5194" s="463" t="s">
        <v>16550</v>
      </c>
      <c r="AB5194" s="462" t="s">
        <v>16551</v>
      </c>
      <c r="AC5194" s="462" t="s">
        <v>16552</v>
      </c>
      <c r="AD5194" s="464">
        <v>399.56428</v>
      </c>
      <c r="AE5194" s="465">
        <v>19.220479999999998</v>
      </c>
      <c r="AF5194" s="86">
        <f>IF(verze!$E$1="CZK",AD5194,IF(verze!$E$1="SK",AE5194,""))</f>
        <v>19.220479999999998</v>
      </c>
    </row>
    <row r="5195" spans="27:32" ht="15">
      <c r="AA5195" s="463" t="s">
        <v>16553</v>
      </c>
      <c r="AB5195" s="462" t="s">
        <v>16554</v>
      </c>
      <c r="AC5195" s="462" t="s">
        <v>16555</v>
      </c>
      <c r="AD5195" s="464">
        <v>121.99039999999999</v>
      </c>
      <c r="AE5195" s="465">
        <v>5.8681999999999999</v>
      </c>
      <c r="AF5195" s="86">
        <f>IF(verze!$E$1="CZK",AD5195,IF(verze!$E$1="SK",AE5195,""))</f>
        <v>5.8681999999999999</v>
      </c>
    </row>
    <row r="5196" spans="27:32" ht="15">
      <c r="AA5196" s="463" t="s">
        <v>16556</v>
      </c>
      <c r="AB5196" s="462" t="s">
        <v>16557</v>
      </c>
      <c r="AC5196" s="462" t="s">
        <v>16558</v>
      </c>
      <c r="AD5196" s="464">
        <v>171.83053000000001</v>
      </c>
      <c r="AE5196" s="465">
        <v>8.2656799999999997</v>
      </c>
      <c r="AF5196" s="86">
        <f>IF(verze!$E$1="CZK",AD5196,IF(verze!$E$1="SK",AE5196,""))</f>
        <v>8.2656799999999997</v>
      </c>
    </row>
    <row r="5197" spans="27:32" ht="15">
      <c r="AA5197" s="463" t="s">
        <v>16559</v>
      </c>
      <c r="AB5197" s="462" t="s">
        <v>16560</v>
      </c>
      <c r="AC5197" s="462" t="s">
        <v>16561</v>
      </c>
      <c r="AD5197" s="464">
        <v>171.83053000000001</v>
      </c>
      <c r="AE5197" s="465">
        <v>8.2656799999999997</v>
      </c>
      <c r="AF5197" s="86">
        <f>IF(verze!$E$1="CZK",AD5197,IF(verze!$E$1="SK",AE5197,""))</f>
        <v>8.2656799999999997</v>
      </c>
    </row>
    <row r="5198" spans="27:32" ht="15">
      <c r="AA5198" s="463" t="s">
        <v>16562</v>
      </c>
      <c r="AB5198" s="462" t="s">
        <v>16563</v>
      </c>
      <c r="AC5198" s="462" t="s">
        <v>16564</v>
      </c>
      <c r="AD5198" s="464">
        <v>171.83053000000001</v>
      </c>
      <c r="AE5198" s="465">
        <v>8.2656799999999997</v>
      </c>
      <c r="AF5198" s="86">
        <f>IF(verze!$E$1="CZK",AD5198,IF(verze!$E$1="SK",AE5198,""))</f>
        <v>8.2656799999999997</v>
      </c>
    </row>
    <row r="5199" spans="27:32" ht="15">
      <c r="AA5199" s="463" t="s">
        <v>16565</v>
      </c>
      <c r="AB5199" s="462" t="s">
        <v>16566</v>
      </c>
      <c r="AC5199" s="462" t="s">
        <v>16567</v>
      </c>
      <c r="AD5199" s="464">
        <v>2360.1448700000001</v>
      </c>
      <c r="AE5199" s="465">
        <v>94.417540000000002</v>
      </c>
      <c r="AF5199" s="86">
        <f>IF(verze!$E$1="CZK",AD5199,IF(verze!$E$1="SK",AE5199,""))</f>
        <v>94.417540000000002</v>
      </c>
    </row>
    <row r="5200" spans="27:32" ht="15">
      <c r="AA5200" s="463" t="s">
        <v>16565</v>
      </c>
      <c r="AB5200" s="462" t="s">
        <v>16568</v>
      </c>
      <c r="AC5200" s="462" t="s">
        <v>16569</v>
      </c>
      <c r="AD5200" s="464">
        <v>892.30494999999996</v>
      </c>
      <c r="AE5200" s="465">
        <v>35.94088</v>
      </c>
      <c r="AF5200" s="86">
        <f>IF(verze!$E$1="CZK",AD5200,IF(verze!$E$1="SK",AE5200,""))</f>
        <v>35.94088</v>
      </c>
    </row>
    <row r="5201" spans="27:32" ht="15">
      <c r="AA5201" s="463" t="s">
        <v>16570</v>
      </c>
      <c r="AB5201" s="462" t="s">
        <v>16571</v>
      </c>
      <c r="AC5201" s="462" t="s">
        <v>16572</v>
      </c>
      <c r="AD5201" s="464">
        <v>32.920310000000001</v>
      </c>
      <c r="AE5201" s="465">
        <v>1.5494000000000001</v>
      </c>
      <c r="AF5201" s="86">
        <f>IF(verze!$E$1="CZK",AD5201,IF(verze!$E$1="SK",AE5201,""))</f>
        <v>1.5494000000000001</v>
      </c>
    </row>
    <row r="5202" spans="27:32" ht="15">
      <c r="AA5202" s="463" t="s">
        <v>16573</v>
      </c>
      <c r="AB5202" s="462" t="s">
        <v>16574</v>
      </c>
      <c r="AC5202" s="462" t="s">
        <v>16575</v>
      </c>
      <c r="AD5202" s="464">
        <v>33.53387</v>
      </c>
      <c r="AE5202" s="465">
        <v>1.57826</v>
      </c>
      <c r="AF5202" s="86">
        <f>IF(verze!$E$1="CZK",AD5202,IF(verze!$E$1="SK",AE5202,""))</f>
        <v>1.57826</v>
      </c>
    </row>
    <row r="5203" spans="27:32" ht="15">
      <c r="AA5203" s="463" t="s">
        <v>16576</v>
      </c>
      <c r="AB5203" s="462" t="s">
        <v>16577</v>
      </c>
      <c r="AC5203" s="462" t="s">
        <v>16578</v>
      </c>
      <c r="AD5203" s="464">
        <v>10.61486</v>
      </c>
      <c r="AE5203" s="465">
        <v>0.49959999999999999</v>
      </c>
      <c r="AF5203" s="86">
        <f>IF(verze!$E$1="CZK",AD5203,IF(verze!$E$1="SK",AE5203,""))</f>
        <v>0.49959999999999999</v>
      </c>
    </row>
    <row r="5204" spans="27:32" ht="15">
      <c r="AA5204" s="463" t="s">
        <v>16579</v>
      </c>
      <c r="AB5204" s="462" t="s">
        <v>16580</v>
      </c>
      <c r="AC5204" s="462" t="s">
        <v>16581</v>
      </c>
      <c r="AD5204" s="464">
        <v>11.40666</v>
      </c>
      <c r="AE5204" s="465">
        <v>0.53683999999999998</v>
      </c>
      <c r="AF5204" s="86">
        <f>IF(verze!$E$1="CZK",AD5204,IF(verze!$E$1="SK",AE5204,""))</f>
        <v>0.53683999999999998</v>
      </c>
    </row>
    <row r="5205" spans="27:32" ht="15">
      <c r="AA5205" s="463" t="s">
        <v>16582</v>
      </c>
      <c r="AB5205" s="462" t="s">
        <v>16583</v>
      </c>
      <c r="AC5205" s="462" t="s">
        <v>16584</v>
      </c>
      <c r="AD5205" s="464">
        <v>481.81412999999998</v>
      </c>
      <c r="AE5205" s="465">
        <v>23.177009999999999</v>
      </c>
      <c r="AF5205" s="86">
        <f>IF(verze!$E$1="CZK",AD5205,IF(verze!$E$1="SK",AE5205,""))</f>
        <v>23.177009999999999</v>
      </c>
    </row>
    <row r="5206" spans="27:32" ht="15">
      <c r="AA5206" s="463" t="s">
        <v>16585</v>
      </c>
      <c r="AB5206" s="462" t="s">
        <v>16586</v>
      </c>
      <c r="AC5206" s="462" t="s">
        <v>16587</v>
      </c>
      <c r="AD5206" s="464">
        <v>481.81412999999998</v>
      </c>
      <c r="AE5206" s="465">
        <v>23.177009999999999</v>
      </c>
      <c r="AF5206" s="86">
        <f>IF(verze!$E$1="CZK",AD5206,IF(verze!$E$1="SK",AE5206,""))</f>
        <v>23.177009999999999</v>
      </c>
    </row>
    <row r="5207" spans="27:32" ht="15">
      <c r="AA5207" s="463" t="s">
        <v>16588</v>
      </c>
      <c r="AB5207" s="462" t="s">
        <v>16589</v>
      </c>
      <c r="AC5207" s="462" t="s">
        <v>16590</v>
      </c>
      <c r="AD5207" s="464">
        <v>481.81412999999998</v>
      </c>
      <c r="AE5207" s="465">
        <v>23.177009999999999</v>
      </c>
      <c r="AF5207" s="86">
        <f>IF(verze!$E$1="CZK",AD5207,IF(verze!$E$1="SK",AE5207,""))</f>
        <v>23.177009999999999</v>
      </c>
    </row>
    <row r="5208" spans="27:32" ht="15">
      <c r="AA5208" s="463" t="s">
        <v>16591</v>
      </c>
      <c r="AB5208" s="462" t="s">
        <v>16592</v>
      </c>
      <c r="AC5208" s="462" t="s">
        <v>16593</v>
      </c>
      <c r="AD5208" s="464">
        <v>481.81412999999998</v>
      </c>
      <c r="AE5208" s="465">
        <v>23.177009999999999</v>
      </c>
      <c r="AF5208" s="86">
        <f>IF(verze!$E$1="CZK",AD5208,IF(verze!$E$1="SK",AE5208,""))</f>
        <v>23.177009999999999</v>
      </c>
    </row>
    <row r="5209" spans="27:32" ht="15">
      <c r="AA5209" s="463" t="s">
        <v>16594</v>
      </c>
      <c r="AB5209" s="462" t="s">
        <v>16595</v>
      </c>
      <c r="AC5209" s="462" t="s">
        <v>16596</v>
      </c>
      <c r="AD5209" s="464">
        <v>480.50922000000003</v>
      </c>
      <c r="AE5209" s="465">
        <v>23.114239999999999</v>
      </c>
      <c r="AF5209" s="86">
        <f>IF(verze!$E$1="CZK",AD5209,IF(verze!$E$1="SK",AE5209,""))</f>
        <v>23.114239999999999</v>
      </c>
    </row>
    <row r="5210" spans="27:32" ht="15">
      <c r="AA5210" s="463" t="s">
        <v>16597</v>
      </c>
      <c r="AB5210" s="462" t="s">
        <v>16598</v>
      </c>
      <c r="AC5210" s="462" t="s">
        <v>16599</v>
      </c>
      <c r="AD5210" s="464">
        <v>480.50922000000003</v>
      </c>
      <c r="AE5210" s="465">
        <v>23.114239999999999</v>
      </c>
      <c r="AF5210" s="86">
        <f>IF(verze!$E$1="CZK",AD5210,IF(verze!$E$1="SK",AE5210,""))</f>
        <v>23.114239999999999</v>
      </c>
    </row>
    <row r="5211" spans="27:32" ht="15">
      <c r="AA5211" s="463" t="s">
        <v>16600</v>
      </c>
      <c r="AB5211" s="462" t="s">
        <v>16601</v>
      </c>
      <c r="AC5211" s="462" t="s">
        <v>16602</v>
      </c>
      <c r="AD5211" s="464">
        <v>480.50922000000003</v>
      </c>
      <c r="AE5211" s="465">
        <v>23.114239999999999</v>
      </c>
      <c r="AF5211" s="86">
        <f>IF(verze!$E$1="CZK",AD5211,IF(verze!$E$1="SK",AE5211,""))</f>
        <v>23.114239999999999</v>
      </c>
    </row>
    <row r="5212" spans="27:32" ht="15">
      <c r="AA5212" s="463" t="s">
        <v>16603</v>
      </c>
      <c r="AB5212" s="462" t="s">
        <v>16604</v>
      </c>
      <c r="AC5212" s="462" t="s">
        <v>16605</v>
      </c>
      <c r="AD5212" s="464">
        <v>117.82274</v>
      </c>
      <c r="AE5212" s="465">
        <v>5.6676900000000003</v>
      </c>
      <c r="AF5212" s="86">
        <f>IF(verze!$E$1="CZK",AD5212,IF(verze!$E$1="SK",AE5212,""))</f>
        <v>5.6676900000000003</v>
      </c>
    </row>
    <row r="5213" spans="27:32" ht="15">
      <c r="AA5213" s="463" t="s">
        <v>16606</v>
      </c>
      <c r="AB5213" s="462" t="s">
        <v>16607</v>
      </c>
      <c r="AC5213" s="462" t="s">
        <v>16608</v>
      </c>
      <c r="AD5213" s="464">
        <v>117.82274</v>
      </c>
      <c r="AE5213" s="465">
        <v>5.6676900000000003</v>
      </c>
      <c r="AF5213" s="86">
        <f>IF(verze!$E$1="CZK",AD5213,IF(verze!$E$1="SK",AE5213,""))</f>
        <v>5.6676900000000003</v>
      </c>
    </row>
    <row r="5214" spans="27:32" ht="15">
      <c r="AA5214" s="463" t="s">
        <v>16609</v>
      </c>
      <c r="AB5214" s="462" t="s">
        <v>16610</v>
      </c>
      <c r="AC5214" s="462" t="s">
        <v>16611</v>
      </c>
      <c r="AD5214" s="464">
        <v>120.92368999999999</v>
      </c>
      <c r="AE5214" s="465">
        <v>5.8168699999999998</v>
      </c>
      <c r="AF5214" s="86">
        <f>IF(verze!$E$1="CZK",AD5214,IF(verze!$E$1="SK",AE5214,""))</f>
        <v>5.8168699999999998</v>
      </c>
    </row>
    <row r="5215" spans="27:32" ht="15">
      <c r="AA5215" s="463" t="s">
        <v>16612</v>
      </c>
      <c r="AB5215" s="462" t="s">
        <v>16613</v>
      </c>
      <c r="AC5215" s="462" t="s">
        <v>16614</v>
      </c>
      <c r="AD5215" s="464">
        <v>120.92368999999999</v>
      </c>
      <c r="AE5215" s="465">
        <v>5.8168699999999998</v>
      </c>
      <c r="AF5215" s="86">
        <f>IF(verze!$E$1="CZK",AD5215,IF(verze!$E$1="SK",AE5215,""))</f>
        <v>5.8168699999999998</v>
      </c>
    </row>
    <row r="5216" spans="27:32" ht="15">
      <c r="AA5216" s="463" t="s">
        <v>16615</v>
      </c>
      <c r="AB5216" s="462" t="s">
        <v>16616</v>
      </c>
      <c r="AC5216" s="462" t="s">
        <v>16617</v>
      </c>
      <c r="AD5216" s="464">
        <v>127.21706</v>
      </c>
      <c r="AE5216" s="465">
        <v>6.1195899999999996</v>
      </c>
      <c r="AF5216" s="86">
        <f>IF(verze!$E$1="CZK",AD5216,IF(verze!$E$1="SK",AE5216,""))</f>
        <v>6.1195899999999996</v>
      </c>
    </row>
    <row r="5217" spans="27:32" ht="15">
      <c r="AA5217" s="463" t="s">
        <v>16618</v>
      </c>
      <c r="AB5217" s="462" t="s">
        <v>16619</v>
      </c>
      <c r="AC5217" s="462" t="s">
        <v>16620</v>
      </c>
      <c r="AD5217" s="464">
        <v>127.21706</v>
      </c>
      <c r="AE5217" s="465">
        <v>6.1195899999999996</v>
      </c>
      <c r="AF5217" s="86">
        <f>IF(verze!$E$1="CZK",AD5217,IF(verze!$E$1="SK",AE5217,""))</f>
        <v>6.1195899999999996</v>
      </c>
    </row>
    <row r="5218" spans="27:32" ht="15">
      <c r="AA5218" s="463" t="s">
        <v>16621</v>
      </c>
      <c r="AB5218" s="462" t="s">
        <v>16622</v>
      </c>
      <c r="AC5218" s="462" t="s">
        <v>16623</v>
      </c>
      <c r="AD5218" s="464">
        <v>135.92488</v>
      </c>
      <c r="AE5218" s="465">
        <v>6.5384799999999998</v>
      </c>
      <c r="AF5218" s="86">
        <f>IF(verze!$E$1="CZK",AD5218,IF(verze!$E$1="SK",AE5218,""))</f>
        <v>6.5384799999999998</v>
      </c>
    </row>
    <row r="5219" spans="27:32" ht="15">
      <c r="AA5219" s="463" t="s">
        <v>16624</v>
      </c>
      <c r="AB5219" s="462" t="s">
        <v>16625</v>
      </c>
      <c r="AC5219" s="462" t="s">
        <v>16626</v>
      </c>
      <c r="AD5219" s="464">
        <v>135.92488</v>
      </c>
      <c r="AE5219" s="465">
        <v>6.5384799999999998</v>
      </c>
      <c r="AF5219" s="86">
        <f>IF(verze!$E$1="CZK",AD5219,IF(verze!$E$1="SK",AE5219,""))</f>
        <v>6.5384799999999998</v>
      </c>
    </row>
    <row r="5220" spans="27:32" ht="15">
      <c r="AA5220" s="463" t="s">
        <v>16627</v>
      </c>
      <c r="AB5220" s="462" t="s">
        <v>16628</v>
      </c>
      <c r="AC5220" s="462" t="s">
        <v>16629</v>
      </c>
      <c r="AD5220" s="464">
        <v>100.42456</v>
      </c>
      <c r="AE5220" s="465">
        <v>4.8308</v>
      </c>
      <c r="AF5220" s="86">
        <f>IF(verze!$E$1="CZK",AD5220,IF(verze!$E$1="SK",AE5220,""))</f>
        <v>4.8308</v>
      </c>
    </row>
    <row r="5221" spans="27:32" ht="15">
      <c r="AA5221" s="463" t="s">
        <v>16630</v>
      </c>
      <c r="AB5221" s="462" t="s">
        <v>16631</v>
      </c>
      <c r="AC5221" s="462" t="s">
        <v>16632</v>
      </c>
      <c r="AD5221" s="464">
        <v>759.46401000000003</v>
      </c>
      <c r="AE5221" s="465">
        <v>34.793300000000002</v>
      </c>
      <c r="AF5221" s="86">
        <f>IF(verze!$E$1="CZK",AD5221,IF(verze!$E$1="SK",AE5221,""))</f>
        <v>34.793300000000002</v>
      </c>
    </row>
    <row r="5222" spans="27:32" ht="15">
      <c r="AA5222" s="463" t="s">
        <v>16633</v>
      </c>
      <c r="AB5222" s="462" t="s">
        <v>16634</v>
      </c>
      <c r="AC5222" s="462" t="s">
        <v>16635</v>
      </c>
      <c r="AD5222" s="464">
        <v>410.00324000000001</v>
      </c>
      <c r="AE5222" s="465">
        <v>18.783460000000002</v>
      </c>
      <c r="AF5222" s="86">
        <f>IF(verze!$E$1="CZK",AD5222,IF(verze!$E$1="SK",AE5222,""))</f>
        <v>18.783460000000002</v>
      </c>
    </row>
    <row r="5223" spans="27:32" ht="15">
      <c r="AA5223" s="463" t="s">
        <v>16636</v>
      </c>
      <c r="AB5223" s="462" t="s">
        <v>16637</v>
      </c>
      <c r="AC5223" s="462" t="s">
        <v>16638</v>
      </c>
      <c r="AD5223" s="464">
        <v>364.29246999999998</v>
      </c>
      <c r="AE5223" s="465">
        <v>16.689319999999999</v>
      </c>
      <c r="AF5223" s="86">
        <f>IF(verze!$E$1="CZK",AD5223,IF(verze!$E$1="SK",AE5223,""))</f>
        <v>16.689319999999999</v>
      </c>
    </row>
    <row r="5224" spans="27:32" ht="15">
      <c r="AA5224" s="463" t="s">
        <v>16639</v>
      </c>
      <c r="AB5224" s="462" t="s">
        <v>16640</v>
      </c>
      <c r="AC5224" s="462" t="s">
        <v>16641</v>
      </c>
      <c r="AD5224" s="464">
        <v>475.82808999999997</v>
      </c>
      <c r="AE5224" s="465">
        <v>21.79908</v>
      </c>
      <c r="AF5224" s="86">
        <f>IF(verze!$E$1="CZK",AD5224,IF(verze!$E$1="SK",AE5224,""))</f>
        <v>21.79908</v>
      </c>
    </row>
    <row r="5225" spans="27:32" ht="15">
      <c r="AA5225" s="463" t="s">
        <v>16642</v>
      </c>
      <c r="AB5225" s="462" t="s">
        <v>16643</v>
      </c>
      <c r="AC5225" s="462" t="s">
        <v>16644</v>
      </c>
      <c r="AD5225" s="464">
        <v>230.06085999999999</v>
      </c>
      <c r="AE5225" s="465">
        <v>9.2917199999999998</v>
      </c>
      <c r="AF5225" s="86">
        <f>IF(verze!$E$1="CZK",AD5225,IF(verze!$E$1="SK",AE5225,""))</f>
        <v>9.2917199999999998</v>
      </c>
    </row>
    <row r="5226" spans="27:32" ht="15">
      <c r="AA5226" s="463" t="s">
        <v>16645</v>
      </c>
      <c r="AB5226" s="462" t="s">
        <v>16646</v>
      </c>
      <c r="AC5226" s="462" t="s">
        <v>16647</v>
      </c>
      <c r="AD5226" s="464">
        <v>230.06085999999999</v>
      </c>
      <c r="AE5226" s="465">
        <v>9.2917199999999998</v>
      </c>
      <c r="AF5226" s="86">
        <f>IF(verze!$E$1="CZK",AD5226,IF(verze!$E$1="SK",AE5226,""))</f>
        <v>9.2917199999999998</v>
      </c>
    </row>
    <row r="5227" spans="27:32" ht="15">
      <c r="AA5227" s="463" t="s">
        <v>16648</v>
      </c>
      <c r="AB5227" s="462" t="s">
        <v>16649</v>
      </c>
      <c r="AC5227" s="462" t="s">
        <v>16650</v>
      </c>
      <c r="AD5227" s="464">
        <v>230.06085999999999</v>
      </c>
      <c r="AE5227" s="465">
        <v>9.2917199999999998</v>
      </c>
      <c r="AF5227" s="86">
        <f>IF(verze!$E$1="CZK",AD5227,IF(verze!$E$1="SK",AE5227,""))</f>
        <v>9.2917199999999998</v>
      </c>
    </row>
    <row r="5228" spans="27:32" ht="15">
      <c r="AA5228" s="463" t="s">
        <v>16651</v>
      </c>
      <c r="AB5228" s="462" t="s">
        <v>16652</v>
      </c>
      <c r="AC5228" s="462" t="s">
        <v>16653</v>
      </c>
      <c r="AD5228" s="464">
        <v>84.76567</v>
      </c>
      <c r="AE5228" s="465">
        <v>3.4139599999999999</v>
      </c>
      <c r="AF5228" s="86">
        <f>IF(verze!$E$1="CZK",AD5228,IF(verze!$E$1="SK",AE5228,""))</f>
        <v>3.4139599999999999</v>
      </c>
    </row>
    <row r="5229" spans="27:32" ht="15">
      <c r="AA5229" s="463" t="s">
        <v>16654</v>
      </c>
      <c r="AB5229" s="462" t="s">
        <v>16655</v>
      </c>
      <c r="AC5229" s="462" t="s">
        <v>16656</v>
      </c>
      <c r="AD5229" s="464">
        <v>76.291529999999995</v>
      </c>
      <c r="AE5229" s="465">
        <v>3.0726599999999999</v>
      </c>
      <c r="AF5229" s="86">
        <f>IF(verze!$E$1="CZK",AD5229,IF(verze!$E$1="SK",AE5229,""))</f>
        <v>3.0726599999999999</v>
      </c>
    </row>
    <row r="5230" spans="27:32" ht="15">
      <c r="AA5230" s="463" t="s">
        <v>16657</v>
      </c>
      <c r="AB5230" s="462" t="s">
        <v>16658</v>
      </c>
      <c r="AC5230" s="462" t="s">
        <v>16659</v>
      </c>
      <c r="AD5230" s="464">
        <v>110.26783</v>
      </c>
      <c r="AE5230" s="465">
        <v>5.0517000000000003</v>
      </c>
      <c r="AF5230" s="86">
        <f>IF(verze!$E$1="CZK",AD5230,IF(verze!$E$1="SK",AE5230,""))</f>
        <v>5.0517000000000003</v>
      </c>
    </row>
    <row r="5231" spans="27:32" ht="15">
      <c r="AA5231" s="463" t="s">
        <v>16660</v>
      </c>
      <c r="AB5231" s="462" t="s">
        <v>16661</v>
      </c>
      <c r="AC5231" s="462" t="s">
        <v>16662</v>
      </c>
      <c r="AD5231" s="464">
        <v>535.42525999999998</v>
      </c>
      <c r="AE5231" s="465">
        <v>24.529419999999998</v>
      </c>
      <c r="AF5231" s="86">
        <f>IF(verze!$E$1="CZK",AD5231,IF(verze!$E$1="SK",AE5231,""))</f>
        <v>24.529419999999998</v>
      </c>
    </row>
    <row r="5232" spans="27:32" ht="15">
      <c r="AA5232" s="463" t="s">
        <v>16663</v>
      </c>
      <c r="AB5232" s="462" t="s">
        <v>16664</v>
      </c>
      <c r="AC5232" s="462" t="s">
        <v>16665</v>
      </c>
      <c r="AD5232" s="464">
        <v>409.30259999999998</v>
      </c>
      <c r="AE5232" s="465">
        <v>18.751359999999998</v>
      </c>
      <c r="AF5232" s="86">
        <f>IF(verze!$E$1="CZK",AD5232,IF(verze!$E$1="SK",AE5232,""))</f>
        <v>18.751359999999998</v>
      </c>
    </row>
    <row r="5233" spans="27:32" ht="15">
      <c r="AA5233" s="463" t="s">
        <v>16666</v>
      </c>
      <c r="AB5233" s="462" t="s">
        <v>16667</v>
      </c>
      <c r="AC5233" s="462" t="s">
        <v>16668</v>
      </c>
      <c r="AD5233" s="464">
        <v>566.76777000000004</v>
      </c>
      <c r="AE5233" s="465">
        <v>25.965299999999999</v>
      </c>
      <c r="AF5233" s="86">
        <f>IF(verze!$E$1="CZK",AD5233,IF(verze!$E$1="SK",AE5233,""))</f>
        <v>25.965299999999999</v>
      </c>
    </row>
    <row r="5234" spans="27:32" ht="15">
      <c r="AA5234" s="463" t="s">
        <v>16669</v>
      </c>
      <c r="AB5234" s="462" t="s">
        <v>16670</v>
      </c>
      <c r="AC5234" s="462" t="s">
        <v>16671</v>
      </c>
      <c r="AD5234" s="464">
        <v>629.83040000000005</v>
      </c>
      <c r="AE5234" s="465">
        <v>28.676279999999998</v>
      </c>
      <c r="AF5234" s="86">
        <f>IF(verze!$E$1="CZK",AD5234,IF(verze!$E$1="SK",AE5234,""))</f>
        <v>28.676279999999998</v>
      </c>
    </row>
    <row r="5235" spans="27:32" ht="15">
      <c r="AA5235" s="463" t="s">
        <v>16672</v>
      </c>
      <c r="AB5235" s="462" t="s">
        <v>16673</v>
      </c>
      <c r="AC5235" s="462" t="s">
        <v>16674</v>
      </c>
      <c r="AD5235" s="464">
        <v>92.566990000000004</v>
      </c>
      <c r="AE5235" s="465">
        <v>4.2407599999999999</v>
      </c>
      <c r="AF5235" s="86">
        <f>IF(verze!$E$1="CZK",AD5235,IF(verze!$E$1="SK",AE5235,""))</f>
        <v>4.2407599999999999</v>
      </c>
    </row>
    <row r="5236" spans="27:32" ht="15">
      <c r="AA5236" s="463" t="s">
        <v>16675</v>
      </c>
      <c r="AB5236" s="462" t="s">
        <v>16676</v>
      </c>
      <c r="AC5236" s="462" t="s">
        <v>16677</v>
      </c>
      <c r="AD5236" s="464">
        <v>121.16267000000001</v>
      </c>
      <c r="AE5236" s="465">
        <v>5.5508199999999999</v>
      </c>
      <c r="AF5236" s="86">
        <f>IF(verze!$E$1="CZK",AD5236,IF(verze!$E$1="SK",AE5236,""))</f>
        <v>5.5508199999999999</v>
      </c>
    </row>
    <row r="5237" spans="27:32" ht="15">
      <c r="AA5237" s="463" t="s">
        <v>16678</v>
      </c>
      <c r="AB5237" s="462" t="s">
        <v>16679</v>
      </c>
      <c r="AC5237" s="462" t="s">
        <v>16680</v>
      </c>
      <c r="AD5237" s="464">
        <v>1185.3946699999999</v>
      </c>
      <c r="AE5237" s="465">
        <v>49.638469999999998</v>
      </c>
      <c r="AF5237" s="86">
        <f>IF(verze!$E$1="CZK",AD5237,IF(verze!$E$1="SK",AE5237,""))</f>
        <v>49.638469999999998</v>
      </c>
    </row>
    <row r="5238" spans="27:32" ht="15">
      <c r="AA5238" s="463" t="s">
        <v>16681</v>
      </c>
      <c r="AB5238" s="462" t="s">
        <v>16682</v>
      </c>
      <c r="AC5238" s="462" t="s">
        <v>16683</v>
      </c>
      <c r="AD5238" s="464">
        <v>1185.3946699999999</v>
      </c>
      <c r="AE5238" s="465">
        <v>49.638469999999998</v>
      </c>
      <c r="AF5238" s="86">
        <f>IF(verze!$E$1="CZK",AD5238,IF(verze!$E$1="SK",AE5238,""))</f>
        <v>49.638469999999998</v>
      </c>
    </row>
    <row r="5239" spans="27:32" ht="15">
      <c r="AA5239" s="463" t="s">
        <v>16684</v>
      </c>
      <c r="AB5239" s="462" t="s">
        <v>16685</v>
      </c>
      <c r="AC5239" s="462" t="s">
        <v>16686</v>
      </c>
      <c r="AD5239" s="464">
        <v>189.8938</v>
      </c>
      <c r="AE5239" s="465">
        <v>8.6996000000000002</v>
      </c>
      <c r="AF5239" s="86">
        <f>IF(verze!$E$1="CZK",AD5239,IF(verze!$E$1="SK",AE5239,""))</f>
        <v>8.6996000000000002</v>
      </c>
    </row>
    <row r="5240" spans="27:32" ht="15">
      <c r="AA5240" s="463" t="s">
        <v>16687</v>
      </c>
      <c r="AB5240" s="462" t="s">
        <v>16688</v>
      </c>
      <c r="AC5240" s="462" t="s">
        <v>16689</v>
      </c>
      <c r="AD5240" s="464">
        <v>340.22302000000002</v>
      </c>
      <c r="AE5240" s="465">
        <v>15.58662</v>
      </c>
      <c r="AF5240" s="86">
        <f>IF(verze!$E$1="CZK",AD5240,IF(verze!$E$1="SK",AE5240,""))</f>
        <v>15.58662</v>
      </c>
    </row>
    <row r="5241" spans="27:32" ht="15">
      <c r="AA5241" s="463" t="s">
        <v>16690</v>
      </c>
      <c r="AB5241" s="462" t="s">
        <v>16691</v>
      </c>
      <c r="AC5241" s="462" t="s">
        <v>16692</v>
      </c>
      <c r="AD5241" s="464">
        <v>390.69358999999997</v>
      </c>
      <c r="AE5241" s="465">
        <v>17.89884</v>
      </c>
      <c r="AF5241" s="86">
        <f>IF(verze!$E$1="CZK",AD5241,IF(verze!$E$1="SK",AE5241,""))</f>
        <v>17.89884</v>
      </c>
    </row>
    <row r="5242" spans="27:32" ht="15">
      <c r="AA5242" s="463" t="s">
        <v>16693</v>
      </c>
      <c r="AB5242" s="462" t="s">
        <v>16694</v>
      </c>
      <c r="AC5242" s="462" t="s">
        <v>16695</v>
      </c>
      <c r="AD5242" s="464">
        <v>411.81594000000001</v>
      </c>
      <c r="AE5242" s="465">
        <v>18.866520000000001</v>
      </c>
      <c r="AF5242" s="86">
        <f>IF(verze!$E$1="CZK",AD5242,IF(verze!$E$1="SK",AE5242,""))</f>
        <v>18.866520000000001</v>
      </c>
    </row>
    <row r="5243" spans="27:32" ht="15">
      <c r="AA5243" s="463" t="s">
        <v>16696</v>
      </c>
      <c r="AB5243" s="462" t="s">
        <v>16697</v>
      </c>
      <c r="AC5243" s="462" t="s">
        <v>16698</v>
      </c>
      <c r="AD5243" s="464">
        <v>477.86320999999998</v>
      </c>
      <c r="AE5243" s="465">
        <v>21.892340000000001</v>
      </c>
      <c r="AF5243" s="86">
        <f>IF(verze!$E$1="CZK",AD5243,IF(verze!$E$1="SK",AE5243,""))</f>
        <v>21.892340000000001</v>
      </c>
    </row>
    <row r="5244" spans="27:32" ht="15">
      <c r="AA5244" s="463" t="s">
        <v>16699</v>
      </c>
      <c r="AB5244" s="462" t="s">
        <v>16700</v>
      </c>
      <c r="AC5244" s="462" t="s">
        <v>16701</v>
      </c>
      <c r="AD5244" s="464">
        <v>495.33418</v>
      </c>
      <c r="AE5244" s="465">
        <v>22.692720000000001</v>
      </c>
      <c r="AF5244" s="86">
        <f>IF(verze!$E$1="CZK",AD5244,IF(verze!$E$1="SK",AE5244,""))</f>
        <v>22.692720000000001</v>
      </c>
    </row>
    <row r="5245" spans="27:32" ht="15">
      <c r="AA5245" s="463" t="s">
        <v>16702</v>
      </c>
      <c r="AB5245" s="462" t="s">
        <v>16703</v>
      </c>
      <c r="AC5245" s="462" t="s">
        <v>16704</v>
      </c>
      <c r="AD5245" s="464">
        <v>503.45625000000001</v>
      </c>
      <c r="AE5245" s="465">
        <v>23.064820000000001</v>
      </c>
      <c r="AF5245" s="86">
        <f>IF(verze!$E$1="CZK",AD5245,IF(verze!$E$1="SK",AE5245,""))</f>
        <v>23.064820000000001</v>
      </c>
    </row>
    <row r="5246" spans="27:32" ht="15">
      <c r="AA5246" s="463" t="s">
        <v>16705</v>
      </c>
      <c r="AB5246" s="462" t="s">
        <v>16706</v>
      </c>
      <c r="AC5246" s="462" t="s">
        <v>16707</v>
      </c>
      <c r="AD5246" s="464">
        <v>705.15305000000001</v>
      </c>
      <c r="AE5246" s="465">
        <v>32.305140000000002</v>
      </c>
      <c r="AF5246" s="86">
        <f>IF(verze!$E$1="CZK",AD5246,IF(verze!$E$1="SK",AE5246,""))</f>
        <v>32.305140000000002</v>
      </c>
    </row>
    <row r="5247" spans="27:32" ht="15">
      <c r="AA5247" s="463" t="s">
        <v>16708</v>
      </c>
      <c r="AB5247" s="462" t="s">
        <v>16709</v>
      </c>
      <c r="AC5247" s="462" t="s">
        <v>16710</v>
      </c>
      <c r="AD5247" s="464">
        <v>831.66864999999996</v>
      </c>
      <c r="AE5247" s="465">
        <v>38.101219999999998</v>
      </c>
      <c r="AF5247" s="86">
        <f>IF(verze!$E$1="CZK",AD5247,IF(verze!$E$1="SK",AE5247,""))</f>
        <v>38.101219999999998</v>
      </c>
    </row>
    <row r="5248" spans="27:32" ht="15">
      <c r="AA5248" s="463" t="s">
        <v>16711</v>
      </c>
      <c r="AB5248" s="462" t="s">
        <v>16712</v>
      </c>
      <c r="AC5248" s="462" t="s">
        <v>16713</v>
      </c>
      <c r="AD5248" s="464">
        <v>923.99832000000004</v>
      </c>
      <c r="AE5248" s="465">
        <v>42.331099999999999</v>
      </c>
      <c r="AF5248" s="86">
        <f>IF(verze!$E$1="CZK",AD5248,IF(verze!$E$1="SK",AE5248,""))</f>
        <v>42.331099999999999</v>
      </c>
    </row>
    <row r="5249" spans="27:32" ht="15">
      <c r="AA5249" s="463" t="s">
        <v>16714</v>
      </c>
      <c r="AB5249" s="462" t="s">
        <v>16715</v>
      </c>
      <c r="AC5249" s="462" t="s">
        <v>16716</v>
      </c>
      <c r="AD5249" s="464">
        <v>1108.66535</v>
      </c>
      <c r="AE5249" s="465">
        <v>50.791240000000002</v>
      </c>
      <c r="AF5249" s="86">
        <f>IF(verze!$E$1="CZK",AD5249,IF(verze!$E$1="SK",AE5249,""))</f>
        <v>50.791240000000002</v>
      </c>
    </row>
    <row r="5250" spans="27:32" ht="15">
      <c r="AA5250" s="463" t="s">
        <v>16717</v>
      </c>
      <c r="AB5250" s="462" t="s">
        <v>16718</v>
      </c>
      <c r="AC5250" s="462" t="s">
        <v>16719</v>
      </c>
      <c r="AD5250" s="464">
        <v>352.16323999999997</v>
      </c>
      <c r="AE5250" s="465">
        <v>16.13364</v>
      </c>
      <c r="AF5250" s="86">
        <f>IF(verze!$E$1="CZK",AD5250,IF(verze!$E$1="SK",AE5250,""))</f>
        <v>16.13364</v>
      </c>
    </row>
    <row r="5251" spans="27:32" ht="15">
      <c r="AA5251" s="463" t="s">
        <v>16720</v>
      </c>
      <c r="AB5251" s="462" t="s">
        <v>16721</v>
      </c>
      <c r="AC5251" s="462" t="s">
        <v>16722</v>
      </c>
      <c r="AD5251" s="464">
        <v>540.71883000000003</v>
      </c>
      <c r="AE5251" s="465">
        <v>24.771920000000001</v>
      </c>
      <c r="AF5251" s="86">
        <f>IF(verze!$E$1="CZK",AD5251,IF(verze!$E$1="SK",AE5251,""))</f>
        <v>24.771920000000001</v>
      </c>
    </row>
    <row r="5252" spans="27:32" ht="15">
      <c r="AA5252" s="463" t="s">
        <v>16723</v>
      </c>
      <c r="AB5252" s="462" t="s">
        <v>16724</v>
      </c>
      <c r="AC5252" s="462" t="s">
        <v>16725</v>
      </c>
      <c r="AD5252" s="464">
        <v>623.62174000000005</v>
      </c>
      <c r="AE5252" s="465">
        <v>28.569959999999998</v>
      </c>
      <c r="AF5252" s="86">
        <f>IF(verze!$E$1="CZK",AD5252,IF(verze!$E$1="SK",AE5252,""))</f>
        <v>28.569959999999998</v>
      </c>
    </row>
    <row r="5253" spans="27:32" ht="15">
      <c r="AA5253" s="463" t="s">
        <v>16726</v>
      </c>
      <c r="AB5253" s="462" t="s">
        <v>16727</v>
      </c>
      <c r="AC5253" s="462" t="s">
        <v>16728</v>
      </c>
      <c r="AD5253" s="464">
        <v>822.11201000000005</v>
      </c>
      <c r="AE5253" s="465">
        <v>37.663400000000003</v>
      </c>
      <c r="AF5253" s="86">
        <f>IF(verze!$E$1="CZK",AD5253,IF(verze!$E$1="SK",AE5253,""))</f>
        <v>37.663400000000003</v>
      </c>
    </row>
    <row r="5254" spans="27:32" ht="15">
      <c r="AA5254" s="463" t="s">
        <v>16729</v>
      </c>
      <c r="AB5254" s="462" t="s">
        <v>16730</v>
      </c>
      <c r="AC5254" s="462" t="s">
        <v>16731</v>
      </c>
      <c r="AD5254" s="464">
        <v>911.38351999999998</v>
      </c>
      <c r="AE5254" s="465">
        <v>41.75318</v>
      </c>
      <c r="AF5254" s="86">
        <f>IF(verze!$E$1="CZK",AD5254,IF(verze!$E$1="SK",AE5254,""))</f>
        <v>41.75318</v>
      </c>
    </row>
    <row r="5255" spans="27:32" ht="15">
      <c r="AA5255" s="463" t="s">
        <v>16732</v>
      </c>
      <c r="AB5255" s="462" t="s">
        <v>16733</v>
      </c>
      <c r="AC5255" s="462" t="s">
        <v>16734</v>
      </c>
      <c r="AD5255" s="464">
        <v>143.51580000000001</v>
      </c>
      <c r="AE5255" s="465">
        <v>6.5748800000000003</v>
      </c>
      <c r="AF5255" s="86">
        <f>IF(verze!$E$1="CZK",AD5255,IF(verze!$E$1="SK",AE5255,""))</f>
        <v>6.5748800000000003</v>
      </c>
    </row>
    <row r="5256" spans="27:32" ht="15">
      <c r="AA5256" s="463" t="s">
        <v>16735</v>
      </c>
      <c r="AB5256" s="462" t="s">
        <v>16736</v>
      </c>
      <c r="AC5256" s="462" t="s">
        <v>16737</v>
      </c>
      <c r="AD5256" s="464">
        <v>154.21779000000001</v>
      </c>
      <c r="AE5256" s="465">
        <v>7.0651799999999998</v>
      </c>
      <c r="AF5256" s="86">
        <f>IF(verze!$E$1="CZK",AD5256,IF(verze!$E$1="SK",AE5256,""))</f>
        <v>7.0651799999999998</v>
      </c>
    </row>
    <row r="5257" spans="27:32" ht="15">
      <c r="AA5257" s="463" t="s">
        <v>16738</v>
      </c>
      <c r="AB5257" s="462" t="s">
        <v>16739</v>
      </c>
      <c r="AC5257" s="462" t="s">
        <v>16740</v>
      </c>
      <c r="AD5257" s="464">
        <v>168.63423</v>
      </c>
      <c r="AE5257" s="465">
        <v>7.7256400000000003</v>
      </c>
      <c r="AF5257" s="86">
        <f>IF(verze!$E$1="CZK",AD5257,IF(verze!$E$1="SK",AE5257,""))</f>
        <v>7.7256400000000003</v>
      </c>
    </row>
    <row r="5258" spans="27:32" ht="15">
      <c r="AA5258" s="463" t="s">
        <v>16741</v>
      </c>
      <c r="AB5258" s="462" t="s">
        <v>16742</v>
      </c>
      <c r="AC5258" s="462" t="s">
        <v>16743</v>
      </c>
      <c r="AD5258" s="464">
        <v>190.22373999999999</v>
      </c>
      <c r="AE5258" s="465">
        <v>8.7147199999999998</v>
      </c>
      <c r="AF5258" s="86">
        <f>IF(verze!$E$1="CZK",AD5258,IF(verze!$E$1="SK",AE5258,""))</f>
        <v>8.7147199999999998</v>
      </c>
    </row>
    <row r="5259" spans="27:32" ht="15">
      <c r="AA5259" s="463" t="s">
        <v>16744</v>
      </c>
      <c r="AB5259" s="462" t="s">
        <v>16745</v>
      </c>
      <c r="AC5259" s="462" t="s">
        <v>16746</v>
      </c>
      <c r="AD5259" s="464">
        <v>202.39743000000001</v>
      </c>
      <c r="AE5259" s="465">
        <v>9.2724399999999996</v>
      </c>
      <c r="AF5259" s="86">
        <f>IF(verze!$E$1="CZK",AD5259,IF(verze!$E$1="SK",AE5259,""))</f>
        <v>9.2724399999999996</v>
      </c>
    </row>
    <row r="5260" spans="27:32" ht="15">
      <c r="AA5260" s="463" t="s">
        <v>16747</v>
      </c>
      <c r="AB5260" s="462" t="s">
        <v>16748</v>
      </c>
      <c r="AC5260" s="462" t="s">
        <v>16749</v>
      </c>
      <c r="AD5260" s="464">
        <v>230.57425000000001</v>
      </c>
      <c r="AE5260" s="465">
        <v>10.563280000000001</v>
      </c>
      <c r="AF5260" s="86">
        <f>IF(verze!$E$1="CZK",AD5260,IF(verze!$E$1="SK",AE5260,""))</f>
        <v>10.563280000000001</v>
      </c>
    </row>
    <row r="5261" spans="27:32" ht="15">
      <c r="AA5261" s="463" t="s">
        <v>16750</v>
      </c>
      <c r="AB5261" s="462" t="s">
        <v>16751</v>
      </c>
      <c r="AC5261" s="462" t="s">
        <v>16752</v>
      </c>
      <c r="AD5261" s="464">
        <v>254.8142</v>
      </c>
      <c r="AE5261" s="465">
        <v>11.6738</v>
      </c>
      <c r="AF5261" s="86">
        <f>IF(verze!$E$1="CZK",AD5261,IF(verze!$E$1="SK",AE5261,""))</f>
        <v>11.6738</v>
      </c>
    </row>
    <row r="5262" spans="27:32" ht="15">
      <c r="AA5262" s="463" t="s">
        <v>16753</v>
      </c>
      <c r="AB5262" s="462" t="s">
        <v>16754</v>
      </c>
      <c r="AC5262" s="462" t="s">
        <v>16755</v>
      </c>
      <c r="AD5262" s="464">
        <v>267.02864</v>
      </c>
      <c r="AE5262" s="465">
        <v>12.23338</v>
      </c>
      <c r="AF5262" s="86">
        <f>IF(verze!$E$1="CZK",AD5262,IF(verze!$E$1="SK",AE5262,""))</f>
        <v>12.23338</v>
      </c>
    </row>
    <row r="5263" spans="27:32" ht="15">
      <c r="AA5263" s="463" t="s">
        <v>16756</v>
      </c>
      <c r="AB5263" s="462" t="s">
        <v>16757</v>
      </c>
      <c r="AC5263" s="462" t="s">
        <v>16758</v>
      </c>
      <c r="AD5263" s="464">
        <v>746.85779000000002</v>
      </c>
      <c r="AE5263" s="465">
        <v>32.920740000000002</v>
      </c>
      <c r="AF5263" s="86">
        <f>IF(verze!$E$1="CZK",AD5263,IF(verze!$E$1="SK",AE5263,""))</f>
        <v>32.920740000000002</v>
      </c>
    </row>
    <row r="5264" spans="27:32" ht="15">
      <c r="AA5264" s="463" t="s">
        <v>16759</v>
      </c>
      <c r="AB5264" s="462" t="s">
        <v>16760</v>
      </c>
      <c r="AC5264" s="462" t="s">
        <v>16761</v>
      </c>
      <c r="AD5264" s="464">
        <v>1814.34482</v>
      </c>
      <c r="AE5264" s="465">
        <v>83.120500000000007</v>
      </c>
      <c r="AF5264" s="86">
        <f>IF(verze!$E$1="CZK",AD5264,IF(verze!$E$1="SK",AE5264,""))</f>
        <v>83.120500000000007</v>
      </c>
    </row>
    <row r="5265" spans="27:32" ht="15">
      <c r="AA5265" s="463" t="s">
        <v>16762</v>
      </c>
      <c r="AB5265" s="462" t="s">
        <v>16763</v>
      </c>
      <c r="AC5265" s="462" t="s">
        <v>16764</v>
      </c>
      <c r="AD5265" s="464">
        <v>1037.2203999999999</v>
      </c>
      <c r="AE5265" s="465">
        <v>43.433660000000003</v>
      </c>
      <c r="AF5265" s="86">
        <f>IF(verze!$E$1="CZK",AD5265,IF(verze!$E$1="SK",AE5265,""))</f>
        <v>43.433660000000003</v>
      </c>
    </row>
    <row r="5266" spans="27:32" ht="15">
      <c r="AA5266" s="463" t="s">
        <v>16765</v>
      </c>
      <c r="AB5266" s="462" t="s">
        <v>16766</v>
      </c>
      <c r="AC5266" s="462" t="s">
        <v>16767</v>
      </c>
      <c r="AD5266" s="464">
        <v>1037.2203999999999</v>
      </c>
      <c r="AE5266" s="465">
        <v>43.433660000000003</v>
      </c>
      <c r="AF5266" s="86">
        <f>IF(verze!$E$1="CZK",AD5266,IF(verze!$E$1="SK",AE5266,""))</f>
        <v>43.433660000000003</v>
      </c>
    </row>
    <row r="5267" spans="27:32" ht="15">
      <c r="AA5267" s="463" t="s">
        <v>16768</v>
      </c>
      <c r="AB5267" s="462" t="s">
        <v>16769</v>
      </c>
      <c r="AC5267" s="462" t="s">
        <v>16770</v>
      </c>
      <c r="AD5267" s="464">
        <v>1966.53493</v>
      </c>
      <c r="AE5267" s="465">
        <v>90.092780000000005</v>
      </c>
      <c r="AF5267" s="86">
        <f>IF(verze!$E$1="CZK",AD5267,IF(verze!$E$1="SK",AE5267,""))</f>
        <v>90.092780000000005</v>
      </c>
    </row>
    <row r="5268" spans="27:32" ht="15">
      <c r="AA5268" s="463" t="s">
        <v>16771</v>
      </c>
      <c r="AB5268" s="462" t="s">
        <v>16772</v>
      </c>
      <c r="AC5268" s="462" t="s">
        <v>16773</v>
      </c>
      <c r="AD5268" s="464">
        <v>83.0364</v>
      </c>
      <c r="AE5268" s="465">
        <v>3.80416</v>
      </c>
      <c r="AF5268" s="86">
        <f>IF(verze!$E$1="CZK",AD5268,IF(verze!$E$1="SK",AE5268,""))</f>
        <v>3.80416</v>
      </c>
    </row>
    <row r="5269" spans="27:32" ht="15">
      <c r="AA5269" s="463" t="s">
        <v>16774</v>
      </c>
      <c r="AB5269" s="462" t="s">
        <v>16775</v>
      </c>
      <c r="AC5269" s="462" t="s">
        <v>16776</v>
      </c>
      <c r="AD5269" s="464">
        <v>203.55914000000001</v>
      </c>
      <c r="AE5269" s="465">
        <v>8.2215900000000008</v>
      </c>
      <c r="AF5269" s="86">
        <f>IF(verze!$E$1="CZK",AD5269,IF(verze!$E$1="SK",AE5269,""))</f>
        <v>8.2215900000000008</v>
      </c>
    </row>
    <row r="5270" spans="27:32" ht="15">
      <c r="AA5270" s="463" t="s">
        <v>16777</v>
      </c>
      <c r="AB5270" s="462" t="s">
        <v>16778</v>
      </c>
      <c r="AC5270" s="462" t="s">
        <v>16779</v>
      </c>
      <c r="AD5270" s="464">
        <v>251.12468000000001</v>
      </c>
      <c r="AE5270" s="465">
        <v>10.1425</v>
      </c>
      <c r="AF5270" s="86">
        <f>IF(verze!$E$1="CZK",AD5270,IF(verze!$E$1="SK",AE5270,""))</f>
        <v>10.1425</v>
      </c>
    </row>
    <row r="5271" spans="27:32" ht="15">
      <c r="AA5271" s="463" t="s">
        <v>16780</v>
      </c>
      <c r="AB5271" s="462" t="s">
        <v>16781</v>
      </c>
      <c r="AC5271" s="462" t="s">
        <v>16782</v>
      </c>
      <c r="AD5271" s="464">
        <v>265.89765</v>
      </c>
      <c r="AE5271" s="465">
        <v>10.73912</v>
      </c>
      <c r="AF5271" s="86">
        <f>IF(verze!$E$1="CZK",AD5271,IF(verze!$E$1="SK",AE5271,""))</f>
        <v>10.73912</v>
      </c>
    </row>
    <row r="5272" spans="27:32" ht="15">
      <c r="AA5272" s="463" t="s">
        <v>16783</v>
      </c>
      <c r="AB5272" s="462" t="s">
        <v>16784</v>
      </c>
      <c r="AC5272" s="462" t="s">
        <v>16785</v>
      </c>
      <c r="AD5272" s="464">
        <v>265.89765</v>
      </c>
      <c r="AE5272" s="465">
        <v>10.73912</v>
      </c>
      <c r="AF5272" s="86">
        <f>IF(verze!$E$1="CZK",AD5272,IF(verze!$E$1="SK",AE5272,""))</f>
        <v>10.73912</v>
      </c>
    </row>
    <row r="5273" spans="27:32" ht="15">
      <c r="AA5273" s="463" t="s">
        <v>16786</v>
      </c>
      <c r="AB5273" s="462" t="s">
        <v>16787</v>
      </c>
      <c r="AC5273" s="462" t="s">
        <v>16788</v>
      </c>
      <c r="AD5273" s="464">
        <v>218.33199999999999</v>
      </c>
      <c r="AE5273" s="465">
        <v>8.8712499999999999</v>
      </c>
      <c r="AF5273" s="86">
        <f>IF(verze!$E$1="CZK",AD5273,IF(verze!$E$1="SK",AE5273,""))</f>
        <v>8.8712499999999999</v>
      </c>
    </row>
    <row r="5274" spans="27:32" ht="15">
      <c r="AA5274" s="463" t="s">
        <v>16789</v>
      </c>
      <c r="AB5274" s="462" t="s">
        <v>16790</v>
      </c>
      <c r="AC5274" s="462" t="s">
        <v>16791</v>
      </c>
      <c r="AD5274" s="464">
        <v>218.33199999999999</v>
      </c>
      <c r="AE5274" s="465">
        <v>8.8712499999999999</v>
      </c>
      <c r="AF5274" s="86">
        <f>IF(verze!$E$1="CZK",AD5274,IF(verze!$E$1="SK",AE5274,""))</f>
        <v>8.8712499999999999</v>
      </c>
    </row>
    <row r="5275" spans="27:32" ht="15">
      <c r="AA5275" s="463" t="s">
        <v>16792</v>
      </c>
      <c r="AB5275" s="462" t="s">
        <v>16793</v>
      </c>
      <c r="AC5275" s="462" t="s">
        <v>16794</v>
      </c>
      <c r="AD5275" s="464">
        <v>339.78564</v>
      </c>
      <c r="AE5275" s="465">
        <v>15.566599999999999</v>
      </c>
      <c r="AF5275" s="86">
        <f>IF(verze!$E$1="CZK",AD5275,IF(verze!$E$1="SK",AE5275,""))</f>
        <v>15.566599999999999</v>
      </c>
    </row>
    <row r="5276" spans="27:32" ht="15">
      <c r="AA5276" s="463" t="s">
        <v>16795</v>
      </c>
      <c r="AB5276" s="462" t="s">
        <v>16796</v>
      </c>
      <c r="AC5276" s="462" t="s">
        <v>16797</v>
      </c>
      <c r="AD5276" s="464">
        <v>282.13826999999998</v>
      </c>
      <c r="AE5276" s="465">
        <v>12.925599999999999</v>
      </c>
      <c r="AF5276" s="86">
        <f>IF(verze!$E$1="CZK",AD5276,IF(verze!$E$1="SK",AE5276,""))</f>
        <v>12.925599999999999</v>
      </c>
    </row>
    <row r="5277" spans="27:32" ht="15">
      <c r="AA5277" s="463" t="s">
        <v>16798</v>
      </c>
      <c r="AB5277" s="462" t="s">
        <v>16799</v>
      </c>
      <c r="AC5277" s="462" t="s">
        <v>16800</v>
      </c>
      <c r="AD5277" s="464">
        <v>46.919310000000003</v>
      </c>
      <c r="AE5277" s="465">
        <v>2.1495199999999999</v>
      </c>
      <c r="AF5277" s="86">
        <f>IF(verze!$E$1="CZK",AD5277,IF(verze!$E$1="SK",AE5277,""))</f>
        <v>2.1495199999999999</v>
      </c>
    </row>
    <row r="5278" spans="27:32" ht="15">
      <c r="AA5278" s="463" t="s">
        <v>16801</v>
      </c>
      <c r="AB5278" s="462" t="s">
        <v>16802</v>
      </c>
      <c r="AC5278" s="462" t="s">
        <v>16803</v>
      </c>
      <c r="AD5278" s="464">
        <v>314.01091000000002</v>
      </c>
      <c r="AE5278" s="465">
        <v>14.38578</v>
      </c>
      <c r="AF5278" s="86">
        <f>IF(verze!$E$1="CZK",AD5278,IF(verze!$E$1="SK",AE5278,""))</f>
        <v>14.38578</v>
      </c>
    </row>
    <row r="5279" spans="27:32" ht="15">
      <c r="AA5279" s="463" t="s">
        <v>16804</v>
      </c>
      <c r="AB5279" s="462" t="s">
        <v>16805</v>
      </c>
      <c r="AC5279" s="462" t="s">
        <v>16806</v>
      </c>
      <c r="AD5279" s="464">
        <v>368.42205999999999</v>
      </c>
      <c r="AE5279" s="465">
        <v>16.878520000000002</v>
      </c>
      <c r="AF5279" s="86">
        <f>IF(verze!$E$1="CZK",AD5279,IF(verze!$E$1="SK",AE5279,""))</f>
        <v>16.878520000000002</v>
      </c>
    </row>
    <row r="5280" spans="27:32" ht="15">
      <c r="AA5280" s="463" t="s">
        <v>16807</v>
      </c>
      <c r="AB5280" s="462" t="s">
        <v>16808</v>
      </c>
      <c r="AC5280" s="462" t="s">
        <v>16809</v>
      </c>
      <c r="AD5280" s="464">
        <v>447.52895999999998</v>
      </c>
      <c r="AE5280" s="465">
        <v>20.50262</v>
      </c>
      <c r="AF5280" s="86">
        <f>IF(verze!$E$1="CZK",AD5280,IF(verze!$E$1="SK",AE5280,""))</f>
        <v>20.50262</v>
      </c>
    </row>
    <row r="5281" spans="27:32" ht="15">
      <c r="AA5281" s="463" t="s">
        <v>16810</v>
      </c>
      <c r="AB5281" s="462" t="s">
        <v>16811</v>
      </c>
      <c r="AC5281" s="462" t="s">
        <v>16812</v>
      </c>
      <c r="AD5281" s="464">
        <v>543.77707999999996</v>
      </c>
      <c r="AE5281" s="465">
        <v>24.912040000000001</v>
      </c>
      <c r="AF5281" s="86">
        <f>IF(verze!$E$1="CZK",AD5281,IF(verze!$E$1="SK",AE5281,""))</f>
        <v>24.912040000000001</v>
      </c>
    </row>
    <row r="5282" spans="27:32" ht="15">
      <c r="AA5282" s="463" t="s">
        <v>16813</v>
      </c>
      <c r="AB5282" s="462" t="s">
        <v>16814</v>
      </c>
      <c r="AC5282" s="462" t="s">
        <v>16815</v>
      </c>
      <c r="AD5282" s="464">
        <v>114.45811999999999</v>
      </c>
      <c r="AE5282" s="465">
        <v>5.5058400000000001</v>
      </c>
      <c r="AF5282" s="86">
        <f>IF(verze!$E$1="CZK",AD5282,IF(verze!$E$1="SK",AE5282,""))</f>
        <v>5.5058400000000001</v>
      </c>
    </row>
    <row r="5283" spans="27:32" ht="15">
      <c r="AA5283" s="463" t="s">
        <v>16816</v>
      </c>
      <c r="AB5283" s="462" t="s">
        <v>16817</v>
      </c>
      <c r="AC5283" s="462" t="s">
        <v>16818</v>
      </c>
      <c r="AD5283" s="464">
        <v>114.45811999999999</v>
      </c>
      <c r="AE5283" s="465">
        <v>5.5058400000000001</v>
      </c>
      <c r="AF5283" s="86">
        <f>IF(verze!$E$1="CZK",AD5283,IF(verze!$E$1="SK",AE5283,""))</f>
        <v>5.5058400000000001</v>
      </c>
    </row>
    <row r="5284" spans="27:32" ht="15">
      <c r="AA5284" s="463" t="s">
        <v>16819</v>
      </c>
      <c r="AB5284" s="462" t="s">
        <v>16820</v>
      </c>
      <c r="AC5284" s="462" t="s">
        <v>16821</v>
      </c>
      <c r="AD5284" s="464">
        <v>118.82595000000001</v>
      </c>
      <c r="AE5284" s="465">
        <v>5.7159700000000004</v>
      </c>
      <c r="AF5284" s="86">
        <f>IF(verze!$E$1="CZK",AD5284,IF(verze!$E$1="SK",AE5284,""))</f>
        <v>5.7159700000000004</v>
      </c>
    </row>
    <row r="5285" spans="27:32" ht="15">
      <c r="AA5285" s="463" t="s">
        <v>16822</v>
      </c>
      <c r="AB5285" s="462" t="s">
        <v>16823</v>
      </c>
      <c r="AC5285" s="462" t="s">
        <v>16824</v>
      </c>
      <c r="AD5285" s="464">
        <v>118.82595000000001</v>
      </c>
      <c r="AE5285" s="465">
        <v>5.7159700000000004</v>
      </c>
      <c r="AF5285" s="86">
        <f>IF(verze!$E$1="CZK",AD5285,IF(verze!$E$1="SK",AE5285,""))</f>
        <v>5.7159700000000004</v>
      </c>
    </row>
    <row r="5286" spans="27:32" ht="15">
      <c r="AA5286" s="463" t="s">
        <v>16825</v>
      </c>
      <c r="AB5286" s="462" t="s">
        <v>16826</v>
      </c>
      <c r="AC5286" s="462" t="s">
        <v>16827</v>
      </c>
      <c r="AD5286" s="464">
        <v>123.19377</v>
      </c>
      <c r="AE5286" s="465">
        <v>5.9260700000000002</v>
      </c>
      <c r="AF5286" s="86">
        <f>IF(verze!$E$1="CZK",AD5286,IF(verze!$E$1="SK",AE5286,""))</f>
        <v>5.9260700000000002</v>
      </c>
    </row>
    <row r="5287" spans="27:32" ht="15">
      <c r="AA5287" s="463" t="s">
        <v>16828</v>
      </c>
      <c r="AB5287" s="462" t="s">
        <v>16829</v>
      </c>
      <c r="AC5287" s="462" t="s">
        <v>16830</v>
      </c>
      <c r="AD5287" s="464">
        <v>123.19377</v>
      </c>
      <c r="AE5287" s="465">
        <v>5.9260700000000002</v>
      </c>
      <c r="AF5287" s="86">
        <f>IF(verze!$E$1="CZK",AD5287,IF(verze!$E$1="SK",AE5287,""))</f>
        <v>5.9260700000000002</v>
      </c>
    </row>
    <row r="5288" spans="27:32" ht="15">
      <c r="AA5288" s="463" t="s">
        <v>16831</v>
      </c>
      <c r="AB5288" s="462" t="s">
        <v>16832</v>
      </c>
      <c r="AC5288" s="462" t="s">
        <v>16833</v>
      </c>
      <c r="AD5288" s="464">
        <v>127.55651</v>
      </c>
      <c r="AE5288" s="465">
        <v>6.1359300000000001</v>
      </c>
      <c r="AF5288" s="86">
        <f>IF(verze!$E$1="CZK",AD5288,IF(verze!$E$1="SK",AE5288,""))</f>
        <v>6.1359300000000001</v>
      </c>
    </row>
    <row r="5289" spans="27:32" ht="15">
      <c r="AA5289" s="463" t="s">
        <v>16834</v>
      </c>
      <c r="AB5289" s="462" t="s">
        <v>16835</v>
      </c>
      <c r="AC5289" s="462" t="s">
        <v>16836</v>
      </c>
      <c r="AD5289" s="464">
        <v>127.55651</v>
      </c>
      <c r="AE5289" s="465">
        <v>6.1359300000000001</v>
      </c>
      <c r="AF5289" s="86">
        <f>IF(verze!$E$1="CZK",AD5289,IF(verze!$E$1="SK",AE5289,""))</f>
        <v>6.1359300000000001</v>
      </c>
    </row>
    <row r="5290" spans="27:32" ht="15">
      <c r="AA5290" s="463" t="s">
        <v>16837</v>
      </c>
      <c r="AB5290" s="462" t="s">
        <v>16838</v>
      </c>
      <c r="AC5290" s="462" t="s">
        <v>16839</v>
      </c>
      <c r="AD5290" s="464">
        <v>131.91419999999999</v>
      </c>
      <c r="AE5290" s="465">
        <v>6.3455500000000002</v>
      </c>
      <c r="AF5290" s="86">
        <f>IF(verze!$E$1="CZK",AD5290,IF(verze!$E$1="SK",AE5290,""))</f>
        <v>6.3455500000000002</v>
      </c>
    </row>
    <row r="5291" spans="27:32" ht="15">
      <c r="AA5291" s="463" t="s">
        <v>16840</v>
      </c>
      <c r="AB5291" s="462" t="s">
        <v>16841</v>
      </c>
      <c r="AC5291" s="462" t="s">
        <v>16842</v>
      </c>
      <c r="AD5291" s="464">
        <v>131.91419999999999</v>
      </c>
      <c r="AE5291" s="465">
        <v>6.3455500000000002</v>
      </c>
      <c r="AF5291" s="86">
        <f>IF(verze!$E$1="CZK",AD5291,IF(verze!$E$1="SK",AE5291,""))</f>
        <v>6.3455500000000002</v>
      </c>
    </row>
    <row r="5292" spans="27:32" ht="15">
      <c r="AA5292" s="463" t="s">
        <v>16843</v>
      </c>
      <c r="AB5292" s="462" t="s">
        <v>16844</v>
      </c>
      <c r="AC5292" s="462" t="s">
        <v>16845</v>
      </c>
      <c r="AD5292" s="464">
        <v>106.81729</v>
      </c>
      <c r="AE5292" s="465">
        <v>5.1383000000000001</v>
      </c>
      <c r="AF5292" s="86">
        <f>IF(verze!$E$1="CZK",AD5292,IF(verze!$E$1="SK",AE5292,""))</f>
        <v>5.1383000000000001</v>
      </c>
    </row>
    <row r="5293" spans="27:32" ht="15">
      <c r="AA5293" s="463" t="s">
        <v>16846</v>
      </c>
      <c r="AB5293" s="462" t="s">
        <v>16847</v>
      </c>
      <c r="AC5293" s="462" t="s">
        <v>16848</v>
      </c>
      <c r="AD5293" s="464">
        <v>106.81729</v>
      </c>
      <c r="AE5293" s="465">
        <v>5.1383000000000001</v>
      </c>
      <c r="AF5293" s="86">
        <f>IF(verze!$E$1="CZK",AD5293,IF(verze!$E$1="SK",AE5293,""))</f>
        <v>5.1383000000000001</v>
      </c>
    </row>
    <row r="5294" spans="27:32" ht="15">
      <c r="AA5294" s="463" t="s">
        <v>16849</v>
      </c>
      <c r="AB5294" s="462" t="s">
        <v>16850</v>
      </c>
      <c r="AC5294" s="462" t="s">
        <v>16851</v>
      </c>
      <c r="AD5294" s="464">
        <v>110.48578000000001</v>
      </c>
      <c r="AE5294" s="465">
        <v>5.3147599999999997</v>
      </c>
      <c r="AF5294" s="86">
        <f>IF(verze!$E$1="CZK",AD5294,IF(verze!$E$1="SK",AE5294,""))</f>
        <v>5.3147599999999997</v>
      </c>
    </row>
    <row r="5295" spans="27:32" ht="15">
      <c r="AA5295" s="463" t="s">
        <v>16852</v>
      </c>
      <c r="AB5295" s="462" t="s">
        <v>16853</v>
      </c>
      <c r="AC5295" s="462" t="s">
        <v>16854</v>
      </c>
      <c r="AD5295" s="464">
        <v>110.48578000000001</v>
      </c>
      <c r="AE5295" s="465">
        <v>5.3147599999999997</v>
      </c>
      <c r="AF5295" s="86">
        <f>IF(verze!$E$1="CZK",AD5295,IF(verze!$E$1="SK",AE5295,""))</f>
        <v>5.3147599999999997</v>
      </c>
    </row>
    <row r="5296" spans="27:32" ht="15">
      <c r="AA5296" s="463" t="s">
        <v>16855</v>
      </c>
      <c r="AB5296" s="462" t="s">
        <v>16856</v>
      </c>
      <c r="AC5296" s="462" t="s">
        <v>16857</v>
      </c>
      <c r="AD5296" s="464">
        <v>175.01214999999999</v>
      </c>
      <c r="AE5296" s="465">
        <v>8.4187100000000008</v>
      </c>
      <c r="AF5296" s="86">
        <f>IF(verze!$E$1="CZK",AD5296,IF(verze!$E$1="SK",AE5296,""))</f>
        <v>8.4187100000000008</v>
      </c>
    </row>
    <row r="5297" spans="27:32" ht="15">
      <c r="AA5297" s="463" t="s">
        <v>16858</v>
      </c>
      <c r="AB5297" s="462" t="s">
        <v>16859</v>
      </c>
      <c r="AC5297" s="462" t="s">
        <v>16860</v>
      </c>
      <c r="AD5297" s="464">
        <v>298.74194999999997</v>
      </c>
      <c r="AE5297" s="465">
        <v>13.686260000000001</v>
      </c>
      <c r="AF5297" s="86">
        <f>IF(verze!$E$1="CZK",AD5297,IF(verze!$E$1="SK",AE5297,""))</f>
        <v>13.686260000000001</v>
      </c>
    </row>
    <row r="5298" spans="27:32" ht="15">
      <c r="AA5298" s="463" t="s">
        <v>16861</v>
      </c>
      <c r="AB5298" s="462" t="s">
        <v>16862</v>
      </c>
      <c r="AC5298" s="462" t="s">
        <v>16863</v>
      </c>
      <c r="AD5298" s="464">
        <v>32.733449999999998</v>
      </c>
      <c r="AE5298" s="465">
        <v>1.5746</v>
      </c>
      <c r="AF5298" s="86">
        <f>IF(verze!$E$1="CZK",AD5298,IF(verze!$E$1="SK",AE5298,""))</f>
        <v>1.5746</v>
      </c>
    </row>
    <row r="5299" spans="27:32" ht="15">
      <c r="AA5299" s="463" t="s">
        <v>16864</v>
      </c>
      <c r="AB5299" s="462" t="s">
        <v>16865</v>
      </c>
      <c r="AC5299" s="462" t="s">
        <v>16866</v>
      </c>
      <c r="AD5299" s="464">
        <v>236.77743000000001</v>
      </c>
      <c r="AE5299" s="465">
        <v>11.389849999999999</v>
      </c>
      <c r="AF5299" s="86">
        <f>IF(verze!$E$1="CZK",AD5299,IF(verze!$E$1="SK",AE5299,""))</f>
        <v>11.389849999999999</v>
      </c>
    </row>
    <row r="5300" spans="27:32" ht="15">
      <c r="AA5300" s="463" t="s">
        <v>16867</v>
      </c>
      <c r="AB5300" s="462" t="s">
        <v>16868</v>
      </c>
      <c r="AC5300" s="462" t="s">
        <v>16869</v>
      </c>
      <c r="AD5300" s="464">
        <v>184.62991</v>
      </c>
      <c r="AE5300" s="465">
        <v>8.4584399999999995</v>
      </c>
      <c r="AF5300" s="86">
        <f>IF(verze!$E$1="CZK",AD5300,IF(verze!$E$1="SK",AE5300,""))</f>
        <v>8.4584399999999995</v>
      </c>
    </row>
    <row r="5301" spans="27:32" ht="15">
      <c r="AA5301" s="463" t="s">
        <v>16870</v>
      </c>
      <c r="AB5301" s="462" t="s">
        <v>16871</v>
      </c>
      <c r="AC5301" s="462" t="s">
        <v>16872</v>
      </c>
      <c r="AD5301" s="464">
        <v>254.60284999999999</v>
      </c>
      <c r="AE5301" s="465">
        <v>11.66412</v>
      </c>
      <c r="AF5301" s="86">
        <f>IF(verze!$E$1="CZK",AD5301,IF(verze!$E$1="SK",AE5301,""))</f>
        <v>11.66412</v>
      </c>
    </row>
    <row r="5302" spans="27:32" ht="15">
      <c r="AA5302" s="463" t="s">
        <v>16873</v>
      </c>
      <c r="AB5302" s="462" t="s">
        <v>16874</v>
      </c>
      <c r="AC5302" s="462" t="s">
        <v>16875</v>
      </c>
      <c r="AD5302" s="464">
        <v>132.98419000000001</v>
      </c>
      <c r="AE5302" s="465">
        <v>6.0923999999999996</v>
      </c>
      <c r="AF5302" s="86">
        <f>IF(verze!$E$1="CZK",AD5302,IF(verze!$E$1="SK",AE5302,""))</f>
        <v>6.0923999999999996</v>
      </c>
    </row>
    <row r="5303" spans="27:32" ht="15">
      <c r="AA5303" s="463" t="s">
        <v>16876</v>
      </c>
      <c r="AB5303" s="462" t="s">
        <v>16877</v>
      </c>
      <c r="AC5303" s="462" t="s">
        <v>16878</v>
      </c>
      <c r="AD5303" s="464">
        <v>143.99401</v>
      </c>
      <c r="AE5303" s="465">
        <v>6.5968</v>
      </c>
      <c r="AF5303" s="86">
        <f>IF(verze!$E$1="CZK",AD5303,IF(verze!$E$1="SK",AE5303,""))</f>
        <v>6.5968</v>
      </c>
    </row>
    <row r="5304" spans="27:32" ht="15">
      <c r="AA5304" s="463" t="s">
        <v>16879</v>
      </c>
      <c r="AB5304" s="462" t="s">
        <v>16880</v>
      </c>
      <c r="AC5304" s="462" t="s">
        <v>16881</v>
      </c>
      <c r="AD5304" s="464">
        <v>231.59738999999999</v>
      </c>
      <c r="AE5304" s="465">
        <v>10.61016</v>
      </c>
      <c r="AF5304" s="86">
        <f>IF(verze!$E$1="CZK",AD5304,IF(verze!$E$1="SK",AE5304,""))</f>
        <v>10.61016</v>
      </c>
    </row>
    <row r="5305" spans="27:32" ht="15">
      <c r="AA5305" s="463" t="s">
        <v>16882</v>
      </c>
      <c r="AB5305" s="462" t="s">
        <v>16883</v>
      </c>
      <c r="AC5305" s="462" t="s">
        <v>16884</v>
      </c>
      <c r="AD5305" s="464">
        <v>540.36665000000005</v>
      </c>
      <c r="AE5305" s="465">
        <v>24.755800000000001</v>
      </c>
      <c r="AF5305" s="86">
        <f>IF(verze!$E$1="CZK",AD5305,IF(verze!$E$1="SK",AE5305,""))</f>
        <v>24.755800000000001</v>
      </c>
    </row>
    <row r="5306" spans="27:32" ht="15">
      <c r="AA5306" s="463" t="s">
        <v>16885</v>
      </c>
      <c r="AB5306" s="462" t="s">
        <v>16886</v>
      </c>
      <c r="AC5306" s="462" t="s">
        <v>16887</v>
      </c>
      <c r="AD5306" s="464">
        <v>291.21298000000002</v>
      </c>
      <c r="AE5306" s="465">
        <v>13.34132</v>
      </c>
      <c r="AF5306" s="86">
        <f>IF(verze!$E$1="CZK",AD5306,IF(verze!$E$1="SK",AE5306,""))</f>
        <v>13.34132</v>
      </c>
    </row>
    <row r="5307" spans="27:32" ht="15">
      <c r="AA5307" s="463" t="s">
        <v>16888</v>
      </c>
      <c r="AB5307" s="462" t="s">
        <v>16889</v>
      </c>
      <c r="AC5307" s="462" t="s">
        <v>16890</v>
      </c>
      <c r="AD5307" s="464">
        <v>0</v>
      </c>
      <c r="AE5307" s="465">
        <v>0</v>
      </c>
      <c r="AF5307" s="86">
        <f>IF(verze!$E$1="CZK",AD5307,IF(verze!$E$1="SK",AE5307,""))</f>
        <v>0</v>
      </c>
    </row>
    <row r="5308" spans="27:32" ht="15">
      <c r="AA5308" s="463" t="s">
        <v>16891</v>
      </c>
      <c r="AB5308" s="462" t="s">
        <v>16892</v>
      </c>
      <c r="AC5308" s="462" t="s">
        <v>16893</v>
      </c>
      <c r="AD5308" s="464">
        <v>2.7229399999999999</v>
      </c>
      <c r="AE5308" s="465">
        <v>0.13098000000000001</v>
      </c>
      <c r="AF5308" s="86">
        <f>IF(verze!$E$1="CZK",AD5308,IF(verze!$E$1="SK",AE5308,""))</f>
        <v>0.13098000000000001</v>
      </c>
    </row>
    <row r="5309" spans="27:32" ht="15">
      <c r="AA5309" s="463" t="s">
        <v>16894</v>
      </c>
      <c r="AB5309" s="462" t="s">
        <v>16895</v>
      </c>
      <c r="AC5309" s="462" t="s">
        <v>16896</v>
      </c>
      <c r="AD5309" s="464">
        <v>2.7229399999999999</v>
      </c>
      <c r="AE5309" s="465">
        <v>0.13098000000000001</v>
      </c>
      <c r="AF5309" s="86">
        <f>IF(verze!$E$1="CZK",AD5309,IF(verze!$E$1="SK",AE5309,""))</f>
        <v>0.13098000000000001</v>
      </c>
    </row>
    <row r="5310" spans="27:32" ht="15">
      <c r="AA5310" s="463" t="s">
        <v>16897</v>
      </c>
      <c r="AB5310" s="462" t="s">
        <v>16898</v>
      </c>
      <c r="AC5310" s="462" t="s">
        <v>16899</v>
      </c>
      <c r="AD5310" s="464">
        <v>2.7229399999999999</v>
      </c>
      <c r="AE5310" s="465">
        <v>0.13098000000000001</v>
      </c>
      <c r="AF5310" s="86">
        <f>IF(verze!$E$1="CZK",AD5310,IF(verze!$E$1="SK",AE5310,""))</f>
        <v>0.13098000000000001</v>
      </c>
    </row>
    <row r="5311" spans="27:32" ht="15">
      <c r="AA5311" s="463" t="s">
        <v>16900</v>
      </c>
      <c r="AB5311" s="462" t="s">
        <v>16901</v>
      </c>
      <c r="AC5311" s="462" t="s">
        <v>16902</v>
      </c>
      <c r="AD5311" s="464">
        <v>322.98180000000002</v>
      </c>
      <c r="AE5311" s="465">
        <v>14.79674</v>
      </c>
      <c r="AF5311" s="86">
        <f>IF(verze!$E$1="CZK",AD5311,IF(verze!$E$1="SK",AE5311,""))</f>
        <v>14.79674</v>
      </c>
    </row>
    <row r="5312" spans="27:32" ht="15">
      <c r="AA5312" s="463" t="s">
        <v>16903</v>
      </c>
      <c r="AB5312" s="462" t="s">
        <v>16904</v>
      </c>
      <c r="AC5312" s="462" t="s">
        <v>16905</v>
      </c>
      <c r="AD5312" s="464">
        <v>135.92488</v>
      </c>
      <c r="AE5312" s="465">
        <v>6.5384799999999998</v>
      </c>
      <c r="AF5312" s="86">
        <f>IF(verze!$E$1="CZK",AD5312,IF(verze!$E$1="SK",AE5312,""))</f>
        <v>6.5384799999999998</v>
      </c>
    </row>
    <row r="5313" spans="27:32" ht="15">
      <c r="AA5313" s="463" t="s">
        <v>16906</v>
      </c>
      <c r="AB5313" s="462" t="s">
        <v>16907</v>
      </c>
      <c r="AC5313" s="462" t="s">
        <v>16908</v>
      </c>
      <c r="AD5313" s="464">
        <v>135.92488</v>
      </c>
      <c r="AE5313" s="465">
        <v>6.5384799999999998</v>
      </c>
      <c r="AF5313" s="86">
        <f>IF(verze!$E$1="CZK",AD5313,IF(verze!$E$1="SK",AE5313,""))</f>
        <v>6.5384799999999998</v>
      </c>
    </row>
    <row r="5314" spans="27:32" ht="15">
      <c r="AA5314" s="463" t="s">
        <v>16909</v>
      </c>
      <c r="AB5314" s="462" t="s">
        <v>16910</v>
      </c>
      <c r="AC5314" s="462" t="s">
        <v>16911</v>
      </c>
      <c r="AD5314" s="464">
        <v>1227.1029699999999</v>
      </c>
      <c r="AE5314" s="465">
        <v>49.090240000000001</v>
      </c>
      <c r="AF5314" s="86">
        <f>IF(verze!$E$1="CZK",AD5314,IF(verze!$E$1="SK",AE5314,""))</f>
        <v>49.090240000000001</v>
      </c>
    </row>
    <row r="5315" spans="27:32" ht="15">
      <c r="AA5315" s="463" t="s">
        <v>16909</v>
      </c>
      <c r="AB5315" s="462" t="s">
        <v>16912</v>
      </c>
      <c r="AC5315" s="462" t="s">
        <v>16913</v>
      </c>
      <c r="AD5315" s="464">
        <v>463.9332</v>
      </c>
      <c r="AE5315" s="465">
        <v>18.61035</v>
      </c>
      <c r="AF5315" s="86">
        <f>IF(verze!$E$1="CZK",AD5315,IF(verze!$E$1="SK",AE5315,""))</f>
        <v>18.61035</v>
      </c>
    </row>
    <row r="5316" spans="27:32" ht="15">
      <c r="AA5316" s="463" t="s">
        <v>16914</v>
      </c>
      <c r="AB5316" s="462" t="s">
        <v>16915</v>
      </c>
      <c r="AC5316" s="462" t="s">
        <v>16916</v>
      </c>
      <c r="AD5316" s="464">
        <v>616.20767999999998</v>
      </c>
      <c r="AE5316" s="465">
        <v>24.65138</v>
      </c>
      <c r="AF5316" s="86">
        <f>IF(verze!$E$1="CZK",AD5316,IF(verze!$E$1="SK",AE5316,""))</f>
        <v>24.65138</v>
      </c>
    </row>
    <row r="5317" spans="27:32" ht="15">
      <c r="AA5317" s="463" t="s">
        <v>16914</v>
      </c>
      <c r="AB5317" s="462" t="s">
        <v>16917</v>
      </c>
      <c r="AC5317" s="462" t="s">
        <v>16918</v>
      </c>
      <c r="AD5317" s="464">
        <v>232.97085000000001</v>
      </c>
      <c r="AE5317" s="465">
        <v>9.3454499999999996</v>
      </c>
      <c r="AF5317" s="86">
        <f>IF(verze!$E$1="CZK",AD5317,IF(verze!$E$1="SK",AE5317,""))</f>
        <v>9.3454499999999996</v>
      </c>
    </row>
    <row r="5318" spans="27:32" ht="15">
      <c r="AA5318" s="463" t="s">
        <v>16919</v>
      </c>
      <c r="AB5318" s="462" t="s">
        <v>16920</v>
      </c>
      <c r="AC5318" s="462" t="s">
        <v>16921</v>
      </c>
      <c r="AD5318" s="464">
        <v>3615.8876599999999</v>
      </c>
      <c r="AE5318" s="465">
        <v>156.40036000000001</v>
      </c>
      <c r="AF5318" s="86">
        <f>IF(verze!$E$1="CZK",AD5318,IF(verze!$E$1="SK",AE5318,""))</f>
        <v>156.40036000000001</v>
      </c>
    </row>
    <row r="5319" spans="27:32" ht="15">
      <c r="AA5319" s="463" t="s">
        <v>16922</v>
      </c>
      <c r="AB5319" s="462" t="s">
        <v>16923</v>
      </c>
      <c r="AC5319" s="462" t="s">
        <v>16924</v>
      </c>
      <c r="AD5319" s="464">
        <v>4674.0472799999998</v>
      </c>
      <c r="AE5319" s="465">
        <v>188.19441</v>
      </c>
      <c r="AF5319" s="86">
        <f>IF(verze!$E$1="CZK",AD5319,IF(verze!$E$1="SK",AE5319,""))</f>
        <v>188.19441</v>
      </c>
    </row>
    <row r="5320" spans="27:32" ht="15">
      <c r="AA5320" s="463" t="s">
        <v>16925</v>
      </c>
      <c r="AB5320" s="462" t="s">
        <v>16926</v>
      </c>
      <c r="AC5320" s="462" t="s">
        <v>16927</v>
      </c>
      <c r="AD5320" s="464">
        <v>3674.5353100000002</v>
      </c>
      <c r="AE5320" s="465">
        <v>147.95043999999999</v>
      </c>
      <c r="AF5320" s="86">
        <f>IF(verze!$E$1="CZK",AD5320,IF(verze!$E$1="SK",AE5320,""))</f>
        <v>147.95043999999999</v>
      </c>
    </row>
    <row r="5321" spans="27:32" ht="15">
      <c r="AA5321" s="463" t="s">
        <v>16928</v>
      </c>
      <c r="AB5321" s="462" t="s">
        <v>16929</v>
      </c>
      <c r="AC5321" s="462" t="s">
        <v>16930</v>
      </c>
      <c r="AD5321" s="464">
        <v>4733.0133999999998</v>
      </c>
      <c r="AE5321" s="465">
        <v>191.71412000000001</v>
      </c>
      <c r="AF5321" s="86">
        <f>IF(verze!$E$1="CZK",AD5321,IF(verze!$E$1="SK",AE5321,""))</f>
        <v>191.71412000000001</v>
      </c>
    </row>
    <row r="5322" spans="27:32" ht="15">
      <c r="AA5322" s="463" t="s">
        <v>16931</v>
      </c>
      <c r="AB5322" s="462" t="s">
        <v>16932</v>
      </c>
      <c r="AC5322" s="462" t="s">
        <v>16933</v>
      </c>
      <c r="AD5322" s="464">
        <v>4585.7564000000002</v>
      </c>
      <c r="AE5322" s="465">
        <v>184.63953000000001</v>
      </c>
      <c r="AF5322" s="86">
        <f>IF(verze!$E$1="CZK",AD5322,IF(verze!$E$1="SK",AE5322,""))</f>
        <v>184.63953000000001</v>
      </c>
    </row>
    <row r="5323" spans="27:32" ht="15">
      <c r="AA5323" s="463" t="s">
        <v>16934</v>
      </c>
      <c r="AB5323" s="462" t="s">
        <v>16935</v>
      </c>
      <c r="AC5323" s="462" t="s">
        <v>16936</v>
      </c>
      <c r="AD5323" s="464">
        <v>4968.2252399999998</v>
      </c>
      <c r="AE5323" s="465">
        <v>214.01319000000001</v>
      </c>
      <c r="AF5323" s="86">
        <f>IF(verze!$E$1="CZK",AD5323,IF(verze!$E$1="SK",AE5323,""))</f>
        <v>214.01319000000001</v>
      </c>
    </row>
    <row r="5324" spans="27:32" ht="15">
      <c r="AA5324" s="463" t="s">
        <v>16937</v>
      </c>
      <c r="AB5324" s="462" t="s">
        <v>16938</v>
      </c>
      <c r="AC5324" s="462" t="s">
        <v>16939</v>
      </c>
      <c r="AD5324" s="464">
        <v>4909.2640799999999</v>
      </c>
      <c r="AE5324" s="465">
        <v>197.66508999999999</v>
      </c>
      <c r="AF5324" s="86">
        <f>IF(verze!$E$1="CZK",AD5324,IF(verze!$E$1="SK",AE5324,""))</f>
        <v>197.66508999999999</v>
      </c>
    </row>
    <row r="5325" spans="27:32" ht="15">
      <c r="AA5325" s="463" t="s">
        <v>16940</v>
      </c>
      <c r="AB5325" s="462" t="s">
        <v>16941</v>
      </c>
      <c r="AC5325" s="462" t="s">
        <v>16942</v>
      </c>
      <c r="AD5325" s="464">
        <v>4733.0133999999998</v>
      </c>
      <c r="AE5325" s="465">
        <v>191.71412000000001</v>
      </c>
      <c r="AF5325" s="86">
        <f>IF(verze!$E$1="CZK",AD5325,IF(verze!$E$1="SK",AE5325,""))</f>
        <v>191.71412000000001</v>
      </c>
    </row>
    <row r="5326" spans="27:32" ht="15">
      <c r="AA5326" s="463" t="s">
        <v>16943</v>
      </c>
      <c r="AB5326" s="462" t="s">
        <v>16944</v>
      </c>
      <c r="AC5326" s="462" t="s">
        <v>16945</v>
      </c>
      <c r="AD5326" s="464">
        <v>4674.0472799999998</v>
      </c>
      <c r="AE5326" s="465">
        <v>188.19441</v>
      </c>
      <c r="AF5326" s="86">
        <f>IF(verze!$E$1="CZK",AD5326,IF(verze!$E$1="SK",AE5326,""))</f>
        <v>188.19441</v>
      </c>
    </row>
    <row r="5327" spans="27:32" ht="15">
      <c r="AA5327" s="463" t="s">
        <v>16946</v>
      </c>
      <c r="AB5327" s="462" t="s">
        <v>16947</v>
      </c>
      <c r="AC5327" s="462" t="s">
        <v>16948</v>
      </c>
      <c r="AD5327" s="464">
        <v>4585.7564000000002</v>
      </c>
      <c r="AE5327" s="465">
        <v>184.63953000000001</v>
      </c>
      <c r="AF5327" s="86">
        <f>IF(verze!$E$1="CZK",AD5327,IF(verze!$E$1="SK",AE5327,""))</f>
        <v>184.63953000000001</v>
      </c>
    </row>
    <row r="5328" spans="27:32" ht="15">
      <c r="AA5328" s="463" t="s">
        <v>16949</v>
      </c>
      <c r="AB5328" s="462" t="s">
        <v>16950</v>
      </c>
      <c r="AC5328" s="462" t="s">
        <v>16951</v>
      </c>
      <c r="AD5328" s="464">
        <v>3615.8907599999998</v>
      </c>
      <c r="AE5328" s="465">
        <v>145.58912000000001</v>
      </c>
      <c r="AF5328" s="86">
        <f>IF(verze!$E$1="CZK",AD5328,IF(verze!$E$1="SK",AE5328,""))</f>
        <v>145.58912000000001</v>
      </c>
    </row>
    <row r="5329" spans="27:32" ht="15">
      <c r="AA5329" s="463" t="s">
        <v>16952</v>
      </c>
      <c r="AB5329" s="462" t="s">
        <v>16953</v>
      </c>
      <c r="AC5329" s="462" t="s">
        <v>16954</v>
      </c>
      <c r="AD5329" s="464">
        <v>3321.71477</v>
      </c>
      <c r="AE5329" s="465">
        <v>133.74448000000001</v>
      </c>
      <c r="AF5329" s="86">
        <f>IF(verze!$E$1="CZK",AD5329,IF(verze!$E$1="SK",AE5329,""))</f>
        <v>133.74448000000001</v>
      </c>
    </row>
    <row r="5330" spans="27:32" ht="15">
      <c r="AA5330" s="463" t="s">
        <v>16955</v>
      </c>
      <c r="AB5330" s="462" t="s">
        <v>16956</v>
      </c>
      <c r="AC5330" s="462" t="s">
        <v>16957</v>
      </c>
      <c r="AD5330" s="464">
        <v>3409.9985200000001</v>
      </c>
      <c r="AE5330" s="465">
        <v>137.29917</v>
      </c>
      <c r="AF5330" s="86">
        <f>IF(verze!$E$1="CZK",AD5330,IF(verze!$E$1="SK",AE5330,""))</f>
        <v>137.29917</v>
      </c>
    </row>
    <row r="5331" spans="27:32" ht="15">
      <c r="AA5331" s="463" t="s">
        <v>16958</v>
      </c>
      <c r="AB5331" s="462" t="s">
        <v>16959</v>
      </c>
      <c r="AC5331" s="462" t="s">
        <v>16960</v>
      </c>
      <c r="AD5331" s="464">
        <v>3439.3231700000001</v>
      </c>
      <c r="AE5331" s="465">
        <v>139.31252000000001</v>
      </c>
      <c r="AF5331" s="86">
        <f>IF(verze!$E$1="CZK",AD5331,IF(verze!$E$1="SK",AE5331,""))</f>
        <v>139.31252000000001</v>
      </c>
    </row>
    <row r="5332" spans="27:32" ht="15">
      <c r="AA5332" s="463" t="s">
        <v>16961</v>
      </c>
      <c r="AB5332" s="462" t="s">
        <v>16962</v>
      </c>
      <c r="AC5332" s="462" t="s">
        <v>16963</v>
      </c>
      <c r="AD5332" s="464">
        <v>3439.3231700000001</v>
      </c>
      <c r="AE5332" s="465">
        <v>139.31252000000001</v>
      </c>
      <c r="AF5332" s="86">
        <f>IF(verze!$E$1="CZK",AD5332,IF(verze!$E$1="SK",AE5332,""))</f>
        <v>139.31252000000001</v>
      </c>
    </row>
    <row r="5333" spans="27:32" ht="15">
      <c r="AA5333" s="463" t="s">
        <v>16964</v>
      </c>
      <c r="AB5333" s="462" t="s">
        <v>16965</v>
      </c>
      <c r="AC5333" s="462" t="s">
        <v>16966</v>
      </c>
      <c r="AD5333" s="464">
        <v>3410.0031600000002</v>
      </c>
      <c r="AE5333" s="465">
        <v>137.29938000000001</v>
      </c>
      <c r="AF5333" s="86">
        <f>IF(verze!$E$1="CZK",AD5333,IF(verze!$E$1="SK",AE5333,""))</f>
        <v>137.29938000000001</v>
      </c>
    </row>
    <row r="5334" spans="27:32" ht="15">
      <c r="AA5334" s="463" t="s">
        <v>16967</v>
      </c>
      <c r="AB5334" s="462" t="s">
        <v>16968</v>
      </c>
      <c r="AC5334" s="462" t="s">
        <v>16969</v>
      </c>
      <c r="AD5334" s="464">
        <v>3321.71477</v>
      </c>
      <c r="AE5334" s="465">
        <v>133.74448000000001</v>
      </c>
      <c r="AF5334" s="86">
        <f>IF(verze!$E$1="CZK",AD5334,IF(verze!$E$1="SK",AE5334,""))</f>
        <v>133.74448000000001</v>
      </c>
    </row>
    <row r="5335" spans="27:32" ht="15">
      <c r="AA5335" s="463" t="s">
        <v>16970</v>
      </c>
      <c r="AB5335" s="462" t="s">
        <v>16971</v>
      </c>
      <c r="AC5335" s="462" t="s">
        <v>16972</v>
      </c>
      <c r="AD5335" s="464">
        <v>3073.3820900000001</v>
      </c>
      <c r="AE5335" s="465">
        <v>123.74572999999999</v>
      </c>
      <c r="AF5335" s="86">
        <f>IF(verze!$E$1="CZK",AD5335,IF(verze!$E$1="SK",AE5335,""))</f>
        <v>123.74572999999999</v>
      </c>
    </row>
    <row r="5336" spans="27:32" ht="15">
      <c r="AA5336" s="463" t="s">
        <v>16973</v>
      </c>
      <c r="AB5336" s="462" t="s">
        <v>16974</v>
      </c>
      <c r="AC5336" s="462" t="s">
        <v>16975</v>
      </c>
      <c r="AD5336" s="464">
        <v>3073.3820900000001</v>
      </c>
      <c r="AE5336" s="465">
        <v>123.74572999999999</v>
      </c>
      <c r="AF5336" s="86">
        <f>IF(verze!$E$1="CZK",AD5336,IF(verze!$E$1="SK",AE5336,""))</f>
        <v>123.74572999999999</v>
      </c>
    </row>
    <row r="5337" spans="27:32" ht="15">
      <c r="AA5337" s="463" t="s">
        <v>16976</v>
      </c>
      <c r="AB5337" s="462" t="s">
        <v>16977</v>
      </c>
      <c r="AC5337" s="462" t="s">
        <v>16978</v>
      </c>
      <c r="AD5337" s="464">
        <v>3073.3820900000001</v>
      </c>
      <c r="AE5337" s="465">
        <v>123.74572999999999</v>
      </c>
      <c r="AF5337" s="86">
        <f>IF(verze!$E$1="CZK",AD5337,IF(verze!$E$1="SK",AE5337,""))</f>
        <v>123.74572999999999</v>
      </c>
    </row>
    <row r="5338" spans="27:32" ht="15">
      <c r="AA5338" s="463" t="s">
        <v>16979</v>
      </c>
      <c r="AB5338" s="462" t="s">
        <v>16980</v>
      </c>
      <c r="AC5338" s="462" t="s">
        <v>16981</v>
      </c>
      <c r="AD5338" s="464">
        <v>1785.09006</v>
      </c>
      <c r="AE5338" s="465">
        <v>71.874380000000002</v>
      </c>
      <c r="AF5338" s="86">
        <f>IF(verze!$E$1="CZK",AD5338,IF(verze!$E$1="SK",AE5338,""))</f>
        <v>71.874380000000002</v>
      </c>
    </row>
    <row r="5339" spans="27:32" ht="15">
      <c r="AA5339" s="463" t="s">
        <v>16982</v>
      </c>
      <c r="AB5339" s="462" t="s">
        <v>16983</v>
      </c>
      <c r="AC5339" s="462" t="s">
        <v>16984</v>
      </c>
      <c r="AD5339" s="464">
        <v>2125.1073099999999</v>
      </c>
      <c r="AE5339" s="465">
        <v>85.564660000000003</v>
      </c>
      <c r="AF5339" s="86">
        <f>IF(verze!$E$1="CZK",AD5339,IF(verze!$E$1="SK",AE5339,""))</f>
        <v>85.564660000000003</v>
      </c>
    </row>
    <row r="5340" spans="27:32" ht="15">
      <c r="AA5340" s="463" t="s">
        <v>16985</v>
      </c>
      <c r="AB5340" s="462" t="s">
        <v>16986</v>
      </c>
      <c r="AC5340" s="462" t="s">
        <v>16987</v>
      </c>
      <c r="AD5340" s="464">
        <v>3825.1907700000002</v>
      </c>
      <c r="AE5340" s="465">
        <v>154.01634000000001</v>
      </c>
      <c r="AF5340" s="86">
        <f>IF(verze!$E$1="CZK",AD5340,IF(verze!$E$1="SK",AE5340,""))</f>
        <v>154.01634000000001</v>
      </c>
    </row>
    <row r="5341" spans="27:32" ht="15">
      <c r="AA5341" s="463" t="s">
        <v>16988</v>
      </c>
      <c r="AB5341" s="462" t="s">
        <v>16989</v>
      </c>
      <c r="AC5341" s="462" t="s">
        <v>16990</v>
      </c>
      <c r="AD5341" s="464">
        <v>1528.5598299999999</v>
      </c>
      <c r="AE5341" s="465">
        <v>61.545470000000002</v>
      </c>
      <c r="AF5341" s="86">
        <f>IF(verze!$E$1="CZK",AD5341,IF(verze!$E$1="SK",AE5341,""))</f>
        <v>61.545470000000002</v>
      </c>
    </row>
    <row r="5342" spans="27:32" ht="15">
      <c r="AA5342" s="463" t="s">
        <v>16991</v>
      </c>
      <c r="AB5342" s="462" t="s">
        <v>16992</v>
      </c>
      <c r="AC5342" s="462" t="s">
        <v>16993</v>
      </c>
      <c r="AD5342" s="464">
        <v>1528.5598299999999</v>
      </c>
      <c r="AE5342" s="465">
        <v>61.545470000000002</v>
      </c>
      <c r="AF5342" s="86">
        <f>IF(verze!$E$1="CZK",AD5342,IF(verze!$E$1="SK",AE5342,""))</f>
        <v>61.545470000000002</v>
      </c>
    </row>
    <row r="5343" spans="27:32" ht="15">
      <c r="AA5343" s="463" t="s">
        <v>16994</v>
      </c>
      <c r="AB5343" s="462" t="s">
        <v>16995</v>
      </c>
      <c r="AC5343" s="462" t="s">
        <v>16996</v>
      </c>
      <c r="AD5343" s="464">
        <v>1528.5598299999999</v>
      </c>
      <c r="AE5343" s="465">
        <v>61.545470000000002</v>
      </c>
      <c r="AF5343" s="86">
        <f>IF(verze!$E$1="CZK",AD5343,IF(verze!$E$1="SK",AE5343,""))</f>
        <v>61.545470000000002</v>
      </c>
    </row>
    <row r="5344" spans="27:32" ht="15">
      <c r="AA5344" s="463" t="s">
        <v>16997</v>
      </c>
      <c r="AB5344" s="462" t="s">
        <v>16998</v>
      </c>
      <c r="AC5344" s="462" t="s">
        <v>16999</v>
      </c>
      <c r="AD5344" s="464">
        <v>173.30037999999999</v>
      </c>
      <c r="AE5344" s="465">
        <v>6.9328700000000003</v>
      </c>
      <c r="AF5344" s="86">
        <f>IF(verze!$E$1="CZK",AD5344,IF(verze!$E$1="SK",AE5344,""))</f>
        <v>6.9328700000000003</v>
      </c>
    </row>
    <row r="5345" spans="27:32" ht="15">
      <c r="AA5345" s="463" t="s">
        <v>17000</v>
      </c>
      <c r="AB5345" s="462" t="s">
        <v>17001</v>
      </c>
      <c r="AC5345" s="462" t="s">
        <v>17002</v>
      </c>
      <c r="AD5345" s="464">
        <v>984.71790999999996</v>
      </c>
      <c r="AE5345" s="465">
        <v>39.648350000000001</v>
      </c>
      <c r="AF5345" s="86">
        <f>IF(verze!$E$1="CZK",AD5345,IF(verze!$E$1="SK",AE5345,""))</f>
        <v>39.648350000000001</v>
      </c>
    </row>
    <row r="5346" spans="27:32" ht="15">
      <c r="AA5346" s="463" t="s">
        <v>17003</v>
      </c>
      <c r="AB5346" s="462" t="s">
        <v>17004</v>
      </c>
      <c r="AC5346" s="462" t="s">
        <v>17005</v>
      </c>
      <c r="AD5346" s="464">
        <v>1835.9612099999999</v>
      </c>
      <c r="AE5346" s="465">
        <v>73.922600000000003</v>
      </c>
      <c r="AF5346" s="86">
        <f>IF(verze!$E$1="CZK",AD5346,IF(verze!$E$1="SK",AE5346,""))</f>
        <v>73.922600000000003</v>
      </c>
    </row>
    <row r="5347" spans="27:32" ht="15">
      <c r="AA5347" s="463" t="s">
        <v>17006</v>
      </c>
      <c r="AB5347" s="462" t="s">
        <v>17007</v>
      </c>
      <c r="AC5347" s="462" t="s">
        <v>17008</v>
      </c>
      <c r="AD5347" s="464">
        <v>537.52067</v>
      </c>
      <c r="AE5347" s="465">
        <v>21.642520000000001</v>
      </c>
      <c r="AF5347" s="86">
        <f>IF(verze!$E$1="CZK",AD5347,IF(verze!$E$1="SK",AE5347,""))</f>
        <v>21.642520000000001</v>
      </c>
    </row>
    <row r="5348" spans="27:32" ht="15">
      <c r="AA5348" s="463" t="s">
        <v>17009</v>
      </c>
      <c r="AB5348" s="462" t="s">
        <v>17010</v>
      </c>
      <c r="AC5348" s="462" t="s">
        <v>17011</v>
      </c>
      <c r="AD5348" s="464">
        <v>1071.13942</v>
      </c>
      <c r="AE5348" s="465">
        <v>43.128019999999999</v>
      </c>
      <c r="AF5348" s="86">
        <f>IF(verze!$E$1="CZK",AD5348,IF(verze!$E$1="SK",AE5348,""))</f>
        <v>43.128019999999999</v>
      </c>
    </row>
    <row r="5349" spans="27:32" ht="15">
      <c r="AA5349" s="463" t="s">
        <v>17012</v>
      </c>
      <c r="AB5349" s="462" t="s">
        <v>17013</v>
      </c>
      <c r="AC5349" s="462" t="s">
        <v>17014</v>
      </c>
      <c r="AD5349" s="464">
        <v>104.70480999999999</v>
      </c>
      <c r="AE5349" s="465">
        <v>4.2158300000000004</v>
      </c>
      <c r="AF5349" s="86">
        <f>IF(verze!$E$1="CZK",AD5349,IF(verze!$E$1="SK",AE5349,""))</f>
        <v>4.2158300000000004</v>
      </c>
    </row>
    <row r="5350" spans="27:32" ht="15">
      <c r="AA5350" s="463" t="s">
        <v>17015</v>
      </c>
      <c r="AB5350" s="462" t="s">
        <v>17016</v>
      </c>
      <c r="AC5350" s="462" t="s">
        <v>17017</v>
      </c>
      <c r="AD5350" s="464">
        <v>1326.8799899999999</v>
      </c>
      <c r="AE5350" s="465">
        <v>53.887779999999999</v>
      </c>
      <c r="AF5350" s="86">
        <f>IF(verze!$E$1="CZK",AD5350,IF(verze!$E$1="SK",AE5350,""))</f>
        <v>53.887779999999999</v>
      </c>
    </row>
    <row r="5351" spans="27:32" ht="15">
      <c r="AA5351" s="463" t="s">
        <v>17018</v>
      </c>
      <c r="AB5351" s="462" t="s">
        <v>17019</v>
      </c>
      <c r="AC5351" s="462" t="s">
        <v>17020</v>
      </c>
      <c r="AD5351" s="464">
        <v>2236.3086400000002</v>
      </c>
      <c r="AE5351" s="465">
        <v>90.821809999999999</v>
      </c>
      <c r="AF5351" s="86">
        <f>IF(verze!$E$1="CZK",AD5351,IF(verze!$E$1="SK",AE5351,""))</f>
        <v>90.821809999999999</v>
      </c>
    </row>
    <row r="5352" spans="27:32" ht="15">
      <c r="AA5352" s="463" t="s">
        <v>17021</v>
      </c>
      <c r="AB5352" s="462" t="s">
        <v>17022</v>
      </c>
      <c r="AC5352" s="462" t="s">
        <v>17023</v>
      </c>
      <c r="AD5352" s="464">
        <v>177.45590999999999</v>
      </c>
      <c r="AE5352" s="465">
        <v>3.02054</v>
      </c>
      <c r="AF5352" s="86">
        <f>IF(verze!$E$1="CZK",AD5352,IF(verze!$E$1="SK",AE5352,""))</f>
        <v>3.02054</v>
      </c>
    </row>
    <row r="5353" spans="27:32" ht="15">
      <c r="AA5353" s="463" t="s">
        <v>17024</v>
      </c>
      <c r="AB5353" s="462" t="s">
        <v>17025</v>
      </c>
      <c r="AC5353" s="462" t="s">
        <v>17026</v>
      </c>
      <c r="AD5353" s="464">
        <v>769969.72438000003</v>
      </c>
      <c r="AE5353" s="465">
        <v>30802.621879999999</v>
      </c>
      <c r="AF5353" s="86">
        <f>IF(verze!$E$1="CZK",AD5353,IF(verze!$E$1="SK",AE5353,""))</f>
        <v>30802.621879999999</v>
      </c>
    </row>
    <row r="5354" spans="27:32" ht="15">
      <c r="AA5354" s="463" t="s">
        <v>17027</v>
      </c>
      <c r="AB5354" s="462" t="s">
        <v>17028</v>
      </c>
      <c r="AC5354" s="462" t="s">
        <v>17029</v>
      </c>
      <c r="AD5354" s="464">
        <v>3070.7294700000002</v>
      </c>
      <c r="AE5354" s="465">
        <v>140.67920000000001</v>
      </c>
      <c r="AF5354" s="86">
        <f>IF(verze!$E$1="CZK",AD5354,IF(verze!$E$1="SK",AE5354,""))</f>
        <v>140.67920000000001</v>
      </c>
    </row>
    <row r="5355" spans="27:32" ht="15">
      <c r="AA5355" s="463" t="s">
        <v>17030</v>
      </c>
      <c r="AB5355" s="462" t="s">
        <v>17031</v>
      </c>
      <c r="AC5355" s="462" t="s">
        <v>17032</v>
      </c>
      <c r="AD5355" s="464">
        <v>4259.7685600000004</v>
      </c>
      <c r="AE5355" s="465">
        <v>195.15260000000001</v>
      </c>
      <c r="AF5355" s="86">
        <f>IF(verze!$E$1="CZK",AD5355,IF(verze!$E$1="SK",AE5355,""))</f>
        <v>195.15260000000001</v>
      </c>
    </row>
    <row r="5356" spans="27:32" ht="15">
      <c r="AA5356" s="463" t="s">
        <v>17033</v>
      </c>
      <c r="AB5356" s="462" t="s">
        <v>17034</v>
      </c>
      <c r="AC5356" s="462" t="s">
        <v>17035</v>
      </c>
      <c r="AD5356" s="464">
        <v>194.12347</v>
      </c>
      <c r="AE5356" s="465">
        <v>0</v>
      </c>
      <c r="AF5356" s="86">
        <f>IF(verze!$E$1="CZK",AD5356,IF(verze!$E$1="SK",AE5356,""))</f>
        <v>0</v>
      </c>
    </row>
    <row r="5357" spans="27:32" ht="15">
      <c r="AA5357" s="463" t="s">
        <v>17036</v>
      </c>
      <c r="AB5357" s="462" t="s">
        <v>17037</v>
      </c>
      <c r="AC5357" s="462" t="s">
        <v>17038</v>
      </c>
      <c r="AD5357" s="464">
        <v>114.22274</v>
      </c>
      <c r="AE5357" s="465">
        <v>0</v>
      </c>
      <c r="AF5357" s="86">
        <f>IF(verze!$E$1="CZK",AD5357,IF(verze!$E$1="SK",AE5357,""))</f>
        <v>0</v>
      </c>
    </row>
    <row r="5358" spans="27:32" ht="15">
      <c r="AA5358" s="463" t="s">
        <v>17039</v>
      </c>
      <c r="AB5358" s="462" t="s">
        <v>17040</v>
      </c>
      <c r="AC5358" s="462" t="s">
        <v>17041</v>
      </c>
      <c r="AD5358" s="464">
        <v>180.57061999999999</v>
      </c>
      <c r="AE5358" s="465">
        <v>7.4058400000000004</v>
      </c>
      <c r="AF5358" s="86">
        <f>IF(verze!$E$1="CZK",AD5358,IF(verze!$E$1="SK",AE5358,""))</f>
        <v>7.4058400000000004</v>
      </c>
    </row>
    <row r="5359" spans="27:32" ht="15">
      <c r="AA5359" s="463" t="s">
        <v>17042</v>
      </c>
      <c r="AB5359" s="462" t="s">
        <v>17043</v>
      </c>
      <c r="AC5359" s="462" t="s">
        <v>17044</v>
      </c>
      <c r="AD5359" s="464">
        <v>498.21760999999998</v>
      </c>
      <c r="AE5359" s="465">
        <v>19.931170000000002</v>
      </c>
      <c r="AF5359" s="86">
        <f>IF(verze!$E$1="CZK",AD5359,IF(verze!$E$1="SK",AE5359,""))</f>
        <v>19.931170000000002</v>
      </c>
    </row>
    <row r="5360" spans="27:32" ht="15">
      <c r="AA5360" s="463" t="s">
        <v>17045</v>
      </c>
      <c r="AB5360" s="462" t="s">
        <v>17046</v>
      </c>
      <c r="AC5360" s="462" t="s">
        <v>17047</v>
      </c>
      <c r="AD5360" s="464">
        <v>589.96276</v>
      </c>
      <c r="AE5360" s="465">
        <v>23.754100000000001</v>
      </c>
      <c r="AF5360" s="86">
        <f>IF(verze!$E$1="CZK",AD5360,IF(verze!$E$1="SK",AE5360,""))</f>
        <v>23.754100000000001</v>
      </c>
    </row>
    <row r="5361" spans="27:32" ht="15">
      <c r="AA5361" s="463" t="s">
        <v>17048</v>
      </c>
      <c r="AB5361" s="462" t="s">
        <v>17049</v>
      </c>
      <c r="AC5361" s="462" t="s">
        <v>17050</v>
      </c>
      <c r="AD5361" s="464">
        <v>774.66039000000001</v>
      </c>
      <c r="AE5361" s="465">
        <v>31.19069</v>
      </c>
      <c r="AF5361" s="86">
        <f>IF(verze!$E$1="CZK",AD5361,IF(verze!$E$1="SK",AE5361,""))</f>
        <v>31.19069</v>
      </c>
    </row>
    <row r="5362" spans="27:32" ht="15">
      <c r="AA5362" s="463" t="s">
        <v>17051</v>
      </c>
      <c r="AB5362" s="462" t="s">
        <v>17052</v>
      </c>
      <c r="AC5362" s="462" t="s">
        <v>17053</v>
      </c>
      <c r="AD5362" s="464">
        <v>922.21582000000001</v>
      </c>
      <c r="AE5362" s="465">
        <v>37.131830000000001</v>
      </c>
      <c r="AF5362" s="86">
        <f>IF(verze!$E$1="CZK",AD5362,IF(verze!$E$1="SK",AE5362,""))</f>
        <v>37.131830000000001</v>
      </c>
    </row>
    <row r="5363" spans="27:32" ht="15">
      <c r="AA5363" s="463" t="s">
        <v>17054</v>
      </c>
      <c r="AB5363" s="462" t="s">
        <v>17055</v>
      </c>
      <c r="AC5363" s="462" t="s">
        <v>17056</v>
      </c>
      <c r="AD5363" s="464">
        <v>1475.54438</v>
      </c>
      <c r="AE5363" s="465">
        <v>59.410890000000002</v>
      </c>
      <c r="AF5363" s="86">
        <f>IF(verze!$E$1="CZK",AD5363,IF(verze!$E$1="SK",AE5363,""))</f>
        <v>59.410890000000002</v>
      </c>
    </row>
    <row r="5364" spans="27:32" ht="15">
      <c r="AA5364" s="463" t="s">
        <v>17057</v>
      </c>
      <c r="AB5364" s="462" t="s">
        <v>17058</v>
      </c>
      <c r="AC5364" s="462" t="s">
        <v>17059</v>
      </c>
      <c r="AD5364" s="464">
        <v>0.89337999999999995</v>
      </c>
      <c r="AE5364" s="465">
        <v>4.299E-2</v>
      </c>
      <c r="AF5364" s="86">
        <f>IF(verze!$E$1="CZK",AD5364,IF(verze!$E$1="SK",AE5364,""))</f>
        <v>4.299E-2</v>
      </c>
    </row>
    <row r="5365" spans="27:32" ht="15">
      <c r="AA5365" s="463" t="s">
        <v>17060</v>
      </c>
      <c r="AB5365" s="462" t="s">
        <v>17061</v>
      </c>
      <c r="AC5365" s="462" t="s">
        <v>17062</v>
      </c>
      <c r="AD5365" s="464">
        <v>77.680700000000002</v>
      </c>
      <c r="AE5365" s="465">
        <v>3.73672</v>
      </c>
      <c r="AF5365" s="86">
        <f>IF(verze!$E$1="CZK",AD5365,IF(verze!$E$1="SK",AE5365,""))</f>
        <v>3.73672</v>
      </c>
    </row>
    <row r="5366" spans="27:32" ht="15">
      <c r="AA5366" s="463" t="s">
        <v>17060</v>
      </c>
      <c r="AB5366" s="462" t="s">
        <v>17063</v>
      </c>
      <c r="AC5366" s="462" t="s">
        <v>17064</v>
      </c>
      <c r="AD5366" s="464">
        <v>36.215000000000003</v>
      </c>
      <c r="AE5366" s="465">
        <v>1.4527399999999999</v>
      </c>
      <c r="AF5366" s="86">
        <f>IF(verze!$E$1="CZK",AD5366,IF(verze!$E$1="SK",AE5366,""))</f>
        <v>1.4527399999999999</v>
      </c>
    </row>
    <row r="5367" spans="27:32" ht="15">
      <c r="AA5367" s="463" t="s">
        <v>17065</v>
      </c>
      <c r="AB5367" s="462" t="s">
        <v>17066</v>
      </c>
      <c r="AC5367" s="462" t="s">
        <v>17067</v>
      </c>
      <c r="AD5367" s="464">
        <v>384.25941999999998</v>
      </c>
      <c r="AE5367" s="465">
        <v>16.090890000000002</v>
      </c>
      <c r="AF5367" s="86">
        <f>IF(verze!$E$1="CZK",AD5367,IF(verze!$E$1="SK",AE5367,""))</f>
        <v>16.090890000000002</v>
      </c>
    </row>
    <row r="5368" spans="27:32" ht="15">
      <c r="AA5368" s="463" t="s">
        <v>17068</v>
      </c>
      <c r="AB5368" s="462" t="s">
        <v>17069</v>
      </c>
      <c r="AC5368" s="462" t="s">
        <v>17070</v>
      </c>
      <c r="AD5368" s="464">
        <v>1106.4761599999999</v>
      </c>
      <c r="AE5368" s="465">
        <v>53.22551</v>
      </c>
      <c r="AF5368" s="86">
        <f>IF(verze!$E$1="CZK",AD5368,IF(verze!$E$1="SK",AE5368,""))</f>
        <v>53.22551</v>
      </c>
    </row>
    <row r="5369" spans="27:32" ht="15">
      <c r="AA5369" s="463" t="s">
        <v>17071</v>
      </c>
      <c r="AB5369" s="462" t="s">
        <v>17072</v>
      </c>
      <c r="AC5369" s="462" t="s">
        <v>17073</v>
      </c>
      <c r="AD5369" s="464">
        <v>1238.5367799999999</v>
      </c>
      <c r="AE5369" s="465">
        <v>59.578069999999997</v>
      </c>
      <c r="AF5369" s="86">
        <f>IF(verze!$E$1="CZK",AD5369,IF(verze!$E$1="SK",AE5369,""))</f>
        <v>59.578069999999997</v>
      </c>
    </row>
    <row r="5370" spans="27:32" ht="15">
      <c r="AA5370" s="463" t="s">
        <v>17074</v>
      </c>
      <c r="AB5370" s="462" t="s">
        <v>17075</v>
      </c>
      <c r="AC5370" s="462" t="s">
        <v>17076</v>
      </c>
      <c r="AD5370" s="464">
        <v>642.65975000000003</v>
      </c>
      <c r="AE5370" s="465">
        <v>30.914269999999998</v>
      </c>
      <c r="AF5370" s="86">
        <f>IF(verze!$E$1="CZK",AD5370,IF(verze!$E$1="SK",AE5370,""))</f>
        <v>30.914269999999998</v>
      </c>
    </row>
    <row r="5371" spans="27:32" ht="15">
      <c r="AA5371" s="463" t="s">
        <v>17077</v>
      </c>
      <c r="AB5371" s="462" t="s">
        <v>17078</v>
      </c>
      <c r="AC5371" s="462" t="s">
        <v>17079</v>
      </c>
      <c r="AD5371" s="464">
        <v>739.96762000000001</v>
      </c>
      <c r="AE5371" s="465">
        <v>35.595129999999997</v>
      </c>
      <c r="AF5371" s="86">
        <f>IF(verze!$E$1="CZK",AD5371,IF(verze!$E$1="SK",AE5371,""))</f>
        <v>35.595129999999997</v>
      </c>
    </row>
    <row r="5372" spans="27:32" ht="15">
      <c r="AA5372" s="463" t="s">
        <v>17080</v>
      </c>
      <c r="AB5372" s="462" t="s">
        <v>17081</v>
      </c>
      <c r="AC5372" s="462" t="s">
        <v>17082</v>
      </c>
      <c r="AD5372" s="464">
        <v>532.52003999999999</v>
      </c>
      <c r="AE5372" s="465">
        <v>25.616140000000001</v>
      </c>
      <c r="AF5372" s="86">
        <f>IF(verze!$E$1="CZK",AD5372,IF(verze!$E$1="SK",AE5372,""))</f>
        <v>25.616140000000001</v>
      </c>
    </row>
    <row r="5373" spans="27:32" ht="15">
      <c r="AA5373" s="463" t="s">
        <v>17083</v>
      </c>
      <c r="AB5373" s="462" t="s">
        <v>17084</v>
      </c>
      <c r="AC5373" s="462" t="s">
        <v>17085</v>
      </c>
      <c r="AD5373" s="464">
        <v>485.73741999999999</v>
      </c>
      <c r="AE5373" s="465">
        <v>23.36571</v>
      </c>
      <c r="AF5373" s="86">
        <f>IF(verze!$E$1="CZK",AD5373,IF(verze!$E$1="SK",AE5373,""))</f>
        <v>23.36571</v>
      </c>
    </row>
    <row r="5374" spans="27:32" ht="15">
      <c r="AA5374" s="463" t="s">
        <v>17086</v>
      </c>
      <c r="AB5374" s="462" t="s">
        <v>17087</v>
      </c>
      <c r="AC5374" s="462" t="s">
        <v>17088</v>
      </c>
      <c r="AD5374" s="464">
        <v>1117.43667</v>
      </c>
      <c r="AE5374" s="465">
        <v>53.75273</v>
      </c>
      <c r="AF5374" s="86">
        <f>IF(verze!$E$1="CZK",AD5374,IF(verze!$E$1="SK",AE5374,""))</f>
        <v>53.75273</v>
      </c>
    </row>
    <row r="5375" spans="27:32" ht="15">
      <c r="AA5375" s="463" t="s">
        <v>17089</v>
      </c>
      <c r="AB5375" s="462" t="s">
        <v>17090</v>
      </c>
      <c r="AC5375" s="462" t="s">
        <v>17091</v>
      </c>
      <c r="AD5375" s="464">
        <v>649.34301000000005</v>
      </c>
      <c r="AE5375" s="465">
        <v>31.23574</v>
      </c>
      <c r="AF5375" s="86">
        <f>IF(verze!$E$1="CZK",AD5375,IF(verze!$E$1="SK",AE5375,""))</f>
        <v>31.23574</v>
      </c>
    </row>
    <row r="5376" spans="27:32" ht="15">
      <c r="AA5376" s="463" t="s">
        <v>17092</v>
      </c>
      <c r="AB5376" s="462" t="s">
        <v>17093</v>
      </c>
      <c r="AC5376" s="462" t="s">
        <v>17094</v>
      </c>
      <c r="AD5376" s="464">
        <v>1660.9172100000001</v>
      </c>
      <c r="AE5376" s="465">
        <v>79.896119999999996</v>
      </c>
      <c r="AF5376" s="86">
        <f>IF(verze!$E$1="CZK",AD5376,IF(verze!$E$1="SK",AE5376,""))</f>
        <v>79.896119999999996</v>
      </c>
    </row>
    <row r="5377" spans="27:32" ht="15">
      <c r="AA5377" s="463" t="s">
        <v>17095</v>
      </c>
      <c r="AB5377" s="462" t="s">
        <v>17096</v>
      </c>
      <c r="AC5377" s="462" t="s">
        <v>17097</v>
      </c>
      <c r="AD5377" s="464">
        <v>2340.4683100000002</v>
      </c>
      <c r="AE5377" s="465">
        <v>112.58497</v>
      </c>
      <c r="AF5377" s="86">
        <f>IF(verze!$E$1="CZK",AD5377,IF(verze!$E$1="SK",AE5377,""))</f>
        <v>112.58497</v>
      </c>
    </row>
    <row r="5378" spans="27:32" ht="15">
      <c r="AA5378" s="463" t="s">
        <v>17098</v>
      </c>
      <c r="AB5378" s="462" t="s">
        <v>17099</v>
      </c>
      <c r="AC5378" s="462" t="s">
        <v>17100</v>
      </c>
      <c r="AD5378" s="464">
        <v>130.99136999999999</v>
      </c>
      <c r="AE5378" s="465">
        <v>6.3011799999999996</v>
      </c>
      <c r="AF5378" s="86">
        <f>IF(verze!$E$1="CZK",AD5378,IF(verze!$E$1="SK",AE5378,""))</f>
        <v>6.3011799999999996</v>
      </c>
    </row>
    <row r="5379" spans="27:32" ht="15">
      <c r="AA5379" s="463" t="s">
        <v>17101</v>
      </c>
      <c r="AB5379" s="462" t="s">
        <v>17102</v>
      </c>
      <c r="AC5379" s="462" t="s">
        <v>17103</v>
      </c>
      <c r="AD5379" s="464">
        <v>681.95712000000003</v>
      </c>
      <c r="AE5379" s="465">
        <v>32.804600000000001</v>
      </c>
      <c r="AF5379" s="86">
        <f>IF(verze!$E$1="CZK",AD5379,IF(verze!$E$1="SK",AE5379,""))</f>
        <v>32.804600000000001</v>
      </c>
    </row>
    <row r="5380" spans="27:32" ht="15">
      <c r="AA5380" s="463" t="s">
        <v>17104</v>
      </c>
      <c r="AB5380" s="462" t="s">
        <v>17105</v>
      </c>
      <c r="AC5380" s="462" t="s">
        <v>17106</v>
      </c>
      <c r="AD5380" s="464">
        <v>1019.7492099999999</v>
      </c>
      <c r="AE5380" s="465">
        <v>49.053629999999998</v>
      </c>
      <c r="AF5380" s="86">
        <f>IF(verze!$E$1="CZK",AD5380,IF(verze!$E$1="SK",AE5380,""))</f>
        <v>49.053629999999998</v>
      </c>
    </row>
    <row r="5381" spans="27:32" ht="15">
      <c r="AA5381" s="463" t="s">
        <v>17107</v>
      </c>
      <c r="AB5381" s="462" t="s">
        <v>17108</v>
      </c>
      <c r="AC5381" s="462" t="s">
        <v>17109</v>
      </c>
      <c r="AD5381" s="464">
        <v>1060.7580599999999</v>
      </c>
      <c r="AE5381" s="465">
        <v>51.026299999999999</v>
      </c>
      <c r="AF5381" s="86">
        <f>IF(verze!$E$1="CZK",AD5381,IF(verze!$E$1="SK",AE5381,""))</f>
        <v>51.026299999999999</v>
      </c>
    </row>
    <row r="5382" spans="27:32" ht="15">
      <c r="AA5382" s="463" t="s">
        <v>17110</v>
      </c>
      <c r="AB5382" s="462" t="s">
        <v>17111</v>
      </c>
      <c r="AC5382" s="462" t="s">
        <v>17112</v>
      </c>
      <c r="AD5382" s="464">
        <v>1102.9555</v>
      </c>
      <c r="AE5382" s="465">
        <v>53.05612</v>
      </c>
      <c r="AF5382" s="86">
        <f>IF(verze!$E$1="CZK",AD5382,IF(verze!$E$1="SK",AE5382,""))</f>
        <v>53.05612</v>
      </c>
    </row>
    <row r="5383" spans="27:32" ht="15">
      <c r="AA5383" s="463" t="s">
        <v>17113</v>
      </c>
      <c r="AB5383" s="462" t="s">
        <v>17114</v>
      </c>
      <c r="AC5383" s="462" t="s">
        <v>17115</v>
      </c>
      <c r="AD5383" s="464">
        <v>1019.7492099999999</v>
      </c>
      <c r="AE5383" s="465">
        <v>49.053629999999998</v>
      </c>
      <c r="AF5383" s="86">
        <f>IF(verze!$E$1="CZK",AD5383,IF(verze!$E$1="SK",AE5383,""))</f>
        <v>49.053629999999998</v>
      </c>
    </row>
    <row r="5384" spans="27:32" ht="15">
      <c r="AA5384" s="463" t="s">
        <v>17116</v>
      </c>
      <c r="AB5384" s="462" t="s">
        <v>17117</v>
      </c>
      <c r="AC5384" s="462" t="s">
        <v>17118</v>
      </c>
      <c r="AD5384" s="464">
        <v>1060.7580599999999</v>
      </c>
      <c r="AE5384" s="465">
        <v>51.026299999999999</v>
      </c>
      <c r="AF5384" s="86">
        <f>IF(verze!$E$1="CZK",AD5384,IF(verze!$E$1="SK",AE5384,""))</f>
        <v>51.026299999999999</v>
      </c>
    </row>
    <row r="5385" spans="27:32" ht="15">
      <c r="AA5385" s="463" t="s">
        <v>17119</v>
      </c>
      <c r="AB5385" s="462" t="s">
        <v>17120</v>
      </c>
      <c r="AC5385" s="462" t="s">
        <v>17121</v>
      </c>
      <c r="AD5385" s="464">
        <v>1102.9555</v>
      </c>
      <c r="AE5385" s="465">
        <v>53.05612</v>
      </c>
      <c r="AF5385" s="86">
        <f>IF(verze!$E$1="CZK",AD5385,IF(verze!$E$1="SK",AE5385,""))</f>
        <v>53.05612</v>
      </c>
    </row>
    <row r="5386" spans="27:32" ht="15">
      <c r="AA5386" s="463" t="s">
        <v>17122</v>
      </c>
      <c r="AB5386" s="462" t="s">
        <v>17123</v>
      </c>
      <c r="AC5386" s="462" t="s">
        <v>17124</v>
      </c>
      <c r="AD5386" s="464">
        <v>1019.7492099999999</v>
      </c>
      <c r="AE5386" s="465">
        <v>49.053629999999998</v>
      </c>
      <c r="AF5386" s="86">
        <f>IF(verze!$E$1="CZK",AD5386,IF(verze!$E$1="SK",AE5386,""))</f>
        <v>49.053629999999998</v>
      </c>
    </row>
    <row r="5387" spans="27:32" ht="15">
      <c r="AA5387" s="463" t="s">
        <v>17125</v>
      </c>
      <c r="AB5387" s="462" t="s">
        <v>17126</v>
      </c>
      <c r="AC5387" s="462" t="s">
        <v>17127</v>
      </c>
      <c r="AD5387" s="464">
        <v>1060.7580599999999</v>
      </c>
      <c r="AE5387" s="465">
        <v>51.026299999999999</v>
      </c>
      <c r="AF5387" s="86">
        <f>IF(verze!$E$1="CZK",AD5387,IF(verze!$E$1="SK",AE5387,""))</f>
        <v>51.026299999999999</v>
      </c>
    </row>
    <row r="5388" spans="27:32" ht="15">
      <c r="AA5388" s="463" t="s">
        <v>17128</v>
      </c>
      <c r="AB5388" s="462" t="s">
        <v>17129</v>
      </c>
      <c r="AC5388" s="462" t="s">
        <v>17130</v>
      </c>
      <c r="AD5388" s="464">
        <v>1102.9555</v>
      </c>
      <c r="AE5388" s="465">
        <v>53.05612</v>
      </c>
      <c r="AF5388" s="86">
        <f>IF(verze!$E$1="CZK",AD5388,IF(verze!$E$1="SK",AE5388,""))</f>
        <v>53.05612</v>
      </c>
    </row>
    <row r="5389" spans="27:32" ht="15">
      <c r="AA5389" s="463" t="s">
        <v>17131</v>
      </c>
      <c r="AB5389" s="462" t="s">
        <v>17132</v>
      </c>
      <c r="AC5389" s="462" t="s">
        <v>17133</v>
      </c>
      <c r="AD5389" s="464">
        <v>4045.01503</v>
      </c>
      <c r="AE5389" s="465">
        <v>194.57981000000001</v>
      </c>
      <c r="AF5389" s="86">
        <f>IF(verze!$E$1="CZK",AD5389,IF(verze!$E$1="SK",AE5389,""))</f>
        <v>194.57981000000001</v>
      </c>
    </row>
    <row r="5390" spans="27:32" ht="15">
      <c r="AA5390" s="463" t="s">
        <v>17134</v>
      </c>
      <c r="AB5390" s="462" t="s">
        <v>17135</v>
      </c>
      <c r="AC5390" s="462" t="s">
        <v>17136</v>
      </c>
      <c r="AD5390" s="464">
        <v>4165.9852899999996</v>
      </c>
      <c r="AE5390" s="465">
        <v>200.39893000000001</v>
      </c>
      <c r="AF5390" s="86">
        <f>IF(verze!$E$1="CZK",AD5390,IF(verze!$E$1="SK",AE5390,""))</f>
        <v>200.39893000000001</v>
      </c>
    </row>
    <row r="5391" spans="27:32" ht="15">
      <c r="AA5391" s="463" t="s">
        <v>17137</v>
      </c>
      <c r="AB5391" s="462" t="s">
        <v>17138</v>
      </c>
      <c r="AC5391" s="462" t="s">
        <v>17139</v>
      </c>
      <c r="AD5391" s="464">
        <v>4515.0708100000002</v>
      </c>
      <c r="AE5391" s="465">
        <v>217.19120000000001</v>
      </c>
      <c r="AF5391" s="86">
        <f>IF(verze!$E$1="CZK",AD5391,IF(verze!$E$1="SK",AE5391,""))</f>
        <v>217.19120000000001</v>
      </c>
    </row>
    <row r="5392" spans="27:32" ht="15">
      <c r="AA5392" s="463" t="s">
        <v>17140</v>
      </c>
      <c r="AB5392" s="462" t="s">
        <v>17141</v>
      </c>
      <c r="AC5392" s="462" t="s">
        <v>17142</v>
      </c>
      <c r="AD5392" s="464">
        <v>4515.0708100000002</v>
      </c>
      <c r="AE5392" s="465">
        <v>217.19120000000001</v>
      </c>
      <c r="AF5392" s="86">
        <f>IF(verze!$E$1="CZK",AD5392,IF(verze!$E$1="SK",AE5392,""))</f>
        <v>217.19120000000001</v>
      </c>
    </row>
    <row r="5393" spans="27:32" ht="15">
      <c r="AA5393" s="463" t="s">
        <v>17143</v>
      </c>
      <c r="AB5393" s="462" t="s">
        <v>17144</v>
      </c>
      <c r="AC5393" s="462" t="s">
        <v>17145</v>
      </c>
      <c r="AD5393" s="464">
        <v>4237.4153399999996</v>
      </c>
      <c r="AE5393" s="465">
        <v>203.83497</v>
      </c>
      <c r="AF5393" s="86">
        <f>IF(verze!$E$1="CZK",AD5393,IF(verze!$E$1="SK",AE5393,""))</f>
        <v>203.83497</v>
      </c>
    </row>
    <row r="5394" spans="27:32" ht="15">
      <c r="AA5394" s="463" t="s">
        <v>17146</v>
      </c>
      <c r="AB5394" s="462" t="s">
        <v>17147</v>
      </c>
      <c r="AC5394" s="462" t="s">
        <v>17148</v>
      </c>
      <c r="AD5394" s="464">
        <v>468.71902</v>
      </c>
      <c r="AE5394" s="465">
        <v>22.547070000000001</v>
      </c>
      <c r="AF5394" s="86">
        <f>IF(verze!$E$1="CZK",AD5394,IF(verze!$E$1="SK",AE5394,""))</f>
        <v>22.547070000000001</v>
      </c>
    </row>
    <row r="5395" spans="27:32" ht="15">
      <c r="AA5395" s="463" t="s">
        <v>17149</v>
      </c>
      <c r="AB5395" s="462" t="s">
        <v>17150</v>
      </c>
      <c r="AC5395" s="462" t="s">
        <v>17151</v>
      </c>
      <c r="AD5395" s="464">
        <v>468.71902</v>
      </c>
      <c r="AE5395" s="465">
        <v>22.547070000000001</v>
      </c>
      <c r="AF5395" s="86">
        <f>IF(verze!$E$1="CZK",AD5395,IF(verze!$E$1="SK",AE5395,""))</f>
        <v>22.547070000000001</v>
      </c>
    </row>
    <row r="5396" spans="27:32" ht="15">
      <c r="AA5396" s="463" t="s">
        <v>17152</v>
      </c>
      <c r="AB5396" s="462" t="s">
        <v>17153</v>
      </c>
      <c r="AC5396" s="462" t="s">
        <v>17154</v>
      </c>
      <c r="AD5396" s="464">
        <v>468.71902</v>
      </c>
      <c r="AE5396" s="465">
        <v>22.547070000000001</v>
      </c>
      <c r="AF5396" s="86">
        <f>IF(verze!$E$1="CZK",AD5396,IF(verze!$E$1="SK",AE5396,""))</f>
        <v>22.547070000000001</v>
      </c>
    </row>
    <row r="5397" spans="27:32" ht="15">
      <c r="AA5397" s="463" t="s">
        <v>17155</v>
      </c>
      <c r="AB5397" s="462" t="s">
        <v>17156</v>
      </c>
      <c r="AC5397" s="462" t="s">
        <v>17157</v>
      </c>
      <c r="AD5397" s="464">
        <v>46.620899999999999</v>
      </c>
      <c r="AE5397" s="465">
        <v>2.2426300000000001</v>
      </c>
      <c r="AF5397" s="86">
        <f>IF(verze!$E$1="CZK",AD5397,IF(verze!$E$1="SK",AE5397,""))</f>
        <v>2.2426300000000001</v>
      </c>
    </row>
    <row r="5398" spans="27:32" ht="15">
      <c r="AA5398" s="463" t="s">
        <v>17158</v>
      </c>
      <c r="AB5398" s="462" t="s">
        <v>17159</v>
      </c>
      <c r="AC5398" s="462" t="s">
        <v>17160</v>
      </c>
      <c r="AD5398" s="464">
        <v>1034.4750200000001</v>
      </c>
      <c r="AE5398" s="465">
        <v>49.761980000000001</v>
      </c>
      <c r="AF5398" s="86">
        <f>IF(verze!$E$1="CZK",AD5398,IF(verze!$E$1="SK",AE5398,""))</f>
        <v>49.761980000000001</v>
      </c>
    </row>
    <row r="5399" spans="27:32" ht="15">
      <c r="AA5399" s="463" t="s">
        <v>17161</v>
      </c>
      <c r="AB5399" s="462" t="s">
        <v>17162</v>
      </c>
      <c r="AC5399" s="462" t="s">
        <v>17163</v>
      </c>
      <c r="AD5399" s="464">
        <v>436.26519000000002</v>
      </c>
      <c r="AE5399" s="465">
        <v>18.268630000000002</v>
      </c>
      <c r="AF5399" s="86">
        <f>IF(verze!$E$1="CZK",AD5399,IF(verze!$E$1="SK",AE5399,""))</f>
        <v>18.268630000000002</v>
      </c>
    </row>
    <row r="5400" spans="27:32" ht="15">
      <c r="AA5400" s="463" t="s">
        <v>17164</v>
      </c>
      <c r="AB5400" s="462" t="s">
        <v>17165</v>
      </c>
      <c r="AC5400" s="462" t="s">
        <v>17166</v>
      </c>
      <c r="AD5400" s="464">
        <v>436.26519000000002</v>
      </c>
      <c r="AE5400" s="465">
        <v>18.268630000000002</v>
      </c>
      <c r="AF5400" s="86">
        <f>IF(verze!$E$1="CZK",AD5400,IF(verze!$E$1="SK",AE5400,""))</f>
        <v>18.268630000000002</v>
      </c>
    </row>
    <row r="5401" spans="27:32" ht="15">
      <c r="AA5401" s="463" t="s">
        <v>17167</v>
      </c>
      <c r="AB5401" s="462" t="s">
        <v>17168</v>
      </c>
      <c r="AC5401" s="462" t="s">
        <v>17169</v>
      </c>
      <c r="AD5401" s="464">
        <v>436.26519000000002</v>
      </c>
      <c r="AE5401" s="465">
        <v>18.268630000000002</v>
      </c>
      <c r="AF5401" s="86">
        <f>IF(verze!$E$1="CZK",AD5401,IF(verze!$E$1="SK",AE5401,""))</f>
        <v>18.268630000000002</v>
      </c>
    </row>
    <row r="5402" spans="27:32" ht="15">
      <c r="AA5402" s="463" t="s">
        <v>17170</v>
      </c>
      <c r="AB5402" s="462" t="s">
        <v>17171</v>
      </c>
      <c r="AC5402" s="462" t="s">
        <v>17172</v>
      </c>
      <c r="AD5402" s="464">
        <v>259.18585999999999</v>
      </c>
      <c r="AE5402" s="465">
        <v>10.85341</v>
      </c>
      <c r="AF5402" s="86">
        <f>IF(verze!$E$1="CZK",AD5402,IF(verze!$E$1="SK",AE5402,""))</f>
        <v>10.85341</v>
      </c>
    </row>
    <row r="5403" spans="27:32" ht="15">
      <c r="AA5403" s="463" t="s">
        <v>17173</v>
      </c>
      <c r="AB5403" s="462" t="s">
        <v>17174</v>
      </c>
      <c r="AC5403" s="462" t="s">
        <v>17175</v>
      </c>
      <c r="AD5403" s="464">
        <v>259.18585999999999</v>
      </c>
      <c r="AE5403" s="465">
        <v>10.85341</v>
      </c>
      <c r="AF5403" s="86">
        <f>IF(verze!$E$1="CZK",AD5403,IF(verze!$E$1="SK",AE5403,""))</f>
        <v>10.85341</v>
      </c>
    </row>
    <row r="5404" spans="27:32" ht="15">
      <c r="AA5404" s="463" t="s">
        <v>17176</v>
      </c>
      <c r="AB5404" s="462" t="s">
        <v>17177</v>
      </c>
      <c r="AC5404" s="462" t="s">
        <v>17178</v>
      </c>
      <c r="AD5404" s="464">
        <v>259.18585999999999</v>
      </c>
      <c r="AE5404" s="465">
        <v>10.85341</v>
      </c>
      <c r="AF5404" s="86">
        <f>IF(verze!$E$1="CZK",AD5404,IF(verze!$E$1="SK",AE5404,""))</f>
        <v>10.85341</v>
      </c>
    </row>
    <row r="5405" spans="27:32" ht="15">
      <c r="AA5405" s="463" t="s">
        <v>17179</v>
      </c>
      <c r="AB5405" s="462" t="s">
        <v>17180</v>
      </c>
      <c r="AC5405" s="462" t="s">
        <v>17181</v>
      </c>
      <c r="AD5405" s="464">
        <v>5485.1787100000001</v>
      </c>
      <c r="AE5405" s="465">
        <v>220.85355000000001</v>
      </c>
      <c r="AF5405" s="86">
        <f>IF(verze!$E$1="CZK",AD5405,IF(verze!$E$1="SK",AE5405,""))</f>
        <v>220.85355000000001</v>
      </c>
    </row>
    <row r="5406" spans="27:32" ht="15">
      <c r="AA5406" s="463" t="s">
        <v>17182</v>
      </c>
      <c r="AB5406" s="462" t="s">
        <v>17183</v>
      </c>
      <c r="AC5406" s="462" t="s">
        <v>17184</v>
      </c>
      <c r="AD5406" s="464">
        <v>3153.9741199999999</v>
      </c>
      <c r="AE5406" s="465">
        <v>126.99064</v>
      </c>
      <c r="AF5406" s="86">
        <f>IF(verze!$E$1="CZK",AD5406,IF(verze!$E$1="SK",AE5406,""))</f>
        <v>126.99064</v>
      </c>
    </row>
    <row r="5407" spans="27:32" ht="15">
      <c r="AA5407" s="463" t="s">
        <v>17185</v>
      </c>
      <c r="AB5407" s="462" t="s">
        <v>17186</v>
      </c>
      <c r="AC5407" s="462" t="s">
        <v>17187</v>
      </c>
      <c r="AD5407" s="464">
        <v>357.98692999999997</v>
      </c>
      <c r="AE5407" s="465">
        <v>14.20336</v>
      </c>
      <c r="AF5407" s="86">
        <f>IF(verze!$E$1="CZK",AD5407,IF(verze!$E$1="SK",AE5407,""))</f>
        <v>14.20336</v>
      </c>
    </row>
    <row r="5408" spans="27:32" ht="15">
      <c r="AA5408" s="463" t="s">
        <v>17188</v>
      </c>
      <c r="AB5408" s="462" t="s">
        <v>17189</v>
      </c>
      <c r="AC5408" s="462" t="s">
        <v>17190</v>
      </c>
      <c r="AD5408" s="464">
        <v>536.96447000000001</v>
      </c>
      <c r="AE5408" s="465">
        <v>21.304379999999998</v>
      </c>
      <c r="AF5408" s="86">
        <f>IF(verze!$E$1="CZK",AD5408,IF(verze!$E$1="SK",AE5408,""))</f>
        <v>21.304379999999998</v>
      </c>
    </row>
    <row r="5409" spans="27:32" ht="15">
      <c r="AA5409" s="463" t="s">
        <v>17191</v>
      </c>
      <c r="AB5409" s="462" t="s">
        <v>17192</v>
      </c>
      <c r="AC5409" s="462" t="s">
        <v>17193</v>
      </c>
      <c r="AD5409" s="464">
        <v>6643.4247699999996</v>
      </c>
      <c r="AE5409" s="465">
        <v>267.48883999999998</v>
      </c>
      <c r="AF5409" s="86">
        <f>IF(verze!$E$1="CZK",AD5409,IF(verze!$E$1="SK",AE5409,""))</f>
        <v>267.48883999999998</v>
      </c>
    </row>
    <row r="5410" spans="27:32" ht="15">
      <c r="AA5410" s="463" t="s">
        <v>17194</v>
      </c>
      <c r="AB5410" s="462" t="s">
        <v>17195</v>
      </c>
      <c r="AC5410" s="462" t="s">
        <v>17196</v>
      </c>
      <c r="AD5410" s="464">
        <v>561.53273000000002</v>
      </c>
      <c r="AE5410" s="465">
        <v>22.279060000000001</v>
      </c>
      <c r="AF5410" s="86">
        <f>IF(verze!$E$1="CZK",AD5410,IF(verze!$E$1="SK",AE5410,""))</f>
        <v>22.279060000000001</v>
      </c>
    </row>
    <row r="5411" spans="27:32" ht="15">
      <c r="AA5411" s="463" t="s">
        <v>17197</v>
      </c>
      <c r="AB5411" s="462" t="s">
        <v>17198</v>
      </c>
      <c r="AC5411" s="462" t="s">
        <v>17199</v>
      </c>
      <c r="AD5411" s="464">
        <v>374.36725999999999</v>
      </c>
      <c r="AE5411" s="465">
        <v>14.85317</v>
      </c>
      <c r="AF5411" s="86">
        <f>IF(verze!$E$1="CZK",AD5411,IF(verze!$E$1="SK",AE5411,""))</f>
        <v>14.85317</v>
      </c>
    </row>
    <row r="5412" spans="27:32" ht="15">
      <c r="AA5412" s="463" t="s">
        <v>17200</v>
      </c>
      <c r="AB5412" s="462" t="s">
        <v>17201</v>
      </c>
      <c r="AC5412" s="462" t="s">
        <v>17202</v>
      </c>
      <c r="AD5412" s="464">
        <v>6819.9971299999997</v>
      </c>
      <c r="AE5412" s="465">
        <v>274.59829999999999</v>
      </c>
      <c r="AF5412" s="86">
        <f>IF(verze!$E$1="CZK",AD5412,IF(verze!$E$1="SK",AE5412,""))</f>
        <v>274.59829999999999</v>
      </c>
    </row>
    <row r="5413" spans="27:32" ht="15">
      <c r="AA5413" s="463" t="s">
        <v>17203</v>
      </c>
      <c r="AB5413" s="462" t="s">
        <v>17204</v>
      </c>
      <c r="AC5413" s="462" t="s">
        <v>17205</v>
      </c>
      <c r="AD5413" s="464">
        <v>6878.6439600000003</v>
      </c>
      <c r="AE5413" s="465">
        <v>278.62459000000001</v>
      </c>
      <c r="AF5413" s="86">
        <f>IF(verze!$E$1="CZK",AD5413,IF(verze!$E$1="SK",AE5413,""))</f>
        <v>278.62459000000001</v>
      </c>
    </row>
    <row r="5414" spans="27:32" ht="15">
      <c r="AA5414" s="463" t="s">
        <v>17206</v>
      </c>
      <c r="AB5414" s="462" t="s">
        <v>17207</v>
      </c>
      <c r="AC5414" s="462" t="s">
        <v>17208</v>
      </c>
      <c r="AD5414" s="464">
        <v>7231.7815199999995</v>
      </c>
      <c r="AE5414" s="465">
        <v>291.17831000000001</v>
      </c>
      <c r="AF5414" s="86">
        <f>IF(verze!$E$1="CZK",AD5414,IF(verze!$E$1="SK",AE5414,""))</f>
        <v>291.17831000000001</v>
      </c>
    </row>
    <row r="5415" spans="27:32" ht="15">
      <c r="AA5415" s="463" t="s">
        <v>17209</v>
      </c>
      <c r="AB5415" s="462" t="s">
        <v>17210</v>
      </c>
      <c r="AC5415" s="462" t="s">
        <v>17211</v>
      </c>
      <c r="AD5415" s="464">
        <v>6643.4247699999996</v>
      </c>
      <c r="AE5415" s="465">
        <v>267.48883999999998</v>
      </c>
      <c r="AF5415" s="86">
        <f>IF(verze!$E$1="CZK",AD5415,IF(verze!$E$1="SK",AE5415,""))</f>
        <v>267.48883999999998</v>
      </c>
    </row>
    <row r="5416" spans="27:32" ht="15">
      <c r="AA5416" s="463" t="s">
        <v>17212</v>
      </c>
      <c r="AB5416" s="462" t="s">
        <v>17213</v>
      </c>
      <c r="AC5416" s="462" t="s">
        <v>17214</v>
      </c>
      <c r="AD5416" s="464">
        <v>6819.9971299999997</v>
      </c>
      <c r="AE5416" s="465">
        <v>274.59829999999999</v>
      </c>
      <c r="AF5416" s="86">
        <f>IF(verze!$E$1="CZK",AD5416,IF(verze!$E$1="SK",AE5416,""))</f>
        <v>274.59829999999999</v>
      </c>
    </row>
    <row r="5417" spans="27:32" ht="15">
      <c r="AA5417" s="463" t="s">
        <v>17215</v>
      </c>
      <c r="AB5417" s="462" t="s">
        <v>17216</v>
      </c>
      <c r="AC5417" s="462" t="s">
        <v>17217</v>
      </c>
      <c r="AD5417" s="464">
        <v>6878.6439600000003</v>
      </c>
      <c r="AE5417" s="465">
        <v>278.62459000000001</v>
      </c>
      <c r="AF5417" s="86">
        <f>IF(verze!$E$1="CZK",AD5417,IF(verze!$E$1="SK",AE5417,""))</f>
        <v>278.62459000000001</v>
      </c>
    </row>
    <row r="5418" spans="27:32" ht="15">
      <c r="AA5418" s="463" t="s">
        <v>17218</v>
      </c>
      <c r="AB5418" s="462" t="s">
        <v>17219</v>
      </c>
      <c r="AC5418" s="462" t="s">
        <v>17220</v>
      </c>
      <c r="AD5418" s="464">
        <v>4358.0240000000003</v>
      </c>
      <c r="AE5418" s="465">
        <v>175.47021000000001</v>
      </c>
      <c r="AF5418" s="86">
        <f>IF(verze!$E$1="CZK",AD5418,IF(verze!$E$1="SK",AE5418,""))</f>
        <v>175.47021000000001</v>
      </c>
    </row>
    <row r="5419" spans="27:32" ht="15">
      <c r="AA5419" s="463" t="s">
        <v>17221</v>
      </c>
      <c r="AB5419" s="462" t="s">
        <v>17222</v>
      </c>
      <c r="AC5419" s="462" t="s">
        <v>17223</v>
      </c>
      <c r="AD5419" s="464">
        <v>4358.0240000000003</v>
      </c>
      <c r="AE5419" s="465">
        <v>175.47021000000001</v>
      </c>
      <c r="AF5419" s="86">
        <f>IF(verze!$E$1="CZK",AD5419,IF(verze!$E$1="SK",AE5419,""))</f>
        <v>175.47021000000001</v>
      </c>
    </row>
    <row r="5420" spans="27:32" ht="15">
      <c r="AA5420" s="463" t="s">
        <v>17224</v>
      </c>
      <c r="AB5420" s="462" t="s">
        <v>17225</v>
      </c>
      <c r="AC5420" s="462" t="s">
        <v>17226</v>
      </c>
      <c r="AD5420" s="464">
        <v>390.27296000000001</v>
      </c>
      <c r="AE5420" s="465">
        <v>15.71378</v>
      </c>
      <c r="AF5420" s="86">
        <f>IF(verze!$E$1="CZK",AD5420,IF(verze!$E$1="SK",AE5420,""))</f>
        <v>15.71378</v>
      </c>
    </row>
    <row r="5421" spans="27:32" ht="15">
      <c r="AA5421" s="463" t="s">
        <v>17227</v>
      </c>
      <c r="AB5421" s="462" t="s">
        <v>17228</v>
      </c>
      <c r="AC5421" s="462" t="s">
        <v>17229</v>
      </c>
      <c r="AD5421" s="464">
        <v>3684.1242200000002</v>
      </c>
      <c r="AE5421" s="465">
        <v>168.78064000000001</v>
      </c>
      <c r="AF5421" s="86">
        <f>IF(verze!$E$1="CZK",AD5421,IF(verze!$E$1="SK",AE5421,""))</f>
        <v>168.78064000000001</v>
      </c>
    </row>
    <row r="5422" spans="27:32" ht="15">
      <c r="AA5422" s="463" t="s">
        <v>17230</v>
      </c>
      <c r="AB5422" s="462" t="s">
        <v>17231</v>
      </c>
      <c r="AC5422" s="462" t="s">
        <v>17232</v>
      </c>
      <c r="AD5422" s="464">
        <v>621.62838999999997</v>
      </c>
      <c r="AE5422" s="465">
        <v>28.478639999999999</v>
      </c>
      <c r="AF5422" s="86">
        <f>IF(verze!$E$1="CZK",AD5422,IF(verze!$E$1="SK",AE5422,""))</f>
        <v>28.478639999999999</v>
      </c>
    </row>
    <row r="5423" spans="27:32" ht="15">
      <c r="AA5423" s="463" t="s">
        <v>17233</v>
      </c>
      <c r="AB5423" s="462" t="s">
        <v>17234</v>
      </c>
      <c r="AC5423" s="462" t="s">
        <v>17235</v>
      </c>
      <c r="AD5423" s="464">
        <v>2895.1984600000001</v>
      </c>
      <c r="AE5423" s="465">
        <v>132.63759999999999</v>
      </c>
      <c r="AF5423" s="86">
        <f>IF(verze!$E$1="CZK",AD5423,IF(verze!$E$1="SK",AE5423,""))</f>
        <v>132.63759999999999</v>
      </c>
    </row>
    <row r="5424" spans="27:32" ht="15">
      <c r="AA5424" s="463" t="s">
        <v>17236</v>
      </c>
      <c r="AB5424" s="462" t="s">
        <v>17237</v>
      </c>
      <c r="AC5424" s="462" t="s">
        <v>17238</v>
      </c>
      <c r="AD5424" s="464">
        <v>4848.3982900000001</v>
      </c>
      <c r="AE5424" s="465">
        <v>233.22545</v>
      </c>
      <c r="AF5424" s="86">
        <f>IF(verze!$E$1="CZK",AD5424,IF(verze!$E$1="SK",AE5424,""))</f>
        <v>233.22545</v>
      </c>
    </row>
    <row r="5425" spans="27:32" ht="15">
      <c r="AA5425" s="463" t="s">
        <v>17239</v>
      </c>
      <c r="AB5425" s="462" t="s">
        <v>17240</v>
      </c>
      <c r="AC5425" s="462" t="s">
        <v>17241</v>
      </c>
      <c r="AD5425" s="464">
        <v>328.59899999999999</v>
      </c>
      <c r="AE5425" s="465">
        <v>13.76009</v>
      </c>
      <c r="AF5425" s="86">
        <f>IF(verze!$E$1="CZK",AD5425,IF(verze!$E$1="SK",AE5425,""))</f>
        <v>13.76009</v>
      </c>
    </row>
    <row r="5426" spans="27:32" ht="15">
      <c r="AA5426" s="463" t="s">
        <v>17242</v>
      </c>
      <c r="AB5426" s="462" t="s">
        <v>17243</v>
      </c>
      <c r="AC5426" s="462" t="s">
        <v>17244</v>
      </c>
      <c r="AD5426" s="464">
        <v>1073.52745</v>
      </c>
      <c r="AE5426" s="465">
        <v>44.95402</v>
      </c>
      <c r="AF5426" s="86">
        <f>IF(verze!$E$1="CZK",AD5426,IF(verze!$E$1="SK",AE5426,""))</f>
        <v>44.95402</v>
      </c>
    </row>
    <row r="5427" spans="27:32" ht="15">
      <c r="AA5427" s="463" t="s">
        <v>17245</v>
      </c>
      <c r="AB5427" s="462" t="s">
        <v>17246</v>
      </c>
      <c r="AC5427" s="462" t="s">
        <v>17247</v>
      </c>
      <c r="AD5427" s="464">
        <v>259.95866999999998</v>
      </c>
      <c r="AE5427" s="465">
        <v>10.499320000000001</v>
      </c>
      <c r="AF5427" s="86">
        <f>IF(verze!$E$1="CZK",AD5427,IF(verze!$E$1="SK",AE5427,""))</f>
        <v>10.499320000000001</v>
      </c>
    </row>
    <row r="5428" spans="27:32" ht="15">
      <c r="AA5428" s="463" t="s">
        <v>17248</v>
      </c>
      <c r="AB5428" s="462" t="s">
        <v>17249</v>
      </c>
      <c r="AC5428" s="462" t="s">
        <v>17250</v>
      </c>
      <c r="AD5428" s="464">
        <v>480.34160000000003</v>
      </c>
      <c r="AE5428" s="465">
        <v>19.40014</v>
      </c>
      <c r="AF5428" s="86">
        <f>IF(verze!$E$1="CZK",AD5428,IF(verze!$E$1="SK",AE5428,""))</f>
        <v>19.40014</v>
      </c>
    </row>
    <row r="5429" spans="27:32" ht="15">
      <c r="AA5429" s="463" t="s">
        <v>17251</v>
      </c>
      <c r="AB5429" s="462" t="s">
        <v>17252</v>
      </c>
      <c r="AC5429" s="462" t="s">
        <v>17253</v>
      </c>
      <c r="AD5429" s="464">
        <v>444.41352000000001</v>
      </c>
      <c r="AE5429" s="465">
        <v>17.94905</v>
      </c>
      <c r="AF5429" s="86">
        <f>IF(verze!$E$1="CZK",AD5429,IF(verze!$E$1="SK",AE5429,""))</f>
        <v>17.94905</v>
      </c>
    </row>
    <row r="5430" spans="27:32" ht="15">
      <c r="AA5430" s="463" t="s">
        <v>17254</v>
      </c>
      <c r="AB5430" s="462" t="s">
        <v>17255</v>
      </c>
      <c r="AC5430" s="462" t="s">
        <v>17256</v>
      </c>
      <c r="AD5430" s="464">
        <v>339.10557999999997</v>
      </c>
      <c r="AE5430" s="465">
        <v>13.695880000000001</v>
      </c>
      <c r="AF5430" s="86">
        <f>IF(verze!$E$1="CZK",AD5430,IF(verze!$E$1="SK",AE5430,""))</f>
        <v>13.695880000000001</v>
      </c>
    </row>
    <row r="5431" spans="27:32" ht="15">
      <c r="AA5431" s="463" t="s">
        <v>17257</v>
      </c>
      <c r="AB5431" s="462" t="s">
        <v>17258</v>
      </c>
      <c r="AC5431" s="462" t="s">
        <v>17259</v>
      </c>
      <c r="AD5431" s="464">
        <v>579.71510999999998</v>
      </c>
      <c r="AE5431" s="465">
        <v>23.413699999999999</v>
      </c>
      <c r="AF5431" s="86">
        <f>IF(verze!$E$1="CZK",AD5431,IF(verze!$E$1="SK",AE5431,""))</f>
        <v>23.413699999999999</v>
      </c>
    </row>
    <row r="5432" spans="27:32" ht="15">
      <c r="AA5432" s="463" t="s">
        <v>17260</v>
      </c>
      <c r="AB5432" s="462" t="s">
        <v>17261</v>
      </c>
      <c r="AC5432" s="462" t="s">
        <v>17262</v>
      </c>
      <c r="AD5432" s="464">
        <v>1113.04693</v>
      </c>
      <c r="AE5432" s="465">
        <v>44.95402</v>
      </c>
      <c r="AF5432" s="86">
        <f>IF(verze!$E$1="CZK",AD5432,IF(verze!$E$1="SK",AE5432,""))</f>
        <v>44.95402</v>
      </c>
    </row>
    <row r="5433" spans="27:32" ht="15">
      <c r="AA5433" s="463" t="s">
        <v>17263</v>
      </c>
      <c r="AB5433" s="462" t="s">
        <v>17264</v>
      </c>
      <c r="AC5433" s="462" t="s">
        <v>17265</v>
      </c>
      <c r="AD5433" s="464">
        <v>901.71168999999998</v>
      </c>
      <c r="AE5433" s="465">
        <v>36.41854</v>
      </c>
      <c r="AF5433" s="86">
        <f>IF(verze!$E$1="CZK",AD5433,IF(verze!$E$1="SK",AE5433,""))</f>
        <v>36.41854</v>
      </c>
    </row>
    <row r="5434" spans="27:32" ht="15">
      <c r="AA5434" s="463" t="s">
        <v>17266</v>
      </c>
      <c r="AB5434" s="462" t="s">
        <v>17267</v>
      </c>
      <c r="AC5434" s="462" t="s">
        <v>17268</v>
      </c>
      <c r="AD5434" s="464">
        <v>977.89071999999999</v>
      </c>
      <c r="AE5434" s="465">
        <v>47.040059999999997</v>
      </c>
      <c r="AF5434" s="86">
        <f>IF(verze!$E$1="CZK",AD5434,IF(verze!$E$1="SK",AE5434,""))</f>
        <v>47.040059999999997</v>
      </c>
    </row>
    <row r="5435" spans="27:32" ht="15">
      <c r="AA5435" s="463" t="s">
        <v>17269</v>
      </c>
      <c r="AB5435" s="462" t="s">
        <v>17270</v>
      </c>
      <c r="AC5435" s="462" t="s">
        <v>17271</v>
      </c>
      <c r="AD5435" s="464">
        <v>2584.4342000000001</v>
      </c>
      <c r="AE5435" s="465">
        <v>118.40058000000001</v>
      </c>
      <c r="AF5435" s="86">
        <f>IF(verze!$E$1="CZK",AD5435,IF(verze!$E$1="SK",AE5435,""))</f>
        <v>118.40058000000001</v>
      </c>
    </row>
    <row r="5436" spans="27:32" ht="15">
      <c r="AA5436" s="463" t="s">
        <v>17272</v>
      </c>
      <c r="AB5436" s="462" t="s">
        <v>17273</v>
      </c>
      <c r="AC5436" s="462" t="s">
        <v>17274</v>
      </c>
      <c r="AD5436" s="464">
        <v>310.75918999999999</v>
      </c>
      <c r="AE5436" s="465">
        <v>14.94862</v>
      </c>
      <c r="AF5436" s="86">
        <f>IF(verze!$E$1="CZK",AD5436,IF(verze!$E$1="SK",AE5436,""))</f>
        <v>14.94862</v>
      </c>
    </row>
    <row r="5437" spans="27:32" ht="15">
      <c r="AA5437" s="463" t="s">
        <v>17275</v>
      </c>
      <c r="AB5437" s="462" t="s">
        <v>17276</v>
      </c>
      <c r="AC5437" s="462" t="s">
        <v>17277</v>
      </c>
      <c r="AD5437" s="464">
        <v>328.98788999999999</v>
      </c>
      <c r="AE5437" s="465">
        <v>15.071899999999999</v>
      </c>
      <c r="AF5437" s="86">
        <f>IF(verze!$E$1="CZK",AD5437,IF(verze!$E$1="SK",AE5437,""))</f>
        <v>15.071899999999999</v>
      </c>
    </row>
    <row r="5438" spans="27:32" ht="15">
      <c r="AA5438" s="463" t="s">
        <v>17278</v>
      </c>
      <c r="AB5438" s="462" t="s">
        <v>17279</v>
      </c>
      <c r="AC5438" s="462" t="s">
        <v>17280</v>
      </c>
      <c r="AD5438" s="464">
        <v>341.02096</v>
      </c>
      <c r="AE5438" s="465">
        <v>16.404340000000001</v>
      </c>
      <c r="AF5438" s="86">
        <f>IF(verze!$E$1="CZK",AD5438,IF(verze!$E$1="SK",AE5438,""))</f>
        <v>16.404340000000001</v>
      </c>
    </row>
    <row r="5439" spans="27:32" ht="15">
      <c r="AA5439" s="463" t="s">
        <v>17281</v>
      </c>
      <c r="AB5439" s="462" t="s">
        <v>17282</v>
      </c>
      <c r="AC5439" s="462" t="s">
        <v>17283</v>
      </c>
      <c r="AD5439" s="464">
        <v>691.25856999999996</v>
      </c>
      <c r="AE5439" s="465">
        <v>33.252029999999998</v>
      </c>
      <c r="AF5439" s="86">
        <f>IF(verze!$E$1="CZK",AD5439,IF(verze!$E$1="SK",AE5439,""))</f>
        <v>33.252029999999998</v>
      </c>
    </row>
    <row r="5440" spans="27:32" ht="15">
      <c r="AA5440" s="463" t="s">
        <v>17284</v>
      </c>
      <c r="AB5440" s="462" t="s">
        <v>17285</v>
      </c>
      <c r="AC5440" s="462" t="s">
        <v>17286</v>
      </c>
      <c r="AD5440" s="464">
        <v>1088.6043</v>
      </c>
      <c r="AE5440" s="465">
        <v>52.365789999999997</v>
      </c>
      <c r="AF5440" s="86">
        <f>IF(verze!$E$1="CZK",AD5440,IF(verze!$E$1="SK",AE5440,""))</f>
        <v>52.365789999999997</v>
      </c>
    </row>
    <row r="5441" spans="27:32" ht="15">
      <c r="AA5441" s="463" t="s">
        <v>17287</v>
      </c>
      <c r="AB5441" s="462" t="s">
        <v>17288</v>
      </c>
      <c r="AC5441" s="462" t="s">
        <v>17289</v>
      </c>
      <c r="AD5441" s="464">
        <v>209.80976999999999</v>
      </c>
      <c r="AE5441" s="465">
        <v>9.6120199999999993</v>
      </c>
      <c r="AF5441" s="86">
        <f>IF(verze!$E$1="CZK",AD5441,IF(verze!$E$1="SK",AE5441,""))</f>
        <v>9.6120199999999993</v>
      </c>
    </row>
    <row r="5442" spans="27:32" ht="15">
      <c r="AA5442" s="463" t="s">
        <v>17290</v>
      </c>
      <c r="AB5442" s="462" t="s">
        <v>17291</v>
      </c>
      <c r="AC5442" s="462" t="s">
        <v>17292</v>
      </c>
      <c r="AD5442" s="464">
        <v>245.43520000000001</v>
      </c>
      <c r="AE5442" s="465">
        <v>11.2441</v>
      </c>
      <c r="AF5442" s="86">
        <f>IF(verze!$E$1="CZK",AD5442,IF(verze!$E$1="SK",AE5442,""))</f>
        <v>11.2441</v>
      </c>
    </row>
    <row r="5443" spans="27:32" ht="15">
      <c r="AA5443" s="463" t="s">
        <v>17293</v>
      </c>
      <c r="AB5443" s="462" t="s">
        <v>17294</v>
      </c>
      <c r="AC5443" s="462" t="s">
        <v>17295</v>
      </c>
      <c r="AD5443" s="464">
        <v>292.37684999999999</v>
      </c>
      <c r="AE5443" s="465">
        <v>13.39466</v>
      </c>
      <c r="AF5443" s="86">
        <f>IF(verze!$E$1="CZK",AD5443,IF(verze!$E$1="SK",AE5443,""))</f>
        <v>13.39466</v>
      </c>
    </row>
    <row r="5444" spans="27:32" ht="15">
      <c r="AA5444" s="463" t="s">
        <v>17296</v>
      </c>
      <c r="AB5444" s="462" t="s">
        <v>17297</v>
      </c>
      <c r="AC5444" s="462" t="s">
        <v>17298</v>
      </c>
      <c r="AD5444" s="464">
        <v>4306.6947899999996</v>
      </c>
      <c r="AE5444" s="465">
        <v>207.16756000000001</v>
      </c>
      <c r="AF5444" s="86">
        <f>IF(verze!$E$1="CZK",AD5444,IF(verze!$E$1="SK",AE5444,""))</f>
        <v>207.16756000000001</v>
      </c>
    </row>
    <row r="5445" spans="27:32" ht="15">
      <c r="AA5445" s="463" t="s">
        <v>17299</v>
      </c>
      <c r="AB5445" s="462" t="s">
        <v>17300</v>
      </c>
      <c r="AC5445" s="462" t="s">
        <v>17301</v>
      </c>
      <c r="AD5445" s="464">
        <v>3305.13789</v>
      </c>
      <c r="AE5445" s="465">
        <v>151.41816</v>
      </c>
      <c r="AF5445" s="86">
        <f>IF(verze!$E$1="CZK",AD5445,IF(verze!$E$1="SK",AE5445,""))</f>
        <v>151.41816</v>
      </c>
    </row>
    <row r="5446" spans="27:32" ht="15">
      <c r="AA5446" s="463" t="s">
        <v>17302</v>
      </c>
      <c r="AB5446" s="462" t="s">
        <v>17303</v>
      </c>
      <c r="AC5446" s="462" t="s">
        <v>17304</v>
      </c>
      <c r="AD5446" s="464">
        <v>3689.2728200000001</v>
      </c>
      <c r="AE5446" s="465">
        <v>169.01652000000001</v>
      </c>
      <c r="AF5446" s="86">
        <f>IF(verze!$E$1="CZK",AD5446,IF(verze!$E$1="SK",AE5446,""))</f>
        <v>169.01652000000001</v>
      </c>
    </row>
    <row r="5447" spans="27:32" ht="15">
      <c r="AA5447" s="463" t="s">
        <v>17305</v>
      </c>
      <c r="AB5447" s="462" t="s">
        <v>17306</v>
      </c>
      <c r="AC5447" s="462" t="s">
        <v>17307</v>
      </c>
      <c r="AD5447" s="464">
        <v>3780.5189799999998</v>
      </c>
      <c r="AE5447" s="465">
        <v>173.19677999999999</v>
      </c>
      <c r="AF5447" s="86">
        <f>IF(verze!$E$1="CZK",AD5447,IF(verze!$E$1="SK",AE5447,""))</f>
        <v>173.19677999999999</v>
      </c>
    </row>
    <row r="5448" spans="27:32" ht="15">
      <c r="AA5448" s="463" t="s">
        <v>17308</v>
      </c>
      <c r="AB5448" s="462" t="s">
        <v>17309</v>
      </c>
      <c r="AC5448" s="462" t="s">
        <v>17310</v>
      </c>
      <c r="AD5448" s="464">
        <v>4130.8590599999998</v>
      </c>
      <c r="AE5448" s="465">
        <v>189.24688</v>
      </c>
      <c r="AF5448" s="86">
        <f>IF(verze!$E$1="CZK",AD5448,IF(verze!$E$1="SK",AE5448,""))</f>
        <v>189.24688</v>
      </c>
    </row>
    <row r="5449" spans="27:32" ht="15">
      <c r="AA5449" s="463" t="s">
        <v>17311</v>
      </c>
      <c r="AB5449" s="462" t="s">
        <v>17312</v>
      </c>
      <c r="AC5449" s="462" t="s">
        <v>17313</v>
      </c>
      <c r="AD5449" s="464">
        <v>8784.8472500000007</v>
      </c>
      <c r="AE5449" s="465">
        <v>402.45983999999999</v>
      </c>
      <c r="AF5449" s="86">
        <f>IF(verze!$E$1="CZK",AD5449,IF(verze!$E$1="SK",AE5449,""))</f>
        <v>402.45983999999999</v>
      </c>
    </row>
    <row r="5450" spans="27:32" ht="15">
      <c r="AA5450" s="463" t="s">
        <v>17314</v>
      </c>
      <c r="AB5450" s="462" t="s">
        <v>17315</v>
      </c>
      <c r="AC5450" s="462" t="s">
        <v>17316</v>
      </c>
      <c r="AD5450" s="464">
        <v>9714.8717199999992</v>
      </c>
      <c r="AE5450" s="465">
        <v>445.06702000000001</v>
      </c>
      <c r="AF5450" s="86">
        <f>IF(verze!$E$1="CZK",AD5450,IF(verze!$E$1="SK",AE5450,""))</f>
        <v>445.06702000000001</v>
      </c>
    </row>
    <row r="5451" spans="27:32" ht="15">
      <c r="AA5451" s="463" t="s">
        <v>17317</v>
      </c>
      <c r="AB5451" s="462" t="s">
        <v>17318</v>
      </c>
      <c r="AC5451" s="462" t="s">
        <v>17319</v>
      </c>
      <c r="AD5451" s="464">
        <v>9951.8198599999996</v>
      </c>
      <c r="AE5451" s="465">
        <v>455.92232000000001</v>
      </c>
      <c r="AF5451" s="86">
        <f>IF(verze!$E$1="CZK",AD5451,IF(verze!$E$1="SK",AE5451,""))</f>
        <v>455.92232000000001</v>
      </c>
    </row>
    <row r="5452" spans="27:32" ht="15">
      <c r="AA5452" s="463" t="s">
        <v>17320</v>
      </c>
      <c r="AB5452" s="462" t="s">
        <v>17321</v>
      </c>
      <c r="AC5452" s="462" t="s">
        <v>17322</v>
      </c>
      <c r="AD5452" s="464">
        <v>290.80568</v>
      </c>
      <c r="AE5452" s="465">
        <v>13.988810000000001</v>
      </c>
      <c r="AF5452" s="86">
        <f>IF(verze!$E$1="CZK",AD5452,IF(verze!$E$1="SK",AE5452,""))</f>
        <v>13.988810000000001</v>
      </c>
    </row>
    <row r="5453" spans="27:32" ht="15">
      <c r="AA5453" s="463" t="s">
        <v>17323</v>
      </c>
      <c r="AB5453" s="462" t="s">
        <v>17324</v>
      </c>
      <c r="AC5453" s="462" t="s">
        <v>17325</v>
      </c>
      <c r="AD5453" s="464">
        <v>299.53636</v>
      </c>
      <c r="AE5453" s="465">
        <v>14.40879</v>
      </c>
      <c r="AF5453" s="86">
        <f>IF(verze!$E$1="CZK",AD5453,IF(verze!$E$1="SK",AE5453,""))</f>
        <v>14.40879</v>
      </c>
    </row>
    <row r="5454" spans="27:32" ht="15">
      <c r="AA5454" s="463" t="s">
        <v>17326</v>
      </c>
      <c r="AB5454" s="462" t="s">
        <v>17327</v>
      </c>
      <c r="AC5454" s="462" t="s">
        <v>17328</v>
      </c>
      <c r="AD5454" s="464">
        <v>284.01850999999999</v>
      </c>
      <c r="AE5454" s="465">
        <v>10.565060000000001</v>
      </c>
      <c r="AF5454" s="86">
        <f>IF(verze!$E$1="CZK",AD5454,IF(verze!$E$1="SK",AE5454,""))</f>
        <v>10.565060000000001</v>
      </c>
    </row>
    <row r="5455" spans="27:32" ht="15">
      <c r="AA5455" s="463" t="s">
        <v>17329</v>
      </c>
      <c r="AB5455" s="462" t="s">
        <v>17330</v>
      </c>
      <c r="AC5455" s="462" t="s">
        <v>17331</v>
      </c>
      <c r="AD5455" s="464">
        <v>309.23982999999998</v>
      </c>
      <c r="AE5455" s="465">
        <v>14.87556</v>
      </c>
      <c r="AF5455" s="86">
        <f>IF(verze!$E$1="CZK",AD5455,IF(verze!$E$1="SK",AE5455,""))</f>
        <v>14.87556</v>
      </c>
    </row>
    <row r="5456" spans="27:32" ht="15">
      <c r="AA5456" s="463" t="s">
        <v>17332</v>
      </c>
      <c r="AB5456" s="462" t="s">
        <v>17333</v>
      </c>
      <c r="AC5456" s="462" t="s">
        <v>17334</v>
      </c>
      <c r="AD5456" s="464">
        <v>1889.20352</v>
      </c>
      <c r="AE5456" s="465">
        <v>76.087569999999999</v>
      </c>
      <c r="AF5456" s="86">
        <f>IF(verze!$E$1="CZK",AD5456,IF(verze!$E$1="SK",AE5456,""))</f>
        <v>76.087569999999999</v>
      </c>
    </row>
    <row r="5457" spans="27:32" ht="15">
      <c r="AA5457" s="463" t="s">
        <v>17335</v>
      </c>
      <c r="AB5457" s="462" t="s">
        <v>17336</v>
      </c>
      <c r="AC5457" s="462" t="s">
        <v>17337</v>
      </c>
      <c r="AD5457" s="464">
        <v>520.00170000000003</v>
      </c>
      <c r="AE5457" s="465">
        <v>25.013960000000001</v>
      </c>
      <c r="AF5457" s="86">
        <f>IF(verze!$E$1="CZK",AD5457,IF(verze!$E$1="SK",AE5457,""))</f>
        <v>25.013960000000001</v>
      </c>
    </row>
    <row r="5458" spans="27:32" ht="15">
      <c r="AA5458" s="463" t="s">
        <v>17338</v>
      </c>
      <c r="AB5458" s="462" t="s">
        <v>17339</v>
      </c>
      <c r="AC5458" s="462" t="s">
        <v>17340</v>
      </c>
      <c r="AD5458" s="464">
        <v>612.11674000000005</v>
      </c>
      <c r="AE5458" s="465">
        <v>28.04288</v>
      </c>
      <c r="AF5458" s="86">
        <f>IF(verze!$E$1="CZK",AD5458,IF(verze!$E$1="SK",AE5458,""))</f>
        <v>28.04288</v>
      </c>
    </row>
    <row r="5459" spans="27:32" ht="15">
      <c r="AA5459" s="463" t="s">
        <v>17341</v>
      </c>
      <c r="AB5459" s="462" t="s">
        <v>17342</v>
      </c>
      <c r="AC5459" s="462" t="s">
        <v>17343</v>
      </c>
      <c r="AD5459" s="464">
        <v>237.24252000000001</v>
      </c>
      <c r="AE5459" s="465">
        <v>9.6396300000000004</v>
      </c>
      <c r="AF5459" s="86">
        <f>IF(verze!$E$1="CZK",AD5459,IF(verze!$E$1="SK",AE5459,""))</f>
        <v>9.6396300000000004</v>
      </c>
    </row>
    <row r="5460" spans="27:32" ht="15">
      <c r="AA5460" s="463" t="s">
        <v>17344</v>
      </c>
      <c r="AB5460" s="462" t="s">
        <v>17345</v>
      </c>
      <c r="AC5460" s="462" t="s">
        <v>17346</v>
      </c>
      <c r="AD5460" s="464">
        <v>237.24252000000001</v>
      </c>
      <c r="AE5460" s="465">
        <v>9.58202</v>
      </c>
      <c r="AF5460" s="86">
        <f>IF(verze!$E$1="CZK",AD5460,IF(verze!$E$1="SK",AE5460,""))</f>
        <v>9.58202</v>
      </c>
    </row>
    <row r="5461" spans="27:32" ht="15">
      <c r="AA5461" s="463" t="s">
        <v>17347</v>
      </c>
      <c r="AB5461" s="462" t="s">
        <v>17348</v>
      </c>
      <c r="AC5461" s="462" t="s">
        <v>17349</v>
      </c>
      <c r="AD5461" s="464">
        <v>237.24252000000001</v>
      </c>
      <c r="AE5461" s="465">
        <v>9.6396300000000004</v>
      </c>
      <c r="AF5461" s="86">
        <f>IF(verze!$E$1="CZK",AD5461,IF(verze!$E$1="SK",AE5461,""))</f>
        <v>9.6396300000000004</v>
      </c>
    </row>
    <row r="5462" spans="27:32" ht="15">
      <c r="AA5462" s="463" t="s">
        <v>17350</v>
      </c>
      <c r="AB5462" s="462" t="s">
        <v>17351</v>
      </c>
      <c r="AC5462" s="462" t="s">
        <v>17352</v>
      </c>
      <c r="AD5462" s="464">
        <v>147.95299</v>
      </c>
      <c r="AE5462" s="465">
        <v>6.7781599999999997</v>
      </c>
      <c r="AF5462" s="86">
        <f>IF(verze!$E$1="CZK",AD5462,IF(verze!$E$1="SK",AE5462,""))</f>
        <v>6.7781599999999997</v>
      </c>
    </row>
    <row r="5463" spans="27:32" ht="15">
      <c r="AA5463" s="463" t="s">
        <v>17353</v>
      </c>
      <c r="AB5463" s="462" t="s">
        <v>17354</v>
      </c>
      <c r="AC5463" s="462" t="s">
        <v>17355</v>
      </c>
      <c r="AD5463" s="464">
        <v>269.73680000000002</v>
      </c>
      <c r="AE5463" s="465">
        <v>10.959899999999999</v>
      </c>
      <c r="AF5463" s="86">
        <f>IF(verze!$E$1="CZK",AD5463,IF(verze!$E$1="SK",AE5463,""))</f>
        <v>10.959899999999999</v>
      </c>
    </row>
    <row r="5464" spans="27:32" ht="15">
      <c r="AA5464" s="463" t="s">
        <v>17356</v>
      </c>
      <c r="AB5464" s="462" t="s">
        <v>17357</v>
      </c>
      <c r="AC5464" s="462" t="s">
        <v>17358</v>
      </c>
      <c r="AD5464" s="464">
        <v>284.51191999999998</v>
      </c>
      <c r="AE5464" s="465">
        <v>11.56015</v>
      </c>
      <c r="AF5464" s="86">
        <f>IF(verze!$E$1="CZK",AD5464,IF(verze!$E$1="SK",AE5464,""))</f>
        <v>11.56015</v>
      </c>
    </row>
    <row r="5465" spans="27:32" ht="15">
      <c r="AA5465" s="463" t="s">
        <v>17359</v>
      </c>
      <c r="AB5465" s="462" t="s">
        <v>17360</v>
      </c>
      <c r="AC5465" s="462" t="s">
        <v>17361</v>
      </c>
      <c r="AD5465" s="464">
        <v>284.51191999999998</v>
      </c>
      <c r="AE5465" s="465">
        <v>11.56015</v>
      </c>
      <c r="AF5465" s="86">
        <f>IF(verze!$E$1="CZK",AD5465,IF(verze!$E$1="SK",AE5465,""))</f>
        <v>11.56015</v>
      </c>
    </row>
    <row r="5466" spans="27:32" ht="15">
      <c r="AA5466" s="463" t="s">
        <v>17362</v>
      </c>
      <c r="AB5466" s="462" t="s">
        <v>17363</v>
      </c>
      <c r="AC5466" s="462" t="s">
        <v>17364</v>
      </c>
      <c r="AD5466" s="464">
        <v>143.90624</v>
      </c>
      <c r="AE5466" s="465">
        <v>6.0260999999999996</v>
      </c>
      <c r="AF5466" s="86">
        <f>IF(verze!$E$1="CZK",AD5466,IF(verze!$E$1="SK",AE5466,""))</f>
        <v>6.0260999999999996</v>
      </c>
    </row>
    <row r="5467" spans="27:32" ht="15">
      <c r="AA5467" s="463" t="s">
        <v>17365</v>
      </c>
      <c r="AB5467" s="462" t="s">
        <v>17366</v>
      </c>
      <c r="AC5467" s="462" t="s">
        <v>17367</v>
      </c>
      <c r="AD5467" s="464">
        <v>825.32597999999996</v>
      </c>
      <c r="AE5467" s="465">
        <v>39.701169999999998</v>
      </c>
      <c r="AF5467" s="86">
        <f>IF(verze!$E$1="CZK",AD5467,IF(verze!$E$1="SK",AE5467,""))</f>
        <v>39.701169999999998</v>
      </c>
    </row>
    <row r="5468" spans="27:32" ht="15">
      <c r="AA5468" s="463" t="s">
        <v>17368</v>
      </c>
      <c r="AB5468" s="462" t="s">
        <v>17369</v>
      </c>
      <c r="AC5468" s="462" t="s">
        <v>17370</v>
      </c>
      <c r="AD5468" s="464">
        <v>872.05524000000003</v>
      </c>
      <c r="AE5468" s="465">
        <v>41.949010000000001</v>
      </c>
      <c r="AF5468" s="86">
        <f>IF(verze!$E$1="CZK",AD5468,IF(verze!$E$1="SK",AE5468,""))</f>
        <v>41.949010000000001</v>
      </c>
    </row>
    <row r="5469" spans="27:32" ht="15">
      <c r="AA5469" s="463" t="s">
        <v>17371</v>
      </c>
      <c r="AB5469" s="462" t="s">
        <v>17372</v>
      </c>
      <c r="AC5469" s="462" t="s">
        <v>17373</v>
      </c>
      <c r="AD5469" s="464">
        <v>918.78985999999998</v>
      </c>
      <c r="AE5469" s="465">
        <v>44.197099999999999</v>
      </c>
      <c r="AF5469" s="86">
        <f>IF(verze!$E$1="CZK",AD5469,IF(verze!$E$1="SK",AE5469,""))</f>
        <v>44.197099999999999</v>
      </c>
    </row>
    <row r="5470" spans="27:32" ht="15">
      <c r="AA5470" s="463" t="s">
        <v>17374</v>
      </c>
      <c r="AB5470" s="462" t="s">
        <v>17375</v>
      </c>
      <c r="AC5470" s="462" t="s">
        <v>17376</v>
      </c>
      <c r="AD5470" s="464">
        <v>965.52719000000002</v>
      </c>
      <c r="AE5470" s="465">
        <v>46.445340000000002</v>
      </c>
      <c r="AF5470" s="86">
        <f>IF(verze!$E$1="CZK",AD5470,IF(verze!$E$1="SK",AE5470,""))</f>
        <v>46.445340000000002</v>
      </c>
    </row>
    <row r="5471" spans="27:32" ht="15">
      <c r="AA5471" s="463" t="s">
        <v>17377</v>
      </c>
      <c r="AB5471" s="462" t="s">
        <v>17378</v>
      </c>
      <c r="AC5471" s="462" t="s">
        <v>17379</v>
      </c>
      <c r="AD5471" s="464">
        <v>1058.9617900000001</v>
      </c>
      <c r="AE5471" s="465">
        <v>50.939869999999999</v>
      </c>
      <c r="AF5471" s="86">
        <f>IF(verze!$E$1="CZK",AD5471,IF(verze!$E$1="SK",AE5471,""))</f>
        <v>50.939869999999999</v>
      </c>
    </row>
    <row r="5472" spans="27:32" ht="15">
      <c r="AA5472" s="463" t="s">
        <v>17380</v>
      </c>
      <c r="AB5472" s="462" t="s">
        <v>17381</v>
      </c>
      <c r="AC5472" s="462" t="s">
        <v>17382</v>
      </c>
      <c r="AD5472" s="464">
        <v>1152.39642</v>
      </c>
      <c r="AE5472" s="465">
        <v>55.43441</v>
      </c>
      <c r="AF5472" s="86">
        <f>IF(verze!$E$1="CZK",AD5472,IF(verze!$E$1="SK",AE5472,""))</f>
        <v>55.43441</v>
      </c>
    </row>
    <row r="5473" spans="27:32" ht="15">
      <c r="AA5473" s="463" t="s">
        <v>17383</v>
      </c>
      <c r="AB5473" s="462" t="s">
        <v>17384</v>
      </c>
      <c r="AC5473" s="462" t="s">
        <v>17385</v>
      </c>
      <c r="AD5473" s="464">
        <v>1245.8336200000001</v>
      </c>
      <c r="AE5473" s="465">
        <v>59.929090000000002</v>
      </c>
      <c r="AF5473" s="86">
        <f>IF(verze!$E$1="CZK",AD5473,IF(verze!$E$1="SK",AE5473,""))</f>
        <v>59.929090000000002</v>
      </c>
    </row>
    <row r="5474" spans="27:32" ht="15">
      <c r="AA5474" s="463" t="s">
        <v>17386</v>
      </c>
      <c r="AB5474" s="462" t="s">
        <v>17387</v>
      </c>
      <c r="AC5474" s="462" t="s">
        <v>17388</v>
      </c>
      <c r="AD5474" s="464">
        <v>3335.33079</v>
      </c>
      <c r="AE5474" s="465">
        <v>160.44145</v>
      </c>
      <c r="AF5474" s="86">
        <f>IF(verze!$E$1="CZK",AD5474,IF(verze!$E$1="SK",AE5474,""))</f>
        <v>160.44145</v>
      </c>
    </row>
    <row r="5475" spans="27:32" ht="15">
      <c r="AA5475" s="463" t="s">
        <v>17389</v>
      </c>
      <c r="AB5475" s="462" t="s">
        <v>17390</v>
      </c>
      <c r="AC5475" s="462" t="s">
        <v>17391</v>
      </c>
      <c r="AD5475" s="464">
        <v>2236.2136</v>
      </c>
      <c r="AE5475" s="465">
        <v>107.56995999999999</v>
      </c>
      <c r="AF5475" s="86">
        <f>IF(verze!$E$1="CZK",AD5475,IF(verze!$E$1="SK",AE5475,""))</f>
        <v>107.56995999999999</v>
      </c>
    </row>
    <row r="5476" spans="27:32" ht="15">
      <c r="AA5476" s="463" t="s">
        <v>17392</v>
      </c>
      <c r="AB5476" s="462" t="s">
        <v>17393</v>
      </c>
      <c r="AC5476" s="462" t="s">
        <v>17394</v>
      </c>
      <c r="AD5476" s="464">
        <v>2222.7058400000001</v>
      </c>
      <c r="AE5476" s="465">
        <v>106.92016</v>
      </c>
      <c r="AF5476" s="86">
        <f>IF(verze!$E$1="CZK",AD5476,IF(verze!$E$1="SK",AE5476,""))</f>
        <v>106.92016</v>
      </c>
    </row>
    <row r="5477" spans="27:32" ht="15">
      <c r="AA5477" s="463" t="s">
        <v>17395</v>
      </c>
      <c r="AB5477" s="462" t="s">
        <v>17396</v>
      </c>
      <c r="AC5477" s="462" t="s">
        <v>17397</v>
      </c>
      <c r="AD5477" s="464">
        <v>4788.38472</v>
      </c>
      <c r="AE5477" s="465">
        <v>230.33858000000001</v>
      </c>
      <c r="AF5477" s="86">
        <f>IF(verze!$E$1="CZK",AD5477,IF(verze!$E$1="SK",AE5477,""))</f>
        <v>230.33858000000001</v>
      </c>
    </row>
    <row r="5478" spans="27:32" ht="15">
      <c r="AA5478" s="463" t="s">
        <v>17398</v>
      </c>
      <c r="AB5478" s="462" t="s">
        <v>17399</v>
      </c>
      <c r="AC5478" s="462" t="s">
        <v>17400</v>
      </c>
      <c r="AD5478" s="464">
        <v>3131.3641499999999</v>
      </c>
      <c r="AE5478" s="465">
        <v>150.62991</v>
      </c>
      <c r="AF5478" s="86">
        <f>IF(verze!$E$1="CZK",AD5478,IF(verze!$E$1="SK",AE5478,""))</f>
        <v>150.62991</v>
      </c>
    </row>
    <row r="5479" spans="27:32" ht="15">
      <c r="AA5479" s="463" t="s">
        <v>17401</v>
      </c>
      <c r="AB5479" s="462" t="s">
        <v>17402</v>
      </c>
      <c r="AC5479" s="462" t="s">
        <v>17403</v>
      </c>
      <c r="AD5479" s="464">
        <v>3117.8510099999999</v>
      </c>
      <c r="AE5479" s="465">
        <v>149.97988000000001</v>
      </c>
      <c r="AF5479" s="86">
        <f>IF(verze!$E$1="CZK",AD5479,IF(verze!$E$1="SK",AE5479,""))</f>
        <v>149.97988000000001</v>
      </c>
    </row>
    <row r="5480" spans="27:32" ht="15">
      <c r="AA5480" s="463" t="s">
        <v>17404</v>
      </c>
      <c r="AB5480" s="462" t="s">
        <v>17405</v>
      </c>
      <c r="AC5480" s="462" t="s">
        <v>17406</v>
      </c>
      <c r="AD5480" s="464">
        <v>409.12</v>
      </c>
      <c r="AE5480" s="465">
        <v>19.680150000000001</v>
      </c>
      <c r="AF5480" s="86">
        <f>IF(verze!$E$1="CZK",AD5480,IF(verze!$E$1="SK",AE5480,""))</f>
        <v>19.680150000000001</v>
      </c>
    </row>
    <row r="5481" spans="27:32" ht="15">
      <c r="AA5481" s="463" t="s">
        <v>17407</v>
      </c>
      <c r="AB5481" s="462" t="s">
        <v>17408</v>
      </c>
      <c r="AC5481" s="462" t="s">
        <v>17409</v>
      </c>
      <c r="AD5481" s="464">
        <v>143.90624</v>
      </c>
      <c r="AE5481" s="465">
        <v>6.0260999999999996</v>
      </c>
      <c r="AF5481" s="86">
        <f>IF(verze!$E$1="CZK",AD5481,IF(verze!$E$1="SK",AE5481,""))</f>
        <v>6.0260999999999996</v>
      </c>
    </row>
    <row r="5482" spans="27:32" ht="15">
      <c r="AA5482" s="463" t="s">
        <v>17410</v>
      </c>
      <c r="AB5482" s="462" t="s">
        <v>17411</v>
      </c>
      <c r="AC5482" s="462" t="s">
        <v>17412</v>
      </c>
      <c r="AD5482" s="464">
        <v>722.48258999999996</v>
      </c>
      <c r="AE5482" s="465">
        <v>34.754010000000001</v>
      </c>
      <c r="AF5482" s="86">
        <f>IF(verze!$E$1="CZK",AD5482,IF(verze!$E$1="SK",AE5482,""))</f>
        <v>34.754010000000001</v>
      </c>
    </row>
    <row r="5483" spans="27:32" ht="15">
      <c r="AA5483" s="463" t="s">
        <v>17413</v>
      </c>
      <c r="AB5483" s="462" t="s">
        <v>17414</v>
      </c>
      <c r="AC5483" s="462" t="s">
        <v>17415</v>
      </c>
      <c r="AD5483" s="464">
        <v>931.38562999999999</v>
      </c>
      <c r="AE5483" s="465">
        <v>44.803019999999997</v>
      </c>
      <c r="AF5483" s="86">
        <f>IF(verze!$E$1="CZK",AD5483,IF(verze!$E$1="SK",AE5483,""))</f>
        <v>44.803019999999997</v>
      </c>
    </row>
    <row r="5484" spans="27:32" ht="15">
      <c r="AA5484" s="463" t="s">
        <v>17416</v>
      </c>
      <c r="AB5484" s="462" t="s">
        <v>17417</v>
      </c>
      <c r="AC5484" s="462" t="s">
        <v>17418</v>
      </c>
      <c r="AD5484" s="464">
        <v>564.20789000000002</v>
      </c>
      <c r="AE5484" s="465">
        <v>27.140440000000002</v>
      </c>
      <c r="AF5484" s="86">
        <f>IF(verze!$E$1="CZK",AD5484,IF(verze!$E$1="SK",AE5484,""))</f>
        <v>27.140440000000002</v>
      </c>
    </row>
    <row r="5485" spans="27:32" ht="15">
      <c r="AA5485" s="463" t="s">
        <v>17419</v>
      </c>
      <c r="AB5485" s="462" t="s">
        <v>17420</v>
      </c>
      <c r="AC5485" s="462" t="s">
        <v>17421</v>
      </c>
      <c r="AD5485" s="464">
        <v>641.17699000000005</v>
      </c>
      <c r="AE5485" s="465">
        <v>30.842929999999999</v>
      </c>
      <c r="AF5485" s="86">
        <f>IF(verze!$E$1="CZK",AD5485,IF(verze!$E$1="SK",AE5485,""))</f>
        <v>30.842929999999999</v>
      </c>
    </row>
    <row r="5486" spans="27:32" ht="15">
      <c r="AA5486" s="463" t="s">
        <v>17422</v>
      </c>
      <c r="AB5486" s="462" t="s">
        <v>17423</v>
      </c>
      <c r="AC5486" s="462" t="s">
        <v>17424</v>
      </c>
      <c r="AD5486" s="464">
        <v>1068.6239</v>
      </c>
      <c r="AE5486" s="465">
        <v>51.404679999999999</v>
      </c>
      <c r="AF5486" s="86">
        <f>IF(verze!$E$1="CZK",AD5486,IF(verze!$E$1="SK",AE5486,""))</f>
        <v>51.404679999999999</v>
      </c>
    </row>
    <row r="5487" spans="27:32" ht="15">
      <c r="AA5487" s="463" t="s">
        <v>17425</v>
      </c>
      <c r="AB5487" s="462" t="s">
        <v>17426</v>
      </c>
      <c r="AC5487" s="462" t="s">
        <v>17427</v>
      </c>
      <c r="AD5487" s="464">
        <v>1376.3860500000001</v>
      </c>
      <c r="AE5487" s="465">
        <v>66.209140000000005</v>
      </c>
      <c r="AF5487" s="86">
        <f>IF(verze!$E$1="CZK",AD5487,IF(verze!$E$1="SK",AE5487,""))</f>
        <v>66.209140000000005</v>
      </c>
    </row>
    <row r="5488" spans="27:32" ht="15">
      <c r="AA5488" s="463" t="s">
        <v>17428</v>
      </c>
      <c r="AB5488" s="462" t="s">
        <v>17429</v>
      </c>
      <c r="AC5488" s="462" t="s">
        <v>17430</v>
      </c>
      <c r="AD5488" s="464">
        <v>143.90624</v>
      </c>
      <c r="AE5488" s="465">
        <v>6.0260999999999996</v>
      </c>
      <c r="AF5488" s="86">
        <f>IF(verze!$E$1="CZK",AD5488,IF(verze!$E$1="SK",AE5488,""))</f>
        <v>6.0260999999999996</v>
      </c>
    </row>
    <row r="5489" spans="27:32" ht="15">
      <c r="AA5489" s="463" t="s">
        <v>17431</v>
      </c>
      <c r="AB5489" s="462" t="s">
        <v>17432</v>
      </c>
      <c r="AC5489" s="462" t="s">
        <v>17433</v>
      </c>
      <c r="AD5489" s="464">
        <v>11.815720000000001</v>
      </c>
      <c r="AE5489" s="465">
        <v>0.47726000000000002</v>
      </c>
      <c r="AF5489" s="86">
        <f>IF(verze!$E$1="CZK",AD5489,IF(verze!$E$1="SK",AE5489,""))</f>
        <v>0.47726000000000002</v>
      </c>
    </row>
    <row r="5490" spans="27:32" ht="15">
      <c r="AA5490" s="463" t="s">
        <v>17434</v>
      </c>
      <c r="AB5490" s="462" t="s">
        <v>17435</v>
      </c>
      <c r="AC5490" s="462" t="s">
        <v>17436</v>
      </c>
      <c r="AD5490" s="464">
        <v>13.000389999999999</v>
      </c>
      <c r="AE5490" s="465">
        <v>0.52507000000000004</v>
      </c>
      <c r="AF5490" s="86">
        <f>IF(verze!$E$1="CZK",AD5490,IF(verze!$E$1="SK",AE5490,""))</f>
        <v>0.52507000000000004</v>
      </c>
    </row>
    <row r="5491" spans="27:32" ht="15">
      <c r="AA5491" s="463" t="s">
        <v>17437</v>
      </c>
      <c r="AB5491" s="462" t="s">
        <v>17438</v>
      </c>
      <c r="AC5491" s="462" t="s">
        <v>17439</v>
      </c>
      <c r="AD5491" s="464">
        <v>2319.0819900000001</v>
      </c>
      <c r="AE5491" s="465">
        <v>111.5562</v>
      </c>
      <c r="AF5491" s="86">
        <f>IF(verze!$E$1="CZK",AD5491,IF(verze!$E$1="SK",AE5491,""))</f>
        <v>111.5562</v>
      </c>
    </row>
    <row r="5492" spans="27:32" ht="15">
      <c r="AA5492" s="463" t="s">
        <v>17440</v>
      </c>
      <c r="AB5492" s="462" t="s">
        <v>17441</v>
      </c>
      <c r="AC5492" s="462" t="s">
        <v>17442</v>
      </c>
      <c r="AD5492" s="464">
        <v>1478.59861</v>
      </c>
      <c r="AE5492" s="465">
        <v>71.125929999999997</v>
      </c>
      <c r="AF5492" s="86">
        <f>IF(verze!$E$1="CZK",AD5492,IF(verze!$E$1="SK",AE5492,""))</f>
        <v>71.125929999999997</v>
      </c>
    </row>
    <row r="5493" spans="27:32" ht="15">
      <c r="AA5493" s="463" t="s">
        <v>17443</v>
      </c>
      <c r="AB5493" s="462" t="s">
        <v>17444</v>
      </c>
      <c r="AC5493" s="462" t="s">
        <v>17445</v>
      </c>
      <c r="AD5493" s="464">
        <v>1655.5706</v>
      </c>
      <c r="AE5493" s="465">
        <v>79.638930000000002</v>
      </c>
      <c r="AF5493" s="86">
        <f>IF(verze!$E$1="CZK",AD5493,IF(verze!$E$1="SK",AE5493,""))</f>
        <v>79.638930000000002</v>
      </c>
    </row>
    <row r="5494" spans="27:32" ht="15">
      <c r="AA5494" s="463" t="s">
        <v>17446</v>
      </c>
      <c r="AB5494" s="462" t="s">
        <v>17447</v>
      </c>
      <c r="AC5494" s="462" t="s">
        <v>17448</v>
      </c>
      <c r="AD5494" s="464">
        <v>2053.8912799999998</v>
      </c>
      <c r="AE5494" s="465">
        <v>98.799580000000006</v>
      </c>
      <c r="AF5494" s="86">
        <f>IF(verze!$E$1="CZK",AD5494,IF(verze!$E$1="SK",AE5494,""))</f>
        <v>98.799580000000006</v>
      </c>
    </row>
    <row r="5495" spans="27:32" ht="15">
      <c r="AA5495" s="463" t="s">
        <v>17449</v>
      </c>
      <c r="AB5495" s="462" t="s">
        <v>17450</v>
      </c>
      <c r="AC5495" s="462" t="s">
        <v>17451</v>
      </c>
      <c r="AD5495" s="464">
        <v>1186.67923</v>
      </c>
      <c r="AE5495" s="465">
        <v>58.009219999999999</v>
      </c>
      <c r="AF5495" s="86">
        <f>IF(verze!$E$1="CZK",AD5495,IF(verze!$E$1="SK",AE5495,""))</f>
        <v>58.009219999999999</v>
      </c>
    </row>
    <row r="5496" spans="27:32" ht="15">
      <c r="AA5496" s="463" t="s">
        <v>17452</v>
      </c>
      <c r="AB5496" s="462" t="s">
        <v>17453</v>
      </c>
      <c r="AC5496" s="462" t="s">
        <v>17454</v>
      </c>
      <c r="AD5496" s="464">
        <v>1879.32519</v>
      </c>
      <c r="AE5496" s="465">
        <v>90.402330000000006</v>
      </c>
      <c r="AF5496" s="86">
        <f>IF(verze!$E$1="CZK",AD5496,IF(verze!$E$1="SK",AE5496,""))</f>
        <v>90.402330000000006</v>
      </c>
    </row>
    <row r="5497" spans="27:32" ht="15">
      <c r="AA5497" s="463" t="s">
        <v>17455</v>
      </c>
      <c r="AB5497" s="462" t="s">
        <v>17456</v>
      </c>
      <c r="AC5497" s="462" t="s">
        <v>17457</v>
      </c>
      <c r="AD5497" s="464">
        <v>1049.3106399999999</v>
      </c>
      <c r="AE5497" s="465">
        <v>50.475619999999999</v>
      </c>
      <c r="AF5497" s="86">
        <f>IF(verze!$E$1="CZK",AD5497,IF(verze!$E$1="SK",AE5497,""))</f>
        <v>50.475619999999999</v>
      </c>
    </row>
    <row r="5498" spans="27:32" ht="15">
      <c r="AA5498" s="463" t="s">
        <v>17458</v>
      </c>
      <c r="AB5498" s="462" t="s">
        <v>17459</v>
      </c>
      <c r="AC5498" s="462" t="s">
        <v>17460</v>
      </c>
      <c r="AD5498" s="464">
        <v>120.19423</v>
      </c>
      <c r="AE5498" s="465">
        <v>5.7817600000000002</v>
      </c>
      <c r="AF5498" s="86">
        <f>IF(verze!$E$1="CZK",AD5498,IF(verze!$E$1="SK",AE5498,""))</f>
        <v>5.7817600000000002</v>
      </c>
    </row>
    <row r="5499" spans="27:32" ht="15">
      <c r="AA5499" s="463" t="s">
        <v>17461</v>
      </c>
      <c r="AB5499" s="462" t="s">
        <v>17462</v>
      </c>
      <c r="AC5499" s="462" t="s">
        <v>17463</v>
      </c>
      <c r="AD5499" s="464">
        <v>123.83722</v>
      </c>
      <c r="AE5499" s="465">
        <v>5.9570100000000004</v>
      </c>
      <c r="AF5499" s="86">
        <f>IF(verze!$E$1="CZK",AD5499,IF(verze!$E$1="SK",AE5499,""))</f>
        <v>5.9570100000000004</v>
      </c>
    </row>
    <row r="5500" spans="27:32" ht="15">
      <c r="AA5500" s="463" t="s">
        <v>17464</v>
      </c>
      <c r="AB5500" s="462" t="s">
        <v>17465</v>
      </c>
      <c r="AC5500" s="462" t="s">
        <v>17466</v>
      </c>
      <c r="AD5500" s="464">
        <v>131.12040999999999</v>
      </c>
      <c r="AE5500" s="465">
        <v>6.3073699999999997</v>
      </c>
      <c r="AF5500" s="86">
        <f>IF(verze!$E$1="CZK",AD5500,IF(verze!$E$1="SK",AE5500,""))</f>
        <v>6.3073699999999997</v>
      </c>
    </row>
    <row r="5501" spans="27:32" ht="15">
      <c r="AA5501" s="463" t="s">
        <v>17467</v>
      </c>
      <c r="AB5501" s="462" t="s">
        <v>17468</v>
      </c>
      <c r="AC5501" s="462" t="s">
        <v>17469</v>
      </c>
      <c r="AD5501" s="464">
        <v>14.569269999999999</v>
      </c>
      <c r="AE5501" s="465">
        <v>0.70084999999999997</v>
      </c>
      <c r="AF5501" s="86">
        <f>IF(verze!$E$1="CZK",AD5501,IF(verze!$E$1="SK",AE5501,""))</f>
        <v>0.70084999999999997</v>
      </c>
    </row>
    <row r="5502" spans="27:32" ht="15">
      <c r="AA5502" s="463" t="s">
        <v>17470</v>
      </c>
      <c r="AB5502" s="462" t="s">
        <v>17471</v>
      </c>
      <c r="AC5502" s="462" t="s">
        <v>17472</v>
      </c>
      <c r="AD5502" s="464">
        <v>15.23061</v>
      </c>
      <c r="AE5502" s="465">
        <v>0.73265000000000002</v>
      </c>
      <c r="AF5502" s="86">
        <f>IF(verze!$E$1="CZK",AD5502,IF(verze!$E$1="SK",AE5502,""))</f>
        <v>0.73265000000000002</v>
      </c>
    </row>
    <row r="5503" spans="27:32" ht="15">
      <c r="AA5503" s="463" t="s">
        <v>17473</v>
      </c>
      <c r="AB5503" s="462" t="s">
        <v>17474</v>
      </c>
      <c r="AC5503" s="462" t="s">
        <v>17475</v>
      </c>
      <c r="AD5503" s="464">
        <v>6.6219400000000004</v>
      </c>
      <c r="AE5503" s="465">
        <v>0.31852999999999998</v>
      </c>
      <c r="AF5503" s="86">
        <f>IF(verze!$E$1="CZK",AD5503,IF(verze!$E$1="SK",AE5503,""))</f>
        <v>0.31852999999999998</v>
      </c>
    </row>
    <row r="5504" spans="27:32" ht="15">
      <c r="AA5504" s="463" t="s">
        <v>17476</v>
      </c>
      <c r="AB5504" s="462" t="s">
        <v>17477</v>
      </c>
      <c r="AC5504" s="462" t="s">
        <v>17478</v>
      </c>
      <c r="AD5504" s="464">
        <v>461.29987</v>
      </c>
      <c r="AE5504" s="465">
        <v>22.190180000000002</v>
      </c>
      <c r="AF5504" s="86">
        <f>IF(verze!$E$1="CZK",AD5504,IF(verze!$E$1="SK",AE5504,""))</f>
        <v>22.190180000000002</v>
      </c>
    </row>
    <row r="5505" spans="27:32" ht="15">
      <c r="AA5505" s="463" t="s">
        <v>17479</v>
      </c>
      <c r="AB5505" s="462" t="s">
        <v>17480</v>
      </c>
      <c r="AC5505" s="462" t="s">
        <v>17481</v>
      </c>
      <c r="AD5505" s="464">
        <v>471.67948000000001</v>
      </c>
      <c r="AE5505" s="465">
        <v>22.689489999999999</v>
      </c>
      <c r="AF5505" s="86">
        <f>IF(verze!$E$1="CZK",AD5505,IF(verze!$E$1="SK",AE5505,""))</f>
        <v>22.689489999999999</v>
      </c>
    </row>
    <row r="5506" spans="27:32" ht="15">
      <c r="AA5506" s="463" t="s">
        <v>17482</v>
      </c>
      <c r="AB5506" s="462" t="s">
        <v>17483</v>
      </c>
      <c r="AC5506" s="462" t="s">
        <v>17484</v>
      </c>
      <c r="AD5506" s="464">
        <v>476.00407999999999</v>
      </c>
      <c r="AE5506" s="465">
        <v>22.89752</v>
      </c>
      <c r="AF5506" s="86">
        <f>IF(verze!$E$1="CZK",AD5506,IF(verze!$E$1="SK",AE5506,""))</f>
        <v>22.89752</v>
      </c>
    </row>
    <row r="5507" spans="27:32" ht="15">
      <c r="AA5507" s="463" t="s">
        <v>17485</v>
      </c>
      <c r="AB5507" s="462" t="s">
        <v>17486</v>
      </c>
      <c r="AC5507" s="462" t="s">
        <v>17487</v>
      </c>
      <c r="AD5507" s="464">
        <v>136.28214</v>
      </c>
      <c r="AE5507" s="465">
        <v>6.5556799999999997</v>
      </c>
      <c r="AF5507" s="86">
        <f>IF(verze!$E$1="CZK",AD5507,IF(verze!$E$1="SK",AE5507,""))</f>
        <v>6.5556799999999997</v>
      </c>
    </row>
    <row r="5508" spans="27:32" ht="15">
      <c r="AA5508" s="463" t="s">
        <v>17488</v>
      </c>
      <c r="AB5508" s="462" t="s">
        <v>17489</v>
      </c>
      <c r="AC5508" s="462" t="s">
        <v>17490</v>
      </c>
      <c r="AD5508" s="464">
        <v>136.28214</v>
      </c>
      <c r="AE5508" s="465">
        <v>6.5556799999999997</v>
      </c>
      <c r="AF5508" s="86">
        <f>IF(verze!$E$1="CZK",AD5508,IF(verze!$E$1="SK",AE5508,""))</f>
        <v>6.5556799999999997</v>
      </c>
    </row>
    <row r="5509" spans="27:32" ht="15">
      <c r="AA5509" s="463" t="s">
        <v>17491</v>
      </c>
      <c r="AB5509" s="462" t="s">
        <v>17492</v>
      </c>
      <c r="AC5509" s="462" t="s">
        <v>17493</v>
      </c>
      <c r="AD5509" s="464">
        <v>248.77575999999999</v>
      </c>
      <c r="AE5509" s="465">
        <v>11.96702</v>
      </c>
      <c r="AF5509" s="86">
        <f>IF(verze!$E$1="CZK",AD5509,IF(verze!$E$1="SK",AE5509,""))</f>
        <v>11.96702</v>
      </c>
    </row>
    <row r="5510" spans="27:32" ht="15">
      <c r="AA5510" s="463" t="s">
        <v>17494</v>
      </c>
      <c r="AB5510" s="462" t="s">
        <v>17495</v>
      </c>
      <c r="AC5510" s="462" t="s">
        <v>17496</v>
      </c>
      <c r="AD5510" s="464">
        <v>248.77575999999999</v>
      </c>
      <c r="AE5510" s="465">
        <v>11.96702</v>
      </c>
      <c r="AF5510" s="86">
        <f>IF(verze!$E$1="CZK",AD5510,IF(verze!$E$1="SK",AE5510,""))</f>
        <v>11.96702</v>
      </c>
    </row>
    <row r="5511" spans="27:32" ht="15">
      <c r="AA5511" s="463" t="s">
        <v>17497</v>
      </c>
      <c r="AB5511" s="462" t="s">
        <v>17498</v>
      </c>
      <c r="AC5511" s="462" t="s">
        <v>17499</v>
      </c>
      <c r="AD5511" s="464">
        <v>281.21048000000002</v>
      </c>
      <c r="AE5511" s="465">
        <v>13.527229999999999</v>
      </c>
      <c r="AF5511" s="86">
        <f>IF(verze!$E$1="CZK",AD5511,IF(verze!$E$1="SK",AE5511,""))</f>
        <v>13.527229999999999</v>
      </c>
    </row>
    <row r="5512" spans="27:32" ht="15">
      <c r="AA5512" s="463" t="s">
        <v>17500</v>
      </c>
      <c r="AB5512" s="462" t="s">
        <v>17501</v>
      </c>
      <c r="AC5512" s="462" t="s">
        <v>17502</v>
      </c>
      <c r="AD5512" s="464">
        <v>281.21048000000002</v>
      </c>
      <c r="AE5512" s="465">
        <v>13.527229999999999</v>
      </c>
      <c r="AF5512" s="86">
        <f>IF(verze!$E$1="CZK",AD5512,IF(verze!$E$1="SK",AE5512,""))</f>
        <v>13.527229999999999</v>
      </c>
    </row>
    <row r="5513" spans="27:32" ht="15">
      <c r="AA5513" s="463" t="s">
        <v>17503</v>
      </c>
      <c r="AB5513" s="462" t="s">
        <v>17504</v>
      </c>
      <c r="AC5513" s="462" t="s">
        <v>17505</v>
      </c>
      <c r="AD5513" s="464">
        <v>313.64260000000002</v>
      </c>
      <c r="AE5513" s="465">
        <v>15.08732</v>
      </c>
      <c r="AF5513" s="86">
        <f>IF(verze!$E$1="CZK",AD5513,IF(verze!$E$1="SK",AE5513,""))</f>
        <v>15.08732</v>
      </c>
    </row>
    <row r="5514" spans="27:32" ht="15">
      <c r="AA5514" s="463" t="s">
        <v>17506</v>
      </c>
      <c r="AB5514" s="462" t="s">
        <v>17507</v>
      </c>
      <c r="AC5514" s="462" t="s">
        <v>17508</v>
      </c>
      <c r="AD5514" s="464">
        <v>313.64260000000002</v>
      </c>
      <c r="AE5514" s="465">
        <v>15.08732</v>
      </c>
      <c r="AF5514" s="86">
        <f>IF(verze!$E$1="CZK",AD5514,IF(verze!$E$1="SK",AE5514,""))</f>
        <v>15.08732</v>
      </c>
    </row>
    <row r="5515" spans="27:32" ht="15">
      <c r="AA5515" s="463" t="s">
        <v>17509</v>
      </c>
      <c r="AB5515" s="462" t="s">
        <v>17510</v>
      </c>
      <c r="AC5515" s="462" t="s">
        <v>17511</v>
      </c>
      <c r="AD5515" s="464">
        <v>60.684010000000001</v>
      </c>
      <c r="AE5515" s="465">
        <v>2.4384999999999999</v>
      </c>
      <c r="AF5515" s="86">
        <f>IF(verze!$E$1="CZK",AD5515,IF(verze!$E$1="SK",AE5515,""))</f>
        <v>2.4384999999999999</v>
      </c>
    </row>
    <row r="5516" spans="27:32" ht="15">
      <c r="AA5516" s="463" t="s">
        <v>17512</v>
      </c>
      <c r="AB5516" s="462" t="s">
        <v>17513</v>
      </c>
      <c r="AC5516" s="462" t="s">
        <v>17514</v>
      </c>
      <c r="AD5516" s="464">
        <v>762.58731</v>
      </c>
      <c r="AE5516" s="465">
        <v>36.683199999999999</v>
      </c>
      <c r="AF5516" s="86">
        <f>IF(verze!$E$1="CZK",AD5516,IF(verze!$E$1="SK",AE5516,""))</f>
        <v>36.683199999999999</v>
      </c>
    </row>
    <row r="5517" spans="27:32" ht="15">
      <c r="AA5517" s="463" t="s">
        <v>17515</v>
      </c>
      <c r="AB5517" s="462" t="s">
        <v>17516</v>
      </c>
      <c r="AC5517" s="462" t="s">
        <v>17517</v>
      </c>
      <c r="AD5517" s="464">
        <v>1000.44484</v>
      </c>
      <c r="AE5517" s="465">
        <v>48.125010000000003</v>
      </c>
      <c r="AF5517" s="86">
        <f>IF(verze!$E$1="CZK",AD5517,IF(verze!$E$1="SK",AE5517,""))</f>
        <v>48.125010000000003</v>
      </c>
    </row>
    <row r="5518" spans="27:32" ht="15">
      <c r="AA5518" s="463" t="s">
        <v>17518</v>
      </c>
      <c r="AB5518" s="462" t="s">
        <v>17519</v>
      </c>
      <c r="AC5518" s="462" t="s">
        <v>17520</v>
      </c>
      <c r="AD5518" s="464">
        <v>604.01390000000004</v>
      </c>
      <c r="AE5518" s="465">
        <v>29.055260000000001</v>
      </c>
      <c r="AF5518" s="86">
        <f>IF(verze!$E$1="CZK",AD5518,IF(verze!$E$1="SK",AE5518,""))</f>
        <v>29.055260000000001</v>
      </c>
    </row>
    <row r="5519" spans="27:32" ht="15">
      <c r="AA5519" s="463" t="s">
        <v>17521</v>
      </c>
      <c r="AB5519" s="462" t="s">
        <v>17522</v>
      </c>
      <c r="AC5519" s="462" t="s">
        <v>17523</v>
      </c>
      <c r="AD5519" s="464">
        <v>207.58450999999999</v>
      </c>
      <c r="AE5519" s="465">
        <v>9.9855800000000006</v>
      </c>
      <c r="AF5519" s="86">
        <f>IF(verze!$E$1="CZK",AD5519,IF(verze!$E$1="SK",AE5519,""))</f>
        <v>9.9855800000000006</v>
      </c>
    </row>
    <row r="5520" spans="27:32" ht="15">
      <c r="AA5520" s="463" t="s">
        <v>17524</v>
      </c>
      <c r="AB5520" s="462" t="s">
        <v>17525</v>
      </c>
      <c r="AC5520" s="462" t="s">
        <v>17526</v>
      </c>
      <c r="AD5520" s="464">
        <v>207.58450999999999</v>
      </c>
      <c r="AE5520" s="465">
        <v>9.9855800000000006</v>
      </c>
      <c r="AF5520" s="86">
        <f>IF(verze!$E$1="CZK",AD5520,IF(verze!$E$1="SK",AE5520,""))</f>
        <v>9.9855800000000006</v>
      </c>
    </row>
    <row r="5521" spans="27:32" ht="15">
      <c r="AA5521" s="463" t="s">
        <v>17527</v>
      </c>
      <c r="AB5521" s="462" t="s">
        <v>17528</v>
      </c>
      <c r="AC5521" s="462" t="s">
        <v>17529</v>
      </c>
      <c r="AD5521" s="464">
        <v>207.58450999999999</v>
      </c>
      <c r="AE5521" s="465">
        <v>9.9855800000000006</v>
      </c>
      <c r="AF5521" s="86">
        <f>IF(verze!$E$1="CZK",AD5521,IF(verze!$E$1="SK",AE5521,""))</f>
        <v>9.9855800000000006</v>
      </c>
    </row>
    <row r="5522" spans="27:32" ht="15">
      <c r="AA5522" s="463" t="s">
        <v>17530</v>
      </c>
      <c r="AB5522" s="462" t="s">
        <v>17531</v>
      </c>
      <c r="AC5522" s="462" t="s">
        <v>17532</v>
      </c>
      <c r="AD5522" s="464">
        <v>0</v>
      </c>
      <c r="AE5522" s="465">
        <v>0</v>
      </c>
      <c r="AF5522" s="86">
        <f>IF(verze!$E$1="CZK",AD5522,IF(verze!$E$1="SK",AE5522,""))</f>
        <v>0</v>
      </c>
    </row>
    <row r="5523" spans="27:32" ht="15">
      <c r="AA5523" s="463" t="s">
        <v>17533</v>
      </c>
      <c r="AB5523" s="462" t="s">
        <v>17534</v>
      </c>
      <c r="AC5523" s="462" t="s">
        <v>17535</v>
      </c>
      <c r="AD5523" s="464">
        <v>263.25970999999998</v>
      </c>
      <c r="AE5523" s="465">
        <v>12.66376</v>
      </c>
      <c r="AF5523" s="86">
        <f>IF(verze!$E$1="CZK",AD5523,IF(verze!$E$1="SK",AE5523,""))</f>
        <v>12.66376</v>
      </c>
    </row>
    <row r="5524" spans="27:32" ht="15">
      <c r="AA5524" s="463" t="s">
        <v>17536</v>
      </c>
      <c r="AB5524" s="462" t="s">
        <v>17537</v>
      </c>
      <c r="AC5524" s="462" t="s">
        <v>17538</v>
      </c>
      <c r="AD5524" s="464">
        <v>297.22723000000002</v>
      </c>
      <c r="AE5524" s="465">
        <v>14.297700000000001</v>
      </c>
      <c r="AF5524" s="86">
        <f>IF(verze!$E$1="CZK",AD5524,IF(verze!$E$1="SK",AE5524,""))</f>
        <v>14.297700000000001</v>
      </c>
    </row>
    <row r="5525" spans="27:32" ht="15">
      <c r="AA5525" s="463" t="s">
        <v>17539</v>
      </c>
      <c r="AB5525" s="462" t="s">
        <v>17540</v>
      </c>
      <c r="AC5525" s="462" t="s">
        <v>17541</v>
      </c>
      <c r="AD5525" s="464">
        <v>314.21460999999999</v>
      </c>
      <c r="AE5525" s="465">
        <v>15.11486</v>
      </c>
      <c r="AF5525" s="86">
        <f>IF(verze!$E$1="CZK",AD5525,IF(verze!$E$1="SK",AE5525,""))</f>
        <v>15.11486</v>
      </c>
    </row>
    <row r="5526" spans="27:32" ht="15">
      <c r="AA5526" s="463" t="s">
        <v>17542</v>
      </c>
      <c r="AB5526" s="462" t="s">
        <v>17543</v>
      </c>
      <c r="AC5526" s="462" t="s">
        <v>17544</v>
      </c>
      <c r="AD5526" s="464">
        <v>331.19713999999999</v>
      </c>
      <c r="AE5526" s="465">
        <v>15.93178</v>
      </c>
      <c r="AF5526" s="86">
        <f>IF(verze!$E$1="CZK",AD5526,IF(verze!$E$1="SK",AE5526,""))</f>
        <v>15.93178</v>
      </c>
    </row>
    <row r="5527" spans="27:32" ht="15">
      <c r="AA5527" s="463" t="s">
        <v>17545</v>
      </c>
      <c r="AB5527" s="462" t="s">
        <v>17546</v>
      </c>
      <c r="AC5527" s="462" t="s">
        <v>17547</v>
      </c>
      <c r="AD5527" s="464">
        <v>361.34329000000002</v>
      </c>
      <c r="AE5527" s="465">
        <v>17.381910000000001</v>
      </c>
      <c r="AF5527" s="86">
        <f>IF(verze!$E$1="CZK",AD5527,IF(verze!$E$1="SK",AE5527,""))</f>
        <v>17.381910000000001</v>
      </c>
    </row>
    <row r="5528" spans="27:32" ht="15">
      <c r="AA5528" s="463" t="s">
        <v>17548</v>
      </c>
      <c r="AB5528" s="462" t="s">
        <v>17549</v>
      </c>
      <c r="AC5528" s="462" t="s">
        <v>17550</v>
      </c>
      <c r="AD5528" s="464">
        <v>625.42647999999997</v>
      </c>
      <c r="AE5528" s="465">
        <v>30.085270000000001</v>
      </c>
      <c r="AF5528" s="86">
        <f>IF(verze!$E$1="CZK",AD5528,IF(verze!$E$1="SK",AE5528,""))</f>
        <v>30.085270000000001</v>
      </c>
    </row>
    <row r="5529" spans="27:32" ht="15">
      <c r="AA5529" s="463" t="s">
        <v>17551</v>
      </c>
      <c r="AB5529" s="462" t="s">
        <v>17552</v>
      </c>
      <c r="AC5529" s="462" t="s">
        <v>17553</v>
      </c>
      <c r="AD5529" s="464">
        <v>654.15008</v>
      </c>
      <c r="AE5529" s="465">
        <v>31.466989999999999</v>
      </c>
      <c r="AF5529" s="86">
        <f>IF(verze!$E$1="CZK",AD5529,IF(verze!$E$1="SK",AE5529,""))</f>
        <v>31.466989999999999</v>
      </c>
    </row>
    <row r="5530" spans="27:32" ht="15">
      <c r="AA5530" s="463" t="s">
        <v>17554</v>
      </c>
      <c r="AB5530" s="462" t="s">
        <v>17555</v>
      </c>
      <c r="AC5530" s="462" t="s">
        <v>17556</v>
      </c>
      <c r="AD5530" s="464">
        <v>682.87129000000004</v>
      </c>
      <c r="AE5530" s="465">
        <v>32.848579999999998</v>
      </c>
      <c r="AF5530" s="86">
        <f>IF(verze!$E$1="CZK",AD5530,IF(verze!$E$1="SK",AE5530,""))</f>
        <v>32.848579999999998</v>
      </c>
    </row>
    <row r="5531" spans="27:32" ht="15">
      <c r="AA5531" s="463" t="s">
        <v>17557</v>
      </c>
      <c r="AB5531" s="462" t="s">
        <v>17558</v>
      </c>
      <c r="AC5531" s="462" t="s">
        <v>17559</v>
      </c>
      <c r="AD5531" s="464">
        <v>725.95672000000002</v>
      </c>
      <c r="AE5531" s="465">
        <v>34.921129999999998</v>
      </c>
      <c r="AF5531" s="86">
        <f>IF(verze!$E$1="CZK",AD5531,IF(verze!$E$1="SK",AE5531,""))</f>
        <v>34.921129999999998</v>
      </c>
    </row>
    <row r="5532" spans="27:32" ht="15">
      <c r="AA5532" s="463" t="s">
        <v>17560</v>
      </c>
      <c r="AB5532" s="462" t="s">
        <v>17561</v>
      </c>
      <c r="AC5532" s="462" t="s">
        <v>17562</v>
      </c>
      <c r="AD5532" s="464">
        <v>278.70033999999998</v>
      </c>
      <c r="AE5532" s="465">
        <v>13.40648</v>
      </c>
      <c r="AF5532" s="86">
        <f>IF(verze!$E$1="CZK",AD5532,IF(verze!$E$1="SK",AE5532,""))</f>
        <v>13.40648</v>
      </c>
    </row>
    <row r="5533" spans="27:32" ht="15">
      <c r="AA5533" s="463" t="s">
        <v>17563</v>
      </c>
      <c r="AB5533" s="462" t="s">
        <v>17564</v>
      </c>
      <c r="AC5533" s="462" t="s">
        <v>17565</v>
      </c>
      <c r="AD5533" s="464">
        <v>318.84755000000001</v>
      </c>
      <c r="AE5533" s="465">
        <v>15.33771</v>
      </c>
      <c r="AF5533" s="86">
        <f>IF(verze!$E$1="CZK",AD5533,IF(verze!$E$1="SK",AE5533,""))</f>
        <v>15.33771</v>
      </c>
    </row>
    <row r="5534" spans="27:32" ht="15">
      <c r="AA5534" s="463" t="s">
        <v>17566</v>
      </c>
      <c r="AB5534" s="462" t="s">
        <v>17567</v>
      </c>
      <c r="AC5534" s="462" t="s">
        <v>17568</v>
      </c>
      <c r="AD5534" s="464">
        <v>338.92111999999997</v>
      </c>
      <c r="AE5534" s="465">
        <v>16.303329999999999</v>
      </c>
      <c r="AF5534" s="86">
        <f>IF(verze!$E$1="CZK",AD5534,IF(verze!$E$1="SK",AE5534,""))</f>
        <v>16.303329999999999</v>
      </c>
    </row>
    <row r="5535" spans="27:32" ht="15">
      <c r="AA5535" s="463" t="s">
        <v>17569</v>
      </c>
      <c r="AB5535" s="462" t="s">
        <v>17570</v>
      </c>
      <c r="AC5535" s="462" t="s">
        <v>17571</v>
      </c>
      <c r="AD5535" s="464">
        <v>358.9923</v>
      </c>
      <c r="AE5535" s="465">
        <v>17.268830000000001</v>
      </c>
      <c r="AF5535" s="86">
        <f>IF(verze!$E$1="CZK",AD5535,IF(verze!$E$1="SK",AE5535,""))</f>
        <v>17.268830000000001</v>
      </c>
    </row>
    <row r="5536" spans="27:32" ht="15">
      <c r="AA5536" s="463" t="s">
        <v>17572</v>
      </c>
      <c r="AB5536" s="462" t="s">
        <v>17573</v>
      </c>
      <c r="AC5536" s="462" t="s">
        <v>17574</v>
      </c>
      <c r="AD5536" s="464">
        <v>387.57979999999998</v>
      </c>
      <c r="AE5536" s="465">
        <v>18.643969999999999</v>
      </c>
      <c r="AF5536" s="86">
        <f>IF(verze!$E$1="CZK",AD5536,IF(verze!$E$1="SK",AE5536,""))</f>
        <v>18.643969999999999</v>
      </c>
    </row>
    <row r="5537" spans="27:32" ht="15">
      <c r="AA5537" s="463" t="s">
        <v>17575</v>
      </c>
      <c r="AB5537" s="462" t="s">
        <v>17576</v>
      </c>
      <c r="AC5537" s="462" t="s">
        <v>17577</v>
      </c>
      <c r="AD5537" s="464">
        <v>667.20627999999999</v>
      </c>
      <c r="AE5537" s="465">
        <v>32.095039999999997</v>
      </c>
      <c r="AF5537" s="86">
        <f>IF(verze!$E$1="CZK",AD5537,IF(verze!$E$1="SK",AE5537,""))</f>
        <v>32.095039999999997</v>
      </c>
    </row>
    <row r="5538" spans="27:32" ht="15">
      <c r="AA5538" s="463" t="s">
        <v>17578</v>
      </c>
      <c r="AB5538" s="462" t="s">
        <v>17579</v>
      </c>
      <c r="AC5538" s="462" t="s">
        <v>17580</v>
      </c>
      <c r="AD5538" s="464">
        <v>701.15468999999996</v>
      </c>
      <c r="AE5538" s="465">
        <v>33.728079999999999</v>
      </c>
      <c r="AF5538" s="86">
        <f>IF(verze!$E$1="CZK",AD5538,IF(verze!$E$1="SK",AE5538,""))</f>
        <v>33.728079999999999</v>
      </c>
    </row>
    <row r="5539" spans="27:32" ht="15">
      <c r="AA5539" s="463" t="s">
        <v>17581</v>
      </c>
      <c r="AB5539" s="462" t="s">
        <v>17582</v>
      </c>
      <c r="AC5539" s="462" t="s">
        <v>17583</v>
      </c>
      <c r="AD5539" s="464">
        <v>358.67579999999998</v>
      </c>
      <c r="AE5539" s="465">
        <v>17.253599999999999</v>
      </c>
      <c r="AF5539" s="86">
        <f>IF(verze!$E$1="CZK",AD5539,IF(verze!$E$1="SK",AE5539,""))</f>
        <v>17.253599999999999</v>
      </c>
    </row>
    <row r="5540" spans="27:32" ht="15">
      <c r="AA5540" s="463" t="s">
        <v>17584</v>
      </c>
      <c r="AB5540" s="462" t="s">
        <v>17585</v>
      </c>
      <c r="AC5540" s="462" t="s">
        <v>17586</v>
      </c>
      <c r="AD5540" s="464">
        <v>786.02219000000002</v>
      </c>
      <c r="AE5540" s="465">
        <v>37.810499999999998</v>
      </c>
      <c r="AF5540" s="86">
        <f>IF(verze!$E$1="CZK",AD5540,IF(verze!$E$1="SK",AE5540,""))</f>
        <v>37.810499999999998</v>
      </c>
    </row>
    <row r="5541" spans="27:32" ht="15">
      <c r="AA5541" s="463" t="s">
        <v>17587</v>
      </c>
      <c r="AB5541" s="462" t="s">
        <v>17588</v>
      </c>
      <c r="AC5541" s="462" t="s">
        <v>17589</v>
      </c>
      <c r="AD5541" s="464">
        <v>284.00878</v>
      </c>
      <c r="AE5541" s="465">
        <v>13.66184</v>
      </c>
      <c r="AF5541" s="86">
        <f>IF(verze!$E$1="CZK",AD5541,IF(verze!$E$1="SK",AE5541,""))</f>
        <v>13.66184</v>
      </c>
    </row>
    <row r="5542" spans="27:32" ht="15">
      <c r="AA5542" s="463" t="s">
        <v>17590</v>
      </c>
      <c r="AB5542" s="462" t="s">
        <v>17591</v>
      </c>
      <c r="AC5542" s="462" t="s">
        <v>17592</v>
      </c>
      <c r="AD5542" s="464">
        <v>324.91734000000002</v>
      </c>
      <c r="AE5542" s="465">
        <v>15.62969</v>
      </c>
      <c r="AF5542" s="86">
        <f>IF(verze!$E$1="CZK",AD5542,IF(verze!$E$1="SK",AE5542,""))</f>
        <v>15.62969</v>
      </c>
    </row>
    <row r="5543" spans="27:32" ht="15">
      <c r="AA5543" s="463" t="s">
        <v>17593</v>
      </c>
      <c r="AB5543" s="462" t="s">
        <v>17594</v>
      </c>
      <c r="AC5543" s="462" t="s">
        <v>17595</v>
      </c>
      <c r="AD5543" s="464">
        <v>345.37038000000001</v>
      </c>
      <c r="AE5543" s="465">
        <v>16.61356</v>
      </c>
      <c r="AF5543" s="86">
        <f>IF(verze!$E$1="CZK",AD5543,IF(verze!$E$1="SK",AE5543,""))</f>
        <v>16.61356</v>
      </c>
    </row>
    <row r="5544" spans="27:32" ht="15">
      <c r="AA5544" s="463" t="s">
        <v>17596</v>
      </c>
      <c r="AB5544" s="462" t="s">
        <v>17597</v>
      </c>
      <c r="AC5544" s="462" t="s">
        <v>17598</v>
      </c>
      <c r="AD5544" s="464">
        <v>365.83064999999999</v>
      </c>
      <c r="AE5544" s="465">
        <v>17.597770000000001</v>
      </c>
      <c r="AF5544" s="86">
        <f>IF(verze!$E$1="CZK",AD5544,IF(verze!$E$1="SK",AE5544,""))</f>
        <v>17.597770000000001</v>
      </c>
    </row>
    <row r="5545" spans="27:32" ht="15">
      <c r="AA5545" s="463" t="s">
        <v>17599</v>
      </c>
      <c r="AB5545" s="462" t="s">
        <v>17600</v>
      </c>
      <c r="AC5545" s="462" t="s">
        <v>17601</v>
      </c>
      <c r="AD5545" s="464">
        <v>406.03505000000001</v>
      </c>
      <c r="AE5545" s="465">
        <v>19.531739999999999</v>
      </c>
      <c r="AF5545" s="86">
        <f>IF(verze!$E$1="CZK",AD5545,IF(verze!$E$1="SK",AE5545,""))</f>
        <v>19.531739999999999</v>
      </c>
    </row>
    <row r="5546" spans="27:32" ht="15">
      <c r="AA5546" s="463" t="s">
        <v>17602</v>
      </c>
      <c r="AB5546" s="462" t="s">
        <v>17603</v>
      </c>
      <c r="AC5546" s="462" t="s">
        <v>17604</v>
      </c>
      <c r="AD5546" s="464">
        <v>746.05416000000002</v>
      </c>
      <c r="AE5546" s="465">
        <v>35.887909999999998</v>
      </c>
      <c r="AF5546" s="86">
        <f>IF(verze!$E$1="CZK",AD5546,IF(verze!$E$1="SK",AE5546,""))</f>
        <v>35.887909999999998</v>
      </c>
    </row>
    <row r="5547" spans="27:32" ht="15">
      <c r="AA5547" s="463" t="s">
        <v>17605</v>
      </c>
      <c r="AB5547" s="462" t="s">
        <v>17606</v>
      </c>
      <c r="AC5547" s="462" t="s">
        <v>17607</v>
      </c>
      <c r="AD5547" s="464">
        <v>782.17695000000003</v>
      </c>
      <c r="AE5547" s="465">
        <v>37.625529999999998</v>
      </c>
      <c r="AF5547" s="86">
        <f>IF(verze!$E$1="CZK",AD5547,IF(verze!$E$1="SK",AE5547,""))</f>
        <v>37.625529999999998</v>
      </c>
    </row>
    <row r="5548" spans="27:32" ht="15">
      <c r="AA5548" s="463" t="s">
        <v>17608</v>
      </c>
      <c r="AB5548" s="462" t="s">
        <v>17609</v>
      </c>
      <c r="AC5548" s="462" t="s">
        <v>17610</v>
      </c>
      <c r="AD5548" s="464">
        <v>836.36135000000002</v>
      </c>
      <c r="AE5548" s="465">
        <v>40.232010000000002</v>
      </c>
      <c r="AF5548" s="86">
        <f>IF(verze!$E$1="CZK",AD5548,IF(verze!$E$1="SK",AE5548,""))</f>
        <v>40.232010000000002</v>
      </c>
    </row>
    <row r="5549" spans="27:32" ht="15">
      <c r="AA5549" s="463" t="s">
        <v>17611</v>
      </c>
      <c r="AB5549" s="462" t="s">
        <v>17612</v>
      </c>
      <c r="AC5549" s="462" t="s">
        <v>17613</v>
      </c>
      <c r="AD5549" s="464">
        <v>263.25970999999998</v>
      </c>
      <c r="AE5549" s="465">
        <v>12.66376</v>
      </c>
      <c r="AF5549" s="86">
        <f>IF(verze!$E$1="CZK",AD5549,IF(verze!$E$1="SK",AE5549,""))</f>
        <v>12.66376</v>
      </c>
    </row>
    <row r="5550" spans="27:32" ht="15">
      <c r="AA5550" s="463" t="s">
        <v>17614</v>
      </c>
      <c r="AB5550" s="462" t="s">
        <v>17615</v>
      </c>
      <c r="AC5550" s="462" t="s">
        <v>17616</v>
      </c>
      <c r="AD5550" s="464">
        <v>297.22723000000002</v>
      </c>
      <c r="AE5550" s="465">
        <v>14.297700000000001</v>
      </c>
      <c r="AF5550" s="86">
        <f>IF(verze!$E$1="CZK",AD5550,IF(verze!$E$1="SK",AE5550,""))</f>
        <v>14.297700000000001</v>
      </c>
    </row>
    <row r="5551" spans="27:32" ht="15">
      <c r="AA5551" s="463" t="s">
        <v>17617</v>
      </c>
      <c r="AB5551" s="462" t="s">
        <v>17618</v>
      </c>
      <c r="AC5551" s="462" t="s">
        <v>17619</v>
      </c>
      <c r="AD5551" s="464">
        <v>314.21460999999999</v>
      </c>
      <c r="AE5551" s="465">
        <v>15.11486</v>
      </c>
      <c r="AF5551" s="86">
        <f>IF(verze!$E$1="CZK",AD5551,IF(verze!$E$1="SK",AE5551,""))</f>
        <v>15.11486</v>
      </c>
    </row>
    <row r="5552" spans="27:32" ht="15">
      <c r="AA5552" s="463" t="s">
        <v>17620</v>
      </c>
      <c r="AB5552" s="462" t="s">
        <v>17621</v>
      </c>
      <c r="AC5552" s="462" t="s">
        <v>17622</v>
      </c>
      <c r="AD5552" s="464">
        <v>331.19713999999999</v>
      </c>
      <c r="AE5552" s="465">
        <v>15.93178</v>
      </c>
      <c r="AF5552" s="86">
        <f>IF(verze!$E$1="CZK",AD5552,IF(verze!$E$1="SK",AE5552,""))</f>
        <v>15.93178</v>
      </c>
    </row>
    <row r="5553" spans="27:32" ht="15">
      <c r="AA5553" s="463" t="s">
        <v>17623</v>
      </c>
      <c r="AB5553" s="462" t="s">
        <v>17624</v>
      </c>
      <c r="AC5553" s="462" t="s">
        <v>17625</v>
      </c>
      <c r="AD5553" s="464">
        <v>361.34329000000002</v>
      </c>
      <c r="AE5553" s="465">
        <v>17.381910000000001</v>
      </c>
      <c r="AF5553" s="86">
        <f>IF(verze!$E$1="CZK",AD5553,IF(verze!$E$1="SK",AE5553,""))</f>
        <v>17.381910000000001</v>
      </c>
    </row>
    <row r="5554" spans="27:32" ht="15">
      <c r="AA5554" s="463" t="s">
        <v>17626</v>
      </c>
      <c r="AB5554" s="462" t="s">
        <v>17627</v>
      </c>
      <c r="AC5554" s="462" t="s">
        <v>17628</v>
      </c>
      <c r="AD5554" s="464">
        <v>625.42647999999997</v>
      </c>
      <c r="AE5554" s="465">
        <v>30.085270000000001</v>
      </c>
      <c r="AF5554" s="86">
        <f>IF(verze!$E$1="CZK",AD5554,IF(verze!$E$1="SK",AE5554,""))</f>
        <v>30.085270000000001</v>
      </c>
    </row>
    <row r="5555" spans="27:32" ht="15">
      <c r="AA5555" s="463" t="s">
        <v>17629</v>
      </c>
      <c r="AB5555" s="462" t="s">
        <v>17630</v>
      </c>
      <c r="AC5555" s="462" t="s">
        <v>17631</v>
      </c>
      <c r="AD5555" s="464">
        <v>654.15008</v>
      </c>
      <c r="AE5555" s="465">
        <v>31.466989999999999</v>
      </c>
      <c r="AF5555" s="86">
        <f>IF(verze!$E$1="CZK",AD5555,IF(verze!$E$1="SK",AE5555,""))</f>
        <v>31.466989999999999</v>
      </c>
    </row>
    <row r="5556" spans="27:32" ht="15">
      <c r="AA5556" s="463" t="s">
        <v>17632</v>
      </c>
      <c r="AB5556" s="462" t="s">
        <v>17633</v>
      </c>
      <c r="AC5556" s="462" t="s">
        <v>17634</v>
      </c>
      <c r="AD5556" s="464">
        <v>682.87129000000004</v>
      </c>
      <c r="AE5556" s="465">
        <v>32.848579999999998</v>
      </c>
      <c r="AF5556" s="86">
        <f>IF(verze!$E$1="CZK",AD5556,IF(verze!$E$1="SK",AE5556,""))</f>
        <v>32.848579999999998</v>
      </c>
    </row>
    <row r="5557" spans="27:32" ht="15">
      <c r="AA5557" s="463" t="s">
        <v>17635</v>
      </c>
      <c r="AB5557" s="462" t="s">
        <v>17636</v>
      </c>
      <c r="AC5557" s="462" t="s">
        <v>17637</v>
      </c>
      <c r="AD5557" s="464">
        <v>725.95672000000002</v>
      </c>
      <c r="AE5557" s="465">
        <v>34.921129999999998</v>
      </c>
      <c r="AF5557" s="86">
        <f>IF(verze!$E$1="CZK",AD5557,IF(verze!$E$1="SK",AE5557,""))</f>
        <v>34.921129999999998</v>
      </c>
    </row>
    <row r="5558" spans="27:32" ht="15">
      <c r="AA5558" s="463" t="s">
        <v>17638</v>
      </c>
      <c r="AB5558" s="462" t="s">
        <v>17639</v>
      </c>
      <c r="AC5558" s="462" t="s">
        <v>17640</v>
      </c>
      <c r="AD5558" s="464">
        <v>278.70033999999998</v>
      </c>
      <c r="AE5558" s="465">
        <v>13.40648</v>
      </c>
      <c r="AF5558" s="86">
        <f>IF(verze!$E$1="CZK",AD5558,IF(verze!$E$1="SK",AE5558,""))</f>
        <v>13.40648</v>
      </c>
    </row>
    <row r="5559" spans="27:32" ht="15">
      <c r="AA5559" s="463" t="s">
        <v>17641</v>
      </c>
      <c r="AB5559" s="462" t="s">
        <v>17642</v>
      </c>
      <c r="AC5559" s="462" t="s">
        <v>17643</v>
      </c>
      <c r="AD5559" s="464">
        <v>318.84755000000001</v>
      </c>
      <c r="AE5559" s="465">
        <v>15.33771</v>
      </c>
      <c r="AF5559" s="86">
        <f>IF(verze!$E$1="CZK",AD5559,IF(verze!$E$1="SK",AE5559,""))</f>
        <v>15.33771</v>
      </c>
    </row>
    <row r="5560" spans="27:32" ht="15">
      <c r="AA5560" s="463" t="s">
        <v>17644</v>
      </c>
      <c r="AB5560" s="462" t="s">
        <v>17645</v>
      </c>
      <c r="AC5560" s="462" t="s">
        <v>17646</v>
      </c>
      <c r="AD5560" s="464">
        <v>338.92111999999997</v>
      </c>
      <c r="AE5560" s="465">
        <v>16.303329999999999</v>
      </c>
      <c r="AF5560" s="86">
        <f>IF(verze!$E$1="CZK",AD5560,IF(verze!$E$1="SK",AE5560,""))</f>
        <v>16.303329999999999</v>
      </c>
    </row>
    <row r="5561" spans="27:32" ht="15">
      <c r="AA5561" s="463" t="s">
        <v>17647</v>
      </c>
      <c r="AB5561" s="462" t="s">
        <v>17648</v>
      </c>
      <c r="AC5561" s="462" t="s">
        <v>17649</v>
      </c>
      <c r="AD5561" s="464">
        <v>358.9923</v>
      </c>
      <c r="AE5561" s="465">
        <v>17.268830000000001</v>
      </c>
      <c r="AF5561" s="86">
        <f>IF(verze!$E$1="CZK",AD5561,IF(verze!$E$1="SK",AE5561,""))</f>
        <v>17.268830000000001</v>
      </c>
    </row>
    <row r="5562" spans="27:32" ht="15">
      <c r="AA5562" s="463" t="s">
        <v>17650</v>
      </c>
      <c r="AB5562" s="462" t="s">
        <v>17651</v>
      </c>
      <c r="AC5562" s="462" t="s">
        <v>17652</v>
      </c>
      <c r="AD5562" s="464">
        <v>387.57979999999998</v>
      </c>
      <c r="AE5562" s="465">
        <v>18.643969999999999</v>
      </c>
      <c r="AF5562" s="86">
        <f>IF(verze!$E$1="CZK",AD5562,IF(verze!$E$1="SK",AE5562,""))</f>
        <v>18.643969999999999</v>
      </c>
    </row>
    <row r="5563" spans="27:32" ht="15">
      <c r="AA5563" s="463" t="s">
        <v>17653</v>
      </c>
      <c r="AB5563" s="462" t="s">
        <v>17654</v>
      </c>
      <c r="AC5563" s="462" t="s">
        <v>17655</v>
      </c>
      <c r="AD5563" s="464">
        <v>667.20627999999999</v>
      </c>
      <c r="AE5563" s="465">
        <v>32.095039999999997</v>
      </c>
      <c r="AF5563" s="86">
        <f>IF(verze!$E$1="CZK",AD5563,IF(verze!$E$1="SK",AE5563,""))</f>
        <v>32.095039999999997</v>
      </c>
    </row>
    <row r="5564" spans="27:32" ht="15">
      <c r="AA5564" s="463" t="s">
        <v>17656</v>
      </c>
      <c r="AB5564" s="462" t="s">
        <v>17657</v>
      </c>
      <c r="AC5564" s="462" t="s">
        <v>17658</v>
      </c>
      <c r="AD5564" s="464">
        <v>701.15468999999996</v>
      </c>
      <c r="AE5564" s="465">
        <v>33.728079999999999</v>
      </c>
      <c r="AF5564" s="86">
        <f>IF(verze!$E$1="CZK",AD5564,IF(verze!$E$1="SK",AE5564,""))</f>
        <v>33.728079999999999</v>
      </c>
    </row>
    <row r="5565" spans="27:32" ht="15">
      <c r="AA5565" s="463" t="s">
        <v>17659</v>
      </c>
      <c r="AB5565" s="462" t="s">
        <v>17660</v>
      </c>
      <c r="AC5565" s="462" t="s">
        <v>17661</v>
      </c>
      <c r="AD5565" s="464">
        <v>358.67579999999998</v>
      </c>
      <c r="AE5565" s="465">
        <v>17.253599999999999</v>
      </c>
      <c r="AF5565" s="86">
        <f>IF(verze!$E$1="CZK",AD5565,IF(verze!$E$1="SK",AE5565,""))</f>
        <v>17.253599999999999</v>
      </c>
    </row>
    <row r="5566" spans="27:32" ht="15">
      <c r="AA5566" s="463" t="s">
        <v>17662</v>
      </c>
      <c r="AB5566" s="462" t="s">
        <v>17663</v>
      </c>
      <c r="AC5566" s="462" t="s">
        <v>17664</v>
      </c>
      <c r="AD5566" s="464">
        <v>786.02219000000002</v>
      </c>
      <c r="AE5566" s="465">
        <v>37.810499999999998</v>
      </c>
      <c r="AF5566" s="86">
        <f>IF(verze!$E$1="CZK",AD5566,IF(verze!$E$1="SK",AE5566,""))</f>
        <v>37.810499999999998</v>
      </c>
    </row>
    <row r="5567" spans="27:32" ht="15">
      <c r="AA5567" s="463" t="s">
        <v>17665</v>
      </c>
      <c r="AB5567" s="462" t="s">
        <v>17666</v>
      </c>
      <c r="AC5567" s="462" t="s">
        <v>17667</v>
      </c>
      <c r="AD5567" s="464">
        <v>284.00878</v>
      </c>
      <c r="AE5567" s="465">
        <v>13.66184</v>
      </c>
      <c r="AF5567" s="86">
        <f>IF(verze!$E$1="CZK",AD5567,IF(verze!$E$1="SK",AE5567,""))</f>
        <v>13.66184</v>
      </c>
    </row>
    <row r="5568" spans="27:32" ht="15">
      <c r="AA5568" s="463" t="s">
        <v>17668</v>
      </c>
      <c r="AB5568" s="462" t="s">
        <v>17669</v>
      </c>
      <c r="AC5568" s="462" t="s">
        <v>17670</v>
      </c>
      <c r="AD5568" s="464">
        <v>324.91734000000002</v>
      </c>
      <c r="AE5568" s="465">
        <v>15.62969</v>
      </c>
      <c r="AF5568" s="86">
        <f>IF(verze!$E$1="CZK",AD5568,IF(verze!$E$1="SK",AE5568,""))</f>
        <v>15.62969</v>
      </c>
    </row>
    <row r="5569" spans="27:32" ht="15">
      <c r="AA5569" s="463" t="s">
        <v>17671</v>
      </c>
      <c r="AB5569" s="462" t="s">
        <v>17672</v>
      </c>
      <c r="AC5569" s="462" t="s">
        <v>17673</v>
      </c>
      <c r="AD5569" s="464">
        <v>345.37038000000001</v>
      </c>
      <c r="AE5569" s="465">
        <v>16.61356</v>
      </c>
      <c r="AF5569" s="86">
        <f>IF(verze!$E$1="CZK",AD5569,IF(verze!$E$1="SK",AE5569,""))</f>
        <v>16.61356</v>
      </c>
    </row>
    <row r="5570" spans="27:32" ht="15">
      <c r="AA5570" s="463" t="s">
        <v>17674</v>
      </c>
      <c r="AB5570" s="462" t="s">
        <v>17675</v>
      </c>
      <c r="AC5570" s="462" t="s">
        <v>17676</v>
      </c>
      <c r="AD5570" s="464">
        <v>365.83064999999999</v>
      </c>
      <c r="AE5570" s="465">
        <v>17.597770000000001</v>
      </c>
      <c r="AF5570" s="86">
        <f>IF(verze!$E$1="CZK",AD5570,IF(verze!$E$1="SK",AE5570,""))</f>
        <v>17.597770000000001</v>
      </c>
    </row>
    <row r="5571" spans="27:32" ht="15">
      <c r="AA5571" s="463" t="s">
        <v>17677</v>
      </c>
      <c r="AB5571" s="462" t="s">
        <v>17678</v>
      </c>
      <c r="AC5571" s="462" t="s">
        <v>17679</v>
      </c>
      <c r="AD5571" s="464">
        <v>406.03505000000001</v>
      </c>
      <c r="AE5571" s="465">
        <v>19.531739999999999</v>
      </c>
      <c r="AF5571" s="86">
        <f>IF(verze!$E$1="CZK",AD5571,IF(verze!$E$1="SK",AE5571,""))</f>
        <v>19.531739999999999</v>
      </c>
    </row>
    <row r="5572" spans="27:32" ht="15">
      <c r="AA5572" s="463" t="s">
        <v>17680</v>
      </c>
      <c r="AB5572" s="462" t="s">
        <v>17681</v>
      </c>
      <c r="AC5572" s="462" t="s">
        <v>17682</v>
      </c>
      <c r="AD5572" s="464">
        <v>709.93364999999994</v>
      </c>
      <c r="AE5572" s="465">
        <v>34.150370000000002</v>
      </c>
      <c r="AF5572" s="86">
        <f>IF(verze!$E$1="CZK",AD5572,IF(verze!$E$1="SK",AE5572,""))</f>
        <v>34.150370000000002</v>
      </c>
    </row>
    <row r="5573" spans="27:32" ht="15">
      <c r="AA5573" s="463" t="s">
        <v>17683</v>
      </c>
      <c r="AB5573" s="462" t="s">
        <v>17684</v>
      </c>
      <c r="AC5573" s="462" t="s">
        <v>17685</v>
      </c>
      <c r="AD5573" s="464">
        <v>746.05416000000002</v>
      </c>
      <c r="AE5573" s="465">
        <v>35.887909999999998</v>
      </c>
      <c r="AF5573" s="86">
        <f>IF(verze!$E$1="CZK",AD5573,IF(verze!$E$1="SK",AE5573,""))</f>
        <v>35.887909999999998</v>
      </c>
    </row>
    <row r="5574" spans="27:32" ht="15">
      <c r="AA5574" s="463" t="s">
        <v>17686</v>
      </c>
      <c r="AB5574" s="462" t="s">
        <v>17687</v>
      </c>
      <c r="AC5574" s="462" t="s">
        <v>17688</v>
      </c>
      <c r="AD5574" s="464">
        <v>782.17695000000003</v>
      </c>
      <c r="AE5574" s="465">
        <v>37.625529999999998</v>
      </c>
      <c r="AF5574" s="86">
        <f>IF(verze!$E$1="CZK",AD5574,IF(verze!$E$1="SK",AE5574,""))</f>
        <v>37.625529999999998</v>
      </c>
    </row>
    <row r="5575" spans="27:32" ht="15">
      <c r="AA5575" s="463" t="s">
        <v>17689</v>
      </c>
      <c r="AB5575" s="462" t="s">
        <v>17690</v>
      </c>
      <c r="AC5575" s="462" t="s">
        <v>17691</v>
      </c>
      <c r="AD5575" s="464">
        <v>836.36135000000002</v>
      </c>
      <c r="AE5575" s="465">
        <v>40.232010000000002</v>
      </c>
      <c r="AF5575" s="86">
        <f>IF(verze!$E$1="CZK",AD5575,IF(verze!$E$1="SK",AE5575,""))</f>
        <v>40.232010000000002</v>
      </c>
    </row>
    <row r="5576" spans="27:32" ht="15">
      <c r="AA5576" s="463" t="s">
        <v>17692</v>
      </c>
      <c r="AB5576" s="462" t="s">
        <v>17693</v>
      </c>
      <c r="AC5576" s="462" t="s">
        <v>17694</v>
      </c>
      <c r="AD5576" s="464">
        <v>263.25970999999998</v>
      </c>
      <c r="AE5576" s="465">
        <v>12.66376</v>
      </c>
      <c r="AF5576" s="86">
        <f>IF(verze!$E$1="CZK",AD5576,IF(verze!$E$1="SK",AE5576,""))</f>
        <v>12.66376</v>
      </c>
    </row>
    <row r="5577" spans="27:32" ht="15">
      <c r="AA5577" s="463" t="s">
        <v>17695</v>
      </c>
      <c r="AB5577" s="462" t="s">
        <v>17696</v>
      </c>
      <c r="AC5577" s="462" t="s">
        <v>17697</v>
      </c>
      <c r="AD5577" s="464">
        <v>297.22723000000002</v>
      </c>
      <c r="AE5577" s="465">
        <v>14.297700000000001</v>
      </c>
      <c r="AF5577" s="86">
        <f>IF(verze!$E$1="CZK",AD5577,IF(verze!$E$1="SK",AE5577,""))</f>
        <v>14.297700000000001</v>
      </c>
    </row>
    <row r="5578" spans="27:32" ht="15">
      <c r="AA5578" s="463" t="s">
        <v>17698</v>
      </c>
      <c r="AB5578" s="462" t="s">
        <v>17699</v>
      </c>
      <c r="AC5578" s="462" t="s">
        <v>17700</v>
      </c>
      <c r="AD5578" s="464">
        <v>314.21460999999999</v>
      </c>
      <c r="AE5578" s="465">
        <v>15.11486</v>
      </c>
      <c r="AF5578" s="86">
        <f>IF(verze!$E$1="CZK",AD5578,IF(verze!$E$1="SK",AE5578,""))</f>
        <v>15.11486</v>
      </c>
    </row>
    <row r="5579" spans="27:32" ht="15">
      <c r="AA5579" s="463" t="s">
        <v>17701</v>
      </c>
      <c r="AB5579" s="462" t="s">
        <v>17702</v>
      </c>
      <c r="AC5579" s="462" t="s">
        <v>17703</v>
      </c>
      <c r="AD5579" s="464">
        <v>331.19713999999999</v>
      </c>
      <c r="AE5579" s="465">
        <v>15.93178</v>
      </c>
      <c r="AF5579" s="86">
        <f>IF(verze!$E$1="CZK",AD5579,IF(verze!$E$1="SK",AE5579,""))</f>
        <v>15.93178</v>
      </c>
    </row>
    <row r="5580" spans="27:32" ht="15">
      <c r="AA5580" s="463" t="s">
        <v>17704</v>
      </c>
      <c r="AB5580" s="462" t="s">
        <v>17705</v>
      </c>
      <c r="AC5580" s="462" t="s">
        <v>17706</v>
      </c>
      <c r="AD5580" s="464">
        <v>361.34329000000002</v>
      </c>
      <c r="AE5580" s="465">
        <v>17.381910000000001</v>
      </c>
      <c r="AF5580" s="86">
        <f>IF(verze!$E$1="CZK",AD5580,IF(verze!$E$1="SK",AE5580,""))</f>
        <v>17.381910000000001</v>
      </c>
    </row>
    <row r="5581" spans="27:32" ht="15">
      <c r="AA5581" s="463" t="s">
        <v>17707</v>
      </c>
      <c r="AB5581" s="462" t="s">
        <v>17708</v>
      </c>
      <c r="AC5581" s="462" t="s">
        <v>17709</v>
      </c>
      <c r="AD5581" s="464">
        <v>625.42647999999997</v>
      </c>
      <c r="AE5581" s="465">
        <v>30.085270000000001</v>
      </c>
      <c r="AF5581" s="86">
        <f>IF(verze!$E$1="CZK",AD5581,IF(verze!$E$1="SK",AE5581,""))</f>
        <v>30.085270000000001</v>
      </c>
    </row>
    <row r="5582" spans="27:32" ht="15">
      <c r="AA5582" s="463" t="s">
        <v>17710</v>
      </c>
      <c r="AB5582" s="462" t="s">
        <v>17711</v>
      </c>
      <c r="AC5582" s="462" t="s">
        <v>17712</v>
      </c>
      <c r="AD5582" s="464">
        <v>654.15008</v>
      </c>
      <c r="AE5582" s="465">
        <v>31.466989999999999</v>
      </c>
      <c r="AF5582" s="86">
        <f>IF(verze!$E$1="CZK",AD5582,IF(verze!$E$1="SK",AE5582,""))</f>
        <v>31.466989999999999</v>
      </c>
    </row>
    <row r="5583" spans="27:32" ht="15">
      <c r="AA5583" s="463" t="s">
        <v>17713</v>
      </c>
      <c r="AB5583" s="462" t="s">
        <v>17714</v>
      </c>
      <c r="AC5583" s="462" t="s">
        <v>17715</v>
      </c>
      <c r="AD5583" s="464">
        <v>682.87129000000004</v>
      </c>
      <c r="AE5583" s="465">
        <v>32.848579999999998</v>
      </c>
      <c r="AF5583" s="86">
        <f>IF(verze!$E$1="CZK",AD5583,IF(verze!$E$1="SK",AE5583,""))</f>
        <v>32.848579999999998</v>
      </c>
    </row>
    <row r="5584" spans="27:32" ht="15">
      <c r="AA5584" s="463" t="s">
        <v>17716</v>
      </c>
      <c r="AB5584" s="462" t="s">
        <v>17717</v>
      </c>
      <c r="AC5584" s="462" t="s">
        <v>17718</v>
      </c>
      <c r="AD5584" s="464">
        <v>725.95672000000002</v>
      </c>
      <c r="AE5584" s="465">
        <v>34.921129999999998</v>
      </c>
      <c r="AF5584" s="86">
        <f>IF(verze!$E$1="CZK",AD5584,IF(verze!$E$1="SK",AE5584,""))</f>
        <v>34.921129999999998</v>
      </c>
    </row>
    <row r="5585" spans="27:32" ht="15">
      <c r="AA5585" s="463" t="s">
        <v>17719</v>
      </c>
      <c r="AB5585" s="462" t="s">
        <v>17720</v>
      </c>
      <c r="AC5585" s="462" t="s">
        <v>17721</v>
      </c>
      <c r="AD5585" s="464">
        <v>278.70033999999998</v>
      </c>
      <c r="AE5585" s="465">
        <v>13.40648</v>
      </c>
      <c r="AF5585" s="86">
        <f>IF(verze!$E$1="CZK",AD5585,IF(verze!$E$1="SK",AE5585,""))</f>
        <v>13.40648</v>
      </c>
    </row>
    <row r="5586" spans="27:32" ht="15">
      <c r="AA5586" s="463" t="s">
        <v>17722</v>
      </c>
      <c r="AB5586" s="462" t="s">
        <v>17723</v>
      </c>
      <c r="AC5586" s="462" t="s">
        <v>17724</v>
      </c>
      <c r="AD5586" s="464">
        <v>318.84755000000001</v>
      </c>
      <c r="AE5586" s="465">
        <v>15.33771</v>
      </c>
      <c r="AF5586" s="86">
        <f>IF(verze!$E$1="CZK",AD5586,IF(verze!$E$1="SK",AE5586,""))</f>
        <v>15.33771</v>
      </c>
    </row>
    <row r="5587" spans="27:32" ht="15">
      <c r="AA5587" s="463" t="s">
        <v>17725</v>
      </c>
      <c r="AB5587" s="462" t="s">
        <v>17726</v>
      </c>
      <c r="AC5587" s="462" t="s">
        <v>17727</v>
      </c>
      <c r="AD5587" s="464">
        <v>338.92111999999997</v>
      </c>
      <c r="AE5587" s="465">
        <v>16.303329999999999</v>
      </c>
      <c r="AF5587" s="86">
        <f>IF(verze!$E$1="CZK",AD5587,IF(verze!$E$1="SK",AE5587,""))</f>
        <v>16.303329999999999</v>
      </c>
    </row>
    <row r="5588" spans="27:32" ht="15">
      <c r="AA5588" s="463" t="s">
        <v>17728</v>
      </c>
      <c r="AB5588" s="462" t="s">
        <v>17729</v>
      </c>
      <c r="AC5588" s="462" t="s">
        <v>17730</v>
      </c>
      <c r="AD5588" s="464">
        <v>358.9923</v>
      </c>
      <c r="AE5588" s="465">
        <v>17.268830000000001</v>
      </c>
      <c r="AF5588" s="86">
        <f>IF(verze!$E$1="CZK",AD5588,IF(verze!$E$1="SK",AE5588,""))</f>
        <v>17.268830000000001</v>
      </c>
    </row>
    <row r="5589" spans="27:32" ht="15">
      <c r="AA5589" s="463" t="s">
        <v>17731</v>
      </c>
      <c r="AB5589" s="462" t="s">
        <v>17732</v>
      </c>
      <c r="AC5589" s="462" t="s">
        <v>17733</v>
      </c>
      <c r="AD5589" s="464">
        <v>387.57979999999998</v>
      </c>
      <c r="AE5589" s="465">
        <v>18.643969999999999</v>
      </c>
      <c r="AF5589" s="86">
        <f>IF(verze!$E$1="CZK",AD5589,IF(verze!$E$1="SK",AE5589,""))</f>
        <v>18.643969999999999</v>
      </c>
    </row>
    <row r="5590" spans="27:32" ht="15">
      <c r="AA5590" s="463" t="s">
        <v>17734</v>
      </c>
      <c r="AB5590" s="462" t="s">
        <v>17735</v>
      </c>
      <c r="AC5590" s="462" t="s">
        <v>17736</v>
      </c>
      <c r="AD5590" s="464">
        <v>667.20627999999999</v>
      </c>
      <c r="AE5590" s="465">
        <v>32.095039999999997</v>
      </c>
      <c r="AF5590" s="86">
        <f>IF(verze!$E$1="CZK",AD5590,IF(verze!$E$1="SK",AE5590,""))</f>
        <v>32.095039999999997</v>
      </c>
    </row>
    <row r="5591" spans="27:32" ht="15">
      <c r="AA5591" s="463" t="s">
        <v>17737</v>
      </c>
      <c r="AB5591" s="462" t="s">
        <v>17738</v>
      </c>
      <c r="AC5591" s="462" t="s">
        <v>17739</v>
      </c>
      <c r="AD5591" s="464">
        <v>701.15468999999996</v>
      </c>
      <c r="AE5591" s="465">
        <v>33.728079999999999</v>
      </c>
      <c r="AF5591" s="86">
        <f>IF(verze!$E$1="CZK",AD5591,IF(verze!$E$1="SK",AE5591,""))</f>
        <v>33.728079999999999</v>
      </c>
    </row>
    <row r="5592" spans="27:32" ht="15">
      <c r="AA5592" s="463" t="s">
        <v>17740</v>
      </c>
      <c r="AB5592" s="462" t="s">
        <v>17741</v>
      </c>
      <c r="AC5592" s="462" t="s">
        <v>17742</v>
      </c>
      <c r="AD5592" s="464">
        <v>358.67579999999998</v>
      </c>
      <c r="AE5592" s="465">
        <v>17.253599999999999</v>
      </c>
      <c r="AF5592" s="86">
        <f>IF(verze!$E$1="CZK",AD5592,IF(verze!$E$1="SK",AE5592,""))</f>
        <v>17.253599999999999</v>
      </c>
    </row>
    <row r="5593" spans="27:32" ht="15">
      <c r="AA5593" s="463" t="s">
        <v>17743</v>
      </c>
      <c r="AB5593" s="462" t="s">
        <v>17744</v>
      </c>
      <c r="AC5593" s="462" t="s">
        <v>17745</v>
      </c>
      <c r="AD5593" s="464">
        <v>786.02219000000002</v>
      </c>
      <c r="AE5593" s="465">
        <v>37.810499999999998</v>
      </c>
      <c r="AF5593" s="86">
        <f>IF(verze!$E$1="CZK",AD5593,IF(verze!$E$1="SK",AE5593,""))</f>
        <v>37.810499999999998</v>
      </c>
    </row>
    <row r="5594" spans="27:32" ht="15">
      <c r="AA5594" s="463" t="s">
        <v>17746</v>
      </c>
      <c r="AB5594" s="462" t="s">
        <v>17747</v>
      </c>
      <c r="AC5594" s="462" t="s">
        <v>17748</v>
      </c>
      <c r="AD5594" s="464">
        <v>284.00878</v>
      </c>
      <c r="AE5594" s="465">
        <v>13.66184</v>
      </c>
      <c r="AF5594" s="86">
        <f>IF(verze!$E$1="CZK",AD5594,IF(verze!$E$1="SK",AE5594,""))</f>
        <v>13.66184</v>
      </c>
    </row>
    <row r="5595" spans="27:32" ht="15">
      <c r="AA5595" s="463" t="s">
        <v>17749</v>
      </c>
      <c r="AB5595" s="462" t="s">
        <v>17750</v>
      </c>
      <c r="AC5595" s="462" t="s">
        <v>17751</v>
      </c>
      <c r="AD5595" s="464">
        <v>324.91734000000002</v>
      </c>
      <c r="AE5595" s="465">
        <v>15.62969</v>
      </c>
      <c r="AF5595" s="86">
        <f>IF(verze!$E$1="CZK",AD5595,IF(verze!$E$1="SK",AE5595,""))</f>
        <v>15.62969</v>
      </c>
    </row>
    <row r="5596" spans="27:32" ht="15">
      <c r="AA5596" s="463" t="s">
        <v>17752</v>
      </c>
      <c r="AB5596" s="462" t="s">
        <v>17753</v>
      </c>
      <c r="AC5596" s="462" t="s">
        <v>17754</v>
      </c>
      <c r="AD5596" s="464">
        <v>345.37038000000001</v>
      </c>
      <c r="AE5596" s="465">
        <v>16.61356</v>
      </c>
      <c r="AF5596" s="86">
        <f>IF(verze!$E$1="CZK",AD5596,IF(verze!$E$1="SK",AE5596,""))</f>
        <v>16.61356</v>
      </c>
    </row>
    <row r="5597" spans="27:32" ht="15">
      <c r="AA5597" s="463" t="s">
        <v>17755</v>
      </c>
      <c r="AB5597" s="462" t="s">
        <v>17756</v>
      </c>
      <c r="AC5597" s="462" t="s">
        <v>17757</v>
      </c>
      <c r="AD5597" s="464">
        <v>365.83064999999999</v>
      </c>
      <c r="AE5597" s="465">
        <v>17.597770000000001</v>
      </c>
      <c r="AF5597" s="86">
        <f>IF(verze!$E$1="CZK",AD5597,IF(verze!$E$1="SK",AE5597,""))</f>
        <v>17.597770000000001</v>
      </c>
    </row>
    <row r="5598" spans="27:32" ht="15">
      <c r="AA5598" s="463" t="s">
        <v>17758</v>
      </c>
      <c r="AB5598" s="462" t="s">
        <v>17759</v>
      </c>
      <c r="AC5598" s="462" t="s">
        <v>17760</v>
      </c>
      <c r="AD5598" s="464">
        <v>406.03505000000001</v>
      </c>
      <c r="AE5598" s="465">
        <v>19.531739999999999</v>
      </c>
      <c r="AF5598" s="86">
        <f>IF(verze!$E$1="CZK",AD5598,IF(verze!$E$1="SK",AE5598,""))</f>
        <v>19.531739999999999</v>
      </c>
    </row>
    <row r="5599" spans="27:32" ht="15">
      <c r="AA5599" s="463" t="s">
        <v>17761</v>
      </c>
      <c r="AB5599" s="462" t="s">
        <v>17762</v>
      </c>
      <c r="AC5599" s="462" t="s">
        <v>17763</v>
      </c>
      <c r="AD5599" s="464">
        <v>709.93364999999994</v>
      </c>
      <c r="AE5599" s="465">
        <v>34.150370000000002</v>
      </c>
      <c r="AF5599" s="86">
        <f>IF(verze!$E$1="CZK",AD5599,IF(verze!$E$1="SK",AE5599,""))</f>
        <v>34.150370000000002</v>
      </c>
    </row>
    <row r="5600" spans="27:32" ht="15">
      <c r="AA5600" s="463" t="s">
        <v>17764</v>
      </c>
      <c r="AB5600" s="462" t="s">
        <v>17765</v>
      </c>
      <c r="AC5600" s="462" t="s">
        <v>17766</v>
      </c>
      <c r="AD5600" s="464">
        <v>746.05416000000002</v>
      </c>
      <c r="AE5600" s="465">
        <v>35.887909999999998</v>
      </c>
      <c r="AF5600" s="86">
        <f>IF(verze!$E$1="CZK",AD5600,IF(verze!$E$1="SK",AE5600,""))</f>
        <v>35.887909999999998</v>
      </c>
    </row>
    <row r="5601" spans="27:32" ht="15">
      <c r="AA5601" s="463" t="s">
        <v>17767</v>
      </c>
      <c r="AB5601" s="462" t="s">
        <v>17768</v>
      </c>
      <c r="AC5601" s="462" t="s">
        <v>17769</v>
      </c>
      <c r="AD5601" s="464">
        <v>782.17695000000003</v>
      </c>
      <c r="AE5601" s="465">
        <v>37.625529999999998</v>
      </c>
      <c r="AF5601" s="86">
        <f>IF(verze!$E$1="CZK",AD5601,IF(verze!$E$1="SK",AE5601,""))</f>
        <v>37.625529999999998</v>
      </c>
    </row>
    <row r="5602" spans="27:32" ht="15">
      <c r="AA5602" s="463" t="s">
        <v>17770</v>
      </c>
      <c r="AB5602" s="462" t="s">
        <v>17771</v>
      </c>
      <c r="AC5602" s="462" t="s">
        <v>17772</v>
      </c>
      <c r="AD5602" s="464">
        <v>836.36135000000002</v>
      </c>
      <c r="AE5602" s="465">
        <v>40.232010000000002</v>
      </c>
      <c r="AF5602" s="86">
        <f>IF(verze!$E$1="CZK",AD5602,IF(verze!$E$1="SK",AE5602,""))</f>
        <v>40.232010000000002</v>
      </c>
    </row>
    <row r="5603" spans="27:32" ht="15">
      <c r="AA5603" s="463" t="s">
        <v>17773</v>
      </c>
      <c r="AB5603" s="462" t="s">
        <v>17774</v>
      </c>
      <c r="AC5603" s="462" t="s">
        <v>17775</v>
      </c>
      <c r="AD5603" s="464">
        <v>149.39501000000001</v>
      </c>
      <c r="AE5603" s="465">
        <v>6.84422</v>
      </c>
      <c r="AF5603" s="86">
        <f>IF(verze!$E$1="CZK",AD5603,IF(verze!$E$1="SK",AE5603,""))</f>
        <v>6.84422</v>
      </c>
    </row>
    <row r="5604" spans="27:32" ht="15">
      <c r="AA5604" s="463" t="s">
        <v>1320</v>
      </c>
      <c r="AB5604" s="462" t="s">
        <v>17776</v>
      </c>
      <c r="AC5604" s="462" t="s">
        <v>17777</v>
      </c>
      <c r="AD5604" s="464">
        <v>879.32393999999999</v>
      </c>
      <c r="AE5604" s="465">
        <v>0</v>
      </c>
      <c r="AF5604" s="86">
        <f>IF(verze!$E$1="CZK",AD5604,IF(verze!$E$1="SK",AE5604,""))</f>
        <v>0</v>
      </c>
    </row>
    <row r="5605" spans="27:32" ht="15">
      <c r="AA5605" s="463" t="s">
        <v>1320</v>
      </c>
      <c r="AB5605" s="462" t="s">
        <v>17778</v>
      </c>
      <c r="AC5605" s="462" t="s">
        <v>17779</v>
      </c>
      <c r="AD5605" s="464">
        <v>1358.63354</v>
      </c>
      <c r="AE5605" s="465">
        <v>0</v>
      </c>
      <c r="AF5605" s="86">
        <f>IF(verze!$E$1="CZK",AD5605,IF(verze!$E$1="SK",AE5605,""))</f>
        <v>0</v>
      </c>
    </row>
    <row r="5606" spans="27:32" ht="15">
      <c r="AA5606" s="463" t="s">
        <v>17780</v>
      </c>
      <c r="AB5606" s="462" t="s">
        <v>17781</v>
      </c>
      <c r="AC5606" s="462" t="s">
        <v>17782</v>
      </c>
      <c r="AD5606" s="464">
        <v>2081.8018299999999</v>
      </c>
      <c r="AE5606" s="465">
        <v>0</v>
      </c>
      <c r="AF5606" s="86">
        <f>IF(verze!$E$1="CZK",AD5606,IF(verze!$E$1="SK",AE5606,""))</f>
        <v>0</v>
      </c>
    </row>
    <row r="5607" spans="27:32" ht="15">
      <c r="AA5607" s="463" t="s">
        <v>17783</v>
      </c>
      <c r="AB5607" s="462" t="s">
        <v>17784</v>
      </c>
      <c r="AC5607" s="462" t="s">
        <v>17785</v>
      </c>
      <c r="AD5607" s="464">
        <v>2238.6769300000001</v>
      </c>
      <c r="AE5607" s="465">
        <v>0</v>
      </c>
      <c r="AF5607" s="86">
        <f>IF(verze!$E$1="CZK",AD5607,IF(verze!$E$1="SK",AE5607,""))</f>
        <v>0</v>
      </c>
    </row>
    <row r="5608" spans="27:32" ht="15">
      <c r="AA5608" s="463" t="s">
        <v>17786</v>
      </c>
      <c r="AB5608" s="462" t="s">
        <v>17787</v>
      </c>
      <c r="AC5608" s="462" t="s">
        <v>17788</v>
      </c>
      <c r="AD5608" s="464">
        <v>2356.3349400000002</v>
      </c>
      <c r="AE5608" s="465">
        <v>0</v>
      </c>
      <c r="AF5608" s="86">
        <f>IF(verze!$E$1="CZK",AD5608,IF(verze!$E$1="SK",AE5608,""))</f>
        <v>0</v>
      </c>
    </row>
    <row r="5609" spans="27:32" ht="15">
      <c r="AA5609" s="463" t="s">
        <v>17789</v>
      </c>
      <c r="AB5609" s="462" t="s">
        <v>17790</v>
      </c>
      <c r="AC5609" s="462" t="s">
        <v>17791</v>
      </c>
      <c r="AD5609" s="464">
        <v>2518.5114699999999</v>
      </c>
      <c r="AE5609" s="465">
        <v>0</v>
      </c>
      <c r="AF5609" s="86">
        <f>IF(verze!$E$1="CZK",AD5609,IF(verze!$E$1="SK",AE5609,""))</f>
        <v>0</v>
      </c>
    </row>
    <row r="5610" spans="27:32" ht="15">
      <c r="AA5610" s="463" t="s">
        <v>17792</v>
      </c>
      <c r="AB5610" s="462" t="s">
        <v>17793</v>
      </c>
      <c r="AC5610" s="462" t="s">
        <v>17794</v>
      </c>
      <c r="AD5610" s="464">
        <v>2405.0934900000002</v>
      </c>
      <c r="AE5610" s="465">
        <v>0</v>
      </c>
      <c r="AF5610" s="86">
        <f>IF(verze!$E$1="CZK",AD5610,IF(verze!$E$1="SK",AE5610,""))</f>
        <v>0</v>
      </c>
    </row>
    <row r="5611" spans="27:32" ht="15">
      <c r="AA5611" s="463" t="s">
        <v>17795</v>
      </c>
      <c r="AB5611" s="462" t="s">
        <v>17796</v>
      </c>
      <c r="AC5611" s="462" t="s">
        <v>17797</v>
      </c>
      <c r="AD5611" s="464">
        <v>2002.9138399999999</v>
      </c>
      <c r="AE5611" s="465">
        <v>96.347369999999998</v>
      </c>
      <c r="AF5611" s="86">
        <f>IF(verze!$E$1="CZK",AD5611,IF(verze!$E$1="SK",AE5611,""))</f>
        <v>96.347369999999998</v>
      </c>
    </row>
    <row r="5612" spans="27:32" ht="15">
      <c r="AA5612" s="463" t="s">
        <v>17798</v>
      </c>
      <c r="AB5612" s="462" t="s">
        <v>17799</v>
      </c>
      <c r="AC5612" s="462" t="s">
        <v>17800</v>
      </c>
      <c r="AD5612" s="464">
        <v>14.36992</v>
      </c>
      <c r="AE5612" s="465">
        <v>0.58935999999999999</v>
      </c>
      <c r="AF5612" s="86">
        <f>IF(verze!$E$1="CZK",AD5612,IF(verze!$E$1="SK",AE5612,""))</f>
        <v>0.58935999999999999</v>
      </c>
    </row>
    <row r="5613" spans="27:32" ht="15">
      <c r="AA5613" s="463" t="s">
        <v>17801</v>
      </c>
      <c r="AB5613" s="462" t="s">
        <v>17802</v>
      </c>
      <c r="AC5613" s="462" t="s">
        <v>17803</v>
      </c>
      <c r="AD5613" s="464">
        <v>17.029910000000001</v>
      </c>
      <c r="AE5613" s="465">
        <v>0.69845999999999997</v>
      </c>
      <c r="AF5613" s="86">
        <f>IF(verze!$E$1="CZK",AD5613,IF(verze!$E$1="SK",AE5613,""))</f>
        <v>0.69845999999999997</v>
      </c>
    </row>
    <row r="5614" spans="27:32" ht="15">
      <c r="AA5614" s="463" t="s">
        <v>17804</v>
      </c>
      <c r="AB5614" s="462" t="s">
        <v>17805</v>
      </c>
      <c r="AC5614" s="462" t="s">
        <v>17806</v>
      </c>
      <c r="AD5614" s="464">
        <v>15.928610000000001</v>
      </c>
      <c r="AE5614" s="465">
        <v>0.65327999999999997</v>
      </c>
      <c r="AF5614" s="86">
        <f>IF(verze!$E$1="CZK",AD5614,IF(verze!$E$1="SK",AE5614,""))</f>
        <v>0.65327999999999997</v>
      </c>
    </row>
    <row r="5615" spans="27:32" ht="15">
      <c r="AA5615" s="463" t="s">
        <v>17804</v>
      </c>
      <c r="AB5615" s="462" t="s">
        <v>17807</v>
      </c>
      <c r="AC5615" s="462" t="s">
        <v>17808</v>
      </c>
      <c r="AD5615" s="464">
        <v>15.61004</v>
      </c>
      <c r="AE5615" s="465">
        <v>0.64022000000000001</v>
      </c>
      <c r="AF5615" s="86">
        <f>IF(verze!$E$1="CZK",AD5615,IF(verze!$E$1="SK",AE5615,""))</f>
        <v>0.64022000000000001</v>
      </c>
    </row>
    <row r="5616" spans="27:32" ht="15">
      <c r="AA5616" s="463" t="s">
        <v>17809</v>
      </c>
      <c r="AB5616" s="462" t="s">
        <v>17810</v>
      </c>
      <c r="AC5616" s="462" t="s">
        <v>17811</v>
      </c>
      <c r="AD5616" s="464">
        <v>99.639960000000002</v>
      </c>
      <c r="AE5616" s="465">
        <v>4.5648</v>
      </c>
      <c r="AF5616" s="86">
        <f>IF(verze!$E$1="CZK",AD5616,IF(verze!$E$1="SK",AE5616,""))</f>
        <v>4.5648</v>
      </c>
    </row>
    <row r="5617" spans="27:32" ht="15">
      <c r="AA5617" s="463" t="s">
        <v>17812</v>
      </c>
      <c r="AB5617" s="462" t="s">
        <v>17813</v>
      </c>
      <c r="AC5617" s="462" t="s">
        <v>17814</v>
      </c>
      <c r="AD5617" s="464">
        <v>7.6112700000000002</v>
      </c>
      <c r="AE5617" s="465">
        <v>0.36614000000000002</v>
      </c>
      <c r="AF5617" s="86">
        <f>IF(verze!$E$1="CZK",AD5617,IF(verze!$E$1="SK",AE5617,""))</f>
        <v>0.36614000000000002</v>
      </c>
    </row>
    <row r="5618" spans="27:32" ht="15">
      <c r="AA5618" s="463" t="s">
        <v>17815</v>
      </c>
      <c r="AB5618" s="462" t="s">
        <v>17816</v>
      </c>
      <c r="AC5618" s="462" t="s">
        <v>17817</v>
      </c>
      <c r="AD5618" s="464">
        <v>71.385289999999998</v>
      </c>
      <c r="AE5618" s="465">
        <v>3.2703600000000002</v>
      </c>
      <c r="AF5618" s="86">
        <f>IF(verze!$E$1="CZK",AD5618,IF(verze!$E$1="SK",AE5618,""))</f>
        <v>3.2703600000000002</v>
      </c>
    </row>
    <row r="5619" spans="27:32" ht="15">
      <c r="AA5619" s="463" t="s">
        <v>17818</v>
      </c>
      <c r="AB5619" s="462" t="s">
        <v>17819</v>
      </c>
      <c r="AC5619" s="462" t="s">
        <v>17820</v>
      </c>
      <c r="AD5619" s="464">
        <v>95.28425</v>
      </c>
      <c r="AE5619" s="465">
        <v>4.3652600000000001</v>
      </c>
      <c r="AF5619" s="86">
        <f>IF(verze!$E$1="CZK",AD5619,IF(verze!$E$1="SK",AE5619,""))</f>
        <v>4.3652600000000001</v>
      </c>
    </row>
    <row r="5620" spans="27:32" ht="15">
      <c r="AA5620" s="463" t="s">
        <v>17821</v>
      </c>
      <c r="AB5620" s="462" t="s">
        <v>17822</v>
      </c>
      <c r="AC5620" s="462" t="s">
        <v>17823</v>
      </c>
      <c r="AD5620" s="464">
        <v>78.558359999999993</v>
      </c>
      <c r="AE5620" s="465">
        <v>3.5989800000000001</v>
      </c>
      <c r="AF5620" s="86">
        <f>IF(verze!$E$1="CZK",AD5620,IF(verze!$E$1="SK",AE5620,""))</f>
        <v>3.5989800000000001</v>
      </c>
    </row>
    <row r="5621" spans="27:32" ht="15">
      <c r="AA5621" s="463" t="s">
        <v>17824</v>
      </c>
      <c r="AB5621" s="462" t="s">
        <v>17825</v>
      </c>
      <c r="AC5621" s="462" t="s">
        <v>17826</v>
      </c>
      <c r="AD5621" s="464">
        <v>86.417169999999999</v>
      </c>
      <c r="AE5621" s="465">
        <v>3.9590399999999999</v>
      </c>
      <c r="AF5621" s="86">
        <f>IF(verze!$E$1="CZK",AD5621,IF(verze!$E$1="SK",AE5621,""))</f>
        <v>3.9590399999999999</v>
      </c>
    </row>
    <row r="5622" spans="27:32" ht="15">
      <c r="AA5622" s="463" t="s">
        <v>17827</v>
      </c>
      <c r="AB5622" s="462" t="s">
        <v>17828</v>
      </c>
      <c r="AC5622" s="462" t="s">
        <v>17829</v>
      </c>
      <c r="AD5622" s="464">
        <v>97.845770000000002</v>
      </c>
      <c r="AE5622" s="465">
        <v>4.4825999999999997</v>
      </c>
      <c r="AF5622" s="86">
        <f>IF(verze!$E$1="CZK",AD5622,IF(verze!$E$1="SK",AE5622,""))</f>
        <v>4.4825999999999997</v>
      </c>
    </row>
    <row r="5623" spans="27:32" ht="15">
      <c r="AA5623" s="463" t="s">
        <v>17830</v>
      </c>
      <c r="AB5623" s="462" t="s">
        <v>17831</v>
      </c>
      <c r="AC5623" s="462" t="s">
        <v>17832</v>
      </c>
      <c r="AD5623" s="464">
        <v>850.83217999999999</v>
      </c>
      <c r="AE5623" s="465">
        <v>40.928100000000001</v>
      </c>
      <c r="AF5623" s="86">
        <f>IF(verze!$E$1="CZK",AD5623,IF(verze!$E$1="SK",AE5623,""))</f>
        <v>40.928100000000001</v>
      </c>
    </row>
    <row r="5624" spans="27:32" ht="15">
      <c r="AA5624" s="463" t="s">
        <v>17833</v>
      </c>
      <c r="AB5624" s="462" t="s">
        <v>17834</v>
      </c>
      <c r="AC5624" s="462" t="s">
        <v>17835</v>
      </c>
      <c r="AD5624" s="464">
        <v>850.83217999999999</v>
      </c>
      <c r="AE5624" s="465">
        <v>40.928100000000001</v>
      </c>
      <c r="AF5624" s="86">
        <f>IF(verze!$E$1="CZK",AD5624,IF(verze!$E$1="SK",AE5624,""))</f>
        <v>40.928100000000001</v>
      </c>
    </row>
    <row r="5625" spans="27:32" ht="15">
      <c r="AA5625" s="463" t="s">
        <v>17836</v>
      </c>
      <c r="AB5625" s="462" t="s">
        <v>17837</v>
      </c>
      <c r="AC5625" s="462" t="s">
        <v>17838</v>
      </c>
      <c r="AD5625" s="464">
        <v>850.83217999999999</v>
      </c>
      <c r="AE5625" s="465">
        <v>40.928100000000001</v>
      </c>
      <c r="AF5625" s="86">
        <f>IF(verze!$E$1="CZK",AD5625,IF(verze!$E$1="SK",AE5625,""))</f>
        <v>40.928100000000001</v>
      </c>
    </row>
    <row r="5626" spans="27:32" ht="15">
      <c r="AA5626" s="463" t="s">
        <v>17839</v>
      </c>
      <c r="AB5626" s="462" t="s">
        <v>17840</v>
      </c>
      <c r="AC5626" s="462" t="s">
        <v>17841</v>
      </c>
      <c r="AD5626" s="464">
        <v>367.09730000000002</v>
      </c>
      <c r="AE5626" s="465">
        <v>17.658709999999999</v>
      </c>
      <c r="AF5626" s="86">
        <f>IF(verze!$E$1="CZK",AD5626,IF(verze!$E$1="SK",AE5626,""))</f>
        <v>17.658709999999999</v>
      </c>
    </row>
    <row r="5627" spans="27:32" ht="15">
      <c r="AA5627" s="463" t="s">
        <v>17842</v>
      </c>
      <c r="AB5627" s="462" t="s">
        <v>17843</v>
      </c>
      <c r="AC5627" s="462" t="s">
        <v>17844</v>
      </c>
      <c r="AD5627" s="464">
        <v>367.09730000000002</v>
      </c>
      <c r="AE5627" s="465">
        <v>17.658709999999999</v>
      </c>
      <c r="AF5627" s="86">
        <f>IF(verze!$E$1="CZK",AD5627,IF(verze!$E$1="SK",AE5627,""))</f>
        <v>17.658709999999999</v>
      </c>
    </row>
    <row r="5628" spans="27:32" ht="15">
      <c r="AA5628" s="463" t="s">
        <v>17845</v>
      </c>
      <c r="AB5628" s="462" t="s">
        <v>17846</v>
      </c>
      <c r="AC5628" s="462" t="s">
        <v>17847</v>
      </c>
      <c r="AD5628" s="464">
        <v>367.09730000000002</v>
      </c>
      <c r="AE5628" s="465">
        <v>17.658709999999999</v>
      </c>
      <c r="AF5628" s="86">
        <f>IF(verze!$E$1="CZK",AD5628,IF(verze!$E$1="SK",AE5628,""))</f>
        <v>17.658709999999999</v>
      </c>
    </row>
    <row r="5629" spans="27:32" ht="15">
      <c r="AA5629" s="463" t="s">
        <v>17848</v>
      </c>
      <c r="AB5629" s="462" t="s">
        <v>17849</v>
      </c>
      <c r="AC5629" s="462" t="s">
        <v>17850</v>
      </c>
      <c r="AD5629" s="464">
        <v>372.06545999999997</v>
      </c>
      <c r="AE5629" s="465">
        <v>17.897690000000001</v>
      </c>
      <c r="AF5629" s="86">
        <f>IF(verze!$E$1="CZK",AD5629,IF(verze!$E$1="SK",AE5629,""))</f>
        <v>17.897690000000001</v>
      </c>
    </row>
    <row r="5630" spans="27:32" ht="15">
      <c r="AA5630" s="463" t="s">
        <v>17851</v>
      </c>
      <c r="AB5630" s="462" t="s">
        <v>17852</v>
      </c>
      <c r="AC5630" s="462" t="s">
        <v>17853</v>
      </c>
      <c r="AD5630" s="464">
        <v>375.61477000000002</v>
      </c>
      <c r="AE5630" s="465">
        <v>18.06842</v>
      </c>
      <c r="AF5630" s="86">
        <f>IF(verze!$E$1="CZK",AD5630,IF(verze!$E$1="SK",AE5630,""))</f>
        <v>18.06842</v>
      </c>
    </row>
    <row r="5631" spans="27:32" ht="15">
      <c r="AA5631" s="463" t="s">
        <v>17854</v>
      </c>
      <c r="AB5631" s="462" t="s">
        <v>17855</v>
      </c>
      <c r="AC5631" s="462" t="s">
        <v>17856</v>
      </c>
      <c r="AD5631" s="464">
        <v>391.83524</v>
      </c>
      <c r="AE5631" s="465">
        <v>18.848680000000002</v>
      </c>
      <c r="AF5631" s="86">
        <f>IF(verze!$E$1="CZK",AD5631,IF(verze!$E$1="SK",AE5631,""))</f>
        <v>18.848680000000002</v>
      </c>
    </row>
    <row r="5632" spans="27:32" ht="15">
      <c r="AA5632" s="463" t="s">
        <v>17857</v>
      </c>
      <c r="AB5632" s="462" t="s">
        <v>17858</v>
      </c>
      <c r="AC5632" s="462" t="s">
        <v>17859</v>
      </c>
      <c r="AD5632" s="464">
        <v>424.27645999999999</v>
      </c>
      <c r="AE5632" s="465">
        <v>20.40925</v>
      </c>
      <c r="AF5632" s="86">
        <f>IF(verze!$E$1="CZK",AD5632,IF(verze!$E$1="SK",AE5632,""))</f>
        <v>20.40925</v>
      </c>
    </row>
    <row r="5633" spans="27:32" ht="15">
      <c r="AA5633" s="463" t="s">
        <v>17860</v>
      </c>
      <c r="AB5633" s="462" t="s">
        <v>17861</v>
      </c>
      <c r="AC5633" s="462" t="s">
        <v>17862</v>
      </c>
      <c r="AD5633" s="464">
        <v>367.09730000000002</v>
      </c>
      <c r="AE5633" s="465">
        <v>17.658709999999999</v>
      </c>
      <c r="AF5633" s="86">
        <f>IF(verze!$E$1="CZK",AD5633,IF(verze!$E$1="SK",AE5633,""))</f>
        <v>17.658709999999999</v>
      </c>
    </row>
    <row r="5634" spans="27:32" ht="15">
      <c r="AA5634" s="463" t="s">
        <v>17863</v>
      </c>
      <c r="AB5634" s="462" t="s">
        <v>17864</v>
      </c>
      <c r="AC5634" s="462" t="s">
        <v>17865</v>
      </c>
      <c r="AD5634" s="464">
        <v>367.09730000000002</v>
      </c>
      <c r="AE5634" s="465">
        <v>17.658709999999999</v>
      </c>
      <c r="AF5634" s="86">
        <f>IF(verze!$E$1="CZK",AD5634,IF(verze!$E$1="SK",AE5634,""))</f>
        <v>17.658709999999999</v>
      </c>
    </row>
    <row r="5635" spans="27:32" ht="15">
      <c r="AA5635" s="463" t="s">
        <v>17866</v>
      </c>
      <c r="AB5635" s="462" t="s">
        <v>17867</v>
      </c>
      <c r="AC5635" s="462" t="s">
        <v>17868</v>
      </c>
      <c r="AD5635" s="464">
        <v>367.09730000000002</v>
      </c>
      <c r="AE5635" s="465">
        <v>17.658709999999999</v>
      </c>
      <c r="AF5635" s="86">
        <f>IF(verze!$E$1="CZK",AD5635,IF(verze!$E$1="SK",AE5635,""))</f>
        <v>17.658709999999999</v>
      </c>
    </row>
    <row r="5636" spans="27:32" ht="15">
      <c r="AA5636" s="463" t="s">
        <v>17869</v>
      </c>
      <c r="AB5636" s="462" t="s">
        <v>17870</v>
      </c>
      <c r="AC5636" s="462" t="s">
        <v>17871</v>
      </c>
      <c r="AD5636" s="464">
        <v>372.06545999999997</v>
      </c>
      <c r="AE5636" s="465">
        <v>17.897690000000001</v>
      </c>
      <c r="AF5636" s="86">
        <f>IF(verze!$E$1="CZK",AD5636,IF(verze!$E$1="SK",AE5636,""))</f>
        <v>17.897690000000001</v>
      </c>
    </row>
    <row r="5637" spans="27:32" ht="15">
      <c r="AA5637" s="463" t="s">
        <v>17872</v>
      </c>
      <c r="AB5637" s="462" t="s">
        <v>17873</v>
      </c>
      <c r="AC5637" s="462" t="s">
        <v>17874</v>
      </c>
      <c r="AD5637" s="464">
        <v>375.61477000000002</v>
      </c>
      <c r="AE5637" s="465">
        <v>18.06842</v>
      </c>
      <c r="AF5637" s="86">
        <f>IF(verze!$E$1="CZK",AD5637,IF(verze!$E$1="SK",AE5637,""))</f>
        <v>18.06842</v>
      </c>
    </row>
    <row r="5638" spans="27:32" ht="15">
      <c r="AA5638" s="463" t="s">
        <v>17875</v>
      </c>
      <c r="AB5638" s="462" t="s">
        <v>17876</v>
      </c>
      <c r="AC5638" s="462" t="s">
        <v>17877</v>
      </c>
      <c r="AD5638" s="464">
        <v>391.83524</v>
      </c>
      <c r="AE5638" s="465">
        <v>18.848680000000002</v>
      </c>
      <c r="AF5638" s="86">
        <f>IF(verze!$E$1="CZK",AD5638,IF(verze!$E$1="SK",AE5638,""))</f>
        <v>18.848680000000002</v>
      </c>
    </row>
    <row r="5639" spans="27:32" ht="15">
      <c r="AA5639" s="463" t="s">
        <v>17878</v>
      </c>
      <c r="AB5639" s="462" t="s">
        <v>17879</v>
      </c>
      <c r="AC5639" s="462" t="s">
        <v>17880</v>
      </c>
      <c r="AD5639" s="464">
        <v>424.27645999999999</v>
      </c>
      <c r="AE5639" s="465">
        <v>20.40925</v>
      </c>
      <c r="AF5639" s="86">
        <f>IF(verze!$E$1="CZK",AD5639,IF(verze!$E$1="SK",AE5639,""))</f>
        <v>20.40925</v>
      </c>
    </row>
    <row r="5640" spans="27:32" ht="15">
      <c r="AA5640" s="463" t="s">
        <v>17881</v>
      </c>
      <c r="AB5640" s="462" t="s">
        <v>17882</v>
      </c>
      <c r="AC5640" s="462" t="s">
        <v>17883</v>
      </c>
      <c r="AD5640" s="464">
        <v>367.09730000000002</v>
      </c>
      <c r="AE5640" s="465">
        <v>17.658709999999999</v>
      </c>
      <c r="AF5640" s="86">
        <f>IF(verze!$E$1="CZK",AD5640,IF(verze!$E$1="SK",AE5640,""))</f>
        <v>17.658709999999999</v>
      </c>
    </row>
    <row r="5641" spans="27:32" ht="15">
      <c r="AA5641" s="463" t="s">
        <v>17884</v>
      </c>
      <c r="AB5641" s="462" t="s">
        <v>17885</v>
      </c>
      <c r="AC5641" s="462" t="s">
        <v>17886</v>
      </c>
      <c r="AD5641" s="464">
        <v>367.09730000000002</v>
      </c>
      <c r="AE5641" s="465">
        <v>17.658709999999999</v>
      </c>
      <c r="AF5641" s="86">
        <f>IF(verze!$E$1="CZK",AD5641,IF(verze!$E$1="SK",AE5641,""))</f>
        <v>17.658709999999999</v>
      </c>
    </row>
    <row r="5642" spans="27:32" ht="15">
      <c r="AA5642" s="463" t="s">
        <v>17887</v>
      </c>
      <c r="AB5642" s="462" t="s">
        <v>17888</v>
      </c>
      <c r="AC5642" s="462" t="s">
        <v>17889</v>
      </c>
      <c r="AD5642" s="464">
        <v>367.09730000000002</v>
      </c>
      <c r="AE5642" s="465">
        <v>17.658709999999999</v>
      </c>
      <c r="AF5642" s="86">
        <f>IF(verze!$E$1="CZK",AD5642,IF(verze!$E$1="SK",AE5642,""))</f>
        <v>17.658709999999999</v>
      </c>
    </row>
    <row r="5643" spans="27:32" ht="15">
      <c r="AA5643" s="463" t="s">
        <v>17890</v>
      </c>
      <c r="AB5643" s="462" t="s">
        <v>17891</v>
      </c>
      <c r="AC5643" s="462" t="s">
        <v>17892</v>
      </c>
      <c r="AD5643" s="464">
        <v>372.06545999999997</v>
      </c>
      <c r="AE5643" s="465">
        <v>17.897690000000001</v>
      </c>
      <c r="AF5643" s="86">
        <f>IF(verze!$E$1="CZK",AD5643,IF(verze!$E$1="SK",AE5643,""))</f>
        <v>17.897690000000001</v>
      </c>
    </row>
    <row r="5644" spans="27:32" ht="15">
      <c r="AA5644" s="463" t="s">
        <v>17893</v>
      </c>
      <c r="AB5644" s="462" t="s">
        <v>17894</v>
      </c>
      <c r="AC5644" s="462" t="s">
        <v>17895</v>
      </c>
      <c r="AD5644" s="464">
        <v>375.61477000000002</v>
      </c>
      <c r="AE5644" s="465">
        <v>18.06842</v>
      </c>
      <c r="AF5644" s="86">
        <f>IF(verze!$E$1="CZK",AD5644,IF(verze!$E$1="SK",AE5644,""))</f>
        <v>18.06842</v>
      </c>
    </row>
    <row r="5645" spans="27:32" ht="15">
      <c r="AA5645" s="463" t="s">
        <v>17896</v>
      </c>
      <c r="AB5645" s="462" t="s">
        <v>17897</v>
      </c>
      <c r="AC5645" s="462" t="s">
        <v>17898</v>
      </c>
      <c r="AD5645" s="464">
        <v>391.83524</v>
      </c>
      <c r="AE5645" s="465">
        <v>18.848680000000002</v>
      </c>
      <c r="AF5645" s="86">
        <f>IF(verze!$E$1="CZK",AD5645,IF(verze!$E$1="SK",AE5645,""))</f>
        <v>18.848680000000002</v>
      </c>
    </row>
    <row r="5646" spans="27:32" ht="15">
      <c r="AA5646" s="463" t="s">
        <v>17899</v>
      </c>
      <c r="AB5646" s="462" t="s">
        <v>17900</v>
      </c>
      <c r="AC5646" s="462" t="s">
        <v>17901</v>
      </c>
      <c r="AD5646" s="464">
        <v>424.27645999999999</v>
      </c>
      <c r="AE5646" s="465">
        <v>20.40925</v>
      </c>
      <c r="AF5646" s="86">
        <f>IF(verze!$E$1="CZK",AD5646,IF(verze!$E$1="SK",AE5646,""))</f>
        <v>20.40925</v>
      </c>
    </row>
    <row r="5647" spans="27:32" ht="15">
      <c r="AA5647" s="463" t="s">
        <v>17902</v>
      </c>
      <c r="AB5647" s="462" t="s">
        <v>17903</v>
      </c>
      <c r="AC5647" s="462" t="s">
        <v>17904</v>
      </c>
      <c r="AD5647" s="464">
        <v>636.16157999999996</v>
      </c>
      <c r="AE5647" s="465">
        <v>30.601659999999999</v>
      </c>
      <c r="AF5647" s="86">
        <f>IF(verze!$E$1="CZK",AD5647,IF(verze!$E$1="SK",AE5647,""))</f>
        <v>30.601659999999999</v>
      </c>
    </row>
    <row r="5648" spans="27:32" ht="15">
      <c r="AA5648" s="463" t="s">
        <v>17905</v>
      </c>
      <c r="AB5648" s="462" t="s">
        <v>17906</v>
      </c>
      <c r="AC5648" s="462" t="s">
        <v>17907</v>
      </c>
      <c r="AD5648" s="464">
        <v>636.16157999999996</v>
      </c>
      <c r="AE5648" s="465">
        <v>30.601659999999999</v>
      </c>
      <c r="AF5648" s="86">
        <f>IF(verze!$E$1="CZK",AD5648,IF(verze!$E$1="SK",AE5648,""))</f>
        <v>30.601659999999999</v>
      </c>
    </row>
    <row r="5649" spans="27:32" ht="15">
      <c r="AA5649" s="463" t="s">
        <v>17908</v>
      </c>
      <c r="AB5649" s="462" t="s">
        <v>17909</v>
      </c>
      <c r="AC5649" s="462" t="s">
        <v>17910</v>
      </c>
      <c r="AD5649" s="464">
        <v>636.16157999999996</v>
      </c>
      <c r="AE5649" s="465">
        <v>30.601659999999999</v>
      </c>
      <c r="AF5649" s="86">
        <f>IF(verze!$E$1="CZK",AD5649,IF(verze!$E$1="SK",AE5649,""))</f>
        <v>30.601659999999999</v>
      </c>
    </row>
    <row r="5650" spans="27:32" ht="15">
      <c r="AA5650" s="463" t="s">
        <v>17911</v>
      </c>
      <c r="AB5650" s="462" t="s">
        <v>17912</v>
      </c>
      <c r="AC5650" s="462" t="s">
        <v>17913</v>
      </c>
      <c r="AD5650" s="464">
        <v>646.80723</v>
      </c>
      <c r="AE5650" s="465">
        <v>31.113769999999999</v>
      </c>
      <c r="AF5650" s="86">
        <f>IF(verze!$E$1="CZK",AD5650,IF(verze!$E$1="SK",AE5650,""))</f>
        <v>31.113769999999999</v>
      </c>
    </row>
    <row r="5651" spans="27:32" ht="15">
      <c r="AA5651" s="463" t="s">
        <v>17914</v>
      </c>
      <c r="AB5651" s="462" t="s">
        <v>17915</v>
      </c>
      <c r="AC5651" s="462" t="s">
        <v>17916</v>
      </c>
      <c r="AD5651" s="464">
        <v>654.41003000000001</v>
      </c>
      <c r="AE5651" s="465">
        <v>31.479479999999999</v>
      </c>
      <c r="AF5651" s="86">
        <f>IF(verze!$E$1="CZK",AD5651,IF(verze!$E$1="SK",AE5651,""))</f>
        <v>31.479479999999999</v>
      </c>
    </row>
    <row r="5652" spans="27:32" ht="15">
      <c r="AA5652" s="463" t="s">
        <v>17917</v>
      </c>
      <c r="AB5652" s="462" t="s">
        <v>17918</v>
      </c>
      <c r="AC5652" s="462" t="s">
        <v>17919</v>
      </c>
      <c r="AD5652" s="464">
        <v>674.68634999999995</v>
      </c>
      <c r="AE5652" s="465">
        <v>32.45485</v>
      </c>
      <c r="AF5652" s="86">
        <f>IF(verze!$E$1="CZK",AD5652,IF(verze!$E$1="SK",AE5652,""))</f>
        <v>32.45485</v>
      </c>
    </row>
    <row r="5653" spans="27:32" ht="15">
      <c r="AA5653" s="463" t="s">
        <v>17920</v>
      </c>
      <c r="AB5653" s="462" t="s">
        <v>17921</v>
      </c>
      <c r="AC5653" s="462" t="s">
        <v>17922</v>
      </c>
      <c r="AD5653" s="464">
        <v>715.23888999999997</v>
      </c>
      <c r="AE5653" s="465">
        <v>34.40558</v>
      </c>
      <c r="AF5653" s="86">
        <f>IF(verze!$E$1="CZK",AD5653,IF(verze!$E$1="SK",AE5653,""))</f>
        <v>34.40558</v>
      </c>
    </row>
    <row r="5654" spans="27:32" ht="15">
      <c r="AA5654" s="463" t="s">
        <v>17923</v>
      </c>
      <c r="AB5654" s="462" t="s">
        <v>17924</v>
      </c>
      <c r="AC5654" s="462" t="s">
        <v>17925</v>
      </c>
      <c r="AD5654" s="464">
        <v>636.16157999999996</v>
      </c>
      <c r="AE5654" s="465">
        <v>30.601659999999999</v>
      </c>
      <c r="AF5654" s="86">
        <f>IF(verze!$E$1="CZK",AD5654,IF(verze!$E$1="SK",AE5654,""))</f>
        <v>30.601659999999999</v>
      </c>
    </row>
    <row r="5655" spans="27:32" ht="15">
      <c r="AA5655" s="463" t="s">
        <v>17926</v>
      </c>
      <c r="AB5655" s="462" t="s">
        <v>17927</v>
      </c>
      <c r="AC5655" s="462" t="s">
        <v>17928</v>
      </c>
      <c r="AD5655" s="464">
        <v>636.16157999999996</v>
      </c>
      <c r="AE5655" s="465">
        <v>30.601659999999999</v>
      </c>
      <c r="AF5655" s="86">
        <f>IF(verze!$E$1="CZK",AD5655,IF(verze!$E$1="SK",AE5655,""))</f>
        <v>30.601659999999999</v>
      </c>
    </row>
    <row r="5656" spans="27:32" ht="15">
      <c r="AA5656" s="463" t="s">
        <v>17929</v>
      </c>
      <c r="AB5656" s="462" t="s">
        <v>17930</v>
      </c>
      <c r="AC5656" s="462" t="s">
        <v>17931</v>
      </c>
      <c r="AD5656" s="464">
        <v>636.16157999999996</v>
      </c>
      <c r="AE5656" s="465">
        <v>30.601659999999999</v>
      </c>
      <c r="AF5656" s="86">
        <f>IF(verze!$E$1="CZK",AD5656,IF(verze!$E$1="SK",AE5656,""))</f>
        <v>30.601659999999999</v>
      </c>
    </row>
    <row r="5657" spans="27:32" ht="15">
      <c r="AA5657" s="463" t="s">
        <v>17932</v>
      </c>
      <c r="AB5657" s="462" t="s">
        <v>17933</v>
      </c>
      <c r="AC5657" s="462" t="s">
        <v>17934</v>
      </c>
      <c r="AD5657" s="464">
        <v>646.80723</v>
      </c>
      <c r="AE5657" s="465">
        <v>31.113769999999999</v>
      </c>
      <c r="AF5657" s="86">
        <f>IF(verze!$E$1="CZK",AD5657,IF(verze!$E$1="SK",AE5657,""))</f>
        <v>31.113769999999999</v>
      </c>
    </row>
    <row r="5658" spans="27:32" ht="15">
      <c r="AA5658" s="463" t="s">
        <v>17935</v>
      </c>
      <c r="AB5658" s="462" t="s">
        <v>17936</v>
      </c>
      <c r="AC5658" s="462" t="s">
        <v>17937</v>
      </c>
      <c r="AD5658" s="464">
        <v>654.41003000000001</v>
      </c>
      <c r="AE5658" s="465">
        <v>31.479479999999999</v>
      </c>
      <c r="AF5658" s="86">
        <f>IF(verze!$E$1="CZK",AD5658,IF(verze!$E$1="SK",AE5658,""))</f>
        <v>31.479479999999999</v>
      </c>
    </row>
    <row r="5659" spans="27:32" ht="15">
      <c r="AA5659" s="463" t="s">
        <v>17938</v>
      </c>
      <c r="AB5659" s="462" t="s">
        <v>17939</v>
      </c>
      <c r="AC5659" s="462" t="s">
        <v>17940</v>
      </c>
      <c r="AD5659" s="464">
        <v>674.68634999999995</v>
      </c>
      <c r="AE5659" s="465">
        <v>32.45485</v>
      </c>
      <c r="AF5659" s="86">
        <f>IF(verze!$E$1="CZK",AD5659,IF(verze!$E$1="SK",AE5659,""))</f>
        <v>32.45485</v>
      </c>
    </row>
    <row r="5660" spans="27:32" ht="15">
      <c r="AA5660" s="463" t="s">
        <v>17941</v>
      </c>
      <c r="AB5660" s="462" t="s">
        <v>17942</v>
      </c>
      <c r="AC5660" s="462" t="s">
        <v>17943</v>
      </c>
      <c r="AD5660" s="464">
        <v>715.23888999999997</v>
      </c>
      <c r="AE5660" s="465">
        <v>34.40558</v>
      </c>
      <c r="AF5660" s="86">
        <f>IF(verze!$E$1="CZK",AD5660,IF(verze!$E$1="SK",AE5660,""))</f>
        <v>34.40558</v>
      </c>
    </row>
    <row r="5661" spans="27:32" ht="15">
      <c r="AA5661" s="463" t="s">
        <v>17944</v>
      </c>
      <c r="AB5661" s="462" t="s">
        <v>17945</v>
      </c>
      <c r="AC5661" s="462" t="s">
        <v>17946</v>
      </c>
      <c r="AD5661" s="464">
        <v>636.16157999999996</v>
      </c>
      <c r="AE5661" s="465">
        <v>30.601659999999999</v>
      </c>
      <c r="AF5661" s="86">
        <f>IF(verze!$E$1="CZK",AD5661,IF(verze!$E$1="SK",AE5661,""))</f>
        <v>30.601659999999999</v>
      </c>
    </row>
    <row r="5662" spans="27:32" ht="15">
      <c r="AA5662" s="463" t="s">
        <v>17947</v>
      </c>
      <c r="AB5662" s="462" t="s">
        <v>17948</v>
      </c>
      <c r="AC5662" s="462" t="s">
        <v>17949</v>
      </c>
      <c r="AD5662" s="464">
        <v>636.16157999999996</v>
      </c>
      <c r="AE5662" s="465">
        <v>30.601659999999999</v>
      </c>
      <c r="AF5662" s="86">
        <f>IF(verze!$E$1="CZK",AD5662,IF(verze!$E$1="SK",AE5662,""))</f>
        <v>30.601659999999999</v>
      </c>
    </row>
    <row r="5663" spans="27:32" ht="15">
      <c r="AA5663" s="463" t="s">
        <v>17950</v>
      </c>
      <c r="AB5663" s="462" t="s">
        <v>17951</v>
      </c>
      <c r="AC5663" s="462" t="s">
        <v>17952</v>
      </c>
      <c r="AD5663" s="464">
        <v>636.16157999999996</v>
      </c>
      <c r="AE5663" s="465">
        <v>30.601659999999999</v>
      </c>
      <c r="AF5663" s="86">
        <f>IF(verze!$E$1="CZK",AD5663,IF(verze!$E$1="SK",AE5663,""))</f>
        <v>30.601659999999999</v>
      </c>
    </row>
    <row r="5664" spans="27:32" ht="15">
      <c r="AA5664" s="463" t="s">
        <v>17953</v>
      </c>
      <c r="AB5664" s="462" t="s">
        <v>17954</v>
      </c>
      <c r="AC5664" s="462" t="s">
        <v>17955</v>
      </c>
      <c r="AD5664" s="464">
        <v>646.80723</v>
      </c>
      <c r="AE5664" s="465">
        <v>31.113769999999999</v>
      </c>
      <c r="AF5664" s="86">
        <f>IF(verze!$E$1="CZK",AD5664,IF(verze!$E$1="SK",AE5664,""))</f>
        <v>31.113769999999999</v>
      </c>
    </row>
    <row r="5665" spans="27:32" ht="15">
      <c r="AA5665" s="463" t="s">
        <v>17956</v>
      </c>
      <c r="AB5665" s="462" t="s">
        <v>17957</v>
      </c>
      <c r="AC5665" s="462" t="s">
        <v>17958</v>
      </c>
      <c r="AD5665" s="464">
        <v>654.41003000000001</v>
      </c>
      <c r="AE5665" s="465">
        <v>31.479479999999999</v>
      </c>
      <c r="AF5665" s="86">
        <f>IF(verze!$E$1="CZK",AD5665,IF(verze!$E$1="SK",AE5665,""))</f>
        <v>31.479479999999999</v>
      </c>
    </row>
    <row r="5666" spans="27:32" ht="15">
      <c r="AA5666" s="463" t="s">
        <v>17959</v>
      </c>
      <c r="AB5666" s="462" t="s">
        <v>17960</v>
      </c>
      <c r="AC5666" s="462" t="s">
        <v>17961</v>
      </c>
      <c r="AD5666" s="464">
        <v>674.68634999999995</v>
      </c>
      <c r="AE5666" s="465">
        <v>32.45485</v>
      </c>
      <c r="AF5666" s="86">
        <f>IF(verze!$E$1="CZK",AD5666,IF(verze!$E$1="SK",AE5666,""))</f>
        <v>32.45485</v>
      </c>
    </row>
    <row r="5667" spans="27:32" ht="15">
      <c r="AA5667" s="463" t="s">
        <v>17962</v>
      </c>
      <c r="AB5667" s="462" t="s">
        <v>17963</v>
      </c>
      <c r="AC5667" s="462" t="s">
        <v>17964</v>
      </c>
      <c r="AD5667" s="464">
        <v>715.23888999999997</v>
      </c>
      <c r="AE5667" s="465">
        <v>34.40558</v>
      </c>
      <c r="AF5667" s="86">
        <f>IF(verze!$E$1="CZK",AD5667,IF(verze!$E$1="SK",AE5667,""))</f>
        <v>34.40558</v>
      </c>
    </row>
    <row r="5668" spans="27:32" ht="15">
      <c r="AA5668" s="463" t="s">
        <v>17965</v>
      </c>
      <c r="AB5668" s="462" t="s">
        <v>17966</v>
      </c>
      <c r="AC5668" s="462" t="s">
        <v>17967</v>
      </c>
      <c r="AD5668" s="464">
        <v>679.36054000000001</v>
      </c>
      <c r="AE5668" s="465">
        <v>32.679699999999997</v>
      </c>
      <c r="AF5668" s="86">
        <f>IF(verze!$E$1="CZK",AD5668,IF(verze!$E$1="SK",AE5668,""))</f>
        <v>32.679699999999997</v>
      </c>
    </row>
    <row r="5669" spans="27:32" ht="15">
      <c r="AA5669" s="463" t="s">
        <v>17968</v>
      </c>
      <c r="AB5669" s="462" t="s">
        <v>17969</v>
      </c>
      <c r="AC5669" s="462" t="s">
        <v>17970</v>
      </c>
      <c r="AD5669" s="464">
        <v>692.42897000000005</v>
      </c>
      <c r="AE5669" s="465">
        <v>33.308329999999998</v>
      </c>
      <c r="AF5669" s="86">
        <f>IF(verze!$E$1="CZK",AD5669,IF(verze!$E$1="SK",AE5669,""))</f>
        <v>33.308329999999998</v>
      </c>
    </row>
    <row r="5670" spans="27:32" ht="15">
      <c r="AA5670" s="463" t="s">
        <v>17971</v>
      </c>
      <c r="AB5670" s="462" t="s">
        <v>17972</v>
      </c>
      <c r="AC5670" s="462" t="s">
        <v>17973</v>
      </c>
      <c r="AD5670" s="464">
        <v>692.42897000000005</v>
      </c>
      <c r="AE5670" s="465">
        <v>33.308329999999998</v>
      </c>
      <c r="AF5670" s="86">
        <f>IF(verze!$E$1="CZK",AD5670,IF(verze!$E$1="SK",AE5670,""))</f>
        <v>33.308329999999998</v>
      </c>
    </row>
    <row r="5671" spans="27:32" ht="15">
      <c r="AA5671" s="463" t="s">
        <v>17974</v>
      </c>
      <c r="AB5671" s="462" t="s">
        <v>17975</v>
      </c>
      <c r="AC5671" s="462" t="s">
        <v>17976</v>
      </c>
      <c r="AD5671" s="464">
        <v>703.14977999999996</v>
      </c>
      <c r="AE5671" s="465">
        <v>33.82405</v>
      </c>
      <c r="AF5671" s="86">
        <f>IF(verze!$E$1="CZK",AD5671,IF(verze!$E$1="SK",AE5671,""))</f>
        <v>33.82405</v>
      </c>
    </row>
    <row r="5672" spans="27:32" ht="15">
      <c r="AA5672" s="463" t="s">
        <v>17977</v>
      </c>
      <c r="AB5672" s="462" t="s">
        <v>17978</v>
      </c>
      <c r="AC5672" s="462" t="s">
        <v>17979</v>
      </c>
      <c r="AD5672" s="464">
        <v>710.80604000000005</v>
      </c>
      <c r="AE5672" s="465">
        <v>34.192329999999998</v>
      </c>
      <c r="AF5672" s="86">
        <f>IF(verze!$E$1="CZK",AD5672,IF(verze!$E$1="SK",AE5672,""))</f>
        <v>34.192329999999998</v>
      </c>
    </row>
    <row r="5673" spans="27:32" ht="15">
      <c r="AA5673" s="463" t="s">
        <v>17980</v>
      </c>
      <c r="AB5673" s="462" t="s">
        <v>17981</v>
      </c>
      <c r="AC5673" s="462" t="s">
        <v>17982</v>
      </c>
      <c r="AD5673" s="464">
        <v>731.22536000000002</v>
      </c>
      <c r="AE5673" s="465">
        <v>35.174579999999999</v>
      </c>
      <c r="AF5673" s="86">
        <f>IF(verze!$E$1="CZK",AD5673,IF(verze!$E$1="SK",AE5673,""))</f>
        <v>35.174579999999999</v>
      </c>
    </row>
    <row r="5674" spans="27:32" ht="15">
      <c r="AA5674" s="463" t="s">
        <v>17983</v>
      </c>
      <c r="AB5674" s="462" t="s">
        <v>17984</v>
      </c>
      <c r="AC5674" s="462" t="s">
        <v>17985</v>
      </c>
      <c r="AD5674" s="464">
        <v>772.06380999999999</v>
      </c>
      <c r="AE5674" s="465">
        <v>37.139049999999997</v>
      </c>
      <c r="AF5674" s="86">
        <f>IF(verze!$E$1="CZK",AD5674,IF(verze!$E$1="SK",AE5674,""))</f>
        <v>37.139049999999997</v>
      </c>
    </row>
    <row r="5675" spans="27:32" ht="15">
      <c r="AA5675" s="463" t="s">
        <v>17986</v>
      </c>
      <c r="AB5675" s="462" t="s">
        <v>17987</v>
      </c>
      <c r="AC5675" s="462" t="s">
        <v>17988</v>
      </c>
      <c r="AD5675" s="464">
        <v>679.36054000000001</v>
      </c>
      <c r="AE5675" s="465">
        <v>32.679699999999997</v>
      </c>
      <c r="AF5675" s="86">
        <f>IF(verze!$E$1="CZK",AD5675,IF(verze!$E$1="SK",AE5675,""))</f>
        <v>32.679699999999997</v>
      </c>
    </row>
    <row r="5676" spans="27:32" ht="15">
      <c r="AA5676" s="463" t="s">
        <v>17989</v>
      </c>
      <c r="AB5676" s="462" t="s">
        <v>17990</v>
      </c>
      <c r="AC5676" s="462" t="s">
        <v>17991</v>
      </c>
      <c r="AD5676" s="464">
        <v>692.42897000000005</v>
      </c>
      <c r="AE5676" s="465">
        <v>33.308329999999998</v>
      </c>
      <c r="AF5676" s="86">
        <f>IF(verze!$E$1="CZK",AD5676,IF(verze!$E$1="SK",AE5676,""))</f>
        <v>33.308329999999998</v>
      </c>
    </row>
    <row r="5677" spans="27:32" ht="15">
      <c r="AA5677" s="463" t="s">
        <v>17992</v>
      </c>
      <c r="AB5677" s="462" t="s">
        <v>17993</v>
      </c>
      <c r="AC5677" s="462" t="s">
        <v>17994</v>
      </c>
      <c r="AD5677" s="464">
        <v>692.42897000000005</v>
      </c>
      <c r="AE5677" s="465">
        <v>33.308329999999998</v>
      </c>
      <c r="AF5677" s="86">
        <f>IF(verze!$E$1="CZK",AD5677,IF(verze!$E$1="SK",AE5677,""))</f>
        <v>33.308329999999998</v>
      </c>
    </row>
    <row r="5678" spans="27:32" ht="15">
      <c r="AA5678" s="463" t="s">
        <v>17995</v>
      </c>
      <c r="AB5678" s="462" t="s">
        <v>17996</v>
      </c>
      <c r="AC5678" s="462" t="s">
        <v>17997</v>
      </c>
      <c r="AD5678" s="464">
        <v>703.14977999999996</v>
      </c>
      <c r="AE5678" s="465">
        <v>33.82405</v>
      </c>
      <c r="AF5678" s="86">
        <f>IF(verze!$E$1="CZK",AD5678,IF(verze!$E$1="SK",AE5678,""))</f>
        <v>33.82405</v>
      </c>
    </row>
    <row r="5679" spans="27:32" ht="15">
      <c r="AA5679" s="463" t="s">
        <v>17998</v>
      </c>
      <c r="AB5679" s="462" t="s">
        <v>17999</v>
      </c>
      <c r="AC5679" s="462" t="s">
        <v>18000</v>
      </c>
      <c r="AD5679" s="464">
        <v>710.80604000000005</v>
      </c>
      <c r="AE5679" s="465">
        <v>34.192329999999998</v>
      </c>
      <c r="AF5679" s="86">
        <f>IF(verze!$E$1="CZK",AD5679,IF(verze!$E$1="SK",AE5679,""))</f>
        <v>34.192329999999998</v>
      </c>
    </row>
    <row r="5680" spans="27:32" ht="15">
      <c r="AA5680" s="463" t="s">
        <v>18001</v>
      </c>
      <c r="AB5680" s="462" t="s">
        <v>18002</v>
      </c>
      <c r="AC5680" s="462" t="s">
        <v>18003</v>
      </c>
      <c r="AD5680" s="464">
        <v>731.22536000000002</v>
      </c>
      <c r="AE5680" s="465">
        <v>35.174579999999999</v>
      </c>
      <c r="AF5680" s="86">
        <f>IF(verze!$E$1="CZK",AD5680,IF(verze!$E$1="SK",AE5680,""))</f>
        <v>35.174579999999999</v>
      </c>
    </row>
    <row r="5681" spans="27:32" ht="15">
      <c r="AA5681" s="463" t="s">
        <v>18004</v>
      </c>
      <c r="AB5681" s="462" t="s">
        <v>18005</v>
      </c>
      <c r="AC5681" s="462" t="s">
        <v>18006</v>
      </c>
      <c r="AD5681" s="464">
        <v>772.06380999999999</v>
      </c>
      <c r="AE5681" s="465">
        <v>37.139049999999997</v>
      </c>
      <c r="AF5681" s="86">
        <f>IF(verze!$E$1="CZK",AD5681,IF(verze!$E$1="SK",AE5681,""))</f>
        <v>37.139049999999997</v>
      </c>
    </row>
    <row r="5682" spans="27:32" ht="15">
      <c r="AA5682" s="463" t="s">
        <v>18007</v>
      </c>
      <c r="AB5682" s="462" t="s">
        <v>18008</v>
      </c>
      <c r="AC5682" s="462" t="s">
        <v>18009</v>
      </c>
      <c r="AD5682" s="464">
        <v>679.36054000000001</v>
      </c>
      <c r="AE5682" s="465">
        <v>32.679699999999997</v>
      </c>
      <c r="AF5682" s="86">
        <f>IF(verze!$E$1="CZK",AD5682,IF(verze!$E$1="SK",AE5682,""))</f>
        <v>32.679699999999997</v>
      </c>
    </row>
    <row r="5683" spans="27:32" ht="15">
      <c r="AA5683" s="463" t="s">
        <v>18010</v>
      </c>
      <c r="AB5683" s="462" t="s">
        <v>18011</v>
      </c>
      <c r="AC5683" s="462" t="s">
        <v>18012</v>
      </c>
      <c r="AD5683" s="464">
        <v>692.42897000000005</v>
      </c>
      <c r="AE5683" s="465">
        <v>33.308329999999998</v>
      </c>
      <c r="AF5683" s="86">
        <f>IF(verze!$E$1="CZK",AD5683,IF(verze!$E$1="SK",AE5683,""))</f>
        <v>33.308329999999998</v>
      </c>
    </row>
    <row r="5684" spans="27:32" ht="15">
      <c r="AA5684" s="463" t="s">
        <v>18013</v>
      </c>
      <c r="AB5684" s="462" t="s">
        <v>18014</v>
      </c>
      <c r="AC5684" s="462" t="s">
        <v>18015</v>
      </c>
      <c r="AD5684" s="464">
        <v>692.42897000000005</v>
      </c>
      <c r="AE5684" s="465">
        <v>33.308329999999998</v>
      </c>
      <c r="AF5684" s="86">
        <f>IF(verze!$E$1="CZK",AD5684,IF(verze!$E$1="SK",AE5684,""))</f>
        <v>33.308329999999998</v>
      </c>
    </row>
    <row r="5685" spans="27:32" ht="15">
      <c r="AA5685" s="463" t="s">
        <v>18016</v>
      </c>
      <c r="AB5685" s="462" t="s">
        <v>18017</v>
      </c>
      <c r="AC5685" s="462" t="s">
        <v>18018</v>
      </c>
      <c r="AD5685" s="464">
        <v>703.14977999999996</v>
      </c>
      <c r="AE5685" s="465">
        <v>33.82405</v>
      </c>
      <c r="AF5685" s="86">
        <f>IF(verze!$E$1="CZK",AD5685,IF(verze!$E$1="SK",AE5685,""))</f>
        <v>33.82405</v>
      </c>
    </row>
    <row r="5686" spans="27:32" ht="15">
      <c r="AA5686" s="463" t="s">
        <v>18019</v>
      </c>
      <c r="AB5686" s="462" t="s">
        <v>18020</v>
      </c>
      <c r="AC5686" s="462" t="s">
        <v>18021</v>
      </c>
      <c r="AD5686" s="464">
        <v>696.58991000000003</v>
      </c>
      <c r="AE5686" s="465">
        <v>33.508479999999999</v>
      </c>
      <c r="AF5686" s="86">
        <f>IF(verze!$E$1="CZK",AD5686,IF(verze!$E$1="SK",AE5686,""))</f>
        <v>33.508479999999999</v>
      </c>
    </row>
    <row r="5687" spans="27:32" ht="15">
      <c r="AA5687" s="463" t="s">
        <v>18022</v>
      </c>
      <c r="AB5687" s="462" t="s">
        <v>18023</v>
      </c>
      <c r="AC5687" s="462" t="s">
        <v>18024</v>
      </c>
      <c r="AD5687" s="464">
        <v>731.22536000000002</v>
      </c>
      <c r="AE5687" s="465">
        <v>35.174579999999999</v>
      </c>
      <c r="AF5687" s="86">
        <f>IF(verze!$E$1="CZK",AD5687,IF(verze!$E$1="SK",AE5687,""))</f>
        <v>35.174579999999999</v>
      </c>
    </row>
    <row r="5688" spans="27:32" ht="15">
      <c r="AA5688" s="463" t="s">
        <v>18025</v>
      </c>
      <c r="AB5688" s="462" t="s">
        <v>18026</v>
      </c>
      <c r="AC5688" s="462" t="s">
        <v>18027</v>
      </c>
      <c r="AD5688" s="464">
        <v>772.06380999999999</v>
      </c>
      <c r="AE5688" s="465">
        <v>37.139049999999997</v>
      </c>
      <c r="AF5688" s="86">
        <f>IF(verze!$E$1="CZK",AD5688,IF(verze!$E$1="SK",AE5688,""))</f>
        <v>37.139049999999997</v>
      </c>
    </row>
    <row r="5689" spans="27:32" ht="15">
      <c r="AA5689" s="463" t="s">
        <v>18028</v>
      </c>
      <c r="AB5689" s="462" t="s">
        <v>18029</v>
      </c>
      <c r="AC5689" s="462" t="s">
        <v>18030</v>
      </c>
      <c r="AD5689" s="464">
        <v>622.72041000000002</v>
      </c>
      <c r="AE5689" s="465">
        <v>29.955089999999998</v>
      </c>
      <c r="AF5689" s="86">
        <f>IF(verze!$E$1="CZK",AD5689,IF(verze!$E$1="SK",AE5689,""))</f>
        <v>29.955089999999998</v>
      </c>
    </row>
    <row r="5690" spans="27:32" ht="15">
      <c r="AA5690" s="463" t="s">
        <v>18031</v>
      </c>
      <c r="AB5690" s="462" t="s">
        <v>18032</v>
      </c>
      <c r="AC5690" s="462" t="s">
        <v>18033</v>
      </c>
      <c r="AD5690" s="464">
        <v>610.71753000000001</v>
      </c>
      <c r="AE5690" s="465">
        <v>29.37772</v>
      </c>
      <c r="AF5690" s="86">
        <f>IF(verze!$E$1="CZK",AD5690,IF(verze!$E$1="SK",AE5690,""))</f>
        <v>29.37772</v>
      </c>
    </row>
    <row r="5691" spans="27:32" ht="15">
      <c r="AA5691" s="463" t="s">
        <v>18034</v>
      </c>
      <c r="AB5691" s="462" t="s">
        <v>18035</v>
      </c>
      <c r="AC5691" s="462" t="s">
        <v>18036</v>
      </c>
      <c r="AD5691" s="464">
        <v>606.71727999999996</v>
      </c>
      <c r="AE5691" s="465">
        <v>29.185300000000002</v>
      </c>
      <c r="AF5691" s="86">
        <f>IF(verze!$E$1="CZK",AD5691,IF(verze!$E$1="SK",AE5691,""))</f>
        <v>29.185300000000002</v>
      </c>
    </row>
    <row r="5692" spans="27:32" ht="15">
      <c r="AA5692" s="463" t="s">
        <v>18037</v>
      </c>
      <c r="AB5692" s="462" t="s">
        <v>18038</v>
      </c>
      <c r="AC5692" s="462" t="s">
        <v>18039</v>
      </c>
      <c r="AD5692" s="464">
        <v>601.11848999999995</v>
      </c>
      <c r="AE5692" s="465">
        <v>28.915970000000002</v>
      </c>
      <c r="AF5692" s="86">
        <f>IF(verze!$E$1="CZK",AD5692,IF(verze!$E$1="SK",AE5692,""))</f>
        <v>28.915970000000002</v>
      </c>
    </row>
    <row r="5693" spans="27:32" ht="15">
      <c r="AA5693" s="463" t="s">
        <v>18040</v>
      </c>
      <c r="AB5693" s="462" t="s">
        <v>18041</v>
      </c>
      <c r="AC5693" s="462" t="s">
        <v>18042</v>
      </c>
      <c r="AD5693" s="464">
        <v>601.11848999999995</v>
      </c>
      <c r="AE5693" s="465">
        <v>28.915970000000002</v>
      </c>
      <c r="AF5693" s="86">
        <f>IF(verze!$E$1="CZK",AD5693,IF(verze!$E$1="SK",AE5693,""))</f>
        <v>28.915970000000002</v>
      </c>
    </row>
    <row r="5694" spans="27:32" ht="15">
      <c r="AA5694" s="463" t="s">
        <v>18043</v>
      </c>
      <c r="AB5694" s="462" t="s">
        <v>18044</v>
      </c>
      <c r="AC5694" s="462" t="s">
        <v>18045</v>
      </c>
      <c r="AD5694" s="464">
        <v>610.71753000000001</v>
      </c>
      <c r="AE5694" s="465">
        <v>29.37772</v>
      </c>
      <c r="AF5694" s="86">
        <f>IF(verze!$E$1="CZK",AD5694,IF(verze!$E$1="SK",AE5694,""))</f>
        <v>29.37772</v>
      </c>
    </row>
    <row r="5695" spans="27:32" ht="15">
      <c r="AA5695" s="463" t="s">
        <v>18046</v>
      </c>
      <c r="AB5695" s="462" t="s">
        <v>18047</v>
      </c>
      <c r="AC5695" s="462" t="s">
        <v>18048</v>
      </c>
      <c r="AD5695" s="464">
        <v>606.71727999999996</v>
      </c>
      <c r="AE5695" s="465">
        <v>29.185300000000002</v>
      </c>
      <c r="AF5695" s="86">
        <f>IF(verze!$E$1="CZK",AD5695,IF(verze!$E$1="SK",AE5695,""))</f>
        <v>29.185300000000002</v>
      </c>
    </row>
    <row r="5696" spans="27:32" ht="15">
      <c r="AA5696" s="463" t="s">
        <v>18049</v>
      </c>
      <c r="AB5696" s="462" t="s">
        <v>18050</v>
      </c>
      <c r="AC5696" s="462" t="s">
        <v>18051</v>
      </c>
      <c r="AD5696" s="464">
        <v>476.00407999999999</v>
      </c>
      <c r="AE5696" s="465">
        <v>22.89752</v>
      </c>
      <c r="AF5696" s="86">
        <f>IF(verze!$E$1="CZK",AD5696,IF(verze!$E$1="SK",AE5696,""))</f>
        <v>22.89752</v>
      </c>
    </row>
    <row r="5697" spans="27:32" ht="15">
      <c r="AA5697" s="463" t="s">
        <v>18052</v>
      </c>
      <c r="AB5697" s="462" t="s">
        <v>18053</v>
      </c>
      <c r="AC5697" s="462" t="s">
        <v>18054</v>
      </c>
      <c r="AD5697" s="464">
        <v>471.67948000000001</v>
      </c>
      <c r="AE5697" s="465">
        <v>22.689489999999999</v>
      </c>
      <c r="AF5697" s="86">
        <f>IF(verze!$E$1="CZK",AD5697,IF(verze!$E$1="SK",AE5697,""))</f>
        <v>22.689489999999999</v>
      </c>
    </row>
    <row r="5698" spans="27:32" ht="15">
      <c r="AA5698" s="463" t="s">
        <v>18055</v>
      </c>
      <c r="AB5698" s="462" t="s">
        <v>18056</v>
      </c>
      <c r="AC5698" s="462" t="s">
        <v>18057</v>
      </c>
      <c r="AD5698" s="464">
        <v>467.35487999999998</v>
      </c>
      <c r="AE5698" s="465">
        <v>22.481470000000002</v>
      </c>
      <c r="AF5698" s="86">
        <f>IF(verze!$E$1="CZK",AD5698,IF(verze!$E$1="SK",AE5698,""))</f>
        <v>22.481470000000002</v>
      </c>
    </row>
    <row r="5699" spans="27:32" ht="15">
      <c r="AA5699" s="463" t="s">
        <v>18058</v>
      </c>
      <c r="AB5699" s="462" t="s">
        <v>18059</v>
      </c>
      <c r="AC5699" s="462" t="s">
        <v>18060</v>
      </c>
      <c r="AD5699" s="464">
        <v>461.29987</v>
      </c>
      <c r="AE5699" s="465">
        <v>22.190180000000002</v>
      </c>
      <c r="AF5699" s="86">
        <f>IF(verze!$E$1="CZK",AD5699,IF(verze!$E$1="SK",AE5699,""))</f>
        <v>22.190180000000002</v>
      </c>
    </row>
    <row r="5700" spans="27:32" ht="15">
      <c r="AA5700" s="463" t="s">
        <v>18061</v>
      </c>
      <c r="AB5700" s="462" t="s">
        <v>18062</v>
      </c>
      <c r="AC5700" s="462" t="s">
        <v>18063</v>
      </c>
      <c r="AD5700" s="464">
        <v>463.34440000000001</v>
      </c>
      <c r="AE5700" s="465">
        <v>21.80716</v>
      </c>
      <c r="AF5700" s="86">
        <f>IF(verze!$E$1="CZK",AD5700,IF(verze!$E$1="SK",AE5700,""))</f>
        <v>21.80716</v>
      </c>
    </row>
    <row r="5701" spans="27:32" ht="15">
      <c r="AA5701" s="463" t="s">
        <v>18064</v>
      </c>
      <c r="AB5701" s="462" t="s">
        <v>18065</v>
      </c>
      <c r="AC5701" s="462" t="s">
        <v>18066</v>
      </c>
      <c r="AD5701" s="464">
        <v>467.35487999999998</v>
      </c>
      <c r="AE5701" s="465">
        <v>22.481470000000002</v>
      </c>
      <c r="AF5701" s="86">
        <f>IF(verze!$E$1="CZK",AD5701,IF(verze!$E$1="SK",AE5701,""))</f>
        <v>22.481470000000002</v>
      </c>
    </row>
    <row r="5702" spans="27:32" ht="15">
      <c r="AA5702" s="463" t="s">
        <v>18067</v>
      </c>
      <c r="AB5702" s="462" t="s">
        <v>18068</v>
      </c>
      <c r="AC5702" s="462" t="s">
        <v>18069</v>
      </c>
      <c r="AD5702" s="464">
        <v>461.29987</v>
      </c>
      <c r="AE5702" s="465">
        <v>22.190180000000002</v>
      </c>
      <c r="AF5702" s="86">
        <f>IF(verze!$E$1="CZK",AD5702,IF(verze!$E$1="SK",AE5702,""))</f>
        <v>22.190180000000002</v>
      </c>
    </row>
    <row r="5703" spans="27:32" ht="15">
      <c r="AA5703" s="463" t="s">
        <v>18070</v>
      </c>
      <c r="AB5703" s="462" t="s">
        <v>18071</v>
      </c>
      <c r="AC5703" s="462" t="s">
        <v>18072</v>
      </c>
      <c r="AD5703" s="464">
        <v>10.03952</v>
      </c>
      <c r="AE5703" s="465">
        <v>0.48296</v>
      </c>
      <c r="AF5703" s="86">
        <f>IF(verze!$E$1="CZK",AD5703,IF(verze!$E$1="SK",AE5703,""))</f>
        <v>0.48296</v>
      </c>
    </row>
    <row r="5704" spans="27:32" ht="15">
      <c r="AA5704" s="463" t="s">
        <v>18073</v>
      </c>
      <c r="AB5704" s="462" t="s">
        <v>18074</v>
      </c>
      <c r="AC5704" s="462" t="s">
        <v>18075</v>
      </c>
      <c r="AD5704" s="464">
        <v>19.827269999999999</v>
      </c>
      <c r="AE5704" s="465">
        <v>0.95377999999999996</v>
      </c>
      <c r="AF5704" s="86">
        <f>IF(verze!$E$1="CZK",AD5704,IF(verze!$E$1="SK",AE5704,""))</f>
        <v>0.95377999999999996</v>
      </c>
    </row>
    <row r="5705" spans="27:32" ht="15">
      <c r="AA5705" s="463" t="s">
        <v>18076</v>
      </c>
      <c r="AB5705" s="462" t="s">
        <v>18077</v>
      </c>
      <c r="AC5705" s="462" t="s">
        <v>18078</v>
      </c>
      <c r="AD5705" s="464">
        <v>19.827269999999999</v>
      </c>
      <c r="AE5705" s="465">
        <v>0.95377999999999996</v>
      </c>
      <c r="AF5705" s="86">
        <f>IF(verze!$E$1="CZK",AD5705,IF(verze!$E$1="SK",AE5705,""))</f>
        <v>0.95377999999999996</v>
      </c>
    </row>
    <row r="5706" spans="27:32" ht="15">
      <c r="AA5706" s="463" t="s">
        <v>18079</v>
      </c>
      <c r="AB5706" s="462" t="s">
        <v>18080</v>
      </c>
      <c r="AC5706" s="462" t="s">
        <v>18081</v>
      </c>
      <c r="AD5706" s="464">
        <v>20.074400000000001</v>
      </c>
      <c r="AE5706" s="465">
        <v>0.96565999999999996</v>
      </c>
      <c r="AF5706" s="86">
        <f>IF(verze!$E$1="CZK",AD5706,IF(verze!$E$1="SK",AE5706,""))</f>
        <v>0.96565999999999996</v>
      </c>
    </row>
    <row r="5707" spans="27:32" ht="15">
      <c r="AA5707" s="463" t="s">
        <v>18082</v>
      </c>
      <c r="AB5707" s="462" t="s">
        <v>18083</v>
      </c>
      <c r="AC5707" s="462" t="s">
        <v>18084</v>
      </c>
      <c r="AD5707" s="464">
        <v>33.125540000000001</v>
      </c>
      <c r="AE5707" s="465">
        <v>1.5934600000000001</v>
      </c>
      <c r="AF5707" s="86">
        <f>IF(verze!$E$1="CZK",AD5707,IF(verze!$E$1="SK",AE5707,""))</f>
        <v>1.5934600000000001</v>
      </c>
    </row>
    <row r="5708" spans="27:32" ht="15">
      <c r="AA5708" s="463" t="s">
        <v>18085</v>
      </c>
      <c r="AB5708" s="462" t="s">
        <v>18086</v>
      </c>
      <c r="AC5708" s="462" t="s">
        <v>18087</v>
      </c>
      <c r="AD5708" s="464">
        <v>27.605840000000001</v>
      </c>
      <c r="AE5708" s="465">
        <v>1.3279399999999999</v>
      </c>
      <c r="AF5708" s="86">
        <f>IF(verze!$E$1="CZK",AD5708,IF(verze!$E$1="SK",AE5708,""))</f>
        <v>1.3279399999999999</v>
      </c>
    </row>
    <row r="5709" spans="27:32" ht="15">
      <c r="AA5709" s="463" t="s">
        <v>18088</v>
      </c>
      <c r="AB5709" s="462" t="s">
        <v>18089</v>
      </c>
      <c r="AC5709" s="462" t="s">
        <v>18090</v>
      </c>
      <c r="AD5709" s="464">
        <v>3.9029400000000001</v>
      </c>
      <c r="AE5709" s="465">
        <v>0.18773999999999999</v>
      </c>
      <c r="AF5709" s="86">
        <f>IF(verze!$E$1="CZK",AD5709,IF(verze!$E$1="SK",AE5709,""))</f>
        <v>0.18773999999999999</v>
      </c>
    </row>
    <row r="5710" spans="27:32" ht="15">
      <c r="AA5710" s="463" t="s">
        <v>18091</v>
      </c>
      <c r="AB5710" s="462" t="s">
        <v>18092</v>
      </c>
      <c r="AC5710" s="462" t="s">
        <v>18093</v>
      </c>
      <c r="AD5710" s="464">
        <v>3.9029400000000001</v>
      </c>
      <c r="AE5710" s="465">
        <v>0.18773999999999999</v>
      </c>
      <c r="AF5710" s="86">
        <f>IF(verze!$E$1="CZK",AD5710,IF(verze!$E$1="SK",AE5710,""))</f>
        <v>0.18773999999999999</v>
      </c>
    </row>
    <row r="5711" spans="27:32" ht="15">
      <c r="AA5711" s="463" t="s">
        <v>18094</v>
      </c>
      <c r="AB5711" s="462" t="s">
        <v>18095</v>
      </c>
      <c r="AC5711" s="462" t="s">
        <v>18096</v>
      </c>
      <c r="AD5711" s="464">
        <v>4.7636399999999997</v>
      </c>
      <c r="AE5711" s="465">
        <v>0.22914999999999999</v>
      </c>
      <c r="AF5711" s="86">
        <f>IF(verze!$E$1="CZK",AD5711,IF(verze!$E$1="SK",AE5711,""))</f>
        <v>0.22914999999999999</v>
      </c>
    </row>
    <row r="5712" spans="27:32" ht="15">
      <c r="AA5712" s="463" t="s">
        <v>18097</v>
      </c>
      <c r="AB5712" s="462" t="s">
        <v>18098</v>
      </c>
      <c r="AC5712" s="462" t="s">
        <v>18099</v>
      </c>
      <c r="AD5712" s="464">
        <v>2044.8021200000001</v>
      </c>
      <c r="AE5712" s="465">
        <v>98.362359999999995</v>
      </c>
      <c r="AF5712" s="86">
        <f>IF(verze!$E$1="CZK",AD5712,IF(verze!$E$1="SK",AE5712,""))</f>
        <v>98.362359999999995</v>
      </c>
    </row>
    <row r="5713" spans="27:32" ht="15">
      <c r="AA5713" s="463" t="s">
        <v>18100</v>
      </c>
      <c r="AB5713" s="462" t="s">
        <v>18101</v>
      </c>
      <c r="AC5713" s="462" t="s">
        <v>18102</v>
      </c>
      <c r="AD5713" s="464">
        <v>1648.88733</v>
      </c>
      <c r="AE5713" s="465">
        <v>79.317419999999998</v>
      </c>
      <c r="AF5713" s="86">
        <f>IF(verze!$E$1="CZK",AD5713,IF(verze!$E$1="SK",AE5713,""))</f>
        <v>79.317419999999998</v>
      </c>
    </row>
    <row r="5714" spans="27:32" ht="15">
      <c r="AA5714" s="463" t="s">
        <v>18103</v>
      </c>
      <c r="AB5714" s="462" t="s">
        <v>18104</v>
      </c>
      <c r="AC5714" s="462" t="s">
        <v>18105</v>
      </c>
      <c r="AD5714" s="464">
        <v>17888.913919999999</v>
      </c>
      <c r="AE5714" s="465">
        <v>679.80154000000005</v>
      </c>
      <c r="AF5714" s="86">
        <f>IF(verze!$E$1="CZK",AD5714,IF(verze!$E$1="SK",AE5714,""))</f>
        <v>679.80154000000005</v>
      </c>
    </row>
    <row r="5715" spans="27:32" ht="15">
      <c r="AA5715" s="463" t="s">
        <v>18106</v>
      </c>
      <c r="AB5715" s="462" t="s">
        <v>18107</v>
      </c>
      <c r="AC5715" s="462" t="s">
        <v>18108</v>
      </c>
      <c r="AD5715" s="464">
        <v>1260.1302599999999</v>
      </c>
      <c r="AE5715" s="465">
        <v>50.411479999999997</v>
      </c>
      <c r="AF5715" s="86">
        <f>IF(verze!$E$1="CZK",AD5715,IF(verze!$E$1="SK",AE5715,""))</f>
        <v>50.411479999999997</v>
      </c>
    </row>
    <row r="5716" spans="27:32" ht="15">
      <c r="AA5716" s="463" t="s">
        <v>18109</v>
      </c>
      <c r="AB5716" s="462" t="s">
        <v>18110</v>
      </c>
      <c r="AC5716" s="462" t="s">
        <v>18111</v>
      </c>
      <c r="AD5716" s="464">
        <v>2033.26487</v>
      </c>
      <c r="AE5716" s="465">
        <v>81.340720000000005</v>
      </c>
      <c r="AF5716" s="86">
        <f>IF(verze!$E$1="CZK",AD5716,IF(verze!$E$1="SK",AE5716,""))</f>
        <v>81.340720000000005</v>
      </c>
    </row>
    <row r="5717" spans="27:32" ht="15">
      <c r="AA5717" s="463" t="s">
        <v>18112</v>
      </c>
      <c r="AB5717" s="462" t="s">
        <v>18113</v>
      </c>
      <c r="AC5717" s="462" t="s">
        <v>18114</v>
      </c>
      <c r="AD5717" s="464">
        <v>790.36006999999995</v>
      </c>
      <c r="AE5717" s="465">
        <v>31.61835</v>
      </c>
      <c r="AF5717" s="86">
        <f>IF(verze!$E$1="CZK",AD5717,IF(verze!$E$1="SK",AE5717,""))</f>
        <v>31.61835</v>
      </c>
    </row>
    <row r="5718" spans="27:32" ht="15">
      <c r="AA5718" s="463" t="s">
        <v>18115</v>
      </c>
      <c r="AB5718" s="462" t="s">
        <v>18116</v>
      </c>
      <c r="AC5718" s="462" t="s">
        <v>18117</v>
      </c>
      <c r="AD5718" s="464">
        <v>790.36006999999995</v>
      </c>
      <c r="AE5718" s="465">
        <v>31.61835</v>
      </c>
      <c r="AF5718" s="86">
        <f>IF(verze!$E$1="CZK",AD5718,IF(verze!$E$1="SK",AE5718,""))</f>
        <v>31.61835</v>
      </c>
    </row>
    <row r="5719" spans="27:32" ht="15">
      <c r="AA5719" s="463" t="s">
        <v>18118</v>
      </c>
      <c r="AB5719" s="462" t="s">
        <v>18119</v>
      </c>
      <c r="AC5719" s="462" t="s">
        <v>18120</v>
      </c>
      <c r="AD5719" s="464">
        <v>790.36006999999995</v>
      </c>
      <c r="AE5719" s="465">
        <v>31.61835</v>
      </c>
      <c r="AF5719" s="86">
        <f>IF(verze!$E$1="CZK",AD5719,IF(verze!$E$1="SK",AE5719,""))</f>
        <v>31.61835</v>
      </c>
    </row>
    <row r="5720" spans="27:32" ht="15">
      <c r="AA5720" s="463" t="s">
        <v>18121</v>
      </c>
      <c r="AB5720" s="462" t="s">
        <v>18122</v>
      </c>
      <c r="AC5720" s="462" t="s">
        <v>18123</v>
      </c>
      <c r="AD5720" s="464">
        <v>509.26981999999998</v>
      </c>
      <c r="AE5720" s="465">
        <v>24.497720000000001</v>
      </c>
      <c r="AF5720" s="86">
        <f>IF(verze!$E$1="CZK",AD5720,IF(verze!$E$1="SK",AE5720,""))</f>
        <v>24.497720000000001</v>
      </c>
    </row>
    <row r="5721" spans="27:32" ht="15">
      <c r="AA5721" s="463" t="s">
        <v>18124</v>
      </c>
      <c r="AB5721" s="462" t="s">
        <v>18125</v>
      </c>
      <c r="AC5721" s="462" t="s">
        <v>18126</v>
      </c>
      <c r="AD5721" s="464">
        <v>509.26981999999998</v>
      </c>
      <c r="AE5721" s="465">
        <v>24.497720000000001</v>
      </c>
      <c r="AF5721" s="86">
        <f>IF(verze!$E$1="CZK",AD5721,IF(verze!$E$1="SK",AE5721,""))</f>
        <v>24.497720000000001</v>
      </c>
    </row>
    <row r="5722" spans="27:32" ht="15">
      <c r="AA5722" s="463" t="s">
        <v>18127</v>
      </c>
      <c r="AB5722" s="462" t="s">
        <v>18128</v>
      </c>
      <c r="AC5722" s="462" t="s">
        <v>18129</v>
      </c>
      <c r="AD5722" s="464">
        <v>532.41849999999999</v>
      </c>
      <c r="AE5722" s="465">
        <v>25.611239999999999</v>
      </c>
      <c r="AF5722" s="86">
        <f>IF(verze!$E$1="CZK",AD5722,IF(verze!$E$1="SK",AE5722,""))</f>
        <v>25.611239999999999</v>
      </c>
    </row>
    <row r="5723" spans="27:32" ht="15">
      <c r="AA5723" s="463" t="s">
        <v>18130</v>
      </c>
      <c r="AB5723" s="462" t="s">
        <v>18131</v>
      </c>
      <c r="AC5723" s="462" t="s">
        <v>18132</v>
      </c>
      <c r="AD5723" s="464">
        <v>532.41849999999999</v>
      </c>
      <c r="AE5723" s="465">
        <v>25.611239999999999</v>
      </c>
      <c r="AF5723" s="86">
        <f>IF(verze!$E$1="CZK",AD5723,IF(verze!$E$1="SK",AE5723,""))</f>
        <v>25.611239999999999</v>
      </c>
    </row>
    <row r="5724" spans="27:32" ht="15">
      <c r="AA5724" s="463" t="s">
        <v>18133</v>
      </c>
      <c r="AB5724" s="462" t="s">
        <v>18134</v>
      </c>
      <c r="AC5724" s="462" t="s">
        <v>18135</v>
      </c>
      <c r="AD5724" s="464">
        <v>3.2477</v>
      </c>
      <c r="AE5724" s="465">
        <v>0.15622</v>
      </c>
      <c r="AF5724" s="86">
        <f>IF(verze!$E$1="CZK",AD5724,IF(verze!$E$1="SK",AE5724,""))</f>
        <v>0.15622</v>
      </c>
    </row>
    <row r="5725" spans="27:32" ht="15">
      <c r="AA5725" s="463" t="s">
        <v>18136</v>
      </c>
      <c r="AB5725" s="462" t="s">
        <v>18137</v>
      </c>
      <c r="AC5725" s="462" t="s">
        <v>18138</v>
      </c>
      <c r="AD5725" s="464">
        <v>2.87778</v>
      </c>
      <c r="AE5725" s="465">
        <v>0.13544</v>
      </c>
      <c r="AF5725" s="86">
        <f>IF(verze!$E$1="CZK",AD5725,IF(verze!$E$1="SK",AE5725,""))</f>
        <v>0.13544</v>
      </c>
    </row>
    <row r="5726" spans="27:32" ht="15">
      <c r="AA5726" s="463" t="s">
        <v>18139</v>
      </c>
      <c r="AB5726" s="462" t="s">
        <v>18140</v>
      </c>
      <c r="AC5726" s="462" t="s">
        <v>18141</v>
      </c>
      <c r="AD5726" s="464">
        <v>51.671700000000001</v>
      </c>
      <c r="AE5726" s="465">
        <v>2.4319199999999999</v>
      </c>
      <c r="AF5726" s="86">
        <f>IF(verze!$E$1="CZK",AD5726,IF(verze!$E$1="SK",AE5726,""))</f>
        <v>2.4319199999999999</v>
      </c>
    </row>
    <row r="5727" spans="27:32" ht="15">
      <c r="AA5727" s="463" t="s">
        <v>18142</v>
      </c>
      <c r="AB5727" s="462" t="s">
        <v>18143</v>
      </c>
      <c r="AC5727" s="462" t="s">
        <v>18144</v>
      </c>
      <c r="AD5727" s="464">
        <v>55.683399999999999</v>
      </c>
      <c r="AE5727" s="465">
        <v>2.6207199999999999</v>
      </c>
      <c r="AF5727" s="86">
        <f>IF(verze!$E$1="CZK",AD5727,IF(verze!$E$1="SK",AE5727,""))</f>
        <v>2.6207199999999999</v>
      </c>
    </row>
    <row r="5728" spans="27:32" ht="15">
      <c r="AA5728" s="463" t="s">
        <v>18145</v>
      </c>
      <c r="AB5728" s="462" t="s">
        <v>18146</v>
      </c>
      <c r="AC5728" s="462" t="s">
        <v>18147</v>
      </c>
      <c r="AD5728" s="464">
        <v>57.204810000000002</v>
      </c>
      <c r="AE5728" s="465">
        <v>2.75176</v>
      </c>
      <c r="AF5728" s="86">
        <f>IF(verze!$E$1="CZK",AD5728,IF(verze!$E$1="SK",AE5728,""))</f>
        <v>2.75176</v>
      </c>
    </row>
    <row r="5729" spans="27:32" ht="15">
      <c r="AA5729" s="463" t="s">
        <v>18148</v>
      </c>
      <c r="AB5729" s="462" t="s">
        <v>18149</v>
      </c>
      <c r="AC5729" s="462" t="s">
        <v>18150</v>
      </c>
      <c r="AD5729" s="464">
        <v>58.85342</v>
      </c>
      <c r="AE5729" s="465">
        <v>2.8310499999999998</v>
      </c>
      <c r="AF5729" s="86">
        <f>IF(verze!$E$1="CZK",AD5729,IF(verze!$E$1="SK",AE5729,""))</f>
        <v>2.8310499999999998</v>
      </c>
    </row>
    <row r="5730" spans="27:32" ht="15">
      <c r="AA5730" s="463" t="s">
        <v>18151</v>
      </c>
      <c r="AB5730" s="462" t="s">
        <v>18152</v>
      </c>
      <c r="AC5730" s="462" t="s">
        <v>18153</v>
      </c>
      <c r="AD5730" s="464">
        <v>55.546720000000001</v>
      </c>
      <c r="AE5730" s="465">
        <v>2.6142799999999999</v>
      </c>
      <c r="AF5730" s="86">
        <f>IF(verze!$E$1="CZK",AD5730,IF(verze!$E$1="SK",AE5730,""))</f>
        <v>2.6142799999999999</v>
      </c>
    </row>
    <row r="5731" spans="27:32" ht="15">
      <c r="AA5731" s="463" t="s">
        <v>18154</v>
      </c>
      <c r="AB5731" s="462" t="s">
        <v>18155</v>
      </c>
      <c r="AC5731" s="462" t="s">
        <v>18156</v>
      </c>
      <c r="AD5731" s="464">
        <v>59.558540000000001</v>
      </c>
      <c r="AE5731" s="465">
        <v>2.8031199999999998</v>
      </c>
      <c r="AF5731" s="86">
        <f>IF(verze!$E$1="CZK",AD5731,IF(verze!$E$1="SK",AE5731,""))</f>
        <v>2.8031199999999998</v>
      </c>
    </row>
    <row r="5732" spans="27:32" ht="15">
      <c r="AA5732" s="463" t="s">
        <v>18157</v>
      </c>
      <c r="AB5732" s="462" t="s">
        <v>18158</v>
      </c>
      <c r="AC5732" s="462" t="s">
        <v>18159</v>
      </c>
      <c r="AD5732" s="464">
        <v>61.18582</v>
      </c>
      <c r="AE5732" s="465">
        <v>2.9432800000000001</v>
      </c>
      <c r="AF5732" s="86">
        <f>IF(verze!$E$1="CZK",AD5732,IF(verze!$E$1="SK",AE5732,""))</f>
        <v>2.9432800000000001</v>
      </c>
    </row>
    <row r="5733" spans="27:32" ht="15">
      <c r="AA5733" s="463" t="s">
        <v>18160</v>
      </c>
      <c r="AB5733" s="462" t="s">
        <v>18161</v>
      </c>
      <c r="AC5733" s="462" t="s">
        <v>18162</v>
      </c>
      <c r="AD5733" s="464">
        <v>62.834319999999998</v>
      </c>
      <c r="AE5733" s="465">
        <v>3.02257</v>
      </c>
      <c r="AF5733" s="86">
        <f>IF(verze!$E$1="CZK",AD5733,IF(verze!$E$1="SK",AE5733,""))</f>
        <v>3.02257</v>
      </c>
    </row>
    <row r="5734" spans="27:32" ht="15">
      <c r="AA5734" s="463" t="s">
        <v>18163</v>
      </c>
      <c r="AB5734" s="462" t="s">
        <v>18164</v>
      </c>
      <c r="AC5734" s="462" t="s">
        <v>18165</v>
      </c>
      <c r="AD5734" s="464">
        <v>58.315710000000003</v>
      </c>
      <c r="AE5734" s="465">
        <v>2.7446000000000002</v>
      </c>
      <c r="AF5734" s="86">
        <f>IF(verze!$E$1="CZK",AD5734,IF(verze!$E$1="SK",AE5734,""))</f>
        <v>2.7446000000000002</v>
      </c>
    </row>
    <row r="5735" spans="27:32" ht="15">
      <c r="AA5735" s="463" t="s">
        <v>18166</v>
      </c>
      <c r="AB5735" s="462" t="s">
        <v>18167</v>
      </c>
      <c r="AC5735" s="462" t="s">
        <v>18168</v>
      </c>
      <c r="AD5735" s="464">
        <v>62.327509999999997</v>
      </c>
      <c r="AE5735" s="465">
        <v>2.9334199999999999</v>
      </c>
      <c r="AF5735" s="86">
        <f>IF(verze!$E$1="CZK",AD5735,IF(verze!$E$1="SK",AE5735,""))</f>
        <v>2.9334199999999999</v>
      </c>
    </row>
    <row r="5736" spans="27:32" ht="15">
      <c r="AA5736" s="463" t="s">
        <v>18169</v>
      </c>
      <c r="AB5736" s="462" t="s">
        <v>18170</v>
      </c>
      <c r="AC5736" s="462" t="s">
        <v>18171</v>
      </c>
      <c r="AD5736" s="464">
        <v>64.030450000000002</v>
      </c>
      <c r="AE5736" s="465">
        <v>3.0800900000000002</v>
      </c>
      <c r="AF5736" s="86">
        <f>IF(verze!$E$1="CZK",AD5736,IF(verze!$E$1="SK",AE5736,""))</f>
        <v>3.0800900000000002</v>
      </c>
    </row>
    <row r="5737" spans="27:32" ht="15">
      <c r="AA5737" s="463" t="s">
        <v>18172</v>
      </c>
      <c r="AB5737" s="462" t="s">
        <v>18173</v>
      </c>
      <c r="AC5737" s="462" t="s">
        <v>18174</v>
      </c>
      <c r="AD5737" s="464">
        <v>65.678970000000007</v>
      </c>
      <c r="AE5737" s="465">
        <v>3.1593900000000001</v>
      </c>
      <c r="AF5737" s="86">
        <f>IF(verze!$E$1="CZK",AD5737,IF(verze!$E$1="SK",AE5737,""))</f>
        <v>3.1593900000000001</v>
      </c>
    </row>
    <row r="5738" spans="27:32" ht="15">
      <c r="AA5738" s="463" t="s">
        <v>18175</v>
      </c>
      <c r="AB5738" s="462" t="s">
        <v>18176</v>
      </c>
      <c r="AC5738" s="462" t="s">
        <v>18177</v>
      </c>
      <c r="AD5738" s="464">
        <v>36.90795</v>
      </c>
      <c r="AE5738" s="465">
        <v>1.73708</v>
      </c>
      <c r="AF5738" s="86">
        <f>IF(verze!$E$1="CZK",AD5738,IF(verze!$E$1="SK",AE5738,""))</f>
        <v>1.73708</v>
      </c>
    </row>
    <row r="5739" spans="27:32" ht="15">
      <c r="AA5739" s="463" t="s">
        <v>18178</v>
      </c>
      <c r="AB5739" s="462" t="s">
        <v>18179</v>
      </c>
      <c r="AC5739" s="462" t="s">
        <v>18180</v>
      </c>
      <c r="AD5739" s="464">
        <v>40.91724</v>
      </c>
      <c r="AE5739" s="465">
        <v>1.9257599999999999</v>
      </c>
      <c r="AF5739" s="86">
        <f>IF(verze!$E$1="CZK",AD5739,IF(verze!$E$1="SK",AE5739,""))</f>
        <v>1.9257599999999999</v>
      </c>
    </row>
    <row r="5740" spans="27:32" ht="15">
      <c r="AA5740" s="463" t="s">
        <v>18181</v>
      </c>
      <c r="AB5740" s="462" t="s">
        <v>18182</v>
      </c>
      <c r="AC5740" s="462" t="s">
        <v>18183</v>
      </c>
      <c r="AD5740" s="464">
        <v>42.035200000000003</v>
      </c>
      <c r="AE5740" s="465">
        <v>2.0220500000000001</v>
      </c>
      <c r="AF5740" s="86">
        <f>IF(verze!$E$1="CZK",AD5740,IF(verze!$E$1="SK",AE5740,""))</f>
        <v>2.0220500000000001</v>
      </c>
    </row>
    <row r="5741" spans="27:32" ht="15">
      <c r="AA5741" s="463" t="s">
        <v>18184</v>
      </c>
      <c r="AB5741" s="462" t="s">
        <v>18185</v>
      </c>
      <c r="AC5741" s="462" t="s">
        <v>18186</v>
      </c>
      <c r="AD5741" s="464">
        <v>43.683720000000001</v>
      </c>
      <c r="AE5741" s="465">
        <v>2.10134</v>
      </c>
      <c r="AF5741" s="86">
        <f>IF(verze!$E$1="CZK",AD5741,IF(verze!$E$1="SK",AE5741,""))</f>
        <v>2.10134</v>
      </c>
    </row>
    <row r="5742" spans="27:32" ht="15">
      <c r="AA5742" s="463" t="s">
        <v>18187</v>
      </c>
      <c r="AB5742" s="462" t="s">
        <v>18188</v>
      </c>
      <c r="AC5742" s="462" t="s">
        <v>18189</v>
      </c>
      <c r="AD5742" s="464">
        <v>40.783090000000001</v>
      </c>
      <c r="AE5742" s="465">
        <v>1.91944</v>
      </c>
      <c r="AF5742" s="86">
        <f>IF(verze!$E$1="CZK",AD5742,IF(verze!$E$1="SK",AE5742,""))</f>
        <v>1.91944</v>
      </c>
    </row>
    <row r="5743" spans="27:32" ht="15">
      <c r="AA5743" s="463" t="s">
        <v>18190</v>
      </c>
      <c r="AB5743" s="462" t="s">
        <v>18191</v>
      </c>
      <c r="AC5743" s="462" t="s">
        <v>18192</v>
      </c>
      <c r="AD5743" s="464">
        <v>44.792270000000002</v>
      </c>
      <c r="AE5743" s="465">
        <v>2.1081400000000001</v>
      </c>
      <c r="AF5743" s="86">
        <f>IF(verze!$E$1="CZK",AD5743,IF(verze!$E$1="SK",AE5743,""))</f>
        <v>2.1081400000000001</v>
      </c>
    </row>
    <row r="5744" spans="27:32" ht="15">
      <c r="AA5744" s="463" t="s">
        <v>18193</v>
      </c>
      <c r="AB5744" s="462" t="s">
        <v>18194</v>
      </c>
      <c r="AC5744" s="462" t="s">
        <v>18195</v>
      </c>
      <c r="AD5744" s="464">
        <v>43.549550000000004</v>
      </c>
      <c r="AE5744" s="465">
        <v>2.0496599999999998</v>
      </c>
      <c r="AF5744" s="86">
        <f>IF(verze!$E$1="CZK",AD5744,IF(verze!$E$1="SK",AE5744,""))</f>
        <v>2.0496599999999998</v>
      </c>
    </row>
    <row r="5745" spans="27:32" ht="15">
      <c r="AA5745" s="463" t="s">
        <v>18196</v>
      </c>
      <c r="AB5745" s="462" t="s">
        <v>18197</v>
      </c>
      <c r="AC5745" s="462" t="s">
        <v>18198</v>
      </c>
      <c r="AD5745" s="464">
        <v>47.561259999999997</v>
      </c>
      <c r="AE5745" s="465">
        <v>2.2384599999999999</v>
      </c>
      <c r="AF5745" s="86">
        <f>IF(verze!$E$1="CZK",AD5745,IF(verze!$E$1="SK",AE5745,""))</f>
        <v>2.2384599999999999</v>
      </c>
    </row>
    <row r="5746" spans="27:32" ht="15">
      <c r="AA5746" s="463" t="s">
        <v>18199</v>
      </c>
      <c r="AB5746" s="462" t="s">
        <v>18200</v>
      </c>
      <c r="AC5746" s="462" t="s">
        <v>18201</v>
      </c>
      <c r="AD5746" s="464">
        <v>40.598289999999999</v>
      </c>
      <c r="AE5746" s="465">
        <v>1.91076</v>
      </c>
      <c r="AF5746" s="86">
        <f>IF(verze!$E$1="CZK",AD5746,IF(verze!$E$1="SK",AE5746,""))</f>
        <v>1.91076</v>
      </c>
    </row>
    <row r="5747" spans="27:32" ht="15">
      <c r="AA5747" s="463" t="s">
        <v>18202</v>
      </c>
      <c r="AB5747" s="462" t="s">
        <v>18203</v>
      </c>
      <c r="AC5747" s="462" t="s">
        <v>18204</v>
      </c>
      <c r="AD5747" s="464">
        <v>44.61</v>
      </c>
      <c r="AE5747" s="465">
        <v>2.0995599999999999</v>
      </c>
      <c r="AF5747" s="86">
        <f>IF(verze!$E$1="CZK",AD5747,IF(verze!$E$1="SK",AE5747,""))</f>
        <v>2.0995599999999999</v>
      </c>
    </row>
    <row r="5748" spans="27:32" ht="15">
      <c r="AA5748" s="463" t="s">
        <v>18205</v>
      </c>
      <c r="AB5748" s="462" t="s">
        <v>18206</v>
      </c>
      <c r="AC5748" s="462" t="s">
        <v>18207</v>
      </c>
      <c r="AD5748" s="464">
        <v>44.473320000000001</v>
      </c>
      <c r="AE5748" s="465">
        <v>2.0931199999999999</v>
      </c>
      <c r="AF5748" s="86">
        <f>IF(verze!$E$1="CZK",AD5748,IF(verze!$E$1="SK",AE5748,""))</f>
        <v>2.0931199999999999</v>
      </c>
    </row>
    <row r="5749" spans="27:32" ht="15">
      <c r="AA5749" s="463" t="s">
        <v>18208</v>
      </c>
      <c r="AB5749" s="462" t="s">
        <v>18209</v>
      </c>
      <c r="AC5749" s="462" t="s">
        <v>18210</v>
      </c>
      <c r="AD5749" s="464">
        <v>48.485120000000002</v>
      </c>
      <c r="AE5749" s="465">
        <v>2.2819400000000001</v>
      </c>
      <c r="AF5749" s="86">
        <f>IF(verze!$E$1="CZK",AD5749,IF(verze!$E$1="SK",AE5749,""))</f>
        <v>2.2819400000000001</v>
      </c>
    </row>
    <row r="5750" spans="27:32" ht="15">
      <c r="AA5750" s="463" t="s">
        <v>18211</v>
      </c>
      <c r="AB5750" s="462" t="s">
        <v>18212</v>
      </c>
      <c r="AC5750" s="462" t="s">
        <v>18213</v>
      </c>
      <c r="AD5750" s="464">
        <v>47.242289999999997</v>
      </c>
      <c r="AE5750" s="465">
        <v>2.2234400000000001</v>
      </c>
      <c r="AF5750" s="86">
        <f>IF(verze!$E$1="CZK",AD5750,IF(verze!$E$1="SK",AE5750,""))</f>
        <v>2.2234400000000001</v>
      </c>
    </row>
    <row r="5751" spans="27:32" ht="15">
      <c r="AA5751" s="463" t="s">
        <v>18214</v>
      </c>
      <c r="AB5751" s="462" t="s">
        <v>18215</v>
      </c>
      <c r="AC5751" s="462" t="s">
        <v>18216</v>
      </c>
      <c r="AD5751" s="464">
        <v>51.254109999999997</v>
      </c>
      <c r="AE5751" s="465">
        <v>2.4122599999999998</v>
      </c>
      <c r="AF5751" s="86">
        <f>IF(verze!$E$1="CZK",AD5751,IF(verze!$E$1="SK",AE5751,""))</f>
        <v>2.4122599999999998</v>
      </c>
    </row>
    <row r="5752" spans="27:32" ht="15">
      <c r="AA5752" s="463" t="s">
        <v>18217</v>
      </c>
      <c r="AB5752" s="462" t="s">
        <v>18218</v>
      </c>
      <c r="AC5752" s="462" t="s">
        <v>18219</v>
      </c>
      <c r="AD5752" s="464">
        <v>53.514310000000002</v>
      </c>
      <c r="AE5752" s="465">
        <v>2.51864</v>
      </c>
      <c r="AF5752" s="86">
        <f>IF(verze!$E$1="CZK",AD5752,IF(verze!$E$1="SK",AE5752,""))</f>
        <v>2.51864</v>
      </c>
    </row>
    <row r="5753" spans="27:32" ht="15">
      <c r="AA5753" s="463" t="s">
        <v>18220</v>
      </c>
      <c r="AB5753" s="462" t="s">
        <v>18221</v>
      </c>
      <c r="AC5753" s="462" t="s">
        <v>18222</v>
      </c>
      <c r="AD5753" s="464">
        <v>57.52863</v>
      </c>
      <c r="AE5753" s="465">
        <v>2.7075800000000001</v>
      </c>
      <c r="AF5753" s="86">
        <f>IF(verze!$E$1="CZK",AD5753,IF(verze!$E$1="SK",AE5753,""))</f>
        <v>2.7075800000000001</v>
      </c>
    </row>
    <row r="5754" spans="27:32" ht="15">
      <c r="AA5754" s="463" t="s">
        <v>18223</v>
      </c>
      <c r="AB5754" s="462" t="s">
        <v>18224</v>
      </c>
      <c r="AC5754" s="462" t="s">
        <v>18225</v>
      </c>
      <c r="AD5754" s="464">
        <v>57.52863</v>
      </c>
      <c r="AE5754" s="465">
        <v>2.7075800000000001</v>
      </c>
      <c r="AF5754" s="86">
        <f>IF(verze!$E$1="CZK",AD5754,IF(verze!$E$1="SK",AE5754,""))</f>
        <v>2.7075800000000001</v>
      </c>
    </row>
    <row r="5755" spans="27:32" ht="15">
      <c r="AA5755" s="463" t="s">
        <v>1320</v>
      </c>
      <c r="AB5755" s="462" t="s">
        <v>18226</v>
      </c>
      <c r="AC5755" s="462" t="s">
        <v>18227</v>
      </c>
      <c r="AD5755" s="464">
        <v>57.52863</v>
      </c>
      <c r="AE5755" s="465">
        <v>2.7075800000000001</v>
      </c>
      <c r="AF5755" s="86">
        <f>IF(verze!$E$1="CZK",AD5755,IF(verze!$E$1="SK",AE5755,""))</f>
        <v>2.7075800000000001</v>
      </c>
    </row>
    <row r="5756" spans="27:32" ht="15">
      <c r="AA5756" s="463" t="s">
        <v>18228</v>
      </c>
      <c r="AB5756" s="462" t="s">
        <v>18229</v>
      </c>
      <c r="AC5756" s="462" t="s">
        <v>18230</v>
      </c>
      <c r="AD5756" s="464">
        <v>57.389420000000001</v>
      </c>
      <c r="AE5756" s="465">
        <v>2.7010200000000002</v>
      </c>
      <c r="AF5756" s="86">
        <f>IF(verze!$E$1="CZK",AD5756,IF(verze!$E$1="SK",AE5756,""))</f>
        <v>2.7010200000000002</v>
      </c>
    </row>
    <row r="5757" spans="27:32" ht="15">
      <c r="AA5757" s="463" t="s">
        <v>18231</v>
      </c>
      <c r="AB5757" s="462" t="s">
        <v>18232</v>
      </c>
      <c r="AC5757" s="462" t="s">
        <v>18233</v>
      </c>
      <c r="AD5757" s="464">
        <v>61.401130000000002</v>
      </c>
      <c r="AE5757" s="465">
        <v>2.8898199999999998</v>
      </c>
      <c r="AF5757" s="86">
        <f>IF(verze!$E$1="CZK",AD5757,IF(verze!$E$1="SK",AE5757,""))</f>
        <v>2.8898199999999998</v>
      </c>
    </row>
    <row r="5758" spans="27:32" ht="15">
      <c r="AA5758" s="463" t="s">
        <v>18234</v>
      </c>
      <c r="AB5758" s="462" t="s">
        <v>18235</v>
      </c>
      <c r="AC5758" s="462" t="s">
        <v>18236</v>
      </c>
      <c r="AD5758" s="464">
        <v>60.158410000000003</v>
      </c>
      <c r="AE5758" s="465">
        <v>2.83134</v>
      </c>
      <c r="AF5758" s="86">
        <f>IF(verze!$E$1="CZK",AD5758,IF(verze!$E$1="SK",AE5758,""))</f>
        <v>2.83134</v>
      </c>
    </row>
    <row r="5759" spans="27:32" ht="15">
      <c r="AA5759" s="463" t="s">
        <v>18237</v>
      </c>
      <c r="AB5759" s="462" t="s">
        <v>18238</v>
      </c>
      <c r="AC5759" s="462" t="s">
        <v>18239</v>
      </c>
      <c r="AD5759" s="464">
        <v>64.170119999999997</v>
      </c>
      <c r="AE5759" s="465">
        <v>3.02014</v>
      </c>
      <c r="AF5759" s="86">
        <f>IF(verze!$E$1="CZK",AD5759,IF(verze!$E$1="SK",AE5759,""))</f>
        <v>3.02014</v>
      </c>
    </row>
    <row r="5760" spans="27:32" ht="15">
      <c r="AA5760" s="463" t="s">
        <v>18240</v>
      </c>
      <c r="AB5760" s="462" t="s">
        <v>18241</v>
      </c>
      <c r="AC5760" s="462" t="s">
        <v>18242</v>
      </c>
      <c r="AD5760" s="464">
        <v>38.75318</v>
      </c>
      <c r="AE5760" s="465">
        <v>1.82392</v>
      </c>
      <c r="AF5760" s="86">
        <f>IF(verze!$E$1="CZK",AD5760,IF(verze!$E$1="SK",AE5760,""))</f>
        <v>1.82392</v>
      </c>
    </row>
    <row r="5761" spans="27:32" ht="15">
      <c r="AA5761" s="463" t="s">
        <v>18243</v>
      </c>
      <c r="AB5761" s="462" t="s">
        <v>18244</v>
      </c>
      <c r="AC5761" s="462" t="s">
        <v>18245</v>
      </c>
      <c r="AD5761" s="464">
        <v>42.764890000000001</v>
      </c>
      <c r="AE5761" s="465">
        <v>2.0127199999999998</v>
      </c>
      <c r="AF5761" s="86">
        <f>IF(verze!$E$1="CZK",AD5761,IF(verze!$E$1="SK",AE5761,""))</f>
        <v>2.0127199999999998</v>
      </c>
    </row>
    <row r="5762" spans="27:32" ht="15">
      <c r="AA5762" s="463" t="s">
        <v>18246</v>
      </c>
      <c r="AB5762" s="462" t="s">
        <v>18247</v>
      </c>
      <c r="AC5762" s="462" t="s">
        <v>18248</v>
      </c>
      <c r="AD5762" s="464">
        <v>42.764890000000001</v>
      </c>
      <c r="AE5762" s="465">
        <v>2.0127199999999998</v>
      </c>
      <c r="AF5762" s="86">
        <f>IF(verze!$E$1="CZK",AD5762,IF(verze!$E$1="SK",AE5762,""))</f>
        <v>2.0127199999999998</v>
      </c>
    </row>
    <row r="5763" spans="27:32" ht="15">
      <c r="AA5763" s="463" t="s">
        <v>1320</v>
      </c>
      <c r="AB5763" s="462" t="s">
        <v>18249</v>
      </c>
      <c r="AC5763" s="462" t="s">
        <v>18250</v>
      </c>
      <c r="AD5763" s="464">
        <v>42.764890000000001</v>
      </c>
      <c r="AE5763" s="465">
        <v>2.0127199999999998</v>
      </c>
      <c r="AF5763" s="86">
        <f>IF(verze!$E$1="CZK",AD5763,IF(verze!$E$1="SK",AE5763,""))</f>
        <v>2.0127199999999998</v>
      </c>
    </row>
    <row r="5764" spans="27:32" ht="15">
      <c r="AA5764" s="463" t="s">
        <v>18251</v>
      </c>
      <c r="AB5764" s="462" t="s">
        <v>18252</v>
      </c>
      <c r="AC5764" s="462" t="s">
        <v>18253</v>
      </c>
      <c r="AD5764" s="464">
        <v>42.6282</v>
      </c>
      <c r="AE5764" s="465">
        <v>2.0062799999999998</v>
      </c>
      <c r="AF5764" s="86">
        <f>IF(verze!$E$1="CZK",AD5764,IF(verze!$E$1="SK",AE5764,""))</f>
        <v>2.0062799999999998</v>
      </c>
    </row>
    <row r="5765" spans="27:32" ht="15">
      <c r="AA5765" s="463" t="s">
        <v>18254</v>
      </c>
      <c r="AB5765" s="462" t="s">
        <v>18255</v>
      </c>
      <c r="AC5765" s="462" t="s">
        <v>18256</v>
      </c>
      <c r="AD5765" s="464">
        <v>46.63991</v>
      </c>
      <c r="AE5765" s="465">
        <v>2.1950799999999999</v>
      </c>
      <c r="AF5765" s="86">
        <f>IF(verze!$E$1="CZK",AD5765,IF(verze!$E$1="SK",AE5765,""))</f>
        <v>2.1950799999999999</v>
      </c>
    </row>
    <row r="5766" spans="27:32" ht="15">
      <c r="AA5766" s="463" t="s">
        <v>18257</v>
      </c>
      <c r="AB5766" s="462" t="s">
        <v>18258</v>
      </c>
      <c r="AC5766" s="462" t="s">
        <v>18259</v>
      </c>
      <c r="AD5766" s="464">
        <v>45.394669999999998</v>
      </c>
      <c r="AE5766" s="465">
        <v>2.1364999999999998</v>
      </c>
      <c r="AF5766" s="86">
        <f>IF(verze!$E$1="CZK",AD5766,IF(verze!$E$1="SK",AE5766,""))</f>
        <v>2.1364999999999998</v>
      </c>
    </row>
    <row r="5767" spans="27:32" ht="15">
      <c r="AA5767" s="463" t="s">
        <v>18260</v>
      </c>
      <c r="AB5767" s="462" t="s">
        <v>18261</v>
      </c>
      <c r="AC5767" s="462" t="s">
        <v>18262</v>
      </c>
      <c r="AD5767" s="464">
        <v>49.408880000000003</v>
      </c>
      <c r="AE5767" s="465">
        <v>2.3254199999999998</v>
      </c>
      <c r="AF5767" s="86">
        <f>IF(verze!$E$1="CZK",AD5767,IF(verze!$E$1="SK",AE5767,""))</f>
        <v>2.3254199999999998</v>
      </c>
    </row>
    <row r="5768" spans="27:32" ht="15">
      <c r="AA5768" s="463" t="s">
        <v>18263</v>
      </c>
      <c r="AB5768" s="462" t="s">
        <v>18264</v>
      </c>
      <c r="AC5768" s="462" t="s">
        <v>18265</v>
      </c>
      <c r="AD5768" s="464">
        <v>42.44341</v>
      </c>
      <c r="AE5768" s="465">
        <v>1.9976</v>
      </c>
      <c r="AF5768" s="86">
        <f>IF(verze!$E$1="CZK",AD5768,IF(verze!$E$1="SK",AE5768,""))</f>
        <v>1.9976</v>
      </c>
    </row>
    <row r="5769" spans="27:32" ht="15">
      <c r="AA5769" s="463" t="s">
        <v>18266</v>
      </c>
      <c r="AB5769" s="462" t="s">
        <v>18267</v>
      </c>
      <c r="AC5769" s="462" t="s">
        <v>18268</v>
      </c>
      <c r="AD5769" s="464">
        <v>46.455210000000001</v>
      </c>
      <c r="AE5769" s="465">
        <v>2.1863999999999999</v>
      </c>
      <c r="AF5769" s="86">
        <f>IF(verze!$E$1="CZK",AD5769,IF(verze!$E$1="SK",AE5769,""))</f>
        <v>2.1863999999999999</v>
      </c>
    </row>
    <row r="5770" spans="27:32" ht="15">
      <c r="AA5770" s="463" t="s">
        <v>18269</v>
      </c>
      <c r="AB5770" s="462" t="s">
        <v>18270</v>
      </c>
      <c r="AC5770" s="462" t="s">
        <v>18271</v>
      </c>
      <c r="AD5770" s="464">
        <v>46.318530000000003</v>
      </c>
      <c r="AE5770" s="465">
        <v>2.1799599999999999</v>
      </c>
      <c r="AF5770" s="86">
        <f>IF(verze!$E$1="CZK",AD5770,IF(verze!$E$1="SK",AE5770,""))</f>
        <v>2.1799599999999999</v>
      </c>
    </row>
    <row r="5771" spans="27:32" ht="15">
      <c r="AA5771" s="463" t="s">
        <v>18272</v>
      </c>
      <c r="AB5771" s="462" t="s">
        <v>18273</v>
      </c>
      <c r="AC5771" s="462" t="s">
        <v>18274</v>
      </c>
      <c r="AD5771" s="464">
        <v>50.33023</v>
      </c>
      <c r="AE5771" s="465">
        <v>2.3687800000000001</v>
      </c>
      <c r="AF5771" s="86">
        <f>IF(verze!$E$1="CZK",AD5771,IF(verze!$E$1="SK",AE5771,""))</f>
        <v>2.3687800000000001</v>
      </c>
    </row>
    <row r="5772" spans="27:32" ht="15">
      <c r="AA5772" s="463" t="s">
        <v>18275</v>
      </c>
      <c r="AB5772" s="462" t="s">
        <v>18276</v>
      </c>
      <c r="AC5772" s="462" t="s">
        <v>18277</v>
      </c>
      <c r="AD5772" s="464">
        <v>49.087519999999998</v>
      </c>
      <c r="AE5772" s="465">
        <v>2.3102999999999998</v>
      </c>
      <c r="AF5772" s="86">
        <f>IF(verze!$E$1="CZK",AD5772,IF(verze!$E$1="SK",AE5772,""))</f>
        <v>2.3102999999999998</v>
      </c>
    </row>
    <row r="5773" spans="27:32" ht="15">
      <c r="AA5773" s="463" t="s">
        <v>18278</v>
      </c>
      <c r="AB5773" s="462" t="s">
        <v>18279</v>
      </c>
      <c r="AC5773" s="462" t="s">
        <v>18280</v>
      </c>
      <c r="AD5773" s="464">
        <v>53.099229999999999</v>
      </c>
      <c r="AE5773" s="465">
        <v>2.4990999999999999</v>
      </c>
      <c r="AF5773" s="86">
        <f>IF(verze!$E$1="CZK",AD5773,IF(verze!$E$1="SK",AE5773,""))</f>
        <v>2.4990999999999999</v>
      </c>
    </row>
    <row r="5774" spans="27:32" ht="15">
      <c r="AA5774" s="463" t="s">
        <v>18281</v>
      </c>
      <c r="AB5774" s="462" t="s">
        <v>18282</v>
      </c>
      <c r="AC5774" s="462" t="s">
        <v>18283</v>
      </c>
      <c r="AD5774" s="464">
        <v>53.514310000000002</v>
      </c>
      <c r="AE5774" s="465">
        <v>2.51864</v>
      </c>
      <c r="AF5774" s="86">
        <f>IF(verze!$E$1="CZK",AD5774,IF(verze!$E$1="SK",AE5774,""))</f>
        <v>2.51864</v>
      </c>
    </row>
    <row r="5775" spans="27:32" ht="15">
      <c r="AA5775" s="463" t="s">
        <v>18284</v>
      </c>
      <c r="AB5775" s="462" t="s">
        <v>18285</v>
      </c>
      <c r="AC5775" s="462" t="s">
        <v>18286</v>
      </c>
      <c r="AD5775" s="464">
        <v>6.1960100000000002</v>
      </c>
      <c r="AE5775" s="465">
        <v>0.29161999999999999</v>
      </c>
      <c r="AF5775" s="86">
        <f>IF(verze!$E$1="CZK",AD5775,IF(verze!$E$1="SK",AE5775,""))</f>
        <v>0.29161999999999999</v>
      </c>
    </row>
    <row r="5776" spans="27:32" ht="15">
      <c r="AA5776" s="463" t="s">
        <v>18287</v>
      </c>
      <c r="AB5776" s="462" t="s">
        <v>18288</v>
      </c>
      <c r="AC5776" s="462" t="s">
        <v>18289</v>
      </c>
      <c r="AD5776" s="464">
        <v>6.6516700000000002</v>
      </c>
      <c r="AE5776" s="465">
        <v>0.31306</v>
      </c>
      <c r="AF5776" s="86">
        <f>IF(verze!$E$1="CZK",AD5776,IF(verze!$E$1="SK",AE5776,""))</f>
        <v>0.31306</v>
      </c>
    </row>
    <row r="5777" spans="27:32" ht="15">
      <c r="AA5777" s="463" t="s">
        <v>18290</v>
      </c>
      <c r="AB5777" s="462" t="s">
        <v>18291</v>
      </c>
      <c r="AC5777" s="462" t="s">
        <v>18292</v>
      </c>
      <c r="AD5777" s="464">
        <v>6.1960100000000002</v>
      </c>
      <c r="AE5777" s="465">
        <v>0.29161999999999999</v>
      </c>
      <c r="AF5777" s="86">
        <f>IF(verze!$E$1="CZK",AD5777,IF(verze!$E$1="SK",AE5777,""))</f>
        <v>0.29161999999999999</v>
      </c>
    </row>
    <row r="5778" spans="27:32" ht="15">
      <c r="AA5778" s="463" t="s">
        <v>18293</v>
      </c>
      <c r="AB5778" s="462" t="s">
        <v>18294</v>
      </c>
      <c r="AC5778" s="462" t="s">
        <v>18295</v>
      </c>
      <c r="AD5778" s="464">
        <v>6.6516700000000002</v>
      </c>
      <c r="AE5778" s="465">
        <v>0.31306</v>
      </c>
      <c r="AF5778" s="86">
        <f>IF(verze!$E$1="CZK",AD5778,IF(verze!$E$1="SK",AE5778,""))</f>
        <v>0.31306</v>
      </c>
    </row>
    <row r="5779" spans="27:32" ht="15">
      <c r="AA5779" s="463" t="s">
        <v>1320</v>
      </c>
      <c r="AB5779" s="462" t="s">
        <v>18296</v>
      </c>
      <c r="AC5779" s="462" t="s">
        <v>18297</v>
      </c>
      <c r="AD5779" s="464">
        <v>6.6516700000000002</v>
      </c>
      <c r="AE5779" s="465">
        <v>0.31306</v>
      </c>
      <c r="AF5779" s="86">
        <f>IF(verze!$E$1="CZK",AD5779,IF(verze!$E$1="SK",AE5779,""))</f>
        <v>0.31306</v>
      </c>
    </row>
    <row r="5780" spans="27:32" ht="15">
      <c r="AA5780" s="463" t="s">
        <v>18298</v>
      </c>
      <c r="AB5780" s="462" t="s">
        <v>18299</v>
      </c>
      <c r="AC5780" s="462" t="s">
        <v>18300</v>
      </c>
      <c r="AD5780" s="464">
        <v>7.0673899999999996</v>
      </c>
      <c r="AE5780" s="465">
        <v>0.33996999999999999</v>
      </c>
      <c r="AF5780" s="86">
        <f>IF(verze!$E$1="CZK",AD5780,IF(verze!$E$1="SK",AE5780,""))</f>
        <v>0.33996999999999999</v>
      </c>
    </row>
    <row r="5781" spans="27:32" ht="15">
      <c r="AA5781" s="463" t="s">
        <v>18301</v>
      </c>
      <c r="AB5781" s="462" t="s">
        <v>18302</v>
      </c>
      <c r="AC5781" s="462" t="s">
        <v>18303</v>
      </c>
      <c r="AD5781" s="464">
        <v>7.0673899999999996</v>
      </c>
      <c r="AE5781" s="465">
        <v>0.33996999999999999</v>
      </c>
      <c r="AF5781" s="86">
        <f>IF(verze!$E$1="CZK",AD5781,IF(verze!$E$1="SK",AE5781,""))</f>
        <v>0.33996999999999999</v>
      </c>
    </row>
    <row r="5782" spans="27:32" ht="15">
      <c r="AA5782" s="463" t="s">
        <v>18304</v>
      </c>
      <c r="AB5782" s="462" t="s">
        <v>18305</v>
      </c>
      <c r="AC5782" s="462" t="s">
        <v>18306</v>
      </c>
      <c r="AD5782" s="464">
        <v>7.4362199999999996</v>
      </c>
      <c r="AE5782" s="465">
        <v>0.34998000000000001</v>
      </c>
      <c r="AF5782" s="86">
        <f>IF(verze!$E$1="CZK",AD5782,IF(verze!$E$1="SK",AE5782,""))</f>
        <v>0.34998000000000001</v>
      </c>
    </row>
    <row r="5783" spans="27:32" ht="15">
      <c r="AA5783" s="463" t="s">
        <v>18307</v>
      </c>
      <c r="AB5783" s="462" t="s">
        <v>18308</v>
      </c>
      <c r="AC5783" s="462" t="s">
        <v>18309</v>
      </c>
      <c r="AD5783" s="464">
        <v>7.8893500000000003</v>
      </c>
      <c r="AE5783" s="465">
        <v>0.37130000000000002</v>
      </c>
      <c r="AF5783" s="86">
        <f>IF(verze!$E$1="CZK",AD5783,IF(verze!$E$1="SK",AE5783,""))</f>
        <v>0.37130000000000002</v>
      </c>
    </row>
    <row r="5784" spans="27:32" ht="15">
      <c r="AA5784" s="463" t="s">
        <v>18310</v>
      </c>
      <c r="AB5784" s="462" t="s">
        <v>18311</v>
      </c>
      <c r="AC5784" s="462" t="s">
        <v>18312</v>
      </c>
      <c r="AD5784" s="464">
        <v>10.22302</v>
      </c>
      <c r="AE5784" s="465">
        <v>0.48114000000000001</v>
      </c>
      <c r="AF5784" s="86">
        <f>IF(verze!$E$1="CZK",AD5784,IF(verze!$E$1="SK",AE5784,""))</f>
        <v>0.48114000000000001</v>
      </c>
    </row>
    <row r="5785" spans="27:32" ht="15">
      <c r="AA5785" s="463" t="s">
        <v>18313</v>
      </c>
      <c r="AB5785" s="462" t="s">
        <v>18314</v>
      </c>
      <c r="AC5785" s="462" t="s">
        <v>18315</v>
      </c>
      <c r="AD5785" s="464">
        <v>10.67606</v>
      </c>
      <c r="AE5785" s="465">
        <v>0.50246000000000002</v>
      </c>
      <c r="AF5785" s="86">
        <f>IF(verze!$E$1="CZK",AD5785,IF(verze!$E$1="SK",AE5785,""))</f>
        <v>0.50246000000000002</v>
      </c>
    </row>
    <row r="5786" spans="27:32" ht="15">
      <c r="AA5786" s="463" t="s">
        <v>18316</v>
      </c>
      <c r="AB5786" s="462" t="s">
        <v>18317</v>
      </c>
      <c r="AC5786" s="462" t="s">
        <v>18318</v>
      </c>
      <c r="AD5786" s="464">
        <v>516.90994999999998</v>
      </c>
      <c r="AE5786" s="465">
        <v>24.86524</v>
      </c>
      <c r="AF5786" s="86">
        <f>IF(verze!$E$1="CZK",AD5786,IF(verze!$E$1="SK",AE5786,""))</f>
        <v>24.86524</v>
      </c>
    </row>
    <row r="5787" spans="27:32" ht="15">
      <c r="AA5787" s="463" t="s">
        <v>18319</v>
      </c>
      <c r="AB5787" s="462" t="s">
        <v>18320</v>
      </c>
      <c r="AC5787" s="462" t="s">
        <v>18321</v>
      </c>
      <c r="AD5787" s="464">
        <v>516.90994999999998</v>
      </c>
      <c r="AE5787" s="465">
        <v>24.86524</v>
      </c>
      <c r="AF5787" s="86">
        <f>IF(verze!$E$1="CZK",AD5787,IF(verze!$E$1="SK",AE5787,""))</f>
        <v>24.86524</v>
      </c>
    </row>
    <row r="5788" spans="27:32" ht="15">
      <c r="AA5788" s="463" t="s">
        <v>18322</v>
      </c>
      <c r="AB5788" s="462" t="s">
        <v>18323</v>
      </c>
      <c r="AC5788" s="462" t="s">
        <v>18324</v>
      </c>
      <c r="AD5788" s="464">
        <v>540.40418</v>
      </c>
      <c r="AE5788" s="465">
        <v>25.9954</v>
      </c>
      <c r="AF5788" s="86">
        <f>IF(verze!$E$1="CZK",AD5788,IF(verze!$E$1="SK",AE5788,""))</f>
        <v>25.9954</v>
      </c>
    </row>
    <row r="5789" spans="27:32" ht="15">
      <c r="AA5789" s="463" t="s">
        <v>18325</v>
      </c>
      <c r="AB5789" s="462" t="s">
        <v>18326</v>
      </c>
      <c r="AC5789" s="462" t="s">
        <v>18327</v>
      </c>
      <c r="AD5789" s="464">
        <v>540.40418</v>
      </c>
      <c r="AE5789" s="465">
        <v>25.9954</v>
      </c>
      <c r="AF5789" s="86">
        <f>IF(verze!$E$1="CZK",AD5789,IF(verze!$E$1="SK",AE5789,""))</f>
        <v>25.9954</v>
      </c>
    </row>
    <row r="5790" spans="27:32" ht="15">
      <c r="AA5790" s="463" t="s">
        <v>18328</v>
      </c>
      <c r="AB5790" s="462" t="s">
        <v>18329</v>
      </c>
      <c r="AC5790" s="462" t="s">
        <v>18330</v>
      </c>
      <c r="AD5790" s="464">
        <v>1140.7644299999999</v>
      </c>
      <c r="AE5790" s="465">
        <v>54.874870000000001</v>
      </c>
      <c r="AF5790" s="86">
        <f>IF(verze!$E$1="CZK",AD5790,IF(verze!$E$1="SK",AE5790,""))</f>
        <v>54.874870000000001</v>
      </c>
    </row>
    <row r="5791" spans="27:32" ht="15">
      <c r="AA5791" s="463" t="s">
        <v>18331</v>
      </c>
      <c r="AB5791" s="462" t="s">
        <v>18332</v>
      </c>
      <c r="AC5791" s="462" t="s">
        <v>18333</v>
      </c>
      <c r="AD5791" s="464">
        <v>1192.6173699999999</v>
      </c>
      <c r="AE5791" s="465">
        <v>57.369210000000002</v>
      </c>
      <c r="AF5791" s="86">
        <f>IF(verze!$E$1="CZK",AD5791,IF(verze!$E$1="SK",AE5791,""))</f>
        <v>57.369210000000002</v>
      </c>
    </row>
    <row r="5792" spans="27:32" ht="15">
      <c r="AA5792" s="463" t="s">
        <v>18334</v>
      </c>
      <c r="AB5792" s="462" t="s">
        <v>18335</v>
      </c>
      <c r="AC5792" s="462" t="s">
        <v>18336</v>
      </c>
      <c r="AD5792" s="464">
        <v>1157.8944100000001</v>
      </c>
      <c r="AE5792" s="465">
        <v>55.698909999999998</v>
      </c>
      <c r="AF5792" s="86">
        <f>IF(verze!$E$1="CZK",AD5792,IF(verze!$E$1="SK",AE5792,""))</f>
        <v>55.698909999999998</v>
      </c>
    </row>
    <row r="5793" spans="27:32" ht="15">
      <c r="AA5793" s="463" t="s">
        <v>1320</v>
      </c>
      <c r="AB5793" s="462" t="s">
        <v>18337</v>
      </c>
      <c r="AC5793" s="462" t="s">
        <v>18338</v>
      </c>
      <c r="AD5793" s="464">
        <v>1858.944</v>
      </c>
      <c r="AE5793" s="465">
        <v>89.421909999999997</v>
      </c>
      <c r="AF5793" s="86">
        <f>IF(verze!$E$1="CZK",AD5793,IF(verze!$E$1="SK",AE5793,""))</f>
        <v>89.421909999999997</v>
      </c>
    </row>
    <row r="5794" spans="27:32" ht="15">
      <c r="AA5794" s="463" t="s">
        <v>18339</v>
      </c>
      <c r="AB5794" s="462" t="s">
        <v>18340</v>
      </c>
      <c r="AC5794" s="462" t="s">
        <v>18341</v>
      </c>
      <c r="AD5794" s="464">
        <v>1210.44291</v>
      </c>
      <c r="AE5794" s="465">
        <v>58.226660000000003</v>
      </c>
      <c r="AF5794" s="86">
        <f>IF(verze!$E$1="CZK",AD5794,IF(verze!$E$1="SK",AE5794,""))</f>
        <v>58.226660000000003</v>
      </c>
    </row>
    <row r="5795" spans="27:32" ht="15">
      <c r="AA5795" s="463" t="s">
        <v>18342</v>
      </c>
      <c r="AB5795" s="462" t="s">
        <v>18343</v>
      </c>
      <c r="AC5795" s="462" t="s">
        <v>18344</v>
      </c>
      <c r="AD5795" s="464">
        <v>4223.3955400000004</v>
      </c>
      <c r="AE5795" s="465">
        <v>193.48625999999999</v>
      </c>
      <c r="AF5795" s="86">
        <f>IF(verze!$E$1="CZK",AD5795,IF(verze!$E$1="SK",AE5795,""))</f>
        <v>193.48625999999999</v>
      </c>
    </row>
    <row r="5796" spans="27:32" ht="15">
      <c r="AA5796" s="463" t="s">
        <v>18345</v>
      </c>
      <c r="AB5796" s="462" t="s">
        <v>18346</v>
      </c>
      <c r="AC5796" s="462" t="s">
        <v>18347</v>
      </c>
      <c r="AD5796" s="464">
        <v>595.60976000000005</v>
      </c>
      <c r="AE5796" s="465">
        <v>28.650970000000001</v>
      </c>
      <c r="AF5796" s="86">
        <f>IF(verze!$E$1="CZK",AD5796,IF(verze!$E$1="SK",AE5796,""))</f>
        <v>28.650970000000001</v>
      </c>
    </row>
    <row r="5797" spans="27:32" ht="15">
      <c r="AA5797" s="463" t="s">
        <v>18348</v>
      </c>
      <c r="AB5797" s="462" t="s">
        <v>18349</v>
      </c>
      <c r="AC5797" s="462" t="s">
        <v>18350</v>
      </c>
      <c r="AD5797" s="464">
        <v>1299.5688399999999</v>
      </c>
      <c r="AE5797" s="465">
        <v>62.513930000000002</v>
      </c>
      <c r="AF5797" s="86">
        <f>IF(verze!$E$1="CZK",AD5797,IF(verze!$E$1="SK",AE5797,""))</f>
        <v>62.513930000000002</v>
      </c>
    </row>
    <row r="5798" spans="27:32" ht="15">
      <c r="AA5798" s="463" t="s">
        <v>18351</v>
      </c>
      <c r="AB5798" s="462" t="s">
        <v>18352</v>
      </c>
      <c r="AC5798" s="462" t="s">
        <v>18353</v>
      </c>
      <c r="AD5798" s="464">
        <v>298.88173999999998</v>
      </c>
      <c r="AE5798" s="465">
        <v>14.37729</v>
      </c>
      <c r="AF5798" s="86">
        <f>IF(verze!$E$1="CZK",AD5798,IF(verze!$E$1="SK",AE5798,""))</f>
        <v>14.37729</v>
      </c>
    </row>
    <row r="5799" spans="27:32" ht="15">
      <c r="AA5799" s="463" t="s">
        <v>18354</v>
      </c>
      <c r="AB5799" s="462" t="s">
        <v>18355</v>
      </c>
      <c r="AC5799" s="462" t="s">
        <v>18356</v>
      </c>
      <c r="AD5799" s="464">
        <v>298.88173999999998</v>
      </c>
      <c r="AE5799" s="465">
        <v>14.37729</v>
      </c>
      <c r="AF5799" s="86">
        <f>IF(verze!$E$1="CZK",AD5799,IF(verze!$E$1="SK",AE5799,""))</f>
        <v>14.37729</v>
      </c>
    </row>
    <row r="5800" spans="27:32" ht="15">
      <c r="AA5800" s="463" t="s">
        <v>18357</v>
      </c>
      <c r="AB5800" s="462" t="s">
        <v>18358</v>
      </c>
      <c r="AC5800" s="462" t="s">
        <v>18359</v>
      </c>
      <c r="AD5800" s="464">
        <v>298.88173999999998</v>
      </c>
      <c r="AE5800" s="465">
        <v>14.37729</v>
      </c>
      <c r="AF5800" s="86">
        <f>IF(verze!$E$1="CZK",AD5800,IF(verze!$E$1="SK",AE5800,""))</f>
        <v>14.37729</v>
      </c>
    </row>
    <row r="5801" spans="27:32" ht="15">
      <c r="AA5801" s="463" t="s">
        <v>18360</v>
      </c>
      <c r="AB5801" s="462" t="s">
        <v>18361</v>
      </c>
      <c r="AC5801" s="462" t="s">
        <v>18362</v>
      </c>
      <c r="AD5801" s="464">
        <v>298.88173999999998</v>
      </c>
      <c r="AE5801" s="465">
        <v>14.37729</v>
      </c>
      <c r="AF5801" s="86">
        <f>IF(verze!$E$1="CZK",AD5801,IF(verze!$E$1="SK",AE5801,""))</f>
        <v>14.37729</v>
      </c>
    </row>
    <row r="5802" spans="27:32" ht="15">
      <c r="AA5802" s="463" t="s">
        <v>18363</v>
      </c>
      <c r="AB5802" s="462" t="s">
        <v>18364</v>
      </c>
      <c r="AC5802" s="462" t="s">
        <v>18365</v>
      </c>
      <c r="AD5802" s="464">
        <v>298.88173999999998</v>
      </c>
      <c r="AE5802" s="465">
        <v>14.37729</v>
      </c>
      <c r="AF5802" s="86">
        <f>IF(verze!$E$1="CZK",AD5802,IF(verze!$E$1="SK",AE5802,""))</f>
        <v>14.37729</v>
      </c>
    </row>
    <row r="5803" spans="27:32" ht="15">
      <c r="AA5803" s="463" t="s">
        <v>18366</v>
      </c>
      <c r="AB5803" s="462" t="s">
        <v>18367</v>
      </c>
      <c r="AC5803" s="462" t="s">
        <v>18368</v>
      </c>
      <c r="AD5803" s="464">
        <v>298.88173999999998</v>
      </c>
      <c r="AE5803" s="465">
        <v>14.37729</v>
      </c>
      <c r="AF5803" s="86">
        <f>IF(verze!$E$1="CZK",AD5803,IF(verze!$E$1="SK",AE5803,""))</f>
        <v>14.37729</v>
      </c>
    </row>
    <row r="5804" spans="27:32" ht="15">
      <c r="AA5804" s="463" t="s">
        <v>18369</v>
      </c>
      <c r="AB5804" s="462" t="s">
        <v>18370</v>
      </c>
      <c r="AC5804" s="462" t="s">
        <v>18371</v>
      </c>
      <c r="AD5804" s="464">
        <v>657.45060999999998</v>
      </c>
      <c r="AE5804" s="465">
        <v>31.62575</v>
      </c>
      <c r="AF5804" s="86">
        <f>IF(verze!$E$1="CZK",AD5804,IF(verze!$E$1="SK",AE5804,""))</f>
        <v>31.62575</v>
      </c>
    </row>
    <row r="5805" spans="27:32" ht="15">
      <c r="AA5805" s="463" t="s">
        <v>18372</v>
      </c>
      <c r="AB5805" s="462" t="s">
        <v>18373</v>
      </c>
      <c r="AC5805" s="462" t="s">
        <v>18374</v>
      </c>
      <c r="AD5805" s="464">
        <v>657.45060999999998</v>
      </c>
      <c r="AE5805" s="465">
        <v>31.62575</v>
      </c>
      <c r="AF5805" s="86">
        <f>IF(verze!$E$1="CZK",AD5805,IF(verze!$E$1="SK",AE5805,""))</f>
        <v>31.62575</v>
      </c>
    </row>
    <row r="5806" spans="27:32" ht="15">
      <c r="AA5806" s="463" t="s">
        <v>18375</v>
      </c>
      <c r="AB5806" s="462" t="s">
        <v>18376</v>
      </c>
      <c r="AC5806" s="462" t="s">
        <v>18377</v>
      </c>
      <c r="AD5806" s="464">
        <v>635.37584000000004</v>
      </c>
      <c r="AE5806" s="465">
        <v>0</v>
      </c>
      <c r="AF5806" s="86">
        <f>IF(verze!$E$1="CZK",AD5806,IF(verze!$E$1="SK",AE5806,""))</f>
        <v>0</v>
      </c>
    </row>
    <row r="5807" spans="27:32" ht="15">
      <c r="AA5807" s="463" t="s">
        <v>18378</v>
      </c>
      <c r="AB5807" s="462" t="s">
        <v>18379</v>
      </c>
      <c r="AC5807" s="462" t="s">
        <v>18380</v>
      </c>
      <c r="AD5807" s="464">
        <v>657.45060999999998</v>
      </c>
      <c r="AE5807" s="465">
        <v>31.62575</v>
      </c>
      <c r="AF5807" s="86">
        <f>IF(verze!$E$1="CZK",AD5807,IF(verze!$E$1="SK",AE5807,""))</f>
        <v>31.62575</v>
      </c>
    </row>
    <row r="5808" spans="27:32" ht="15">
      <c r="AA5808" s="463" t="s">
        <v>18381</v>
      </c>
      <c r="AB5808" s="462" t="s">
        <v>18382</v>
      </c>
      <c r="AC5808" s="462" t="s">
        <v>18383</v>
      </c>
      <c r="AD5808" s="464">
        <v>298.88173999999998</v>
      </c>
      <c r="AE5808" s="465">
        <v>14.37729</v>
      </c>
      <c r="AF5808" s="86">
        <f>IF(verze!$E$1="CZK",AD5808,IF(verze!$E$1="SK",AE5808,""))</f>
        <v>14.37729</v>
      </c>
    </row>
    <row r="5809" spans="27:32" ht="15">
      <c r="AA5809" s="463" t="s">
        <v>18384</v>
      </c>
      <c r="AB5809" s="462" t="s">
        <v>18385</v>
      </c>
      <c r="AC5809" s="462" t="s">
        <v>18386</v>
      </c>
      <c r="AD5809" s="464">
        <v>298.88173999999998</v>
      </c>
      <c r="AE5809" s="465">
        <v>14.37729</v>
      </c>
      <c r="AF5809" s="86">
        <f>IF(verze!$E$1="CZK",AD5809,IF(verze!$E$1="SK",AE5809,""))</f>
        <v>14.37729</v>
      </c>
    </row>
    <row r="5810" spans="27:32" ht="15">
      <c r="AA5810" s="463" t="s">
        <v>18387</v>
      </c>
      <c r="AB5810" s="462" t="s">
        <v>18388</v>
      </c>
      <c r="AC5810" s="462" t="s">
        <v>18389</v>
      </c>
      <c r="AD5810" s="464">
        <v>298.88173999999998</v>
      </c>
      <c r="AE5810" s="465">
        <v>14.37729</v>
      </c>
      <c r="AF5810" s="86">
        <f>IF(verze!$E$1="CZK",AD5810,IF(verze!$E$1="SK",AE5810,""))</f>
        <v>14.37729</v>
      </c>
    </row>
    <row r="5811" spans="27:32" ht="15">
      <c r="AA5811" s="463" t="s">
        <v>18390</v>
      </c>
      <c r="AB5811" s="462" t="s">
        <v>18391</v>
      </c>
      <c r="AC5811" s="462" t="s">
        <v>18392</v>
      </c>
      <c r="AD5811" s="464">
        <v>298.88173999999998</v>
      </c>
      <c r="AE5811" s="465">
        <v>14.37729</v>
      </c>
      <c r="AF5811" s="86">
        <f>IF(verze!$E$1="CZK",AD5811,IF(verze!$E$1="SK",AE5811,""))</f>
        <v>14.37729</v>
      </c>
    </row>
    <row r="5812" spans="27:32" ht="15">
      <c r="AA5812" s="463" t="s">
        <v>18393</v>
      </c>
      <c r="AB5812" s="462" t="s">
        <v>18394</v>
      </c>
      <c r="AC5812" s="462" t="s">
        <v>18395</v>
      </c>
      <c r="AD5812" s="464">
        <v>298.88173999999998</v>
      </c>
      <c r="AE5812" s="465">
        <v>14.37729</v>
      </c>
      <c r="AF5812" s="86">
        <f>IF(verze!$E$1="CZK",AD5812,IF(verze!$E$1="SK",AE5812,""))</f>
        <v>14.37729</v>
      </c>
    </row>
    <row r="5813" spans="27:32" ht="15">
      <c r="AA5813" s="463" t="s">
        <v>18396</v>
      </c>
      <c r="AB5813" s="462" t="s">
        <v>18397</v>
      </c>
      <c r="AC5813" s="462" t="s">
        <v>18398</v>
      </c>
      <c r="AD5813" s="464">
        <v>298.88173999999998</v>
      </c>
      <c r="AE5813" s="465">
        <v>14.37729</v>
      </c>
      <c r="AF5813" s="86">
        <f>IF(verze!$E$1="CZK",AD5813,IF(verze!$E$1="SK",AE5813,""))</f>
        <v>14.37729</v>
      </c>
    </row>
    <row r="5814" spans="27:32" ht="15">
      <c r="AA5814" s="463" t="s">
        <v>18399</v>
      </c>
      <c r="AB5814" s="462" t="s">
        <v>18400</v>
      </c>
      <c r="AC5814" s="462" t="s">
        <v>18401</v>
      </c>
      <c r="AD5814" s="464">
        <v>302.69770999999997</v>
      </c>
      <c r="AE5814" s="465">
        <v>14.56085</v>
      </c>
      <c r="AF5814" s="86">
        <f>IF(verze!$E$1="CZK",AD5814,IF(verze!$E$1="SK",AE5814,""))</f>
        <v>14.56085</v>
      </c>
    </row>
    <row r="5815" spans="27:32" ht="15">
      <c r="AA5815" s="463" t="s">
        <v>18402</v>
      </c>
      <c r="AB5815" s="462" t="s">
        <v>18403</v>
      </c>
      <c r="AC5815" s="462" t="s">
        <v>18404</v>
      </c>
      <c r="AD5815" s="464">
        <v>302.69770999999997</v>
      </c>
      <c r="AE5815" s="465">
        <v>14.56085</v>
      </c>
      <c r="AF5815" s="86">
        <f>IF(verze!$E$1="CZK",AD5815,IF(verze!$E$1="SK",AE5815,""))</f>
        <v>14.56085</v>
      </c>
    </row>
    <row r="5816" spans="27:32" ht="15">
      <c r="AA5816" s="463" t="s">
        <v>18405</v>
      </c>
      <c r="AB5816" s="462" t="s">
        <v>18406</v>
      </c>
      <c r="AC5816" s="462" t="s">
        <v>18407</v>
      </c>
      <c r="AD5816" s="464">
        <v>298.33073999999999</v>
      </c>
      <c r="AE5816" s="465">
        <v>14.040839999999999</v>
      </c>
      <c r="AF5816" s="86">
        <f>IF(verze!$E$1="CZK",AD5816,IF(verze!$E$1="SK",AE5816,""))</f>
        <v>14.040839999999999</v>
      </c>
    </row>
    <row r="5817" spans="27:32" ht="15">
      <c r="AA5817" s="463" t="s">
        <v>18408</v>
      </c>
      <c r="AB5817" s="462" t="s">
        <v>18409</v>
      </c>
      <c r="AC5817" s="462" t="s">
        <v>18410</v>
      </c>
      <c r="AD5817" s="464">
        <v>298.33073999999999</v>
      </c>
      <c r="AE5817" s="465">
        <v>14.040839999999999</v>
      </c>
      <c r="AF5817" s="86">
        <f>IF(verze!$E$1="CZK",AD5817,IF(verze!$E$1="SK",AE5817,""))</f>
        <v>14.040839999999999</v>
      </c>
    </row>
    <row r="5818" spans="27:32" ht="15">
      <c r="AA5818" s="463" t="s">
        <v>18411</v>
      </c>
      <c r="AB5818" s="462" t="s">
        <v>18412</v>
      </c>
      <c r="AC5818" s="462" t="s">
        <v>18413</v>
      </c>
      <c r="AD5818" s="464">
        <v>310.30277999999998</v>
      </c>
      <c r="AE5818" s="465">
        <v>14.92667</v>
      </c>
      <c r="AF5818" s="86">
        <f>IF(verze!$E$1="CZK",AD5818,IF(verze!$E$1="SK",AE5818,""))</f>
        <v>14.92667</v>
      </c>
    </row>
    <row r="5819" spans="27:32" ht="15">
      <c r="AA5819" s="463" t="s">
        <v>18411</v>
      </c>
      <c r="AB5819" s="462" t="s">
        <v>18414</v>
      </c>
      <c r="AC5819" s="462" t="s">
        <v>18415</v>
      </c>
      <c r="AD5819" s="464">
        <v>296.00905</v>
      </c>
      <c r="AE5819" s="465">
        <v>13.931559999999999</v>
      </c>
      <c r="AF5819" s="86">
        <f>IF(verze!$E$1="CZK",AD5819,IF(verze!$E$1="SK",AE5819,""))</f>
        <v>13.931559999999999</v>
      </c>
    </row>
    <row r="5820" spans="27:32" ht="15">
      <c r="AA5820" s="463" t="s">
        <v>18416</v>
      </c>
      <c r="AB5820" s="462" t="s">
        <v>18417</v>
      </c>
      <c r="AC5820" s="462" t="s">
        <v>18418</v>
      </c>
      <c r="AD5820" s="464">
        <v>310.30277999999998</v>
      </c>
      <c r="AE5820" s="465">
        <v>14.92667</v>
      </c>
      <c r="AF5820" s="86">
        <f>IF(verze!$E$1="CZK",AD5820,IF(verze!$E$1="SK",AE5820,""))</f>
        <v>14.92667</v>
      </c>
    </row>
    <row r="5821" spans="27:32" ht="15">
      <c r="AA5821" s="463" t="s">
        <v>18416</v>
      </c>
      <c r="AB5821" s="462" t="s">
        <v>18419</v>
      </c>
      <c r="AC5821" s="462" t="s">
        <v>18420</v>
      </c>
      <c r="AD5821" s="464">
        <v>296.00905</v>
      </c>
      <c r="AE5821" s="465">
        <v>13.931559999999999</v>
      </c>
      <c r="AF5821" s="86">
        <f>IF(verze!$E$1="CZK",AD5821,IF(verze!$E$1="SK",AE5821,""))</f>
        <v>13.931559999999999</v>
      </c>
    </row>
    <row r="5822" spans="27:32" ht="15">
      <c r="AA5822" s="463" t="s">
        <v>18421</v>
      </c>
      <c r="AB5822" s="462" t="s">
        <v>18422</v>
      </c>
      <c r="AC5822" s="462" t="s">
        <v>18423</v>
      </c>
      <c r="AD5822" s="464">
        <v>321.83461999999997</v>
      </c>
      <c r="AE5822" s="465">
        <v>15.147040000000001</v>
      </c>
      <c r="AF5822" s="86">
        <f>IF(verze!$E$1="CZK",AD5822,IF(verze!$E$1="SK",AE5822,""))</f>
        <v>15.147040000000001</v>
      </c>
    </row>
    <row r="5823" spans="27:32" ht="15">
      <c r="AA5823" s="463" t="s">
        <v>18424</v>
      </c>
      <c r="AB5823" s="462" t="s">
        <v>18425</v>
      </c>
      <c r="AC5823" s="462" t="s">
        <v>18426</v>
      </c>
      <c r="AD5823" s="464">
        <v>321.83461999999997</v>
      </c>
      <c r="AE5823" s="465">
        <v>15.147040000000001</v>
      </c>
      <c r="AF5823" s="86">
        <f>IF(verze!$E$1="CZK",AD5823,IF(verze!$E$1="SK",AE5823,""))</f>
        <v>15.147040000000001</v>
      </c>
    </row>
    <row r="5824" spans="27:32" ht="15">
      <c r="AA5824" s="463" t="s">
        <v>18427</v>
      </c>
      <c r="AB5824" s="462" t="s">
        <v>18428</v>
      </c>
      <c r="AC5824" s="462" t="s">
        <v>18429</v>
      </c>
      <c r="AD5824" s="464">
        <v>326.21229</v>
      </c>
      <c r="AE5824" s="465">
        <v>15.35308</v>
      </c>
      <c r="AF5824" s="86">
        <f>IF(verze!$E$1="CZK",AD5824,IF(verze!$E$1="SK",AE5824,""))</f>
        <v>15.35308</v>
      </c>
    </row>
    <row r="5825" spans="27:32" ht="15">
      <c r="AA5825" s="463" t="s">
        <v>18430</v>
      </c>
      <c r="AB5825" s="462" t="s">
        <v>18431</v>
      </c>
      <c r="AC5825" s="462" t="s">
        <v>18432</v>
      </c>
      <c r="AD5825" s="464">
        <v>326.21229</v>
      </c>
      <c r="AE5825" s="465">
        <v>15.35308</v>
      </c>
      <c r="AF5825" s="86">
        <f>IF(verze!$E$1="CZK",AD5825,IF(verze!$E$1="SK",AE5825,""))</f>
        <v>15.35308</v>
      </c>
    </row>
    <row r="5826" spans="27:32" ht="15">
      <c r="AA5826" s="463" t="s">
        <v>18433</v>
      </c>
      <c r="AB5826" s="462" t="s">
        <v>18434</v>
      </c>
      <c r="AC5826" s="462" t="s">
        <v>18435</v>
      </c>
      <c r="AD5826" s="464">
        <v>657.45060999999998</v>
      </c>
      <c r="AE5826" s="465">
        <v>31.62575</v>
      </c>
      <c r="AF5826" s="86">
        <f>IF(verze!$E$1="CZK",AD5826,IF(verze!$E$1="SK",AE5826,""))</f>
        <v>31.62575</v>
      </c>
    </row>
    <row r="5827" spans="27:32" ht="15">
      <c r="AA5827" s="463" t="s">
        <v>18436</v>
      </c>
      <c r="AB5827" s="462" t="s">
        <v>18437</v>
      </c>
      <c r="AC5827" s="462" t="s">
        <v>18438</v>
      </c>
      <c r="AD5827" s="464">
        <v>657.45060999999998</v>
      </c>
      <c r="AE5827" s="465">
        <v>31.62575</v>
      </c>
      <c r="AF5827" s="86">
        <f>IF(verze!$E$1="CZK",AD5827,IF(verze!$E$1="SK",AE5827,""))</f>
        <v>31.62575</v>
      </c>
    </row>
    <row r="5828" spans="27:32" ht="15">
      <c r="AA5828" s="463" t="s">
        <v>18439</v>
      </c>
      <c r="AB5828" s="462" t="s">
        <v>18440</v>
      </c>
      <c r="AC5828" s="462" t="s">
        <v>18441</v>
      </c>
      <c r="AD5828" s="464">
        <v>657.45060999999998</v>
      </c>
      <c r="AE5828" s="465">
        <v>31.62575</v>
      </c>
      <c r="AF5828" s="86">
        <f>IF(verze!$E$1="CZK",AD5828,IF(verze!$E$1="SK",AE5828,""))</f>
        <v>31.62575</v>
      </c>
    </row>
    <row r="5829" spans="27:32" ht="15">
      <c r="AA5829" s="463" t="s">
        <v>18442</v>
      </c>
      <c r="AB5829" s="462" t="s">
        <v>18443</v>
      </c>
      <c r="AC5829" s="462" t="s">
        <v>18444</v>
      </c>
      <c r="AD5829" s="464">
        <v>664.73978</v>
      </c>
      <c r="AE5829" s="465">
        <v>31.976389999999999</v>
      </c>
      <c r="AF5829" s="86">
        <f>IF(verze!$E$1="CZK",AD5829,IF(verze!$E$1="SK",AE5829,""))</f>
        <v>31.976389999999999</v>
      </c>
    </row>
    <row r="5830" spans="27:32" ht="15">
      <c r="AA5830" s="463" t="s">
        <v>18442</v>
      </c>
      <c r="AB5830" s="462" t="s">
        <v>18445</v>
      </c>
      <c r="AC5830" s="462" t="s">
        <v>18446</v>
      </c>
      <c r="AD5830" s="464">
        <v>664.73978</v>
      </c>
      <c r="AE5830" s="465">
        <v>31.976389999999999</v>
      </c>
      <c r="AF5830" s="86">
        <f>IF(verze!$E$1="CZK",AD5830,IF(verze!$E$1="SK",AE5830,""))</f>
        <v>31.976389999999999</v>
      </c>
    </row>
    <row r="5831" spans="27:32" ht="15">
      <c r="AA5831" s="463" t="s">
        <v>18447</v>
      </c>
      <c r="AB5831" s="462" t="s">
        <v>18448</v>
      </c>
      <c r="AC5831" s="462" t="s">
        <v>18449</v>
      </c>
      <c r="AD5831" s="464">
        <v>671.97520999999995</v>
      </c>
      <c r="AE5831" s="465">
        <v>32.324420000000003</v>
      </c>
      <c r="AF5831" s="86">
        <f>IF(verze!$E$1="CZK",AD5831,IF(verze!$E$1="SK",AE5831,""))</f>
        <v>32.324420000000003</v>
      </c>
    </row>
    <row r="5832" spans="27:32" ht="15">
      <c r="AA5832" s="463" t="s">
        <v>18447</v>
      </c>
      <c r="AB5832" s="462" t="s">
        <v>18450</v>
      </c>
      <c r="AC5832" s="462" t="s">
        <v>18451</v>
      </c>
      <c r="AD5832" s="464">
        <v>671.97520999999995</v>
      </c>
      <c r="AE5832" s="465">
        <v>32.324420000000003</v>
      </c>
      <c r="AF5832" s="86">
        <f>IF(verze!$E$1="CZK",AD5832,IF(verze!$E$1="SK",AE5832,""))</f>
        <v>32.324420000000003</v>
      </c>
    </row>
    <row r="5833" spans="27:32" ht="15">
      <c r="AA5833" s="463" t="s">
        <v>18452</v>
      </c>
      <c r="AB5833" s="462" t="s">
        <v>18453</v>
      </c>
      <c r="AC5833" s="462" t="s">
        <v>18454</v>
      </c>
      <c r="AD5833" s="464">
        <v>656.46168999999998</v>
      </c>
      <c r="AE5833" s="465">
        <v>0</v>
      </c>
      <c r="AF5833" s="86">
        <f>IF(verze!$E$1="CZK",AD5833,IF(verze!$E$1="SK",AE5833,""))</f>
        <v>0</v>
      </c>
    </row>
    <row r="5834" spans="27:32" ht="15">
      <c r="AA5834" s="463" t="s">
        <v>18455</v>
      </c>
      <c r="AB5834" s="462" t="s">
        <v>18456</v>
      </c>
      <c r="AC5834" s="462" t="s">
        <v>18457</v>
      </c>
      <c r="AD5834" s="464">
        <v>718.10338999999999</v>
      </c>
      <c r="AE5834" s="465">
        <v>34.54336</v>
      </c>
      <c r="AF5834" s="86">
        <f>IF(verze!$E$1="CZK",AD5834,IF(verze!$E$1="SK",AE5834,""))</f>
        <v>34.54336</v>
      </c>
    </row>
    <row r="5835" spans="27:32" ht="15">
      <c r="AA5835" s="463" t="s">
        <v>18458</v>
      </c>
      <c r="AB5835" s="462" t="s">
        <v>18459</v>
      </c>
      <c r="AC5835" s="462" t="s">
        <v>18460</v>
      </c>
      <c r="AD5835" s="464">
        <v>634.97594000000004</v>
      </c>
      <c r="AE5835" s="465">
        <v>13.4618</v>
      </c>
      <c r="AF5835" s="86">
        <f>IF(verze!$E$1="CZK",AD5835,IF(verze!$E$1="SK",AE5835,""))</f>
        <v>13.4618</v>
      </c>
    </row>
    <row r="5836" spans="27:32" ht="15">
      <c r="AA5836" s="463" t="s">
        <v>18461</v>
      </c>
      <c r="AB5836" s="462" t="s">
        <v>18462</v>
      </c>
      <c r="AC5836" s="462" t="s">
        <v>18463</v>
      </c>
      <c r="AD5836" s="464">
        <v>726.70140000000004</v>
      </c>
      <c r="AE5836" s="465">
        <v>34.956960000000002</v>
      </c>
      <c r="AF5836" s="86">
        <f>IF(verze!$E$1="CZK",AD5836,IF(verze!$E$1="SK",AE5836,""))</f>
        <v>34.956960000000002</v>
      </c>
    </row>
    <row r="5837" spans="27:32" ht="15">
      <c r="AA5837" s="463" t="s">
        <v>18464</v>
      </c>
      <c r="AB5837" s="462" t="s">
        <v>18465</v>
      </c>
      <c r="AC5837" s="462" t="s">
        <v>18466</v>
      </c>
      <c r="AD5837" s="464">
        <v>702.30148999999994</v>
      </c>
      <c r="AE5837" s="465">
        <v>0</v>
      </c>
      <c r="AF5837" s="86">
        <f>IF(verze!$E$1="CZK",AD5837,IF(verze!$E$1="SK",AE5837,""))</f>
        <v>0</v>
      </c>
    </row>
    <row r="5838" spans="27:32" ht="15">
      <c r="AA5838" s="463" t="s">
        <v>18467</v>
      </c>
      <c r="AB5838" s="462" t="s">
        <v>18468</v>
      </c>
      <c r="AC5838" s="462" t="s">
        <v>18469</v>
      </c>
      <c r="AD5838" s="464">
        <v>368.62277</v>
      </c>
      <c r="AE5838" s="465">
        <v>17.349119999999999</v>
      </c>
      <c r="AF5838" s="86">
        <f>IF(verze!$E$1="CZK",AD5838,IF(verze!$E$1="SK",AE5838,""))</f>
        <v>17.349119999999999</v>
      </c>
    </row>
    <row r="5839" spans="27:32" ht="15">
      <c r="AA5839" s="463" t="s">
        <v>18470</v>
      </c>
      <c r="AB5839" s="462" t="s">
        <v>18471</v>
      </c>
      <c r="AC5839" s="462" t="s">
        <v>18472</v>
      </c>
      <c r="AD5839" s="464">
        <v>368.62277</v>
      </c>
      <c r="AE5839" s="465">
        <v>17.349119999999999</v>
      </c>
      <c r="AF5839" s="86">
        <f>IF(verze!$E$1="CZK",AD5839,IF(verze!$E$1="SK",AE5839,""))</f>
        <v>17.349119999999999</v>
      </c>
    </row>
    <row r="5840" spans="27:32" ht="15">
      <c r="AA5840" s="463" t="s">
        <v>18473</v>
      </c>
      <c r="AB5840" s="462" t="s">
        <v>18474</v>
      </c>
      <c r="AC5840" s="462" t="s">
        <v>18475</v>
      </c>
      <c r="AD5840" s="464">
        <v>372.33726999999999</v>
      </c>
      <c r="AE5840" s="465">
        <v>17.52394</v>
      </c>
      <c r="AF5840" s="86">
        <f>IF(verze!$E$1="CZK",AD5840,IF(verze!$E$1="SK",AE5840,""))</f>
        <v>17.52394</v>
      </c>
    </row>
    <row r="5841" spans="27:32" ht="15">
      <c r="AA5841" s="463" t="s">
        <v>18476</v>
      </c>
      <c r="AB5841" s="462" t="s">
        <v>18477</v>
      </c>
      <c r="AC5841" s="462" t="s">
        <v>18478</v>
      </c>
      <c r="AD5841" s="464">
        <v>372.33726999999999</v>
      </c>
      <c r="AE5841" s="465">
        <v>17.52394</v>
      </c>
      <c r="AF5841" s="86">
        <f>IF(verze!$E$1="CZK",AD5841,IF(verze!$E$1="SK",AE5841,""))</f>
        <v>17.52394</v>
      </c>
    </row>
    <row r="5842" spans="27:32" ht="15">
      <c r="AA5842" s="463" t="s">
        <v>18479</v>
      </c>
      <c r="AB5842" s="462" t="s">
        <v>18480</v>
      </c>
      <c r="AC5842" s="462" t="s">
        <v>18481</v>
      </c>
      <c r="AD5842" s="464">
        <v>392.11943000000002</v>
      </c>
      <c r="AE5842" s="465">
        <v>18.45496</v>
      </c>
      <c r="AF5842" s="86">
        <f>IF(verze!$E$1="CZK",AD5842,IF(verze!$E$1="SK",AE5842,""))</f>
        <v>18.45496</v>
      </c>
    </row>
    <row r="5843" spans="27:32" ht="15">
      <c r="AA5843" s="463" t="s">
        <v>18482</v>
      </c>
      <c r="AB5843" s="462" t="s">
        <v>18483</v>
      </c>
      <c r="AC5843" s="462" t="s">
        <v>18484</v>
      </c>
      <c r="AD5843" s="464">
        <v>392.11943000000002</v>
      </c>
      <c r="AE5843" s="465">
        <v>18.45496</v>
      </c>
      <c r="AF5843" s="86">
        <f>IF(verze!$E$1="CZK",AD5843,IF(verze!$E$1="SK",AE5843,""))</f>
        <v>18.45496</v>
      </c>
    </row>
    <row r="5844" spans="27:32" ht="15">
      <c r="AA5844" s="463" t="s">
        <v>18485</v>
      </c>
      <c r="AB5844" s="462" t="s">
        <v>18486</v>
      </c>
      <c r="AC5844" s="462" t="s">
        <v>18487</v>
      </c>
      <c r="AD5844" s="464">
        <v>443.89010999999999</v>
      </c>
      <c r="AE5844" s="465">
        <v>21.352720000000001</v>
      </c>
      <c r="AF5844" s="86">
        <f>IF(verze!$E$1="CZK",AD5844,IF(verze!$E$1="SK",AE5844,""))</f>
        <v>21.352720000000001</v>
      </c>
    </row>
    <row r="5845" spans="27:32" ht="15">
      <c r="AA5845" s="463" t="s">
        <v>18488</v>
      </c>
      <c r="AB5845" s="462" t="s">
        <v>18489</v>
      </c>
      <c r="AC5845" s="462" t="s">
        <v>18490</v>
      </c>
      <c r="AD5845" s="464">
        <v>443.89010999999999</v>
      </c>
      <c r="AE5845" s="465">
        <v>21.352720000000001</v>
      </c>
      <c r="AF5845" s="86">
        <f>IF(verze!$E$1="CZK",AD5845,IF(verze!$E$1="SK",AE5845,""))</f>
        <v>21.352720000000001</v>
      </c>
    </row>
    <row r="5846" spans="27:32" ht="15">
      <c r="AA5846" s="463" t="s">
        <v>18491</v>
      </c>
      <c r="AB5846" s="462" t="s">
        <v>18492</v>
      </c>
      <c r="AC5846" s="462" t="s">
        <v>18493</v>
      </c>
      <c r="AD5846" s="464">
        <v>462.41142000000002</v>
      </c>
      <c r="AE5846" s="465">
        <v>22.243659999999998</v>
      </c>
      <c r="AF5846" s="86">
        <f>IF(verze!$E$1="CZK",AD5846,IF(verze!$E$1="SK",AE5846,""))</f>
        <v>22.243659999999998</v>
      </c>
    </row>
    <row r="5847" spans="27:32" ht="15">
      <c r="AA5847" s="463" t="s">
        <v>18494</v>
      </c>
      <c r="AB5847" s="462" t="s">
        <v>18495</v>
      </c>
      <c r="AC5847" s="462" t="s">
        <v>18496</v>
      </c>
      <c r="AD5847" s="464">
        <v>462.41142000000002</v>
      </c>
      <c r="AE5847" s="465">
        <v>22.243659999999998</v>
      </c>
      <c r="AF5847" s="86">
        <f>IF(verze!$E$1="CZK",AD5847,IF(verze!$E$1="SK",AE5847,""))</f>
        <v>22.243659999999998</v>
      </c>
    </row>
    <row r="5848" spans="27:32" ht="15">
      <c r="AA5848" s="463" t="s">
        <v>18497</v>
      </c>
      <c r="AB5848" s="462" t="s">
        <v>18498</v>
      </c>
      <c r="AC5848" s="462" t="s">
        <v>18499</v>
      </c>
      <c r="AD5848" s="464">
        <v>788.92061000000001</v>
      </c>
      <c r="AE5848" s="465">
        <v>0</v>
      </c>
      <c r="AF5848" s="86">
        <f>IF(verze!$E$1="CZK",AD5848,IF(verze!$E$1="SK",AE5848,""))</f>
        <v>0</v>
      </c>
    </row>
    <row r="5849" spans="27:32" ht="15">
      <c r="AA5849" s="463" t="s">
        <v>18500</v>
      </c>
      <c r="AB5849" s="462" t="s">
        <v>18501</v>
      </c>
      <c r="AC5849" s="462" t="s">
        <v>18502</v>
      </c>
      <c r="AD5849" s="464">
        <v>823.68502000000001</v>
      </c>
      <c r="AE5849" s="465">
        <v>39.622210000000003</v>
      </c>
      <c r="AF5849" s="86">
        <f>IF(verze!$E$1="CZK",AD5849,IF(verze!$E$1="SK",AE5849,""))</f>
        <v>39.622210000000003</v>
      </c>
    </row>
    <row r="5850" spans="27:32" ht="15">
      <c r="AA5850" s="463" t="s">
        <v>18503</v>
      </c>
      <c r="AB5850" s="462" t="s">
        <v>18504</v>
      </c>
      <c r="AC5850" s="462" t="s">
        <v>18505</v>
      </c>
      <c r="AD5850" s="464">
        <v>862.82307000000003</v>
      </c>
      <c r="AE5850" s="465">
        <v>41.504899999999999</v>
      </c>
      <c r="AF5850" s="86">
        <f>IF(verze!$E$1="CZK",AD5850,IF(verze!$E$1="SK",AE5850,""))</f>
        <v>41.504899999999999</v>
      </c>
    </row>
    <row r="5851" spans="27:32" ht="15">
      <c r="AA5851" s="463" t="s">
        <v>18506</v>
      </c>
      <c r="AB5851" s="462" t="s">
        <v>18507</v>
      </c>
      <c r="AC5851" s="462" t="s">
        <v>18508</v>
      </c>
      <c r="AD5851" s="464">
        <v>833.85266000000001</v>
      </c>
      <c r="AE5851" s="465">
        <v>0</v>
      </c>
      <c r="AF5851" s="86">
        <f>IF(verze!$E$1="CZK",AD5851,IF(verze!$E$1="SK",AE5851,""))</f>
        <v>0</v>
      </c>
    </row>
    <row r="5852" spans="27:32" ht="15">
      <c r="AA5852" s="463" t="s">
        <v>18509</v>
      </c>
      <c r="AB5852" s="462" t="s">
        <v>18510</v>
      </c>
      <c r="AC5852" s="462" t="s">
        <v>18511</v>
      </c>
      <c r="AD5852" s="464">
        <v>941.88580999999999</v>
      </c>
      <c r="AE5852" s="465">
        <v>45.308109999999999</v>
      </c>
      <c r="AF5852" s="86">
        <f>IF(verze!$E$1="CZK",AD5852,IF(verze!$E$1="SK",AE5852,""))</f>
        <v>45.308109999999999</v>
      </c>
    </row>
    <row r="5853" spans="27:32" ht="15">
      <c r="AA5853" s="463" t="s">
        <v>18509</v>
      </c>
      <c r="AB5853" s="462" t="s">
        <v>18512</v>
      </c>
      <c r="AC5853" s="462" t="s">
        <v>18513</v>
      </c>
      <c r="AD5853" s="464">
        <v>941.88580999999999</v>
      </c>
      <c r="AE5853" s="465">
        <v>45.308109999999999</v>
      </c>
      <c r="AF5853" s="86">
        <f>IF(verze!$E$1="CZK",AD5853,IF(verze!$E$1="SK",AE5853,""))</f>
        <v>45.308109999999999</v>
      </c>
    </row>
    <row r="5854" spans="27:32" ht="15">
      <c r="AA5854" s="463" t="s">
        <v>18514</v>
      </c>
      <c r="AB5854" s="462" t="s">
        <v>18515</v>
      </c>
      <c r="AC5854" s="462" t="s">
        <v>18516</v>
      </c>
      <c r="AD5854" s="464">
        <v>977.56314999999995</v>
      </c>
      <c r="AE5854" s="465">
        <v>47.02431</v>
      </c>
      <c r="AF5854" s="86">
        <f>IF(verze!$E$1="CZK",AD5854,IF(verze!$E$1="SK",AE5854,""))</f>
        <v>47.02431</v>
      </c>
    </row>
    <row r="5855" spans="27:32" ht="15">
      <c r="AA5855" s="463" t="s">
        <v>18517</v>
      </c>
      <c r="AB5855" s="462" t="s">
        <v>18518</v>
      </c>
      <c r="AC5855" s="462" t="s">
        <v>18519</v>
      </c>
      <c r="AD5855" s="464">
        <v>944.74015999999995</v>
      </c>
      <c r="AE5855" s="465">
        <v>0</v>
      </c>
      <c r="AF5855" s="86">
        <f>IF(verze!$E$1="CZK",AD5855,IF(verze!$E$1="SK",AE5855,""))</f>
        <v>0</v>
      </c>
    </row>
    <row r="5856" spans="27:32" ht="15">
      <c r="AA5856" s="463" t="s">
        <v>18517</v>
      </c>
      <c r="AB5856" s="462" t="s">
        <v>18520</v>
      </c>
      <c r="AC5856" s="462" t="s">
        <v>18521</v>
      </c>
      <c r="AD5856" s="464">
        <v>829.62662</v>
      </c>
      <c r="AE5856" s="465">
        <v>18.325710000000001</v>
      </c>
      <c r="AF5856" s="86">
        <f>IF(verze!$E$1="CZK",AD5856,IF(verze!$E$1="SK",AE5856,""))</f>
        <v>18.325710000000001</v>
      </c>
    </row>
    <row r="5857" spans="27:32" ht="15">
      <c r="AA5857" s="463" t="s">
        <v>18522</v>
      </c>
      <c r="AB5857" s="462" t="s">
        <v>18523</v>
      </c>
      <c r="AC5857" s="462" t="s">
        <v>18524</v>
      </c>
      <c r="AD5857" s="464">
        <v>317.44607000000002</v>
      </c>
      <c r="AE5857" s="465">
        <v>0</v>
      </c>
      <c r="AF5857" s="86">
        <f>IF(verze!$E$1="CZK",AD5857,IF(verze!$E$1="SK",AE5857,""))</f>
        <v>0</v>
      </c>
    </row>
    <row r="5858" spans="27:32" ht="15">
      <c r="AA5858" s="463" t="s">
        <v>18525</v>
      </c>
      <c r="AB5858" s="462" t="s">
        <v>18526</v>
      </c>
      <c r="AC5858" s="462" t="s">
        <v>18527</v>
      </c>
      <c r="AD5858" s="464">
        <v>317.93556000000001</v>
      </c>
      <c r="AE5858" s="465">
        <v>0</v>
      </c>
      <c r="AF5858" s="86">
        <f>IF(verze!$E$1="CZK",AD5858,IF(verze!$E$1="SK",AE5858,""))</f>
        <v>0</v>
      </c>
    </row>
    <row r="5859" spans="27:32" ht="15">
      <c r="AA5859" s="463" t="s">
        <v>18528</v>
      </c>
      <c r="AB5859" s="462" t="s">
        <v>18529</v>
      </c>
      <c r="AC5859" s="462" t="s">
        <v>18530</v>
      </c>
      <c r="AD5859" s="464">
        <v>317.93556000000001</v>
      </c>
      <c r="AE5859" s="465">
        <v>0</v>
      </c>
      <c r="AF5859" s="86">
        <f>IF(verze!$E$1="CZK",AD5859,IF(verze!$E$1="SK",AE5859,""))</f>
        <v>0</v>
      </c>
    </row>
    <row r="5860" spans="27:32" ht="15">
      <c r="AA5860" s="463" t="s">
        <v>18531</v>
      </c>
      <c r="AB5860" s="462" t="s">
        <v>18532</v>
      </c>
      <c r="AC5860" s="462" t="s">
        <v>18533</v>
      </c>
      <c r="AD5860" s="464">
        <v>717.25229999999999</v>
      </c>
      <c r="AE5860" s="465">
        <v>0</v>
      </c>
      <c r="AF5860" s="86">
        <f>IF(verze!$E$1="CZK",AD5860,IF(verze!$E$1="SK",AE5860,""))</f>
        <v>0</v>
      </c>
    </row>
    <row r="5861" spans="27:32" ht="15">
      <c r="AA5861" s="463" t="s">
        <v>18531</v>
      </c>
      <c r="AB5861" s="462" t="s">
        <v>18534</v>
      </c>
      <c r="AC5861" s="462" t="s">
        <v>18535</v>
      </c>
      <c r="AD5861" s="464">
        <v>0</v>
      </c>
      <c r="AE5861" s="465">
        <v>0</v>
      </c>
      <c r="AF5861" s="86">
        <f>IF(verze!$E$1="CZK",AD5861,IF(verze!$E$1="SK",AE5861,""))</f>
        <v>0</v>
      </c>
    </row>
    <row r="5862" spans="27:32" ht="15">
      <c r="AA5862" s="463" t="s">
        <v>18536</v>
      </c>
      <c r="AB5862" s="462" t="s">
        <v>18537</v>
      </c>
      <c r="AC5862" s="462" t="s">
        <v>18538</v>
      </c>
      <c r="AD5862" s="464">
        <v>717.25229999999999</v>
      </c>
      <c r="AE5862" s="465">
        <v>0</v>
      </c>
      <c r="AF5862" s="86">
        <f>IF(verze!$E$1="CZK",AD5862,IF(verze!$E$1="SK",AE5862,""))</f>
        <v>0</v>
      </c>
    </row>
    <row r="5863" spans="27:32" ht="15">
      <c r="AA5863" s="463" t="s">
        <v>18536</v>
      </c>
      <c r="AB5863" s="462" t="s">
        <v>18539</v>
      </c>
      <c r="AC5863" s="462" t="s">
        <v>18540</v>
      </c>
      <c r="AD5863" s="464">
        <v>0</v>
      </c>
      <c r="AE5863" s="465">
        <v>0</v>
      </c>
      <c r="AF5863" s="86">
        <f>IF(verze!$E$1="CZK",AD5863,IF(verze!$E$1="SK",AE5863,""))</f>
        <v>0</v>
      </c>
    </row>
    <row r="5864" spans="27:32" ht="15">
      <c r="AA5864" s="463" t="s">
        <v>18541</v>
      </c>
      <c r="AB5864" s="462" t="s">
        <v>18542</v>
      </c>
      <c r="AC5864" s="462" t="s">
        <v>18543</v>
      </c>
      <c r="AD5864" s="464">
        <v>718.23584000000005</v>
      </c>
      <c r="AE5864" s="465">
        <v>0</v>
      </c>
      <c r="AF5864" s="86">
        <f>IF(verze!$E$1="CZK",AD5864,IF(verze!$E$1="SK",AE5864,""))</f>
        <v>0</v>
      </c>
    </row>
    <row r="5865" spans="27:32" ht="15">
      <c r="AA5865" s="463" t="s">
        <v>18541</v>
      </c>
      <c r="AB5865" s="462" t="s">
        <v>18544</v>
      </c>
      <c r="AC5865" s="462" t="s">
        <v>18545</v>
      </c>
      <c r="AD5865" s="464">
        <v>0</v>
      </c>
      <c r="AE5865" s="465">
        <v>0</v>
      </c>
      <c r="AF5865" s="86">
        <f>IF(verze!$E$1="CZK",AD5865,IF(verze!$E$1="SK",AE5865,""))</f>
        <v>0</v>
      </c>
    </row>
    <row r="5866" spans="27:32" ht="15">
      <c r="AA5866" s="463" t="s">
        <v>18546</v>
      </c>
      <c r="AB5866" s="462" t="s">
        <v>18547</v>
      </c>
      <c r="AC5866" s="462" t="s">
        <v>18548</v>
      </c>
      <c r="AD5866" s="464">
        <v>718.23584000000005</v>
      </c>
      <c r="AE5866" s="465">
        <v>0</v>
      </c>
      <c r="AF5866" s="86">
        <f>IF(verze!$E$1="CZK",AD5866,IF(verze!$E$1="SK",AE5866,""))</f>
        <v>0</v>
      </c>
    </row>
    <row r="5867" spans="27:32" ht="15">
      <c r="AA5867" s="463" t="s">
        <v>18546</v>
      </c>
      <c r="AB5867" s="462" t="s">
        <v>18549</v>
      </c>
      <c r="AC5867" s="462" t="s">
        <v>18550</v>
      </c>
      <c r="AD5867" s="464">
        <v>0</v>
      </c>
      <c r="AE5867" s="465">
        <v>0</v>
      </c>
      <c r="AF5867" s="86">
        <f>IF(verze!$E$1="CZK",AD5867,IF(verze!$E$1="SK",AE5867,""))</f>
        <v>0</v>
      </c>
    </row>
    <row r="5868" spans="27:32" ht="15">
      <c r="AA5868" s="463" t="s">
        <v>18551</v>
      </c>
      <c r="AB5868" s="462" t="s">
        <v>18552</v>
      </c>
      <c r="AC5868" s="462" t="s">
        <v>18553</v>
      </c>
      <c r="AD5868" s="464">
        <v>718.23584000000005</v>
      </c>
      <c r="AE5868" s="465">
        <v>0</v>
      </c>
      <c r="AF5868" s="86">
        <f>IF(verze!$E$1="CZK",AD5868,IF(verze!$E$1="SK",AE5868,""))</f>
        <v>0</v>
      </c>
    </row>
    <row r="5869" spans="27:32" ht="15">
      <c r="AA5869" s="463" t="s">
        <v>18551</v>
      </c>
      <c r="AB5869" s="462" t="s">
        <v>18554</v>
      </c>
      <c r="AC5869" s="462" t="s">
        <v>18555</v>
      </c>
      <c r="AD5869" s="464">
        <v>0</v>
      </c>
      <c r="AE5869" s="465">
        <v>0</v>
      </c>
      <c r="AF5869" s="86">
        <f>IF(verze!$E$1="CZK",AD5869,IF(verze!$E$1="SK",AE5869,""))</f>
        <v>0</v>
      </c>
    </row>
    <row r="5870" spans="27:32" ht="15">
      <c r="AA5870" s="463" t="s">
        <v>18556</v>
      </c>
      <c r="AB5870" s="462" t="s">
        <v>18557</v>
      </c>
      <c r="AC5870" s="462" t="s">
        <v>18558</v>
      </c>
      <c r="AD5870" s="464">
        <v>328.98147999999998</v>
      </c>
      <c r="AE5870" s="465">
        <v>15.825200000000001</v>
      </c>
      <c r="AF5870" s="86">
        <f>IF(verze!$E$1="CZK",AD5870,IF(verze!$E$1="SK",AE5870,""))</f>
        <v>15.825200000000001</v>
      </c>
    </row>
    <row r="5871" spans="27:32" ht="15">
      <c r="AA5871" s="463" t="s">
        <v>18559</v>
      </c>
      <c r="AB5871" s="462" t="s">
        <v>18560</v>
      </c>
      <c r="AC5871" s="462" t="s">
        <v>18561</v>
      </c>
      <c r="AD5871" s="464">
        <v>328.98147999999998</v>
      </c>
      <c r="AE5871" s="465">
        <v>15.825200000000001</v>
      </c>
      <c r="AF5871" s="86">
        <f>IF(verze!$E$1="CZK",AD5871,IF(verze!$E$1="SK",AE5871,""))</f>
        <v>15.825200000000001</v>
      </c>
    </row>
    <row r="5872" spans="27:32" ht="15">
      <c r="AA5872" s="463" t="s">
        <v>18562</v>
      </c>
      <c r="AB5872" s="462" t="s">
        <v>18563</v>
      </c>
      <c r="AC5872" s="462" t="s">
        <v>18564</v>
      </c>
      <c r="AD5872" s="464">
        <v>328.98147999999998</v>
      </c>
      <c r="AE5872" s="465">
        <v>15.825200000000001</v>
      </c>
      <c r="AF5872" s="86">
        <f>IF(verze!$E$1="CZK",AD5872,IF(verze!$E$1="SK",AE5872,""))</f>
        <v>15.825200000000001</v>
      </c>
    </row>
    <row r="5873" spans="27:32" ht="15">
      <c r="AA5873" s="463" t="s">
        <v>18565</v>
      </c>
      <c r="AB5873" s="462" t="s">
        <v>18566</v>
      </c>
      <c r="AC5873" s="462" t="s">
        <v>18567</v>
      </c>
      <c r="AD5873" s="464">
        <v>328.98147999999998</v>
      </c>
      <c r="AE5873" s="465">
        <v>15.825200000000001</v>
      </c>
      <c r="AF5873" s="86">
        <f>IF(verze!$E$1="CZK",AD5873,IF(verze!$E$1="SK",AE5873,""))</f>
        <v>15.825200000000001</v>
      </c>
    </row>
    <row r="5874" spans="27:32" ht="15">
      <c r="AA5874" s="463" t="s">
        <v>18568</v>
      </c>
      <c r="AB5874" s="462" t="s">
        <v>18569</v>
      </c>
      <c r="AC5874" s="462" t="s">
        <v>18570</v>
      </c>
      <c r="AD5874" s="464">
        <v>328.98147999999998</v>
      </c>
      <c r="AE5874" s="465">
        <v>15.825200000000001</v>
      </c>
      <c r="AF5874" s="86">
        <f>IF(verze!$E$1="CZK",AD5874,IF(verze!$E$1="SK",AE5874,""))</f>
        <v>15.825200000000001</v>
      </c>
    </row>
    <row r="5875" spans="27:32" ht="15">
      <c r="AA5875" s="463" t="s">
        <v>18571</v>
      </c>
      <c r="AB5875" s="462" t="s">
        <v>18572</v>
      </c>
      <c r="AC5875" s="462" t="s">
        <v>18573</v>
      </c>
      <c r="AD5875" s="464">
        <v>332.37299999999999</v>
      </c>
      <c r="AE5875" s="465">
        <v>15.988350000000001</v>
      </c>
      <c r="AF5875" s="86">
        <f>IF(verze!$E$1="CZK",AD5875,IF(verze!$E$1="SK",AE5875,""))</f>
        <v>15.988350000000001</v>
      </c>
    </row>
    <row r="5876" spans="27:32" ht="15">
      <c r="AA5876" s="463" t="s">
        <v>18574</v>
      </c>
      <c r="AB5876" s="462" t="s">
        <v>18575</v>
      </c>
      <c r="AC5876" s="462" t="s">
        <v>18576</v>
      </c>
      <c r="AD5876" s="464">
        <v>332.37299999999999</v>
      </c>
      <c r="AE5876" s="465">
        <v>15.988350000000001</v>
      </c>
      <c r="AF5876" s="86">
        <f>IF(verze!$E$1="CZK",AD5876,IF(verze!$E$1="SK",AE5876,""))</f>
        <v>15.988350000000001</v>
      </c>
    </row>
    <row r="5877" spans="27:32" ht="15">
      <c r="AA5877" s="463" t="s">
        <v>18577</v>
      </c>
      <c r="AB5877" s="462" t="s">
        <v>18578</v>
      </c>
      <c r="AC5877" s="462" t="s">
        <v>18579</v>
      </c>
      <c r="AD5877" s="464">
        <v>332.37299999999999</v>
      </c>
      <c r="AE5877" s="465">
        <v>15.988350000000001</v>
      </c>
      <c r="AF5877" s="86">
        <f>IF(verze!$E$1="CZK",AD5877,IF(verze!$E$1="SK",AE5877,""))</f>
        <v>15.988350000000001</v>
      </c>
    </row>
    <row r="5878" spans="27:32" ht="15">
      <c r="AA5878" s="463" t="s">
        <v>18580</v>
      </c>
      <c r="AB5878" s="462" t="s">
        <v>18581</v>
      </c>
      <c r="AC5878" s="462" t="s">
        <v>18582</v>
      </c>
      <c r="AD5878" s="464">
        <v>332.37299999999999</v>
      </c>
      <c r="AE5878" s="465">
        <v>15.988350000000001</v>
      </c>
      <c r="AF5878" s="86">
        <f>IF(verze!$E$1="CZK",AD5878,IF(verze!$E$1="SK",AE5878,""))</f>
        <v>15.988350000000001</v>
      </c>
    </row>
    <row r="5879" spans="27:32" ht="15">
      <c r="AA5879" s="463" t="s">
        <v>18583</v>
      </c>
      <c r="AB5879" s="462" t="s">
        <v>18584</v>
      </c>
      <c r="AC5879" s="462" t="s">
        <v>18585</v>
      </c>
      <c r="AD5879" s="464">
        <v>335.76204000000001</v>
      </c>
      <c r="AE5879" s="465">
        <v>16.151350000000001</v>
      </c>
      <c r="AF5879" s="86">
        <f>IF(verze!$E$1="CZK",AD5879,IF(verze!$E$1="SK",AE5879,""))</f>
        <v>16.151350000000001</v>
      </c>
    </row>
    <row r="5880" spans="27:32" ht="15">
      <c r="AA5880" s="463" t="s">
        <v>18586</v>
      </c>
      <c r="AB5880" s="462" t="s">
        <v>18587</v>
      </c>
      <c r="AC5880" s="462" t="s">
        <v>18588</v>
      </c>
      <c r="AD5880" s="464">
        <v>335.76204000000001</v>
      </c>
      <c r="AE5880" s="465">
        <v>16.151350000000001</v>
      </c>
      <c r="AF5880" s="86">
        <f>IF(verze!$E$1="CZK",AD5880,IF(verze!$E$1="SK",AE5880,""))</f>
        <v>16.151350000000001</v>
      </c>
    </row>
    <row r="5881" spans="27:32" ht="15">
      <c r="AA5881" s="463" t="s">
        <v>18589</v>
      </c>
      <c r="AB5881" s="462" t="s">
        <v>18590</v>
      </c>
      <c r="AC5881" s="462" t="s">
        <v>18591</v>
      </c>
      <c r="AD5881" s="464">
        <v>335.76204000000001</v>
      </c>
      <c r="AE5881" s="465">
        <v>16.151350000000001</v>
      </c>
      <c r="AF5881" s="86">
        <f>IF(verze!$E$1="CZK",AD5881,IF(verze!$E$1="SK",AE5881,""))</f>
        <v>16.151350000000001</v>
      </c>
    </row>
    <row r="5882" spans="27:32" ht="15">
      <c r="AA5882" s="463" t="s">
        <v>18592</v>
      </c>
      <c r="AB5882" s="462" t="s">
        <v>18593</v>
      </c>
      <c r="AC5882" s="462" t="s">
        <v>18594</v>
      </c>
      <c r="AD5882" s="464">
        <v>335.76204000000001</v>
      </c>
      <c r="AE5882" s="465">
        <v>16.151350000000001</v>
      </c>
      <c r="AF5882" s="86">
        <f>IF(verze!$E$1="CZK",AD5882,IF(verze!$E$1="SK",AE5882,""))</f>
        <v>16.151350000000001</v>
      </c>
    </row>
    <row r="5883" spans="27:32" ht="15">
      <c r="AA5883" s="463" t="s">
        <v>18595</v>
      </c>
      <c r="AB5883" s="462" t="s">
        <v>18596</v>
      </c>
      <c r="AC5883" s="462" t="s">
        <v>18597</v>
      </c>
      <c r="AD5883" s="464">
        <v>339.15116999999998</v>
      </c>
      <c r="AE5883" s="465">
        <v>16.314399999999999</v>
      </c>
      <c r="AF5883" s="86">
        <f>IF(verze!$E$1="CZK",AD5883,IF(verze!$E$1="SK",AE5883,""))</f>
        <v>16.314399999999999</v>
      </c>
    </row>
    <row r="5884" spans="27:32" ht="15">
      <c r="AA5884" s="463" t="s">
        <v>18598</v>
      </c>
      <c r="AB5884" s="462" t="s">
        <v>18599</v>
      </c>
      <c r="AC5884" s="462" t="s">
        <v>18600</v>
      </c>
      <c r="AD5884" s="464">
        <v>339.15116999999998</v>
      </c>
      <c r="AE5884" s="465">
        <v>16.314399999999999</v>
      </c>
      <c r="AF5884" s="86">
        <f>IF(verze!$E$1="CZK",AD5884,IF(verze!$E$1="SK",AE5884,""))</f>
        <v>16.314399999999999</v>
      </c>
    </row>
    <row r="5885" spans="27:32" ht="15">
      <c r="AA5885" s="463" t="s">
        <v>18601</v>
      </c>
      <c r="AB5885" s="462" t="s">
        <v>18602</v>
      </c>
      <c r="AC5885" s="462" t="s">
        <v>18603</v>
      </c>
      <c r="AD5885" s="464">
        <v>12.08258</v>
      </c>
      <c r="AE5885" s="465">
        <v>0.49556</v>
      </c>
      <c r="AF5885" s="86">
        <f>IF(verze!$E$1="CZK",AD5885,IF(verze!$E$1="SK",AE5885,""))</f>
        <v>0.49556</v>
      </c>
    </row>
    <row r="5886" spans="27:32" ht="15">
      <c r="AA5886" s="463" t="s">
        <v>18604</v>
      </c>
      <c r="AB5886" s="462" t="s">
        <v>18605</v>
      </c>
      <c r="AC5886" s="462" t="s">
        <v>18606</v>
      </c>
      <c r="AD5886" s="464">
        <v>339.15116999999998</v>
      </c>
      <c r="AE5886" s="465">
        <v>16.314399999999999</v>
      </c>
      <c r="AF5886" s="86">
        <f>IF(verze!$E$1="CZK",AD5886,IF(verze!$E$1="SK",AE5886,""))</f>
        <v>16.314399999999999</v>
      </c>
    </row>
    <row r="5887" spans="27:32" ht="15">
      <c r="AA5887" s="463" t="s">
        <v>18607</v>
      </c>
      <c r="AB5887" s="462" t="s">
        <v>18608</v>
      </c>
      <c r="AC5887" s="462" t="s">
        <v>18609</v>
      </c>
      <c r="AD5887" s="464">
        <v>14.674860000000001</v>
      </c>
      <c r="AE5887" s="465">
        <v>0.60185999999999995</v>
      </c>
      <c r="AF5887" s="86">
        <f>IF(verze!$E$1="CZK",AD5887,IF(verze!$E$1="SK",AE5887,""))</f>
        <v>0.60185999999999995</v>
      </c>
    </row>
    <row r="5888" spans="27:32" ht="15">
      <c r="AA5888" s="463" t="s">
        <v>18610</v>
      </c>
      <c r="AB5888" s="462" t="s">
        <v>18611</v>
      </c>
      <c r="AC5888" s="462" t="s">
        <v>18612</v>
      </c>
      <c r="AD5888" s="464">
        <v>339.15116999999998</v>
      </c>
      <c r="AE5888" s="465">
        <v>16.314399999999999</v>
      </c>
      <c r="AF5888" s="86">
        <f>IF(verze!$E$1="CZK",AD5888,IF(verze!$E$1="SK",AE5888,""))</f>
        <v>16.314399999999999</v>
      </c>
    </row>
    <row r="5889" spans="27:32" ht="15">
      <c r="AA5889" s="463" t="s">
        <v>18613</v>
      </c>
      <c r="AB5889" s="462" t="s">
        <v>18614</v>
      </c>
      <c r="AC5889" s="462" t="s">
        <v>18615</v>
      </c>
      <c r="AD5889" s="464">
        <v>15.14564</v>
      </c>
      <c r="AE5889" s="465">
        <v>0.62117999999999995</v>
      </c>
      <c r="AF5889" s="86">
        <f>IF(verze!$E$1="CZK",AD5889,IF(verze!$E$1="SK",AE5889,""))</f>
        <v>0.62117999999999995</v>
      </c>
    </row>
    <row r="5890" spans="27:32" ht="15">
      <c r="AA5890" s="463" t="s">
        <v>18616</v>
      </c>
      <c r="AB5890" s="462" t="s">
        <v>18617</v>
      </c>
      <c r="AC5890" s="462" t="s">
        <v>18618</v>
      </c>
      <c r="AD5890" s="464">
        <v>17.115379999999998</v>
      </c>
      <c r="AE5890" s="465">
        <v>0.70196000000000003</v>
      </c>
      <c r="AF5890" s="86">
        <f>IF(verze!$E$1="CZK",AD5890,IF(verze!$E$1="SK",AE5890,""))</f>
        <v>0.70196000000000003</v>
      </c>
    </row>
    <row r="5891" spans="27:32" ht="15">
      <c r="AA5891" s="463" t="s">
        <v>18619</v>
      </c>
      <c r="AB5891" s="462" t="s">
        <v>18620</v>
      </c>
      <c r="AC5891" s="462" t="s">
        <v>18621</v>
      </c>
      <c r="AD5891" s="464">
        <v>18.739540000000002</v>
      </c>
      <c r="AE5891" s="465">
        <v>0.76858000000000004</v>
      </c>
      <c r="AF5891" s="86">
        <f>IF(verze!$E$1="CZK",AD5891,IF(verze!$E$1="SK",AE5891,""))</f>
        <v>0.76858000000000004</v>
      </c>
    </row>
    <row r="5892" spans="27:32" ht="15">
      <c r="AA5892" s="463" t="s">
        <v>18622</v>
      </c>
      <c r="AB5892" s="462" t="s">
        <v>18623</v>
      </c>
      <c r="AC5892" s="462" t="s">
        <v>18624</v>
      </c>
      <c r="AD5892" s="464">
        <v>359.50247000000002</v>
      </c>
      <c r="AE5892" s="465">
        <v>17.293369999999999</v>
      </c>
      <c r="AF5892" s="86">
        <f>IF(verze!$E$1="CZK",AD5892,IF(verze!$E$1="SK",AE5892,""))</f>
        <v>17.293369999999999</v>
      </c>
    </row>
    <row r="5893" spans="27:32" ht="15">
      <c r="AA5893" s="463" t="s">
        <v>18625</v>
      </c>
      <c r="AB5893" s="462" t="s">
        <v>18626</v>
      </c>
      <c r="AC5893" s="462" t="s">
        <v>18627</v>
      </c>
      <c r="AD5893" s="464">
        <v>359.50247000000002</v>
      </c>
      <c r="AE5893" s="465">
        <v>17.293369999999999</v>
      </c>
      <c r="AF5893" s="86">
        <f>IF(verze!$E$1="CZK",AD5893,IF(verze!$E$1="SK",AE5893,""))</f>
        <v>17.293369999999999</v>
      </c>
    </row>
    <row r="5894" spans="27:32" ht="15">
      <c r="AA5894" s="463" t="s">
        <v>18628</v>
      </c>
      <c r="AB5894" s="462" t="s">
        <v>18629</v>
      </c>
      <c r="AC5894" s="462" t="s">
        <v>18630</v>
      </c>
      <c r="AD5894" s="464">
        <v>359.50247000000002</v>
      </c>
      <c r="AE5894" s="465">
        <v>17.293369999999999</v>
      </c>
      <c r="AF5894" s="86">
        <f>IF(verze!$E$1="CZK",AD5894,IF(verze!$E$1="SK",AE5894,""))</f>
        <v>17.293369999999999</v>
      </c>
    </row>
    <row r="5895" spans="27:32" ht="15">
      <c r="AA5895" s="463" t="s">
        <v>18631</v>
      </c>
      <c r="AB5895" s="462" t="s">
        <v>18632</v>
      </c>
      <c r="AC5895" s="462" t="s">
        <v>18633</v>
      </c>
      <c r="AD5895" s="464">
        <v>359.50247000000002</v>
      </c>
      <c r="AE5895" s="465">
        <v>17.293369999999999</v>
      </c>
      <c r="AF5895" s="86">
        <f>IF(verze!$E$1="CZK",AD5895,IF(verze!$E$1="SK",AE5895,""))</f>
        <v>17.293369999999999</v>
      </c>
    </row>
    <row r="5896" spans="27:32" ht="15">
      <c r="AA5896" s="463" t="s">
        <v>18634</v>
      </c>
      <c r="AB5896" s="462" t="s">
        <v>18635</v>
      </c>
      <c r="AC5896" s="462" t="s">
        <v>18636</v>
      </c>
      <c r="AD5896" s="464">
        <v>400.20278000000002</v>
      </c>
      <c r="AE5896" s="465">
        <v>19.251200000000001</v>
      </c>
      <c r="AF5896" s="86">
        <f>IF(verze!$E$1="CZK",AD5896,IF(verze!$E$1="SK",AE5896,""))</f>
        <v>19.251200000000001</v>
      </c>
    </row>
    <row r="5897" spans="27:32" ht="15">
      <c r="AA5897" s="463" t="s">
        <v>18637</v>
      </c>
      <c r="AB5897" s="462" t="s">
        <v>18638</v>
      </c>
      <c r="AC5897" s="462" t="s">
        <v>18639</v>
      </c>
      <c r="AD5897" s="464">
        <v>400.20278000000002</v>
      </c>
      <c r="AE5897" s="465">
        <v>19.251200000000001</v>
      </c>
      <c r="AF5897" s="86">
        <f>IF(verze!$E$1="CZK",AD5897,IF(verze!$E$1="SK",AE5897,""))</f>
        <v>19.251200000000001</v>
      </c>
    </row>
    <row r="5898" spans="27:32" ht="15">
      <c r="AA5898" s="463" t="s">
        <v>18640</v>
      </c>
      <c r="AB5898" s="462" t="s">
        <v>18641</v>
      </c>
      <c r="AC5898" s="462" t="s">
        <v>18642</v>
      </c>
      <c r="AD5898" s="464">
        <v>742.17169999999999</v>
      </c>
      <c r="AE5898" s="465">
        <v>35.701129999999999</v>
      </c>
      <c r="AF5898" s="86">
        <f>IF(verze!$E$1="CZK",AD5898,IF(verze!$E$1="SK",AE5898,""))</f>
        <v>35.701129999999999</v>
      </c>
    </row>
    <row r="5899" spans="27:32" ht="15">
      <c r="AA5899" s="463" t="s">
        <v>18640</v>
      </c>
      <c r="AB5899" s="462" t="s">
        <v>18643</v>
      </c>
      <c r="AC5899" s="462" t="s">
        <v>18644</v>
      </c>
      <c r="AD5899" s="464">
        <v>742.17169999999999</v>
      </c>
      <c r="AE5899" s="465">
        <v>35.701129999999999</v>
      </c>
      <c r="AF5899" s="86">
        <f>IF(verze!$E$1="CZK",AD5899,IF(verze!$E$1="SK",AE5899,""))</f>
        <v>35.701129999999999</v>
      </c>
    </row>
    <row r="5900" spans="27:32" ht="15">
      <c r="AA5900" s="463" t="s">
        <v>18645</v>
      </c>
      <c r="AB5900" s="462" t="s">
        <v>18646</v>
      </c>
      <c r="AC5900" s="462" t="s">
        <v>18647</v>
      </c>
      <c r="AD5900" s="464">
        <v>742.17169999999999</v>
      </c>
      <c r="AE5900" s="465">
        <v>35.701129999999999</v>
      </c>
      <c r="AF5900" s="86">
        <f>IF(verze!$E$1="CZK",AD5900,IF(verze!$E$1="SK",AE5900,""))</f>
        <v>35.701129999999999</v>
      </c>
    </row>
    <row r="5901" spans="27:32" ht="15">
      <c r="AA5901" s="463" t="s">
        <v>18645</v>
      </c>
      <c r="AB5901" s="462" t="s">
        <v>18648</v>
      </c>
      <c r="AC5901" s="462" t="s">
        <v>18649</v>
      </c>
      <c r="AD5901" s="464">
        <v>742.17169999999999</v>
      </c>
      <c r="AE5901" s="465">
        <v>35.701129999999999</v>
      </c>
      <c r="AF5901" s="86">
        <f>IF(verze!$E$1="CZK",AD5901,IF(verze!$E$1="SK",AE5901,""))</f>
        <v>35.701129999999999</v>
      </c>
    </row>
    <row r="5902" spans="27:32" ht="15">
      <c r="AA5902" s="463" t="s">
        <v>18650</v>
      </c>
      <c r="AB5902" s="462" t="s">
        <v>18651</v>
      </c>
      <c r="AC5902" s="462" t="s">
        <v>18652</v>
      </c>
      <c r="AD5902" s="464">
        <v>743.18947000000003</v>
      </c>
      <c r="AE5902" s="465">
        <v>35.75009</v>
      </c>
      <c r="AF5902" s="86">
        <f>IF(verze!$E$1="CZK",AD5902,IF(verze!$E$1="SK",AE5902,""))</f>
        <v>35.75009</v>
      </c>
    </row>
    <row r="5903" spans="27:32" ht="15">
      <c r="AA5903" s="463" t="s">
        <v>18650</v>
      </c>
      <c r="AB5903" s="462" t="s">
        <v>18653</v>
      </c>
      <c r="AC5903" s="462" t="s">
        <v>18654</v>
      </c>
      <c r="AD5903" s="464">
        <v>743.18947000000003</v>
      </c>
      <c r="AE5903" s="465">
        <v>35.75009</v>
      </c>
      <c r="AF5903" s="86">
        <f>IF(verze!$E$1="CZK",AD5903,IF(verze!$E$1="SK",AE5903,""))</f>
        <v>35.75009</v>
      </c>
    </row>
    <row r="5904" spans="27:32" ht="15">
      <c r="AA5904" s="463" t="s">
        <v>18655</v>
      </c>
      <c r="AB5904" s="462" t="s">
        <v>18656</v>
      </c>
      <c r="AC5904" s="462" t="s">
        <v>18657</v>
      </c>
      <c r="AD5904" s="464">
        <v>743.18947000000003</v>
      </c>
      <c r="AE5904" s="465">
        <v>35.75009</v>
      </c>
      <c r="AF5904" s="86">
        <f>IF(verze!$E$1="CZK",AD5904,IF(verze!$E$1="SK",AE5904,""))</f>
        <v>35.75009</v>
      </c>
    </row>
    <row r="5905" spans="27:32" ht="15">
      <c r="AA5905" s="463" t="s">
        <v>18655</v>
      </c>
      <c r="AB5905" s="462" t="s">
        <v>18658</v>
      </c>
      <c r="AC5905" s="462" t="s">
        <v>18659</v>
      </c>
      <c r="AD5905" s="464">
        <v>743.18947000000003</v>
      </c>
      <c r="AE5905" s="465">
        <v>35.75009</v>
      </c>
      <c r="AF5905" s="86">
        <f>IF(verze!$E$1="CZK",AD5905,IF(verze!$E$1="SK",AE5905,""))</f>
        <v>35.75009</v>
      </c>
    </row>
    <row r="5906" spans="27:32" ht="15">
      <c r="AA5906" s="463" t="s">
        <v>18660</v>
      </c>
      <c r="AB5906" s="462" t="s">
        <v>18661</v>
      </c>
      <c r="AC5906" s="462" t="s">
        <v>18662</v>
      </c>
      <c r="AD5906" s="464">
        <v>743.18947000000003</v>
      </c>
      <c r="AE5906" s="465">
        <v>35.75009</v>
      </c>
      <c r="AF5906" s="86">
        <f>IF(verze!$E$1="CZK",AD5906,IF(verze!$E$1="SK",AE5906,""))</f>
        <v>35.75009</v>
      </c>
    </row>
    <row r="5907" spans="27:32" ht="15">
      <c r="AA5907" s="463" t="s">
        <v>18660</v>
      </c>
      <c r="AB5907" s="462" t="s">
        <v>18663</v>
      </c>
      <c r="AC5907" s="462" t="s">
        <v>18664</v>
      </c>
      <c r="AD5907" s="464">
        <v>743.18947000000003</v>
      </c>
      <c r="AE5907" s="465">
        <v>35.75009</v>
      </c>
      <c r="AF5907" s="86">
        <f>IF(verze!$E$1="CZK",AD5907,IF(verze!$E$1="SK",AE5907,""))</f>
        <v>35.75009</v>
      </c>
    </row>
    <row r="5908" spans="27:32" ht="15">
      <c r="AA5908" s="463" t="s">
        <v>18665</v>
      </c>
      <c r="AB5908" s="462" t="s">
        <v>18666</v>
      </c>
      <c r="AC5908" s="462" t="s">
        <v>18667</v>
      </c>
      <c r="AD5908" s="464">
        <v>749.97002999999995</v>
      </c>
      <c r="AE5908" s="465">
        <v>36.076279999999997</v>
      </c>
      <c r="AF5908" s="86">
        <f>IF(verze!$E$1="CZK",AD5908,IF(verze!$E$1="SK",AE5908,""))</f>
        <v>36.076279999999997</v>
      </c>
    </row>
    <row r="5909" spans="27:32" ht="15">
      <c r="AA5909" s="463" t="s">
        <v>18668</v>
      </c>
      <c r="AB5909" s="462" t="s">
        <v>18669</v>
      </c>
      <c r="AC5909" s="462" t="s">
        <v>18670</v>
      </c>
      <c r="AD5909" s="464">
        <v>749.97002999999995</v>
      </c>
      <c r="AE5909" s="465">
        <v>36.076279999999997</v>
      </c>
      <c r="AF5909" s="86">
        <f>IF(verze!$E$1="CZK",AD5909,IF(verze!$E$1="SK",AE5909,""))</f>
        <v>36.076279999999997</v>
      </c>
    </row>
    <row r="5910" spans="27:32" ht="15">
      <c r="AA5910" s="463" t="s">
        <v>18668</v>
      </c>
      <c r="AB5910" s="462" t="s">
        <v>18671</v>
      </c>
      <c r="AC5910" s="462" t="s">
        <v>18672</v>
      </c>
      <c r="AD5910" s="464">
        <v>749.97002999999995</v>
      </c>
      <c r="AE5910" s="465">
        <v>36.076279999999997</v>
      </c>
      <c r="AF5910" s="86">
        <f>IF(verze!$E$1="CZK",AD5910,IF(verze!$E$1="SK",AE5910,""))</f>
        <v>36.076279999999997</v>
      </c>
    </row>
    <row r="5911" spans="27:32" ht="15">
      <c r="AA5911" s="463" t="s">
        <v>18673</v>
      </c>
      <c r="AB5911" s="462" t="s">
        <v>18674</v>
      </c>
      <c r="AC5911" s="462" t="s">
        <v>18675</v>
      </c>
      <c r="AD5911" s="464">
        <v>756.75771999999995</v>
      </c>
      <c r="AE5911" s="465">
        <v>36.402790000000003</v>
      </c>
      <c r="AF5911" s="86">
        <f>IF(verze!$E$1="CZK",AD5911,IF(verze!$E$1="SK",AE5911,""))</f>
        <v>36.402790000000003</v>
      </c>
    </row>
    <row r="5912" spans="27:32" ht="15">
      <c r="AA5912" s="463" t="s">
        <v>18673</v>
      </c>
      <c r="AB5912" s="462" t="s">
        <v>18676</v>
      </c>
      <c r="AC5912" s="462" t="s">
        <v>18677</v>
      </c>
      <c r="AD5912" s="464">
        <v>756.75771999999995</v>
      </c>
      <c r="AE5912" s="465">
        <v>36.402790000000003</v>
      </c>
      <c r="AF5912" s="86">
        <f>IF(verze!$E$1="CZK",AD5912,IF(verze!$E$1="SK",AE5912,""))</f>
        <v>36.402790000000003</v>
      </c>
    </row>
    <row r="5913" spans="27:32" ht="15">
      <c r="AA5913" s="463" t="s">
        <v>18678</v>
      </c>
      <c r="AB5913" s="462" t="s">
        <v>18679</v>
      </c>
      <c r="AC5913" s="462" t="s">
        <v>18680</v>
      </c>
      <c r="AD5913" s="464">
        <v>756.75771999999995</v>
      </c>
      <c r="AE5913" s="465">
        <v>36.402790000000003</v>
      </c>
      <c r="AF5913" s="86">
        <f>IF(verze!$E$1="CZK",AD5913,IF(verze!$E$1="SK",AE5913,""))</f>
        <v>36.402790000000003</v>
      </c>
    </row>
    <row r="5914" spans="27:32" ht="15">
      <c r="AA5914" s="463" t="s">
        <v>18678</v>
      </c>
      <c r="AB5914" s="462" t="s">
        <v>18681</v>
      </c>
      <c r="AC5914" s="462" t="s">
        <v>18682</v>
      </c>
      <c r="AD5914" s="464">
        <v>756.75771999999995</v>
      </c>
      <c r="AE5914" s="465">
        <v>36.402790000000003</v>
      </c>
      <c r="AF5914" s="86">
        <f>IF(verze!$E$1="CZK",AD5914,IF(verze!$E$1="SK",AE5914,""))</f>
        <v>36.402790000000003</v>
      </c>
    </row>
    <row r="5915" spans="27:32" ht="15">
      <c r="AA5915" s="463" t="s">
        <v>18683</v>
      </c>
      <c r="AB5915" s="462" t="s">
        <v>18684</v>
      </c>
      <c r="AC5915" s="462" t="s">
        <v>18685</v>
      </c>
      <c r="AD5915" s="464">
        <v>763.53839000000005</v>
      </c>
      <c r="AE5915" s="465">
        <v>36.728960000000001</v>
      </c>
      <c r="AF5915" s="86">
        <f>IF(verze!$E$1="CZK",AD5915,IF(verze!$E$1="SK",AE5915,""))</f>
        <v>36.728960000000001</v>
      </c>
    </row>
    <row r="5916" spans="27:32" ht="15">
      <c r="AA5916" s="463" t="s">
        <v>18683</v>
      </c>
      <c r="AB5916" s="462" t="s">
        <v>18686</v>
      </c>
      <c r="AC5916" s="462" t="s">
        <v>18687</v>
      </c>
      <c r="AD5916" s="464">
        <v>763.53839000000005</v>
      </c>
      <c r="AE5916" s="465">
        <v>36.728960000000001</v>
      </c>
      <c r="AF5916" s="86">
        <f>IF(verze!$E$1="CZK",AD5916,IF(verze!$E$1="SK",AE5916,""))</f>
        <v>36.728960000000001</v>
      </c>
    </row>
    <row r="5917" spans="27:32" ht="15">
      <c r="AA5917" s="463" t="s">
        <v>18688</v>
      </c>
      <c r="AB5917" s="462" t="s">
        <v>18689</v>
      </c>
      <c r="AC5917" s="462" t="s">
        <v>18690</v>
      </c>
      <c r="AD5917" s="464">
        <v>763.53839000000005</v>
      </c>
      <c r="AE5917" s="465">
        <v>36.728960000000001</v>
      </c>
      <c r="AF5917" s="86">
        <f>IF(verze!$E$1="CZK",AD5917,IF(verze!$E$1="SK",AE5917,""))</f>
        <v>36.728960000000001</v>
      </c>
    </row>
    <row r="5918" spans="27:32" ht="15">
      <c r="AA5918" s="463" t="s">
        <v>18688</v>
      </c>
      <c r="AB5918" s="462" t="s">
        <v>18691</v>
      </c>
      <c r="AC5918" s="462" t="s">
        <v>18692</v>
      </c>
      <c r="AD5918" s="464">
        <v>763.53839000000005</v>
      </c>
      <c r="AE5918" s="465">
        <v>36.728960000000001</v>
      </c>
      <c r="AF5918" s="86">
        <f>IF(verze!$E$1="CZK",AD5918,IF(verze!$E$1="SK",AE5918,""))</f>
        <v>36.728960000000001</v>
      </c>
    </row>
    <row r="5919" spans="27:32" ht="15">
      <c r="AA5919" s="463" t="s">
        <v>18693</v>
      </c>
      <c r="AB5919" s="462" t="s">
        <v>18694</v>
      </c>
      <c r="AC5919" s="462" t="s">
        <v>18695</v>
      </c>
      <c r="AD5919" s="464">
        <v>804.23621000000003</v>
      </c>
      <c r="AE5919" s="465">
        <v>38.686660000000003</v>
      </c>
      <c r="AF5919" s="86">
        <f>IF(verze!$E$1="CZK",AD5919,IF(verze!$E$1="SK",AE5919,""))</f>
        <v>38.686660000000003</v>
      </c>
    </row>
    <row r="5920" spans="27:32" ht="15">
      <c r="AA5920" s="463" t="s">
        <v>18693</v>
      </c>
      <c r="AB5920" s="462" t="s">
        <v>18696</v>
      </c>
      <c r="AC5920" s="462" t="s">
        <v>18697</v>
      </c>
      <c r="AD5920" s="464">
        <v>804.23621000000003</v>
      </c>
      <c r="AE5920" s="465">
        <v>38.686660000000003</v>
      </c>
      <c r="AF5920" s="86">
        <f>IF(verze!$E$1="CZK",AD5920,IF(verze!$E$1="SK",AE5920,""))</f>
        <v>38.686660000000003</v>
      </c>
    </row>
    <row r="5921" spans="27:32" ht="15">
      <c r="AA5921" s="463" t="s">
        <v>18698</v>
      </c>
      <c r="AB5921" s="462" t="s">
        <v>18699</v>
      </c>
      <c r="AC5921" s="462" t="s">
        <v>18700</v>
      </c>
      <c r="AD5921" s="464">
        <v>804.23621000000003</v>
      </c>
      <c r="AE5921" s="465">
        <v>38.686660000000003</v>
      </c>
      <c r="AF5921" s="86">
        <f>IF(verze!$E$1="CZK",AD5921,IF(verze!$E$1="SK",AE5921,""))</f>
        <v>38.686660000000003</v>
      </c>
    </row>
    <row r="5922" spans="27:32" ht="15">
      <c r="AA5922" s="463" t="s">
        <v>18698</v>
      </c>
      <c r="AB5922" s="462" t="s">
        <v>18701</v>
      </c>
      <c r="AC5922" s="462" t="s">
        <v>18702</v>
      </c>
      <c r="AD5922" s="464">
        <v>804.23621000000003</v>
      </c>
      <c r="AE5922" s="465">
        <v>38.686660000000003</v>
      </c>
      <c r="AF5922" s="86">
        <f>IF(verze!$E$1="CZK",AD5922,IF(verze!$E$1="SK",AE5922,""))</f>
        <v>38.686660000000003</v>
      </c>
    </row>
    <row r="5923" spans="27:32" ht="15">
      <c r="AA5923" s="463" t="s">
        <v>18703</v>
      </c>
      <c r="AB5923" s="462" t="s">
        <v>18704</v>
      </c>
      <c r="AC5923" s="462" t="s">
        <v>18705</v>
      </c>
      <c r="AD5923" s="464">
        <v>885.63671999999997</v>
      </c>
      <c r="AE5923" s="465">
        <v>42.602319999999999</v>
      </c>
      <c r="AF5923" s="86">
        <f>IF(verze!$E$1="CZK",AD5923,IF(verze!$E$1="SK",AE5923,""))</f>
        <v>42.602319999999999</v>
      </c>
    </row>
    <row r="5924" spans="27:32" ht="15">
      <c r="AA5924" s="463" t="s">
        <v>18703</v>
      </c>
      <c r="AB5924" s="462" t="s">
        <v>18706</v>
      </c>
      <c r="AC5924" s="462" t="s">
        <v>18707</v>
      </c>
      <c r="AD5924" s="464">
        <v>885.63671999999997</v>
      </c>
      <c r="AE5924" s="465">
        <v>42.602319999999999</v>
      </c>
      <c r="AF5924" s="86">
        <f>IF(verze!$E$1="CZK",AD5924,IF(verze!$E$1="SK",AE5924,""))</f>
        <v>42.602319999999999</v>
      </c>
    </row>
    <row r="5925" spans="27:32" ht="15">
      <c r="AA5925" s="463" t="s">
        <v>18708</v>
      </c>
      <c r="AB5925" s="462" t="s">
        <v>18709</v>
      </c>
      <c r="AC5925" s="462" t="s">
        <v>18710</v>
      </c>
      <c r="AD5925" s="464">
        <v>403.59181999999998</v>
      </c>
      <c r="AE5925" s="465">
        <v>19.41423</v>
      </c>
      <c r="AF5925" s="86">
        <f>IF(verze!$E$1="CZK",AD5925,IF(verze!$E$1="SK",AE5925,""))</f>
        <v>19.41423</v>
      </c>
    </row>
    <row r="5926" spans="27:32" ht="15">
      <c r="AA5926" s="463" t="s">
        <v>18711</v>
      </c>
      <c r="AB5926" s="462" t="s">
        <v>18712</v>
      </c>
      <c r="AC5926" s="462" t="s">
        <v>18713</v>
      </c>
      <c r="AD5926" s="464">
        <v>403.59181999999998</v>
      </c>
      <c r="AE5926" s="465">
        <v>19.41423</v>
      </c>
      <c r="AF5926" s="86">
        <f>IF(verze!$E$1="CZK",AD5926,IF(verze!$E$1="SK",AE5926,""))</f>
        <v>19.41423</v>
      </c>
    </row>
    <row r="5927" spans="27:32" ht="15">
      <c r="AA5927" s="463" t="s">
        <v>18714</v>
      </c>
      <c r="AB5927" s="462" t="s">
        <v>18715</v>
      </c>
      <c r="AC5927" s="462" t="s">
        <v>18716</v>
      </c>
      <c r="AD5927" s="464">
        <v>406.98809999999997</v>
      </c>
      <c r="AE5927" s="465">
        <v>19.577590000000001</v>
      </c>
      <c r="AF5927" s="86">
        <f>IF(verze!$E$1="CZK",AD5927,IF(verze!$E$1="SK",AE5927,""))</f>
        <v>19.577590000000001</v>
      </c>
    </row>
    <row r="5928" spans="27:32" ht="15">
      <c r="AA5928" s="463" t="s">
        <v>18717</v>
      </c>
      <c r="AB5928" s="462" t="s">
        <v>18718</v>
      </c>
      <c r="AC5928" s="462" t="s">
        <v>18719</v>
      </c>
      <c r="AD5928" s="464">
        <v>406.98809999999997</v>
      </c>
      <c r="AE5928" s="465">
        <v>19.577590000000001</v>
      </c>
      <c r="AF5928" s="86">
        <f>IF(verze!$E$1="CZK",AD5928,IF(verze!$E$1="SK",AE5928,""))</f>
        <v>19.577590000000001</v>
      </c>
    </row>
    <row r="5929" spans="27:32" ht="15">
      <c r="AA5929" s="463" t="s">
        <v>18720</v>
      </c>
      <c r="AB5929" s="462" t="s">
        <v>18721</v>
      </c>
      <c r="AC5929" s="462" t="s">
        <v>18722</v>
      </c>
      <c r="AD5929" s="464">
        <v>427.33701000000002</v>
      </c>
      <c r="AE5929" s="465">
        <v>20.556460000000001</v>
      </c>
      <c r="AF5929" s="86">
        <f>IF(verze!$E$1="CZK",AD5929,IF(verze!$E$1="SK",AE5929,""))</f>
        <v>20.556460000000001</v>
      </c>
    </row>
    <row r="5930" spans="27:32" ht="15">
      <c r="AA5930" s="463" t="s">
        <v>18723</v>
      </c>
      <c r="AB5930" s="462" t="s">
        <v>18724</v>
      </c>
      <c r="AC5930" s="462" t="s">
        <v>18725</v>
      </c>
      <c r="AD5930" s="464">
        <v>427.33701000000002</v>
      </c>
      <c r="AE5930" s="465">
        <v>20.556460000000001</v>
      </c>
      <c r="AF5930" s="86">
        <f>IF(verze!$E$1="CZK",AD5930,IF(verze!$E$1="SK",AE5930,""))</f>
        <v>20.556460000000001</v>
      </c>
    </row>
    <row r="5931" spans="27:32" ht="15">
      <c r="AA5931" s="463" t="s">
        <v>18726</v>
      </c>
      <c r="AB5931" s="462" t="s">
        <v>18727</v>
      </c>
      <c r="AC5931" s="462" t="s">
        <v>18728</v>
      </c>
      <c r="AD5931" s="464">
        <v>427.33701000000002</v>
      </c>
      <c r="AE5931" s="465">
        <v>20.556460000000001</v>
      </c>
      <c r="AF5931" s="86">
        <f>IF(verze!$E$1="CZK",AD5931,IF(verze!$E$1="SK",AE5931,""))</f>
        <v>20.556460000000001</v>
      </c>
    </row>
    <row r="5932" spans="27:32" ht="15">
      <c r="AA5932" s="463" t="s">
        <v>18729</v>
      </c>
      <c r="AB5932" s="462" t="s">
        <v>18730</v>
      </c>
      <c r="AC5932" s="462" t="s">
        <v>18731</v>
      </c>
      <c r="AD5932" s="464">
        <v>427.33701000000002</v>
      </c>
      <c r="AE5932" s="465">
        <v>20.556460000000001</v>
      </c>
      <c r="AF5932" s="86">
        <f>IF(verze!$E$1="CZK",AD5932,IF(verze!$E$1="SK",AE5932,""))</f>
        <v>20.556460000000001</v>
      </c>
    </row>
    <row r="5933" spans="27:32" ht="15">
      <c r="AA5933" s="463" t="s">
        <v>18732</v>
      </c>
      <c r="AB5933" s="462" t="s">
        <v>18733</v>
      </c>
      <c r="AC5933" s="462" t="s">
        <v>18734</v>
      </c>
      <c r="AD5933" s="464">
        <v>447.68353999999999</v>
      </c>
      <c r="AE5933" s="465">
        <v>21.535209999999999</v>
      </c>
      <c r="AF5933" s="86">
        <f>IF(verze!$E$1="CZK",AD5933,IF(verze!$E$1="SK",AE5933,""))</f>
        <v>21.535209999999999</v>
      </c>
    </row>
    <row r="5934" spans="27:32" ht="15">
      <c r="AA5934" s="463" t="s">
        <v>18735</v>
      </c>
      <c r="AB5934" s="462" t="s">
        <v>18736</v>
      </c>
      <c r="AC5934" s="462" t="s">
        <v>18737</v>
      </c>
      <c r="AD5934" s="464">
        <v>447.68353999999999</v>
      </c>
      <c r="AE5934" s="465">
        <v>21.535209999999999</v>
      </c>
      <c r="AF5934" s="86">
        <f>IF(verze!$E$1="CZK",AD5934,IF(verze!$E$1="SK",AE5934,""))</f>
        <v>21.535209999999999</v>
      </c>
    </row>
    <row r="5935" spans="27:32" ht="15">
      <c r="AA5935" s="463" t="s">
        <v>18738</v>
      </c>
      <c r="AB5935" s="462" t="s">
        <v>18739</v>
      </c>
      <c r="AC5935" s="462" t="s">
        <v>18740</v>
      </c>
      <c r="AD5935" s="464">
        <v>468.03008</v>
      </c>
      <c r="AE5935" s="465">
        <v>22.513929999999998</v>
      </c>
      <c r="AF5935" s="86">
        <f>IF(verze!$E$1="CZK",AD5935,IF(verze!$E$1="SK",AE5935,""))</f>
        <v>22.513929999999998</v>
      </c>
    </row>
    <row r="5936" spans="27:32" ht="15">
      <c r="AA5936" s="463" t="s">
        <v>18741</v>
      </c>
      <c r="AB5936" s="462" t="s">
        <v>18742</v>
      </c>
      <c r="AC5936" s="462" t="s">
        <v>18743</v>
      </c>
      <c r="AD5936" s="464">
        <v>468.03008</v>
      </c>
      <c r="AE5936" s="465">
        <v>22.513929999999998</v>
      </c>
      <c r="AF5936" s="86">
        <f>IF(verze!$E$1="CZK",AD5936,IF(verze!$E$1="SK",AE5936,""))</f>
        <v>22.513929999999998</v>
      </c>
    </row>
    <row r="5937" spans="27:32" ht="15">
      <c r="AA5937" s="463" t="s">
        <v>18744</v>
      </c>
      <c r="AB5937" s="462" t="s">
        <v>18745</v>
      </c>
      <c r="AC5937" s="462" t="s">
        <v>18746</v>
      </c>
      <c r="AD5937" s="464">
        <v>488.38135999999997</v>
      </c>
      <c r="AE5937" s="465">
        <v>23.492909999999998</v>
      </c>
      <c r="AF5937" s="86">
        <f>IF(verze!$E$1="CZK",AD5937,IF(verze!$E$1="SK",AE5937,""))</f>
        <v>23.492909999999998</v>
      </c>
    </row>
    <row r="5938" spans="27:32" ht="15">
      <c r="AA5938" s="463" t="s">
        <v>18747</v>
      </c>
      <c r="AB5938" s="462" t="s">
        <v>18748</v>
      </c>
      <c r="AC5938" s="462" t="s">
        <v>18749</v>
      </c>
      <c r="AD5938" s="464">
        <v>488.38135999999997</v>
      </c>
      <c r="AE5938" s="465">
        <v>23.492909999999998</v>
      </c>
      <c r="AF5938" s="86">
        <f>IF(verze!$E$1="CZK",AD5938,IF(verze!$E$1="SK",AE5938,""))</f>
        <v>23.492909999999998</v>
      </c>
    </row>
    <row r="5939" spans="27:32" ht="15">
      <c r="AA5939" s="463" t="s">
        <v>18750</v>
      </c>
      <c r="AB5939" s="462" t="s">
        <v>18751</v>
      </c>
      <c r="AC5939" s="462" t="s">
        <v>18752</v>
      </c>
      <c r="AD5939" s="464">
        <v>529.08167000000003</v>
      </c>
      <c r="AE5939" s="465">
        <v>25.45074</v>
      </c>
      <c r="AF5939" s="86">
        <f>IF(verze!$E$1="CZK",AD5939,IF(verze!$E$1="SK",AE5939,""))</f>
        <v>25.45074</v>
      </c>
    </row>
    <row r="5940" spans="27:32" ht="15">
      <c r="AA5940" s="463" t="s">
        <v>18753</v>
      </c>
      <c r="AB5940" s="462" t="s">
        <v>18754</v>
      </c>
      <c r="AC5940" s="462" t="s">
        <v>18755</v>
      </c>
      <c r="AD5940" s="464">
        <v>529.08167000000003</v>
      </c>
      <c r="AE5940" s="465">
        <v>25.45074</v>
      </c>
      <c r="AF5940" s="86">
        <f>IF(verze!$E$1="CZK",AD5940,IF(verze!$E$1="SK",AE5940,""))</f>
        <v>25.45074</v>
      </c>
    </row>
    <row r="5941" spans="27:32" ht="15">
      <c r="AA5941" s="463" t="s">
        <v>18756</v>
      </c>
      <c r="AB5941" s="462" t="s">
        <v>18757</v>
      </c>
      <c r="AC5941" s="462" t="s">
        <v>18758</v>
      </c>
      <c r="AD5941" s="464">
        <v>569.77949999999998</v>
      </c>
      <c r="AE5941" s="465">
        <v>27.408470000000001</v>
      </c>
      <c r="AF5941" s="86">
        <f>IF(verze!$E$1="CZK",AD5941,IF(verze!$E$1="SK",AE5941,""))</f>
        <v>27.408470000000001</v>
      </c>
    </row>
    <row r="5942" spans="27:32" ht="15">
      <c r="AA5942" s="463" t="s">
        <v>18759</v>
      </c>
      <c r="AB5942" s="462" t="s">
        <v>18760</v>
      </c>
      <c r="AC5942" s="462" t="s">
        <v>18761</v>
      </c>
      <c r="AD5942" s="464">
        <v>569.77949999999998</v>
      </c>
      <c r="AE5942" s="465">
        <v>27.408470000000001</v>
      </c>
      <c r="AF5942" s="86">
        <f>IF(verze!$E$1="CZK",AD5942,IF(verze!$E$1="SK",AE5942,""))</f>
        <v>27.408470000000001</v>
      </c>
    </row>
    <row r="5943" spans="27:32" ht="15">
      <c r="AA5943" s="463" t="s">
        <v>18762</v>
      </c>
      <c r="AB5943" s="462" t="s">
        <v>18763</v>
      </c>
      <c r="AC5943" s="462" t="s">
        <v>18764</v>
      </c>
      <c r="AD5943" s="464">
        <v>892.41728000000001</v>
      </c>
      <c r="AE5943" s="465">
        <v>42.928489999999996</v>
      </c>
      <c r="AF5943" s="86">
        <f>IF(verze!$E$1="CZK",AD5943,IF(verze!$E$1="SK",AE5943,""))</f>
        <v>42.928489999999996</v>
      </c>
    </row>
    <row r="5944" spans="27:32" ht="15">
      <c r="AA5944" s="463" t="s">
        <v>18762</v>
      </c>
      <c r="AB5944" s="462" t="s">
        <v>18765</v>
      </c>
      <c r="AC5944" s="462" t="s">
        <v>18766</v>
      </c>
      <c r="AD5944" s="464">
        <v>892.41728000000001</v>
      </c>
      <c r="AE5944" s="465">
        <v>42.928489999999996</v>
      </c>
      <c r="AF5944" s="86">
        <f>IF(verze!$E$1="CZK",AD5944,IF(verze!$E$1="SK",AE5944,""))</f>
        <v>42.928489999999996</v>
      </c>
    </row>
    <row r="5945" spans="27:32" ht="15">
      <c r="AA5945" s="463" t="s">
        <v>18767</v>
      </c>
      <c r="AB5945" s="462" t="s">
        <v>18768</v>
      </c>
      <c r="AC5945" s="462" t="s">
        <v>18769</v>
      </c>
      <c r="AD5945" s="464">
        <v>899.20270000000005</v>
      </c>
      <c r="AE5945" s="465">
        <v>43.25488</v>
      </c>
      <c r="AF5945" s="86">
        <f>IF(verze!$E$1="CZK",AD5945,IF(verze!$E$1="SK",AE5945,""))</f>
        <v>43.25488</v>
      </c>
    </row>
    <row r="5946" spans="27:32" ht="15">
      <c r="AA5946" s="463" t="s">
        <v>18770</v>
      </c>
      <c r="AB5946" s="462" t="s">
        <v>18771</v>
      </c>
      <c r="AC5946" s="462" t="s">
        <v>18772</v>
      </c>
      <c r="AD5946" s="464">
        <v>939.90053</v>
      </c>
      <c r="AE5946" s="465">
        <v>45.212600000000002</v>
      </c>
      <c r="AF5946" s="86">
        <f>IF(verze!$E$1="CZK",AD5946,IF(verze!$E$1="SK",AE5946,""))</f>
        <v>45.212600000000002</v>
      </c>
    </row>
    <row r="5947" spans="27:32" ht="15">
      <c r="AA5947" s="463" t="s">
        <v>18773</v>
      </c>
      <c r="AB5947" s="462" t="s">
        <v>18774</v>
      </c>
      <c r="AC5947" s="462" t="s">
        <v>18775</v>
      </c>
      <c r="AD5947" s="464">
        <v>939.90053</v>
      </c>
      <c r="AE5947" s="465">
        <v>45.212600000000002</v>
      </c>
      <c r="AF5947" s="86">
        <f>IF(verze!$E$1="CZK",AD5947,IF(verze!$E$1="SK",AE5947,""))</f>
        <v>45.212600000000002</v>
      </c>
    </row>
    <row r="5948" spans="27:32" ht="15">
      <c r="AA5948" s="463" t="s">
        <v>18776</v>
      </c>
      <c r="AB5948" s="462" t="s">
        <v>18777</v>
      </c>
      <c r="AC5948" s="462" t="s">
        <v>18778</v>
      </c>
      <c r="AD5948" s="464">
        <v>1021.2937899999999</v>
      </c>
      <c r="AE5948" s="465">
        <v>49.127929999999999</v>
      </c>
      <c r="AF5948" s="86">
        <f>IF(verze!$E$1="CZK",AD5948,IF(verze!$E$1="SK",AE5948,""))</f>
        <v>49.127929999999999</v>
      </c>
    </row>
    <row r="5949" spans="27:32" ht="15">
      <c r="AA5949" s="463" t="s">
        <v>18779</v>
      </c>
      <c r="AB5949" s="462" t="s">
        <v>18780</v>
      </c>
      <c r="AC5949" s="462" t="s">
        <v>18781</v>
      </c>
      <c r="AD5949" s="464">
        <v>1061.9940099999999</v>
      </c>
      <c r="AE5949" s="465">
        <v>51.085760000000001</v>
      </c>
      <c r="AF5949" s="86">
        <f>IF(verze!$E$1="CZK",AD5949,IF(verze!$E$1="SK",AE5949,""))</f>
        <v>51.085760000000001</v>
      </c>
    </row>
    <row r="5950" spans="27:32" ht="15">
      <c r="AA5950" s="463" t="s">
        <v>18779</v>
      </c>
      <c r="AB5950" s="462" t="s">
        <v>18782</v>
      </c>
      <c r="AC5950" s="462" t="s">
        <v>18783</v>
      </c>
      <c r="AD5950" s="464">
        <v>1061.9940099999999</v>
      </c>
      <c r="AE5950" s="465">
        <v>51.085760000000001</v>
      </c>
      <c r="AF5950" s="86">
        <f>IF(verze!$E$1="CZK",AD5950,IF(verze!$E$1="SK",AE5950,""))</f>
        <v>51.085760000000001</v>
      </c>
    </row>
    <row r="5951" spans="27:32" ht="15">
      <c r="AA5951" s="463" t="s">
        <v>18784</v>
      </c>
      <c r="AB5951" s="462" t="s">
        <v>18785</v>
      </c>
      <c r="AC5951" s="462" t="s">
        <v>18786</v>
      </c>
      <c r="AD5951" s="464">
        <v>1143.38976</v>
      </c>
      <c r="AE5951" s="465">
        <v>55.001179999999998</v>
      </c>
      <c r="AF5951" s="86">
        <f>IF(verze!$E$1="CZK",AD5951,IF(verze!$E$1="SK",AE5951,""))</f>
        <v>55.001179999999998</v>
      </c>
    </row>
    <row r="5952" spans="27:32" ht="15">
      <c r="AA5952" s="463" t="s">
        <v>18787</v>
      </c>
      <c r="AB5952" s="462" t="s">
        <v>18788</v>
      </c>
      <c r="AC5952" s="462" t="s">
        <v>18789</v>
      </c>
      <c r="AD5952" s="464">
        <v>1224.7878900000001</v>
      </c>
      <c r="AE5952" s="465">
        <v>58.916719999999998</v>
      </c>
      <c r="AF5952" s="86">
        <f>IF(verze!$E$1="CZK",AD5952,IF(verze!$E$1="SK",AE5952,""))</f>
        <v>58.916719999999998</v>
      </c>
    </row>
    <row r="5953" spans="27:32" ht="15">
      <c r="AA5953" s="463" t="s">
        <v>18787</v>
      </c>
      <c r="AB5953" s="462" t="s">
        <v>18790</v>
      </c>
      <c r="AC5953" s="462" t="s">
        <v>18791</v>
      </c>
      <c r="AD5953" s="464">
        <v>1224.7878900000001</v>
      </c>
      <c r="AE5953" s="465">
        <v>58.916719999999998</v>
      </c>
      <c r="AF5953" s="86">
        <f>IF(verze!$E$1="CZK",AD5953,IF(verze!$E$1="SK",AE5953,""))</f>
        <v>58.916719999999998</v>
      </c>
    </row>
    <row r="5954" spans="27:32" ht="15">
      <c r="AA5954" s="463" t="s">
        <v>18792</v>
      </c>
      <c r="AB5954" s="462" t="s">
        <v>18793</v>
      </c>
      <c r="AC5954" s="462" t="s">
        <v>18794</v>
      </c>
      <c r="AD5954" s="464">
        <v>1025.1917699999999</v>
      </c>
      <c r="AE5954" s="465">
        <v>49.31541</v>
      </c>
      <c r="AF5954" s="86">
        <f>IF(verze!$E$1="CZK",AD5954,IF(verze!$E$1="SK",AE5954,""))</f>
        <v>49.31541</v>
      </c>
    </row>
    <row r="5955" spans="27:32" ht="15">
      <c r="AA5955" s="463" t="s">
        <v>18795</v>
      </c>
      <c r="AB5955" s="462" t="s">
        <v>18796</v>
      </c>
      <c r="AC5955" s="462" t="s">
        <v>18797</v>
      </c>
      <c r="AD5955" s="464">
        <v>1027.5055600000001</v>
      </c>
      <c r="AE5955" s="465">
        <v>49.42671</v>
      </c>
      <c r="AF5955" s="86">
        <f>IF(verze!$E$1="CZK",AD5955,IF(verze!$E$1="SK",AE5955,""))</f>
        <v>49.42671</v>
      </c>
    </row>
    <row r="5956" spans="27:32" ht="15">
      <c r="AA5956" s="463" t="s">
        <v>18798</v>
      </c>
      <c r="AB5956" s="462" t="s">
        <v>18799</v>
      </c>
      <c r="AC5956" s="462" t="s">
        <v>18800</v>
      </c>
      <c r="AD5956" s="464">
        <v>1043.40931</v>
      </c>
      <c r="AE5956" s="465">
        <v>50.191740000000003</v>
      </c>
      <c r="AF5956" s="86">
        <f>IF(verze!$E$1="CZK",AD5956,IF(verze!$E$1="SK",AE5956,""))</f>
        <v>50.191740000000003</v>
      </c>
    </row>
    <row r="5957" spans="27:32" ht="15">
      <c r="AA5957" s="463" t="s">
        <v>18801</v>
      </c>
      <c r="AB5957" s="462" t="s">
        <v>18802</v>
      </c>
      <c r="AC5957" s="462" t="s">
        <v>18803</v>
      </c>
      <c r="AD5957" s="464">
        <v>1047.9073000000001</v>
      </c>
      <c r="AE5957" s="465">
        <v>50.096969999999999</v>
      </c>
      <c r="AF5957" s="86">
        <f>IF(verze!$E$1="CZK",AD5957,IF(verze!$E$1="SK",AE5957,""))</f>
        <v>50.096969999999999</v>
      </c>
    </row>
    <row r="5958" spans="27:32" ht="15">
      <c r="AA5958" s="463" t="s">
        <v>18804</v>
      </c>
      <c r="AB5958" s="462" t="s">
        <v>18805</v>
      </c>
      <c r="AC5958" s="462" t="s">
        <v>18806</v>
      </c>
      <c r="AD5958" s="464">
        <v>127.59457</v>
      </c>
      <c r="AE5958" s="465">
        <v>6.1377499999999996</v>
      </c>
      <c r="AF5958" s="86">
        <f>IF(verze!$E$1="CZK",AD5958,IF(verze!$E$1="SK",AE5958,""))</f>
        <v>6.1377499999999996</v>
      </c>
    </row>
    <row r="5959" spans="27:32" ht="15">
      <c r="AA5959" s="463" t="s">
        <v>18807</v>
      </c>
      <c r="AB5959" s="462" t="s">
        <v>18808</v>
      </c>
      <c r="AC5959" s="462" t="s">
        <v>18809</v>
      </c>
      <c r="AD5959" s="464">
        <v>127.59457</v>
      </c>
      <c r="AE5959" s="465">
        <v>6.1377499999999996</v>
      </c>
      <c r="AF5959" s="86">
        <f>IF(verze!$E$1="CZK",AD5959,IF(verze!$E$1="SK",AE5959,""))</f>
        <v>6.1377499999999996</v>
      </c>
    </row>
    <row r="5960" spans="27:32" ht="15">
      <c r="AA5960" s="463" t="s">
        <v>18810</v>
      </c>
      <c r="AB5960" s="462" t="s">
        <v>18811</v>
      </c>
      <c r="AC5960" s="462" t="s">
        <v>18812</v>
      </c>
      <c r="AD5960" s="464">
        <v>127.59457</v>
      </c>
      <c r="AE5960" s="465">
        <v>6.1377499999999996</v>
      </c>
      <c r="AF5960" s="86">
        <f>IF(verze!$E$1="CZK",AD5960,IF(verze!$E$1="SK",AE5960,""))</f>
        <v>6.1377499999999996</v>
      </c>
    </row>
    <row r="5961" spans="27:32" ht="15">
      <c r="AA5961" s="463" t="s">
        <v>18813</v>
      </c>
      <c r="AB5961" s="462" t="s">
        <v>18814</v>
      </c>
      <c r="AC5961" s="462" t="s">
        <v>18815</v>
      </c>
      <c r="AD5961" s="464">
        <v>127.59457</v>
      </c>
      <c r="AE5961" s="465">
        <v>6.1377499999999996</v>
      </c>
      <c r="AF5961" s="86">
        <f>IF(verze!$E$1="CZK",AD5961,IF(verze!$E$1="SK",AE5961,""))</f>
        <v>6.1377499999999996</v>
      </c>
    </row>
    <row r="5962" spans="27:32" ht="15">
      <c r="AA5962" s="463" t="s">
        <v>18816</v>
      </c>
      <c r="AB5962" s="462" t="s">
        <v>18817</v>
      </c>
      <c r="AC5962" s="462" t="s">
        <v>18818</v>
      </c>
      <c r="AD5962" s="464">
        <v>127.79217</v>
      </c>
      <c r="AE5962" s="465">
        <v>6.1472699999999998</v>
      </c>
      <c r="AF5962" s="86">
        <f>IF(verze!$E$1="CZK",AD5962,IF(verze!$E$1="SK",AE5962,""))</f>
        <v>6.1472699999999998</v>
      </c>
    </row>
    <row r="5963" spans="27:32" ht="15">
      <c r="AA5963" s="463" t="s">
        <v>18819</v>
      </c>
      <c r="AB5963" s="462" t="s">
        <v>18820</v>
      </c>
      <c r="AC5963" s="462" t="s">
        <v>18821</v>
      </c>
      <c r="AD5963" s="464">
        <v>127.79217</v>
      </c>
      <c r="AE5963" s="465">
        <v>6.1472699999999998</v>
      </c>
      <c r="AF5963" s="86">
        <f>IF(verze!$E$1="CZK",AD5963,IF(verze!$E$1="SK",AE5963,""))</f>
        <v>6.1472699999999998</v>
      </c>
    </row>
    <row r="5964" spans="27:32" ht="15">
      <c r="AA5964" s="463" t="s">
        <v>18822</v>
      </c>
      <c r="AB5964" s="462" t="s">
        <v>18823</v>
      </c>
      <c r="AC5964" s="462" t="s">
        <v>18824</v>
      </c>
      <c r="AD5964" s="464">
        <v>127.79217</v>
      </c>
      <c r="AE5964" s="465">
        <v>6.1472699999999998</v>
      </c>
      <c r="AF5964" s="86">
        <f>IF(verze!$E$1="CZK",AD5964,IF(verze!$E$1="SK",AE5964,""))</f>
        <v>6.1472699999999998</v>
      </c>
    </row>
    <row r="5965" spans="27:32" ht="15">
      <c r="AA5965" s="463" t="s">
        <v>18825</v>
      </c>
      <c r="AB5965" s="462" t="s">
        <v>18826</v>
      </c>
      <c r="AC5965" s="462" t="s">
        <v>18827</v>
      </c>
      <c r="AD5965" s="464">
        <v>127.79217</v>
      </c>
      <c r="AE5965" s="465">
        <v>6.1472699999999998</v>
      </c>
      <c r="AF5965" s="86">
        <f>IF(verze!$E$1="CZK",AD5965,IF(verze!$E$1="SK",AE5965,""))</f>
        <v>6.1472699999999998</v>
      </c>
    </row>
    <row r="5966" spans="27:32" ht="15">
      <c r="AA5966" s="463" t="s">
        <v>18828</v>
      </c>
      <c r="AB5966" s="462" t="s">
        <v>18829</v>
      </c>
      <c r="AC5966" s="462" t="s">
        <v>18830</v>
      </c>
      <c r="AD5966" s="464">
        <v>127.79217</v>
      </c>
      <c r="AE5966" s="465">
        <v>6.1472699999999998</v>
      </c>
      <c r="AF5966" s="86">
        <f>IF(verze!$E$1="CZK",AD5966,IF(verze!$E$1="SK",AE5966,""))</f>
        <v>6.1472699999999998</v>
      </c>
    </row>
    <row r="5967" spans="27:32" ht="15">
      <c r="AA5967" s="463" t="s">
        <v>18831</v>
      </c>
      <c r="AB5967" s="462" t="s">
        <v>18832</v>
      </c>
      <c r="AC5967" s="462" t="s">
        <v>18833</v>
      </c>
      <c r="AD5967" s="464">
        <v>127.79217</v>
      </c>
      <c r="AE5967" s="465">
        <v>6.1472699999999998</v>
      </c>
      <c r="AF5967" s="86">
        <f>IF(verze!$E$1="CZK",AD5967,IF(verze!$E$1="SK",AE5967,""))</f>
        <v>6.1472699999999998</v>
      </c>
    </row>
    <row r="5968" spans="27:32" ht="15">
      <c r="AA5968" s="463" t="s">
        <v>18834</v>
      </c>
      <c r="AB5968" s="462" t="s">
        <v>18835</v>
      </c>
      <c r="AC5968" s="462" t="s">
        <v>18836</v>
      </c>
      <c r="AD5968" s="464">
        <v>129.10957999999999</v>
      </c>
      <c r="AE5968" s="465">
        <v>6.2106500000000002</v>
      </c>
      <c r="AF5968" s="86">
        <f>IF(verze!$E$1="CZK",AD5968,IF(verze!$E$1="SK",AE5968,""))</f>
        <v>6.2106500000000002</v>
      </c>
    </row>
    <row r="5969" spans="27:32" ht="15">
      <c r="AA5969" s="463" t="s">
        <v>18837</v>
      </c>
      <c r="AB5969" s="462" t="s">
        <v>18838</v>
      </c>
      <c r="AC5969" s="462" t="s">
        <v>18839</v>
      </c>
      <c r="AD5969" s="464">
        <v>129.10957999999999</v>
      </c>
      <c r="AE5969" s="465">
        <v>6.2106500000000002</v>
      </c>
      <c r="AF5969" s="86">
        <f>IF(verze!$E$1="CZK",AD5969,IF(verze!$E$1="SK",AE5969,""))</f>
        <v>6.2106500000000002</v>
      </c>
    </row>
    <row r="5970" spans="27:32" ht="15">
      <c r="AA5970" s="463" t="s">
        <v>18840</v>
      </c>
      <c r="AB5970" s="462" t="s">
        <v>18841</v>
      </c>
      <c r="AC5970" s="462" t="s">
        <v>18842</v>
      </c>
      <c r="AD5970" s="464">
        <v>129.10957999999999</v>
      </c>
      <c r="AE5970" s="465">
        <v>6.2106500000000002</v>
      </c>
      <c r="AF5970" s="86">
        <f>IF(verze!$E$1="CZK",AD5970,IF(verze!$E$1="SK",AE5970,""))</f>
        <v>6.2106500000000002</v>
      </c>
    </row>
    <row r="5971" spans="27:32" ht="15">
      <c r="AA5971" s="463" t="s">
        <v>18843</v>
      </c>
      <c r="AB5971" s="462" t="s">
        <v>18844</v>
      </c>
      <c r="AC5971" s="462" t="s">
        <v>18845</v>
      </c>
      <c r="AD5971" s="464">
        <v>129.10957999999999</v>
      </c>
      <c r="AE5971" s="465">
        <v>6.2106500000000002</v>
      </c>
      <c r="AF5971" s="86">
        <f>IF(verze!$E$1="CZK",AD5971,IF(verze!$E$1="SK",AE5971,""))</f>
        <v>6.2106500000000002</v>
      </c>
    </row>
    <row r="5972" spans="27:32" ht="15">
      <c r="AA5972" s="463" t="s">
        <v>18846</v>
      </c>
      <c r="AB5972" s="462" t="s">
        <v>18847</v>
      </c>
      <c r="AC5972" s="462" t="s">
        <v>18848</v>
      </c>
      <c r="AD5972" s="464">
        <v>130.42453</v>
      </c>
      <c r="AE5972" s="465">
        <v>6.2739000000000003</v>
      </c>
      <c r="AF5972" s="86">
        <f>IF(verze!$E$1="CZK",AD5972,IF(verze!$E$1="SK",AE5972,""))</f>
        <v>6.2739000000000003</v>
      </c>
    </row>
    <row r="5973" spans="27:32" ht="15">
      <c r="AA5973" s="463" t="s">
        <v>18849</v>
      </c>
      <c r="AB5973" s="462" t="s">
        <v>18850</v>
      </c>
      <c r="AC5973" s="462" t="s">
        <v>18851</v>
      </c>
      <c r="AD5973" s="464">
        <v>130.42453</v>
      </c>
      <c r="AE5973" s="465">
        <v>6.2739000000000003</v>
      </c>
      <c r="AF5973" s="86">
        <f>IF(verze!$E$1="CZK",AD5973,IF(verze!$E$1="SK",AE5973,""))</f>
        <v>6.2739000000000003</v>
      </c>
    </row>
    <row r="5974" spans="27:32" ht="15">
      <c r="AA5974" s="463" t="s">
        <v>18852</v>
      </c>
      <c r="AB5974" s="462" t="s">
        <v>18853</v>
      </c>
      <c r="AC5974" s="462" t="s">
        <v>18854</v>
      </c>
      <c r="AD5974" s="464">
        <v>130.42453</v>
      </c>
      <c r="AE5974" s="465">
        <v>6.2739000000000003</v>
      </c>
      <c r="AF5974" s="86">
        <f>IF(verze!$E$1="CZK",AD5974,IF(verze!$E$1="SK",AE5974,""))</f>
        <v>6.2739000000000003</v>
      </c>
    </row>
    <row r="5975" spans="27:32" ht="15">
      <c r="AA5975" s="463" t="s">
        <v>18855</v>
      </c>
      <c r="AB5975" s="462" t="s">
        <v>18856</v>
      </c>
      <c r="AC5975" s="462" t="s">
        <v>18857</v>
      </c>
      <c r="AD5975" s="464">
        <v>130.42453</v>
      </c>
      <c r="AE5975" s="465">
        <v>6.2739000000000003</v>
      </c>
      <c r="AF5975" s="86">
        <f>IF(verze!$E$1="CZK",AD5975,IF(verze!$E$1="SK",AE5975,""))</f>
        <v>6.2739000000000003</v>
      </c>
    </row>
    <row r="5976" spans="27:32" ht="15">
      <c r="AA5976" s="463" t="s">
        <v>18858</v>
      </c>
      <c r="AB5976" s="462" t="s">
        <v>18859</v>
      </c>
      <c r="AC5976" s="462" t="s">
        <v>18860</v>
      </c>
      <c r="AD5976" s="464">
        <v>131.74194</v>
      </c>
      <c r="AE5976" s="465">
        <v>6.3372799999999998</v>
      </c>
      <c r="AF5976" s="86">
        <f>IF(verze!$E$1="CZK",AD5976,IF(verze!$E$1="SK",AE5976,""))</f>
        <v>6.3372799999999998</v>
      </c>
    </row>
    <row r="5977" spans="27:32" ht="15">
      <c r="AA5977" s="463" t="s">
        <v>18861</v>
      </c>
      <c r="AB5977" s="462" t="s">
        <v>18862</v>
      </c>
      <c r="AC5977" s="462" t="s">
        <v>18863</v>
      </c>
      <c r="AD5977" s="464">
        <v>131.74194</v>
      </c>
      <c r="AE5977" s="465">
        <v>6.3372799999999998</v>
      </c>
      <c r="AF5977" s="86">
        <f>IF(verze!$E$1="CZK",AD5977,IF(verze!$E$1="SK",AE5977,""))</f>
        <v>6.3372799999999998</v>
      </c>
    </row>
    <row r="5978" spans="27:32" ht="15">
      <c r="AA5978" s="463" t="s">
        <v>18864</v>
      </c>
      <c r="AB5978" s="462" t="s">
        <v>18865</v>
      </c>
      <c r="AC5978" s="462" t="s">
        <v>18866</v>
      </c>
      <c r="AD5978" s="464">
        <v>131.74194</v>
      </c>
      <c r="AE5978" s="465">
        <v>6.3372799999999998</v>
      </c>
      <c r="AF5978" s="86">
        <f>IF(verze!$E$1="CZK",AD5978,IF(verze!$E$1="SK",AE5978,""))</f>
        <v>6.3372799999999998</v>
      </c>
    </row>
    <row r="5979" spans="27:32" ht="15">
      <c r="AA5979" s="463" t="s">
        <v>18867</v>
      </c>
      <c r="AB5979" s="462" t="s">
        <v>18868</v>
      </c>
      <c r="AC5979" s="462" t="s">
        <v>18869</v>
      </c>
      <c r="AD5979" s="464">
        <v>131.74194</v>
      </c>
      <c r="AE5979" s="465">
        <v>6.3372799999999998</v>
      </c>
      <c r="AF5979" s="86">
        <f>IF(verze!$E$1="CZK",AD5979,IF(verze!$E$1="SK",AE5979,""))</f>
        <v>6.3372799999999998</v>
      </c>
    </row>
    <row r="5980" spans="27:32" ht="15">
      <c r="AA5980" s="463" t="s">
        <v>18870</v>
      </c>
      <c r="AB5980" s="462" t="s">
        <v>18871</v>
      </c>
      <c r="AC5980" s="462" t="s">
        <v>18872</v>
      </c>
      <c r="AD5980" s="464">
        <v>139.64666</v>
      </c>
      <c r="AE5980" s="465">
        <v>6.7175000000000002</v>
      </c>
      <c r="AF5980" s="86">
        <f>IF(verze!$E$1="CZK",AD5980,IF(verze!$E$1="SK",AE5980,""))</f>
        <v>6.7175000000000002</v>
      </c>
    </row>
    <row r="5981" spans="27:32" ht="15">
      <c r="AA5981" s="463" t="s">
        <v>18873</v>
      </c>
      <c r="AB5981" s="462" t="s">
        <v>18874</v>
      </c>
      <c r="AC5981" s="462" t="s">
        <v>18875</v>
      </c>
      <c r="AD5981" s="464">
        <v>139.64666</v>
      </c>
      <c r="AE5981" s="465">
        <v>6.7175000000000002</v>
      </c>
      <c r="AF5981" s="86">
        <f>IF(verze!$E$1="CZK",AD5981,IF(verze!$E$1="SK",AE5981,""))</f>
        <v>6.7175000000000002</v>
      </c>
    </row>
    <row r="5982" spans="27:32" ht="15">
      <c r="AA5982" s="463" t="s">
        <v>18876</v>
      </c>
      <c r="AB5982" s="462" t="s">
        <v>18877</v>
      </c>
      <c r="AC5982" s="462" t="s">
        <v>18878</v>
      </c>
      <c r="AD5982" s="464">
        <v>108.28121</v>
      </c>
      <c r="AE5982" s="465">
        <v>5.20871</v>
      </c>
      <c r="AF5982" s="86">
        <f>IF(verze!$E$1="CZK",AD5982,IF(verze!$E$1="SK",AE5982,""))</f>
        <v>5.20871</v>
      </c>
    </row>
    <row r="5983" spans="27:32" ht="15">
      <c r="AA5983" s="463" t="s">
        <v>18879</v>
      </c>
      <c r="AB5983" s="462" t="s">
        <v>18880</v>
      </c>
      <c r="AC5983" s="462" t="s">
        <v>18881</v>
      </c>
      <c r="AD5983" s="464">
        <v>108.28121</v>
      </c>
      <c r="AE5983" s="465">
        <v>5.20871</v>
      </c>
      <c r="AF5983" s="86">
        <f>IF(verze!$E$1="CZK",AD5983,IF(verze!$E$1="SK",AE5983,""))</f>
        <v>5.20871</v>
      </c>
    </row>
    <row r="5984" spans="27:32" ht="15">
      <c r="AA5984" s="463" t="s">
        <v>18882</v>
      </c>
      <c r="AB5984" s="462" t="s">
        <v>18883</v>
      </c>
      <c r="AC5984" s="462" t="s">
        <v>18884</v>
      </c>
      <c r="AD5984" s="464">
        <v>108.51324</v>
      </c>
      <c r="AE5984" s="465">
        <v>5.2198700000000002</v>
      </c>
      <c r="AF5984" s="86">
        <f>IF(verze!$E$1="CZK",AD5984,IF(verze!$E$1="SK",AE5984,""))</f>
        <v>5.2198700000000002</v>
      </c>
    </row>
    <row r="5985" spans="27:32" ht="15">
      <c r="AA5985" s="463" t="s">
        <v>18885</v>
      </c>
      <c r="AB5985" s="462" t="s">
        <v>18886</v>
      </c>
      <c r="AC5985" s="462" t="s">
        <v>18887</v>
      </c>
      <c r="AD5985" s="464">
        <v>108.51324</v>
      </c>
      <c r="AE5985" s="465">
        <v>5.2198700000000002</v>
      </c>
      <c r="AF5985" s="86">
        <f>IF(verze!$E$1="CZK",AD5985,IF(verze!$E$1="SK",AE5985,""))</f>
        <v>5.2198700000000002</v>
      </c>
    </row>
    <row r="5986" spans="27:32" ht="15">
      <c r="AA5986" s="463" t="s">
        <v>18888</v>
      </c>
      <c r="AB5986" s="462" t="s">
        <v>18889</v>
      </c>
      <c r="AC5986" s="462" t="s">
        <v>18890</v>
      </c>
      <c r="AD5986" s="464">
        <v>109.45191</v>
      </c>
      <c r="AE5986" s="465">
        <v>5.2650399999999999</v>
      </c>
      <c r="AF5986" s="86">
        <f>IF(verze!$E$1="CZK",AD5986,IF(verze!$E$1="SK",AE5986,""))</f>
        <v>5.2650399999999999</v>
      </c>
    </row>
    <row r="5987" spans="27:32" ht="15">
      <c r="AA5987" s="463" t="s">
        <v>18891</v>
      </c>
      <c r="AB5987" s="462" t="s">
        <v>18892</v>
      </c>
      <c r="AC5987" s="462" t="s">
        <v>18893</v>
      </c>
      <c r="AD5987" s="464">
        <v>109.45191</v>
      </c>
      <c r="AE5987" s="465">
        <v>5.2650399999999999</v>
      </c>
      <c r="AF5987" s="86">
        <f>IF(verze!$E$1="CZK",AD5987,IF(verze!$E$1="SK",AE5987,""))</f>
        <v>5.2650399999999999</v>
      </c>
    </row>
    <row r="5988" spans="27:32" ht="15">
      <c r="AA5988" s="463" t="s">
        <v>18894</v>
      </c>
      <c r="AB5988" s="462" t="s">
        <v>18895</v>
      </c>
      <c r="AC5988" s="462" t="s">
        <v>18896</v>
      </c>
      <c r="AD5988" s="464">
        <v>110.8627</v>
      </c>
      <c r="AE5988" s="465">
        <v>5.3328899999999999</v>
      </c>
      <c r="AF5988" s="86">
        <f>IF(verze!$E$1="CZK",AD5988,IF(verze!$E$1="SK",AE5988,""))</f>
        <v>5.3328899999999999</v>
      </c>
    </row>
    <row r="5989" spans="27:32" ht="15">
      <c r="AA5989" s="463" t="s">
        <v>18897</v>
      </c>
      <c r="AB5989" s="462" t="s">
        <v>18898</v>
      </c>
      <c r="AC5989" s="462" t="s">
        <v>18899</v>
      </c>
      <c r="AD5989" s="464">
        <v>110.8627</v>
      </c>
      <c r="AE5989" s="465">
        <v>5.3328899999999999</v>
      </c>
      <c r="AF5989" s="86">
        <f>IF(verze!$E$1="CZK",AD5989,IF(verze!$E$1="SK",AE5989,""))</f>
        <v>5.3328899999999999</v>
      </c>
    </row>
    <row r="5990" spans="27:32" ht="15">
      <c r="AA5990" s="463" t="s">
        <v>18900</v>
      </c>
      <c r="AB5990" s="462" t="s">
        <v>18901</v>
      </c>
      <c r="AC5990" s="462" t="s">
        <v>18902</v>
      </c>
      <c r="AD5990" s="464">
        <v>112.27088999999999</v>
      </c>
      <c r="AE5990" s="465">
        <v>5.4006299999999996</v>
      </c>
      <c r="AF5990" s="86">
        <f>IF(verze!$E$1="CZK",AD5990,IF(verze!$E$1="SK",AE5990,""))</f>
        <v>5.4006299999999996</v>
      </c>
    </row>
    <row r="5991" spans="27:32" ht="15">
      <c r="AA5991" s="463" t="s">
        <v>18903</v>
      </c>
      <c r="AB5991" s="462" t="s">
        <v>18904</v>
      </c>
      <c r="AC5991" s="462" t="s">
        <v>18905</v>
      </c>
      <c r="AD5991" s="464">
        <v>112.27088999999999</v>
      </c>
      <c r="AE5991" s="465">
        <v>5.4006299999999996</v>
      </c>
      <c r="AF5991" s="86">
        <f>IF(verze!$E$1="CZK",AD5991,IF(verze!$E$1="SK",AE5991,""))</f>
        <v>5.4006299999999996</v>
      </c>
    </row>
    <row r="5992" spans="27:32" ht="15">
      <c r="AA5992" s="463" t="s">
        <v>18906</v>
      </c>
      <c r="AB5992" s="462" t="s">
        <v>18907</v>
      </c>
      <c r="AC5992" s="462" t="s">
        <v>18908</v>
      </c>
      <c r="AD5992" s="464">
        <v>113.20956</v>
      </c>
      <c r="AE5992" s="465">
        <v>5.4457800000000001</v>
      </c>
      <c r="AF5992" s="86">
        <f>IF(verze!$E$1="CZK",AD5992,IF(verze!$E$1="SK",AE5992,""))</f>
        <v>5.4457800000000001</v>
      </c>
    </row>
    <row r="5993" spans="27:32" ht="15">
      <c r="AA5993" s="463" t="s">
        <v>18909</v>
      </c>
      <c r="AB5993" s="462" t="s">
        <v>18910</v>
      </c>
      <c r="AC5993" s="462" t="s">
        <v>18911</v>
      </c>
      <c r="AD5993" s="464">
        <v>113.20956</v>
      </c>
      <c r="AE5993" s="465">
        <v>5.4457800000000001</v>
      </c>
      <c r="AF5993" s="86">
        <f>IF(verze!$E$1="CZK",AD5993,IF(verze!$E$1="SK",AE5993,""))</f>
        <v>5.4457800000000001</v>
      </c>
    </row>
    <row r="5994" spans="27:32" ht="15">
      <c r="AA5994" s="463" t="s">
        <v>18912</v>
      </c>
      <c r="AB5994" s="462" t="s">
        <v>18913</v>
      </c>
      <c r="AC5994" s="462" t="s">
        <v>18914</v>
      </c>
      <c r="AD5994" s="464">
        <v>114.14565</v>
      </c>
      <c r="AE5994" s="465">
        <v>5.4908099999999997</v>
      </c>
      <c r="AF5994" s="86">
        <f>IF(verze!$E$1="CZK",AD5994,IF(verze!$E$1="SK",AE5994,""))</f>
        <v>5.4908099999999997</v>
      </c>
    </row>
    <row r="5995" spans="27:32" ht="15">
      <c r="AA5995" s="463" t="s">
        <v>18915</v>
      </c>
      <c r="AB5995" s="462" t="s">
        <v>18916</v>
      </c>
      <c r="AC5995" s="462" t="s">
        <v>18917</v>
      </c>
      <c r="AD5995" s="464">
        <v>114.14565</v>
      </c>
      <c r="AE5995" s="465">
        <v>5.4908099999999997</v>
      </c>
      <c r="AF5995" s="86">
        <f>IF(verze!$E$1="CZK",AD5995,IF(verze!$E$1="SK",AE5995,""))</f>
        <v>5.4908099999999997</v>
      </c>
    </row>
    <row r="5996" spans="27:32" ht="15">
      <c r="AA5996" s="463" t="s">
        <v>18918</v>
      </c>
      <c r="AB5996" s="462" t="s">
        <v>18919</v>
      </c>
      <c r="AC5996" s="462" t="s">
        <v>18920</v>
      </c>
      <c r="AD5996" s="464">
        <v>115.55383999999999</v>
      </c>
      <c r="AE5996" s="465">
        <v>5.5585699999999996</v>
      </c>
      <c r="AF5996" s="86">
        <f>IF(verze!$E$1="CZK",AD5996,IF(verze!$E$1="SK",AE5996,""))</f>
        <v>5.5585699999999996</v>
      </c>
    </row>
    <row r="5997" spans="27:32" ht="15">
      <c r="AA5997" s="463" t="s">
        <v>18921</v>
      </c>
      <c r="AB5997" s="462" t="s">
        <v>18922</v>
      </c>
      <c r="AC5997" s="462" t="s">
        <v>18923</v>
      </c>
      <c r="AD5997" s="464">
        <v>115.55383999999999</v>
      </c>
      <c r="AE5997" s="465">
        <v>5.5585699999999996</v>
      </c>
      <c r="AF5997" s="86">
        <f>IF(verze!$E$1="CZK",AD5997,IF(verze!$E$1="SK",AE5997,""))</f>
        <v>5.5585699999999996</v>
      </c>
    </row>
    <row r="5998" spans="27:32" ht="15">
      <c r="AA5998" s="463" t="s">
        <v>18924</v>
      </c>
      <c r="AB5998" s="462" t="s">
        <v>18925</v>
      </c>
      <c r="AC5998" s="462" t="s">
        <v>18926</v>
      </c>
      <c r="AD5998" s="464">
        <v>116.96194</v>
      </c>
      <c r="AE5998" s="465">
        <v>5.6262999999999996</v>
      </c>
      <c r="AF5998" s="86">
        <f>IF(verze!$E$1="CZK",AD5998,IF(verze!$E$1="SK",AE5998,""))</f>
        <v>5.6262999999999996</v>
      </c>
    </row>
    <row r="5999" spans="27:32" ht="15">
      <c r="AA5999" s="463" t="s">
        <v>18927</v>
      </c>
      <c r="AB5999" s="462" t="s">
        <v>18928</v>
      </c>
      <c r="AC5999" s="462" t="s">
        <v>18929</v>
      </c>
      <c r="AD5999" s="464">
        <v>116.96194</v>
      </c>
      <c r="AE5999" s="465">
        <v>5.6262999999999996</v>
      </c>
      <c r="AF5999" s="86">
        <f>IF(verze!$E$1="CZK",AD5999,IF(verze!$E$1="SK",AE5999,""))</f>
        <v>5.6262999999999996</v>
      </c>
    </row>
    <row r="6000" spans="27:32" ht="15">
      <c r="AA6000" s="463" t="s">
        <v>18930</v>
      </c>
      <c r="AB6000" s="462" t="s">
        <v>18931</v>
      </c>
      <c r="AC6000" s="462" t="s">
        <v>18932</v>
      </c>
      <c r="AD6000" s="464">
        <v>117.9033</v>
      </c>
      <c r="AE6000" s="465">
        <v>5.6715999999999998</v>
      </c>
      <c r="AF6000" s="86">
        <f>IF(verze!$E$1="CZK",AD6000,IF(verze!$E$1="SK",AE6000,""))</f>
        <v>5.6715999999999998</v>
      </c>
    </row>
    <row r="6001" spans="27:32" ht="15">
      <c r="AA6001" s="463" t="s">
        <v>18933</v>
      </c>
      <c r="AB6001" s="462" t="s">
        <v>18934</v>
      </c>
      <c r="AC6001" s="462" t="s">
        <v>18935</v>
      </c>
      <c r="AD6001" s="464">
        <v>117.9033</v>
      </c>
      <c r="AE6001" s="465">
        <v>5.6715999999999998</v>
      </c>
      <c r="AF6001" s="86">
        <f>IF(verze!$E$1="CZK",AD6001,IF(verze!$E$1="SK",AE6001,""))</f>
        <v>5.6715999999999998</v>
      </c>
    </row>
    <row r="6002" spans="27:32" ht="15">
      <c r="AA6002" s="463" t="s">
        <v>18936</v>
      </c>
      <c r="AB6002" s="462" t="s">
        <v>18937</v>
      </c>
      <c r="AC6002" s="462" t="s">
        <v>18938</v>
      </c>
      <c r="AD6002" s="464">
        <v>118.84475999999999</v>
      </c>
      <c r="AE6002" s="465">
        <v>5.71685</v>
      </c>
      <c r="AF6002" s="86">
        <f>IF(verze!$E$1="CZK",AD6002,IF(verze!$E$1="SK",AE6002,""))</f>
        <v>5.71685</v>
      </c>
    </row>
    <row r="6003" spans="27:32" ht="15">
      <c r="AA6003" s="463" t="s">
        <v>18939</v>
      </c>
      <c r="AB6003" s="462" t="s">
        <v>18940</v>
      </c>
      <c r="AC6003" s="462" t="s">
        <v>18941</v>
      </c>
      <c r="AD6003" s="464">
        <v>118.84475999999999</v>
      </c>
      <c r="AE6003" s="465">
        <v>5.71685</v>
      </c>
      <c r="AF6003" s="86">
        <f>IF(verze!$E$1="CZK",AD6003,IF(verze!$E$1="SK",AE6003,""))</f>
        <v>5.71685</v>
      </c>
    </row>
    <row r="6004" spans="27:32" ht="15">
      <c r="AA6004" s="463" t="s">
        <v>18942</v>
      </c>
      <c r="AB6004" s="462" t="s">
        <v>18943</v>
      </c>
      <c r="AC6004" s="462" t="s">
        <v>18944</v>
      </c>
      <c r="AD6004" s="464">
        <v>120.25018</v>
      </c>
      <c r="AE6004" s="465">
        <v>5.7844699999999998</v>
      </c>
      <c r="AF6004" s="86">
        <f>IF(verze!$E$1="CZK",AD6004,IF(verze!$E$1="SK",AE6004,""))</f>
        <v>5.7844699999999998</v>
      </c>
    </row>
    <row r="6005" spans="27:32" ht="15">
      <c r="AA6005" s="463" t="s">
        <v>18945</v>
      </c>
      <c r="AB6005" s="462" t="s">
        <v>18946</v>
      </c>
      <c r="AC6005" s="462" t="s">
        <v>18947</v>
      </c>
      <c r="AD6005" s="464">
        <v>120.25018</v>
      </c>
      <c r="AE6005" s="465">
        <v>5.7844699999999998</v>
      </c>
      <c r="AF6005" s="86">
        <f>IF(verze!$E$1="CZK",AD6005,IF(verze!$E$1="SK",AE6005,""))</f>
        <v>5.7844699999999998</v>
      </c>
    </row>
    <row r="6006" spans="27:32" ht="15">
      <c r="AA6006" s="463" t="s">
        <v>18948</v>
      </c>
      <c r="AB6006" s="462" t="s">
        <v>18949</v>
      </c>
      <c r="AC6006" s="462" t="s">
        <v>18950</v>
      </c>
      <c r="AD6006" s="464">
        <v>140.69555</v>
      </c>
      <c r="AE6006" s="465">
        <v>6.7679600000000004</v>
      </c>
      <c r="AF6006" s="86">
        <f>IF(verze!$E$1="CZK",AD6006,IF(verze!$E$1="SK",AE6006,""))</f>
        <v>6.7679600000000004</v>
      </c>
    </row>
    <row r="6007" spans="27:32" ht="15">
      <c r="AA6007" s="463" t="s">
        <v>18951</v>
      </c>
      <c r="AB6007" s="462" t="s">
        <v>18952</v>
      </c>
      <c r="AC6007" s="462" t="s">
        <v>18953</v>
      </c>
      <c r="AD6007" s="464">
        <v>140.69555</v>
      </c>
      <c r="AE6007" s="465">
        <v>6.7679600000000004</v>
      </c>
      <c r="AF6007" s="86">
        <f>IF(verze!$E$1="CZK",AD6007,IF(verze!$E$1="SK",AE6007,""))</f>
        <v>6.7679600000000004</v>
      </c>
    </row>
    <row r="6008" spans="27:32" ht="15">
      <c r="AA6008" s="463" t="s">
        <v>18954</v>
      </c>
      <c r="AB6008" s="462" t="s">
        <v>18955</v>
      </c>
      <c r="AC6008" s="462" t="s">
        <v>18956</v>
      </c>
      <c r="AD6008" s="464">
        <v>140.69555</v>
      </c>
      <c r="AE6008" s="465">
        <v>6.7679600000000004</v>
      </c>
      <c r="AF6008" s="86">
        <f>IF(verze!$E$1="CZK",AD6008,IF(verze!$E$1="SK",AE6008,""))</f>
        <v>6.7679600000000004</v>
      </c>
    </row>
    <row r="6009" spans="27:32" ht="15">
      <c r="AA6009" s="463" t="s">
        <v>18957</v>
      </c>
      <c r="AB6009" s="462" t="s">
        <v>18958</v>
      </c>
      <c r="AC6009" s="462" t="s">
        <v>18959</v>
      </c>
      <c r="AD6009" s="464">
        <v>140.69555</v>
      </c>
      <c r="AE6009" s="465">
        <v>6.7679600000000004</v>
      </c>
      <c r="AF6009" s="86">
        <f>IF(verze!$E$1="CZK",AD6009,IF(verze!$E$1="SK",AE6009,""))</f>
        <v>6.7679600000000004</v>
      </c>
    </row>
    <row r="6010" spans="27:32" ht="15">
      <c r="AA6010" s="463" t="s">
        <v>18960</v>
      </c>
      <c r="AB6010" s="462" t="s">
        <v>18961</v>
      </c>
      <c r="AC6010" s="462" t="s">
        <v>18962</v>
      </c>
      <c r="AD6010" s="464">
        <v>140.89315999999999</v>
      </c>
      <c r="AE6010" s="465">
        <v>6.7774799999999997</v>
      </c>
      <c r="AF6010" s="86">
        <f>IF(verze!$E$1="CZK",AD6010,IF(verze!$E$1="SK",AE6010,""))</f>
        <v>6.7774799999999997</v>
      </c>
    </row>
    <row r="6011" spans="27:32" ht="15">
      <c r="AA6011" s="463" t="s">
        <v>18963</v>
      </c>
      <c r="AB6011" s="462" t="s">
        <v>18964</v>
      </c>
      <c r="AC6011" s="462" t="s">
        <v>18965</v>
      </c>
      <c r="AD6011" s="464">
        <v>140.89315999999999</v>
      </c>
      <c r="AE6011" s="465">
        <v>6.7774799999999997</v>
      </c>
      <c r="AF6011" s="86">
        <f>IF(verze!$E$1="CZK",AD6011,IF(verze!$E$1="SK",AE6011,""))</f>
        <v>6.7774799999999997</v>
      </c>
    </row>
    <row r="6012" spans="27:32" ht="15">
      <c r="AA6012" s="463" t="s">
        <v>18966</v>
      </c>
      <c r="AB6012" s="462" t="s">
        <v>18967</v>
      </c>
      <c r="AC6012" s="462" t="s">
        <v>18968</v>
      </c>
      <c r="AD6012" s="464">
        <v>140.89315999999999</v>
      </c>
      <c r="AE6012" s="465">
        <v>6.7774799999999997</v>
      </c>
      <c r="AF6012" s="86">
        <f>IF(verze!$E$1="CZK",AD6012,IF(verze!$E$1="SK",AE6012,""))</f>
        <v>6.7774799999999997</v>
      </c>
    </row>
    <row r="6013" spans="27:32" ht="15">
      <c r="AA6013" s="463" t="s">
        <v>18969</v>
      </c>
      <c r="AB6013" s="462" t="s">
        <v>18970</v>
      </c>
      <c r="AC6013" s="462" t="s">
        <v>18971</v>
      </c>
      <c r="AD6013" s="464">
        <v>140.89315999999999</v>
      </c>
      <c r="AE6013" s="465">
        <v>6.7774799999999997</v>
      </c>
      <c r="AF6013" s="86">
        <f>IF(verze!$E$1="CZK",AD6013,IF(verze!$E$1="SK",AE6013,""))</f>
        <v>6.7774799999999997</v>
      </c>
    </row>
    <row r="6014" spans="27:32" ht="15">
      <c r="AA6014" s="463" t="s">
        <v>18972</v>
      </c>
      <c r="AB6014" s="462" t="s">
        <v>18973</v>
      </c>
      <c r="AC6014" s="462" t="s">
        <v>18974</v>
      </c>
      <c r="AD6014" s="464">
        <v>140.89315999999999</v>
      </c>
      <c r="AE6014" s="465">
        <v>6.7774799999999997</v>
      </c>
      <c r="AF6014" s="86">
        <f>IF(verze!$E$1="CZK",AD6014,IF(verze!$E$1="SK",AE6014,""))</f>
        <v>6.7774799999999997</v>
      </c>
    </row>
    <row r="6015" spans="27:32" ht="15">
      <c r="AA6015" s="463" t="s">
        <v>18975</v>
      </c>
      <c r="AB6015" s="462" t="s">
        <v>18976</v>
      </c>
      <c r="AC6015" s="462" t="s">
        <v>18977</v>
      </c>
      <c r="AD6015" s="464">
        <v>140.89315999999999</v>
      </c>
      <c r="AE6015" s="465">
        <v>6.7774799999999997</v>
      </c>
      <c r="AF6015" s="86">
        <f>IF(verze!$E$1="CZK",AD6015,IF(verze!$E$1="SK",AE6015,""))</f>
        <v>6.7774799999999997</v>
      </c>
    </row>
    <row r="6016" spans="27:32" ht="15">
      <c r="AA6016" s="463" t="s">
        <v>18978</v>
      </c>
      <c r="AB6016" s="462" t="s">
        <v>18979</v>
      </c>
      <c r="AC6016" s="462" t="s">
        <v>18980</v>
      </c>
      <c r="AD6016" s="464">
        <v>142.21056999999999</v>
      </c>
      <c r="AE6016" s="465">
        <v>6.8408300000000004</v>
      </c>
      <c r="AF6016" s="86">
        <f>IF(verze!$E$1="CZK",AD6016,IF(verze!$E$1="SK",AE6016,""))</f>
        <v>6.8408300000000004</v>
      </c>
    </row>
    <row r="6017" spans="27:32" ht="15">
      <c r="AA6017" s="463" t="s">
        <v>18981</v>
      </c>
      <c r="AB6017" s="462" t="s">
        <v>18982</v>
      </c>
      <c r="AC6017" s="462" t="s">
        <v>18983</v>
      </c>
      <c r="AD6017" s="464">
        <v>142.21056999999999</v>
      </c>
      <c r="AE6017" s="465">
        <v>6.8408300000000004</v>
      </c>
      <c r="AF6017" s="86">
        <f>IF(verze!$E$1="CZK",AD6017,IF(verze!$E$1="SK",AE6017,""))</f>
        <v>6.8408300000000004</v>
      </c>
    </row>
    <row r="6018" spans="27:32" ht="15">
      <c r="AA6018" s="463" t="s">
        <v>18984</v>
      </c>
      <c r="AB6018" s="462" t="s">
        <v>18985</v>
      </c>
      <c r="AC6018" s="462" t="s">
        <v>18986</v>
      </c>
      <c r="AD6018" s="464">
        <v>142.21056999999999</v>
      </c>
      <c r="AE6018" s="465">
        <v>6.8408300000000004</v>
      </c>
      <c r="AF6018" s="86">
        <f>IF(verze!$E$1="CZK",AD6018,IF(verze!$E$1="SK",AE6018,""))</f>
        <v>6.8408300000000004</v>
      </c>
    </row>
    <row r="6019" spans="27:32" ht="15">
      <c r="AA6019" s="463" t="s">
        <v>18987</v>
      </c>
      <c r="AB6019" s="462" t="s">
        <v>18988</v>
      </c>
      <c r="AC6019" s="462" t="s">
        <v>18989</v>
      </c>
      <c r="AD6019" s="464">
        <v>142.21056999999999</v>
      </c>
      <c r="AE6019" s="465">
        <v>6.8408300000000004</v>
      </c>
      <c r="AF6019" s="86">
        <f>IF(verze!$E$1="CZK",AD6019,IF(verze!$E$1="SK",AE6019,""))</f>
        <v>6.8408300000000004</v>
      </c>
    </row>
    <row r="6020" spans="27:32" ht="15">
      <c r="AA6020" s="463" t="s">
        <v>18990</v>
      </c>
      <c r="AB6020" s="462" t="s">
        <v>18991</v>
      </c>
      <c r="AC6020" s="462" t="s">
        <v>18992</v>
      </c>
      <c r="AD6020" s="464">
        <v>143.52552</v>
      </c>
      <c r="AE6020" s="465">
        <v>6.9041100000000002</v>
      </c>
      <c r="AF6020" s="86">
        <f>IF(verze!$E$1="CZK",AD6020,IF(verze!$E$1="SK",AE6020,""))</f>
        <v>6.9041100000000002</v>
      </c>
    </row>
    <row r="6021" spans="27:32" ht="15">
      <c r="AA6021" s="463" t="s">
        <v>18993</v>
      </c>
      <c r="AB6021" s="462" t="s">
        <v>18994</v>
      </c>
      <c r="AC6021" s="462" t="s">
        <v>18995</v>
      </c>
      <c r="AD6021" s="464">
        <v>143.52552</v>
      </c>
      <c r="AE6021" s="465">
        <v>6.9041100000000002</v>
      </c>
      <c r="AF6021" s="86">
        <f>IF(verze!$E$1="CZK",AD6021,IF(verze!$E$1="SK",AE6021,""))</f>
        <v>6.9041100000000002</v>
      </c>
    </row>
    <row r="6022" spans="27:32" ht="15">
      <c r="AA6022" s="463" t="s">
        <v>18996</v>
      </c>
      <c r="AB6022" s="462" t="s">
        <v>18997</v>
      </c>
      <c r="AC6022" s="462" t="s">
        <v>18998</v>
      </c>
      <c r="AD6022" s="464">
        <v>143.52552</v>
      </c>
      <c r="AE6022" s="465">
        <v>6.9041100000000002</v>
      </c>
      <c r="AF6022" s="86">
        <f>IF(verze!$E$1="CZK",AD6022,IF(verze!$E$1="SK",AE6022,""))</f>
        <v>6.9041100000000002</v>
      </c>
    </row>
    <row r="6023" spans="27:32" ht="15">
      <c r="AA6023" s="463" t="s">
        <v>18999</v>
      </c>
      <c r="AB6023" s="462" t="s">
        <v>19000</v>
      </c>
      <c r="AC6023" s="462" t="s">
        <v>19001</v>
      </c>
      <c r="AD6023" s="464">
        <v>143.52552</v>
      </c>
      <c r="AE6023" s="465">
        <v>6.9041100000000002</v>
      </c>
      <c r="AF6023" s="86">
        <f>IF(verze!$E$1="CZK",AD6023,IF(verze!$E$1="SK",AE6023,""))</f>
        <v>6.9041100000000002</v>
      </c>
    </row>
    <row r="6024" spans="27:32" ht="15">
      <c r="AA6024" s="463" t="s">
        <v>19002</v>
      </c>
      <c r="AB6024" s="462" t="s">
        <v>19003</v>
      </c>
      <c r="AC6024" s="462" t="s">
        <v>19004</v>
      </c>
      <c r="AD6024" s="464">
        <v>144.84293</v>
      </c>
      <c r="AE6024" s="465">
        <v>6.96746</v>
      </c>
      <c r="AF6024" s="86">
        <f>IF(verze!$E$1="CZK",AD6024,IF(verze!$E$1="SK",AE6024,""))</f>
        <v>6.96746</v>
      </c>
    </row>
    <row r="6025" spans="27:32" ht="15">
      <c r="AA6025" s="463" t="s">
        <v>19005</v>
      </c>
      <c r="AB6025" s="462" t="s">
        <v>19006</v>
      </c>
      <c r="AC6025" s="462" t="s">
        <v>19007</v>
      </c>
      <c r="AD6025" s="464">
        <v>144.84293</v>
      </c>
      <c r="AE6025" s="465">
        <v>6.96746</v>
      </c>
      <c r="AF6025" s="86">
        <f>IF(verze!$E$1="CZK",AD6025,IF(verze!$E$1="SK",AE6025,""))</f>
        <v>6.96746</v>
      </c>
    </row>
    <row r="6026" spans="27:32" ht="15">
      <c r="AA6026" s="463" t="s">
        <v>19008</v>
      </c>
      <c r="AB6026" s="462" t="s">
        <v>19009</v>
      </c>
      <c r="AC6026" s="462" t="s">
        <v>19010</v>
      </c>
      <c r="AD6026" s="464">
        <v>144.84293</v>
      </c>
      <c r="AE6026" s="465">
        <v>6.96746</v>
      </c>
      <c r="AF6026" s="86">
        <f>IF(verze!$E$1="CZK",AD6026,IF(verze!$E$1="SK",AE6026,""))</f>
        <v>6.96746</v>
      </c>
    </row>
    <row r="6027" spans="27:32" ht="15">
      <c r="AA6027" s="463" t="s">
        <v>19011</v>
      </c>
      <c r="AB6027" s="462" t="s">
        <v>19012</v>
      </c>
      <c r="AC6027" s="462" t="s">
        <v>19013</v>
      </c>
      <c r="AD6027" s="464">
        <v>144.84293</v>
      </c>
      <c r="AE6027" s="465">
        <v>6.96746</v>
      </c>
      <c r="AF6027" s="86">
        <f>IF(verze!$E$1="CZK",AD6027,IF(verze!$E$1="SK",AE6027,""))</f>
        <v>6.96746</v>
      </c>
    </row>
    <row r="6028" spans="27:32" ht="15">
      <c r="AA6028" s="463" t="s">
        <v>19014</v>
      </c>
      <c r="AB6028" s="462" t="s">
        <v>19015</v>
      </c>
      <c r="AC6028" s="462" t="s">
        <v>19016</v>
      </c>
      <c r="AD6028" s="464">
        <v>152.74764999999999</v>
      </c>
      <c r="AE6028" s="465">
        <v>7.3477100000000002</v>
      </c>
      <c r="AF6028" s="86">
        <f>IF(verze!$E$1="CZK",AD6028,IF(verze!$E$1="SK",AE6028,""))</f>
        <v>7.3477100000000002</v>
      </c>
    </row>
    <row r="6029" spans="27:32" ht="15">
      <c r="AA6029" s="463" t="s">
        <v>19017</v>
      </c>
      <c r="AB6029" s="462" t="s">
        <v>19018</v>
      </c>
      <c r="AC6029" s="462" t="s">
        <v>19019</v>
      </c>
      <c r="AD6029" s="464">
        <v>152.74764999999999</v>
      </c>
      <c r="AE6029" s="465">
        <v>7.3477100000000002</v>
      </c>
      <c r="AF6029" s="86">
        <f>IF(verze!$E$1="CZK",AD6029,IF(verze!$E$1="SK",AE6029,""))</f>
        <v>7.3477100000000002</v>
      </c>
    </row>
    <row r="6030" spans="27:32" ht="15">
      <c r="AA6030" s="463" t="s">
        <v>19020</v>
      </c>
      <c r="AB6030" s="462" t="s">
        <v>19021</v>
      </c>
      <c r="AC6030" s="462" t="s">
        <v>19022</v>
      </c>
      <c r="AD6030" s="464">
        <v>122.07167</v>
      </c>
      <c r="AE6030" s="465">
        <v>5.8720999999999997</v>
      </c>
      <c r="AF6030" s="86">
        <f>IF(verze!$E$1="CZK",AD6030,IF(verze!$E$1="SK",AE6030,""))</f>
        <v>5.8720999999999997</v>
      </c>
    </row>
    <row r="6031" spans="27:32" ht="15">
      <c r="AA6031" s="463" t="s">
        <v>19023</v>
      </c>
      <c r="AB6031" s="462" t="s">
        <v>19024</v>
      </c>
      <c r="AC6031" s="462" t="s">
        <v>19025</v>
      </c>
      <c r="AD6031" s="464">
        <v>122.07167</v>
      </c>
      <c r="AE6031" s="465">
        <v>5.8720999999999997</v>
      </c>
      <c r="AF6031" s="86">
        <f>IF(verze!$E$1="CZK",AD6031,IF(verze!$E$1="SK",AE6031,""))</f>
        <v>5.8720999999999997</v>
      </c>
    </row>
    <row r="6032" spans="27:32" ht="15">
      <c r="AA6032" s="463" t="s">
        <v>19026</v>
      </c>
      <c r="AB6032" s="462" t="s">
        <v>19027</v>
      </c>
      <c r="AC6032" s="462" t="s">
        <v>19028</v>
      </c>
      <c r="AD6032" s="464">
        <v>122.30370000000001</v>
      </c>
      <c r="AE6032" s="465">
        <v>5.8832599999999999</v>
      </c>
      <c r="AF6032" s="86">
        <f>IF(verze!$E$1="CZK",AD6032,IF(verze!$E$1="SK",AE6032,""))</f>
        <v>5.8832599999999999</v>
      </c>
    </row>
    <row r="6033" spans="27:32" ht="15">
      <c r="AA6033" s="463" t="s">
        <v>19029</v>
      </c>
      <c r="AB6033" s="462" t="s">
        <v>19030</v>
      </c>
      <c r="AC6033" s="462" t="s">
        <v>19031</v>
      </c>
      <c r="AD6033" s="464">
        <v>122.30370000000001</v>
      </c>
      <c r="AE6033" s="465">
        <v>5.8832599999999999</v>
      </c>
      <c r="AF6033" s="86">
        <f>IF(verze!$E$1="CZK",AD6033,IF(verze!$E$1="SK",AE6033,""))</f>
        <v>5.8832599999999999</v>
      </c>
    </row>
    <row r="6034" spans="27:32" ht="15">
      <c r="AA6034" s="463" t="s">
        <v>19032</v>
      </c>
      <c r="AB6034" s="462" t="s">
        <v>19033</v>
      </c>
      <c r="AC6034" s="462" t="s">
        <v>19034</v>
      </c>
      <c r="AD6034" s="464">
        <v>123.24245999999999</v>
      </c>
      <c r="AE6034" s="465">
        <v>5.9284100000000004</v>
      </c>
      <c r="AF6034" s="86">
        <f>IF(verze!$E$1="CZK",AD6034,IF(verze!$E$1="SK",AE6034,""))</f>
        <v>5.9284100000000004</v>
      </c>
    </row>
    <row r="6035" spans="27:32" ht="15">
      <c r="AA6035" s="463" t="s">
        <v>19035</v>
      </c>
      <c r="AB6035" s="462" t="s">
        <v>19036</v>
      </c>
      <c r="AC6035" s="462" t="s">
        <v>19037</v>
      </c>
      <c r="AD6035" s="464">
        <v>123.24245999999999</v>
      </c>
      <c r="AE6035" s="465">
        <v>5.9284100000000004</v>
      </c>
      <c r="AF6035" s="86">
        <f>IF(verze!$E$1="CZK",AD6035,IF(verze!$E$1="SK",AE6035,""))</f>
        <v>5.9284100000000004</v>
      </c>
    </row>
    <row r="6036" spans="27:32" ht="15">
      <c r="AA6036" s="463" t="s">
        <v>19038</v>
      </c>
      <c r="AB6036" s="462" t="s">
        <v>19039</v>
      </c>
      <c r="AC6036" s="462" t="s">
        <v>19040</v>
      </c>
      <c r="AD6036" s="464">
        <v>124.65325</v>
      </c>
      <c r="AE6036" s="465">
        <v>5.9962799999999996</v>
      </c>
      <c r="AF6036" s="86">
        <f>IF(verze!$E$1="CZK",AD6036,IF(verze!$E$1="SK",AE6036,""))</f>
        <v>5.9962799999999996</v>
      </c>
    </row>
    <row r="6037" spans="27:32" ht="15">
      <c r="AA6037" s="463" t="s">
        <v>19041</v>
      </c>
      <c r="AB6037" s="462" t="s">
        <v>19042</v>
      </c>
      <c r="AC6037" s="462" t="s">
        <v>19043</v>
      </c>
      <c r="AD6037" s="464">
        <v>124.65325</v>
      </c>
      <c r="AE6037" s="465">
        <v>5.9962799999999996</v>
      </c>
      <c r="AF6037" s="86">
        <f>IF(verze!$E$1="CZK",AD6037,IF(verze!$E$1="SK",AE6037,""))</f>
        <v>5.9962799999999996</v>
      </c>
    </row>
    <row r="6038" spans="27:32" ht="15">
      <c r="AA6038" s="463" t="s">
        <v>19044</v>
      </c>
      <c r="AB6038" s="462" t="s">
        <v>19045</v>
      </c>
      <c r="AC6038" s="462" t="s">
        <v>19046</v>
      </c>
      <c r="AD6038" s="464">
        <v>126.06135</v>
      </c>
      <c r="AE6038" s="465">
        <v>6.0640000000000001</v>
      </c>
      <c r="AF6038" s="86">
        <f>IF(verze!$E$1="CZK",AD6038,IF(verze!$E$1="SK",AE6038,""))</f>
        <v>6.0640000000000001</v>
      </c>
    </row>
    <row r="6039" spans="27:32" ht="15">
      <c r="AA6039" s="463" t="s">
        <v>19047</v>
      </c>
      <c r="AB6039" s="462" t="s">
        <v>19048</v>
      </c>
      <c r="AC6039" s="462" t="s">
        <v>19049</v>
      </c>
      <c r="AD6039" s="464">
        <v>126.06135</v>
      </c>
      <c r="AE6039" s="465">
        <v>6.0640000000000001</v>
      </c>
      <c r="AF6039" s="86">
        <f>IF(verze!$E$1="CZK",AD6039,IF(verze!$E$1="SK",AE6039,""))</f>
        <v>6.0640000000000001</v>
      </c>
    </row>
    <row r="6040" spans="27:32" ht="15">
      <c r="AA6040" s="463" t="s">
        <v>19050</v>
      </c>
      <c r="AB6040" s="462" t="s">
        <v>19051</v>
      </c>
      <c r="AC6040" s="462" t="s">
        <v>19052</v>
      </c>
      <c r="AD6040" s="464">
        <v>127.00013</v>
      </c>
      <c r="AE6040" s="465">
        <v>6.1091699999999998</v>
      </c>
      <c r="AF6040" s="86">
        <f>IF(verze!$E$1="CZK",AD6040,IF(verze!$E$1="SK",AE6040,""))</f>
        <v>6.1091699999999998</v>
      </c>
    </row>
    <row r="6041" spans="27:32" ht="15">
      <c r="AA6041" s="463" t="s">
        <v>19053</v>
      </c>
      <c r="AB6041" s="462" t="s">
        <v>19054</v>
      </c>
      <c r="AC6041" s="462" t="s">
        <v>19055</v>
      </c>
      <c r="AD6041" s="464">
        <v>127.00013</v>
      </c>
      <c r="AE6041" s="465">
        <v>6.1091699999999998</v>
      </c>
      <c r="AF6041" s="86">
        <f>IF(verze!$E$1="CZK",AD6041,IF(verze!$E$1="SK",AE6041,""))</f>
        <v>6.1091699999999998</v>
      </c>
    </row>
    <row r="6042" spans="27:32" ht="15">
      <c r="AA6042" s="463" t="s">
        <v>19056</v>
      </c>
      <c r="AB6042" s="462" t="s">
        <v>19057</v>
      </c>
      <c r="AC6042" s="462" t="s">
        <v>19058</v>
      </c>
      <c r="AD6042" s="464">
        <v>127.9362</v>
      </c>
      <c r="AE6042" s="465">
        <v>6.1541800000000002</v>
      </c>
      <c r="AF6042" s="86">
        <f>IF(verze!$E$1="CZK",AD6042,IF(verze!$E$1="SK",AE6042,""))</f>
        <v>6.1541800000000002</v>
      </c>
    </row>
    <row r="6043" spans="27:32" ht="15">
      <c r="AA6043" s="463" t="s">
        <v>19059</v>
      </c>
      <c r="AB6043" s="462" t="s">
        <v>19060</v>
      </c>
      <c r="AC6043" s="462" t="s">
        <v>19061</v>
      </c>
      <c r="AD6043" s="464">
        <v>127.9362</v>
      </c>
      <c r="AE6043" s="465">
        <v>6.1541800000000002</v>
      </c>
      <c r="AF6043" s="86">
        <f>IF(verze!$E$1="CZK",AD6043,IF(verze!$E$1="SK",AE6043,""))</f>
        <v>6.1541800000000002</v>
      </c>
    </row>
    <row r="6044" spans="27:32" ht="15">
      <c r="AA6044" s="463" t="s">
        <v>19062</v>
      </c>
      <c r="AB6044" s="462" t="s">
        <v>19063</v>
      </c>
      <c r="AC6044" s="462" t="s">
        <v>19064</v>
      </c>
      <c r="AD6044" s="464">
        <v>129.3443</v>
      </c>
      <c r="AE6044" s="465">
        <v>6.2219199999999999</v>
      </c>
      <c r="AF6044" s="86">
        <f>IF(verze!$E$1="CZK",AD6044,IF(verze!$E$1="SK",AE6044,""))</f>
        <v>6.2219199999999999</v>
      </c>
    </row>
    <row r="6045" spans="27:32" ht="15">
      <c r="AA6045" s="463" t="s">
        <v>19065</v>
      </c>
      <c r="AB6045" s="462" t="s">
        <v>19066</v>
      </c>
      <c r="AC6045" s="462" t="s">
        <v>19067</v>
      </c>
      <c r="AD6045" s="464">
        <v>129.3443</v>
      </c>
      <c r="AE6045" s="465">
        <v>6.2219199999999999</v>
      </c>
      <c r="AF6045" s="86">
        <f>IF(verze!$E$1="CZK",AD6045,IF(verze!$E$1="SK",AE6045,""))</f>
        <v>6.2219199999999999</v>
      </c>
    </row>
    <row r="6046" spans="27:32" ht="15">
      <c r="AA6046" s="463" t="s">
        <v>19068</v>
      </c>
      <c r="AB6046" s="462" t="s">
        <v>19069</v>
      </c>
      <c r="AC6046" s="462" t="s">
        <v>19070</v>
      </c>
      <c r="AD6046" s="464">
        <v>130.75239999999999</v>
      </c>
      <c r="AE6046" s="465">
        <v>6.2896700000000001</v>
      </c>
      <c r="AF6046" s="86">
        <f>IF(verze!$E$1="CZK",AD6046,IF(verze!$E$1="SK",AE6046,""))</f>
        <v>6.2896700000000001</v>
      </c>
    </row>
    <row r="6047" spans="27:32" ht="15">
      <c r="AA6047" s="463" t="s">
        <v>19071</v>
      </c>
      <c r="AB6047" s="462" t="s">
        <v>19072</v>
      </c>
      <c r="AC6047" s="462" t="s">
        <v>19073</v>
      </c>
      <c r="AD6047" s="464">
        <v>130.75239999999999</v>
      </c>
      <c r="AE6047" s="465">
        <v>6.2896700000000001</v>
      </c>
      <c r="AF6047" s="86">
        <f>IF(verze!$E$1="CZK",AD6047,IF(verze!$E$1="SK",AE6047,""))</f>
        <v>6.2896700000000001</v>
      </c>
    </row>
    <row r="6048" spans="27:32" ht="15">
      <c r="AA6048" s="463" t="s">
        <v>19074</v>
      </c>
      <c r="AB6048" s="462" t="s">
        <v>19075</v>
      </c>
      <c r="AC6048" s="462" t="s">
        <v>19076</v>
      </c>
      <c r="AD6048" s="464">
        <v>131.69387</v>
      </c>
      <c r="AE6048" s="465">
        <v>6.3349399999999996</v>
      </c>
      <c r="AF6048" s="86">
        <f>IF(verze!$E$1="CZK",AD6048,IF(verze!$E$1="SK",AE6048,""))</f>
        <v>6.3349399999999996</v>
      </c>
    </row>
    <row r="6049" spans="27:32" ht="15">
      <c r="AA6049" s="463" t="s">
        <v>19077</v>
      </c>
      <c r="AB6049" s="462" t="s">
        <v>19078</v>
      </c>
      <c r="AC6049" s="462" t="s">
        <v>19079</v>
      </c>
      <c r="AD6049" s="464">
        <v>131.69387</v>
      </c>
      <c r="AE6049" s="465">
        <v>6.3349399999999996</v>
      </c>
      <c r="AF6049" s="86">
        <f>IF(verze!$E$1="CZK",AD6049,IF(verze!$E$1="SK",AE6049,""))</f>
        <v>6.3349399999999996</v>
      </c>
    </row>
    <row r="6050" spans="27:32" ht="15">
      <c r="AA6050" s="463" t="s">
        <v>19080</v>
      </c>
      <c r="AB6050" s="462" t="s">
        <v>19081</v>
      </c>
      <c r="AC6050" s="462" t="s">
        <v>19082</v>
      </c>
      <c r="AD6050" s="464">
        <v>132.63522</v>
      </c>
      <c r="AE6050" s="465">
        <v>6.3802199999999996</v>
      </c>
      <c r="AF6050" s="86">
        <f>IF(verze!$E$1="CZK",AD6050,IF(verze!$E$1="SK",AE6050,""))</f>
        <v>6.3802199999999996</v>
      </c>
    </row>
    <row r="6051" spans="27:32" ht="15">
      <c r="AA6051" s="463" t="s">
        <v>19083</v>
      </c>
      <c r="AB6051" s="462" t="s">
        <v>19084</v>
      </c>
      <c r="AC6051" s="462" t="s">
        <v>19085</v>
      </c>
      <c r="AD6051" s="464">
        <v>132.63522</v>
      </c>
      <c r="AE6051" s="465">
        <v>6.3802199999999996</v>
      </c>
      <c r="AF6051" s="86">
        <f>IF(verze!$E$1="CZK",AD6051,IF(verze!$E$1="SK",AE6051,""))</f>
        <v>6.3802199999999996</v>
      </c>
    </row>
    <row r="6052" spans="27:32" ht="15">
      <c r="AA6052" s="463" t="s">
        <v>19086</v>
      </c>
      <c r="AB6052" s="462" t="s">
        <v>19087</v>
      </c>
      <c r="AC6052" s="462" t="s">
        <v>19088</v>
      </c>
      <c r="AD6052" s="464">
        <v>134.04073</v>
      </c>
      <c r="AE6052" s="465">
        <v>6.4478400000000002</v>
      </c>
      <c r="AF6052" s="86">
        <f>IF(verze!$E$1="CZK",AD6052,IF(verze!$E$1="SK",AE6052,""))</f>
        <v>6.4478400000000002</v>
      </c>
    </row>
    <row r="6053" spans="27:32" ht="15">
      <c r="AA6053" s="463" t="s">
        <v>19089</v>
      </c>
      <c r="AB6053" s="462" t="s">
        <v>19090</v>
      </c>
      <c r="AC6053" s="462" t="s">
        <v>19091</v>
      </c>
      <c r="AD6053" s="464">
        <v>134.04073</v>
      </c>
      <c r="AE6053" s="465">
        <v>6.4478400000000002</v>
      </c>
      <c r="AF6053" s="86">
        <f>IF(verze!$E$1="CZK",AD6053,IF(verze!$E$1="SK",AE6053,""))</f>
        <v>6.4478400000000002</v>
      </c>
    </row>
    <row r="6054" spans="27:32" ht="15">
      <c r="AA6054" s="463" t="s">
        <v>19092</v>
      </c>
      <c r="AB6054" s="462" t="s">
        <v>19093</v>
      </c>
      <c r="AC6054" s="462" t="s">
        <v>19094</v>
      </c>
      <c r="AD6054" s="464">
        <v>7.4258499999999996</v>
      </c>
      <c r="AE6054" s="465">
        <v>0.30456</v>
      </c>
      <c r="AF6054" s="86">
        <f>IF(verze!$E$1="CZK",AD6054,IF(verze!$E$1="SK",AE6054,""))</f>
        <v>0.30456</v>
      </c>
    </row>
    <row r="6055" spans="27:32" ht="15">
      <c r="AA6055" s="463" t="s">
        <v>19095</v>
      </c>
      <c r="AB6055" s="462" t="s">
        <v>19096</v>
      </c>
      <c r="AC6055" s="462" t="s">
        <v>19097</v>
      </c>
      <c r="AD6055" s="464">
        <v>122.77314</v>
      </c>
      <c r="AE6055" s="465">
        <v>5.90585</v>
      </c>
      <c r="AF6055" s="86">
        <f>IF(verze!$E$1="CZK",AD6055,IF(verze!$E$1="SK",AE6055,""))</f>
        <v>5.90585</v>
      </c>
    </row>
    <row r="6056" spans="27:32" ht="15">
      <c r="AA6056" s="463" t="s">
        <v>19098</v>
      </c>
      <c r="AB6056" s="462" t="s">
        <v>19099</v>
      </c>
      <c r="AC6056" s="462" t="s">
        <v>19100</v>
      </c>
      <c r="AD6056" s="464">
        <v>43.355730000000001</v>
      </c>
      <c r="AE6056" s="465">
        <v>2.0855700000000001</v>
      </c>
      <c r="AF6056" s="86">
        <f>IF(verze!$E$1="CZK",AD6056,IF(verze!$E$1="SK",AE6056,""))</f>
        <v>2.0855700000000001</v>
      </c>
    </row>
    <row r="6057" spans="27:32" ht="15">
      <c r="AA6057" s="463" t="s">
        <v>19101</v>
      </c>
      <c r="AB6057" s="462" t="s">
        <v>19102</v>
      </c>
      <c r="AC6057" s="462" t="s">
        <v>19103</v>
      </c>
      <c r="AD6057" s="464">
        <v>43.355730000000001</v>
      </c>
      <c r="AE6057" s="465">
        <v>2.0855700000000001</v>
      </c>
      <c r="AF6057" s="86">
        <f>IF(verze!$E$1="CZK",AD6057,IF(verze!$E$1="SK",AE6057,""))</f>
        <v>2.0855700000000001</v>
      </c>
    </row>
    <row r="6058" spans="27:32" ht="15">
      <c r="AA6058" s="463" t="s">
        <v>19104</v>
      </c>
      <c r="AB6058" s="462" t="s">
        <v>19105</v>
      </c>
      <c r="AC6058" s="462" t="s">
        <v>19106</v>
      </c>
      <c r="AD6058" s="464">
        <v>122.91923</v>
      </c>
      <c r="AE6058" s="465">
        <v>5.9128400000000001</v>
      </c>
      <c r="AF6058" s="86">
        <f>IF(verze!$E$1="CZK",AD6058,IF(verze!$E$1="SK",AE6058,""))</f>
        <v>5.9128400000000001</v>
      </c>
    </row>
    <row r="6059" spans="27:32" ht="15">
      <c r="AA6059" s="463" t="s">
        <v>19107</v>
      </c>
      <c r="AB6059" s="462" t="s">
        <v>19108</v>
      </c>
      <c r="AC6059" s="462" t="s">
        <v>19109</v>
      </c>
      <c r="AD6059" s="464">
        <v>45.231819999999999</v>
      </c>
      <c r="AE6059" s="465">
        <v>2.1758099999999998</v>
      </c>
      <c r="AF6059" s="86">
        <f>IF(verze!$E$1="CZK",AD6059,IF(verze!$E$1="SK",AE6059,""))</f>
        <v>2.1758099999999998</v>
      </c>
    </row>
    <row r="6060" spans="27:32" ht="15">
      <c r="AA6060" s="463" t="s">
        <v>19110</v>
      </c>
      <c r="AB6060" s="462" t="s">
        <v>19111</v>
      </c>
      <c r="AC6060" s="462" t="s">
        <v>19112</v>
      </c>
      <c r="AD6060" s="464">
        <v>45.231819999999999</v>
      </c>
      <c r="AE6060" s="465">
        <v>2.1758099999999998</v>
      </c>
      <c r="AF6060" s="86">
        <f>IF(verze!$E$1="CZK",AD6060,IF(verze!$E$1="SK",AE6060,""))</f>
        <v>2.1758099999999998</v>
      </c>
    </row>
    <row r="6061" spans="27:32" ht="15">
      <c r="AA6061" s="463" t="s">
        <v>19113</v>
      </c>
      <c r="AB6061" s="462" t="s">
        <v>19114</v>
      </c>
      <c r="AC6061" s="462" t="s">
        <v>19115</v>
      </c>
      <c r="AD6061" s="464">
        <v>987.08844999999997</v>
      </c>
      <c r="AE6061" s="465">
        <v>47.482509999999998</v>
      </c>
      <c r="AF6061" s="86">
        <f>IF(verze!$E$1="CZK",AD6061,IF(verze!$E$1="SK",AE6061,""))</f>
        <v>47.482509999999998</v>
      </c>
    </row>
    <row r="6062" spans="27:32" ht="15">
      <c r="AA6062" s="463" t="s">
        <v>19116</v>
      </c>
      <c r="AB6062" s="462" t="s">
        <v>19117</v>
      </c>
      <c r="AC6062" s="462" t="s">
        <v>19118</v>
      </c>
      <c r="AD6062" s="464">
        <v>987.08844999999997</v>
      </c>
      <c r="AE6062" s="465">
        <v>47.482509999999998</v>
      </c>
      <c r="AF6062" s="86">
        <f>IF(verze!$E$1="CZK",AD6062,IF(verze!$E$1="SK",AE6062,""))</f>
        <v>47.482509999999998</v>
      </c>
    </row>
    <row r="6063" spans="27:32" ht="15">
      <c r="AA6063" s="463" t="s">
        <v>19119</v>
      </c>
      <c r="AB6063" s="462" t="s">
        <v>19120</v>
      </c>
      <c r="AC6063" s="462" t="s">
        <v>19121</v>
      </c>
      <c r="AD6063" s="464">
        <v>988.44217000000003</v>
      </c>
      <c r="AE6063" s="465">
        <v>47.547649999999997</v>
      </c>
      <c r="AF6063" s="86">
        <f>IF(verze!$E$1="CZK",AD6063,IF(verze!$E$1="SK",AE6063,""))</f>
        <v>47.547649999999997</v>
      </c>
    </row>
    <row r="6064" spans="27:32" ht="15">
      <c r="AA6064" s="463" t="s">
        <v>19122</v>
      </c>
      <c r="AB6064" s="462" t="s">
        <v>19123</v>
      </c>
      <c r="AC6064" s="462" t="s">
        <v>19124</v>
      </c>
      <c r="AD6064" s="464">
        <v>988.44217000000003</v>
      </c>
      <c r="AE6064" s="465">
        <v>47.547649999999997</v>
      </c>
      <c r="AF6064" s="86">
        <f>IF(verze!$E$1="CZK",AD6064,IF(verze!$E$1="SK",AE6064,""))</f>
        <v>47.547649999999997</v>
      </c>
    </row>
    <row r="6065" spans="27:32" ht="15">
      <c r="AA6065" s="463" t="s">
        <v>19125</v>
      </c>
      <c r="AB6065" s="462" t="s">
        <v>19126</v>
      </c>
      <c r="AC6065" s="462" t="s">
        <v>19127</v>
      </c>
      <c r="AD6065" s="464">
        <v>988.44217000000003</v>
      </c>
      <c r="AE6065" s="465">
        <v>47.547649999999997</v>
      </c>
      <c r="AF6065" s="86">
        <f>IF(verze!$E$1="CZK",AD6065,IF(verze!$E$1="SK",AE6065,""))</f>
        <v>47.547649999999997</v>
      </c>
    </row>
    <row r="6066" spans="27:32" ht="15">
      <c r="AA6066" s="463" t="s">
        <v>19128</v>
      </c>
      <c r="AB6066" s="462" t="s">
        <v>19129</v>
      </c>
      <c r="AC6066" s="462" t="s">
        <v>19130</v>
      </c>
      <c r="AD6066" s="464">
        <v>997.45979</v>
      </c>
      <c r="AE6066" s="465">
        <v>47.981409999999997</v>
      </c>
      <c r="AF6066" s="86">
        <f>IF(verze!$E$1="CZK",AD6066,IF(verze!$E$1="SK",AE6066,""))</f>
        <v>47.981409999999997</v>
      </c>
    </row>
    <row r="6067" spans="27:32" ht="15">
      <c r="AA6067" s="463" t="s">
        <v>19131</v>
      </c>
      <c r="AB6067" s="462" t="s">
        <v>19132</v>
      </c>
      <c r="AC6067" s="462" t="s">
        <v>19133</v>
      </c>
      <c r="AD6067" s="464">
        <v>997.45979</v>
      </c>
      <c r="AE6067" s="465">
        <v>47.981409999999997</v>
      </c>
      <c r="AF6067" s="86">
        <f>IF(verze!$E$1="CZK",AD6067,IF(verze!$E$1="SK",AE6067,""))</f>
        <v>47.981409999999997</v>
      </c>
    </row>
    <row r="6068" spans="27:32" ht="15">
      <c r="AA6068" s="463" t="s">
        <v>19134</v>
      </c>
      <c r="AB6068" s="462" t="s">
        <v>19135</v>
      </c>
      <c r="AC6068" s="462" t="s">
        <v>19136</v>
      </c>
      <c r="AD6068" s="464">
        <v>1006.48691</v>
      </c>
      <c r="AE6068" s="465">
        <v>48.415649999999999</v>
      </c>
      <c r="AF6068" s="86">
        <f>IF(verze!$E$1="CZK",AD6068,IF(verze!$E$1="SK",AE6068,""))</f>
        <v>48.415649999999999</v>
      </c>
    </row>
    <row r="6069" spans="27:32" ht="15">
      <c r="AA6069" s="463" t="s">
        <v>19137</v>
      </c>
      <c r="AB6069" s="462" t="s">
        <v>19138</v>
      </c>
      <c r="AC6069" s="462" t="s">
        <v>19139</v>
      </c>
      <c r="AD6069" s="464">
        <v>1006.48691</v>
      </c>
      <c r="AE6069" s="465">
        <v>48.415649999999999</v>
      </c>
      <c r="AF6069" s="86">
        <f>IF(verze!$E$1="CZK",AD6069,IF(verze!$E$1="SK",AE6069,""))</f>
        <v>48.415649999999999</v>
      </c>
    </row>
    <row r="6070" spans="27:32" ht="15">
      <c r="AA6070" s="463" t="s">
        <v>19140</v>
      </c>
      <c r="AB6070" s="462" t="s">
        <v>19141</v>
      </c>
      <c r="AC6070" s="462" t="s">
        <v>19142</v>
      </c>
      <c r="AD6070" s="464">
        <v>1015.5069099999999</v>
      </c>
      <c r="AE6070" s="465">
        <v>48.849550000000001</v>
      </c>
      <c r="AF6070" s="86">
        <f>IF(verze!$E$1="CZK",AD6070,IF(verze!$E$1="SK",AE6070,""))</f>
        <v>48.849550000000001</v>
      </c>
    </row>
    <row r="6071" spans="27:32" ht="15">
      <c r="AA6071" s="463" t="s">
        <v>19143</v>
      </c>
      <c r="AB6071" s="462" t="s">
        <v>19144</v>
      </c>
      <c r="AC6071" s="462" t="s">
        <v>19145</v>
      </c>
      <c r="AD6071" s="464">
        <v>1015.5069099999999</v>
      </c>
      <c r="AE6071" s="465">
        <v>48.849550000000001</v>
      </c>
      <c r="AF6071" s="86">
        <f>IF(verze!$E$1="CZK",AD6071,IF(verze!$E$1="SK",AE6071,""))</f>
        <v>48.849550000000001</v>
      </c>
    </row>
    <row r="6072" spans="27:32" ht="15">
      <c r="AA6072" s="463" t="s">
        <v>19146</v>
      </c>
      <c r="AB6072" s="462" t="s">
        <v>19147</v>
      </c>
      <c r="AC6072" s="462" t="s">
        <v>19148</v>
      </c>
      <c r="AD6072" s="464">
        <v>1069.63391</v>
      </c>
      <c r="AE6072" s="465">
        <v>51.45326</v>
      </c>
      <c r="AF6072" s="86">
        <f>IF(verze!$E$1="CZK",AD6072,IF(verze!$E$1="SK",AE6072,""))</f>
        <v>51.45326</v>
      </c>
    </row>
    <row r="6073" spans="27:32" ht="15">
      <c r="AA6073" s="463" t="s">
        <v>19149</v>
      </c>
      <c r="AB6073" s="462" t="s">
        <v>19150</v>
      </c>
      <c r="AC6073" s="462" t="s">
        <v>19151</v>
      </c>
      <c r="AD6073" s="464">
        <v>1069.63391</v>
      </c>
      <c r="AE6073" s="465">
        <v>51.45326</v>
      </c>
      <c r="AF6073" s="86">
        <f>IF(verze!$E$1="CZK",AD6073,IF(verze!$E$1="SK",AE6073,""))</f>
        <v>51.45326</v>
      </c>
    </row>
    <row r="6074" spans="27:32" ht="15">
      <c r="AA6074" s="463" t="s">
        <v>19152</v>
      </c>
      <c r="AB6074" s="462" t="s">
        <v>19153</v>
      </c>
      <c r="AC6074" s="462" t="s">
        <v>19154</v>
      </c>
      <c r="AD6074" s="464">
        <v>1177.89744</v>
      </c>
      <c r="AE6074" s="465">
        <v>56.66113</v>
      </c>
      <c r="AF6074" s="86">
        <f>IF(verze!$E$1="CZK",AD6074,IF(verze!$E$1="SK",AE6074,""))</f>
        <v>56.66113</v>
      </c>
    </row>
    <row r="6075" spans="27:32" ht="15">
      <c r="AA6075" s="463" t="s">
        <v>19155</v>
      </c>
      <c r="AB6075" s="462" t="s">
        <v>19156</v>
      </c>
      <c r="AC6075" s="462" t="s">
        <v>19157</v>
      </c>
      <c r="AD6075" s="464">
        <v>1186.91506</v>
      </c>
      <c r="AE6075" s="465">
        <v>57.094880000000003</v>
      </c>
      <c r="AF6075" s="86">
        <f>IF(verze!$E$1="CZK",AD6075,IF(verze!$E$1="SK",AE6075,""))</f>
        <v>57.094880000000003</v>
      </c>
    </row>
    <row r="6076" spans="27:32" ht="15">
      <c r="AA6076" s="463" t="s">
        <v>19158</v>
      </c>
      <c r="AB6076" s="462" t="s">
        <v>19159</v>
      </c>
      <c r="AC6076" s="462" t="s">
        <v>19160</v>
      </c>
      <c r="AD6076" s="464">
        <v>1195.9398200000001</v>
      </c>
      <c r="AE6076" s="465">
        <v>57.529040000000002</v>
      </c>
      <c r="AF6076" s="86">
        <f>IF(verze!$E$1="CZK",AD6076,IF(verze!$E$1="SK",AE6076,""))</f>
        <v>57.529040000000002</v>
      </c>
    </row>
    <row r="6077" spans="27:32" ht="15">
      <c r="AA6077" s="463" t="s">
        <v>19161</v>
      </c>
      <c r="AB6077" s="462" t="s">
        <v>19162</v>
      </c>
      <c r="AC6077" s="462" t="s">
        <v>19163</v>
      </c>
      <c r="AD6077" s="464">
        <v>1250.06682</v>
      </c>
      <c r="AE6077" s="465">
        <v>60.132719999999999</v>
      </c>
      <c r="AF6077" s="86">
        <f>IF(verze!$E$1="CZK",AD6077,IF(verze!$E$1="SK",AE6077,""))</f>
        <v>60.132719999999999</v>
      </c>
    </row>
    <row r="6078" spans="27:32" ht="15">
      <c r="AA6078" s="463" t="s">
        <v>19164</v>
      </c>
      <c r="AB6078" s="462" t="s">
        <v>19165</v>
      </c>
      <c r="AC6078" s="462" t="s">
        <v>19166</v>
      </c>
      <c r="AD6078" s="464">
        <v>1250.06682</v>
      </c>
      <c r="AE6078" s="465">
        <v>60.132719999999999</v>
      </c>
      <c r="AF6078" s="86">
        <f>IF(verze!$E$1="CZK",AD6078,IF(verze!$E$1="SK",AE6078,""))</f>
        <v>60.132719999999999</v>
      </c>
    </row>
    <row r="6079" spans="27:32" ht="15">
      <c r="AA6079" s="463" t="s">
        <v>19167</v>
      </c>
      <c r="AB6079" s="462" t="s">
        <v>19168</v>
      </c>
      <c r="AC6079" s="462" t="s">
        <v>19169</v>
      </c>
      <c r="AD6079" s="464">
        <v>1304.1938299999999</v>
      </c>
      <c r="AE6079" s="465">
        <v>62.736429999999999</v>
      </c>
      <c r="AF6079" s="86">
        <f>IF(verze!$E$1="CZK",AD6079,IF(verze!$E$1="SK",AE6079,""))</f>
        <v>62.736429999999999</v>
      </c>
    </row>
    <row r="6080" spans="27:32" ht="15">
      <c r="AA6080" s="463" t="s">
        <v>19170</v>
      </c>
      <c r="AB6080" s="462" t="s">
        <v>19171</v>
      </c>
      <c r="AC6080" s="462" t="s">
        <v>19172</v>
      </c>
      <c r="AD6080" s="464">
        <v>1358.3208299999999</v>
      </c>
      <c r="AE6080" s="465">
        <v>65.340140000000005</v>
      </c>
      <c r="AF6080" s="86">
        <f>IF(verze!$E$1="CZK",AD6080,IF(verze!$E$1="SK",AE6080,""))</f>
        <v>65.340140000000005</v>
      </c>
    </row>
    <row r="6081" spans="27:32" ht="15">
      <c r="AA6081" s="463" t="s">
        <v>19173</v>
      </c>
      <c r="AB6081" s="462" t="s">
        <v>19174</v>
      </c>
      <c r="AC6081" s="462" t="s">
        <v>19175</v>
      </c>
      <c r="AD6081" s="464">
        <v>1412.4525900000001</v>
      </c>
      <c r="AE6081" s="465">
        <v>67.944069999999996</v>
      </c>
      <c r="AF6081" s="86">
        <f>IF(verze!$E$1="CZK",AD6081,IF(verze!$E$1="SK",AE6081,""))</f>
        <v>67.944069999999996</v>
      </c>
    </row>
    <row r="6082" spans="27:32" ht="15">
      <c r="AA6082" s="463" t="s">
        <v>19176</v>
      </c>
      <c r="AB6082" s="462" t="s">
        <v>19177</v>
      </c>
      <c r="AC6082" s="462" t="s">
        <v>19178</v>
      </c>
      <c r="AD6082" s="464">
        <v>1520.7089699999999</v>
      </c>
      <c r="AE6082" s="465">
        <v>73.151589999999999</v>
      </c>
      <c r="AF6082" s="86">
        <f>IF(verze!$E$1="CZK",AD6082,IF(verze!$E$1="SK",AE6082,""))</f>
        <v>73.151589999999999</v>
      </c>
    </row>
    <row r="6083" spans="27:32" ht="15">
      <c r="AA6083" s="463" t="s">
        <v>19179</v>
      </c>
      <c r="AB6083" s="462" t="s">
        <v>19180</v>
      </c>
      <c r="AC6083" s="462" t="s">
        <v>19181</v>
      </c>
      <c r="AD6083" s="464">
        <v>1628.96774</v>
      </c>
      <c r="AE6083" s="465">
        <v>78.359229999999997</v>
      </c>
      <c r="AF6083" s="86">
        <f>IF(verze!$E$1="CZK",AD6083,IF(verze!$E$1="SK",AE6083,""))</f>
        <v>78.359229999999997</v>
      </c>
    </row>
    <row r="6084" spans="27:32" ht="15">
      <c r="AA6084" s="463" t="s">
        <v>19182</v>
      </c>
      <c r="AB6084" s="462" t="s">
        <v>19183</v>
      </c>
      <c r="AC6084" s="462" t="s">
        <v>19184</v>
      </c>
      <c r="AD6084" s="464">
        <v>5.2356699999999998</v>
      </c>
      <c r="AE6084" s="465">
        <v>0.23985999999999999</v>
      </c>
      <c r="AF6084" s="86">
        <f>IF(verze!$E$1="CZK",AD6084,IF(verze!$E$1="SK",AE6084,""))</f>
        <v>0.23985999999999999</v>
      </c>
    </row>
    <row r="6085" spans="27:32" ht="15">
      <c r="AA6085" s="463" t="s">
        <v>19185</v>
      </c>
      <c r="AB6085" s="462" t="s">
        <v>19186</v>
      </c>
      <c r="AC6085" s="462" t="s">
        <v>19187</v>
      </c>
      <c r="AD6085" s="464">
        <v>27.678529999999999</v>
      </c>
      <c r="AE6085" s="465">
        <v>1.33144</v>
      </c>
      <c r="AF6085" s="86">
        <f>IF(verze!$E$1="CZK",AD6085,IF(verze!$E$1="SK",AE6085,""))</f>
        <v>1.33144</v>
      </c>
    </row>
    <row r="6086" spans="27:32" ht="15">
      <c r="AA6086" s="463" t="s">
        <v>19188</v>
      </c>
      <c r="AB6086" s="462" t="s">
        <v>19189</v>
      </c>
      <c r="AC6086" s="462" t="s">
        <v>19190</v>
      </c>
      <c r="AD6086" s="464">
        <v>1070.16509</v>
      </c>
      <c r="AE6086" s="465">
        <v>43.088830000000002</v>
      </c>
      <c r="AF6086" s="86">
        <f>IF(verze!$E$1="CZK",AD6086,IF(verze!$E$1="SK",AE6086,""))</f>
        <v>43.088830000000002</v>
      </c>
    </row>
    <row r="6087" spans="27:32" ht="15">
      <c r="AA6087" s="463" t="s">
        <v>19191</v>
      </c>
      <c r="AB6087" s="462" t="s">
        <v>19192</v>
      </c>
      <c r="AC6087" s="462" t="s">
        <v>19193</v>
      </c>
      <c r="AD6087" s="464">
        <v>2481.2819399999998</v>
      </c>
      <c r="AE6087" s="465">
        <v>99.905609999999996</v>
      </c>
      <c r="AF6087" s="86">
        <f>IF(verze!$E$1="CZK",AD6087,IF(verze!$E$1="SK",AE6087,""))</f>
        <v>99.905609999999996</v>
      </c>
    </row>
    <row r="6088" spans="27:32" ht="15">
      <c r="AA6088" s="463" t="s">
        <v>19194</v>
      </c>
      <c r="AB6088" s="462" t="s">
        <v>19195</v>
      </c>
      <c r="AC6088" s="462" t="s">
        <v>19196</v>
      </c>
      <c r="AD6088" s="464">
        <v>1789.57473</v>
      </c>
      <c r="AE6088" s="465">
        <v>72.054919999999996</v>
      </c>
      <c r="AF6088" s="86">
        <f>IF(verze!$E$1="CZK",AD6088,IF(verze!$E$1="SK",AE6088,""))</f>
        <v>72.054919999999996</v>
      </c>
    </row>
    <row r="6089" spans="27:32" ht="15">
      <c r="AA6089" s="463" t="s">
        <v>19197</v>
      </c>
      <c r="AB6089" s="462" t="s">
        <v>19198</v>
      </c>
      <c r="AC6089" s="462" t="s">
        <v>19199</v>
      </c>
      <c r="AD6089" s="464">
        <v>3082.3063099999999</v>
      </c>
      <c r="AE6089" s="465">
        <v>123.30759999999999</v>
      </c>
      <c r="AF6089" s="86">
        <f>IF(verze!$E$1="CZK",AD6089,IF(verze!$E$1="SK",AE6089,""))</f>
        <v>123.30759999999999</v>
      </c>
    </row>
    <row r="6090" spans="27:32" ht="15">
      <c r="AA6090" s="463" t="s">
        <v>19200</v>
      </c>
      <c r="AB6090" s="462" t="s">
        <v>19201</v>
      </c>
      <c r="AC6090" s="462" t="s">
        <v>19202</v>
      </c>
      <c r="AD6090" s="464">
        <v>818.46942999999999</v>
      </c>
      <c r="AE6090" s="465">
        <v>37.496519999999997</v>
      </c>
      <c r="AF6090" s="86">
        <f>IF(verze!$E$1="CZK",AD6090,IF(verze!$E$1="SK",AE6090,""))</f>
        <v>37.496519999999997</v>
      </c>
    </row>
    <row r="6091" spans="27:32" ht="15">
      <c r="AA6091" s="463" t="s">
        <v>19203</v>
      </c>
      <c r="AB6091" s="462" t="s">
        <v>19204</v>
      </c>
      <c r="AC6091" s="462" t="s">
        <v>19205</v>
      </c>
      <c r="AD6091" s="464">
        <v>887.73159999999996</v>
      </c>
      <c r="AE6091" s="465">
        <v>0</v>
      </c>
      <c r="AF6091" s="86">
        <f>IF(verze!$E$1="CZK",AD6091,IF(verze!$E$1="SK",AE6091,""))</f>
        <v>0</v>
      </c>
    </row>
    <row r="6092" spans="27:32" ht="15">
      <c r="AA6092" s="463" t="s">
        <v>19206</v>
      </c>
      <c r="AB6092" s="462" t="s">
        <v>19207</v>
      </c>
      <c r="AC6092" s="462" t="s">
        <v>19208</v>
      </c>
      <c r="AD6092" s="464">
        <v>162.46218999999999</v>
      </c>
      <c r="AE6092" s="465">
        <v>7.4428799999999997</v>
      </c>
      <c r="AF6092" s="86">
        <f>IF(verze!$E$1="CZK",AD6092,IF(verze!$E$1="SK",AE6092,""))</f>
        <v>7.4428799999999997</v>
      </c>
    </row>
    <row r="6093" spans="27:32" ht="15">
      <c r="AA6093" s="463" t="s">
        <v>19209</v>
      </c>
      <c r="AB6093" s="462" t="s">
        <v>19210</v>
      </c>
      <c r="AC6093" s="462" t="s">
        <v>19211</v>
      </c>
      <c r="AD6093" s="464">
        <v>144.01221000000001</v>
      </c>
      <c r="AE6093" s="465">
        <v>6.9275200000000003</v>
      </c>
      <c r="AF6093" s="86">
        <f>IF(verze!$E$1="CZK",AD6093,IF(verze!$E$1="SK",AE6093,""))</f>
        <v>6.9275200000000003</v>
      </c>
    </row>
    <row r="6094" spans="27:32" ht="15">
      <c r="AA6094" s="463" t="s">
        <v>19212</v>
      </c>
      <c r="AB6094" s="462" t="s">
        <v>19213</v>
      </c>
      <c r="AC6094" s="462" t="s">
        <v>19214</v>
      </c>
      <c r="AD6094" s="464">
        <v>2466.5612000000001</v>
      </c>
      <c r="AE6094" s="465">
        <v>118.65049999999999</v>
      </c>
      <c r="AF6094" s="86">
        <f>IF(verze!$E$1="CZK",AD6094,IF(verze!$E$1="SK",AE6094,""))</f>
        <v>118.65049999999999</v>
      </c>
    </row>
    <row r="6095" spans="27:32" ht="15">
      <c r="AA6095" s="463" t="s">
        <v>19215</v>
      </c>
      <c r="AB6095" s="462" t="s">
        <v>19216</v>
      </c>
      <c r="AC6095" s="462" t="s">
        <v>19217</v>
      </c>
      <c r="AD6095" s="464">
        <v>2477.7727500000001</v>
      </c>
      <c r="AE6095" s="465">
        <v>119.18980999999999</v>
      </c>
      <c r="AF6095" s="86">
        <f>IF(verze!$E$1="CZK",AD6095,IF(verze!$E$1="SK",AE6095,""))</f>
        <v>119.18980999999999</v>
      </c>
    </row>
    <row r="6096" spans="27:32" ht="15">
      <c r="AA6096" s="463" t="s">
        <v>19218</v>
      </c>
      <c r="AB6096" s="462" t="s">
        <v>19219</v>
      </c>
      <c r="AC6096" s="462" t="s">
        <v>19220</v>
      </c>
      <c r="AD6096" s="464">
        <v>2488.98441</v>
      </c>
      <c r="AE6096" s="465">
        <v>119.72913</v>
      </c>
      <c r="AF6096" s="86">
        <f>IF(verze!$E$1="CZK",AD6096,IF(verze!$E$1="SK",AE6096,""))</f>
        <v>119.72913</v>
      </c>
    </row>
    <row r="6097" spans="27:32" ht="15">
      <c r="AA6097" s="463" t="s">
        <v>19221</v>
      </c>
      <c r="AB6097" s="462" t="s">
        <v>19222</v>
      </c>
      <c r="AC6097" s="462" t="s">
        <v>19223</v>
      </c>
      <c r="AD6097" s="464">
        <v>2500.19598</v>
      </c>
      <c r="AE6097" s="465">
        <v>120.26845</v>
      </c>
      <c r="AF6097" s="86">
        <f>IF(verze!$E$1="CZK",AD6097,IF(verze!$E$1="SK",AE6097,""))</f>
        <v>120.26845</v>
      </c>
    </row>
    <row r="6098" spans="27:32" ht="15">
      <c r="AA6098" s="463" t="s">
        <v>19224</v>
      </c>
      <c r="AB6098" s="462" t="s">
        <v>19225</v>
      </c>
      <c r="AC6098" s="462" t="s">
        <v>19226</v>
      </c>
      <c r="AD6098" s="464">
        <v>2511.4076399999999</v>
      </c>
      <c r="AE6098" s="465">
        <v>120.80777</v>
      </c>
      <c r="AF6098" s="86">
        <f>IF(verze!$E$1="CZK",AD6098,IF(verze!$E$1="SK",AE6098,""))</f>
        <v>120.80777</v>
      </c>
    </row>
    <row r="6099" spans="27:32" ht="15">
      <c r="AA6099" s="463" t="s">
        <v>19227</v>
      </c>
      <c r="AB6099" s="462" t="s">
        <v>19228</v>
      </c>
      <c r="AC6099" s="462" t="s">
        <v>19229</v>
      </c>
      <c r="AD6099" s="464">
        <v>2522.6191899999999</v>
      </c>
      <c r="AE6099" s="465">
        <v>121.34707</v>
      </c>
      <c r="AF6099" s="86">
        <f>IF(verze!$E$1="CZK",AD6099,IF(verze!$E$1="SK",AE6099,""))</f>
        <v>121.34707</v>
      </c>
    </row>
    <row r="6100" spans="27:32" ht="15">
      <c r="AA6100" s="463" t="s">
        <v>19230</v>
      </c>
      <c r="AB6100" s="462" t="s">
        <v>19231</v>
      </c>
      <c r="AC6100" s="462" t="s">
        <v>19232</v>
      </c>
      <c r="AD6100" s="464">
        <v>2596.1961500000002</v>
      </c>
      <c r="AE6100" s="465">
        <v>124.88641</v>
      </c>
      <c r="AF6100" s="86">
        <f>IF(verze!$E$1="CZK",AD6100,IF(verze!$E$1="SK",AE6100,""))</f>
        <v>124.88641</v>
      </c>
    </row>
    <row r="6101" spans="27:32" ht="15">
      <c r="AA6101" s="463" t="s">
        <v>19233</v>
      </c>
      <c r="AB6101" s="462" t="s">
        <v>19234</v>
      </c>
      <c r="AC6101" s="462" t="s">
        <v>19235</v>
      </c>
      <c r="AD6101" s="464">
        <v>2623.0571</v>
      </c>
      <c r="AE6101" s="465">
        <v>126.1785</v>
      </c>
      <c r="AF6101" s="86">
        <f>IF(verze!$E$1="CZK",AD6101,IF(verze!$E$1="SK",AE6101,""))</f>
        <v>126.1785</v>
      </c>
    </row>
    <row r="6102" spans="27:32" ht="15">
      <c r="AA6102" s="463" t="s">
        <v>19236</v>
      </c>
      <c r="AB6102" s="462" t="s">
        <v>19237</v>
      </c>
      <c r="AC6102" s="462" t="s">
        <v>19238</v>
      </c>
      <c r="AD6102" s="464">
        <v>2649.91804</v>
      </c>
      <c r="AE6102" s="465">
        <v>127.47063</v>
      </c>
      <c r="AF6102" s="86">
        <f>IF(verze!$E$1="CZK",AD6102,IF(verze!$E$1="SK",AE6102,""))</f>
        <v>127.47063</v>
      </c>
    </row>
    <row r="6103" spans="27:32" ht="15">
      <c r="AA6103" s="463" t="s">
        <v>19239</v>
      </c>
      <c r="AB6103" s="462" t="s">
        <v>19240</v>
      </c>
      <c r="AC6103" s="462" t="s">
        <v>19241</v>
      </c>
      <c r="AD6103" s="464">
        <v>2192.1085400000002</v>
      </c>
      <c r="AE6103" s="465">
        <v>105.44833</v>
      </c>
      <c r="AF6103" s="86">
        <f>IF(verze!$E$1="CZK",AD6103,IF(verze!$E$1="SK",AE6103,""))</f>
        <v>105.44833</v>
      </c>
    </row>
    <row r="6104" spans="27:32" ht="15">
      <c r="AA6104" s="463" t="s">
        <v>19242</v>
      </c>
      <c r="AB6104" s="462" t="s">
        <v>19243</v>
      </c>
      <c r="AC6104" s="462" t="s">
        <v>19244</v>
      </c>
      <c r="AD6104" s="464">
        <v>2223.1912000000002</v>
      </c>
      <c r="AE6104" s="465">
        <v>106.94351</v>
      </c>
      <c r="AF6104" s="86">
        <f>IF(verze!$E$1="CZK",AD6104,IF(verze!$E$1="SK",AE6104,""))</f>
        <v>106.94351</v>
      </c>
    </row>
    <row r="6105" spans="27:32" ht="15">
      <c r="AA6105" s="463" t="s">
        <v>19245</v>
      </c>
      <c r="AB6105" s="462" t="s">
        <v>19246</v>
      </c>
      <c r="AC6105" s="462" t="s">
        <v>19247</v>
      </c>
      <c r="AD6105" s="464">
        <v>2227.68487</v>
      </c>
      <c r="AE6105" s="465">
        <v>107.15967999999999</v>
      </c>
      <c r="AF6105" s="86">
        <f>IF(verze!$E$1="CZK",AD6105,IF(verze!$E$1="SK",AE6105,""))</f>
        <v>107.15967999999999</v>
      </c>
    </row>
    <row r="6106" spans="27:32" ht="15">
      <c r="AA6106" s="463" t="s">
        <v>19248</v>
      </c>
      <c r="AB6106" s="462" t="s">
        <v>19249</v>
      </c>
      <c r="AC6106" s="462" t="s">
        <v>19250</v>
      </c>
      <c r="AD6106" s="464">
        <v>2232.1759400000001</v>
      </c>
      <c r="AE6106" s="465">
        <v>107.37573</v>
      </c>
      <c r="AF6106" s="86">
        <f>IF(verze!$E$1="CZK",AD6106,IF(verze!$E$1="SK",AE6106,""))</f>
        <v>107.37573</v>
      </c>
    </row>
    <row r="6107" spans="27:32" ht="15">
      <c r="AA6107" s="463" t="s">
        <v>19251</v>
      </c>
      <c r="AB6107" s="462" t="s">
        <v>19252</v>
      </c>
      <c r="AC6107" s="462" t="s">
        <v>19253</v>
      </c>
      <c r="AD6107" s="464">
        <v>2236.6697100000001</v>
      </c>
      <c r="AE6107" s="465">
        <v>107.59188</v>
      </c>
      <c r="AF6107" s="86">
        <f>IF(verze!$E$1="CZK",AD6107,IF(verze!$E$1="SK",AE6107,""))</f>
        <v>107.59188</v>
      </c>
    </row>
    <row r="6108" spans="27:32" ht="15">
      <c r="AA6108" s="463" t="s">
        <v>19254</v>
      </c>
      <c r="AB6108" s="462" t="s">
        <v>19255</v>
      </c>
      <c r="AC6108" s="462" t="s">
        <v>19256</v>
      </c>
      <c r="AD6108" s="464">
        <v>2241.1606700000002</v>
      </c>
      <c r="AE6108" s="465">
        <v>107.80791000000001</v>
      </c>
      <c r="AF6108" s="86">
        <f>IF(verze!$E$1="CZK",AD6108,IF(verze!$E$1="SK",AE6108,""))</f>
        <v>107.80791000000001</v>
      </c>
    </row>
    <row r="6109" spans="27:32" ht="15">
      <c r="AA6109" s="463" t="s">
        <v>19257</v>
      </c>
      <c r="AB6109" s="462" t="s">
        <v>19258</v>
      </c>
      <c r="AC6109" s="462" t="s">
        <v>19259</v>
      </c>
      <c r="AD6109" s="464">
        <v>2285.8525399999999</v>
      </c>
      <c r="AE6109" s="465">
        <v>109.95775999999999</v>
      </c>
      <c r="AF6109" s="86">
        <f>IF(verze!$E$1="CZK",AD6109,IF(verze!$E$1="SK",AE6109,""))</f>
        <v>109.95775999999999</v>
      </c>
    </row>
    <row r="6110" spans="27:32" ht="15">
      <c r="AA6110" s="463" t="s">
        <v>19260</v>
      </c>
      <c r="AB6110" s="462" t="s">
        <v>19261</v>
      </c>
      <c r="AC6110" s="462" t="s">
        <v>19262</v>
      </c>
      <c r="AD6110" s="464">
        <v>2290.3434999999999</v>
      </c>
      <c r="AE6110" s="465">
        <v>110.17377</v>
      </c>
      <c r="AF6110" s="86">
        <f>IF(verze!$E$1="CZK",AD6110,IF(verze!$E$1="SK",AE6110,""))</f>
        <v>110.17377</v>
      </c>
    </row>
    <row r="6111" spans="27:32" ht="15">
      <c r="AA6111" s="463" t="s">
        <v>19263</v>
      </c>
      <c r="AB6111" s="462" t="s">
        <v>19264</v>
      </c>
      <c r="AC6111" s="462" t="s">
        <v>19265</v>
      </c>
      <c r="AD6111" s="464">
        <v>2293.7171400000002</v>
      </c>
      <c r="AE6111" s="465">
        <v>110.33608</v>
      </c>
      <c r="AF6111" s="86">
        <f>IF(verze!$E$1="CZK",AD6111,IF(verze!$E$1="SK",AE6111,""))</f>
        <v>110.33608</v>
      </c>
    </row>
    <row r="6112" spans="27:32" ht="15">
      <c r="AA6112" s="463" t="s">
        <v>1320</v>
      </c>
      <c r="AB6112" s="462" t="s">
        <v>19266</v>
      </c>
      <c r="AC6112" s="462" t="s">
        <v>19267</v>
      </c>
      <c r="AD6112" s="464">
        <v>1556.55207</v>
      </c>
      <c r="AE6112" s="465">
        <v>74.875770000000003</v>
      </c>
      <c r="AF6112" s="86">
        <f>IF(verze!$E$1="CZK",AD6112,IF(verze!$E$1="SK",AE6112,""))</f>
        <v>74.875770000000003</v>
      </c>
    </row>
    <row r="6113" spans="27:32" ht="15">
      <c r="AA6113" s="463" t="s">
        <v>1320</v>
      </c>
      <c r="AB6113" s="462" t="s">
        <v>19268</v>
      </c>
      <c r="AC6113" s="462" t="s">
        <v>19269</v>
      </c>
      <c r="AD6113" s="464">
        <v>1847.2286999999999</v>
      </c>
      <c r="AE6113" s="465">
        <v>88.858369999999994</v>
      </c>
      <c r="AF6113" s="86">
        <f>IF(verze!$E$1="CZK",AD6113,IF(verze!$E$1="SK",AE6113,""))</f>
        <v>88.858369999999994</v>
      </c>
    </row>
    <row r="6114" spans="27:32" ht="15">
      <c r="AA6114" s="463" t="s">
        <v>1320</v>
      </c>
      <c r="AB6114" s="462" t="s">
        <v>19270</v>
      </c>
      <c r="AC6114" s="462" t="s">
        <v>19271</v>
      </c>
      <c r="AD6114" s="464">
        <v>2285.3659400000001</v>
      </c>
      <c r="AE6114" s="465">
        <v>109.93434999999999</v>
      </c>
      <c r="AF6114" s="86">
        <f>IF(verze!$E$1="CZK",AD6114,IF(verze!$E$1="SK",AE6114,""))</f>
        <v>109.93434999999999</v>
      </c>
    </row>
    <row r="6115" spans="27:32" ht="15">
      <c r="AA6115" s="463" t="s">
        <v>19272</v>
      </c>
      <c r="AB6115" s="462" t="s">
        <v>19273</v>
      </c>
      <c r="AC6115" s="462" t="s">
        <v>19274</v>
      </c>
      <c r="AD6115" s="464">
        <v>1556.55207</v>
      </c>
      <c r="AE6115" s="465">
        <v>74.875770000000003</v>
      </c>
      <c r="AF6115" s="86">
        <f>IF(verze!$E$1="CZK",AD6115,IF(verze!$E$1="SK",AE6115,""))</f>
        <v>74.875770000000003</v>
      </c>
    </row>
    <row r="6116" spans="27:32" ht="15">
      <c r="AA6116" s="463" t="s">
        <v>19275</v>
      </c>
      <c r="AB6116" s="462" t="s">
        <v>19276</v>
      </c>
      <c r="AC6116" s="462" t="s">
        <v>19277</v>
      </c>
      <c r="AD6116" s="464">
        <v>1847.2286999999999</v>
      </c>
      <c r="AE6116" s="465">
        <v>88.858369999999994</v>
      </c>
      <c r="AF6116" s="86">
        <f>IF(verze!$E$1="CZK",AD6116,IF(verze!$E$1="SK",AE6116,""))</f>
        <v>88.858369999999994</v>
      </c>
    </row>
    <row r="6117" spans="27:32" ht="15">
      <c r="AA6117" s="463" t="s">
        <v>19278</v>
      </c>
      <c r="AB6117" s="462" t="s">
        <v>19279</v>
      </c>
      <c r="AC6117" s="462" t="s">
        <v>19280</v>
      </c>
      <c r="AD6117" s="464">
        <v>2285.3659400000001</v>
      </c>
      <c r="AE6117" s="465">
        <v>109.93434999999999</v>
      </c>
      <c r="AF6117" s="86">
        <f>IF(verze!$E$1="CZK",AD6117,IF(verze!$E$1="SK",AE6117,""))</f>
        <v>109.93434999999999</v>
      </c>
    </row>
    <row r="6118" spans="27:32" ht="15">
      <c r="AA6118" s="463" t="s">
        <v>1320</v>
      </c>
      <c r="AB6118" s="462" t="s">
        <v>19281</v>
      </c>
      <c r="AC6118" s="462" t="s">
        <v>19282</v>
      </c>
      <c r="AD6118" s="464">
        <v>100.67417</v>
      </c>
      <c r="AE6118" s="465">
        <v>4.8428100000000001</v>
      </c>
      <c r="AF6118" s="86">
        <f>IF(verze!$E$1="CZK",AD6118,IF(verze!$E$1="SK",AE6118,""))</f>
        <v>4.8428100000000001</v>
      </c>
    </row>
    <row r="6119" spans="27:32" ht="15">
      <c r="AA6119" s="463" t="s">
        <v>1320</v>
      </c>
      <c r="AB6119" s="462" t="s">
        <v>19283</v>
      </c>
      <c r="AC6119" s="462" t="s">
        <v>19284</v>
      </c>
      <c r="AD6119" s="464">
        <v>126.96176</v>
      </c>
      <c r="AE6119" s="465">
        <v>6.1073300000000001</v>
      </c>
      <c r="AF6119" s="86">
        <f>IF(verze!$E$1="CZK",AD6119,IF(verze!$E$1="SK",AE6119,""))</f>
        <v>6.1073300000000001</v>
      </c>
    </row>
    <row r="6120" spans="27:32" ht="15">
      <c r="AA6120" s="463" t="s">
        <v>1320</v>
      </c>
      <c r="AB6120" s="462" t="s">
        <v>19285</v>
      </c>
      <c r="AC6120" s="462" t="s">
        <v>19286</v>
      </c>
      <c r="AD6120" s="464">
        <v>173.49672000000001</v>
      </c>
      <c r="AE6120" s="465">
        <v>8.3458199999999998</v>
      </c>
      <c r="AF6120" s="86">
        <f>IF(verze!$E$1="CZK",AD6120,IF(verze!$E$1="SK",AE6120,""))</f>
        <v>8.3458199999999998</v>
      </c>
    </row>
    <row r="6121" spans="27:32" ht="15">
      <c r="AA6121" s="463" t="s">
        <v>19287</v>
      </c>
      <c r="AB6121" s="462" t="s">
        <v>19288</v>
      </c>
      <c r="AC6121" s="462" t="s">
        <v>19289</v>
      </c>
      <c r="AD6121" s="464">
        <v>100.67417</v>
      </c>
      <c r="AE6121" s="465">
        <v>4.8428100000000001</v>
      </c>
      <c r="AF6121" s="86">
        <f>IF(verze!$E$1="CZK",AD6121,IF(verze!$E$1="SK",AE6121,""))</f>
        <v>4.8428100000000001</v>
      </c>
    </row>
    <row r="6122" spans="27:32" ht="15">
      <c r="AA6122" s="463" t="s">
        <v>19290</v>
      </c>
      <c r="AB6122" s="462" t="s">
        <v>19291</v>
      </c>
      <c r="AC6122" s="462" t="s">
        <v>19292</v>
      </c>
      <c r="AD6122" s="464">
        <v>126.96176</v>
      </c>
      <c r="AE6122" s="465">
        <v>6.1073300000000001</v>
      </c>
      <c r="AF6122" s="86">
        <f>IF(verze!$E$1="CZK",AD6122,IF(verze!$E$1="SK",AE6122,""))</f>
        <v>6.1073300000000001</v>
      </c>
    </row>
    <row r="6123" spans="27:32" ht="15">
      <c r="AA6123" s="463" t="s">
        <v>19293</v>
      </c>
      <c r="AB6123" s="462" t="s">
        <v>19294</v>
      </c>
      <c r="AC6123" s="462" t="s">
        <v>19295</v>
      </c>
      <c r="AD6123" s="464">
        <v>173.49672000000001</v>
      </c>
      <c r="AE6123" s="465">
        <v>8.3458199999999998</v>
      </c>
      <c r="AF6123" s="86">
        <f>IF(verze!$E$1="CZK",AD6123,IF(verze!$E$1="SK",AE6123,""))</f>
        <v>8.3458199999999998</v>
      </c>
    </row>
    <row r="6124" spans="27:32" ht="15">
      <c r="AA6124" s="463" t="s">
        <v>1320</v>
      </c>
      <c r="AB6124" s="462" t="s">
        <v>19296</v>
      </c>
      <c r="AC6124" s="462" t="s">
        <v>19297</v>
      </c>
      <c r="AD6124" s="464">
        <v>574.02418</v>
      </c>
      <c r="AE6124" s="465">
        <v>27.612649999999999</v>
      </c>
      <c r="AF6124" s="86">
        <f>IF(verze!$E$1="CZK",AD6124,IF(verze!$E$1="SK",AE6124,""))</f>
        <v>27.612649999999999</v>
      </c>
    </row>
    <row r="6125" spans="27:32" ht="15">
      <c r="AA6125" s="463" t="s">
        <v>1320</v>
      </c>
      <c r="AB6125" s="462" t="s">
        <v>19298</v>
      </c>
      <c r="AC6125" s="462" t="s">
        <v>19299</v>
      </c>
      <c r="AD6125" s="464">
        <v>574.02418</v>
      </c>
      <c r="AE6125" s="465">
        <v>27.612649999999999</v>
      </c>
      <c r="AF6125" s="86">
        <f>IF(verze!$E$1="CZK",AD6125,IF(verze!$E$1="SK",AE6125,""))</f>
        <v>27.612649999999999</v>
      </c>
    </row>
    <row r="6126" spans="27:32" ht="15">
      <c r="AA6126" s="463" t="s">
        <v>1320</v>
      </c>
      <c r="AB6126" s="462" t="s">
        <v>19300</v>
      </c>
      <c r="AC6126" s="462" t="s">
        <v>19301</v>
      </c>
      <c r="AD6126" s="464">
        <v>4.6430699999999998</v>
      </c>
      <c r="AE6126" s="465">
        <v>0.22336</v>
      </c>
      <c r="AF6126" s="86">
        <f>IF(verze!$E$1="CZK",AD6126,IF(verze!$E$1="SK",AE6126,""))</f>
        <v>0.22336</v>
      </c>
    </row>
    <row r="6127" spans="27:32" ht="15">
      <c r="AA6127" s="463" t="s">
        <v>1320</v>
      </c>
      <c r="AB6127" s="462" t="s">
        <v>19302</v>
      </c>
      <c r="AC6127" s="462" t="s">
        <v>19303</v>
      </c>
      <c r="AD6127" s="464">
        <v>6.3445299999999998</v>
      </c>
      <c r="AE6127" s="465">
        <v>0.30519000000000002</v>
      </c>
      <c r="AF6127" s="86">
        <f>IF(verze!$E$1="CZK",AD6127,IF(verze!$E$1="SK",AE6127,""))</f>
        <v>0.30519000000000002</v>
      </c>
    </row>
    <row r="6128" spans="27:32" ht="15">
      <c r="AA6128" s="463" t="s">
        <v>1320</v>
      </c>
      <c r="AB6128" s="462" t="s">
        <v>19304</v>
      </c>
      <c r="AC6128" s="462" t="s">
        <v>19305</v>
      </c>
      <c r="AD6128" s="464">
        <v>8.1714000000000002</v>
      </c>
      <c r="AE6128" s="465">
        <v>0.39307999999999998</v>
      </c>
      <c r="AF6128" s="86">
        <f>IF(verze!$E$1="CZK",AD6128,IF(verze!$E$1="SK",AE6128,""))</f>
        <v>0.39307999999999998</v>
      </c>
    </row>
    <row r="6129" spans="27:32" ht="15">
      <c r="AA6129" s="463" t="s">
        <v>1320</v>
      </c>
      <c r="AB6129" s="462" t="s">
        <v>19306</v>
      </c>
      <c r="AC6129" s="462" t="s">
        <v>19307</v>
      </c>
      <c r="AD6129" s="464">
        <v>4.6430699999999998</v>
      </c>
      <c r="AE6129" s="465">
        <v>0.22336</v>
      </c>
      <c r="AF6129" s="86">
        <f>IF(verze!$E$1="CZK",AD6129,IF(verze!$E$1="SK",AE6129,""))</f>
        <v>0.22336</v>
      </c>
    </row>
    <row r="6130" spans="27:32" ht="15">
      <c r="AA6130" s="463" t="s">
        <v>1320</v>
      </c>
      <c r="AB6130" s="462" t="s">
        <v>19308</v>
      </c>
      <c r="AC6130" s="462" t="s">
        <v>19309</v>
      </c>
      <c r="AD6130" s="464">
        <v>6.3445299999999998</v>
      </c>
      <c r="AE6130" s="465">
        <v>0.30519000000000002</v>
      </c>
      <c r="AF6130" s="86">
        <f>IF(verze!$E$1="CZK",AD6130,IF(verze!$E$1="SK",AE6130,""))</f>
        <v>0.30519000000000002</v>
      </c>
    </row>
    <row r="6131" spans="27:32" ht="15">
      <c r="AA6131" s="463" t="s">
        <v>1320</v>
      </c>
      <c r="AB6131" s="462" t="s">
        <v>19310</v>
      </c>
      <c r="AC6131" s="462" t="s">
        <v>19311</v>
      </c>
      <c r="AD6131" s="464">
        <v>8.1714000000000002</v>
      </c>
      <c r="AE6131" s="465">
        <v>0.39307999999999998</v>
      </c>
      <c r="AF6131" s="86">
        <f>IF(verze!$E$1="CZK",AD6131,IF(verze!$E$1="SK",AE6131,""))</f>
        <v>0.39307999999999998</v>
      </c>
    </row>
    <row r="6132" spans="27:32" ht="15">
      <c r="AA6132" s="463" t="s">
        <v>19312</v>
      </c>
      <c r="AB6132" s="462" t="s">
        <v>19313</v>
      </c>
      <c r="AC6132" s="462" t="s">
        <v>19314</v>
      </c>
      <c r="AD6132" s="464">
        <v>20.191030000000001</v>
      </c>
      <c r="AE6132" s="465">
        <v>0.97126999999999997</v>
      </c>
      <c r="AF6132" s="86">
        <f>IF(verze!$E$1="CZK",AD6132,IF(verze!$E$1="SK",AE6132,""))</f>
        <v>0.97126999999999997</v>
      </c>
    </row>
    <row r="6133" spans="27:32" ht="15">
      <c r="AA6133" s="463" t="s">
        <v>19315</v>
      </c>
      <c r="AB6133" s="462" t="s">
        <v>19316</v>
      </c>
      <c r="AC6133" s="462" t="s">
        <v>19317</v>
      </c>
      <c r="AD6133" s="464">
        <v>6.1515300000000002</v>
      </c>
      <c r="AE6133" s="465">
        <v>0.25230000000000002</v>
      </c>
      <c r="AF6133" s="86">
        <f>IF(verze!$E$1="CZK",AD6133,IF(verze!$E$1="SK",AE6133,""))</f>
        <v>0.25230000000000002</v>
      </c>
    </row>
    <row r="6134" spans="27:32" ht="15">
      <c r="AA6134" s="463" t="s">
        <v>19318</v>
      </c>
      <c r="AB6134" s="462" t="s">
        <v>19319</v>
      </c>
      <c r="AC6134" s="462" t="s">
        <v>19320</v>
      </c>
      <c r="AD6134" s="464">
        <v>6.1515300000000002</v>
      </c>
      <c r="AE6134" s="465">
        <v>0.25230000000000002</v>
      </c>
      <c r="AF6134" s="86">
        <f>IF(verze!$E$1="CZK",AD6134,IF(verze!$E$1="SK",AE6134,""))</f>
        <v>0.25230000000000002</v>
      </c>
    </row>
    <row r="6135" spans="27:32" ht="15">
      <c r="AA6135" s="463" t="s">
        <v>19321</v>
      </c>
      <c r="AB6135" s="462" t="s">
        <v>19322</v>
      </c>
      <c r="AC6135" s="462" t="s">
        <v>19323</v>
      </c>
      <c r="AD6135" s="464">
        <v>240.12551999999999</v>
      </c>
      <c r="AE6135" s="465">
        <v>11.55092</v>
      </c>
      <c r="AF6135" s="86">
        <f>IF(verze!$E$1="CZK",AD6135,IF(verze!$E$1="SK",AE6135,""))</f>
        <v>11.55092</v>
      </c>
    </row>
    <row r="6136" spans="27:32" ht="15">
      <c r="AA6136" s="463" t="s">
        <v>19324</v>
      </c>
      <c r="AB6136" s="462" t="s">
        <v>19325</v>
      </c>
      <c r="AC6136" s="462" t="s">
        <v>19326</v>
      </c>
      <c r="AD6136" s="464">
        <v>25.89798</v>
      </c>
      <c r="AE6136" s="465">
        <v>1.2458</v>
      </c>
      <c r="AF6136" s="86">
        <f>IF(verze!$E$1="CZK",AD6136,IF(verze!$E$1="SK",AE6136,""))</f>
        <v>1.2458</v>
      </c>
    </row>
    <row r="6137" spans="27:32" ht="15">
      <c r="AA6137" s="463" t="s">
        <v>19327</v>
      </c>
      <c r="AB6137" s="462" t="s">
        <v>19328</v>
      </c>
      <c r="AC6137" s="462" t="s">
        <v>19329</v>
      </c>
      <c r="AD6137" s="464">
        <v>25.89798</v>
      </c>
      <c r="AE6137" s="465">
        <v>1.2458</v>
      </c>
      <c r="AF6137" s="86">
        <f>IF(verze!$E$1="CZK",AD6137,IF(verze!$E$1="SK",AE6137,""))</f>
        <v>1.2458</v>
      </c>
    </row>
    <row r="6138" spans="27:32" ht="15">
      <c r="AA6138" s="463" t="s">
        <v>19330</v>
      </c>
      <c r="AB6138" s="462" t="s">
        <v>19331</v>
      </c>
      <c r="AC6138" s="462" t="s">
        <v>19332</v>
      </c>
      <c r="AD6138" s="464">
        <v>65.26164</v>
      </c>
      <c r="AE6138" s="465">
        <v>3.1393300000000002</v>
      </c>
      <c r="AF6138" s="86">
        <f>IF(verze!$E$1="CZK",AD6138,IF(verze!$E$1="SK",AE6138,""))</f>
        <v>3.1393300000000002</v>
      </c>
    </row>
    <row r="6139" spans="27:32" ht="15">
      <c r="AA6139" s="463" t="s">
        <v>19333</v>
      </c>
      <c r="AB6139" s="462" t="s">
        <v>19334</v>
      </c>
      <c r="AC6139" s="462" t="s">
        <v>19335</v>
      </c>
      <c r="AD6139" s="464">
        <v>302.19767000000002</v>
      </c>
      <c r="AE6139" s="465">
        <v>14.53679</v>
      </c>
      <c r="AF6139" s="86">
        <f>IF(verze!$E$1="CZK",AD6139,IF(verze!$E$1="SK",AE6139,""))</f>
        <v>14.53679</v>
      </c>
    </row>
    <row r="6140" spans="27:32" ht="15">
      <c r="AA6140" s="463" t="s">
        <v>19336</v>
      </c>
      <c r="AB6140" s="462" t="s">
        <v>19337</v>
      </c>
      <c r="AC6140" s="462" t="s">
        <v>19338</v>
      </c>
      <c r="AD6140" s="464">
        <v>302.19767000000002</v>
      </c>
      <c r="AE6140" s="465">
        <v>14.53679</v>
      </c>
      <c r="AF6140" s="86">
        <f>IF(verze!$E$1="CZK",AD6140,IF(verze!$E$1="SK",AE6140,""))</f>
        <v>14.53679</v>
      </c>
    </row>
    <row r="6141" spans="27:32" ht="15">
      <c r="AA6141" s="463" t="s">
        <v>19339</v>
      </c>
      <c r="AB6141" s="462" t="s">
        <v>19340</v>
      </c>
      <c r="AC6141" s="462" t="s">
        <v>19341</v>
      </c>
      <c r="AD6141" s="464">
        <v>302.19767000000002</v>
      </c>
      <c r="AE6141" s="465">
        <v>14.53679</v>
      </c>
      <c r="AF6141" s="86">
        <f>IF(verze!$E$1="CZK",AD6141,IF(verze!$E$1="SK",AE6141,""))</f>
        <v>14.53679</v>
      </c>
    </row>
    <row r="6142" spans="27:32" ht="15">
      <c r="AA6142" s="463" t="s">
        <v>19342</v>
      </c>
      <c r="AB6142" s="462" t="s">
        <v>19343</v>
      </c>
      <c r="AC6142" s="462" t="s">
        <v>19344</v>
      </c>
      <c r="AD6142" s="464">
        <v>302.19767000000002</v>
      </c>
      <c r="AE6142" s="465">
        <v>14.53679</v>
      </c>
      <c r="AF6142" s="86">
        <f>IF(verze!$E$1="CZK",AD6142,IF(verze!$E$1="SK",AE6142,""))</f>
        <v>14.53679</v>
      </c>
    </row>
    <row r="6143" spans="27:32" ht="15">
      <c r="AA6143" s="463" t="s">
        <v>19345</v>
      </c>
      <c r="AB6143" s="462" t="s">
        <v>19346</v>
      </c>
      <c r="AC6143" s="462" t="s">
        <v>19347</v>
      </c>
      <c r="AD6143" s="464">
        <v>302.66329000000002</v>
      </c>
      <c r="AE6143" s="465">
        <v>14.559200000000001</v>
      </c>
      <c r="AF6143" s="86">
        <f>IF(verze!$E$1="CZK",AD6143,IF(verze!$E$1="SK",AE6143,""))</f>
        <v>14.559200000000001</v>
      </c>
    </row>
    <row r="6144" spans="27:32" ht="15">
      <c r="AA6144" s="463" t="s">
        <v>19348</v>
      </c>
      <c r="AB6144" s="462" t="s">
        <v>19349</v>
      </c>
      <c r="AC6144" s="462" t="s">
        <v>19350</v>
      </c>
      <c r="AD6144" s="464">
        <v>302.66329000000002</v>
      </c>
      <c r="AE6144" s="465">
        <v>14.559200000000001</v>
      </c>
      <c r="AF6144" s="86">
        <f>IF(verze!$E$1="CZK",AD6144,IF(verze!$E$1="SK",AE6144,""))</f>
        <v>14.559200000000001</v>
      </c>
    </row>
    <row r="6145" spans="27:32" ht="15">
      <c r="AA6145" s="463" t="s">
        <v>19351</v>
      </c>
      <c r="AB6145" s="462" t="s">
        <v>19352</v>
      </c>
      <c r="AC6145" s="462" t="s">
        <v>19353</v>
      </c>
      <c r="AD6145" s="464">
        <v>302.66329000000002</v>
      </c>
      <c r="AE6145" s="465">
        <v>14.559200000000001</v>
      </c>
      <c r="AF6145" s="86">
        <f>IF(verze!$E$1="CZK",AD6145,IF(verze!$E$1="SK",AE6145,""))</f>
        <v>14.559200000000001</v>
      </c>
    </row>
    <row r="6146" spans="27:32" ht="15">
      <c r="AA6146" s="463" t="s">
        <v>19354</v>
      </c>
      <c r="AB6146" s="462" t="s">
        <v>19355</v>
      </c>
      <c r="AC6146" s="462" t="s">
        <v>19356</v>
      </c>
      <c r="AD6146" s="464">
        <v>302.66329000000002</v>
      </c>
      <c r="AE6146" s="465">
        <v>14.559200000000001</v>
      </c>
      <c r="AF6146" s="86">
        <f>IF(verze!$E$1="CZK",AD6146,IF(verze!$E$1="SK",AE6146,""))</f>
        <v>14.559200000000001</v>
      </c>
    </row>
    <row r="6147" spans="27:32" ht="15">
      <c r="AA6147" s="463" t="s">
        <v>19357</v>
      </c>
      <c r="AB6147" s="462" t="s">
        <v>19358</v>
      </c>
      <c r="AC6147" s="462" t="s">
        <v>19359</v>
      </c>
      <c r="AD6147" s="464">
        <v>302.66329000000002</v>
      </c>
      <c r="AE6147" s="465">
        <v>14.559200000000001</v>
      </c>
      <c r="AF6147" s="86">
        <f>IF(verze!$E$1="CZK",AD6147,IF(verze!$E$1="SK",AE6147,""))</f>
        <v>14.559200000000001</v>
      </c>
    </row>
    <row r="6148" spans="27:32" ht="15">
      <c r="AA6148" s="463" t="s">
        <v>19360</v>
      </c>
      <c r="AB6148" s="462" t="s">
        <v>19361</v>
      </c>
      <c r="AC6148" s="462" t="s">
        <v>19362</v>
      </c>
      <c r="AD6148" s="464">
        <v>302.66329000000002</v>
      </c>
      <c r="AE6148" s="465">
        <v>14.559200000000001</v>
      </c>
      <c r="AF6148" s="86">
        <f>IF(verze!$E$1="CZK",AD6148,IF(verze!$E$1="SK",AE6148,""))</f>
        <v>14.559200000000001</v>
      </c>
    </row>
    <row r="6149" spans="27:32" ht="15">
      <c r="AA6149" s="463" t="s">
        <v>19363</v>
      </c>
      <c r="AB6149" s="462" t="s">
        <v>19364</v>
      </c>
      <c r="AC6149" s="462" t="s">
        <v>19365</v>
      </c>
      <c r="AD6149" s="464">
        <v>302.19767000000002</v>
      </c>
      <c r="AE6149" s="465">
        <v>14.53679</v>
      </c>
      <c r="AF6149" s="86">
        <f>IF(verze!$E$1="CZK",AD6149,IF(verze!$E$1="SK",AE6149,""))</f>
        <v>14.53679</v>
      </c>
    </row>
    <row r="6150" spans="27:32" ht="15">
      <c r="AA6150" s="463" t="s">
        <v>19366</v>
      </c>
      <c r="AB6150" s="462" t="s">
        <v>19367</v>
      </c>
      <c r="AC6150" s="462" t="s">
        <v>19368</v>
      </c>
      <c r="AD6150" s="464">
        <v>302.19767000000002</v>
      </c>
      <c r="AE6150" s="465">
        <v>14.53679</v>
      </c>
      <c r="AF6150" s="86">
        <f>IF(verze!$E$1="CZK",AD6150,IF(verze!$E$1="SK",AE6150,""))</f>
        <v>14.53679</v>
      </c>
    </row>
    <row r="6151" spans="27:32" ht="15">
      <c r="AA6151" s="463" t="s">
        <v>19369</v>
      </c>
      <c r="AB6151" s="462" t="s">
        <v>19370</v>
      </c>
      <c r="AC6151" s="462" t="s">
        <v>19371</v>
      </c>
      <c r="AD6151" s="464">
        <v>302.19767000000002</v>
      </c>
      <c r="AE6151" s="465">
        <v>14.53679</v>
      </c>
      <c r="AF6151" s="86">
        <f>IF(verze!$E$1="CZK",AD6151,IF(verze!$E$1="SK",AE6151,""))</f>
        <v>14.53679</v>
      </c>
    </row>
    <row r="6152" spans="27:32" ht="15">
      <c r="AA6152" s="463" t="s">
        <v>19372</v>
      </c>
      <c r="AB6152" s="462" t="s">
        <v>19373</v>
      </c>
      <c r="AC6152" s="462" t="s">
        <v>19374</v>
      </c>
      <c r="AD6152" s="464">
        <v>302.19767000000002</v>
      </c>
      <c r="AE6152" s="465">
        <v>14.53679</v>
      </c>
      <c r="AF6152" s="86">
        <f>IF(verze!$E$1="CZK",AD6152,IF(verze!$E$1="SK",AE6152,""))</f>
        <v>14.53679</v>
      </c>
    </row>
    <row r="6153" spans="27:32" ht="15">
      <c r="AA6153" s="463" t="s">
        <v>19375</v>
      </c>
      <c r="AB6153" s="462" t="s">
        <v>19376</v>
      </c>
      <c r="AC6153" s="462" t="s">
        <v>19377</v>
      </c>
      <c r="AD6153" s="464">
        <v>302.66329000000002</v>
      </c>
      <c r="AE6153" s="465">
        <v>14.559200000000001</v>
      </c>
      <c r="AF6153" s="86">
        <f>IF(verze!$E$1="CZK",AD6153,IF(verze!$E$1="SK",AE6153,""))</f>
        <v>14.559200000000001</v>
      </c>
    </row>
    <row r="6154" spans="27:32" ht="15">
      <c r="AA6154" s="463" t="s">
        <v>19378</v>
      </c>
      <c r="AB6154" s="462" t="s">
        <v>19379</v>
      </c>
      <c r="AC6154" s="462" t="s">
        <v>19380</v>
      </c>
      <c r="AD6154" s="464">
        <v>302.66329000000002</v>
      </c>
      <c r="AE6154" s="465">
        <v>14.559200000000001</v>
      </c>
      <c r="AF6154" s="86">
        <f>IF(verze!$E$1="CZK",AD6154,IF(verze!$E$1="SK",AE6154,""))</f>
        <v>14.559200000000001</v>
      </c>
    </row>
    <row r="6155" spans="27:32" ht="15">
      <c r="AA6155" s="463" t="s">
        <v>19381</v>
      </c>
      <c r="AB6155" s="462" t="s">
        <v>19382</v>
      </c>
      <c r="AC6155" s="462" t="s">
        <v>19383</v>
      </c>
      <c r="AD6155" s="464">
        <v>302.66329000000002</v>
      </c>
      <c r="AE6155" s="465">
        <v>14.559200000000001</v>
      </c>
      <c r="AF6155" s="86">
        <f>IF(verze!$E$1="CZK",AD6155,IF(verze!$E$1="SK",AE6155,""))</f>
        <v>14.559200000000001</v>
      </c>
    </row>
    <row r="6156" spans="27:32" ht="15">
      <c r="AA6156" s="463" t="s">
        <v>19384</v>
      </c>
      <c r="AB6156" s="462" t="s">
        <v>19385</v>
      </c>
      <c r="AC6156" s="462" t="s">
        <v>19386</v>
      </c>
      <c r="AD6156" s="464">
        <v>302.66329000000002</v>
      </c>
      <c r="AE6156" s="465">
        <v>14.559200000000001</v>
      </c>
      <c r="AF6156" s="86">
        <f>IF(verze!$E$1="CZK",AD6156,IF(verze!$E$1="SK",AE6156,""))</f>
        <v>14.559200000000001</v>
      </c>
    </row>
    <row r="6157" spans="27:32" ht="15">
      <c r="AA6157" s="463" t="s">
        <v>19387</v>
      </c>
      <c r="AB6157" s="462" t="s">
        <v>19388</v>
      </c>
      <c r="AC6157" s="462" t="s">
        <v>19389</v>
      </c>
      <c r="AD6157" s="464">
        <v>302.66329000000002</v>
      </c>
      <c r="AE6157" s="465">
        <v>14.559200000000001</v>
      </c>
      <c r="AF6157" s="86">
        <f>IF(verze!$E$1="CZK",AD6157,IF(verze!$E$1="SK",AE6157,""))</f>
        <v>14.559200000000001</v>
      </c>
    </row>
    <row r="6158" spans="27:32" ht="15">
      <c r="AA6158" s="463" t="s">
        <v>19390</v>
      </c>
      <c r="AB6158" s="462" t="s">
        <v>19391</v>
      </c>
      <c r="AC6158" s="462" t="s">
        <v>19392</v>
      </c>
      <c r="AD6158" s="464">
        <v>302.66329000000002</v>
      </c>
      <c r="AE6158" s="465">
        <v>14.559200000000001</v>
      </c>
      <c r="AF6158" s="86">
        <f>IF(verze!$E$1="CZK",AD6158,IF(verze!$E$1="SK",AE6158,""))</f>
        <v>14.559200000000001</v>
      </c>
    </row>
    <row r="6159" spans="27:32" ht="15">
      <c r="AA6159" s="463" t="s">
        <v>19393</v>
      </c>
      <c r="AB6159" s="462" t="s">
        <v>19394</v>
      </c>
      <c r="AC6159" s="462" t="s">
        <v>19395</v>
      </c>
      <c r="AD6159" s="464">
        <v>305.78357999999997</v>
      </c>
      <c r="AE6159" s="465">
        <v>14.70928</v>
      </c>
      <c r="AF6159" s="86">
        <f>IF(verze!$E$1="CZK",AD6159,IF(verze!$E$1="SK",AE6159,""))</f>
        <v>14.70928</v>
      </c>
    </row>
    <row r="6160" spans="27:32" ht="15">
      <c r="AA6160" s="463" t="s">
        <v>19396</v>
      </c>
      <c r="AB6160" s="462" t="s">
        <v>19397</v>
      </c>
      <c r="AC6160" s="462" t="s">
        <v>19398</v>
      </c>
      <c r="AD6160" s="464">
        <v>305.78357999999997</v>
      </c>
      <c r="AE6160" s="465">
        <v>14.70928</v>
      </c>
      <c r="AF6160" s="86">
        <f>IF(verze!$E$1="CZK",AD6160,IF(verze!$E$1="SK",AE6160,""))</f>
        <v>14.70928</v>
      </c>
    </row>
    <row r="6161" spans="27:32" ht="15">
      <c r="AA6161" s="463" t="s">
        <v>19399</v>
      </c>
      <c r="AB6161" s="462" t="s">
        <v>19400</v>
      </c>
      <c r="AC6161" s="462" t="s">
        <v>19401</v>
      </c>
      <c r="AD6161" s="464">
        <v>305.78357999999997</v>
      </c>
      <c r="AE6161" s="465">
        <v>14.70928</v>
      </c>
      <c r="AF6161" s="86">
        <f>IF(verze!$E$1="CZK",AD6161,IF(verze!$E$1="SK",AE6161,""))</f>
        <v>14.70928</v>
      </c>
    </row>
    <row r="6162" spans="27:32" ht="15">
      <c r="AA6162" s="463" t="s">
        <v>19402</v>
      </c>
      <c r="AB6162" s="462" t="s">
        <v>19403</v>
      </c>
      <c r="AC6162" s="462" t="s">
        <v>19404</v>
      </c>
      <c r="AD6162" s="464">
        <v>305.78357999999997</v>
      </c>
      <c r="AE6162" s="465">
        <v>14.70928</v>
      </c>
      <c r="AF6162" s="86">
        <f>IF(verze!$E$1="CZK",AD6162,IF(verze!$E$1="SK",AE6162,""))</f>
        <v>14.70928</v>
      </c>
    </row>
    <row r="6163" spans="27:32" ht="15">
      <c r="AA6163" s="463" t="s">
        <v>19405</v>
      </c>
      <c r="AB6163" s="462" t="s">
        <v>19406</v>
      </c>
      <c r="AC6163" s="462" t="s">
        <v>19407</v>
      </c>
      <c r="AD6163" s="464">
        <v>308.90141</v>
      </c>
      <c r="AE6163" s="465">
        <v>14.85929</v>
      </c>
      <c r="AF6163" s="86">
        <f>IF(verze!$E$1="CZK",AD6163,IF(verze!$E$1="SK",AE6163,""))</f>
        <v>14.85929</v>
      </c>
    </row>
    <row r="6164" spans="27:32" ht="15">
      <c r="AA6164" s="463" t="s">
        <v>19408</v>
      </c>
      <c r="AB6164" s="462" t="s">
        <v>19409</v>
      </c>
      <c r="AC6164" s="462" t="s">
        <v>19410</v>
      </c>
      <c r="AD6164" s="464">
        <v>308.90141</v>
      </c>
      <c r="AE6164" s="465">
        <v>14.85929</v>
      </c>
      <c r="AF6164" s="86">
        <f>IF(verze!$E$1="CZK",AD6164,IF(verze!$E$1="SK",AE6164,""))</f>
        <v>14.85929</v>
      </c>
    </row>
    <row r="6165" spans="27:32" ht="15">
      <c r="AA6165" s="463" t="s">
        <v>19411</v>
      </c>
      <c r="AB6165" s="462" t="s">
        <v>19412</v>
      </c>
      <c r="AC6165" s="462" t="s">
        <v>19413</v>
      </c>
      <c r="AD6165" s="464">
        <v>308.90141</v>
      </c>
      <c r="AE6165" s="465">
        <v>14.85929</v>
      </c>
      <c r="AF6165" s="86">
        <f>IF(verze!$E$1="CZK",AD6165,IF(verze!$E$1="SK",AE6165,""))</f>
        <v>14.85929</v>
      </c>
    </row>
    <row r="6166" spans="27:32" ht="15">
      <c r="AA6166" s="463" t="s">
        <v>19414</v>
      </c>
      <c r="AB6166" s="462" t="s">
        <v>19415</v>
      </c>
      <c r="AC6166" s="462" t="s">
        <v>19416</v>
      </c>
      <c r="AD6166" s="464">
        <v>308.90141</v>
      </c>
      <c r="AE6166" s="465">
        <v>14.85929</v>
      </c>
      <c r="AF6166" s="86">
        <f>IF(verze!$E$1="CZK",AD6166,IF(verze!$E$1="SK",AE6166,""))</f>
        <v>14.85929</v>
      </c>
    </row>
    <row r="6167" spans="27:32" ht="15">
      <c r="AA6167" s="463" t="s">
        <v>19417</v>
      </c>
      <c r="AB6167" s="462" t="s">
        <v>19418</v>
      </c>
      <c r="AC6167" s="462" t="s">
        <v>19419</v>
      </c>
      <c r="AD6167" s="464">
        <v>312.01922000000002</v>
      </c>
      <c r="AE6167" s="465">
        <v>15.00925</v>
      </c>
      <c r="AF6167" s="86">
        <f>IF(verze!$E$1="CZK",AD6167,IF(verze!$E$1="SK",AE6167,""))</f>
        <v>15.00925</v>
      </c>
    </row>
    <row r="6168" spans="27:32" ht="15">
      <c r="AA6168" s="463" t="s">
        <v>19420</v>
      </c>
      <c r="AB6168" s="462" t="s">
        <v>19421</v>
      </c>
      <c r="AC6168" s="462" t="s">
        <v>19422</v>
      </c>
      <c r="AD6168" s="464">
        <v>312.01922000000002</v>
      </c>
      <c r="AE6168" s="465">
        <v>15.00925</v>
      </c>
      <c r="AF6168" s="86">
        <f>IF(verze!$E$1="CZK",AD6168,IF(verze!$E$1="SK",AE6168,""))</f>
        <v>15.00925</v>
      </c>
    </row>
    <row r="6169" spans="27:32" ht="15">
      <c r="AA6169" s="463" t="s">
        <v>19423</v>
      </c>
      <c r="AB6169" s="462" t="s">
        <v>19424</v>
      </c>
      <c r="AC6169" s="462" t="s">
        <v>19425</v>
      </c>
      <c r="AD6169" s="464">
        <v>312.01922000000002</v>
      </c>
      <c r="AE6169" s="465">
        <v>15.00925</v>
      </c>
      <c r="AF6169" s="86">
        <f>IF(verze!$E$1="CZK",AD6169,IF(verze!$E$1="SK",AE6169,""))</f>
        <v>15.00925</v>
      </c>
    </row>
    <row r="6170" spans="27:32" ht="15">
      <c r="AA6170" s="463" t="s">
        <v>19426</v>
      </c>
      <c r="AB6170" s="462" t="s">
        <v>19427</v>
      </c>
      <c r="AC6170" s="462" t="s">
        <v>19428</v>
      </c>
      <c r="AD6170" s="464">
        <v>312.01922000000002</v>
      </c>
      <c r="AE6170" s="465">
        <v>15.00925</v>
      </c>
      <c r="AF6170" s="86">
        <f>IF(verze!$E$1="CZK",AD6170,IF(verze!$E$1="SK",AE6170,""))</f>
        <v>15.00925</v>
      </c>
    </row>
    <row r="6171" spans="27:32" ht="15">
      <c r="AA6171" s="463" t="s">
        <v>19429</v>
      </c>
      <c r="AB6171" s="462" t="s">
        <v>19430</v>
      </c>
      <c r="AC6171" s="462" t="s">
        <v>19431</v>
      </c>
      <c r="AD6171" s="464">
        <v>330.74320999999998</v>
      </c>
      <c r="AE6171" s="465">
        <v>15.909940000000001</v>
      </c>
      <c r="AF6171" s="86">
        <f>IF(verze!$E$1="CZK",AD6171,IF(verze!$E$1="SK",AE6171,""))</f>
        <v>15.909940000000001</v>
      </c>
    </row>
    <row r="6172" spans="27:32" ht="15">
      <c r="AA6172" s="463" t="s">
        <v>19432</v>
      </c>
      <c r="AB6172" s="462" t="s">
        <v>19433</v>
      </c>
      <c r="AC6172" s="462" t="s">
        <v>19434</v>
      </c>
      <c r="AD6172" s="464">
        <v>330.74320999999998</v>
      </c>
      <c r="AE6172" s="465">
        <v>15.909940000000001</v>
      </c>
      <c r="AF6172" s="86">
        <f>IF(verze!$E$1="CZK",AD6172,IF(verze!$E$1="SK",AE6172,""))</f>
        <v>15.909940000000001</v>
      </c>
    </row>
    <row r="6173" spans="27:32" ht="15">
      <c r="AA6173" s="463" t="s">
        <v>19435</v>
      </c>
      <c r="AB6173" s="462" t="s">
        <v>19436</v>
      </c>
      <c r="AC6173" s="462" t="s">
        <v>19437</v>
      </c>
      <c r="AD6173" s="464">
        <v>330.74320999999998</v>
      </c>
      <c r="AE6173" s="465">
        <v>15.909940000000001</v>
      </c>
      <c r="AF6173" s="86">
        <f>IF(verze!$E$1="CZK",AD6173,IF(verze!$E$1="SK",AE6173,""))</f>
        <v>15.909940000000001</v>
      </c>
    </row>
    <row r="6174" spans="27:32" ht="15">
      <c r="AA6174" s="463" t="s">
        <v>19438</v>
      </c>
      <c r="AB6174" s="462" t="s">
        <v>19439</v>
      </c>
      <c r="AC6174" s="462" t="s">
        <v>19440</v>
      </c>
      <c r="AD6174" s="464">
        <v>330.74320999999998</v>
      </c>
      <c r="AE6174" s="465">
        <v>15.909940000000001</v>
      </c>
      <c r="AF6174" s="86">
        <f>IF(verze!$E$1="CZK",AD6174,IF(verze!$E$1="SK",AE6174,""))</f>
        <v>15.909940000000001</v>
      </c>
    </row>
    <row r="6175" spans="27:32" ht="15">
      <c r="AA6175" s="463" t="s">
        <v>19441</v>
      </c>
      <c r="AB6175" s="462" t="s">
        <v>19442</v>
      </c>
      <c r="AC6175" s="462" t="s">
        <v>19443</v>
      </c>
      <c r="AD6175" s="464">
        <v>368.18642</v>
      </c>
      <c r="AE6175" s="465">
        <v>17.711110000000001</v>
      </c>
      <c r="AF6175" s="86">
        <f>IF(verze!$E$1="CZK",AD6175,IF(verze!$E$1="SK",AE6175,""))</f>
        <v>17.711110000000001</v>
      </c>
    </row>
    <row r="6176" spans="27:32" ht="15">
      <c r="AA6176" s="463" t="s">
        <v>19444</v>
      </c>
      <c r="AB6176" s="462" t="s">
        <v>19445</v>
      </c>
      <c r="AC6176" s="462" t="s">
        <v>19446</v>
      </c>
      <c r="AD6176" s="464">
        <v>368.18642</v>
      </c>
      <c r="AE6176" s="465">
        <v>17.711110000000001</v>
      </c>
      <c r="AF6176" s="86">
        <f>IF(verze!$E$1="CZK",AD6176,IF(verze!$E$1="SK",AE6176,""))</f>
        <v>17.711110000000001</v>
      </c>
    </row>
    <row r="6177" spans="27:32" ht="15">
      <c r="AA6177" s="463" t="s">
        <v>19447</v>
      </c>
      <c r="AB6177" s="462" t="s">
        <v>19448</v>
      </c>
      <c r="AC6177" s="462" t="s">
        <v>19449</v>
      </c>
      <c r="AD6177" s="464">
        <v>368.18642</v>
      </c>
      <c r="AE6177" s="465">
        <v>17.711110000000001</v>
      </c>
      <c r="AF6177" s="86">
        <f>IF(verze!$E$1="CZK",AD6177,IF(verze!$E$1="SK",AE6177,""))</f>
        <v>17.711110000000001</v>
      </c>
    </row>
    <row r="6178" spans="27:32" ht="15">
      <c r="AA6178" s="463" t="s">
        <v>19450</v>
      </c>
      <c r="AB6178" s="462" t="s">
        <v>19451</v>
      </c>
      <c r="AC6178" s="462" t="s">
        <v>19452</v>
      </c>
      <c r="AD6178" s="464">
        <v>368.18642</v>
      </c>
      <c r="AE6178" s="465">
        <v>17.711110000000001</v>
      </c>
      <c r="AF6178" s="86">
        <f>IF(verze!$E$1="CZK",AD6178,IF(verze!$E$1="SK",AE6178,""))</f>
        <v>17.711110000000001</v>
      </c>
    </row>
    <row r="6179" spans="27:32" ht="15">
      <c r="AA6179" s="463" t="s">
        <v>19453</v>
      </c>
      <c r="AB6179" s="462" t="s">
        <v>19454</v>
      </c>
      <c r="AC6179" s="462" t="s">
        <v>19455</v>
      </c>
      <c r="AD6179" s="464">
        <v>330.36642000000001</v>
      </c>
      <c r="AE6179" s="465">
        <v>15.89181</v>
      </c>
      <c r="AF6179" s="86">
        <f>IF(verze!$E$1="CZK",AD6179,IF(verze!$E$1="SK",AE6179,""))</f>
        <v>15.89181</v>
      </c>
    </row>
    <row r="6180" spans="27:32" ht="15">
      <c r="AA6180" s="463" t="s">
        <v>19456</v>
      </c>
      <c r="AB6180" s="462" t="s">
        <v>19457</v>
      </c>
      <c r="AC6180" s="462" t="s">
        <v>19458</v>
      </c>
      <c r="AD6180" s="464">
        <v>330.36642000000001</v>
      </c>
      <c r="AE6180" s="465">
        <v>15.89181</v>
      </c>
      <c r="AF6180" s="86">
        <f>IF(verze!$E$1="CZK",AD6180,IF(verze!$E$1="SK",AE6180,""))</f>
        <v>15.89181</v>
      </c>
    </row>
    <row r="6181" spans="27:32" ht="15">
      <c r="AA6181" s="463" t="s">
        <v>19459</v>
      </c>
      <c r="AB6181" s="462" t="s">
        <v>19460</v>
      </c>
      <c r="AC6181" s="462" t="s">
        <v>19461</v>
      </c>
      <c r="AD6181" s="464">
        <v>330.83202</v>
      </c>
      <c r="AE6181" s="465">
        <v>15.91422</v>
      </c>
      <c r="AF6181" s="86">
        <f>IF(verze!$E$1="CZK",AD6181,IF(verze!$E$1="SK",AE6181,""))</f>
        <v>15.91422</v>
      </c>
    </row>
    <row r="6182" spans="27:32" ht="15">
      <c r="AA6182" s="463" t="s">
        <v>19462</v>
      </c>
      <c r="AB6182" s="462" t="s">
        <v>19463</v>
      </c>
      <c r="AC6182" s="462" t="s">
        <v>19464</v>
      </c>
      <c r="AD6182" s="464">
        <v>330.83202</v>
      </c>
      <c r="AE6182" s="465">
        <v>15.91422</v>
      </c>
      <c r="AF6182" s="86">
        <f>IF(verze!$E$1="CZK",AD6182,IF(verze!$E$1="SK",AE6182,""))</f>
        <v>15.91422</v>
      </c>
    </row>
    <row r="6183" spans="27:32" ht="15">
      <c r="AA6183" s="463" t="s">
        <v>19465</v>
      </c>
      <c r="AB6183" s="462" t="s">
        <v>19466</v>
      </c>
      <c r="AC6183" s="462" t="s">
        <v>19467</v>
      </c>
      <c r="AD6183" s="464">
        <v>330.83202</v>
      </c>
      <c r="AE6183" s="465">
        <v>15.91422</v>
      </c>
      <c r="AF6183" s="86">
        <f>IF(verze!$E$1="CZK",AD6183,IF(verze!$E$1="SK",AE6183,""))</f>
        <v>15.91422</v>
      </c>
    </row>
    <row r="6184" spans="27:32" ht="15">
      <c r="AA6184" s="463" t="s">
        <v>19468</v>
      </c>
      <c r="AB6184" s="462" t="s">
        <v>19469</v>
      </c>
      <c r="AC6184" s="462" t="s">
        <v>19470</v>
      </c>
      <c r="AD6184" s="464">
        <v>330.83202</v>
      </c>
      <c r="AE6184" s="465">
        <v>15.91422</v>
      </c>
      <c r="AF6184" s="86">
        <f>IF(verze!$E$1="CZK",AD6184,IF(verze!$E$1="SK",AE6184,""))</f>
        <v>15.91422</v>
      </c>
    </row>
    <row r="6185" spans="27:32" ht="15">
      <c r="AA6185" s="463" t="s">
        <v>19471</v>
      </c>
      <c r="AB6185" s="462" t="s">
        <v>19472</v>
      </c>
      <c r="AC6185" s="462" t="s">
        <v>19473</v>
      </c>
      <c r="AD6185" s="464">
        <v>330.83202</v>
      </c>
      <c r="AE6185" s="465">
        <v>15.91422</v>
      </c>
      <c r="AF6185" s="86">
        <f>IF(verze!$E$1="CZK",AD6185,IF(verze!$E$1="SK",AE6185,""))</f>
        <v>15.91422</v>
      </c>
    </row>
    <row r="6186" spans="27:32" ht="15">
      <c r="AA6186" s="463" t="s">
        <v>19474</v>
      </c>
      <c r="AB6186" s="462" t="s">
        <v>19475</v>
      </c>
      <c r="AC6186" s="462" t="s">
        <v>19476</v>
      </c>
      <c r="AD6186" s="464">
        <v>330.83202</v>
      </c>
      <c r="AE6186" s="465">
        <v>15.91422</v>
      </c>
      <c r="AF6186" s="86">
        <f>IF(verze!$E$1="CZK",AD6186,IF(verze!$E$1="SK",AE6186,""))</f>
        <v>15.91422</v>
      </c>
    </row>
    <row r="6187" spans="27:32" ht="15">
      <c r="AA6187" s="463" t="s">
        <v>19477</v>
      </c>
      <c r="AB6187" s="462" t="s">
        <v>19478</v>
      </c>
      <c r="AC6187" s="462" t="s">
        <v>19479</v>
      </c>
      <c r="AD6187" s="464">
        <v>333.95233000000002</v>
      </c>
      <c r="AE6187" s="465">
        <v>16.064309999999999</v>
      </c>
      <c r="AF6187" s="86">
        <f>IF(verze!$E$1="CZK",AD6187,IF(verze!$E$1="SK",AE6187,""))</f>
        <v>16.064309999999999</v>
      </c>
    </row>
    <row r="6188" spans="27:32" ht="15">
      <c r="AA6188" s="463" t="s">
        <v>19480</v>
      </c>
      <c r="AB6188" s="462" t="s">
        <v>19481</v>
      </c>
      <c r="AC6188" s="462" t="s">
        <v>19482</v>
      </c>
      <c r="AD6188" s="464">
        <v>333.95233000000002</v>
      </c>
      <c r="AE6188" s="465">
        <v>16.064309999999999</v>
      </c>
      <c r="AF6188" s="86">
        <f>IF(verze!$E$1="CZK",AD6188,IF(verze!$E$1="SK",AE6188,""))</f>
        <v>16.064309999999999</v>
      </c>
    </row>
    <row r="6189" spans="27:32" ht="15">
      <c r="AA6189" s="463" t="s">
        <v>19483</v>
      </c>
      <c r="AB6189" s="462" t="s">
        <v>19484</v>
      </c>
      <c r="AC6189" s="462" t="s">
        <v>19485</v>
      </c>
      <c r="AD6189" s="464">
        <v>333.95233000000002</v>
      </c>
      <c r="AE6189" s="465">
        <v>16.064309999999999</v>
      </c>
      <c r="AF6189" s="86">
        <f>IF(verze!$E$1="CZK",AD6189,IF(verze!$E$1="SK",AE6189,""))</f>
        <v>16.064309999999999</v>
      </c>
    </row>
    <row r="6190" spans="27:32" ht="15">
      <c r="AA6190" s="463" t="s">
        <v>19486</v>
      </c>
      <c r="AB6190" s="462" t="s">
        <v>19487</v>
      </c>
      <c r="AC6190" s="462" t="s">
        <v>19488</v>
      </c>
      <c r="AD6190" s="464">
        <v>333.95233000000002</v>
      </c>
      <c r="AE6190" s="465">
        <v>16.064309999999999</v>
      </c>
      <c r="AF6190" s="86">
        <f>IF(verze!$E$1="CZK",AD6190,IF(verze!$E$1="SK",AE6190,""))</f>
        <v>16.064309999999999</v>
      </c>
    </row>
    <row r="6191" spans="27:32" ht="15">
      <c r="AA6191" s="463" t="s">
        <v>19489</v>
      </c>
      <c r="AB6191" s="462" t="s">
        <v>19490</v>
      </c>
      <c r="AC6191" s="462" t="s">
        <v>19491</v>
      </c>
      <c r="AD6191" s="464">
        <v>337.07013999999998</v>
      </c>
      <c r="AE6191" s="465">
        <v>16.214310000000001</v>
      </c>
      <c r="AF6191" s="86">
        <f>IF(verze!$E$1="CZK",AD6191,IF(verze!$E$1="SK",AE6191,""))</f>
        <v>16.214310000000001</v>
      </c>
    </row>
    <row r="6192" spans="27:32" ht="15">
      <c r="AA6192" s="463" t="s">
        <v>19492</v>
      </c>
      <c r="AB6192" s="462" t="s">
        <v>19493</v>
      </c>
      <c r="AC6192" s="462" t="s">
        <v>19494</v>
      </c>
      <c r="AD6192" s="464">
        <v>337.07013999999998</v>
      </c>
      <c r="AE6192" s="465">
        <v>16.214310000000001</v>
      </c>
      <c r="AF6192" s="86">
        <f>IF(verze!$E$1="CZK",AD6192,IF(verze!$E$1="SK",AE6192,""))</f>
        <v>16.214310000000001</v>
      </c>
    </row>
    <row r="6193" spans="27:32" ht="15">
      <c r="AA6193" s="463" t="s">
        <v>19495</v>
      </c>
      <c r="AB6193" s="462" t="s">
        <v>19496</v>
      </c>
      <c r="AC6193" s="462" t="s">
        <v>19497</v>
      </c>
      <c r="AD6193" s="464">
        <v>337.07013999999998</v>
      </c>
      <c r="AE6193" s="465">
        <v>16.214310000000001</v>
      </c>
      <c r="AF6193" s="86">
        <f>IF(verze!$E$1="CZK",AD6193,IF(verze!$E$1="SK",AE6193,""))</f>
        <v>16.214310000000001</v>
      </c>
    </row>
    <row r="6194" spans="27:32" ht="15">
      <c r="AA6194" s="463" t="s">
        <v>19498</v>
      </c>
      <c r="AB6194" s="462" t="s">
        <v>19499</v>
      </c>
      <c r="AC6194" s="462" t="s">
        <v>19500</v>
      </c>
      <c r="AD6194" s="464">
        <v>337.07013999999998</v>
      </c>
      <c r="AE6194" s="465">
        <v>16.214310000000001</v>
      </c>
      <c r="AF6194" s="86">
        <f>IF(verze!$E$1="CZK",AD6194,IF(verze!$E$1="SK",AE6194,""))</f>
        <v>16.214310000000001</v>
      </c>
    </row>
    <row r="6195" spans="27:32" ht="15">
      <c r="AA6195" s="463" t="s">
        <v>19501</v>
      </c>
      <c r="AB6195" s="462" t="s">
        <v>19502</v>
      </c>
      <c r="AC6195" s="462" t="s">
        <v>19503</v>
      </c>
      <c r="AD6195" s="464">
        <v>340.18806999999998</v>
      </c>
      <c r="AE6195" s="465">
        <v>16.364270000000001</v>
      </c>
      <c r="AF6195" s="86">
        <f>IF(verze!$E$1="CZK",AD6195,IF(verze!$E$1="SK",AE6195,""))</f>
        <v>16.364270000000001</v>
      </c>
    </row>
    <row r="6196" spans="27:32" ht="15">
      <c r="AA6196" s="463" t="s">
        <v>19504</v>
      </c>
      <c r="AB6196" s="462" t="s">
        <v>19505</v>
      </c>
      <c r="AC6196" s="462" t="s">
        <v>19506</v>
      </c>
      <c r="AD6196" s="464">
        <v>340.18806999999998</v>
      </c>
      <c r="AE6196" s="465">
        <v>16.364270000000001</v>
      </c>
      <c r="AF6196" s="86">
        <f>IF(verze!$E$1="CZK",AD6196,IF(verze!$E$1="SK",AE6196,""))</f>
        <v>16.364270000000001</v>
      </c>
    </row>
    <row r="6197" spans="27:32" ht="15">
      <c r="AA6197" s="463" t="s">
        <v>19507</v>
      </c>
      <c r="AB6197" s="462" t="s">
        <v>19508</v>
      </c>
      <c r="AC6197" s="462" t="s">
        <v>19509</v>
      </c>
      <c r="AD6197" s="464">
        <v>340.18806999999998</v>
      </c>
      <c r="AE6197" s="465">
        <v>16.364270000000001</v>
      </c>
      <c r="AF6197" s="86">
        <f>IF(verze!$E$1="CZK",AD6197,IF(verze!$E$1="SK",AE6197,""))</f>
        <v>16.364270000000001</v>
      </c>
    </row>
    <row r="6198" spans="27:32" ht="15">
      <c r="AA6198" s="463" t="s">
        <v>19510</v>
      </c>
      <c r="AB6198" s="462" t="s">
        <v>19511</v>
      </c>
      <c r="AC6198" s="462" t="s">
        <v>19512</v>
      </c>
      <c r="AD6198" s="464">
        <v>340.18806999999998</v>
      </c>
      <c r="AE6198" s="465">
        <v>16.364270000000001</v>
      </c>
      <c r="AF6198" s="86">
        <f>IF(verze!$E$1="CZK",AD6198,IF(verze!$E$1="SK",AE6198,""))</f>
        <v>16.364270000000001</v>
      </c>
    </row>
    <row r="6199" spans="27:32" ht="15">
      <c r="AA6199" s="463" t="s">
        <v>19513</v>
      </c>
      <c r="AB6199" s="462" t="s">
        <v>19514</v>
      </c>
      <c r="AC6199" s="462" t="s">
        <v>19515</v>
      </c>
      <c r="AD6199" s="464">
        <v>358.91206</v>
      </c>
      <c r="AE6199" s="465">
        <v>17.264959999999999</v>
      </c>
      <c r="AF6199" s="86">
        <f>IF(verze!$E$1="CZK",AD6199,IF(verze!$E$1="SK",AE6199,""))</f>
        <v>17.264959999999999</v>
      </c>
    </row>
    <row r="6200" spans="27:32" ht="15">
      <c r="AA6200" s="463" t="s">
        <v>19516</v>
      </c>
      <c r="AB6200" s="462" t="s">
        <v>19517</v>
      </c>
      <c r="AC6200" s="462" t="s">
        <v>19518</v>
      </c>
      <c r="AD6200" s="464">
        <v>358.91206</v>
      </c>
      <c r="AE6200" s="465">
        <v>17.264959999999999</v>
      </c>
      <c r="AF6200" s="86">
        <f>IF(verze!$E$1="CZK",AD6200,IF(verze!$E$1="SK",AE6200,""))</f>
        <v>17.264959999999999</v>
      </c>
    </row>
    <row r="6201" spans="27:32" ht="15">
      <c r="AA6201" s="463" t="s">
        <v>19519</v>
      </c>
      <c r="AB6201" s="462" t="s">
        <v>19520</v>
      </c>
      <c r="AC6201" s="462" t="s">
        <v>19521</v>
      </c>
      <c r="AD6201" s="464">
        <v>358.91206</v>
      </c>
      <c r="AE6201" s="465">
        <v>17.264959999999999</v>
      </c>
      <c r="AF6201" s="86">
        <f>IF(verze!$E$1="CZK",AD6201,IF(verze!$E$1="SK",AE6201,""))</f>
        <v>17.264959999999999</v>
      </c>
    </row>
    <row r="6202" spans="27:32" ht="15">
      <c r="AA6202" s="463" t="s">
        <v>19522</v>
      </c>
      <c r="AB6202" s="462" t="s">
        <v>19523</v>
      </c>
      <c r="AC6202" s="462" t="s">
        <v>19524</v>
      </c>
      <c r="AD6202" s="464">
        <v>358.91206</v>
      </c>
      <c r="AE6202" s="465">
        <v>17.264959999999999</v>
      </c>
      <c r="AF6202" s="86">
        <f>IF(verze!$E$1="CZK",AD6202,IF(verze!$E$1="SK",AE6202,""))</f>
        <v>17.264959999999999</v>
      </c>
    </row>
    <row r="6203" spans="27:32" ht="15">
      <c r="AA6203" s="463" t="s">
        <v>19525</v>
      </c>
      <c r="AB6203" s="462" t="s">
        <v>19526</v>
      </c>
      <c r="AC6203" s="462" t="s">
        <v>19527</v>
      </c>
      <c r="AD6203" s="464">
        <v>396.35527000000002</v>
      </c>
      <c r="AE6203" s="465">
        <v>19.066130000000001</v>
      </c>
      <c r="AF6203" s="86">
        <f>IF(verze!$E$1="CZK",AD6203,IF(verze!$E$1="SK",AE6203,""))</f>
        <v>19.066130000000001</v>
      </c>
    </row>
    <row r="6204" spans="27:32" ht="15">
      <c r="AA6204" s="463" t="s">
        <v>19528</v>
      </c>
      <c r="AB6204" s="462" t="s">
        <v>19529</v>
      </c>
      <c r="AC6204" s="462" t="s">
        <v>19530</v>
      </c>
      <c r="AD6204" s="464">
        <v>396.35527000000002</v>
      </c>
      <c r="AE6204" s="465">
        <v>19.066130000000001</v>
      </c>
      <c r="AF6204" s="86">
        <f>IF(verze!$E$1="CZK",AD6204,IF(verze!$E$1="SK",AE6204,""))</f>
        <v>19.066130000000001</v>
      </c>
    </row>
    <row r="6205" spans="27:32" ht="15">
      <c r="AA6205" s="463" t="s">
        <v>19531</v>
      </c>
      <c r="AB6205" s="462" t="s">
        <v>19532</v>
      </c>
      <c r="AC6205" s="462" t="s">
        <v>19533</v>
      </c>
      <c r="AD6205" s="464">
        <v>396.35527000000002</v>
      </c>
      <c r="AE6205" s="465">
        <v>19.066130000000001</v>
      </c>
      <c r="AF6205" s="86">
        <f>IF(verze!$E$1="CZK",AD6205,IF(verze!$E$1="SK",AE6205,""))</f>
        <v>19.066130000000001</v>
      </c>
    </row>
    <row r="6206" spans="27:32" ht="15">
      <c r="AA6206" s="463" t="s">
        <v>19534</v>
      </c>
      <c r="AB6206" s="462" t="s">
        <v>19535</v>
      </c>
      <c r="AC6206" s="462" t="s">
        <v>19536</v>
      </c>
      <c r="AD6206" s="464">
        <v>396.35527000000002</v>
      </c>
      <c r="AE6206" s="465">
        <v>19.066130000000001</v>
      </c>
      <c r="AF6206" s="86">
        <f>IF(verze!$E$1="CZK",AD6206,IF(verze!$E$1="SK",AE6206,""))</f>
        <v>19.066130000000001</v>
      </c>
    </row>
    <row r="6207" spans="27:32" ht="15">
      <c r="AA6207" s="463" t="s">
        <v>19537</v>
      </c>
      <c r="AB6207" s="462" t="s">
        <v>19538</v>
      </c>
      <c r="AC6207" s="462" t="s">
        <v>19539</v>
      </c>
      <c r="AD6207" s="464">
        <v>682.79787999999996</v>
      </c>
      <c r="AE6207" s="465">
        <v>32.845050000000001</v>
      </c>
      <c r="AF6207" s="86">
        <f>IF(verze!$E$1="CZK",AD6207,IF(verze!$E$1="SK",AE6207,""))</f>
        <v>32.845050000000001</v>
      </c>
    </row>
    <row r="6208" spans="27:32" ht="15">
      <c r="AA6208" s="463" t="s">
        <v>19540</v>
      </c>
      <c r="AB6208" s="462" t="s">
        <v>19541</v>
      </c>
      <c r="AC6208" s="462" t="s">
        <v>19542</v>
      </c>
      <c r="AD6208" s="464">
        <v>682.79787999999996</v>
      </c>
      <c r="AE6208" s="465">
        <v>32.845050000000001</v>
      </c>
      <c r="AF6208" s="86">
        <f>IF(verze!$E$1="CZK",AD6208,IF(verze!$E$1="SK",AE6208,""))</f>
        <v>32.845050000000001</v>
      </c>
    </row>
    <row r="6209" spans="27:32" ht="15">
      <c r="AA6209" s="463" t="s">
        <v>19543</v>
      </c>
      <c r="AB6209" s="462" t="s">
        <v>19544</v>
      </c>
      <c r="AC6209" s="462" t="s">
        <v>19545</v>
      </c>
      <c r="AD6209" s="464">
        <v>683.73395000000005</v>
      </c>
      <c r="AE6209" s="465">
        <v>32.890070000000001</v>
      </c>
      <c r="AF6209" s="86">
        <f>IF(verze!$E$1="CZK",AD6209,IF(verze!$E$1="SK",AE6209,""))</f>
        <v>32.890070000000001</v>
      </c>
    </row>
    <row r="6210" spans="27:32" ht="15">
      <c r="AA6210" s="463" t="s">
        <v>19546</v>
      </c>
      <c r="AB6210" s="462" t="s">
        <v>19547</v>
      </c>
      <c r="AC6210" s="462" t="s">
        <v>19548</v>
      </c>
      <c r="AD6210" s="464">
        <v>683.73395000000005</v>
      </c>
      <c r="AE6210" s="465">
        <v>32.890070000000001</v>
      </c>
      <c r="AF6210" s="86">
        <f>IF(verze!$E$1="CZK",AD6210,IF(verze!$E$1="SK",AE6210,""))</f>
        <v>32.890070000000001</v>
      </c>
    </row>
    <row r="6211" spans="27:32" ht="15">
      <c r="AA6211" s="463" t="s">
        <v>19549</v>
      </c>
      <c r="AB6211" s="462" t="s">
        <v>19550</v>
      </c>
      <c r="AC6211" s="462" t="s">
        <v>19551</v>
      </c>
      <c r="AD6211" s="464">
        <v>683.73395000000005</v>
      </c>
      <c r="AE6211" s="465">
        <v>32.890070000000001</v>
      </c>
      <c r="AF6211" s="86">
        <f>IF(verze!$E$1="CZK",AD6211,IF(verze!$E$1="SK",AE6211,""))</f>
        <v>32.890070000000001</v>
      </c>
    </row>
    <row r="6212" spans="27:32" ht="15">
      <c r="AA6212" s="463" t="s">
        <v>19552</v>
      </c>
      <c r="AB6212" s="462" t="s">
        <v>19553</v>
      </c>
      <c r="AC6212" s="462" t="s">
        <v>19554</v>
      </c>
      <c r="AD6212" s="464">
        <v>682.79787999999996</v>
      </c>
      <c r="AE6212" s="465">
        <v>32.845050000000001</v>
      </c>
      <c r="AF6212" s="86">
        <f>IF(verze!$E$1="CZK",AD6212,IF(verze!$E$1="SK",AE6212,""))</f>
        <v>32.845050000000001</v>
      </c>
    </row>
    <row r="6213" spans="27:32" ht="15">
      <c r="AA6213" s="463" t="s">
        <v>19555</v>
      </c>
      <c r="AB6213" s="462" t="s">
        <v>19556</v>
      </c>
      <c r="AC6213" s="462" t="s">
        <v>19557</v>
      </c>
      <c r="AD6213" s="464">
        <v>682.79787999999996</v>
      </c>
      <c r="AE6213" s="465">
        <v>32.845050000000001</v>
      </c>
      <c r="AF6213" s="86">
        <f>IF(verze!$E$1="CZK",AD6213,IF(verze!$E$1="SK",AE6213,""))</f>
        <v>32.845050000000001</v>
      </c>
    </row>
    <row r="6214" spans="27:32" ht="15">
      <c r="AA6214" s="463" t="s">
        <v>19558</v>
      </c>
      <c r="AB6214" s="462" t="s">
        <v>19559</v>
      </c>
      <c r="AC6214" s="462" t="s">
        <v>19560</v>
      </c>
      <c r="AD6214" s="464">
        <v>683.73395000000005</v>
      </c>
      <c r="AE6214" s="465">
        <v>32.890070000000001</v>
      </c>
      <c r="AF6214" s="86">
        <f>IF(verze!$E$1="CZK",AD6214,IF(verze!$E$1="SK",AE6214,""))</f>
        <v>32.890070000000001</v>
      </c>
    </row>
    <row r="6215" spans="27:32" ht="15">
      <c r="AA6215" s="463" t="s">
        <v>19561</v>
      </c>
      <c r="AB6215" s="462" t="s">
        <v>19562</v>
      </c>
      <c r="AC6215" s="462" t="s">
        <v>19563</v>
      </c>
      <c r="AD6215" s="464">
        <v>683.73395000000005</v>
      </c>
      <c r="AE6215" s="465">
        <v>32.890070000000001</v>
      </c>
      <c r="AF6215" s="86">
        <f>IF(verze!$E$1="CZK",AD6215,IF(verze!$E$1="SK",AE6215,""))</f>
        <v>32.890070000000001</v>
      </c>
    </row>
    <row r="6216" spans="27:32" ht="15">
      <c r="AA6216" s="463" t="s">
        <v>19564</v>
      </c>
      <c r="AB6216" s="462" t="s">
        <v>19565</v>
      </c>
      <c r="AC6216" s="462" t="s">
        <v>19566</v>
      </c>
      <c r="AD6216" s="464">
        <v>683.73395000000005</v>
      </c>
      <c r="AE6216" s="465">
        <v>32.890070000000001</v>
      </c>
      <c r="AF6216" s="86">
        <f>IF(verze!$E$1="CZK",AD6216,IF(verze!$E$1="SK",AE6216,""))</f>
        <v>32.890070000000001</v>
      </c>
    </row>
    <row r="6217" spans="27:32" ht="15">
      <c r="AA6217" s="463" t="s">
        <v>19567</v>
      </c>
      <c r="AB6217" s="462" t="s">
        <v>19568</v>
      </c>
      <c r="AC6217" s="462" t="s">
        <v>19569</v>
      </c>
      <c r="AD6217" s="464">
        <v>689.97207000000003</v>
      </c>
      <c r="AE6217" s="465">
        <v>33.19014</v>
      </c>
      <c r="AF6217" s="86">
        <f>IF(verze!$E$1="CZK",AD6217,IF(verze!$E$1="SK",AE6217,""))</f>
        <v>33.19014</v>
      </c>
    </row>
    <row r="6218" spans="27:32" ht="15">
      <c r="AA6218" s="463" t="s">
        <v>19570</v>
      </c>
      <c r="AB6218" s="462" t="s">
        <v>19571</v>
      </c>
      <c r="AC6218" s="462" t="s">
        <v>19572</v>
      </c>
      <c r="AD6218" s="464">
        <v>689.97207000000003</v>
      </c>
      <c r="AE6218" s="465">
        <v>33.19014</v>
      </c>
      <c r="AF6218" s="86">
        <f>IF(verze!$E$1="CZK",AD6218,IF(verze!$E$1="SK",AE6218,""))</f>
        <v>33.19014</v>
      </c>
    </row>
    <row r="6219" spans="27:32" ht="15">
      <c r="AA6219" s="463" t="s">
        <v>19573</v>
      </c>
      <c r="AB6219" s="462" t="s">
        <v>19574</v>
      </c>
      <c r="AC6219" s="462" t="s">
        <v>19575</v>
      </c>
      <c r="AD6219" s="464">
        <v>696.21743000000004</v>
      </c>
      <c r="AE6219" s="465">
        <v>33.490569999999998</v>
      </c>
      <c r="AF6219" s="86">
        <f>IF(verze!$E$1="CZK",AD6219,IF(verze!$E$1="SK",AE6219,""))</f>
        <v>33.490569999999998</v>
      </c>
    </row>
    <row r="6220" spans="27:32" ht="15">
      <c r="AA6220" s="463" t="s">
        <v>19576</v>
      </c>
      <c r="AB6220" s="462" t="s">
        <v>19577</v>
      </c>
      <c r="AC6220" s="462" t="s">
        <v>19578</v>
      </c>
      <c r="AD6220" s="464">
        <v>696.21743000000004</v>
      </c>
      <c r="AE6220" s="465">
        <v>33.490569999999998</v>
      </c>
      <c r="AF6220" s="86">
        <f>IF(verze!$E$1="CZK",AD6220,IF(verze!$E$1="SK",AE6220,""))</f>
        <v>33.490569999999998</v>
      </c>
    </row>
    <row r="6221" spans="27:32" ht="15">
      <c r="AA6221" s="463" t="s">
        <v>19579</v>
      </c>
      <c r="AB6221" s="462" t="s">
        <v>19580</v>
      </c>
      <c r="AC6221" s="462" t="s">
        <v>19581</v>
      </c>
      <c r="AD6221" s="464">
        <v>702.45555000000002</v>
      </c>
      <c r="AE6221" s="465">
        <v>33.790660000000003</v>
      </c>
      <c r="AF6221" s="86">
        <f>IF(verze!$E$1="CZK",AD6221,IF(verze!$E$1="SK",AE6221,""))</f>
        <v>33.790660000000003</v>
      </c>
    </row>
    <row r="6222" spans="27:32" ht="15">
      <c r="AA6222" s="463" t="s">
        <v>19582</v>
      </c>
      <c r="AB6222" s="462" t="s">
        <v>19583</v>
      </c>
      <c r="AC6222" s="462" t="s">
        <v>19584</v>
      </c>
      <c r="AD6222" s="464">
        <v>702.45555000000002</v>
      </c>
      <c r="AE6222" s="465">
        <v>33.790660000000003</v>
      </c>
      <c r="AF6222" s="86">
        <f>IF(verze!$E$1="CZK",AD6222,IF(verze!$E$1="SK",AE6222,""))</f>
        <v>33.790660000000003</v>
      </c>
    </row>
    <row r="6223" spans="27:32" ht="15">
      <c r="AA6223" s="463" t="s">
        <v>19585</v>
      </c>
      <c r="AB6223" s="462" t="s">
        <v>19586</v>
      </c>
      <c r="AC6223" s="462" t="s">
        <v>19587</v>
      </c>
      <c r="AD6223" s="464">
        <v>739.89639</v>
      </c>
      <c r="AE6223" s="465">
        <v>35.591679999999997</v>
      </c>
      <c r="AF6223" s="86">
        <f>IF(verze!$E$1="CZK",AD6223,IF(verze!$E$1="SK",AE6223,""))</f>
        <v>35.591679999999997</v>
      </c>
    </row>
    <row r="6224" spans="27:32" ht="15">
      <c r="AA6224" s="463" t="s">
        <v>19588</v>
      </c>
      <c r="AB6224" s="462" t="s">
        <v>19589</v>
      </c>
      <c r="AC6224" s="462" t="s">
        <v>19590</v>
      </c>
      <c r="AD6224" s="464">
        <v>739.89639</v>
      </c>
      <c r="AE6224" s="465">
        <v>35.591679999999997</v>
      </c>
      <c r="AF6224" s="86">
        <f>IF(verze!$E$1="CZK",AD6224,IF(verze!$E$1="SK",AE6224,""))</f>
        <v>35.591679999999997</v>
      </c>
    </row>
    <row r="6225" spans="27:32" ht="15">
      <c r="AA6225" s="463" t="s">
        <v>19591</v>
      </c>
      <c r="AB6225" s="462" t="s">
        <v>19592</v>
      </c>
      <c r="AC6225" s="462" t="s">
        <v>19593</v>
      </c>
      <c r="AD6225" s="464">
        <v>814.78507999999999</v>
      </c>
      <c r="AE6225" s="465">
        <v>39.194110000000002</v>
      </c>
      <c r="AF6225" s="86">
        <f>IF(verze!$E$1="CZK",AD6225,IF(verze!$E$1="SK",AE6225,""))</f>
        <v>39.194110000000002</v>
      </c>
    </row>
    <row r="6226" spans="27:32" ht="15">
      <c r="AA6226" s="463" t="s">
        <v>19594</v>
      </c>
      <c r="AB6226" s="462" t="s">
        <v>19595</v>
      </c>
      <c r="AC6226" s="462" t="s">
        <v>19596</v>
      </c>
      <c r="AD6226" s="464">
        <v>814.78507999999999</v>
      </c>
      <c r="AE6226" s="465">
        <v>39.194110000000002</v>
      </c>
      <c r="AF6226" s="86">
        <f>IF(verze!$E$1="CZK",AD6226,IF(verze!$E$1="SK",AE6226,""))</f>
        <v>39.194110000000002</v>
      </c>
    </row>
    <row r="6227" spans="27:32" ht="15">
      <c r="AA6227" s="463" t="s">
        <v>19597</v>
      </c>
      <c r="AB6227" s="462" t="s">
        <v>19598</v>
      </c>
      <c r="AC6227" s="462" t="s">
        <v>19599</v>
      </c>
      <c r="AD6227" s="464">
        <v>739.13545999999997</v>
      </c>
      <c r="AE6227" s="465">
        <v>35.555079999999997</v>
      </c>
      <c r="AF6227" s="86">
        <f>IF(verze!$E$1="CZK",AD6227,IF(verze!$E$1="SK",AE6227,""))</f>
        <v>35.555079999999997</v>
      </c>
    </row>
    <row r="6228" spans="27:32" ht="15">
      <c r="AA6228" s="463" t="s">
        <v>19600</v>
      </c>
      <c r="AB6228" s="462" t="s">
        <v>19601</v>
      </c>
      <c r="AC6228" s="462" t="s">
        <v>19602</v>
      </c>
      <c r="AD6228" s="464">
        <v>740.07155</v>
      </c>
      <c r="AE6228" s="465">
        <v>35.600119999999997</v>
      </c>
      <c r="AF6228" s="86">
        <f>IF(verze!$E$1="CZK",AD6228,IF(verze!$E$1="SK",AE6228,""))</f>
        <v>35.600119999999997</v>
      </c>
    </row>
    <row r="6229" spans="27:32" ht="15">
      <c r="AA6229" s="463" t="s">
        <v>19603</v>
      </c>
      <c r="AB6229" s="462" t="s">
        <v>19604</v>
      </c>
      <c r="AC6229" s="462" t="s">
        <v>19605</v>
      </c>
      <c r="AD6229" s="464">
        <v>740.07155</v>
      </c>
      <c r="AE6229" s="465">
        <v>35.600119999999997</v>
      </c>
      <c r="AF6229" s="86">
        <f>IF(verze!$E$1="CZK",AD6229,IF(verze!$E$1="SK",AE6229,""))</f>
        <v>35.600119999999997</v>
      </c>
    </row>
    <row r="6230" spans="27:32" ht="15">
      <c r="AA6230" s="463" t="s">
        <v>19606</v>
      </c>
      <c r="AB6230" s="462" t="s">
        <v>19607</v>
      </c>
      <c r="AC6230" s="462" t="s">
        <v>19608</v>
      </c>
      <c r="AD6230" s="464">
        <v>740.07155</v>
      </c>
      <c r="AE6230" s="465">
        <v>35.600119999999997</v>
      </c>
      <c r="AF6230" s="86">
        <f>IF(verze!$E$1="CZK",AD6230,IF(verze!$E$1="SK",AE6230,""))</f>
        <v>35.600119999999997</v>
      </c>
    </row>
    <row r="6231" spans="27:32" ht="15">
      <c r="AA6231" s="463" t="s">
        <v>19609</v>
      </c>
      <c r="AB6231" s="462" t="s">
        <v>19610</v>
      </c>
      <c r="AC6231" s="462" t="s">
        <v>19611</v>
      </c>
      <c r="AD6231" s="464">
        <v>746.30966999999998</v>
      </c>
      <c r="AE6231" s="465">
        <v>35.900190000000002</v>
      </c>
      <c r="AF6231" s="86">
        <f>IF(verze!$E$1="CZK",AD6231,IF(verze!$E$1="SK",AE6231,""))</f>
        <v>35.900190000000002</v>
      </c>
    </row>
    <row r="6232" spans="27:32" ht="15">
      <c r="AA6232" s="463" t="s">
        <v>19612</v>
      </c>
      <c r="AB6232" s="462" t="s">
        <v>19613</v>
      </c>
      <c r="AC6232" s="462" t="s">
        <v>19614</v>
      </c>
      <c r="AD6232" s="464">
        <v>746.30966999999998</v>
      </c>
      <c r="AE6232" s="465">
        <v>35.900190000000002</v>
      </c>
      <c r="AF6232" s="86">
        <f>IF(verze!$E$1="CZK",AD6232,IF(verze!$E$1="SK",AE6232,""))</f>
        <v>35.900190000000002</v>
      </c>
    </row>
    <row r="6233" spans="27:32" ht="15">
      <c r="AA6233" s="463" t="s">
        <v>19615</v>
      </c>
      <c r="AB6233" s="462" t="s">
        <v>19616</v>
      </c>
      <c r="AC6233" s="462" t="s">
        <v>19617</v>
      </c>
      <c r="AD6233" s="464">
        <v>752.55502999999999</v>
      </c>
      <c r="AE6233" s="465">
        <v>36.200600000000001</v>
      </c>
      <c r="AF6233" s="86">
        <f>IF(verze!$E$1="CZK",AD6233,IF(verze!$E$1="SK",AE6233,""))</f>
        <v>36.200600000000001</v>
      </c>
    </row>
    <row r="6234" spans="27:32" ht="15">
      <c r="AA6234" s="463" t="s">
        <v>19618</v>
      </c>
      <c r="AB6234" s="462" t="s">
        <v>19619</v>
      </c>
      <c r="AC6234" s="462" t="s">
        <v>19620</v>
      </c>
      <c r="AD6234" s="464">
        <v>752.55502999999999</v>
      </c>
      <c r="AE6234" s="465">
        <v>36.200600000000001</v>
      </c>
      <c r="AF6234" s="86">
        <f>IF(verze!$E$1="CZK",AD6234,IF(verze!$E$1="SK",AE6234,""))</f>
        <v>36.200600000000001</v>
      </c>
    </row>
    <row r="6235" spans="27:32" ht="15">
      <c r="AA6235" s="463" t="s">
        <v>19621</v>
      </c>
      <c r="AB6235" s="462" t="s">
        <v>19622</v>
      </c>
      <c r="AC6235" s="462" t="s">
        <v>19623</v>
      </c>
      <c r="AD6235" s="464">
        <v>758.79314999999997</v>
      </c>
      <c r="AE6235" s="465">
        <v>36.500689999999999</v>
      </c>
      <c r="AF6235" s="86">
        <f>IF(verze!$E$1="CZK",AD6235,IF(verze!$E$1="SK",AE6235,""))</f>
        <v>36.500689999999999</v>
      </c>
    </row>
    <row r="6236" spans="27:32" ht="15">
      <c r="AA6236" s="463" t="s">
        <v>19624</v>
      </c>
      <c r="AB6236" s="462" t="s">
        <v>19625</v>
      </c>
      <c r="AC6236" s="462" t="s">
        <v>19626</v>
      </c>
      <c r="AD6236" s="464">
        <v>758.79314999999997</v>
      </c>
      <c r="AE6236" s="465">
        <v>36.500689999999999</v>
      </c>
      <c r="AF6236" s="86">
        <f>IF(verze!$E$1="CZK",AD6236,IF(verze!$E$1="SK",AE6236,""))</f>
        <v>36.500689999999999</v>
      </c>
    </row>
    <row r="6237" spans="27:32" ht="15">
      <c r="AA6237" s="463" t="s">
        <v>19627</v>
      </c>
      <c r="AB6237" s="462" t="s">
        <v>19628</v>
      </c>
      <c r="AC6237" s="462" t="s">
        <v>19629</v>
      </c>
      <c r="AD6237" s="464">
        <v>796.23388</v>
      </c>
      <c r="AE6237" s="465">
        <v>38.301729999999999</v>
      </c>
      <c r="AF6237" s="86">
        <f>IF(verze!$E$1="CZK",AD6237,IF(verze!$E$1="SK",AE6237,""))</f>
        <v>38.301729999999999</v>
      </c>
    </row>
    <row r="6238" spans="27:32" ht="15">
      <c r="AA6238" s="463" t="s">
        <v>19630</v>
      </c>
      <c r="AB6238" s="462" t="s">
        <v>19631</v>
      </c>
      <c r="AC6238" s="462" t="s">
        <v>19632</v>
      </c>
      <c r="AD6238" s="464">
        <v>796.23388</v>
      </c>
      <c r="AE6238" s="465">
        <v>38.301729999999999</v>
      </c>
      <c r="AF6238" s="86">
        <f>IF(verze!$E$1="CZK",AD6238,IF(verze!$E$1="SK",AE6238,""))</f>
        <v>38.301729999999999</v>
      </c>
    </row>
    <row r="6239" spans="27:32" ht="15">
      <c r="AA6239" s="463" t="s">
        <v>19633</v>
      </c>
      <c r="AB6239" s="462" t="s">
        <v>19634</v>
      </c>
      <c r="AC6239" s="462" t="s">
        <v>19635</v>
      </c>
      <c r="AD6239" s="464">
        <v>871.12266999999997</v>
      </c>
      <c r="AE6239" s="465">
        <v>41.904159999999997</v>
      </c>
      <c r="AF6239" s="86">
        <f>IF(verze!$E$1="CZK",AD6239,IF(verze!$E$1="SK",AE6239,""))</f>
        <v>41.904159999999997</v>
      </c>
    </row>
    <row r="6240" spans="27:32" ht="15">
      <c r="AA6240" s="463" t="s">
        <v>19636</v>
      </c>
      <c r="AB6240" s="462" t="s">
        <v>19637</v>
      </c>
      <c r="AC6240" s="462" t="s">
        <v>19638</v>
      </c>
      <c r="AD6240" s="464">
        <v>871.12266999999997</v>
      </c>
      <c r="AE6240" s="465">
        <v>41.904159999999997</v>
      </c>
      <c r="AF6240" s="86">
        <f>IF(verze!$E$1="CZK",AD6240,IF(verze!$E$1="SK",AE6240,""))</f>
        <v>41.904159999999997</v>
      </c>
    </row>
    <row r="6241" spans="27:32" ht="15">
      <c r="AA6241" s="463" t="s">
        <v>19639</v>
      </c>
      <c r="AB6241" s="462" t="s">
        <v>19640</v>
      </c>
      <c r="AC6241" s="462" t="s">
        <v>19641</v>
      </c>
      <c r="AD6241" s="464">
        <v>231.58229</v>
      </c>
      <c r="AE6241" s="465">
        <v>11.139950000000001</v>
      </c>
      <c r="AF6241" s="86">
        <f>IF(verze!$E$1="CZK",AD6241,IF(verze!$E$1="SK",AE6241,""))</f>
        <v>11.139950000000001</v>
      </c>
    </row>
    <row r="6242" spans="27:32" ht="15">
      <c r="AA6242" s="463" t="s">
        <v>19642</v>
      </c>
      <c r="AB6242" s="462" t="s">
        <v>19643</v>
      </c>
      <c r="AC6242" s="462" t="s">
        <v>19644</v>
      </c>
      <c r="AD6242" s="464">
        <v>232.05172999999999</v>
      </c>
      <c r="AE6242" s="465">
        <v>11.16253</v>
      </c>
      <c r="AF6242" s="86">
        <f>IF(verze!$E$1="CZK",AD6242,IF(verze!$E$1="SK",AE6242,""))</f>
        <v>11.16253</v>
      </c>
    </row>
    <row r="6243" spans="27:32" ht="15">
      <c r="AA6243" s="463" t="s">
        <v>19645</v>
      </c>
      <c r="AB6243" s="462" t="s">
        <v>19646</v>
      </c>
      <c r="AC6243" s="462" t="s">
        <v>19647</v>
      </c>
      <c r="AD6243" s="464">
        <v>233.92917</v>
      </c>
      <c r="AE6243" s="465">
        <v>11.25285</v>
      </c>
      <c r="AF6243" s="86">
        <f>IF(verze!$E$1="CZK",AD6243,IF(verze!$E$1="SK",AE6243,""))</f>
        <v>11.25285</v>
      </c>
    </row>
    <row r="6244" spans="27:32" ht="15">
      <c r="AA6244" s="463" t="s">
        <v>19648</v>
      </c>
      <c r="AB6244" s="462" t="s">
        <v>19649</v>
      </c>
      <c r="AC6244" s="462" t="s">
        <v>19650</v>
      </c>
      <c r="AD6244" s="464">
        <v>236.74806000000001</v>
      </c>
      <c r="AE6244" s="465">
        <v>11.388450000000001</v>
      </c>
      <c r="AF6244" s="86">
        <f>IF(verze!$E$1="CZK",AD6244,IF(verze!$E$1="SK",AE6244,""))</f>
        <v>11.388450000000001</v>
      </c>
    </row>
    <row r="6245" spans="27:32" ht="15">
      <c r="AA6245" s="463" t="s">
        <v>19651</v>
      </c>
      <c r="AB6245" s="462" t="s">
        <v>19652</v>
      </c>
      <c r="AC6245" s="462" t="s">
        <v>19653</v>
      </c>
      <c r="AD6245" s="464">
        <v>239.56694999999999</v>
      </c>
      <c r="AE6245" s="465">
        <v>11.52402</v>
      </c>
      <c r="AF6245" s="86">
        <f>IF(verze!$E$1="CZK",AD6245,IF(verze!$E$1="SK",AE6245,""))</f>
        <v>11.52402</v>
      </c>
    </row>
    <row r="6246" spans="27:32" ht="15">
      <c r="AA6246" s="463" t="s">
        <v>19654</v>
      </c>
      <c r="AB6246" s="462" t="s">
        <v>19655</v>
      </c>
      <c r="AC6246" s="462" t="s">
        <v>19656</v>
      </c>
      <c r="AD6246" s="464">
        <v>241.4418</v>
      </c>
      <c r="AE6246" s="465">
        <v>11.61422</v>
      </c>
      <c r="AF6246" s="86">
        <f>IF(verze!$E$1="CZK",AD6246,IF(verze!$E$1="SK",AE6246,""))</f>
        <v>11.61422</v>
      </c>
    </row>
    <row r="6247" spans="27:32" ht="15">
      <c r="AA6247" s="463" t="s">
        <v>19657</v>
      </c>
      <c r="AB6247" s="462" t="s">
        <v>19658</v>
      </c>
      <c r="AC6247" s="462" t="s">
        <v>19659</v>
      </c>
      <c r="AD6247" s="464">
        <v>243.31665000000001</v>
      </c>
      <c r="AE6247" s="465">
        <v>11.704409999999999</v>
      </c>
      <c r="AF6247" s="86">
        <f>IF(verze!$E$1="CZK",AD6247,IF(verze!$E$1="SK",AE6247,""))</f>
        <v>11.704409999999999</v>
      </c>
    </row>
    <row r="6248" spans="27:32" ht="15">
      <c r="AA6248" s="463" t="s">
        <v>19660</v>
      </c>
      <c r="AB6248" s="462" t="s">
        <v>19661</v>
      </c>
      <c r="AC6248" s="462" t="s">
        <v>19662</v>
      </c>
      <c r="AD6248" s="464">
        <v>246.13553999999999</v>
      </c>
      <c r="AE6248" s="465">
        <v>11.840009999999999</v>
      </c>
      <c r="AF6248" s="86">
        <f>IF(verze!$E$1="CZK",AD6248,IF(verze!$E$1="SK",AE6248,""))</f>
        <v>11.840009999999999</v>
      </c>
    </row>
    <row r="6249" spans="27:32" ht="15">
      <c r="AA6249" s="463" t="s">
        <v>19663</v>
      </c>
      <c r="AB6249" s="462" t="s">
        <v>19664</v>
      </c>
      <c r="AC6249" s="462" t="s">
        <v>19665</v>
      </c>
      <c r="AD6249" s="464">
        <v>248.95443</v>
      </c>
      <c r="AE6249" s="465">
        <v>11.97561</v>
      </c>
      <c r="AF6249" s="86">
        <f>IF(verze!$E$1="CZK",AD6249,IF(verze!$E$1="SK",AE6249,""))</f>
        <v>11.97561</v>
      </c>
    </row>
    <row r="6250" spans="27:32" ht="15">
      <c r="AA6250" s="463" t="s">
        <v>19666</v>
      </c>
      <c r="AB6250" s="462" t="s">
        <v>19667</v>
      </c>
      <c r="AC6250" s="462" t="s">
        <v>19668</v>
      </c>
      <c r="AD6250" s="464">
        <v>250.83197000000001</v>
      </c>
      <c r="AE6250" s="465">
        <v>12.06593</v>
      </c>
      <c r="AF6250" s="86">
        <f>IF(verze!$E$1="CZK",AD6250,IF(verze!$E$1="SK",AE6250,""))</f>
        <v>12.06593</v>
      </c>
    </row>
    <row r="6251" spans="27:32" ht="15">
      <c r="AA6251" s="463" t="s">
        <v>19669</v>
      </c>
      <c r="AB6251" s="462" t="s">
        <v>19670</v>
      </c>
      <c r="AC6251" s="462" t="s">
        <v>19671</v>
      </c>
      <c r="AD6251" s="464">
        <v>252.70939000000001</v>
      </c>
      <c r="AE6251" s="465">
        <v>12.156230000000001</v>
      </c>
      <c r="AF6251" s="86">
        <f>IF(verze!$E$1="CZK",AD6251,IF(verze!$E$1="SK",AE6251,""))</f>
        <v>12.156230000000001</v>
      </c>
    </row>
    <row r="6252" spans="27:32" ht="15">
      <c r="AA6252" s="463" t="s">
        <v>19672</v>
      </c>
      <c r="AB6252" s="462" t="s">
        <v>19673</v>
      </c>
      <c r="AC6252" s="462" t="s">
        <v>19674</v>
      </c>
      <c r="AD6252" s="464">
        <v>255.52571</v>
      </c>
      <c r="AE6252" s="465">
        <v>12.291700000000001</v>
      </c>
      <c r="AF6252" s="86">
        <f>IF(verze!$E$1="CZK",AD6252,IF(verze!$E$1="SK",AE6252,""))</f>
        <v>12.291700000000001</v>
      </c>
    </row>
    <row r="6253" spans="27:32" ht="15">
      <c r="AA6253" s="463" t="s">
        <v>19675</v>
      </c>
      <c r="AB6253" s="462" t="s">
        <v>19676</v>
      </c>
      <c r="AC6253" s="462" t="s">
        <v>19677</v>
      </c>
      <c r="AD6253" s="464">
        <v>324.32961</v>
      </c>
      <c r="AE6253" s="465">
        <v>15.601430000000001</v>
      </c>
      <c r="AF6253" s="86">
        <f>IF(verze!$E$1="CZK",AD6253,IF(verze!$E$1="SK",AE6253,""))</f>
        <v>15.601430000000001</v>
      </c>
    </row>
    <row r="6254" spans="27:32" ht="15">
      <c r="AA6254" s="463" t="s">
        <v>19678</v>
      </c>
      <c r="AB6254" s="462" t="s">
        <v>19679</v>
      </c>
      <c r="AC6254" s="462" t="s">
        <v>19680</v>
      </c>
      <c r="AD6254" s="464">
        <v>324.77298999999999</v>
      </c>
      <c r="AE6254" s="465">
        <v>15.62276</v>
      </c>
      <c r="AF6254" s="86">
        <f>IF(verze!$E$1="CZK",AD6254,IF(verze!$E$1="SK",AE6254,""))</f>
        <v>15.62276</v>
      </c>
    </row>
    <row r="6255" spans="27:32" ht="15">
      <c r="AA6255" s="463" t="s">
        <v>19681</v>
      </c>
      <c r="AB6255" s="462" t="s">
        <v>19682</v>
      </c>
      <c r="AC6255" s="462" t="s">
        <v>19683</v>
      </c>
      <c r="AD6255" s="464">
        <v>324.77298999999999</v>
      </c>
      <c r="AE6255" s="465">
        <v>15.62276</v>
      </c>
      <c r="AF6255" s="86">
        <f>IF(verze!$E$1="CZK",AD6255,IF(verze!$E$1="SK",AE6255,""))</f>
        <v>15.62276</v>
      </c>
    </row>
    <row r="6256" spans="27:32" ht="15">
      <c r="AA6256" s="463" t="s">
        <v>19684</v>
      </c>
      <c r="AB6256" s="462" t="s">
        <v>19685</v>
      </c>
      <c r="AC6256" s="462" t="s">
        <v>19686</v>
      </c>
      <c r="AD6256" s="464">
        <v>324.77298999999999</v>
      </c>
      <c r="AE6256" s="465">
        <v>15.62276</v>
      </c>
      <c r="AF6256" s="86">
        <f>IF(verze!$E$1="CZK",AD6256,IF(verze!$E$1="SK",AE6256,""))</f>
        <v>15.62276</v>
      </c>
    </row>
    <row r="6257" spans="27:32" ht="15">
      <c r="AA6257" s="463" t="s">
        <v>19687</v>
      </c>
      <c r="AB6257" s="462" t="s">
        <v>19688</v>
      </c>
      <c r="AC6257" s="462" t="s">
        <v>19689</v>
      </c>
      <c r="AD6257" s="464">
        <v>327.73725999999999</v>
      </c>
      <c r="AE6257" s="465">
        <v>15.765330000000001</v>
      </c>
      <c r="AF6257" s="86">
        <f>IF(verze!$E$1="CZK",AD6257,IF(verze!$E$1="SK",AE6257,""))</f>
        <v>15.765330000000001</v>
      </c>
    </row>
    <row r="6258" spans="27:32" ht="15">
      <c r="AA6258" s="463" t="s">
        <v>19690</v>
      </c>
      <c r="AB6258" s="462" t="s">
        <v>19691</v>
      </c>
      <c r="AC6258" s="462" t="s">
        <v>19692</v>
      </c>
      <c r="AD6258" s="464">
        <v>327.73725999999999</v>
      </c>
      <c r="AE6258" s="465">
        <v>15.765330000000001</v>
      </c>
      <c r="AF6258" s="86">
        <f>IF(verze!$E$1="CZK",AD6258,IF(verze!$E$1="SK",AE6258,""))</f>
        <v>15.765330000000001</v>
      </c>
    </row>
    <row r="6259" spans="27:32" ht="15">
      <c r="AA6259" s="463" t="s">
        <v>19693</v>
      </c>
      <c r="AB6259" s="462" t="s">
        <v>19694</v>
      </c>
      <c r="AC6259" s="462" t="s">
        <v>19695</v>
      </c>
      <c r="AD6259" s="464">
        <v>330.70400999999998</v>
      </c>
      <c r="AE6259" s="465">
        <v>15.90807</v>
      </c>
      <c r="AF6259" s="86">
        <f>IF(verze!$E$1="CZK",AD6259,IF(verze!$E$1="SK",AE6259,""))</f>
        <v>15.90807</v>
      </c>
    </row>
    <row r="6260" spans="27:32" ht="15">
      <c r="AA6260" s="463" t="s">
        <v>19696</v>
      </c>
      <c r="AB6260" s="462" t="s">
        <v>19697</v>
      </c>
      <c r="AC6260" s="462" t="s">
        <v>19698</v>
      </c>
      <c r="AD6260" s="464">
        <v>330.70400999999998</v>
      </c>
      <c r="AE6260" s="465">
        <v>15.90807</v>
      </c>
      <c r="AF6260" s="86">
        <f>IF(verze!$E$1="CZK",AD6260,IF(verze!$E$1="SK",AE6260,""))</f>
        <v>15.90807</v>
      </c>
    </row>
    <row r="6261" spans="27:32" ht="15">
      <c r="AA6261" s="463" t="s">
        <v>19699</v>
      </c>
      <c r="AB6261" s="462" t="s">
        <v>19700</v>
      </c>
      <c r="AC6261" s="462" t="s">
        <v>19701</v>
      </c>
      <c r="AD6261" s="464">
        <v>333.66579999999999</v>
      </c>
      <c r="AE6261" s="465">
        <v>16.050529999999998</v>
      </c>
      <c r="AF6261" s="86">
        <f>IF(verze!$E$1="CZK",AD6261,IF(verze!$E$1="SK",AE6261,""))</f>
        <v>16.050529999999998</v>
      </c>
    </row>
    <row r="6262" spans="27:32" ht="15">
      <c r="AA6262" s="463" t="s">
        <v>19702</v>
      </c>
      <c r="AB6262" s="462" t="s">
        <v>19703</v>
      </c>
      <c r="AC6262" s="462" t="s">
        <v>19704</v>
      </c>
      <c r="AD6262" s="464">
        <v>333.66579999999999</v>
      </c>
      <c r="AE6262" s="465">
        <v>16.050529999999998</v>
      </c>
      <c r="AF6262" s="86">
        <f>IF(verze!$E$1="CZK",AD6262,IF(verze!$E$1="SK",AE6262,""))</f>
        <v>16.050529999999998</v>
      </c>
    </row>
    <row r="6263" spans="27:32" ht="15">
      <c r="AA6263" s="463" t="s">
        <v>19705</v>
      </c>
      <c r="AB6263" s="462" t="s">
        <v>19706</v>
      </c>
      <c r="AC6263" s="462" t="s">
        <v>19707</v>
      </c>
      <c r="AD6263" s="464">
        <v>351.45121999999998</v>
      </c>
      <c r="AE6263" s="465">
        <v>16.906089999999999</v>
      </c>
      <c r="AF6263" s="86">
        <f>IF(verze!$E$1="CZK",AD6263,IF(verze!$E$1="SK",AE6263,""))</f>
        <v>16.906089999999999</v>
      </c>
    </row>
    <row r="6264" spans="27:32" ht="15">
      <c r="AA6264" s="463" t="s">
        <v>19708</v>
      </c>
      <c r="AB6264" s="462" t="s">
        <v>19709</v>
      </c>
      <c r="AC6264" s="462" t="s">
        <v>19710</v>
      </c>
      <c r="AD6264" s="464">
        <v>351.45121999999998</v>
      </c>
      <c r="AE6264" s="465">
        <v>16.906089999999999</v>
      </c>
      <c r="AF6264" s="86">
        <f>IF(verze!$E$1="CZK",AD6264,IF(verze!$E$1="SK",AE6264,""))</f>
        <v>16.906089999999999</v>
      </c>
    </row>
    <row r="6265" spans="27:32" ht="15">
      <c r="AA6265" s="463" t="s">
        <v>19711</v>
      </c>
      <c r="AB6265" s="462" t="s">
        <v>19712</v>
      </c>
      <c r="AC6265" s="462" t="s">
        <v>19713</v>
      </c>
      <c r="AD6265" s="464">
        <v>259.76603</v>
      </c>
      <c r="AE6265" s="465">
        <v>12.49569</v>
      </c>
      <c r="AF6265" s="86">
        <f>IF(verze!$E$1="CZK",AD6265,IF(verze!$E$1="SK",AE6265,""))</f>
        <v>12.49569</v>
      </c>
    </row>
    <row r="6266" spans="27:32" ht="15">
      <c r="AA6266" s="463" t="s">
        <v>19714</v>
      </c>
      <c r="AB6266" s="462" t="s">
        <v>19715</v>
      </c>
      <c r="AC6266" s="462" t="s">
        <v>19716</v>
      </c>
      <c r="AD6266" s="464">
        <v>260.22201999999999</v>
      </c>
      <c r="AE6266" s="465">
        <v>12.517620000000001</v>
      </c>
      <c r="AF6266" s="86">
        <f>IF(verze!$E$1="CZK",AD6266,IF(verze!$E$1="SK",AE6266,""))</f>
        <v>12.517620000000001</v>
      </c>
    </row>
    <row r="6267" spans="27:32" ht="15">
      <c r="AA6267" s="463" t="s">
        <v>19717</v>
      </c>
      <c r="AB6267" s="462" t="s">
        <v>19718</v>
      </c>
      <c r="AC6267" s="462" t="s">
        <v>19719</v>
      </c>
      <c r="AD6267" s="464">
        <v>262.10225000000003</v>
      </c>
      <c r="AE6267" s="465">
        <v>12.60806</v>
      </c>
      <c r="AF6267" s="86">
        <f>IF(verze!$E$1="CZK",AD6267,IF(verze!$E$1="SK",AE6267,""))</f>
        <v>12.60806</v>
      </c>
    </row>
    <row r="6268" spans="27:32" ht="15">
      <c r="AA6268" s="463" t="s">
        <v>19720</v>
      </c>
      <c r="AB6268" s="462" t="s">
        <v>19721</v>
      </c>
      <c r="AC6268" s="462" t="s">
        <v>19722</v>
      </c>
      <c r="AD6268" s="464">
        <v>264.91845000000001</v>
      </c>
      <c r="AE6268" s="465">
        <v>12.743539999999999</v>
      </c>
      <c r="AF6268" s="86">
        <f>IF(verze!$E$1="CZK",AD6268,IF(verze!$E$1="SK",AE6268,""))</f>
        <v>12.743539999999999</v>
      </c>
    </row>
    <row r="6269" spans="27:32" ht="15">
      <c r="AA6269" s="463" t="s">
        <v>19723</v>
      </c>
      <c r="AB6269" s="462" t="s">
        <v>19724</v>
      </c>
      <c r="AC6269" s="462" t="s">
        <v>19725</v>
      </c>
      <c r="AD6269" s="464">
        <v>267.73464999999999</v>
      </c>
      <c r="AE6269" s="465">
        <v>12.879009999999999</v>
      </c>
      <c r="AF6269" s="86">
        <f>IF(verze!$E$1="CZK",AD6269,IF(verze!$E$1="SK",AE6269,""))</f>
        <v>12.879009999999999</v>
      </c>
    </row>
    <row r="6270" spans="27:32" ht="15">
      <c r="AA6270" s="463" t="s">
        <v>19726</v>
      </c>
      <c r="AB6270" s="462" t="s">
        <v>19727</v>
      </c>
      <c r="AC6270" s="462" t="s">
        <v>19728</v>
      </c>
      <c r="AD6270" s="464">
        <v>269.61488000000003</v>
      </c>
      <c r="AE6270" s="465">
        <v>12.96945</v>
      </c>
      <c r="AF6270" s="86">
        <f>IF(verze!$E$1="CZK",AD6270,IF(verze!$E$1="SK",AE6270,""))</f>
        <v>12.96945</v>
      </c>
    </row>
    <row r="6271" spans="27:32" ht="15">
      <c r="AA6271" s="463" t="s">
        <v>19729</v>
      </c>
      <c r="AB6271" s="462" t="s">
        <v>19730</v>
      </c>
      <c r="AC6271" s="462" t="s">
        <v>19731</v>
      </c>
      <c r="AD6271" s="464">
        <v>271.48973000000001</v>
      </c>
      <c r="AE6271" s="465">
        <v>13.05965</v>
      </c>
      <c r="AF6271" s="86">
        <f>IF(verze!$E$1="CZK",AD6271,IF(verze!$E$1="SK",AE6271,""))</f>
        <v>13.05965</v>
      </c>
    </row>
    <row r="6272" spans="27:32" ht="15">
      <c r="AA6272" s="463" t="s">
        <v>19732</v>
      </c>
      <c r="AB6272" s="462" t="s">
        <v>19733</v>
      </c>
      <c r="AC6272" s="462" t="s">
        <v>19734</v>
      </c>
      <c r="AD6272" s="464">
        <v>274.31130999999999</v>
      </c>
      <c r="AE6272" s="465">
        <v>13.195349999999999</v>
      </c>
      <c r="AF6272" s="86">
        <f>IF(verze!$E$1="CZK",AD6272,IF(verze!$E$1="SK",AE6272,""))</f>
        <v>13.195349999999999</v>
      </c>
    </row>
    <row r="6273" spans="27:32" ht="15">
      <c r="AA6273" s="463" t="s">
        <v>19735</v>
      </c>
      <c r="AB6273" s="462" t="s">
        <v>19736</v>
      </c>
      <c r="AC6273" s="462" t="s">
        <v>19737</v>
      </c>
      <c r="AD6273" s="464">
        <v>277.12750999999997</v>
      </c>
      <c r="AE6273" s="465">
        <v>13.330819999999999</v>
      </c>
      <c r="AF6273" s="86">
        <f>IF(verze!$E$1="CZK",AD6273,IF(verze!$E$1="SK",AE6273,""))</f>
        <v>13.330819999999999</v>
      </c>
    </row>
    <row r="6274" spans="27:32" ht="15">
      <c r="AA6274" s="463" t="s">
        <v>19738</v>
      </c>
      <c r="AB6274" s="462" t="s">
        <v>19739</v>
      </c>
      <c r="AC6274" s="462" t="s">
        <v>19740</v>
      </c>
      <c r="AD6274" s="464">
        <v>279.00495000000001</v>
      </c>
      <c r="AE6274" s="465">
        <v>13.421139999999999</v>
      </c>
      <c r="AF6274" s="86">
        <f>IF(verze!$E$1="CZK",AD6274,IF(verze!$E$1="SK",AE6274,""))</f>
        <v>13.421139999999999</v>
      </c>
    </row>
    <row r="6275" spans="27:32" ht="15">
      <c r="AA6275" s="463" t="s">
        <v>19741</v>
      </c>
      <c r="AB6275" s="462" t="s">
        <v>19742</v>
      </c>
      <c r="AC6275" s="462" t="s">
        <v>19743</v>
      </c>
      <c r="AD6275" s="464">
        <v>280.88249000000002</v>
      </c>
      <c r="AE6275" s="465">
        <v>13.51146</v>
      </c>
      <c r="AF6275" s="86">
        <f>IF(verze!$E$1="CZK",AD6275,IF(verze!$E$1="SK",AE6275,""))</f>
        <v>13.51146</v>
      </c>
    </row>
    <row r="6276" spans="27:32" ht="15">
      <c r="AA6276" s="463" t="s">
        <v>19744</v>
      </c>
      <c r="AB6276" s="462" t="s">
        <v>19745</v>
      </c>
      <c r="AC6276" s="462" t="s">
        <v>19746</v>
      </c>
      <c r="AD6276" s="464">
        <v>283.70137999999997</v>
      </c>
      <c r="AE6276" s="465">
        <v>13.64706</v>
      </c>
      <c r="AF6276" s="86">
        <f>IF(verze!$E$1="CZK",AD6276,IF(verze!$E$1="SK",AE6276,""))</f>
        <v>13.64706</v>
      </c>
    </row>
    <row r="6277" spans="27:32" ht="15">
      <c r="AA6277" s="463" t="s">
        <v>19747</v>
      </c>
      <c r="AB6277" s="462" t="s">
        <v>19748</v>
      </c>
      <c r="AC6277" s="462" t="s">
        <v>19749</v>
      </c>
      <c r="AD6277" s="464">
        <v>314.49441000000002</v>
      </c>
      <c r="AE6277" s="465">
        <v>15.12832</v>
      </c>
      <c r="AF6277" s="86">
        <f>IF(verze!$E$1="CZK",AD6277,IF(verze!$E$1="SK",AE6277,""))</f>
        <v>15.12832</v>
      </c>
    </row>
    <row r="6278" spans="27:32" ht="15">
      <c r="AA6278" s="463" t="s">
        <v>19750</v>
      </c>
      <c r="AB6278" s="462" t="s">
        <v>19751</v>
      </c>
      <c r="AC6278" s="462" t="s">
        <v>19752</v>
      </c>
      <c r="AD6278" s="464">
        <v>351.53487999999999</v>
      </c>
      <c r="AE6278" s="465">
        <v>16.9101</v>
      </c>
      <c r="AF6278" s="86">
        <f>IF(verze!$E$1="CZK",AD6278,IF(verze!$E$1="SK",AE6278,""))</f>
        <v>16.9101</v>
      </c>
    </row>
    <row r="6279" spans="27:32" ht="15">
      <c r="AA6279" s="463" t="s">
        <v>19753</v>
      </c>
      <c r="AB6279" s="462" t="s">
        <v>19754</v>
      </c>
      <c r="AC6279" s="462" t="s">
        <v>19755</v>
      </c>
      <c r="AD6279" s="464">
        <v>351.53487999999999</v>
      </c>
      <c r="AE6279" s="465">
        <v>16.9101</v>
      </c>
      <c r="AF6279" s="86">
        <f>IF(verze!$E$1="CZK",AD6279,IF(verze!$E$1="SK",AE6279,""))</f>
        <v>16.9101</v>
      </c>
    </row>
    <row r="6280" spans="27:32" ht="15">
      <c r="AA6280" s="463" t="s">
        <v>19756</v>
      </c>
      <c r="AB6280" s="462" t="s">
        <v>19757</v>
      </c>
      <c r="AC6280" s="462" t="s">
        <v>19758</v>
      </c>
      <c r="AD6280" s="464">
        <v>351.53487999999999</v>
      </c>
      <c r="AE6280" s="465">
        <v>16.9101</v>
      </c>
      <c r="AF6280" s="86">
        <f>IF(verze!$E$1="CZK",AD6280,IF(verze!$E$1="SK",AE6280,""))</f>
        <v>16.9101</v>
      </c>
    </row>
    <row r="6281" spans="27:32" ht="15">
      <c r="AA6281" s="463" t="s">
        <v>19759</v>
      </c>
      <c r="AB6281" s="462" t="s">
        <v>19760</v>
      </c>
      <c r="AC6281" s="462" t="s">
        <v>19761</v>
      </c>
      <c r="AD6281" s="464">
        <v>354.49655999999999</v>
      </c>
      <c r="AE6281" s="465">
        <v>17.052569999999999</v>
      </c>
      <c r="AF6281" s="86">
        <f>IF(verze!$E$1="CZK",AD6281,IF(verze!$E$1="SK",AE6281,""))</f>
        <v>17.052569999999999</v>
      </c>
    </row>
    <row r="6282" spans="27:32" ht="15">
      <c r="AA6282" s="463" t="s">
        <v>19762</v>
      </c>
      <c r="AB6282" s="462" t="s">
        <v>19763</v>
      </c>
      <c r="AC6282" s="462" t="s">
        <v>19764</v>
      </c>
      <c r="AD6282" s="464">
        <v>354.49655999999999</v>
      </c>
      <c r="AE6282" s="465">
        <v>17.052569999999999</v>
      </c>
      <c r="AF6282" s="86">
        <f>IF(verze!$E$1="CZK",AD6282,IF(verze!$E$1="SK",AE6282,""))</f>
        <v>17.052569999999999</v>
      </c>
    </row>
    <row r="6283" spans="27:32" ht="15">
      <c r="AA6283" s="463" t="s">
        <v>19765</v>
      </c>
      <c r="AB6283" s="462" t="s">
        <v>19766</v>
      </c>
      <c r="AC6283" s="462" t="s">
        <v>19767</v>
      </c>
      <c r="AD6283" s="464">
        <v>357.46343000000002</v>
      </c>
      <c r="AE6283" s="465">
        <v>17.19528</v>
      </c>
      <c r="AF6283" s="86">
        <f>IF(verze!$E$1="CZK",AD6283,IF(verze!$E$1="SK",AE6283,""))</f>
        <v>17.19528</v>
      </c>
    </row>
    <row r="6284" spans="27:32" ht="15">
      <c r="AA6284" s="463" t="s">
        <v>19768</v>
      </c>
      <c r="AB6284" s="462" t="s">
        <v>19769</v>
      </c>
      <c r="AC6284" s="462" t="s">
        <v>19770</v>
      </c>
      <c r="AD6284" s="464">
        <v>357.46343000000002</v>
      </c>
      <c r="AE6284" s="465">
        <v>17.19528</v>
      </c>
      <c r="AF6284" s="86">
        <f>IF(verze!$E$1="CZK",AD6284,IF(verze!$E$1="SK",AE6284,""))</f>
        <v>17.19528</v>
      </c>
    </row>
    <row r="6285" spans="27:32" ht="15">
      <c r="AA6285" s="463" t="s">
        <v>19771</v>
      </c>
      <c r="AB6285" s="462" t="s">
        <v>19772</v>
      </c>
      <c r="AC6285" s="462" t="s">
        <v>19773</v>
      </c>
      <c r="AD6285" s="464">
        <v>360.42757999999998</v>
      </c>
      <c r="AE6285" s="465">
        <v>17.33785</v>
      </c>
      <c r="AF6285" s="86">
        <f>IF(verze!$E$1="CZK",AD6285,IF(verze!$E$1="SK",AE6285,""))</f>
        <v>17.33785</v>
      </c>
    </row>
    <row r="6286" spans="27:32" ht="15">
      <c r="AA6286" s="463" t="s">
        <v>19774</v>
      </c>
      <c r="AB6286" s="462" t="s">
        <v>19775</v>
      </c>
      <c r="AC6286" s="462" t="s">
        <v>19776</v>
      </c>
      <c r="AD6286" s="464">
        <v>360.42757999999998</v>
      </c>
      <c r="AE6286" s="465">
        <v>17.33785</v>
      </c>
      <c r="AF6286" s="86">
        <f>IF(verze!$E$1="CZK",AD6286,IF(verze!$E$1="SK",AE6286,""))</f>
        <v>17.33785</v>
      </c>
    </row>
    <row r="6287" spans="27:32" ht="15">
      <c r="AA6287" s="463" t="s">
        <v>19777</v>
      </c>
      <c r="AB6287" s="462" t="s">
        <v>19778</v>
      </c>
      <c r="AC6287" s="462" t="s">
        <v>19779</v>
      </c>
      <c r="AD6287" s="464">
        <v>378.21064000000001</v>
      </c>
      <c r="AE6287" s="465">
        <v>18.193290000000001</v>
      </c>
      <c r="AF6287" s="86">
        <f>IF(verze!$E$1="CZK",AD6287,IF(verze!$E$1="SK",AE6287,""))</f>
        <v>18.193290000000001</v>
      </c>
    </row>
    <row r="6288" spans="27:32" ht="15">
      <c r="AA6288" s="463" t="s">
        <v>19780</v>
      </c>
      <c r="AB6288" s="462" t="s">
        <v>19781</v>
      </c>
      <c r="AC6288" s="462" t="s">
        <v>19782</v>
      </c>
      <c r="AD6288" s="464">
        <v>378.21064000000001</v>
      </c>
      <c r="AE6288" s="465">
        <v>18.193290000000001</v>
      </c>
      <c r="AF6288" s="86">
        <f>IF(verze!$E$1="CZK",AD6288,IF(verze!$E$1="SK",AE6288,""))</f>
        <v>18.193290000000001</v>
      </c>
    </row>
    <row r="6289" spans="27:32" ht="15">
      <c r="AA6289" s="463" t="s">
        <v>19783</v>
      </c>
      <c r="AB6289" s="462" t="s">
        <v>19784</v>
      </c>
      <c r="AC6289" s="462" t="s">
        <v>19785</v>
      </c>
      <c r="AD6289" s="464">
        <v>4098.4410799999996</v>
      </c>
      <c r="AE6289" s="465">
        <v>195.12984</v>
      </c>
      <c r="AF6289" s="86">
        <f>IF(verze!$E$1="CZK",AD6289,IF(verze!$E$1="SK",AE6289,""))</f>
        <v>195.12984</v>
      </c>
    </row>
    <row r="6290" spans="27:32" ht="15">
      <c r="AA6290" s="463" t="s">
        <v>19786</v>
      </c>
      <c r="AB6290" s="462" t="s">
        <v>19787</v>
      </c>
      <c r="AC6290" s="462" t="s">
        <v>19788</v>
      </c>
      <c r="AD6290" s="464">
        <v>844.55304999999998</v>
      </c>
      <c r="AE6290" s="465">
        <v>33.78633</v>
      </c>
      <c r="AF6290" s="86">
        <f>IF(verze!$E$1="CZK",AD6290,IF(verze!$E$1="SK",AE6290,""))</f>
        <v>33.78633</v>
      </c>
    </row>
    <row r="6291" spans="27:32" ht="15">
      <c r="AA6291" s="463" t="s">
        <v>19789</v>
      </c>
      <c r="AB6291" s="462" t="s">
        <v>19790</v>
      </c>
      <c r="AC6291" s="462" t="s">
        <v>19791</v>
      </c>
      <c r="AD6291" s="464">
        <v>844.55304999999998</v>
      </c>
      <c r="AE6291" s="465">
        <v>33.78633</v>
      </c>
      <c r="AF6291" s="86">
        <f>IF(verze!$E$1="CZK",AD6291,IF(verze!$E$1="SK",AE6291,""))</f>
        <v>33.78633</v>
      </c>
    </row>
    <row r="6292" spans="27:32" ht="15">
      <c r="AA6292" s="463" t="s">
        <v>19792</v>
      </c>
      <c r="AB6292" s="462" t="s">
        <v>19793</v>
      </c>
      <c r="AC6292" s="462" t="s">
        <v>19794</v>
      </c>
      <c r="AD6292" s="464">
        <v>1.3666</v>
      </c>
      <c r="AE6292" s="465">
        <v>5.6059999999999999E-2</v>
      </c>
      <c r="AF6292" s="86">
        <f>IF(verze!$E$1="CZK",AD6292,IF(verze!$E$1="SK",AE6292,""))</f>
        <v>5.6059999999999999E-2</v>
      </c>
    </row>
    <row r="6293" spans="27:32" ht="15">
      <c r="AA6293" s="463" t="s">
        <v>19795</v>
      </c>
      <c r="AB6293" s="462" t="s">
        <v>19796</v>
      </c>
      <c r="AC6293" s="462" t="s">
        <v>19797</v>
      </c>
      <c r="AD6293" s="464">
        <v>1540.0253299999999</v>
      </c>
      <c r="AE6293" s="465">
        <v>62.379719999999999</v>
      </c>
      <c r="AF6293" s="86">
        <f>IF(verze!$E$1="CZK",AD6293,IF(verze!$E$1="SK",AE6293,""))</f>
        <v>62.379719999999999</v>
      </c>
    </row>
    <row r="6294" spans="27:32" ht="15">
      <c r="AA6294" s="463" t="s">
        <v>19798</v>
      </c>
      <c r="AB6294" s="462" t="s">
        <v>19799</v>
      </c>
      <c r="AC6294" s="462" t="s">
        <v>19800</v>
      </c>
      <c r="AD6294" s="464">
        <v>1540.0253299999999</v>
      </c>
      <c r="AE6294" s="465">
        <v>62.379719999999999</v>
      </c>
      <c r="AF6294" s="86">
        <f>IF(verze!$E$1="CZK",AD6294,IF(verze!$E$1="SK",AE6294,""))</f>
        <v>62.379719999999999</v>
      </c>
    </row>
    <row r="6295" spans="27:32" ht="15">
      <c r="AA6295" s="463" t="s">
        <v>19801</v>
      </c>
      <c r="AB6295" s="462" t="s">
        <v>19802</v>
      </c>
      <c r="AC6295" s="462" t="s">
        <v>19803</v>
      </c>
      <c r="AD6295" s="464">
        <v>1540.0253299999999</v>
      </c>
      <c r="AE6295" s="465">
        <v>62.379719999999999</v>
      </c>
      <c r="AF6295" s="86">
        <f>IF(verze!$E$1="CZK",AD6295,IF(verze!$E$1="SK",AE6295,""))</f>
        <v>62.379719999999999</v>
      </c>
    </row>
    <row r="6296" spans="27:32" ht="15">
      <c r="AA6296" s="463" t="s">
        <v>19804</v>
      </c>
      <c r="AB6296" s="462" t="s">
        <v>19805</v>
      </c>
      <c r="AC6296" s="462" t="s">
        <v>19806</v>
      </c>
      <c r="AD6296" s="464">
        <v>3074.6617700000002</v>
      </c>
      <c r="AE6296" s="465">
        <v>124.54161999999999</v>
      </c>
      <c r="AF6296" s="86">
        <f>IF(verze!$E$1="CZK",AD6296,IF(verze!$E$1="SK",AE6296,""))</f>
        <v>124.54161999999999</v>
      </c>
    </row>
    <row r="6297" spans="27:32" ht="15">
      <c r="AA6297" s="463" t="s">
        <v>19807</v>
      </c>
      <c r="AB6297" s="462" t="s">
        <v>19808</v>
      </c>
      <c r="AC6297" s="462" t="s">
        <v>19809</v>
      </c>
      <c r="AD6297" s="464">
        <v>3074.6617700000002</v>
      </c>
      <c r="AE6297" s="465">
        <v>124.54161999999999</v>
      </c>
      <c r="AF6297" s="86">
        <f>IF(verze!$E$1="CZK",AD6297,IF(verze!$E$1="SK",AE6297,""))</f>
        <v>124.54161999999999</v>
      </c>
    </row>
    <row r="6298" spans="27:32" ht="15">
      <c r="AA6298" s="463" t="s">
        <v>19810</v>
      </c>
      <c r="AB6298" s="462" t="s">
        <v>19811</v>
      </c>
      <c r="AC6298" s="462" t="s">
        <v>19812</v>
      </c>
      <c r="AD6298" s="464">
        <v>3074.6617700000002</v>
      </c>
      <c r="AE6298" s="465">
        <v>124.54161999999999</v>
      </c>
      <c r="AF6298" s="86">
        <f>IF(verze!$E$1="CZK",AD6298,IF(verze!$E$1="SK",AE6298,""))</f>
        <v>124.54161999999999</v>
      </c>
    </row>
    <row r="6299" spans="27:32" ht="15">
      <c r="AA6299" s="463" t="s">
        <v>19813</v>
      </c>
      <c r="AB6299" s="462" t="s">
        <v>19814</v>
      </c>
      <c r="AC6299" s="462" t="s">
        <v>19815</v>
      </c>
      <c r="AD6299" s="464">
        <v>6576.0045700000001</v>
      </c>
      <c r="AE6299" s="465">
        <v>266.36619000000002</v>
      </c>
      <c r="AF6299" s="86">
        <f>IF(verze!$E$1="CZK",AD6299,IF(verze!$E$1="SK",AE6299,""))</f>
        <v>266.36619000000002</v>
      </c>
    </row>
    <row r="6300" spans="27:32" ht="15">
      <c r="AA6300" s="463" t="s">
        <v>19816</v>
      </c>
      <c r="AB6300" s="462" t="s">
        <v>19817</v>
      </c>
      <c r="AC6300" s="462" t="s">
        <v>19818</v>
      </c>
      <c r="AD6300" s="464">
        <v>138.83766</v>
      </c>
      <c r="AE6300" s="465">
        <v>5.6271500000000003</v>
      </c>
      <c r="AF6300" s="86">
        <f>IF(verze!$E$1="CZK",AD6300,IF(verze!$E$1="SK",AE6300,""))</f>
        <v>5.6271500000000003</v>
      </c>
    </row>
    <row r="6301" spans="27:32" ht="15">
      <c r="AA6301" s="463" t="s">
        <v>19819</v>
      </c>
      <c r="AB6301" s="462" t="s">
        <v>19820</v>
      </c>
      <c r="AC6301" s="462" t="s">
        <v>19821</v>
      </c>
      <c r="AD6301" s="464">
        <v>4232.0174500000003</v>
      </c>
      <c r="AE6301" s="465">
        <v>171.42124999999999</v>
      </c>
      <c r="AF6301" s="86">
        <f>IF(verze!$E$1="CZK",AD6301,IF(verze!$E$1="SK",AE6301,""))</f>
        <v>171.42124999999999</v>
      </c>
    </row>
    <row r="6302" spans="27:32" ht="15">
      <c r="AA6302" s="463" t="s">
        <v>19822</v>
      </c>
      <c r="AB6302" s="462" t="s">
        <v>19823</v>
      </c>
      <c r="AC6302" s="462" t="s">
        <v>19824</v>
      </c>
      <c r="AD6302" s="464">
        <v>1203.51541</v>
      </c>
      <c r="AE6302" s="465">
        <v>57.893430000000002</v>
      </c>
      <c r="AF6302" s="86">
        <f>IF(verze!$E$1="CZK",AD6302,IF(verze!$E$1="SK",AE6302,""))</f>
        <v>57.893430000000002</v>
      </c>
    </row>
    <row r="6303" spans="27:32" ht="15">
      <c r="AA6303" s="463" t="s">
        <v>19825</v>
      </c>
      <c r="AB6303" s="462" t="s">
        <v>19826</v>
      </c>
      <c r="AC6303" s="462" t="s">
        <v>19827</v>
      </c>
      <c r="AD6303" s="464">
        <v>183.5196</v>
      </c>
      <c r="AE6303" s="465">
        <v>7.4120699999999999</v>
      </c>
      <c r="AF6303" s="86">
        <f>IF(verze!$E$1="CZK",AD6303,IF(verze!$E$1="SK",AE6303,""))</f>
        <v>7.4120699999999999</v>
      </c>
    </row>
    <row r="6304" spans="27:32" ht="15">
      <c r="AA6304" s="463" t="s">
        <v>19828</v>
      </c>
      <c r="AB6304" s="462" t="s">
        <v>19829</v>
      </c>
      <c r="AC6304" s="462" t="s">
        <v>19830</v>
      </c>
      <c r="AD6304" s="464">
        <v>201.85996</v>
      </c>
      <c r="AE6304" s="465">
        <v>8.1527899999999995</v>
      </c>
      <c r="AF6304" s="86">
        <f>IF(verze!$E$1="CZK",AD6304,IF(verze!$E$1="SK",AE6304,""))</f>
        <v>8.1527899999999995</v>
      </c>
    </row>
    <row r="6305" spans="27:32" ht="15">
      <c r="AA6305" s="463" t="s">
        <v>19831</v>
      </c>
      <c r="AB6305" s="462" t="s">
        <v>19832</v>
      </c>
      <c r="AC6305" s="462" t="s">
        <v>19833</v>
      </c>
      <c r="AD6305" s="464">
        <v>201.85996</v>
      </c>
      <c r="AE6305" s="465">
        <v>8.1527899999999995</v>
      </c>
      <c r="AF6305" s="86">
        <f>IF(verze!$E$1="CZK",AD6305,IF(verze!$E$1="SK",AE6305,""))</f>
        <v>8.1527899999999995</v>
      </c>
    </row>
    <row r="6306" spans="27:32" ht="15">
      <c r="AA6306" s="463" t="s">
        <v>19834</v>
      </c>
      <c r="AB6306" s="462" t="s">
        <v>19835</v>
      </c>
      <c r="AC6306" s="462" t="s">
        <v>19836</v>
      </c>
      <c r="AD6306" s="464">
        <v>183.5196</v>
      </c>
      <c r="AE6306" s="465">
        <v>7.4120699999999999</v>
      </c>
      <c r="AF6306" s="86">
        <f>IF(verze!$E$1="CZK",AD6306,IF(verze!$E$1="SK",AE6306,""))</f>
        <v>7.4120699999999999</v>
      </c>
    </row>
    <row r="6307" spans="27:32" ht="15">
      <c r="AA6307" s="463" t="s">
        <v>19837</v>
      </c>
      <c r="AB6307" s="462" t="s">
        <v>19838</v>
      </c>
      <c r="AC6307" s="462" t="s">
        <v>19839</v>
      </c>
      <c r="AD6307" s="464">
        <v>201.85996</v>
      </c>
      <c r="AE6307" s="465">
        <v>8.1527899999999995</v>
      </c>
      <c r="AF6307" s="86">
        <f>IF(verze!$E$1="CZK",AD6307,IF(verze!$E$1="SK",AE6307,""))</f>
        <v>8.1527899999999995</v>
      </c>
    </row>
    <row r="6308" spans="27:32" ht="15">
      <c r="AA6308" s="463" t="s">
        <v>19840</v>
      </c>
      <c r="AB6308" s="462" t="s">
        <v>19841</v>
      </c>
      <c r="AC6308" s="462" t="s">
        <v>19842</v>
      </c>
      <c r="AD6308" s="464">
        <v>201.85996</v>
      </c>
      <c r="AE6308" s="465">
        <v>8.1527899999999995</v>
      </c>
      <c r="AF6308" s="86">
        <f>IF(verze!$E$1="CZK",AD6308,IF(verze!$E$1="SK",AE6308,""))</f>
        <v>8.1527899999999995</v>
      </c>
    </row>
    <row r="6309" spans="27:32" ht="15">
      <c r="AA6309" s="463" t="s">
        <v>19843</v>
      </c>
      <c r="AB6309" s="462" t="s">
        <v>19844</v>
      </c>
      <c r="AC6309" s="462" t="s">
        <v>19845</v>
      </c>
      <c r="AD6309" s="464">
        <v>183.5196</v>
      </c>
      <c r="AE6309" s="465">
        <v>7.4120699999999999</v>
      </c>
      <c r="AF6309" s="86">
        <f>IF(verze!$E$1="CZK",AD6309,IF(verze!$E$1="SK",AE6309,""))</f>
        <v>7.4120699999999999</v>
      </c>
    </row>
    <row r="6310" spans="27:32" ht="15">
      <c r="AA6310" s="463" t="s">
        <v>19846</v>
      </c>
      <c r="AB6310" s="462" t="s">
        <v>19847</v>
      </c>
      <c r="AC6310" s="462" t="s">
        <v>19848</v>
      </c>
      <c r="AD6310" s="464">
        <v>201.85996</v>
      </c>
      <c r="AE6310" s="465">
        <v>8.1527899999999995</v>
      </c>
      <c r="AF6310" s="86">
        <f>IF(verze!$E$1="CZK",AD6310,IF(verze!$E$1="SK",AE6310,""))</f>
        <v>8.1527899999999995</v>
      </c>
    </row>
    <row r="6311" spans="27:32" ht="15">
      <c r="AA6311" s="463" t="s">
        <v>19849</v>
      </c>
      <c r="AB6311" s="462" t="s">
        <v>19850</v>
      </c>
      <c r="AC6311" s="462" t="s">
        <v>19851</v>
      </c>
      <c r="AD6311" s="464">
        <v>201.85996</v>
      </c>
      <c r="AE6311" s="465">
        <v>8.1527899999999995</v>
      </c>
      <c r="AF6311" s="86">
        <f>IF(verze!$E$1="CZK",AD6311,IF(verze!$E$1="SK",AE6311,""))</f>
        <v>8.1527899999999995</v>
      </c>
    </row>
    <row r="6312" spans="27:32" ht="15">
      <c r="AA6312" s="463" t="s">
        <v>19852</v>
      </c>
      <c r="AB6312" s="462" t="s">
        <v>19853</v>
      </c>
      <c r="AC6312" s="462" t="s">
        <v>19854</v>
      </c>
      <c r="AD6312" s="464">
        <v>183.5196</v>
      </c>
      <c r="AE6312" s="465">
        <v>7.4120699999999999</v>
      </c>
      <c r="AF6312" s="86">
        <f>IF(verze!$E$1="CZK",AD6312,IF(verze!$E$1="SK",AE6312,""))</f>
        <v>7.4120699999999999</v>
      </c>
    </row>
    <row r="6313" spans="27:32" ht="15">
      <c r="AA6313" s="463" t="s">
        <v>19855</v>
      </c>
      <c r="AB6313" s="462" t="s">
        <v>19856</v>
      </c>
      <c r="AC6313" s="462" t="s">
        <v>19857</v>
      </c>
      <c r="AD6313" s="464">
        <v>201.85996</v>
      </c>
      <c r="AE6313" s="465">
        <v>8.1527899999999995</v>
      </c>
      <c r="AF6313" s="86">
        <f>IF(verze!$E$1="CZK",AD6313,IF(verze!$E$1="SK",AE6313,""))</f>
        <v>8.1527899999999995</v>
      </c>
    </row>
    <row r="6314" spans="27:32" ht="15">
      <c r="AA6314" s="463" t="s">
        <v>19858</v>
      </c>
      <c r="AB6314" s="462" t="s">
        <v>19859</v>
      </c>
      <c r="AC6314" s="462" t="s">
        <v>19860</v>
      </c>
      <c r="AD6314" s="464">
        <v>201.85996</v>
      </c>
      <c r="AE6314" s="465">
        <v>8.1527899999999995</v>
      </c>
      <c r="AF6314" s="86">
        <f>IF(verze!$E$1="CZK",AD6314,IF(verze!$E$1="SK",AE6314,""))</f>
        <v>8.1527899999999995</v>
      </c>
    </row>
    <row r="6315" spans="27:32" ht="15">
      <c r="AA6315" s="463" t="s">
        <v>19861</v>
      </c>
      <c r="AB6315" s="462" t="s">
        <v>19862</v>
      </c>
      <c r="AC6315" s="462" t="s">
        <v>19863</v>
      </c>
      <c r="AD6315" s="464">
        <v>556.35982999999999</v>
      </c>
      <c r="AE6315" s="465">
        <v>22.47043</v>
      </c>
      <c r="AF6315" s="86">
        <f>IF(verze!$E$1="CZK",AD6315,IF(verze!$E$1="SK",AE6315,""))</f>
        <v>22.47043</v>
      </c>
    </row>
    <row r="6316" spans="27:32" ht="15">
      <c r="AA6316" s="463" t="s">
        <v>19864</v>
      </c>
      <c r="AB6316" s="462" t="s">
        <v>19865</v>
      </c>
      <c r="AC6316" s="462" t="s">
        <v>19866</v>
      </c>
      <c r="AD6316" s="464">
        <v>611.99337000000003</v>
      </c>
      <c r="AE6316" s="465">
        <v>24.71735</v>
      </c>
      <c r="AF6316" s="86">
        <f>IF(verze!$E$1="CZK",AD6316,IF(verze!$E$1="SK",AE6316,""))</f>
        <v>24.71735</v>
      </c>
    </row>
    <row r="6317" spans="27:32" ht="15">
      <c r="AA6317" s="463" t="s">
        <v>19867</v>
      </c>
      <c r="AB6317" s="462" t="s">
        <v>19868</v>
      </c>
      <c r="AC6317" s="462" t="s">
        <v>19869</v>
      </c>
      <c r="AD6317" s="464">
        <v>611.99337000000003</v>
      </c>
      <c r="AE6317" s="465">
        <v>24.71735</v>
      </c>
      <c r="AF6317" s="86">
        <f>IF(verze!$E$1="CZK",AD6317,IF(verze!$E$1="SK",AE6317,""))</f>
        <v>24.71735</v>
      </c>
    </row>
    <row r="6318" spans="27:32" ht="15">
      <c r="AA6318" s="463" t="s">
        <v>19870</v>
      </c>
      <c r="AB6318" s="462" t="s">
        <v>19871</v>
      </c>
      <c r="AC6318" s="462" t="s">
        <v>19872</v>
      </c>
      <c r="AD6318" s="464">
        <v>556.35982999999999</v>
      </c>
      <c r="AE6318" s="465">
        <v>22.47043</v>
      </c>
      <c r="AF6318" s="86">
        <f>IF(verze!$E$1="CZK",AD6318,IF(verze!$E$1="SK",AE6318,""))</f>
        <v>22.47043</v>
      </c>
    </row>
    <row r="6319" spans="27:32" ht="15">
      <c r="AA6319" s="463" t="s">
        <v>19873</v>
      </c>
      <c r="AB6319" s="462" t="s">
        <v>19874</v>
      </c>
      <c r="AC6319" s="462" t="s">
        <v>19875</v>
      </c>
      <c r="AD6319" s="464">
        <v>611.99337000000003</v>
      </c>
      <c r="AE6319" s="465">
        <v>24.71735</v>
      </c>
      <c r="AF6319" s="86">
        <f>IF(verze!$E$1="CZK",AD6319,IF(verze!$E$1="SK",AE6319,""))</f>
        <v>24.71735</v>
      </c>
    </row>
    <row r="6320" spans="27:32" ht="15">
      <c r="AA6320" s="463" t="s">
        <v>19876</v>
      </c>
      <c r="AB6320" s="462" t="s">
        <v>19877</v>
      </c>
      <c r="AC6320" s="462" t="s">
        <v>19878</v>
      </c>
      <c r="AD6320" s="464">
        <v>611.99337000000003</v>
      </c>
      <c r="AE6320" s="465">
        <v>24.71735</v>
      </c>
      <c r="AF6320" s="86">
        <f>IF(verze!$E$1="CZK",AD6320,IF(verze!$E$1="SK",AE6320,""))</f>
        <v>24.71735</v>
      </c>
    </row>
    <row r="6321" spans="27:32" ht="15">
      <c r="AA6321" s="463" t="s">
        <v>19879</v>
      </c>
      <c r="AB6321" s="462" t="s">
        <v>19880</v>
      </c>
      <c r="AC6321" s="462" t="s">
        <v>19881</v>
      </c>
      <c r="AD6321" s="464">
        <v>556.35982999999999</v>
      </c>
      <c r="AE6321" s="465">
        <v>22.47043</v>
      </c>
      <c r="AF6321" s="86">
        <f>IF(verze!$E$1="CZK",AD6321,IF(verze!$E$1="SK",AE6321,""))</f>
        <v>22.47043</v>
      </c>
    </row>
    <row r="6322" spans="27:32" ht="15">
      <c r="AA6322" s="463" t="s">
        <v>19882</v>
      </c>
      <c r="AB6322" s="462" t="s">
        <v>19883</v>
      </c>
      <c r="AC6322" s="462" t="s">
        <v>19884</v>
      </c>
      <c r="AD6322" s="464">
        <v>611.99337000000003</v>
      </c>
      <c r="AE6322" s="465">
        <v>24.71735</v>
      </c>
      <c r="AF6322" s="86">
        <f>IF(verze!$E$1="CZK",AD6322,IF(verze!$E$1="SK",AE6322,""))</f>
        <v>24.71735</v>
      </c>
    </row>
    <row r="6323" spans="27:32" ht="15">
      <c r="AA6323" s="463" t="s">
        <v>19885</v>
      </c>
      <c r="AB6323" s="462" t="s">
        <v>19886</v>
      </c>
      <c r="AC6323" s="462" t="s">
        <v>19887</v>
      </c>
      <c r="AD6323" s="464">
        <v>611.99337000000003</v>
      </c>
      <c r="AE6323" s="465">
        <v>24.71735</v>
      </c>
      <c r="AF6323" s="86">
        <f>IF(verze!$E$1="CZK",AD6323,IF(verze!$E$1="SK",AE6323,""))</f>
        <v>24.71735</v>
      </c>
    </row>
    <row r="6324" spans="27:32" ht="15">
      <c r="AA6324" s="463" t="s">
        <v>19888</v>
      </c>
      <c r="AB6324" s="462" t="s">
        <v>19889</v>
      </c>
      <c r="AC6324" s="462" t="s">
        <v>19890</v>
      </c>
      <c r="AD6324" s="464">
        <v>556.35982999999999</v>
      </c>
      <c r="AE6324" s="465">
        <v>22.47043</v>
      </c>
      <c r="AF6324" s="86">
        <f>IF(verze!$E$1="CZK",AD6324,IF(verze!$E$1="SK",AE6324,""))</f>
        <v>22.47043</v>
      </c>
    </row>
    <row r="6325" spans="27:32" ht="15">
      <c r="AA6325" s="463" t="s">
        <v>19891</v>
      </c>
      <c r="AB6325" s="462" t="s">
        <v>19892</v>
      </c>
      <c r="AC6325" s="462" t="s">
        <v>19893</v>
      </c>
      <c r="AD6325" s="464">
        <v>611.99337000000003</v>
      </c>
      <c r="AE6325" s="465">
        <v>24.71735</v>
      </c>
      <c r="AF6325" s="86">
        <f>IF(verze!$E$1="CZK",AD6325,IF(verze!$E$1="SK",AE6325,""))</f>
        <v>24.71735</v>
      </c>
    </row>
    <row r="6326" spans="27:32" ht="15">
      <c r="AA6326" s="463" t="s">
        <v>19894</v>
      </c>
      <c r="AB6326" s="462" t="s">
        <v>19895</v>
      </c>
      <c r="AC6326" s="462" t="s">
        <v>19896</v>
      </c>
      <c r="AD6326" s="464">
        <v>611.99337000000003</v>
      </c>
      <c r="AE6326" s="465">
        <v>24.71735</v>
      </c>
      <c r="AF6326" s="86">
        <f>IF(verze!$E$1="CZK",AD6326,IF(verze!$E$1="SK",AE6326,""))</f>
        <v>24.71735</v>
      </c>
    </row>
    <row r="6327" spans="27:32" ht="15">
      <c r="AA6327" s="463" t="s">
        <v>19897</v>
      </c>
      <c r="AB6327" s="462" t="s">
        <v>19898</v>
      </c>
      <c r="AC6327" s="462" t="s">
        <v>19899</v>
      </c>
      <c r="AD6327" s="464">
        <v>498.00727999999998</v>
      </c>
      <c r="AE6327" s="465">
        <v>20.113630000000001</v>
      </c>
      <c r="AF6327" s="86">
        <f>IF(verze!$E$1="CZK",AD6327,IF(verze!$E$1="SK",AE6327,""))</f>
        <v>20.113630000000001</v>
      </c>
    </row>
    <row r="6328" spans="27:32" ht="15">
      <c r="AA6328" s="463" t="s">
        <v>19900</v>
      </c>
      <c r="AB6328" s="462" t="s">
        <v>19901</v>
      </c>
      <c r="AC6328" s="462" t="s">
        <v>19902</v>
      </c>
      <c r="AD6328" s="464">
        <v>547.80421000000001</v>
      </c>
      <c r="AE6328" s="465">
        <v>22.124839999999999</v>
      </c>
      <c r="AF6328" s="86">
        <f>IF(verze!$E$1="CZK",AD6328,IF(verze!$E$1="SK",AE6328,""))</f>
        <v>22.124839999999999</v>
      </c>
    </row>
    <row r="6329" spans="27:32" ht="15">
      <c r="AA6329" s="463" t="s">
        <v>19903</v>
      </c>
      <c r="AB6329" s="462" t="s">
        <v>19904</v>
      </c>
      <c r="AC6329" s="462" t="s">
        <v>19905</v>
      </c>
      <c r="AD6329" s="464">
        <v>547.80421000000001</v>
      </c>
      <c r="AE6329" s="465">
        <v>22.124839999999999</v>
      </c>
      <c r="AF6329" s="86">
        <f>IF(verze!$E$1="CZK",AD6329,IF(verze!$E$1="SK",AE6329,""))</f>
        <v>22.124839999999999</v>
      </c>
    </row>
    <row r="6330" spans="27:32" ht="15">
      <c r="AA6330" s="463" t="s">
        <v>19906</v>
      </c>
      <c r="AB6330" s="462" t="s">
        <v>19907</v>
      </c>
      <c r="AC6330" s="462" t="s">
        <v>19908</v>
      </c>
      <c r="AD6330" s="464">
        <v>498.00727999999998</v>
      </c>
      <c r="AE6330" s="465">
        <v>20.113630000000001</v>
      </c>
      <c r="AF6330" s="86">
        <f>IF(verze!$E$1="CZK",AD6330,IF(verze!$E$1="SK",AE6330,""))</f>
        <v>20.113630000000001</v>
      </c>
    </row>
    <row r="6331" spans="27:32" ht="15">
      <c r="AA6331" s="463" t="s">
        <v>19909</v>
      </c>
      <c r="AB6331" s="462" t="s">
        <v>19910</v>
      </c>
      <c r="AC6331" s="462" t="s">
        <v>19911</v>
      </c>
      <c r="AD6331" s="464">
        <v>547.80421000000001</v>
      </c>
      <c r="AE6331" s="465">
        <v>22.124839999999999</v>
      </c>
      <c r="AF6331" s="86">
        <f>IF(verze!$E$1="CZK",AD6331,IF(verze!$E$1="SK",AE6331,""))</f>
        <v>22.124839999999999</v>
      </c>
    </row>
    <row r="6332" spans="27:32" ht="15">
      <c r="AA6332" s="463" t="s">
        <v>19912</v>
      </c>
      <c r="AB6332" s="462" t="s">
        <v>19913</v>
      </c>
      <c r="AC6332" s="462" t="s">
        <v>19914</v>
      </c>
      <c r="AD6332" s="464">
        <v>547.80421000000001</v>
      </c>
      <c r="AE6332" s="465">
        <v>22.124839999999999</v>
      </c>
      <c r="AF6332" s="86">
        <f>IF(verze!$E$1="CZK",AD6332,IF(verze!$E$1="SK",AE6332,""))</f>
        <v>22.124839999999999</v>
      </c>
    </row>
    <row r="6333" spans="27:32" ht="15">
      <c r="AA6333" s="463" t="s">
        <v>19915</v>
      </c>
      <c r="AB6333" s="462" t="s">
        <v>19916</v>
      </c>
      <c r="AC6333" s="462" t="s">
        <v>19917</v>
      </c>
      <c r="AD6333" s="464">
        <v>498.00727999999998</v>
      </c>
      <c r="AE6333" s="465">
        <v>20.113630000000001</v>
      </c>
      <c r="AF6333" s="86">
        <f>IF(verze!$E$1="CZK",AD6333,IF(verze!$E$1="SK",AE6333,""))</f>
        <v>20.113630000000001</v>
      </c>
    </row>
    <row r="6334" spans="27:32" ht="15">
      <c r="AA6334" s="463" t="s">
        <v>19918</v>
      </c>
      <c r="AB6334" s="462" t="s">
        <v>19919</v>
      </c>
      <c r="AC6334" s="462" t="s">
        <v>19920</v>
      </c>
      <c r="AD6334" s="464">
        <v>547.80421000000001</v>
      </c>
      <c r="AE6334" s="465">
        <v>22.124839999999999</v>
      </c>
      <c r="AF6334" s="86">
        <f>IF(verze!$E$1="CZK",AD6334,IF(verze!$E$1="SK",AE6334,""))</f>
        <v>22.124839999999999</v>
      </c>
    </row>
    <row r="6335" spans="27:32" ht="15">
      <c r="AA6335" s="463" t="s">
        <v>19921</v>
      </c>
      <c r="AB6335" s="462" t="s">
        <v>19922</v>
      </c>
      <c r="AC6335" s="462" t="s">
        <v>19923</v>
      </c>
      <c r="AD6335" s="464">
        <v>547.80421000000001</v>
      </c>
      <c r="AE6335" s="465">
        <v>22.124839999999999</v>
      </c>
      <c r="AF6335" s="86">
        <f>IF(verze!$E$1="CZK",AD6335,IF(verze!$E$1="SK",AE6335,""))</f>
        <v>22.124839999999999</v>
      </c>
    </row>
    <row r="6336" spans="27:32" ht="15">
      <c r="AA6336" s="463" t="s">
        <v>19924</v>
      </c>
      <c r="AB6336" s="462" t="s">
        <v>19925</v>
      </c>
      <c r="AC6336" s="462" t="s">
        <v>19926</v>
      </c>
      <c r="AD6336" s="464">
        <v>498.00727999999998</v>
      </c>
      <c r="AE6336" s="465">
        <v>20.113630000000001</v>
      </c>
      <c r="AF6336" s="86">
        <f>IF(verze!$E$1="CZK",AD6336,IF(verze!$E$1="SK",AE6336,""))</f>
        <v>20.113630000000001</v>
      </c>
    </row>
    <row r="6337" spans="27:32" ht="15">
      <c r="AA6337" s="463" t="s">
        <v>19927</v>
      </c>
      <c r="AB6337" s="462" t="s">
        <v>19928</v>
      </c>
      <c r="AC6337" s="462" t="s">
        <v>19929</v>
      </c>
      <c r="AD6337" s="464">
        <v>547.80421000000001</v>
      </c>
      <c r="AE6337" s="465">
        <v>22.124839999999999</v>
      </c>
      <c r="AF6337" s="86">
        <f>IF(verze!$E$1="CZK",AD6337,IF(verze!$E$1="SK",AE6337,""))</f>
        <v>22.124839999999999</v>
      </c>
    </row>
    <row r="6338" spans="27:32" ht="15">
      <c r="AA6338" s="463" t="s">
        <v>19930</v>
      </c>
      <c r="AB6338" s="462" t="s">
        <v>19931</v>
      </c>
      <c r="AC6338" s="462" t="s">
        <v>19932</v>
      </c>
      <c r="AD6338" s="464">
        <v>547.80421000000001</v>
      </c>
      <c r="AE6338" s="465">
        <v>22.124839999999999</v>
      </c>
      <c r="AF6338" s="86">
        <f>IF(verze!$E$1="CZK",AD6338,IF(verze!$E$1="SK",AE6338,""))</f>
        <v>22.124839999999999</v>
      </c>
    </row>
    <row r="6339" spans="27:32" ht="15">
      <c r="AA6339" s="463" t="s">
        <v>19933</v>
      </c>
      <c r="AB6339" s="462" t="s">
        <v>19934</v>
      </c>
      <c r="AC6339" s="462" t="s">
        <v>19935</v>
      </c>
      <c r="AD6339" s="464">
        <v>429.96346</v>
      </c>
      <c r="AE6339" s="465">
        <v>17.36551</v>
      </c>
      <c r="AF6339" s="86">
        <f>IF(verze!$E$1="CZK",AD6339,IF(verze!$E$1="SK",AE6339,""))</f>
        <v>17.36551</v>
      </c>
    </row>
    <row r="6340" spans="27:32" ht="15">
      <c r="AA6340" s="463" t="s">
        <v>19936</v>
      </c>
      <c r="AB6340" s="462" t="s">
        <v>19937</v>
      </c>
      <c r="AC6340" s="462" t="s">
        <v>19938</v>
      </c>
      <c r="AD6340" s="464">
        <v>472.96856000000002</v>
      </c>
      <c r="AE6340" s="465">
        <v>19.102370000000001</v>
      </c>
      <c r="AF6340" s="86">
        <f>IF(verze!$E$1="CZK",AD6340,IF(verze!$E$1="SK",AE6340,""))</f>
        <v>19.102370000000001</v>
      </c>
    </row>
    <row r="6341" spans="27:32" ht="15">
      <c r="AA6341" s="463" t="s">
        <v>19939</v>
      </c>
      <c r="AB6341" s="462" t="s">
        <v>19940</v>
      </c>
      <c r="AC6341" s="462" t="s">
        <v>19941</v>
      </c>
      <c r="AD6341" s="464">
        <v>472.96856000000002</v>
      </c>
      <c r="AE6341" s="465">
        <v>19.102370000000001</v>
      </c>
      <c r="AF6341" s="86">
        <f>IF(verze!$E$1="CZK",AD6341,IF(verze!$E$1="SK",AE6341,""))</f>
        <v>19.102370000000001</v>
      </c>
    </row>
    <row r="6342" spans="27:32" ht="15">
      <c r="AA6342" s="463" t="s">
        <v>19942</v>
      </c>
      <c r="AB6342" s="462" t="s">
        <v>19943</v>
      </c>
      <c r="AC6342" s="462" t="s">
        <v>19944</v>
      </c>
      <c r="AD6342" s="464">
        <v>429.96346</v>
      </c>
      <c r="AE6342" s="465">
        <v>17.36551</v>
      </c>
      <c r="AF6342" s="86">
        <f>IF(verze!$E$1="CZK",AD6342,IF(verze!$E$1="SK",AE6342,""))</f>
        <v>17.36551</v>
      </c>
    </row>
    <row r="6343" spans="27:32" ht="15">
      <c r="AA6343" s="463" t="s">
        <v>19945</v>
      </c>
      <c r="AB6343" s="462" t="s">
        <v>19946</v>
      </c>
      <c r="AC6343" s="462" t="s">
        <v>19947</v>
      </c>
      <c r="AD6343" s="464">
        <v>472.96856000000002</v>
      </c>
      <c r="AE6343" s="465">
        <v>19.102370000000001</v>
      </c>
      <c r="AF6343" s="86">
        <f>IF(verze!$E$1="CZK",AD6343,IF(verze!$E$1="SK",AE6343,""))</f>
        <v>19.102370000000001</v>
      </c>
    </row>
    <row r="6344" spans="27:32" ht="15">
      <c r="AA6344" s="463" t="s">
        <v>19948</v>
      </c>
      <c r="AB6344" s="462" t="s">
        <v>19949</v>
      </c>
      <c r="AC6344" s="462" t="s">
        <v>19950</v>
      </c>
      <c r="AD6344" s="464">
        <v>472.96856000000002</v>
      </c>
      <c r="AE6344" s="465">
        <v>19.102370000000001</v>
      </c>
      <c r="AF6344" s="86">
        <f>IF(verze!$E$1="CZK",AD6344,IF(verze!$E$1="SK",AE6344,""))</f>
        <v>19.102370000000001</v>
      </c>
    </row>
    <row r="6345" spans="27:32" ht="15">
      <c r="AA6345" s="463" t="s">
        <v>19951</v>
      </c>
      <c r="AB6345" s="462" t="s">
        <v>19952</v>
      </c>
      <c r="AC6345" s="462" t="s">
        <v>19953</v>
      </c>
      <c r="AD6345" s="464">
        <v>429.96346</v>
      </c>
      <c r="AE6345" s="465">
        <v>17.36551</v>
      </c>
      <c r="AF6345" s="86">
        <f>IF(verze!$E$1="CZK",AD6345,IF(verze!$E$1="SK",AE6345,""))</f>
        <v>17.36551</v>
      </c>
    </row>
    <row r="6346" spans="27:32" ht="15">
      <c r="AA6346" s="463" t="s">
        <v>19954</v>
      </c>
      <c r="AB6346" s="462" t="s">
        <v>19955</v>
      </c>
      <c r="AC6346" s="462" t="s">
        <v>19956</v>
      </c>
      <c r="AD6346" s="464">
        <v>472.96856000000002</v>
      </c>
      <c r="AE6346" s="465">
        <v>19.102370000000001</v>
      </c>
      <c r="AF6346" s="86">
        <f>IF(verze!$E$1="CZK",AD6346,IF(verze!$E$1="SK",AE6346,""))</f>
        <v>19.102370000000001</v>
      </c>
    </row>
    <row r="6347" spans="27:32" ht="15">
      <c r="AA6347" s="463" t="s">
        <v>19957</v>
      </c>
      <c r="AB6347" s="462" t="s">
        <v>19958</v>
      </c>
      <c r="AC6347" s="462" t="s">
        <v>19959</v>
      </c>
      <c r="AD6347" s="464">
        <v>472.96856000000002</v>
      </c>
      <c r="AE6347" s="465">
        <v>19.102370000000001</v>
      </c>
      <c r="AF6347" s="86">
        <f>IF(verze!$E$1="CZK",AD6347,IF(verze!$E$1="SK",AE6347,""))</f>
        <v>19.102370000000001</v>
      </c>
    </row>
    <row r="6348" spans="27:32" ht="15">
      <c r="AA6348" s="463" t="s">
        <v>19960</v>
      </c>
      <c r="AB6348" s="462" t="s">
        <v>19961</v>
      </c>
      <c r="AC6348" s="462" t="s">
        <v>19962</v>
      </c>
      <c r="AD6348" s="464">
        <v>80.418430000000001</v>
      </c>
      <c r="AE6348" s="465">
        <v>3.24796</v>
      </c>
      <c r="AF6348" s="86">
        <f>IF(verze!$E$1="CZK",AD6348,IF(verze!$E$1="SK",AE6348,""))</f>
        <v>3.24796</v>
      </c>
    </row>
    <row r="6349" spans="27:32" ht="15">
      <c r="AA6349" s="463" t="s">
        <v>19963</v>
      </c>
      <c r="AB6349" s="462" t="s">
        <v>19964</v>
      </c>
      <c r="AC6349" s="462" t="s">
        <v>19965</v>
      </c>
      <c r="AD6349" s="464">
        <v>429.96346</v>
      </c>
      <c r="AE6349" s="465">
        <v>17.36551</v>
      </c>
      <c r="AF6349" s="86">
        <f>IF(verze!$E$1="CZK",AD6349,IF(verze!$E$1="SK",AE6349,""))</f>
        <v>17.36551</v>
      </c>
    </row>
    <row r="6350" spans="27:32" ht="15">
      <c r="AA6350" s="463" t="s">
        <v>19966</v>
      </c>
      <c r="AB6350" s="462" t="s">
        <v>19967</v>
      </c>
      <c r="AC6350" s="462" t="s">
        <v>19968</v>
      </c>
      <c r="AD6350" s="464">
        <v>472.96856000000002</v>
      </c>
      <c r="AE6350" s="465">
        <v>19.102370000000001</v>
      </c>
      <c r="AF6350" s="86">
        <f>IF(verze!$E$1="CZK",AD6350,IF(verze!$E$1="SK",AE6350,""))</f>
        <v>19.102370000000001</v>
      </c>
    </row>
    <row r="6351" spans="27:32" ht="15">
      <c r="AA6351" s="463" t="s">
        <v>19969</v>
      </c>
      <c r="AB6351" s="462" t="s">
        <v>19970</v>
      </c>
      <c r="AC6351" s="462" t="s">
        <v>19971</v>
      </c>
      <c r="AD6351" s="464">
        <v>472.96856000000002</v>
      </c>
      <c r="AE6351" s="465">
        <v>19.102370000000001</v>
      </c>
      <c r="AF6351" s="86">
        <f>IF(verze!$E$1="CZK",AD6351,IF(verze!$E$1="SK",AE6351,""))</f>
        <v>19.102370000000001</v>
      </c>
    </row>
    <row r="6352" spans="27:32" ht="15">
      <c r="AA6352" s="463" t="s">
        <v>19972</v>
      </c>
      <c r="AB6352" s="462" t="s">
        <v>19973</v>
      </c>
      <c r="AC6352" s="462" t="s">
        <v>19974</v>
      </c>
      <c r="AD6352" s="464">
        <v>88.452910000000003</v>
      </c>
      <c r="AE6352" s="465">
        <v>3.5724900000000002</v>
      </c>
      <c r="AF6352" s="86">
        <f>IF(verze!$E$1="CZK",AD6352,IF(verze!$E$1="SK",AE6352,""))</f>
        <v>3.5724900000000002</v>
      </c>
    </row>
    <row r="6353" spans="27:32" ht="15">
      <c r="AA6353" s="463" t="s">
        <v>19975</v>
      </c>
      <c r="AB6353" s="462" t="s">
        <v>19976</v>
      </c>
      <c r="AC6353" s="462" t="s">
        <v>19977</v>
      </c>
      <c r="AD6353" s="464">
        <v>88.452910000000003</v>
      </c>
      <c r="AE6353" s="465">
        <v>3.5724900000000002</v>
      </c>
      <c r="AF6353" s="86">
        <f>IF(verze!$E$1="CZK",AD6353,IF(verze!$E$1="SK",AE6353,""))</f>
        <v>3.5724900000000002</v>
      </c>
    </row>
    <row r="6354" spans="27:32" ht="15">
      <c r="AA6354" s="463" t="s">
        <v>19978</v>
      </c>
      <c r="AB6354" s="462" t="s">
        <v>19979</v>
      </c>
      <c r="AC6354" s="462" t="s">
        <v>19980</v>
      </c>
      <c r="AD6354" s="464">
        <v>120.62428</v>
      </c>
      <c r="AE6354" s="465">
        <v>4.87181</v>
      </c>
      <c r="AF6354" s="86">
        <f>IF(verze!$E$1="CZK",AD6354,IF(verze!$E$1="SK",AE6354,""))</f>
        <v>4.87181</v>
      </c>
    </row>
    <row r="6355" spans="27:32" ht="15">
      <c r="AA6355" s="463" t="s">
        <v>19981</v>
      </c>
      <c r="AB6355" s="462" t="s">
        <v>19982</v>
      </c>
      <c r="AC6355" s="462" t="s">
        <v>19983</v>
      </c>
      <c r="AD6355" s="464">
        <v>132.68494999999999</v>
      </c>
      <c r="AE6355" s="465">
        <v>5.3588699999999996</v>
      </c>
      <c r="AF6355" s="86">
        <f>IF(verze!$E$1="CZK",AD6355,IF(verze!$E$1="SK",AE6355,""))</f>
        <v>5.3588699999999996</v>
      </c>
    </row>
    <row r="6356" spans="27:32" ht="15">
      <c r="AA6356" s="463" t="s">
        <v>19984</v>
      </c>
      <c r="AB6356" s="462" t="s">
        <v>19985</v>
      </c>
      <c r="AC6356" s="462" t="s">
        <v>19986</v>
      </c>
      <c r="AD6356" s="464">
        <v>132.68494999999999</v>
      </c>
      <c r="AE6356" s="465">
        <v>5.3588699999999996</v>
      </c>
      <c r="AF6356" s="86">
        <f>IF(verze!$E$1="CZK",AD6356,IF(verze!$E$1="SK",AE6356,""))</f>
        <v>5.3588699999999996</v>
      </c>
    </row>
    <row r="6357" spans="27:32" ht="15">
      <c r="AA6357" s="463" t="s">
        <v>19987</v>
      </c>
      <c r="AB6357" s="462" t="s">
        <v>19988</v>
      </c>
      <c r="AC6357" s="462" t="s">
        <v>19989</v>
      </c>
      <c r="AD6357" s="464">
        <v>140.73277999999999</v>
      </c>
      <c r="AE6357" s="465">
        <v>5.6839599999999999</v>
      </c>
      <c r="AF6357" s="86">
        <f>IF(verze!$E$1="CZK",AD6357,IF(verze!$E$1="SK",AE6357,""))</f>
        <v>5.6839599999999999</v>
      </c>
    </row>
    <row r="6358" spans="27:32" ht="15">
      <c r="AA6358" s="463" t="s">
        <v>19990</v>
      </c>
      <c r="AB6358" s="462" t="s">
        <v>19991</v>
      </c>
      <c r="AC6358" s="462" t="s">
        <v>19992</v>
      </c>
      <c r="AD6358" s="464">
        <v>154.79321999999999</v>
      </c>
      <c r="AE6358" s="465">
        <v>6.2518700000000003</v>
      </c>
      <c r="AF6358" s="86">
        <f>IF(verze!$E$1="CZK",AD6358,IF(verze!$E$1="SK",AE6358,""))</f>
        <v>6.2518700000000003</v>
      </c>
    </row>
    <row r="6359" spans="27:32" ht="15">
      <c r="AA6359" s="463" t="s">
        <v>19993</v>
      </c>
      <c r="AB6359" s="462" t="s">
        <v>19994</v>
      </c>
      <c r="AC6359" s="462" t="s">
        <v>19995</v>
      </c>
      <c r="AD6359" s="464">
        <v>154.79321999999999</v>
      </c>
      <c r="AE6359" s="465">
        <v>6.2518700000000003</v>
      </c>
      <c r="AF6359" s="86">
        <f>IF(verze!$E$1="CZK",AD6359,IF(verze!$E$1="SK",AE6359,""))</f>
        <v>6.2518700000000003</v>
      </c>
    </row>
    <row r="6360" spans="27:32" ht="15">
      <c r="AA6360" s="463" t="s">
        <v>19996</v>
      </c>
      <c r="AB6360" s="462" t="s">
        <v>19997</v>
      </c>
      <c r="AC6360" s="462" t="s">
        <v>19998</v>
      </c>
      <c r="AD6360" s="464">
        <v>211.09027</v>
      </c>
      <c r="AE6360" s="465">
        <v>8.5255500000000008</v>
      </c>
      <c r="AF6360" s="86">
        <f>IF(verze!$E$1="CZK",AD6360,IF(verze!$E$1="SK",AE6360,""))</f>
        <v>8.5255500000000008</v>
      </c>
    </row>
    <row r="6361" spans="27:32" ht="15">
      <c r="AA6361" s="463" t="s">
        <v>19999</v>
      </c>
      <c r="AB6361" s="462" t="s">
        <v>20000</v>
      </c>
      <c r="AC6361" s="462" t="s">
        <v>20001</v>
      </c>
      <c r="AD6361" s="464">
        <v>232.20094</v>
      </c>
      <c r="AE6361" s="465">
        <v>9.3781700000000008</v>
      </c>
      <c r="AF6361" s="86">
        <f>IF(verze!$E$1="CZK",AD6361,IF(verze!$E$1="SK",AE6361,""))</f>
        <v>9.3781700000000008</v>
      </c>
    </row>
    <row r="6362" spans="27:32" ht="15">
      <c r="AA6362" s="463" t="s">
        <v>20002</v>
      </c>
      <c r="AB6362" s="462" t="s">
        <v>20003</v>
      </c>
      <c r="AC6362" s="462" t="s">
        <v>20004</v>
      </c>
      <c r="AD6362" s="464">
        <v>232.20094</v>
      </c>
      <c r="AE6362" s="465">
        <v>9.3781700000000008</v>
      </c>
      <c r="AF6362" s="86">
        <f>IF(verze!$E$1="CZK",AD6362,IF(verze!$E$1="SK",AE6362,""))</f>
        <v>9.3781700000000008</v>
      </c>
    </row>
    <row r="6363" spans="27:32" ht="15">
      <c r="AA6363" s="463" t="s">
        <v>20005</v>
      </c>
      <c r="AB6363" s="462" t="s">
        <v>20006</v>
      </c>
      <c r="AC6363" s="462" t="s">
        <v>20007</v>
      </c>
      <c r="AD6363" s="464">
        <v>444.42023</v>
      </c>
      <c r="AE6363" s="465">
        <v>17.949400000000001</v>
      </c>
      <c r="AF6363" s="86">
        <f>IF(verze!$E$1="CZK",AD6363,IF(verze!$E$1="SK",AE6363,""))</f>
        <v>17.949400000000001</v>
      </c>
    </row>
    <row r="6364" spans="27:32" ht="15">
      <c r="AA6364" s="463" t="s">
        <v>20008</v>
      </c>
      <c r="AB6364" s="462" t="s">
        <v>20009</v>
      </c>
      <c r="AC6364" s="462" t="s">
        <v>20010</v>
      </c>
      <c r="AD6364" s="464">
        <v>579.71510999999998</v>
      </c>
      <c r="AE6364" s="465">
        <v>23.413699999999999</v>
      </c>
      <c r="AF6364" s="86">
        <f>IF(verze!$E$1="CZK",AD6364,IF(verze!$E$1="SK",AE6364,""))</f>
        <v>23.413699999999999</v>
      </c>
    </row>
    <row r="6365" spans="27:32" ht="15">
      <c r="AA6365" s="463" t="s">
        <v>20011</v>
      </c>
      <c r="AB6365" s="462" t="s">
        <v>20012</v>
      </c>
      <c r="AC6365" s="462" t="s">
        <v>20013</v>
      </c>
      <c r="AD6365" s="464">
        <v>853.28648999999996</v>
      </c>
      <c r="AE6365" s="465">
        <v>34.462809999999998</v>
      </c>
      <c r="AF6365" s="86">
        <f>IF(verze!$E$1="CZK",AD6365,IF(verze!$E$1="SK",AE6365,""))</f>
        <v>34.462809999999998</v>
      </c>
    </row>
    <row r="6366" spans="27:32" ht="15">
      <c r="AA6366" s="463" t="s">
        <v>20014</v>
      </c>
      <c r="AB6366" s="462" t="s">
        <v>20015</v>
      </c>
      <c r="AC6366" s="462" t="s">
        <v>20016</v>
      </c>
      <c r="AD6366" s="464">
        <v>1113.04693</v>
      </c>
      <c r="AE6366" s="465">
        <v>44.95402</v>
      </c>
      <c r="AF6366" s="86">
        <f>IF(verze!$E$1="CZK",AD6366,IF(verze!$E$1="SK",AE6366,""))</f>
        <v>44.95402</v>
      </c>
    </row>
    <row r="6367" spans="27:32" ht="15">
      <c r="AA6367" s="463" t="s">
        <v>20017</v>
      </c>
      <c r="AB6367" s="462" t="s">
        <v>20018</v>
      </c>
      <c r="AC6367" s="462" t="s">
        <v>20019</v>
      </c>
      <c r="AD6367" s="464">
        <v>340.69556</v>
      </c>
      <c r="AE6367" s="465">
        <v>13.76009</v>
      </c>
      <c r="AF6367" s="86">
        <f>IF(verze!$E$1="CZK",AD6367,IF(verze!$E$1="SK",AE6367,""))</f>
        <v>13.76009</v>
      </c>
    </row>
    <row r="6368" spans="27:32" ht="15">
      <c r="AA6368" s="463" t="s">
        <v>20020</v>
      </c>
      <c r="AB6368" s="462" t="s">
        <v>20021</v>
      </c>
      <c r="AC6368" s="462" t="s">
        <v>20022</v>
      </c>
      <c r="AD6368" s="464">
        <v>444.41352000000001</v>
      </c>
      <c r="AE6368" s="465">
        <v>17.94905</v>
      </c>
      <c r="AF6368" s="86">
        <f>IF(verze!$E$1="CZK",AD6368,IF(verze!$E$1="SK",AE6368,""))</f>
        <v>17.94905</v>
      </c>
    </row>
    <row r="6369" spans="27:32" ht="15">
      <c r="AA6369" s="463" t="s">
        <v>20023</v>
      </c>
      <c r="AB6369" s="462" t="s">
        <v>20024</v>
      </c>
      <c r="AC6369" s="462" t="s">
        <v>20025</v>
      </c>
      <c r="AD6369" s="464">
        <v>691.27387999999996</v>
      </c>
      <c r="AE6369" s="465">
        <v>27.919319999999999</v>
      </c>
      <c r="AF6369" s="86">
        <f>IF(verze!$E$1="CZK",AD6369,IF(verze!$E$1="SK",AE6369,""))</f>
        <v>27.919319999999999</v>
      </c>
    </row>
    <row r="6370" spans="27:32" ht="15">
      <c r="AA6370" s="463" t="s">
        <v>20026</v>
      </c>
      <c r="AB6370" s="462" t="s">
        <v>20027</v>
      </c>
      <c r="AC6370" s="462" t="s">
        <v>20028</v>
      </c>
      <c r="AD6370" s="464">
        <v>901.71168999999998</v>
      </c>
      <c r="AE6370" s="465">
        <v>36.41854</v>
      </c>
      <c r="AF6370" s="86">
        <f>IF(verze!$E$1="CZK",AD6370,IF(verze!$E$1="SK",AE6370,""))</f>
        <v>36.41854</v>
      </c>
    </row>
    <row r="6371" spans="27:32" ht="15">
      <c r="AA6371" s="463" t="s">
        <v>20029</v>
      </c>
      <c r="AB6371" s="462" t="s">
        <v>20030</v>
      </c>
      <c r="AC6371" s="462" t="s">
        <v>20031</v>
      </c>
      <c r="AD6371" s="464">
        <v>339.10557999999997</v>
      </c>
      <c r="AE6371" s="465">
        <v>13.695880000000001</v>
      </c>
      <c r="AF6371" s="86">
        <f>IF(verze!$E$1="CZK",AD6371,IF(verze!$E$1="SK",AE6371,""))</f>
        <v>13.695880000000001</v>
      </c>
    </row>
    <row r="6372" spans="27:32" ht="15">
      <c r="AA6372" s="463" t="s">
        <v>20032</v>
      </c>
      <c r="AB6372" s="462" t="s">
        <v>20033</v>
      </c>
      <c r="AC6372" s="462" t="s">
        <v>20034</v>
      </c>
      <c r="AD6372" s="464">
        <v>626.57029</v>
      </c>
      <c r="AE6372" s="465">
        <v>25.306100000000001</v>
      </c>
      <c r="AF6372" s="86">
        <f>IF(verze!$E$1="CZK",AD6372,IF(verze!$E$1="SK",AE6372,""))</f>
        <v>25.306100000000001</v>
      </c>
    </row>
    <row r="6373" spans="27:32" ht="15">
      <c r="AA6373" s="463" t="s">
        <v>20035</v>
      </c>
      <c r="AB6373" s="462" t="s">
        <v>20036</v>
      </c>
      <c r="AC6373" s="462" t="s">
        <v>20037</v>
      </c>
      <c r="AD6373" s="464">
        <v>1236.7154</v>
      </c>
      <c r="AE6373" s="465">
        <v>49.94876</v>
      </c>
      <c r="AF6373" s="86">
        <f>IF(verze!$E$1="CZK",AD6373,IF(verze!$E$1="SK",AE6373,""))</f>
        <v>49.94876</v>
      </c>
    </row>
    <row r="6374" spans="27:32" ht="15">
      <c r="AA6374" s="463" t="s">
        <v>20038</v>
      </c>
      <c r="AB6374" s="462" t="s">
        <v>20039</v>
      </c>
      <c r="AC6374" s="462" t="s">
        <v>20040</v>
      </c>
      <c r="AD6374" s="464">
        <v>1360.38159</v>
      </c>
      <c r="AE6374" s="465">
        <v>54.9435</v>
      </c>
      <c r="AF6374" s="86">
        <f>IF(verze!$E$1="CZK",AD6374,IF(verze!$E$1="SK",AE6374,""))</f>
        <v>54.9435</v>
      </c>
    </row>
    <row r="6375" spans="27:32" ht="15">
      <c r="AA6375" s="463" t="s">
        <v>20041</v>
      </c>
      <c r="AB6375" s="462" t="s">
        <v>20042</v>
      </c>
      <c r="AC6375" s="462" t="s">
        <v>20043</v>
      </c>
      <c r="AD6375" s="464">
        <v>1360.38159</v>
      </c>
      <c r="AE6375" s="465">
        <v>54.9435</v>
      </c>
      <c r="AF6375" s="86">
        <f>IF(verze!$E$1="CZK",AD6375,IF(verze!$E$1="SK",AE6375,""))</f>
        <v>54.9435</v>
      </c>
    </row>
    <row r="6376" spans="27:32" ht="15">
      <c r="AA6376" s="463" t="s">
        <v>20044</v>
      </c>
      <c r="AB6376" s="462" t="s">
        <v>20045</v>
      </c>
      <c r="AC6376" s="462" t="s">
        <v>20046</v>
      </c>
      <c r="AD6376" s="464">
        <v>1413.3851500000001</v>
      </c>
      <c r="AE6376" s="465">
        <v>57.084209999999999</v>
      </c>
      <c r="AF6376" s="86">
        <f>IF(verze!$E$1="CZK",AD6376,IF(verze!$E$1="SK",AE6376,""))</f>
        <v>57.084209999999999</v>
      </c>
    </row>
    <row r="6377" spans="27:32" ht="15">
      <c r="AA6377" s="463" t="s">
        <v>20047</v>
      </c>
      <c r="AB6377" s="462" t="s">
        <v>20048</v>
      </c>
      <c r="AC6377" s="462" t="s">
        <v>20049</v>
      </c>
      <c r="AD6377" s="464">
        <v>1554.7237500000001</v>
      </c>
      <c r="AE6377" s="465">
        <v>62.792549999999999</v>
      </c>
      <c r="AF6377" s="86">
        <f>IF(verze!$E$1="CZK",AD6377,IF(verze!$E$1="SK",AE6377,""))</f>
        <v>62.792549999999999</v>
      </c>
    </row>
    <row r="6378" spans="27:32" ht="15">
      <c r="AA6378" s="463" t="s">
        <v>20050</v>
      </c>
      <c r="AB6378" s="462" t="s">
        <v>20051</v>
      </c>
      <c r="AC6378" s="462" t="s">
        <v>20052</v>
      </c>
      <c r="AD6378" s="464">
        <v>1554.7237500000001</v>
      </c>
      <c r="AE6378" s="465">
        <v>62.792549999999999</v>
      </c>
      <c r="AF6378" s="86">
        <f>IF(verze!$E$1="CZK",AD6378,IF(verze!$E$1="SK",AE6378,""))</f>
        <v>62.792549999999999</v>
      </c>
    </row>
    <row r="6379" spans="27:32" ht="15">
      <c r="AA6379" s="463" t="s">
        <v>20053</v>
      </c>
      <c r="AB6379" s="462" t="s">
        <v>20054</v>
      </c>
      <c r="AC6379" s="462" t="s">
        <v>20055</v>
      </c>
      <c r="AD6379" s="464">
        <v>1179.0710300000001</v>
      </c>
      <c r="AE6379" s="465">
        <v>47.620669999999997</v>
      </c>
      <c r="AF6379" s="86">
        <f>IF(verze!$E$1="CZK",AD6379,IF(verze!$E$1="SK",AE6379,""))</f>
        <v>47.620669999999997</v>
      </c>
    </row>
    <row r="6380" spans="27:32" ht="15">
      <c r="AA6380" s="463" t="s">
        <v>20056</v>
      </c>
      <c r="AB6380" s="462" t="s">
        <v>20057</v>
      </c>
      <c r="AC6380" s="462" t="s">
        <v>20058</v>
      </c>
      <c r="AD6380" s="464">
        <v>1296.97857</v>
      </c>
      <c r="AE6380" s="465">
        <v>52.382719999999999</v>
      </c>
      <c r="AF6380" s="86">
        <f>IF(verze!$E$1="CZK",AD6380,IF(verze!$E$1="SK",AE6380,""))</f>
        <v>52.382719999999999</v>
      </c>
    </row>
    <row r="6381" spans="27:32" ht="15">
      <c r="AA6381" s="463" t="s">
        <v>20059</v>
      </c>
      <c r="AB6381" s="462" t="s">
        <v>20060</v>
      </c>
      <c r="AC6381" s="462" t="s">
        <v>20061</v>
      </c>
      <c r="AD6381" s="464">
        <v>1296.97857</v>
      </c>
      <c r="AE6381" s="465">
        <v>52.382719999999999</v>
      </c>
      <c r="AF6381" s="86">
        <f>IF(verze!$E$1="CZK",AD6381,IF(verze!$E$1="SK",AE6381,""))</f>
        <v>52.382719999999999</v>
      </c>
    </row>
    <row r="6382" spans="27:32" ht="15">
      <c r="AA6382" s="463" t="s">
        <v>20062</v>
      </c>
      <c r="AB6382" s="462" t="s">
        <v>20063</v>
      </c>
      <c r="AC6382" s="462" t="s">
        <v>20064</v>
      </c>
      <c r="AD6382" s="464">
        <v>1355.74523</v>
      </c>
      <c r="AE6382" s="465">
        <v>54.756250000000001</v>
      </c>
      <c r="AF6382" s="86">
        <f>IF(verze!$E$1="CZK",AD6382,IF(verze!$E$1="SK",AE6382,""))</f>
        <v>54.756250000000001</v>
      </c>
    </row>
    <row r="6383" spans="27:32" ht="15">
      <c r="AA6383" s="463" t="s">
        <v>20065</v>
      </c>
      <c r="AB6383" s="462" t="s">
        <v>20066</v>
      </c>
      <c r="AC6383" s="462" t="s">
        <v>20067</v>
      </c>
      <c r="AD6383" s="464">
        <v>1491.31846</v>
      </c>
      <c r="AE6383" s="465">
        <v>60.231789999999997</v>
      </c>
      <c r="AF6383" s="86">
        <f>IF(verze!$E$1="CZK",AD6383,IF(verze!$E$1="SK",AE6383,""))</f>
        <v>60.231789999999997</v>
      </c>
    </row>
    <row r="6384" spans="27:32" ht="15">
      <c r="AA6384" s="463" t="s">
        <v>20068</v>
      </c>
      <c r="AB6384" s="462" t="s">
        <v>20069</v>
      </c>
      <c r="AC6384" s="462" t="s">
        <v>20070</v>
      </c>
      <c r="AD6384" s="464">
        <v>1491.31846</v>
      </c>
      <c r="AE6384" s="465">
        <v>60.231789999999997</v>
      </c>
      <c r="AF6384" s="86">
        <f>IF(verze!$E$1="CZK",AD6384,IF(verze!$E$1="SK",AE6384,""))</f>
        <v>60.231789999999997</v>
      </c>
    </row>
    <row r="6385" spans="27:32" ht="15">
      <c r="AA6385" s="463" t="s">
        <v>20071</v>
      </c>
      <c r="AB6385" s="462" t="s">
        <v>20072</v>
      </c>
      <c r="AC6385" s="462" t="s">
        <v>20073</v>
      </c>
      <c r="AD6385" s="464">
        <v>0.90227000000000002</v>
      </c>
      <c r="AE6385" s="465">
        <v>4.3130000000000002E-2</v>
      </c>
      <c r="AF6385" s="86">
        <f>IF(verze!$E$1="CZK",AD6385,IF(verze!$E$1="SK",AE6385,""))</f>
        <v>4.3130000000000002E-2</v>
      </c>
    </row>
    <row r="6386" spans="27:32" ht="15">
      <c r="AA6386" s="463" t="s">
        <v>20074</v>
      </c>
      <c r="AB6386" s="462" t="s">
        <v>20075</v>
      </c>
      <c r="AC6386" s="462" t="s">
        <v>20076</v>
      </c>
      <c r="AD6386" s="464">
        <v>1210.56413</v>
      </c>
      <c r="AE6386" s="465">
        <v>0</v>
      </c>
      <c r="AF6386" s="86">
        <f>IF(verze!$E$1="CZK",AD6386,IF(verze!$E$1="SK",AE6386,""))</f>
        <v>0</v>
      </c>
    </row>
    <row r="6387" spans="27:32" ht="15">
      <c r="AA6387" s="463" t="s">
        <v>20077</v>
      </c>
      <c r="AB6387" s="462" t="s">
        <v>20078</v>
      </c>
      <c r="AC6387" s="462" t="s">
        <v>20079</v>
      </c>
      <c r="AD6387" s="464">
        <v>1206.3406199999999</v>
      </c>
      <c r="AE6387" s="465">
        <v>58.029339999999998</v>
      </c>
      <c r="AF6387" s="86">
        <f>IF(verze!$E$1="CZK",AD6387,IF(verze!$E$1="SK",AE6387,""))</f>
        <v>58.029339999999998</v>
      </c>
    </row>
    <row r="6388" spans="27:32" ht="15">
      <c r="AA6388" s="463" t="s">
        <v>20080</v>
      </c>
      <c r="AB6388" s="462" t="s">
        <v>20081</v>
      </c>
      <c r="AC6388" s="462" t="s">
        <v>20082</v>
      </c>
      <c r="AD6388" s="464">
        <v>1186.2349899999999</v>
      </c>
      <c r="AE6388" s="465">
        <v>57.062170000000002</v>
      </c>
      <c r="AF6388" s="86">
        <f>IF(verze!$E$1="CZK",AD6388,IF(verze!$E$1="SK",AE6388,""))</f>
        <v>57.062170000000002</v>
      </c>
    </row>
    <row r="6389" spans="27:32" ht="15">
      <c r="AA6389" s="463" t="s">
        <v>1320</v>
      </c>
      <c r="AB6389" s="462" t="s">
        <v>20083</v>
      </c>
      <c r="AC6389" s="462" t="s">
        <v>20084</v>
      </c>
      <c r="AD6389" s="464">
        <v>15.14293</v>
      </c>
      <c r="AE6389" s="465">
        <v>0.72843000000000002</v>
      </c>
      <c r="AF6389" s="86">
        <f>IF(verze!$E$1="CZK",AD6389,IF(verze!$E$1="SK",AE6389,""))</f>
        <v>0.72843000000000002</v>
      </c>
    </row>
    <row r="6390" spans="27:32" ht="15">
      <c r="AA6390" s="463" t="s">
        <v>20085</v>
      </c>
      <c r="AB6390" s="462" t="s">
        <v>20086</v>
      </c>
      <c r="AC6390" s="462" t="s">
        <v>20087</v>
      </c>
      <c r="AD6390" s="464">
        <v>317.14425</v>
      </c>
      <c r="AE6390" s="465">
        <v>15.255789999999999</v>
      </c>
      <c r="AF6390" s="86">
        <f>IF(verze!$E$1="CZK",AD6390,IF(verze!$E$1="SK",AE6390,""))</f>
        <v>15.255789999999999</v>
      </c>
    </row>
    <row r="6391" spans="27:32" ht="15">
      <c r="AA6391" s="463" t="s">
        <v>20088</v>
      </c>
      <c r="AB6391" s="462" t="s">
        <v>20089</v>
      </c>
      <c r="AC6391" s="462" t="s">
        <v>20090</v>
      </c>
      <c r="AD6391" s="464">
        <v>57.547179999999997</v>
      </c>
      <c r="AE6391" s="465">
        <v>2.6364000000000001</v>
      </c>
      <c r="AF6391" s="86">
        <f>IF(verze!$E$1="CZK",AD6391,IF(verze!$E$1="SK",AE6391,""))</f>
        <v>2.6364000000000001</v>
      </c>
    </row>
    <row r="6392" spans="27:32" ht="15">
      <c r="AA6392" s="463" t="s">
        <v>20091</v>
      </c>
      <c r="AB6392" s="462" t="s">
        <v>20092</v>
      </c>
      <c r="AC6392" s="462" t="s">
        <v>20093</v>
      </c>
      <c r="AD6392" s="464">
        <v>352.34303999999997</v>
      </c>
      <c r="AE6392" s="465">
        <v>16.04222</v>
      </c>
      <c r="AF6392" s="86">
        <f>IF(verze!$E$1="CZK",AD6392,IF(verze!$E$1="SK",AE6392,""))</f>
        <v>16.04222</v>
      </c>
    </row>
    <row r="6393" spans="27:32" ht="15">
      <c r="AA6393" s="463" t="s">
        <v>20094</v>
      </c>
      <c r="AB6393" s="462" t="s">
        <v>20095</v>
      </c>
      <c r="AC6393" s="462" t="s">
        <v>20096</v>
      </c>
      <c r="AD6393" s="464">
        <v>225.57722999999999</v>
      </c>
      <c r="AE6393" s="465">
        <v>10.33436</v>
      </c>
      <c r="AF6393" s="86">
        <f>IF(verze!$E$1="CZK",AD6393,IF(verze!$E$1="SK",AE6393,""))</f>
        <v>10.33436</v>
      </c>
    </row>
    <row r="6394" spans="27:32" ht="15">
      <c r="AA6394" s="463" t="s">
        <v>20097</v>
      </c>
      <c r="AB6394" s="462" t="s">
        <v>20098</v>
      </c>
      <c r="AC6394" s="462" t="s">
        <v>20099</v>
      </c>
      <c r="AD6394" s="464">
        <v>28.26905</v>
      </c>
      <c r="AE6394" s="465">
        <v>1.3598600000000001</v>
      </c>
      <c r="AF6394" s="86">
        <f>IF(verze!$E$1="CZK",AD6394,IF(verze!$E$1="SK",AE6394,""))</f>
        <v>1.3598600000000001</v>
      </c>
    </row>
    <row r="6395" spans="27:32" ht="15">
      <c r="AA6395" s="463" t="s">
        <v>20100</v>
      </c>
      <c r="AB6395" s="462" t="s">
        <v>20101</v>
      </c>
      <c r="AC6395" s="462" t="s">
        <v>20102</v>
      </c>
      <c r="AD6395" s="464">
        <v>28.581109999999999</v>
      </c>
      <c r="AE6395" s="465">
        <v>1.3748499999999999</v>
      </c>
      <c r="AF6395" s="86">
        <f>IF(verze!$E$1="CZK",AD6395,IF(verze!$E$1="SK",AE6395,""))</f>
        <v>1.3748499999999999</v>
      </c>
    </row>
    <row r="6396" spans="27:32" ht="15">
      <c r="AA6396" s="463" t="s">
        <v>20103</v>
      </c>
      <c r="AB6396" s="462" t="s">
        <v>20104</v>
      </c>
      <c r="AC6396" s="462" t="s">
        <v>20105</v>
      </c>
      <c r="AD6396" s="464">
        <v>29.109169999999999</v>
      </c>
      <c r="AE6396" s="465">
        <v>1.4002600000000001</v>
      </c>
      <c r="AF6396" s="86">
        <f>IF(verze!$E$1="CZK",AD6396,IF(verze!$E$1="SK",AE6396,""))</f>
        <v>1.4002600000000001</v>
      </c>
    </row>
    <row r="6397" spans="27:32" ht="15">
      <c r="AA6397" s="463" t="s">
        <v>20106</v>
      </c>
      <c r="AB6397" s="462" t="s">
        <v>20107</v>
      </c>
      <c r="AC6397" s="462" t="s">
        <v>20108</v>
      </c>
      <c r="AD6397" s="464">
        <v>29.63186</v>
      </c>
      <c r="AE6397" s="465">
        <v>1.4254199999999999</v>
      </c>
      <c r="AF6397" s="86">
        <f>IF(verze!$E$1="CZK",AD6397,IF(verze!$E$1="SK",AE6397,""))</f>
        <v>1.4254199999999999</v>
      </c>
    </row>
    <row r="6398" spans="27:32" ht="15">
      <c r="AA6398" s="463" t="s">
        <v>20109</v>
      </c>
      <c r="AB6398" s="462" t="s">
        <v>20110</v>
      </c>
      <c r="AC6398" s="462" t="s">
        <v>20111</v>
      </c>
      <c r="AD6398" s="464">
        <v>30.15992</v>
      </c>
      <c r="AE6398" s="465">
        <v>1.4508099999999999</v>
      </c>
      <c r="AF6398" s="86">
        <f>IF(verze!$E$1="CZK",AD6398,IF(verze!$E$1="SK",AE6398,""))</f>
        <v>1.4508099999999999</v>
      </c>
    </row>
    <row r="6399" spans="27:32" ht="15">
      <c r="AA6399" s="463" t="s">
        <v>20112</v>
      </c>
      <c r="AB6399" s="462" t="s">
        <v>20113</v>
      </c>
      <c r="AC6399" s="462" t="s">
        <v>20114</v>
      </c>
      <c r="AD6399" s="464">
        <v>30.685300000000002</v>
      </c>
      <c r="AE6399" s="465">
        <v>1.47607</v>
      </c>
      <c r="AF6399" s="86">
        <f>IF(verze!$E$1="CZK",AD6399,IF(verze!$E$1="SK",AE6399,""))</f>
        <v>1.47607</v>
      </c>
    </row>
    <row r="6400" spans="27:32" ht="15">
      <c r="AA6400" s="463" t="s">
        <v>20115</v>
      </c>
      <c r="AB6400" s="462" t="s">
        <v>20116</v>
      </c>
      <c r="AC6400" s="462" t="s">
        <v>20117</v>
      </c>
      <c r="AD6400" s="464">
        <v>31.207979999999999</v>
      </c>
      <c r="AE6400" s="465">
        <v>1.5012099999999999</v>
      </c>
      <c r="AF6400" s="86">
        <f>IF(verze!$E$1="CZK",AD6400,IF(verze!$E$1="SK",AE6400,""))</f>
        <v>1.5012099999999999</v>
      </c>
    </row>
    <row r="6401" spans="27:32" ht="15">
      <c r="AA6401" s="463" t="s">
        <v>20118</v>
      </c>
      <c r="AB6401" s="462" t="s">
        <v>20119</v>
      </c>
      <c r="AC6401" s="462" t="s">
        <v>20120</v>
      </c>
      <c r="AD6401" s="464">
        <v>32.56015</v>
      </c>
      <c r="AE6401" s="465">
        <v>1.56626</v>
      </c>
      <c r="AF6401" s="86">
        <f>IF(verze!$E$1="CZK",AD6401,IF(verze!$E$1="SK",AE6401,""))</f>
        <v>1.56626</v>
      </c>
    </row>
    <row r="6402" spans="27:32" ht="15">
      <c r="AA6402" s="463" t="s">
        <v>20121</v>
      </c>
      <c r="AB6402" s="462" t="s">
        <v>20122</v>
      </c>
      <c r="AC6402" s="462" t="s">
        <v>20123</v>
      </c>
      <c r="AD6402" s="464">
        <v>35.114960000000004</v>
      </c>
      <c r="AE6402" s="465">
        <v>1.68916</v>
      </c>
      <c r="AF6402" s="86">
        <f>IF(verze!$E$1="CZK",AD6402,IF(verze!$E$1="SK",AE6402,""))</f>
        <v>1.68916</v>
      </c>
    </row>
    <row r="6403" spans="27:32" ht="15">
      <c r="AA6403" s="463" t="s">
        <v>20124</v>
      </c>
      <c r="AB6403" s="462" t="s">
        <v>20125</v>
      </c>
      <c r="AC6403" s="462" t="s">
        <v>20126</v>
      </c>
      <c r="AD6403" s="464">
        <v>19.78839</v>
      </c>
      <c r="AE6403" s="465">
        <v>0.95189000000000001</v>
      </c>
      <c r="AF6403" s="86">
        <f>IF(verze!$E$1="CZK",AD6403,IF(verze!$E$1="SK",AE6403,""))</f>
        <v>0.95189000000000001</v>
      </c>
    </row>
    <row r="6404" spans="27:32" ht="15">
      <c r="AA6404" s="463" t="s">
        <v>20127</v>
      </c>
      <c r="AB6404" s="462" t="s">
        <v>20128</v>
      </c>
      <c r="AC6404" s="462" t="s">
        <v>20129</v>
      </c>
      <c r="AD6404" s="464">
        <v>20.006769999999999</v>
      </c>
      <c r="AE6404" s="465">
        <v>0.96240999999999999</v>
      </c>
      <c r="AF6404" s="86">
        <f>IF(verze!$E$1="CZK",AD6404,IF(verze!$E$1="SK",AE6404,""))</f>
        <v>0.96240999999999999</v>
      </c>
    </row>
    <row r="6405" spans="27:32" ht="15">
      <c r="AA6405" s="463" t="s">
        <v>20130</v>
      </c>
      <c r="AB6405" s="462" t="s">
        <v>20131</v>
      </c>
      <c r="AC6405" s="462" t="s">
        <v>20132</v>
      </c>
      <c r="AD6405" s="464">
        <v>20.37642</v>
      </c>
      <c r="AE6405" s="465">
        <v>0.98018000000000005</v>
      </c>
      <c r="AF6405" s="86">
        <f>IF(verze!$E$1="CZK",AD6405,IF(verze!$E$1="SK",AE6405,""))</f>
        <v>0.98018000000000005</v>
      </c>
    </row>
    <row r="6406" spans="27:32" ht="15">
      <c r="AA6406" s="463" t="s">
        <v>20133</v>
      </c>
      <c r="AB6406" s="462" t="s">
        <v>20134</v>
      </c>
      <c r="AC6406" s="462" t="s">
        <v>20135</v>
      </c>
      <c r="AD6406" s="464">
        <v>20.742249999999999</v>
      </c>
      <c r="AE6406" s="465">
        <v>0.99777000000000005</v>
      </c>
      <c r="AF6406" s="86">
        <f>IF(verze!$E$1="CZK",AD6406,IF(verze!$E$1="SK",AE6406,""))</f>
        <v>0.99777000000000005</v>
      </c>
    </row>
    <row r="6407" spans="27:32" ht="15">
      <c r="AA6407" s="463" t="s">
        <v>20136</v>
      </c>
      <c r="AB6407" s="462" t="s">
        <v>20137</v>
      </c>
      <c r="AC6407" s="462" t="s">
        <v>20138</v>
      </c>
      <c r="AD6407" s="464">
        <v>21.111910000000002</v>
      </c>
      <c r="AE6407" s="465">
        <v>1.01556</v>
      </c>
      <c r="AF6407" s="86">
        <f>IF(verze!$E$1="CZK",AD6407,IF(verze!$E$1="SK",AE6407,""))</f>
        <v>1.01556</v>
      </c>
    </row>
    <row r="6408" spans="27:32" ht="15">
      <c r="AA6408" s="463" t="s">
        <v>20139</v>
      </c>
      <c r="AB6408" s="462" t="s">
        <v>20140</v>
      </c>
      <c r="AC6408" s="462" t="s">
        <v>20141</v>
      </c>
      <c r="AD6408" s="464">
        <v>21.479700000000001</v>
      </c>
      <c r="AE6408" s="465">
        <v>1.0332399999999999</v>
      </c>
      <c r="AF6408" s="86">
        <f>IF(verze!$E$1="CZK",AD6408,IF(verze!$E$1="SK",AE6408,""))</f>
        <v>1.0332399999999999</v>
      </c>
    </row>
    <row r="6409" spans="27:32" ht="15">
      <c r="AA6409" s="463" t="s">
        <v>20142</v>
      </c>
      <c r="AB6409" s="462" t="s">
        <v>20143</v>
      </c>
      <c r="AC6409" s="462" t="s">
        <v>20144</v>
      </c>
      <c r="AD6409" s="464">
        <v>21.84564</v>
      </c>
      <c r="AE6409" s="465">
        <v>1.0508599999999999</v>
      </c>
      <c r="AF6409" s="86">
        <f>IF(verze!$E$1="CZK",AD6409,IF(verze!$E$1="SK",AE6409,""))</f>
        <v>1.0508599999999999</v>
      </c>
    </row>
    <row r="6410" spans="27:32" ht="15">
      <c r="AA6410" s="463" t="s">
        <v>20145</v>
      </c>
      <c r="AB6410" s="462" t="s">
        <v>20146</v>
      </c>
      <c r="AC6410" s="462" t="s">
        <v>20147</v>
      </c>
      <c r="AD6410" s="464">
        <v>22.79205</v>
      </c>
      <c r="AE6410" s="465">
        <v>1.09639</v>
      </c>
      <c r="AF6410" s="86">
        <f>IF(verze!$E$1="CZK",AD6410,IF(verze!$E$1="SK",AE6410,""))</f>
        <v>1.09639</v>
      </c>
    </row>
    <row r="6411" spans="27:32" ht="15">
      <c r="AA6411" s="463" t="s">
        <v>20148</v>
      </c>
      <c r="AB6411" s="462" t="s">
        <v>20149</v>
      </c>
      <c r="AC6411" s="462" t="s">
        <v>20150</v>
      </c>
      <c r="AD6411" s="464">
        <v>24.580449999999999</v>
      </c>
      <c r="AE6411" s="465">
        <v>1.1824300000000001</v>
      </c>
      <c r="AF6411" s="86">
        <f>IF(verze!$E$1="CZK",AD6411,IF(verze!$E$1="SK",AE6411,""))</f>
        <v>1.1824300000000001</v>
      </c>
    </row>
    <row r="6412" spans="27:32" ht="15">
      <c r="AA6412" s="463" t="s">
        <v>20151</v>
      </c>
      <c r="AB6412" s="462" t="s">
        <v>20152</v>
      </c>
      <c r="AC6412" s="462" t="s">
        <v>20153</v>
      </c>
      <c r="AD6412" s="464">
        <v>19.78839</v>
      </c>
      <c r="AE6412" s="465">
        <v>0.95189000000000001</v>
      </c>
      <c r="AF6412" s="86">
        <f>IF(verze!$E$1="CZK",AD6412,IF(verze!$E$1="SK",AE6412,""))</f>
        <v>0.95189000000000001</v>
      </c>
    </row>
    <row r="6413" spans="27:32" ht="15">
      <c r="AA6413" s="463" t="s">
        <v>20154</v>
      </c>
      <c r="AB6413" s="462" t="s">
        <v>20155</v>
      </c>
      <c r="AC6413" s="462" t="s">
        <v>20156</v>
      </c>
      <c r="AD6413" s="464">
        <v>20.006769999999999</v>
      </c>
      <c r="AE6413" s="465">
        <v>0.96240999999999999</v>
      </c>
      <c r="AF6413" s="86">
        <f>IF(verze!$E$1="CZK",AD6413,IF(verze!$E$1="SK",AE6413,""))</f>
        <v>0.96240999999999999</v>
      </c>
    </row>
    <row r="6414" spans="27:32" ht="15">
      <c r="AA6414" s="463" t="s">
        <v>20157</v>
      </c>
      <c r="AB6414" s="462" t="s">
        <v>20158</v>
      </c>
      <c r="AC6414" s="462" t="s">
        <v>20159</v>
      </c>
      <c r="AD6414" s="464">
        <v>20.37642</v>
      </c>
      <c r="AE6414" s="465">
        <v>0.98018000000000005</v>
      </c>
      <c r="AF6414" s="86">
        <f>IF(verze!$E$1="CZK",AD6414,IF(verze!$E$1="SK",AE6414,""))</f>
        <v>0.98018000000000005</v>
      </c>
    </row>
    <row r="6415" spans="27:32" ht="15">
      <c r="AA6415" s="463" t="s">
        <v>20160</v>
      </c>
      <c r="AB6415" s="462" t="s">
        <v>20161</v>
      </c>
      <c r="AC6415" s="462" t="s">
        <v>20162</v>
      </c>
      <c r="AD6415" s="464">
        <v>20.742249999999999</v>
      </c>
      <c r="AE6415" s="465">
        <v>0.99777000000000005</v>
      </c>
      <c r="AF6415" s="86">
        <f>IF(verze!$E$1="CZK",AD6415,IF(verze!$E$1="SK",AE6415,""))</f>
        <v>0.99777000000000005</v>
      </c>
    </row>
    <row r="6416" spans="27:32" ht="15">
      <c r="AA6416" s="463" t="s">
        <v>20163</v>
      </c>
      <c r="AB6416" s="462" t="s">
        <v>20164</v>
      </c>
      <c r="AC6416" s="462" t="s">
        <v>20165</v>
      </c>
      <c r="AD6416" s="464">
        <v>21.111910000000002</v>
      </c>
      <c r="AE6416" s="465">
        <v>1.01556</v>
      </c>
      <c r="AF6416" s="86">
        <f>IF(verze!$E$1="CZK",AD6416,IF(verze!$E$1="SK",AE6416,""))</f>
        <v>1.01556</v>
      </c>
    </row>
    <row r="6417" spans="27:32" ht="15">
      <c r="AA6417" s="463" t="s">
        <v>20166</v>
      </c>
      <c r="AB6417" s="462" t="s">
        <v>20167</v>
      </c>
      <c r="AC6417" s="462" t="s">
        <v>20168</v>
      </c>
      <c r="AD6417" s="464">
        <v>21.479700000000001</v>
      </c>
      <c r="AE6417" s="465">
        <v>1.0332399999999999</v>
      </c>
      <c r="AF6417" s="86">
        <f>IF(verze!$E$1="CZK",AD6417,IF(verze!$E$1="SK",AE6417,""))</f>
        <v>1.0332399999999999</v>
      </c>
    </row>
    <row r="6418" spans="27:32" ht="15">
      <c r="AA6418" s="463" t="s">
        <v>20169</v>
      </c>
      <c r="AB6418" s="462" t="s">
        <v>20170</v>
      </c>
      <c r="AC6418" s="462" t="s">
        <v>20171</v>
      </c>
      <c r="AD6418" s="464">
        <v>21.84564</v>
      </c>
      <c r="AE6418" s="465">
        <v>1.0508599999999999</v>
      </c>
      <c r="AF6418" s="86">
        <f>IF(verze!$E$1="CZK",AD6418,IF(verze!$E$1="SK",AE6418,""))</f>
        <v>1.0508599999999999</v>
      </c>
    </row>
    <row r="6419" spans="27:32" ht="15">
      <c r="AA6419" s="463" t="s">
        <v>20172</v>
      </c>
      <c r="AB6419" s="462" t="s">
        <v>20173</v>
      </c>
      <c r="AC6419" s="462" t="s">
        <v>20174</v>
      </c>
      <c r="AD6419" s="464">
        <v>22.79205</v>
      </c>
      <c r="AE6419" s="465">
        <v>1.09639</v>
      </c>
      <c r="AF6419" s="86">
        <f>IF(verze!$E$1="CZK",AD6419,IF(verze!$E$1="SK",AE6419,""))</f>
        <v>1.09639</v>
      </c>
    </row>
    <row r="6420" spans="27:32" ht="15">
      <c r="AA6420" s="463" t="s">
        <v>20175</v>
      </c>
      <c r="AB6420" s="462" t="s">
        <v>20176</v>
      </c>
      <c r="AC6420" s="462" t="s">
        <v>20177</v>
      </c>
      <c r="AD6420" s="464">
        <v>24.580449999999999</v>
      </c>
      <c r="AE6420" s="465">
        <v>1.1824300000000001</v>
      </c>
      <c r="AF6420" s="86">
        <f>IF(verze!$E$1="CZK",AD6420,IF(verze!$E$1="SK",AE6420,""))</f>
        <v>1.1824300000000001</v>
      </c>
    </row>
    <row r="6421" spans="27:32" ht="15">
      <c r="AA6421" s="463" t="s">
        <v>20178</v>
      </c>
      <c r="AB6421" s="462" t="s">
        <v>20179</v>
      </c>
      <c r="AC6421" s="462" t="s">
        <v>20180</v>
      </c>
      <c r="AD6421" s="464">
        <v>19.78839</v>
      </c>
      <c r="AE6421" s="465">
        <v>0.95189000000000001</v>
      </c>
      <c r="AF6421" s="86">
        <f>IF(verze!$E$1="CZK",AD6421,IF(verze!$E$1="SK",AE6421,""))</f>
        <v>0.95189000000000001</v>
      </c>
    </row>
    <row r="6422" spans="27:32" ht="15">
      <c r="AA6422" s="463" t="s">
        <v>20181</v>
      </c>
      <c r="AB6422" s="462" t="s">
        <v>20182</v>
      </c>
      <c r="AC6422" s="462" t="s">
        <v>20183</v>
      </c>
      <c r="AD6422" s="464">
        <v>20.006769999999999</v>
      </c>
      <c r="AE6422" s="465">
        <v>0.96240999999999999</v>
      </c>
      <c r="AF6422" s="86">
        <f>IF(verze!$E$1="CZK",AD6422,IF(verze!$E$1="SK",AE6422,""))</f>
        <v>0.96240999999999999</v>
      </c>
    </row>
    <row r="6423" spans="27:32" ht="15">
      <c r="AA6423" s="463" t="s">
        <v>20184</v>
      </c>
      <c r="AB6423" s="462" t="s">
        <v>20185</v>
      </c>
      <c r="AC6423" s="462" t="s">
        <v>20186</v>
      </c>
      <c r="AD6423" s="464">
        <v>20.37642</v>
      </c>
      <c r="AE6423" s="465">
        <v>0.98018000000000005</v>
      </c>
      <c r="AF6423" s="86">
        <f>IF(verze!$E$1="CZK",AD6423,IF(verze!$E$1="SK",AE6423,""))</f>
        <v>0.98018000000000005</v>
      </c>
    </row>
    <row r="6424" spans="27:32" ht="15">
      <c r="AA6424" s="463" t="s">
        <v>20187</v>
      </c>
      <c r="AB6424" s="462" t="s">
        <v>20188</v>
      </c>
      <c r="AC6424" s="462" t="s">
        <v>20189</v>
      </c>
      <c r="AD6424" s="464">
        <v>20.742249999999999</v>
      </c>
      <c r="AE6424" s="465">
        <v>0.99777000000000005</v>
      </c>
      <c r="AF6424" s="86">
        <f>IF(verze!$E$1="CZK",AD6424,IF(verze!$E$1="SK",AE6424,""))</f>
        <v>0.99777000000000005</v>
      </c>
    </row>
    <row r="6425" spans="27:32" ht="15">
      <c r="AA6425" s="463" t="s">
        <v>20190</v>
      </c>
      <c r="AB6425" s="462" t="s">
        <v>20191</v>
      </c>
      <c r="AC6425" s="462" t="s">
        <v>20192</v>
      </c>
      <c r="AD6425" s="464">
        <v>21.111910000000002</v>
      </c>
      <c r="AE6425" s="465">
        <v>1.01556</v>
      </c>
      <c r="AF6425" s="86">
        <f>IF(verze!$E$1="CZK",AD6425,IF(verze!$E$1="SK",AE6425,""))</f>
        <v>1.01556</v>
      </c>
    </row>
    <row r="6426" spans="27:32" ht="15">
      <c r="AA6426" s="463" t="s">
        <v>20193</v>
      </c>
      <c r="AB6426" s="462" t="s">
        <v>20194</v>
      </c>
      <c r="AC6426" s="462" t="s">
        <v>20195</v>
      </c>
      <c r="AD6426" s="464">
        <v>21.479700000000001</v>
      </c>
      <c r="AE6426" s="465">
        <v>1.0332399999999999</v>
      </c>
      <c r="AF6426" s="86">
        <f>IF(verze!$E$1="CZK",AD6426,IF(verze!$E$1="SK",AE6426,""))</f>
        <v>1.0332399999999999</v>
      </c>
    </row>
    <row r="6427" spans="27:32" ht="15">
      <c r="AA6427" s="463" t="s">
        <v>20196</v>
      </c>
      <c r="AB6427" s="462" t="s">
        <v>20197</v>
      </c>
      <c r="AC6427" s="462" t="s">
        <v>20198</v>
      </c>
      <c r="AD6427" s="464">
        <v>21.84564</v>
      </c>
      <c r="AE6427" s="465">
        <v>1.0508599999999999</v>
      </c>
      <c r="AF6427" s="86">
        <f>IF(verze!$E$1="CZK",AD6427,IF(verze!$E$1="SK",AE6427,""))</f>
        <v>1.0508599999999999</v>
      </c>
    </row>
    <row r="6428" spans="27:32" ht="15">
      <c r="AA6428" s="463" t="s">
        <v>20199</v>
      </c>
      <c r="AB6428" s="462" t="s">
        <v>20200</v>
      </c>
      <c r="AC6428" s="462" t="s">
        <v>20201</v>
      </c>
      <c r="AD6428" s="464">
        <v>22.79205</v>
      </c>
      <c r="AE6428" s="465">
        <v>1.09639</v>
      </c>
      <c r="AF6428" s="86">
        <f>IF(verze!$E$1="CZK",AD6428,IF(verze!$E$1="SK",AE6428,""))</f>
        <v>1.09639</v>
      </c>
    </row>
    <row r="6429" spans="27:32" ht="15">
      <c r="AA6429" s="463" t="s">
        <v>20202</v>
      </c>
      <c r="AB6429" s="462" t="s">
        <v>20203</v>
      </c>
      <c r="AC6429" s="462" t="s">
        <v>20204</v>
      </c>
      <c r="AD6429" s="464">
        <v>24.580449999999999</v>
      </c>
      <c r="AE6429" s="465">
        <v>1.1824300000000001</v>
      </c>
      <c r="AF6429" s="86">
        <f>IF(verze!$E$1="CZK",AD6429,IF(verze!$E$1="SK",AE6429,""))</f>
        <v>1.1824300000000001</v>
      </c>
    </row>
    <row r="6430" spans="27:32" ht="15">
      <c r="AA6430" s="463" t="s">
        <v>20205</v>
      </c>
      <c r="AB6430" s="462" t="s">
        <v>20206</v>
      </c>
      <c r="AC6430" s="462" t="s">
        <v>20207</v>
      </c>
      <c r="AD6430" s="464">
        <v>125.97801</v>
      </c>
      <c r="AE6430" s="465">
        <v>5.77142</v>
      </c>
      <c r="AF6430" s="86">
        <f>IF(verze!$E$1="CZK",AD6430,IF(verze!$E$1="SK",AE6430,""))</f>
        <v>5.77142</v>
      </c>
    </row>
    <row r="6431" spans="27:32" ht="15">
      <c r="AA6431" s="463" t="s">
        <v>20208</v>
      </c>
      <c r="AB6431" s="462" t="s">
        <v>20209</v>
      </c>
      <c r="AC6431" s="462" t="s">
        <v>20210</v>
      </c>
      <c r="AD6431" s="464">
        <v>1915.06717</v>
      </c>
      <c r="AE6431" s="465">
        <v>87.734899999999996</v>
      </c>
      <c r="AF6431" s="86">
        <f>IF(verze!$E$1="CZK",AD6431,IF(verze!$E$1="SK",AE6431,""))</f>
        <v>87.734899999999996</v>
      </c>
    </row>
    <row r="6432" spans="27:32" ht="15">
      <c r="AA6432" s="463" t="s">
        <v>20211</v>
      </c>
      <c r="AB6432" s="462" t="s">
        <v>20212</v>
      </c>
      <c r="AC6432" s="462" t="s">
        <v>20213</v>
      </c>
      <c r="AD6432" s="464">
        <v>115.8506</v>
      </c>
      <c r="AE6432" s="465">
        <v>5.3074599999999998</v>
      </c>
      <c r="AF6432" s="86">
        <f>IF(verze!$E$1="CZK",AD6432,IF(verze!$E$1="SK",AE6432,""))</f>
        <v>5.3074599999999998</v>
      </c>
    </row>
    <row r="6433" spans="27:32" ht="15">
      <c r="AA6433" s="463" t="s">
        <v>20214</v>
      </c>
      <c r="AB6433" s="462" t="s">
        <v>20215</v>
      </c>
      <c r="AC6433" s="462" t="s">
        <v>20216</v>
      </c>
      <c r="AD6433" s="464">
        <v>162.61779999999999</v>
      </c>
      <c r="AE6433" s="465">
        <v>7.45</v>
      </c>
      <c r="AF6433" s="86">
        <f>IF(verze!$E$1="CZK",AD6433,IF(verze!$E$1="SK",AE6433,""))</f>
        <v>7.45</v>
      </c>
    </row>
    <row r="6434" spans="27:32" ht="15">
      <c r="AA6434" s="463" t="s">
        <v>20217</v>
      </c>
      <c r="AB6434" s="462" t="s">
        <v>20218</v>
      </c>
      <c r="AC6434" s="462" t="s">
        <v>20219</v>
      </c>
      <c r="AD6434" s="464">
        <v>94.424260000000004</v>
      </c>
      <c r="AE6434" s="465">
        <v>4.3258599999999996</v>
      </c>
      <c r="AF6434" s="86">
        <f>IF(verze!$E$1="CZK",AD6434,IF(verze!$E$1="SK",AE6434,""))</f>
        <v>4.3258599999999996</v>
      </c>
    </row>
    <row r="6435" spans="27:32" ht="15">
      <c r="AA6435" s="463" t="s">
        <v>20220</v>
      </c>
      <c r="AB6435" s="462" t="s">
        <v>20221</v>
      </c>
      <c r="AC6435" s="462" t="s">
        <v>20222</v>
      </c>
      <c r="AD6435" s="464">
        <v>123.73899</v>
      </c>
      <c r="AE6435" s="465">
        <v>5.6688599999999996</v>
      </c>
      <c r="AF6435" s="86">
        <f>IF(verze!$E$1="CZK",AD6435,IF(verze!$E$1="SK",AE6435,""))</f>
        <v>5.6688599999999996</v>
      </c>
    </row>
    <row r="6436" spans="27:32" ht="15">
      <c r="AA6436" s="463" t="s">
        <v>20223</v>
      </c>
      <c r="AB6436" s="462" t="s">
        <v>20224</v>
      </c>
      <c r="AC6436" s="462" t="s">
        <v>20225</v>
      </c>
      <c r="AD6436" s="464">
        <v>142.50009</v>
      </c>
      <c r="AE6436" s="465">
        <v>6.5283600000000002</v>
      </c>
      <c r="AF6436" s="86">
        <f>IF(verze!$E$1="CZK",AD6436,IF(verze!$E$1="SK",AE6436,""))</f>
        <v>6.5283600000000002</v>
      </c>
    </row>
    <row r="6437" spans="27:32" ht="15">
      <c r="AA6437" s="463" t="s">
        <v>20226</v>
      </c>
      <c r="AB6437" s="462" t="s">
        <v>20227</v>
      </c>
      <c r="AC6437" s="462" t="s">
        <v>20228</v>
      </c>
      <c r="AD6437" s="464">
        <v>22821.935140000001</v>
      </c>
      <c r="AE6437" s="465">
        <v>1045.5404000000001</v>
      </c>
      <c r="AF6437" s="86">
        <f>IF(verze!$E$1="CZK",AD6437,IF(verze!$E$1="SK",AE6437,""))</f>
        <v>1045.5404000000001</v>
      </c>
    </row>
    <row r="6438" spans="27:32" ht="15">
      <c r="AA6438" s="463" t="s">
        <v>20229</v>
      </c>
      <c r="AB6438" s="462" t="s">
        <v>20230</v>
      </c>
      <c r="AC6438" s="462" t="s">
        <v>20231</v>
      </c>
      <c r="AD6438" s="464">
        <v>22821.935140000001</v>
      </c>
      <c r="AE6438" s="465">
        <v>1045.5404000000001</v>
      </c>
      <c r="AF6438" s="86">
        <f>IF(verze!$E$1="CZK",AD6438,IF(verze!$E$1="SK",AE6438,""))</f>
        <v>1045.5404000000001</v>
      </c>
    </row>
    <row r="6439" spans="27:32" ht="15">
      <c r="AA6439" s="463" t="s">
        <v>20232</v>
      </c>
      <c r="AB6439" s="462" t="s">
        <v>20233</v>
      </c>
      <c r="AC6439" s="462" t="s">
        <v>20234</v>
      </c>
      <c r="AD6439" s="464">
        <v>23886.958760000001</v>
      </c>
      <c r="AE6439" s="465">
        <v>1094.3322800000001</v>
      </c>
      <c r="AF6439" s="86">
        <f>IF(verze!$E$1="CZK",AD6439,IF(verze!$E$1="SK",AE6439,""))</f>
        <v>1094.3322800000001</v>
      </c>
    </row>
    <row r="6440" spans="27:32" ht="15">
      <c r="AA6440" s="463" t="s">
        <v>20235</v>
      </c>
      <c r="AB6440" s="462" t="s">
        <v>20236</v>
      </c>
      <c r="AC6440" s="462" t="s">
        <v>20237</v>
      </c>
      <c r="AD6440" s="464">
        <v>23886.958760000001</v>
      </c>
      <c r="AE6440" s="465">
        <v>1094.3322800000001</v>
      </c>
      <c r="AF6440" s="86">
        <f>IF(verze!$E$1="CZK",AD6440,IF(verze!$E$1="SK",AE6440,""))</f>
        <v>1094.3322800000001</v>
      </c>
    </row>
    <row r="6441" spans="27:32" ht="15">
      <c r="AA6441" s="463" t="s">
        <v>20238</v>
      </c>
      <c r="AB6441" s="462" t="s">
        <v>20239</v>
      </c>
      <c r="AC6441" s="462" t="s">
        <v>20240</v>
      </c>
      <c r="AD6441" s="464">
        <v>23886.958760000001</v>
      </c>
      <c r="AE6441" s="465">
        <v>1094.3322800000001</v>
      </c>
      <c r="AF6441" s="86">
        <f>IF(verze!$E$1="CZK",AD6441,IF(verze!$E$1="SK",AE6441,""))</f>
        <v>1094.3322800000001</v>
      </c>
    </row>
    <row r="6442" spans="27:32" ht="15">
      <c r="AA6442" s="463" t="s">
        <v>20241</v>
      </c>
      <c r="AB6442" s="462" t="s">
        <v>20242</v>
      </c>
      <c r="AC6442" s="462" t="s">
        <v>20243</v>
      </c>
      <c r="AD6442" s="464">
        <v>23886.958760000001</v>
      </c>
      <c r="AE6442" s="465">
        <v>1094.3322800000001</v>
      </c>
      <c r="AF6442" s="86">
        <f>IF(verze!$E$1="CZK",AD6442,IF(verze!$E$1="SK",AE6442,""))</f>
        <v>1094.3322800000001</v>
      </c>
    </row>
    <row r="6443" spans="27:32" ht="15">
      <c r="AA6443" s="463" t="s">
        <v>20244</v>
      </c>
      <c r="AB6443" s="462" t="s">
        <v>20245</v>
      </c>
      <c r="AC6443" s="462" t="s">
        <v>20246</v>
      </c>
      <c r="AD6443" s="464">
        <v>31342.12429</v>
      </c>
      <c r="AE6443" s="465">
        <v>1435.8754799999999</v>
      </c>
      <c r="AF6443" s="86">
        <f>IF(verze!$E$1="CZK",AD6443,IF(verze!$E$1="SK",AE6443,""))</f>
        <v>1435.8754799999999</v>
      </c>
    </row>
    <row r="6444" spans="27:32" ht="15">
      <c r="AA6444" s="463" t="s">
        <v>20247</v>
      </c>
      <c r="AB6444" s="462" t="s">
        <v>20248</v>
      </c>
      <c r="AC6444" s="462" t="s">
        <v>20249</v>
      </c>
      <c r="AD6444" s="464">
        <v>31342.12429</v>
      </c>
      <c r="AE6444" s="465">
        <v>1435.8754799999999</v>
      </c>
      <c r="AF6444" s="86">
        <f>IF(verze!$E$1="CZK",AD6444,IF(verze!$E$1="SK",AE6444,""))</f>
        <v>1435.8754799999999</v>
      </c>
    </row>
    <row r="6445" spans="27:32" ht="15">
      <c r="AA6445" s="463" t="s">
        <v>20250</v>
      </c>
      <c r="AB6445" s="462" t="s">
        <v>20251</v>
      </c>
      <c r="AC6445" s="462" t="s">
        <v>20252</v>
      </c>
      <c r="AD6445" s="464">
        <v>32407.147919999999</v>
      </c>
      <c r="AE6445" s="465">
        <v>1484.6673800000001</v>
      </c>
      <c r="AF6445" s="86">
        <f>IF(verze!$E$1="CZK",AD6445,IF(verze!$E$1="SK",AE6445,""))</f>
        <v>1484.6673800000001</v>
      </c>
    </row>
    <row r="6446" spans="27:32" ht="15">
      <c r="AA6446" s="463" t="s">
        <v>20253</v>
      </c>
      <c r="AB6446" s="462" t="s">
        <v>20254</v>
      </c>
      <c r="AC6446" s="462" t="s">
        <v>20255</v>
      </c>
      <c r="AD6446" s="464">
        <v>32407.147919999999</v>
      </c>
      <c r="AE6446" s="465">
        <v>1484.6673800000001</v>
      </c>
      <c r="AF6446" s="86">
        <f>IF(verze!$E$1="CZK",AD6446,IF(verze!$E$1="SK",AE6446,""))</f>
        <v>1484.6673800000001</v>
      </c>
    </row>
    <row r="6447" spans="27:32" ht="15">
      <c r="AA6447" s="463" t="s">
        <v>20256</v>
      </c>
      <c r="AB6447" s="462" t="s">
        <v>20257</v>
      </c>
      <c r="AC6447" s="462" t="s">
        <v>20258</v>
      </c>
      <c r="AD6447" s="464">
        <v>32407.147919999999</v>
      </c>
      <c r="AE6447" s="465">
        <v>1484.6673800000001</v>
      </c>
      <c r="AF6447" s="86">
        <f>IF(verze!$E$1="CZK",AD6447,IF(verze!$E$1="SK",AE6447,""))</f>
        <v>1484.6673800000001</v>
      </c>
    </row>
    <row r="6448" spans="27:32" ht="15">
      <c r="AA6448" s="463" t="s">
        <v>20259</v>
      </c>
      <c r="AB6448" s="462" t="s">
        <v>20260</v>
      </c>
      <c r="AC6448" s="462" t="s">
        <v>20261</v>
      </c>
      <c r="AD6448" s="464">
        <v>32407.147919999999</v>
      </c>
      <c r="AE6448" s="465">
        <v>1484.6673800000001</v>
      </c>
      <c r="AF6448" s="86">
        <f>IF(verze!$E$1="CZK",AD6448,IF(verze!$E$1="SK",AE6448,""))</f>
        <v>1484.6673800000001</v>
      </c>
    </row>
    <row r="6449" spans="27:32" ht="15">
      <c r="AA6449" s="463" t="s">
        <v>20262</v>
      </c>
      <c r="AB6449" s="462" t="s">
        <v>20263</v>
      </c>
      <c r="AC6449" s="462" t="s">
        <v>20264</v>
      </c>
      <c r="AD6449" s="464">
        <v>45643.870269999999</v>
      </c>
      <c r="AE6449" s="465">
        <v>2091.0807799999998</v>
      </c>
      <c r="AF6449" s="86">
        <f>IF(verze!$E$1="CZK",AD6449,IF(verze!$E$1="SK",AE6449,""))</f>
        <v>2091.0807799999998</v>
      </c>
    </row>
    <row r="6450" spans="27:32" ht="15">
      <c r="AA6450" s="463" t="s">
        <v>20265</v>
      </c>
      <c r="AB6450" s="462" t="s">
        <v>20266</v>
      </c>
      <c r="AC6450" s="462" t="s">
        <v>20267</v>
      </c>
      <c r="AD6450" s="464">
        <v>45643.870269999999</v>
      </c>
      <c r="AE6450" s="465">
        <v>2091.0807799999998</v>
      </c>
      <c r="AF6450" s="86">
        <f>IF(verze!$E$1="CZK",AD6450,IF(verze!$E$1="SK",AE6450,""))</f>
        <v>2091.0807799999998</v>
      </c>
    </row>
    <row r="6451" spans="27:32" ht="15">
      <c r="AA6451" s="463" t="s">
        <v>20268</v>
      </c>
      <c r="AB6451" s="462" t="s">
        <v>20269</v>
      </c>
      <c r="AC6451" s="462" t="s">
        <v>20270</v>
      </c>
      <c r="AD6451" s="464">
        <v>46708.893900000003</v>
      </c>
      <c r="AE6451" s="465">
        <v>2139.8726799999999</v>
      </c>
      <c r="AF6451" s="86">
        <f>IF(verze!$E$1="CZK",AD6451,IF(verze!$E$1="SK",AE6451,""))</f>
        <v>2139.8726799999999</v>
      </c>
    </row>
    <row r="6452" spans="27:32" ht="15">
      <c r="AA6452" s="463" t="s">
        <v>20271</v>
      </c>
      <c r="AB6452" s="462" t="s">
        <v>20272</v>
      </c>
      <c r="AC6452" s="462" t="s">
        <v>20273</v>
      </c>
      <c r="AD6452" s="464">
        <v>46708.893900000003</v>
      </c>
      <c r="AE6452" s="465">
        <v>2139.8726799999999</v>
      </c>
      <c r="AF6452" s="86">
        <f>IF(verze!$E$1="CZK",AD6452,IF(verze!$E$1="SK",AE6452,""))</f>
        <v>2139.8726799999999</v>
      </c>
    </row>
    <row r="6453" spans="27:32" ht="15">
      <c r="AA6453" s="463" t="s">
        <v>20274</v>
      </c>
      <c r="AB6453" s="462" t="s">
        <v>20275</v>
      </c>
      <c r="AC6453" s="462" t="s">
        <v>20276</v>
      </c>
      <c r="AD6453" s="464">
        <v>46708.893900000003</v>
      </c>
      <c r="AE6453" s="465">
        <v>2139.8726799999999</v>
      </c>
      <c r="AF6453" s="86">
        <f>IF(verze!$E$1="CZK",AD6453,IF(verze!$E$1="SK",AE6453,""))</f>
        <v>2139.8726799999999</v>
      </c>
    </row>
    <row r="6454" spans="27:32" ht="15">
      <c r="AA6454" s="463" t="s">
        <v>20277</v>
      </c>
      <c r="AB6454" s="462" t="s">
        <v>20278</v>
      </c>
      <c r="AC6454" s="462" t="s">
        <v>20279</v>
      </c>
      <c r="AD6454" s="464">
        <v>46708.893900000003</v>
      </c>
      <c r="AE6454" s="465">
        <v>2139.8726799999999</v>
      </c>
      <c r="AF6454" s="86">
        <f>IF(verze!$E$1="CZK",AD6454,IF(verze!$E$1="SK",AE6454,""))</f>
        <v>2139.8726799999999</v>
      </c>
    </row>
    <row r="6455" spans="27:32" ht="15">
      <c r="AA6455" s="463" t="s">
        <v>20280</v>
      </c>
      <c r="AB6455" s="462" t="s">
        <v>20281</v>
      </c>
      <c r="AC6455" s="462" t="s">
        <v>20282</v>
      </c>
      <c r="AD6455" s="464">
        <v>3.4702000000000002</v>
      </c>
      <c r="AE6455" s="465">
        <v>0.16589999999999999</v>
      </c>
      <c r="AF6455" s="86">
        <f>IF(verze!$E$1="CZK",AD6455,IF(verze!$E$1="SK",AE6455,""))</f>
        <v>0.16589999999999999</v>
      </c>
    </row>
    <row r="6456" spans="27:32" ht="15">
      <c r="AA6456" s="463" t="s">
        <v>20283</v>
      </c>
      <c r="AB6456" s="462" t="s">
        <v>20284</v>
      </c>
      <c r="AC6456" s="462" t="s">
        <v>20285</v>
      </c>
      <c r="AD6456" s="464">
        <v>207.90173999999999</v>
      </c>
      <c r="AE6456" s="465">
        <v>9.5245999999999995</v>
      </c>
      <c r="AF6456" s="86">
        <f>IF(verze!$E$1="CZK",AD6456,IF(verze!$E$1="SK",AE6456,""))</f>
        <v>9.5245999999999995</v>
      </c>
    </row>
    <row r="6457" spans="27:32" ht="15">
      <c r="AA6457" s="463" t="s">
        <v>20286</v>
      </c>
      <c r="AB6457" s="462" t="s">
        <v>20287</v>
      </c>
      <c r="AC6457" s="462" t="s">
        <v>20288</v>
      </c>
      <c r="AD6457" s="464">
        <v>207.90173999999999</v>
      </c>
      <c r="AE6457" s="465">
        <v>9.5245999999999995</v>
      </c>
      <c r="AF6457" s="86">
        <f>IF(verze!$E$1="CZK",AD6457,IF(verze!$E$1="SK",AE6457,""))</f>
        <v>9.5245999999999995</v>
      </c>
    </row>
    <row r="6458" spans="27:32" ht="15">
      <c r="AA6458" s="463" t="s">
        <v>20289</v>
      </c>
      <c r="AB6458" s="462" t="s">
        <v>20290</v>
      </c>
      <c r="AC6458" s="462" t="s">
        <v>20291</v>
      </c>
      <c r="AD6458" s="464">
        <v>44.441940000000002</v>
      </c>
      <c r="AE6458" s="465">
        <v>2.036</v>
      </c>
      <c r="AF6458" s="86">
        <f>IF(verze!$E$1="CZK",AD6458,IF(verze!$E$1="SK",AE6458,""))</f>
        <v>2.036</v>
      </c>
    </row>
    <row r="6459" spans="27:32" ht="15">
      <c r="AA6459" s="463" t="s">
        <v>20292</v>
      </c>
      <c r="AB6459" s="462" t="s">
        <v>20293</v>
      </c>
      <c r="AC6459" s="462" t="s">
        <v>20294</v>
      </c>
      <c r="AD6459" s="464">
        <v>41.106879999999997</v>
      </c>
      <c r="AE6459" s="465">
        <v>1.88324</v>
      </c>
      <c r="AF6459" s="86">
        <f>IF(verze!$E$1="CZK",AD6459,IF(verze!$E$1="SK",AE6459,""))</f>
        <v>1.88324</v>
      </c>
    </row>
    <row r="6460" spans="27:32" ht="15">
      <c r="AA6460" s="463" t="s">
        <v>20295</v>
      </c>
      <c r="AB6460" s="462" t="s">
        <v>20296</v>
      </c>
      <c r="AC6460" s="462" t="s">
        <v>20297</v>
      </c>
      <c r="AD6460" s="464">
        <v>41.106879999999997</v>
      </c>
      <c r="AE6460" s="465">
        <v>1.88324</v>
      </c>
      <c r="AF6460" s="86">
        <f>IF(verze!$E$1="CZK",AD6460,IF(verze!$E$1="SK",AE6460,""))</f>
        <v>1.88324</v>
      </c>
    </row>
    <row r="6461" spans="27:32" ht="15">
      <c r="AA6461" s="463" t="s">
        <v>20298</v>
      </c>
      <c r="AB6461" s="462" t="s">
        <v>20299</v>
      </c>
      <c r="AC6461" s="462" t="s">
        <v>20300</v>
      </c>
      <c r="AD6461" s="464">
        <v>41.106879999999997</v>
      </c>
      <c r="AE6461" s="465">
        <v>1.88324</v>
      </c>
      <c r="AF6461" s="86">
        <f>IF(verze!$E$1="CZK",AD6461,IF(verze!$E$1="SK",AE6461,""))</f>
        <v>1.88324</v>
      </c>
    </row>
    <row r="6462" spans="27:32" ht="15">
      <c r="AA6462" s="463" t="s">
        <v>20301</v>
      </c>
      <c r="AB6462" s="462" t="s">
        <v>20302</v>
      </c>
      <c r="AC6462" s="462" t="s">
        <v>20303</v>
      </c>
      <c r="AD6462" s="464">
        <v>41.106879999999997</v>
      </c>
      <c r="AE6462" s="465">
        <v>1.88324</v>
      </c>
      <c r="AF6462" s="86">
        <f>IF(verze!$E$1="CZK",AD6462,IF(verze!$E$1="SK",AE6462,""))</f>
        <v>1.88324</v>
      </c>
    </row>
    <row r="6463" spans="27:32" ht="15">
      <c r="AA6463" s="463" t="s">
        <v>20304</v>
      </c>
      <c r="AB6463" s="462" t="s">
        <v>20305</v>
      </c>
      <c r="AC6463" s="462" t="s">
        <v>20306</v>
      </c>
      <c r="AD6463" s="464">
        <v>269.14668</v>
      </c>
      <c r="AE6463" s="465">
        <v>12.330399999999999</v>
      </c>
      <c r="AF6463" s="86">
        <f>IF(verze!$E$1="CZK",AD6463,IF(verze!$E$1="SK",AE6463,""))</f>
        <v>12.330399999999999</v>
      </c>
    </row>
    <row r="6464" spans="27:32" ht="15">
      <c r="AA6464" s="463" t="s">
        <v>20307</v>
      </c>
      <c r="AB6464" s="462" t="s">
        <v>20308</v>
      </c>
      <c r="AC6464" s="462" t="s">
        <v>20309</v>
      </c>
      <c r="AD6464" s="464">
        <v>269.14668</v>
      </c>
      <c r="AE6464" s="465">
        <v>12.330399999999999</v>
      </c>
      <c r="AF6464" s="86">
        <f>IF(verze!$E$1="CZK",AD6464,IF(verze!$E$1="SK",AE6464,""))</f>
        <v>12.330399999999999</v>
      </c>
    </row>
    <row r="6465" spans="27:32" ht="15">
      <c r="AA6465" s="463" t="s">
        <v>20310</v>
      </c>
      <c r="AB6465" s="462" t="s">
        <v>20311</v>
      </c>
      <c r="AC6465" s="462" t="s">
        <v>20312</v>
      </c>
      <c r="AD6465" s="464">
        <v>382.79993999999999</v>
      </c>
      <c r="AE6465" s="465">
        <v>17.537199999999999</v>
      </c>
      <c r="AF6465" s="86">
        <f>IF(verze!$E$1="CZK",AD6465,IF(verze!$E$1="SK",AE6465,""))</f>
        <v>17.537199999999999</v>
      </c>
    </row>
    <row r="6466" spans="27:32" ht="15">
      <c r="AA6466" s="463" t="s">
        <v>20313</v>
      </c>
      <c r="AB6466" s="462" t="s">
        <v>20314</v>
      </c>
      <c r="AC6466" s="462" t="s">
        <v>20315</v>
      </c>
      <c r="AD6466" s="464">
        <v>382.79993999999999</v>
      </c>
      <c r="AE6466" s="465">
        <v>17.537199999999999</v>
      </c>
      <c r="AF6466" s="86">
        <f>IF(verze!$E$1="CZK",AD6466,IF(verze!$E$1="SK",AE6466,""))</f>
        <v>17.537199999999999</v>
      </c>
    </row>
    <row r="6467" spans="27:32" ht="15">
      <c r="AA6467" s="463" t="s">
        <v>20316</v>
      </c>
      <c r="AB6467" s="462" t="s">
        <v>20317</v>
      </c>
      <c r="AC6467" s="462" t="s">
        <v>20318</v>
      </c>
      <c r="AD6467" s="464">
        <v>133.31052</v>
      </c>
      <c r="AE6467" s="465">
        <v>6.1073599999999999</v>
      </c>
      <c r="AF6467" s="86">
        <f>IF(verze!$E$1="CZK",AD6467,IF(verze!$E$1="SK",AE6467,""))</f>
        <v>6.1073599999999999</v>
      </c>
    </row>
    <row r="6468" spans="27:32" ht="15">
      <c r="AA6468" s="463" t="s">
        <v>20319</v>
      </c>
      <c r="AB6468" s="462" t="s">
        <v>20320</v>
      </c>
      <c r="AC6468" s="462" t="s">
        <v>20321</v>
      </c>
      <c r="AD6468" s="464">
        <v>133.31052</v>
      </c>
      <c r="AE6468" s="465">
        <v>6.1073599999999999</v>
      </c>
      <c r="AF6468" s="86">
        <f>IF(verze!$E$1="CZK",AD6468,IF(verze!$E$1="SK",AE6468,""))</f>
        <v>6.1073599999999999</v>
      </c>
    </row>
    <row r="6469" spans="27:32" ht="15">
      <c r="AA6469" s="463" t="s">
        <v>20322</v>
      </c>
      <c r="AB6469" s="462" t="s">
        <v>20323</v>
      </c>
      <c r="AC6469" s="462" t="s">
        <v>20324</v>
      </c>
      <c r="AD6469" s="464">
        <v>13.69317</v>
      </c>
      <c r="AE6469" s="465">
        <v>0.62731999999999999</v>
      </c>
      <c r="AF6469" s="86">
        <f>IF(verze!$E$1="CZK",AD6469,IF(verze!$E$1="SK",AE6469,""))</f>
        <v>0.62731999999999999</v>
      </c>
    </row>
    <row r="6470" spans="27:32" ht="15">
      <c r="AA6470" s="463" t="s">
        <v>20325</v>
      </c>
      <c r="AB6470" s="462" t="s">
        <v>20326</v>
      </c>
      <c r="AC6470" s="462" t="s">
        <v>20327</v>
      </c>
      <c r="AD6470" s="464">
        <v>13.69317</v>
      </c>
      <c r="AE6470" s="465">
        <v>0.62731999999999999</v>
      </c>
      <c r="AF6470" s="86">
        <f>IF(verze!$E$1="CZK",AD6470,IF(verze!$E$1="SK",AE6470,""))</f>
        <v>0.62731999999999999</v>
      </c>
    </row>
    <row r="6471" spans="27:32" ht="15">
      <c r="AA6471" s="463" t="s">
        <v>20328</v>
      </c>
      <c r="AB6471" s="462" t="s">
        <v>20329</v>
      </c>
      <c r="AC6471" s="462" t="s">
        <v>20330</v>
      </c>
      <c r="AD6471" s="464">
        <v>2538.1034599999998</v>
      </c>
      <c r="AE6471" s="465">
        <v>116.27804</v>
      </c>
      <c r="AF6471" s="86">
        <f>IF(verze!$E$1="CZK",AD6471,IF(verze!$E$1="SK",AE6471,""))</f>
        <v>116.27804</v>
      </c>
    </row>
    <row r="6472" spans="27:32" ht="15">
      <c r="AA6472" s="463" t="s">
        <v>20331</v>
      </c>
      <c r="AB6472" s="462" t="s">
        <v>20332</v>
      </c>
      <c r="AC6472" s="462" t="s">
        <v>20333</v>
      </c>
      <c r="AD6472" s="464">
        <v>2538.1034599999998</v>
      </c>
      <c r="AE6472" s="465">
        <v>116.27804</v>
      </c>
      <c r="AF6472" s="86">
        <f>IF(verze!$E$1="CZK",AD6472,IF(verze!$E$1="SK",AE6472,""))</f>
        <v>116.27804</v>
      </c>
    </row>
    <row r="6473" spans="27:32" ht="15">
      <c r="AA6473" s="463" t="s">
        <v>20334</v>
      </c>
      <c r="AB6473" s="462" t="s">
        <v>20335</v>
      </c>
      <c r="AC6473" s="462" t="s">
        <v>20336</v>
      </c>
      <c r="AD6473" s="464">
        <v>922.91903000000002</v>
      </c>
      <c r="AE6473" s="465">
        <v>42.281660000000002</v>
      </c>
      <c r="AF6473" s="86">
        <f>IF(verze!$E$1="CZK",AD6473,IF(verze!$E$1="SK",AE6473,""))</f>
        <v>42.281660000000002</v>
      </c>
    </row>
    <row r="6474" spans="27:32" ht="15">
      <c r="AA6474" s="463" t="s">
        <v>20337</v>
      </c>
      <c r="AB6474" s="462" t="s">
        <v>20338</v>
      </c>
      <c r="AC6474" s="462" t="s">
        <v>20339</v>
      </c>
      <c r="AD6474" s="464">
        <v>922.91903000000002</v>
      </c>
      <c r="AE6474" s="465">
        <v>42.281660000000002</v>
      </c>
      <c r="AF6474" s="86">
        <f>IF(verze!$E$1="CZK",AD6474,IF(verze!$E$1="SK",AE6474,""))</f>
        <v>42.281660000000002</v>
      </c>
    </row>
    <row r="6475" spans="27:32" ht="15">
      <c r="AA6475" s="463" t="s">
        <v>20340</v>
      </c>
      <c r="AB6475" s="462" t="s">
        <v>20341</v>
      </c>
      <c r="AC6475" s="462" t="s">
        <v>20342</v>
      </c>
      <c r="AD6475" s="464">
        <v>1252.1635699999999</v>
      </c>
      <c r="AE6475" s="465">
        <v>57.365319999999997</v>
      </c>
      <c r="AF6475" s="86">
        <f>IF(verze!$E$1="CZK",AD6475,IF(verze!$E$1="SK",AE6475,""))</f>
        <v>57.365319999999997</v>
      </c>
    </row>
    <row r="6476" spans="27:32" ht="15">
      <c r="AA6476" s="463" t="s">
        <v>20343</v>
      </c>
      <c r="AB6476" s="462" t="s">
        <v>20344</v>
      </c>
      <c r="AC6476" s="462" t="s">
        <v>20345</v>
      </c>
      <c r="AD6476" s="464">
        <v>5.0154300000000003</v>
      </c>
      <c r="AE6476" s="465">
        <v>0.22978000000000001</v>
      </c>
      <c r="AF6476" s="86">
        <f>IF(verze!$E$1="CZK",AD6476,IF(verze!$E$1="SK",AE6476,""))</f>
        <v>0.22978000000000001</v>
      </c>
    </row>
    <row r="6477" spans="27:32" ht="15">
      <c r="AA6477" s="463" t="s">
        <v>20346</v>
      </c>
      <c r="AB6477" s="462" t="s">
        <v>20347</v>
      </c>
      <c r="AC6477" s="462" t="s">
        <v>20348</v>
      </c>
      <c r="AD6477" s="464">
        <v>2617.4968699999999</v>
      </c>
      <c r="AE6477" s="465">
        <v>119.91528</v>
      </c>
      <c r="AF6477" s="86">
        <f>IF(verze!$E$1="CZK",AD6477,IF(verze!$E$1="SK",AE6477,""))</f>
        <v>119.91528</v>
      </c>
    </row>
    <row r="6478" spans="27:32" ht="15">
      <c r="AA6478" s="463" t="s">
        <v>20349</v>
      </c>
      <c r="AB6478" s="462" t="s">
        <v>20350</v>
      </c>
      <c r="AC6478" s="462" t="s">
        <v>20351</v>
      </c>
      <c r="AD6478" s="464">
        <v>6801.4574000000002</v>
      </c>
      <c r="AE6478" s="465">
        <v>327.17464999999999</v>
      </c>
      <c r="AF6478" s="86">
        <f>IF(verze!$E$1="CZK",AD6478,IF(verze!$E$1="SK",AE6478,""))</f>
        <v>327.17464999999999</v>
      </c>
    </row>
    <row r="6479" spans="27:32" ht="15">
      <c r="AA6479" s="463" t="s">
        <v>20352</v>
      </c>
      <c r="AB6479" s="462" t="s">
        <v>20353</v>
      </c>
      <c r="AC6479" s="462" t="s">
        <v>20354</v>
      </c>
      <c r="AD6479" s="464">
        <v>840.18591000000004</v>
      </c>
      <c r="AE6479" s="465">
        <v>40.415970000000002</v>
      </c>
      <c r="AF6479" s="86">
        <f>IF(verze!$E$1="CZK",AD6479,IF(verze!$E$1="SK",AE6479,""))</f>
        <v>40.415970000000002</v>
      </c>
    </row>
    <row r="6480" spans="27:32" ht="15">
      <c r="AA6480" s="463" t="s">
        <v>20355</v>
      </c>
      <c r="AB6480" s="462" t="s">
        <v>20356</v>
      </c>
      <c r="AC6480" s="462" t="s">
        <v>20357</v>
      </c>
      <c r="AD6480" s="464">
        <v>852.13201000000004</v>
      </c>
      <c r="AE6480" s="465">
        <v>40.990609999999997</v>
      </c>
      <c r="AF6480" s="86">
        <f>IF(verze!$E$1="CZK",AD6480,IF(verze!$E$1="SK",AE6480,""))</f>
        <v>40.990609999999997</v>
      </c>
    </row>
    <row r="6481" spans="27:32" ht="15">
      <c r="AA6481" s="463" t="s">
        <v>20358</v>
      </c>
      <c r="AB6481" s="462" t="s">
        <v>20359</v>
      </c>
      <c r="AC6481" s="462" t="s">
        <v>20360</v>
      </c>
      <c r="AD6481" s="464">
        <v>841.09733000000006</v>
      </c>
      <c r="AE6481" s="465">
        <v>39.585979999999999</v>
      </c>
      <c r="AF6481" s="86">
        <f>IF(verze!$E$1="CZK",AD6481,IF(verze!$E$1="SK",AE6481,""))</f>
        <v>39.585979999999999</v>
      </c>
    </row>
    <row r="6482" spans="27:32" ht="15">
      <c r="AA6482" s="463" t="s">
        <v>20361</v>
      </c>
      <c r="AB6482" s="462" t="s">
        <v>20362</v>
      </c>
      <c r="AC6482" s="462" t="s">
        <v>20363</v>
      </c>
      <c r="AD6482" s="464">
        <v>852.72563000000002</v>
      </c>
      <c r="AE6482" s="465">
        <v>40.13326</v>
      </c>
      <c r="AF6482" s="86">
        <f>IF(verze!$E$1="CZK",AD6482,IF(verze!$E$1="SK",AE6482,""))</f>
        <v>40.13326</v>
      </c>
    </row>
    <row r="6483" spans="27:32" ht="15">
      <c r="AA6483" s="463" t="s">
        <v>20364</v>
      </c>
      <c r="AB6483" s="462" t="s">
        <v>20365</v>
      </c>
      <c r="AC6483" s="462" t="s">
        <v>20366</v>
      </c>
      <c r="AD6483" s="464">
        <v>887.97243000000003</v>
      </c>
      <c r="AE6483" s="465">
        <v>42.714669999999998</v>
      </c>
      <c r="AF6483" s="86">
        <f>IF(verze!$E$1="CZK",AD6483,IF(verze!$E$1="SK",AE6483,""))</f>
        <v>42.714669999999998</v>
      </c>
    </row>
    <row r="6484" spans="27:32" ht="15">
      <c r="AA6484" s="463" t="s">
        <v>20367</v>
      </c>
      <c r="AB6484" s="462" t="s">
        <v>20368</v>
      </c>
      <c r="AC6484" s="462" t="s">
        <v>20369</v>
      </c>
      <c r="AD6484" s="464">
        <v>905.98955999999998</v>
      </c>
      <c r="AE6484" s="465">
        <v>43.581359999999997</v>
      </c>
      <c r="AF6484" s="86">
        <f>IF(verze!$E$1="CZK",AD6484,IF(verze!$E$1="SK",AE6484,""))</f>
        <v>43.581359999999997</v>
      </c>
    </row>
    <row r="6485" spans="27:32" ht="15">
      <c r="AA6485" s="463" t="s">
        <v>20370</v>
      </c>
      <c r="AB6485" s="462" t="s">
        <v>20371</v>
      </c>
      <c r="AC6485" s="462" t="s">
        <v>20372</v>
      </c>
      <c r="AD6485" s="464">
        <v>930.49195999999995</v>
      </c>
      <c r="AE6485" s="465">
        <v>44.76003</v>
      </c>
      <c r="AF6485" s="86">
        <f>IF(verze!$E$1="CZK",AD6485,IF(verze!$E$1="SK",AE6485,""))</f>
        <v>44.76003</v>
      </c>
    </row>
    <row r="6486" spans="27:32" ht="15">
      <c r="AA6486" s="463" t="s">
        <v>20373</v>
      </c>
      <c r="AB6486" s="462" t="s">
        <v>20374</v>
      </c>
      <c r="AC6486" s="462" t="s">
        <v>20375</v>
      </c>
      <c r="AD6486" s="464">
        <v>840.18591000000004</v>
      </c>
      <c r="AE6486" s="465">
        <v>40.415970000000002</v>
      </c>
      <c r="AF6486" s="86">
        <f>IF(verze!$E$1="CZK",AD6486,IF(verze!$E$1="SK",AE6486,""))</f>
        <v>40.415970000000002</v>
      </c>
    </row>
    <row r="6487" spans="27:32" ht="15">
      <c r="AA6487" s="463" t="s">
        <v>20376</v>
      </c>
      <c r="AB6487" s="462" t="s">
        <v>20377</v>
      </c>
      <c r="AC6487" s="462" t="s">
        <v>20378</v>
      </c>
      <c r="AD6487" s="464">
        <v>852.13201000000004</v>
      </c>
      <c r="AE6487" s="465">
        <v>40.990609999999997</v>
      </c>
      <c r="AF6487" s="86">
        <f>IF(verze!$E$1="CZK",AD6487,IF(verze!$E$1="SK",AE6487,""))</f>
        <v>40.990609999999997</v>
      </c>
    </row>
    <row r="6488" spans="27:32" ht="15">
      <c r="AA6488" s="463" t="s">
        <v>20379</v>
      </c>
      <c r="AB6488" s="462" t="s">
        <v>20380</v>
      </c>
      <c r="AC6488" s="462" t="s">
        <v>20381</v>
      </c>
      <c r="AD6488" s="464">
        <v>841.09733000000006</v>
      </c>
      <c r="AE6488" s="465">
        <v>39.585979999999999</v>
      </c>
      <c r="AF6488" s="86">
        <f>IF(verze!$E$1="CZK",AD6488,IF(verze!$E$1="SK",AE6488,""))</f>
        <v>39.585979999999999</v>
      </c>
    </row>
    <row r="6489" spans="27:32" ht="15">
      <c r="AA6489" s="463" t="s">
        <v>20382</v>
      </c>
      <c r="AB6489" s="462" t="s">
        <v>20383</v>
      </c>
      <c r="AC6489" s="462" t="s">
        <v>20384</v>
      </c>
      <c r="AD6489" s="464">
        <v>852.72563000000002</v>
      </c>
      <c r="AE6489" s="465">
        <v>40.13326</v>
      </c>
      <c r="AF6489" s="86">
        <f>IF(verze!$E$1="CZK",AD6489,IF(verze!$E$1="SK",AE6489,""))</f>
        <v>40.13326</v>
      </c>
    </row>
    <row r="6490" spans="27:32" ht="15">
      <c r="AA6490" s="463" t="s">
        <v>20385</v>
      </c>
      <c r="AB6490" s="462" t="s">
        <v>20386</v>
      </c>
      <c r="AC6490" s="462" t="s">
        <v>20387</v>
      </c>
      <c r="AD6490" s="464">
        <v>887.97243000000003</v>
      </c>
      <c r="AE6490" s="465">
        <v>42.714669999999998</v>
      </c>
      <c r="AF6490" s="86">
        <f>IF(verze!$E$1="CZK",AD6490,IF(verze!$E$1="SK",AE6490,""))</f>
        <v>42.714669999999998</v>
      </c>
    </row>
    <row r="6491" spans="27:32" ht="15">
      <c r="AA6491" s="463" t="s">
        <v>20388</v>
      </c>
      <c r="AB6491" s="462" t="s">
        <v>20389</v>
      </c>
      <c r="AC6491" s="462" t="s">
        <v>20390</v>
      </c>
      <c r="AD6491" s="464">
        <v>905.98955999999998</v>
      </c>
      <c r="AE6491" s="465">
        <v>43.581359999999997</v>
      </c>
      <c r="AF6491" s="86">
        <f>IF(verze!$E$1="CZK",AD6491,IF(verze!$E$1="SK",AE6491,""))</f>
        <v>43.581359999999997</v>
      </c>
    </row>
    <row r="6492" spans="27:32" ht="15">
      <c r="AA6492" s="463" t="s">
        <v>20391</v>
      </c>
      <c r="AB6492" s="462" t="s">
        <v>20392</v>
      </c>
      <c r="AC6492" s="462" t="s">
        <v>20393</v>
      </c>
      <c r="AD6492" s="464">
        <v>930.49195999999995</v>
      </c>
      <c r="AE6492" s="465">
        <v>44.76003</v>
      </c>
      <c r="AF6492" s="86">
        <f>IF(verze!$E$1="CZK",AD6492,IF(verze!$E$1="SK",AE6492,""))</f>
        <v>44.76003</v>
      </c>
    </row>
    <row r="6493" spans="27:32" ht="15">
      <c r="AA6493" s="463" t="s">
        <v>20394</v>
      </c>
      <c r="AB6493" s="462" t="s">
        <v>20395</v>
      </c>
      <c r="AC6493" s="462" t="s">
        <v>20396</v>
      </c>
      <c r="AD6493" s="464">
        <v>840.18591000000004</v>
      </c>
      <c r="AE6493" s="465">
        <v>40.415970000000002</v>
      </c>
      <c r="AF6493" s="86">
        <f>IF(verze!$E$1="CZK",AD6493,IF(verze!$E$1="SK",AE6493,""))</f>
        <v>40.415970000000002</v>
      </c>
    </row>
    <row r="6494" spans="27:32" ht="15">
      <c r="AA6494" s="463" t="s">
        <v>20397</v>
      </c>
      <c r="AB6494" s="462" t="s">
        <v>20398</v>
      </c>
      <c r="AC6494" s="462" t="s">
        <v>20399</v>
      </c>
      <c r="AD6494" s="464">
        <v>852.13201000000004</v>
      </c>
      <c r="AE6494" s="465">
        <v>40.990609999999997</v>
      </c>
      <c r="AF6494" s="86">
        <f>IF(verze!$E$1="CZK",AD6494,IF(verze!$E$1="SK",AE6494,""))</f>
        <v>40.990609999999997</v>
      </c>
    </row>
    <row r="6495" spans="27:32" ht="15">
      <c r="AA6495" s="463" t="s">
        <v>20400</v>
      </c>
      <c r="AB6495" s="462" t="s">
        <v>20401</v>
      </c>
      <c r="AC6495" s="462" t="s">
        <v>20402</v>
      </c>
      <c r="AD6495" s="464">
        <v>841.09733000000006</v>
      </c>
      <c r="AE6495" s="465">
        <v>39.585979999999999</v>
      </c>
      <c r="AF6495" s="86">
        <f>IF(verze!$E$1="CZK",AD6495,IF(verze!$E$1="SK",AE6495,""))</f>
        <v>39.585979999999999</v>
      </c>
    </row>
    <row r="6496" spans="27:32" ht="15">
      <c r="AA6496" s="463" t="s">
        <v>20403</v>
      </c>
      <c r="AB6496" s="462" t="s">
        <v>20404</v>
      </c>
      <c r="AC6496" s="462" t="s">
        <v>20405</v>
      </c>
      <c r="AD6496" s="464">
        <v>852.72563000000002</v>
      </c>
      <c r="AE6496" s="465">
        <v>40.13326</v>
      </c>
      <c r="AF6496" s="86">
        <f>IF(verze!$E$1="CZK",AD6496,IF(verze!$E$1="SK",AE6496,""))</f>
        <v>40.13326</v>
      </c>
    </row>
    <row r="6497" spans="27:32" ht="15">
      <c r="AA6497" s="463" t="s">
        <v>20406</v>
      </c>
      <c r="AB6497" s="462" t="s">
        <v>20407</v>
      </c>
      <c r="AC6497" s="462" t="s">
        <v>20408</v>
      </c>
      <c r="AD6497" s="464">
        <v>887.97243000000003</v>
      </c>
      <c r="AE6497" s="465">
        <v>42.714669999999998</v>
      </c>
      <c r="AF6497" s="86">
        <f>IF(verze!$E$1="CZK",AD6497,IF(verze!$E$1="SK",AE6497,""))</f>
        <v>42.714669999999998</v>
      </c>
    </row>
    <row r="6498" spans="27:32" ht="15">
      <c r="AA6498" s="463" t="s">
        <v>20409</v>
      </c>
      <c r="AB6498" s="462" t="s">
        <v>20410</v>
      </c>
      <c r="AC6498" s="462" t="s">
        <v>20411</v>
      </c>
      <c r="AD6498" s="464">
        <v>905.98955999999998</v>
      </c>
      <c r="AE6498" s="465">
        <v>43.581359999999997</v>
      </c>
      <c r="AF6498" s="86">
        <f>IF(verze!$E$1="CZK",AD6498,IF(verze!$E$1="SK",AE6498,""))</f>
        <v>43.581359999999997</v>
      </c>
    </row>
    <row r="6499" spans="27:32" ht="15">
      <c r="AA6499" s="463" t="s">
        <v>20412</v>
      </c>
      <c r="AB6499" s="462" t="s">
        <v>20413</v>
      </c>
      <c r="AC6499" s="462" t="s">
        <v>20414</v>
      </c>
      <c r="AD6499" s="464">
        <v>930.49195999999995</v>
      </c>
      <c r="AE6499" s="465">
        <v>44.76003</v>
      </c>
      <c r="AF6499" s="86">
        <f>IF(verze!$E$1="CZK",AD6499,IF(verze!$E$1="SK",AE6499,""))</f>
        <v>44.76003</v>
      </c>
    </row>
    <row r="6500" spans="27:32" ht="15">
      <c r="AA6500" s="463" t="s">
        <v>20415</v>
      </c>
      <c r="AB6500" s="462" t="s">
        <v>20416</v>
      </c>
      <c r="AC6500" s="462" t="s">
        <v>20417</v>
      </c>
      <c r="AD6500" s="464">
        <v>565.42399</v>
      </c>
      <c r="AE6500" s="465">
        <v>27.198930000000001</v>
      </c>
      <c r="AF6500" s="86">
        <f>IF(verze!$E$1="CZK",AD6500,IF(verze!$E$1="SK",AE6500,""))</f>
        <v>27.198930000000001</v>
      </c>
    </row>
    <row r="6501" spans="27:32" ht="15">
      <c r="AA6501" s="463" t="s">
        <v>20418</v>
      </c>
      <c r="AB6501" s="462" t="s">
        <v>20419</v>
      </c>
      <c r="AC6501" s="462" t="s">
        <v>20420</v>
      </c>
      <c r="AD6501" s="464">
        <v>557.79456000000005</v>
      </c>
      <c r="AE6501" s="465">
        <v>26.252420000000001</v>
      </c>
      <c r="AF6501" s="86">
        <f>IF(verze!$E$1="CZK",AD6501,IF(verze!$E$1="SK",AE6501,""))</f>
        <v>26.252420000000001</v>
      </c>
    </row>
    <row r="6502" spans="27:32" ht="15">
      <c r="AA6502" s="463" t="s">
        <v>20421</v>
      </c>
      <c r="AB6502" s="462" t="s">
        <v>20422</v>
      </c>
      <c r="AC6502" s="462" t="s">
        <v>20423</v>
      </c>
      <c r="AD6502" s="464">
        <v>565.18799999999999</v>
      </c>
      <c r="AE6502" s="465">
        <v>26.6004</v>
      </c>
      <c r="AF6502" s="86">
        <f>IF(verze!$E$1="CZK",AD6502,IF(verze!$E$1="SK",AE6502,""))</f>
        <v>26.6004</v>
      </c>
    </row>
    <row r="6503" spans="27:32" ht="15">
      <c r="AA6503" s="463" t="s">
        <v>20424</v>
      </c>
      <c r="AB6503" s="462" t="s">
        <v>20425</v>
      </c>
      <c r="AC6503" s="462" t="s">
        <v>20426</v>
      </c>
      <c r="AD6503" s="464">
        <v>588.23680999999999</v>
      </c>
      <c r="AE6503" s="465">
        <v>28.296320000000001</v>
      </c>
      <c r="AF6503" s="86">
        <f>IF(verze!$E$1="CZK",AD6503,IF(verze!$E$1="SK",AE6503,""))</f>
        <v>28.296320000000001</v>
      </c>
    </row>
    <row r="6504" spans="27:32" ht="15">
      <c r="AA6504" s="463" t="s">
        <v>20427</v>
      </c>
      <c r="AB6504" s="462" t="s">
        <v>20428</v>
      </c>
      <c r="AC6504" s="462" t="s">
        <v>20429</v>
      </c>
      <c r="AD6504" s="464">
        <v>545.66444999999999</v>
      </c>
      <c r="AE6504" s="465">
        <v>26.248429999999999</v>
      </c>
      <c r="AF6504" s="86">
        <f>IF(verze!$E$1="CZK",AD6504,IF(verze!$E$1="SK",AE6504,""))</f>
        <v>26.248429999999999</v>
      </c>
    </row>
    <row r="6505" spans="27:32" ht="15">
      <c r="AA6505" s="463" t="s">
        <v>20430</v>
      </c>
      <c r="AB6505" s="462" t="s">
        <v>20431</v>
      </c>
      <c r="AC6505" s="462" t="s">
        <v>20432</v>
      </c>
      <c r="AD6505" s="464">
        <v>550.21777999999995</v>
      </c>
      <c r="AE6505" s="465">
        <v>26.467459999999999</v>
      </c>
      <c r="AF6505" s="86">
        <f>IF(verze!$E$1="CZK",AD6505,IF(verze!$E$1="SK",AE6505,""))</f>
        <v>26.467459999999999</v>
      </c>
    </row>
    <row r="6506" spans="27:32" ht="15">
      <c r="AA6506" s="463" t="s">
        <v>20433</v>
      </c>
      <c r="AB6506" s="462" t="s">
        <v>20434</v>
      </c>
      <c r="AC6506" s="462" t="s">
        <v>20435</v>
      </c>
      <c r="AD6506" s="464">
        <v>557.82863999999995</v>
      </c>
      <c r="AE6506" s="465">
        <v>26.833570000000002</v>
      </c>
      <c r="AF6506" s="86">
        <f>IF(verze!$E$1="CZK",AD6506,IF(verze!$E$1="SK",AE6506,""))</f>
        <v>26.833570000000002</v>
      </c>
    </row>
    <row r="6507" spans="27:32" ht="15">
      <c r="AA6507" s="463" t="s">
        <v>20436</v>
      </c>
      <c r="AB6507" s="462" t="s">
        <v>20437</v>
      </c>
      <c r="AC6507" s="462" t="s">
        <v>20438</v>
      </c>
      <c r="AD6507" s="464">
        <v>565.42625999999996</v>
      </c>
      <c r="AE6507" s="465">
        <v>27.19903</v>
      </c>
      <c r="AF6507" s="86">
        <f>IF(verze!$E$1="CZK",AD6507,IF(verze!$E$1="SK",AE6507,""))</f>
        <v>27.19903</v>
      </c>
    </row>
    <row r="6508" spans="27:32" ht="15">
      <c r="AA6508" s="463" t="s">
        <v>20439</v>
      </c>
      <c r="AB6508" s="462" t="s">
        <v>20440</v>
      </c>
      <c r="AC6508" s="462" t="s">
        <v>20441</v>
      </c>
      <c r="AD6508" s="464">
        <v>557.79244000000006</v>
      </c>
      <c r="AE6508" s="465">
        <v>26.252320000000001</v>
      </c>
      <c r="AF6508" s="86">
        <f>IF(verze!$E$1="CZK",AD6508,IF(verze!$E$1="SK",AE6508,""))</f>
        <v>26.252320000000001</v>
      </c>
    </row>
    <row r="6509" spans="27:32" ht="15">
      <c r="AA6509" s="463" t="s">
        <v>20442</v>
      </c>
      <c r="AB6509" s="462" t="s">
        <v>20443</v>
      </c>
      <c r="AC6509" s="462" t="s">
        <v>20444</v>
      </c>
      <c r="AD6509" s="464">
        <v>565.19020999999998</v>
      </c>
      <c r="AE6509" s="465">
        <v>26.6005</v>
      </c>
      <c r="AF6509" s="86">
        <f>IF(verze!$E$1="CZK",AD6509,IF(verze!$E$1="SK",AE6509,""))</f>
        <v>26.6005</v>
      </c>
    </row>
    <row r="6510" spans="27:32" ht="15">
      <c r="AA6510" s="463" t="s">
        <v>20445</v>
      </c>
      <c r="AB6510" s="462" t="s">
        <v>20446</v>
      </c>
      <c r="AC6510" s="462" t="s">
        <v>20447</v>
      </c>
      <c r="AD6510" s="464">
        <v>588.23680999999999</v>
      </c>
      <c r="AE6510" s="465">
        <v>28.296320000000001</v>
      </c>
      <c r="AF6510" s="86">
        <f>IF(verze!$E$1="CZK",AD6510,IF(verze!$E$1="SK",AE6510,""))</f>
        <v>28.296320000000001</v>
      </c>
    </row>
    <row r="6511" spans="27:32" ht="15">
      <c r="AA6511" s="463" t="s">
        <v>20448</v>
      </c>
      <c r="AB6511" s="462" t="s">
        <v>20449</v>
      </c>
      <c r="AC6511" s="462" t="s">
        <v>20450</v>
      </c>
      <c r="AD6511" s="464">
        <v>600.62784999999997</v>
      </c>
      <c r="AE6511" s="465">
        <v>28.89237</v>
      </c>
      <c r="AF6511" s="86">
        <f>IF(verze!$E$1="CZK",AD6511,IF(verze!$E$1="SK",AE6511,""))</f>
        <v>28.89237</v>
      </c>
    </row>
    <row r="6512" spans="27:32" ht="15">
      <c r="AA6512" s="463" t="s">
        <v>20451</v>
      </c>
      <c r="AB6512" s="462" t="s">
        <v>20452</v>
      </c>
      <c r="AC6512" s="462" t="s">
        <v>20453</v>
      </c>
      <c r="AD6512" s="464">
        <v>618.65596000000005</v>
      </c>
      <c r="AE6512" s="465">
        <v>29.75958</v>
      </c>
      <c r="AF6512" s="86">
        <f>IF(verze!$E$1="CZK",AD6512,IF(verze!$E$1="SK",AE6512,""))</f>
        <v>29.75958</v>
      </c>
    </row>
    <row r="6513" spans="27:32" ht="15">
      <c r="AA6513" s="463" t="s">
        <v>20454</v>
      </c>
      <c r="AB6513" s="462" t="s">
        <v>20455</v>
      </c>
      <c r="AC6513" s="462" t="s">
        <v>20456</v>
      </c>
      <c r="AD6513" s="464">
        <v>645.97351000000003</v>
      </c>
      <c r="AE6513" s="465">
        <v>31.07366</v>
      </c>
      <c r="AF6513" s="86">
        <f>IF(verze!$E$1="CZK",AD6513,IF(verze!$E$1="SK",AE6513,""))</f>
        <v>31.07366</v>
      </c>
    </row>
    <row r="6514" spans="27:32" ht="15">
      <c r="AA6514" s="463" t="s">
        <v>20457</v>
      </c>
      <c r="AB6514" s="462" t="s">
        <v>20458</v>
      </c>
      <c r="AC6514" s="462" t="s">
        <v>20459</v>
      </c>
      <c r="AD6514" s="464">
        <v>650.52683000000002</v>
      </c>
      <c r="AE6514" s="465">
        <v>31.29269</v>
      </c>
      <c r="AF6514" s="86">
        <f>IF(verze!$E$1="CZK",AD6514,IF(verze!$E$1="SK",AE6514,""))</f>
        <v>31.29269</v>
      </c>
    </row>
    <row r="6515" spans="27:32" ht="15">
      <c r="AA6515" s="463" t="s">
        <v>20460</v>
      </c>
      <c r="AB6515" s="462" t="s">
        <v>20461</v>
      </c>
      <c r="AC6515" s="462" t="s">
        <v>20462</v>
      </c>
      <c r="AD6515" s="464">
        <v>659.97708</v>
      </c>
      <c r="AE6515" s="465">
        <v>31.74728</v>
      </c>
      <c r="AF6515" s="86">
        <f>IF(verze!$E$1="CZK",AD6515,IF(verze!$E$1="SK",AE6515,""))</f>
        <v>31.74728</v>
      </c>
    </row>
    <row r="6516" spans="27:32" ht="15">
      <c r="AA6516" s="463" t="s">
        <v>20463</v>
      </c>
      <c r="AB6516" s="462" t="s">
        <v>20464</v>
      </c>
      <c r="AC6516" s="462" t="s">
        <v>20465</v>
      </c>
      <c r="AD6516" s="464">
        <v>669.42296999999996</v>
      </c>
      <c r="AE6516" s="465">
        <v>32.201650000000001</v>
      </c>
      <c r="AF6516" s="86">
        <f>IF(verze!$E$1="CZK",AD6516,IF(verze!$E$1="SK",AE6516,""))</f>
        <v>32.201650000000001</v>
      </c>
    </row>
    <row r="6517" spans="27:32" ht="15">
      <c r="AA6517" s="463" t="s">
        <v>20466</v>
      </c>
      <c r="AB6517" s="462" t="s">
        <v>20467</v>
      </c>
      <c r="AC6517" s="462" t="s">
        <v>20468</v>
      </c>
      <c r="AD6517" s="464">
        <v>660.82442000000003</v>
      </c>
      <c r="AE6517" s="465">
        <v>31.101500000000001</v>
      </c>
      <c r="AF6517" s="86">
        <f>IF(verze!$E$1="CZK",AD6517,IF(verze!$E$1="SK",AE6517,""))</f>
        <v>31.101500000000001</v>
      </c>
    </row>
    <row r="6518" spans="27:32" ht="15">
      <c r="AA6518" s="463" t="s">
        <v>20469</v>
      </c>
      <c r="AB6518" s="462" t="s">
        <v>20470</v>
      </c>
      <c r="AC6518" s="462" t="s">
        <v>20471</v>
      </c>
      <c r="AD6518" s="464">
        <v>670.01910999999996</v>
      </c>
      <c r="AE6518" s="465">
        <v>31.53424</v>
      </c>
      <c r="AF6518" s="86">
        <f>IF(verze!$E$1="CZK",AD6518,IF(verze!$E$1="SK",AE6518,""))</f>
        <v>31.53424</v>
      </c>
    </row>
    <row r="6519" spans="27:32" ht="15">
      <c r="AA6519" s="463" t="s">
        <v>20472</v>
      </c>
      <c r="AB6519" s="462" t="s">
        <v>20473</v>
      </c>
      <c r="AC6519" s="462" t="s">
        <v>20474</v>
      </c>
      <c r="AD6519" s="464">
        <v>697.76926000000003</v>
      </c>
      <c r="AE6519" s="465">
        <v>33.565219999999997</v>
      </c>
      <c r="AF6519" s="86">
        <f>IF(verze!$E$1="CZK",AD6519,IF(verze!$E$1="SK",AE6519,""))</f>
        <v>33.565219999999997</v>
      </c>
    </row>
    <row r="6520" spans="27:32" ht="15">
      <c r="AA6520" s="463" t="s">
        <v>20475</v>
      </c>
      <c r="AB6520" s="462" t="s">
        <v>20476</v>
      </c>
      <c r="AC6520" s="462" t="s">
        <v>20477</v>
      </c>
      <c r="AD6520" s="464">
        <v>712.95127000000002</v>
      </c>
      <c r="AE6520" s="465">
        <v>34.295520000000003</v>
      </c>
      <c r="AF6520" s="86">
        <f>IF(verze!$E$1="CZK",AD6520,IF(verze!$E$1="SK",AE6520,""))</f>
        <v>34.295520000000003</v>
      </c>
    </row>
    <row r="6521" spans="27:32" ht="15">
      <c r="AA6521" s="463" t="s">
        <v>20478</v>
      </c>
      <c r="AB6521" s="462" t="s">
        <v>20479</v>
      </c>
      <c r="AC6521" s="462" t="s">
        <v>20480</v>
      </c>
      <c r="AD6521" s="464">
        <v>730.98166000000003</v>
      </c>
      <c r="AE6521" s="465">
        <v>35.162860000000002</v>
      </c>
      <c r="AF6521" s="86">
        <f>IF(verze!$E$1="CZK",AD6521,IF(verze!$E$1="SK",AE6521,""))</f>
        <v>35.162860000000002</v>
      </c>
    </row>
    <row r="6522" spans="27:32" ht="15">
      <c r="AA6522" s="463" t="s">
        <v>20481</v>
      </c>
      <c r="AB6522" s="462" t="s">
        <v>20482</v>
      </c>
      <c r="AC6522" s="462" t="s">
        <v>20483</v>
      </c>
      <c r="AD6522" s="464">
        <v>781.77286000000004</v>
      </c>
      <c r="AE6522" s="465">
        <v>37.606110000000001</v>
      </c>
      <c r="AF6522" s="86">
        <f>IF(verze!$E$1="CZK",AD6522,IF(verze!$E$1="SK",AE6522,""))</f>
        <v>37.606110000000001</v>
      </c>
    </row>
    <row r="6523" spans="27:32" ht="15">
      <c r="AA6523" s="463" t="s">
        <v>20484</v>
      </c>
      <c r="AB6523" s="462" t="s">
        <v>20485</v>
      </c>
      <c r="AC6523" s="462" t="s">
        <v>20486</v>
      </c>
      <c r="AD6523" s="464">
        <v>788.96299999999997</v>
      </c>
      <c r="AE6523" s="465">
        <v>37.95196</v>
      </c>
      <c r="AF6523" s="86">
        <f>IF(verze!$E$1="CZK",AD6523,IF(verze!$E$1="SK",AE6523,""))</f>
        <v>37.95196</v>
      </c>
    </row>
    <row r="6524" spans="27:32" ht="15">
      <c r="AA6524" s="463" t="s">
        <v>20487</v>
      </c>
      <c r="AB6524" s="462" t="s">
        <v>20488</v>
      </c>
      <c r="AC6524" s="462" t="s">
        <v>20489</v>
      </c>
      <c r="AD6524" s="464">
        <v>800.95977000000005</v>
      </c>
      <c r="AE6524" s="465">
        <v>38.529060000000001</v>
      </c>
      <c r="AF6524" s="86">
        <f>IF(verze!$E$1="CZK",AD6524,IF(verze!$E$1="SK",AE6524,""))</f>
        <v>38.529060000000001</v>
      </c>
    </row>
    <row r="6525" spans="27:32" ht="15">
      <c r="AA6525" s="463" t="s">
        <v>20490</v>
      </c>
      <c r="AB6525" s="462" t="s">
        <v>20491</v>
      </c>
      <c r="AC6525" s="462" t="s">
        <v>20492</v>
      </c>
      <c r="AD6525" s="464">
        <v>812.95644000000004</v>
      </c>
      <c r="AE6525" s="465">
        <v>39.106140000000003</v>
      </c>
      <c r="AF6525" s="86">
        <f>IF(verze!$E$1="CZK",AD6525,IF(verze!$E$1="SK",AE6525,""))</f>
        <v>39.106140000000003</v>
      </c>
    </row>
    <row r="6526" spans="27:32" ht="15">
      <c r="AA6526" s="463" t="s">
        <v>20493</v>
      </c>
      <c r="AB6526" s="462" t="s">
        <v>20494</v>
      </c>
      <c r="AC6526" s="462" t="s">
        <v>20495</v>
      </c>
      <c r="AD6526" s="464">
        <v>803.01720999999998</v>
      </c>
      <c r="AE6526" s="465">
        <v>37.79374</v>
      </c>
      <c r="AF6526" s="86">
        <f>IF(verze!$E$1="CZK",AD6526,IF(verze!$E$1="SK",AE6526,""))</f>
        <v>37.79374</v>
      </c>
    </row>
    <row r="6527" spans="27:32" ht="15">
      <c r="AA6527" s="463" t="s">
        <v>20496</v>
      </c>
      <c r="AB6527" s="462" t="s">
        <v>20497</v>
      </c>
      <c r="AC6527" s="462" t="s">
        <v>20498</v>
      </c>
      <c r="AD6527" s="464">
        <v>814.69060000000002</v>
      </c>
      <c r="AE6527" s="465">
        <v>38.343159999999997</v>
      </c>
      <c r="AF6527" s="86">
        <f>IF(verze!$E$1="CZK",AD6527,IF(verze!$E$1="SK",AE6527,""))</f>
        <v>38.343159999999997</v>
      </c>
    </row>
    <row r="6528" spans="27:32" ht="15">
      <c r="AA6528" s="463" t="s">
        <v>20499</v>
      </c>
      <c r="AB6528" s="462" t="s">
        <v>20500</v>
      </c>
      <c r="AC6528" s="462" t="s">
        <v>20501</v>
      </c>
      <c r="AD6528" s="464">
        <v>848.94223999999997</v>
      </c>
      <c r="AE6528" s="465">
        <v>40.83719</v>
      </c>
      <c r="AF6528" s="86">
        <f>IF(verze!$E$1="CZK",AD6528,IF(verze!$E$1="SK",AE6528,""))</f>
        <v>40.83719</v>
      </c>
    </row>
    <row r="6529" spans="27:32" ht="15">
      <c r="AA6529" s="463" t="s">
        <v>20502</v>
      </c>
      <c r="AB6529" s="462" t="s">
        <v>20503</v>
      </c>
      <c r="AC6529" s="462" t="s">
        <v>20504</v>
      </c>
      <c r="AD6529" s="464">
        <v>867.96834999999999</v>
      </c>
      <c r="AE6529" s="465">
        <v>41.752409999999998</v>
      </c>
      <c r="AF6529" s="86">
        <f>IF(verze!$E$1="CZK",AD6529,IF(verze!$E$1="SK",AE6529,""))</f>
        <v>41.752409999999998</v>
      </c>
    </row>
    <row r="6530" spans="27:32" ht="15">
      <c r="AA6530" s="463" t="s">
        <v>20505</v>
      </c>
      <c r="AB6530" s="462" t="s">
        <v>20506</v>
      </c>
      <c r="AC6530" s="462" t="s">
        <v>20507</v>
      </c>
      <c r="AD6530" s="464">
        <v>895.00838999999996</v>
      </c>
      <c r="AE6530" s="465">
        <v>43.053130000000003</v>
      </c>
      <c r="AF6530" s="86">
        <f>IF(verze!$E$1="CZK",AD6530,IF(verze!$E$1="SK",AE6530,""))</f>
        <v>43.053130000000003</v>
      </c>
    </row>
    <row r="6531" spans="27:32" ht="15">
      <c r="AA6531" s="463" t="s">
        <v>20508</v>
      </c>
      <c r="AB6531" s="462" t="s">
        <v>20509</v>
      </c>
      <c r="AC6531" s="462" t="s">
        <v>20510</v>
      </c>
      <c r="AD6531" s="464">
        <v>1154.06167</v>
      </c>
      <c r="AE6531" s="465">
        <v>55.514530000000001</v>
      </c>
      <c r="AF6531" s="86">
        <f>IF(verze!$E$1="CZK",AD6531,IF(verze!$E$1="SK",AE6531,""))</f>
        <v>55.514530000000001</v>
      </c>
    </row>
    <row r="6532" spans="27:32" ht="15">
      <c r="AA6532" s="463" t="s">
        <v>20511</v>
      </c>
      <c r="AB6532" s="462" t="s">
        <v>20512</v>
      </c>
      <c r="AC6532" s="462" t="s">
        <v>20513</v>
      </c>
      <c r="AD6532" s="464">
        <v>1172.4555</v>
      </c>
      <c r="AE6532" s="465">
        <v>56.399320000000003</v>
      </c>
      <c r="AF6532" s="86">
        <f>IF(verze!$E$1="CZK",AD6532,IF(verze!$E$1="SK",AE6532,""))</f>
        <v>56.399320000000003</v>
      </c>
    </row>
    <row r="6533" spans="27:32" ht="15">
      <c r="AA6533" s="463" t="s">
        <v>20514</v>
      </c>
      <c r="AB6533" s="462" t="s">
        <v>20515</v>
      </c>
      <c r="AC6533" s="462" t="s">
        <v>20516</v>
      </c>
      <c r="AD6533" s="464">
        <v>1159.16713</v>
      </c>
      <c r="AE6533" s="465">
        <v>54.555819999999997</v>
      </c>
      <c r="AF6533" s="86">
        <f>IF(verze!$E$1="CZK",AD6533,IF(verze!$E$1="SK",AE6533,""))</f>
        <v>54.555819999999997</v>
      </c>
    </row>
    <row r="6534" spans="27:32" ht="15">
      <c r="AA6534" s="463" t="s">
        <v>20517</v>
      </c>
      <c r="AB6534" s="462" t="s">
        <v>20518</v>
      </c>
      <c r="AC6534" s="462" t="s">
        <v>20519</v>
      </c>
      <c r="AD6534" s="464">
        <v>1177.06744</v>
      </c>
      <c r="AE6534" s="465">
        <v>55.398299999999999</v>
      </c>
      <c r="AF6534" s="86">
        <f>IF(verze!$E$1="CZK",AD6534,IF(verze!$E$1="SK",AE6534,""))</f>
        <v>55.398299999999999</v>
      </c>
    </row>
    <row r="6535" spans="27:32" ht="15">
      <c r="AA6535" s="463" t="s">
        <v>20520</v>
      </c>
      <c r="AB6535" s="462" t="s">
        <v>20521</v>
      </c>
      <c r="AC6535" s="462" t="s">
        <v>20522</v>
      </c>
      <c r="AD6535" s="464">
        <v>1227.6127799999999</v>
      </c>
      <c r="AE6535" s="465">
        <v>59.052610000000001</v>
      </c>
      <c r="AF6535" s="86">
        <f>IF(verze!$E$1="CZK",AD6535,IF(verze!$E$1="SK",AE6535,""))</f>
        <v>59.052610000000001</v>
      </c>
    </row>
    <row r="6536" spans="27:32" ht="15">
      <c r="AA6536" s="463" t="s">
        <v>20523</v>
      </c>
      <c r="AB6536" s="462" t="s">
        <v>20524</v>
      </c>
      <c r="AC6536" s="462" t="s">
        <v>20525</v>
      </c>
      <c r="AD6536" s="464">
        <v>1255.0867800000001</v>
      </c>
      <c r="AE6536" s="465">
        <v>60.374200000000002</v>
      </c>
      <c r="AF6536" s="86">
        <f>IF(verze!$E$1="CZK",AD6536,IF(verze!$E$1="SK",AE6536,""))</f>
        <v>60.374200000000002</v>
      </c>
    </row>
    <row r="6537" spans="27:32" ht="15">
      <c r="AA6537" s="463" t="s">
        <v>20526</v>
      </c>
      <c r="AB6537" s="462" t="s">
        <v>20527</v>
      </c>
      <c r="AC6537" s="462" t="s">
        <v>20528</v>
      </c>
      <c r="AD6537" s="464">
        <v>1293.44064</v>
      </c>
      <c r="AE6537" s="465">
        <v>62.219180000000001</v>
      </c>
      <c r="AF6537" s="86">
        <f>IF(verze!$E$1="CZK",AD6537,IF(verze!$E$1="SK",AE6537,""))</f>
        <v>62.219180000000001</v>
      </c>
    </row>
    <row r="6538" spans="27:32" ht="15">
      <c r="AA6538" s="463" t="s">
        <v>20529</v>
      </c>
      <c r="AB6538" s="462" t="s">
        <v>20530</v>
      </c>
      <c r="AC6538" s="462" t="s">
        <v>20531</v>
      </c>
      <c r="AD6538" s="464">
        <v>565.42399</v>
      </c>
      <c r="AE6538" s="465">
        <v>27.198930000000001</v>
      </c>
      <c r="AF6538" s="86">
        <f>IF(verze!$E$1="CZK",AD6538,IF(verze!$E$1="SK",AE6538,""))</f>
        <v>27.198930000000001</v>
      </c>
    </row>
    <row r="6539" spans="27:32" ht="15">
      <c r="AA6539" s="463" t="s">
        <v>20532</v>
      </c>
      <c r="AB6539" s="462" t="s">
        <v>20533</v>
      </c>
      <c r="AC6539" s="462" t="s">
        <v>20534</v>
      </c>
      <c r="AD6539" s="464">
        <v>557.79456000000005</v>
      </c>
      <c r="AE6539" s="465">
        <v>26.252420000000001</v>
      </c>
      <c r="AF6539" s="86">
        <f>IF(verze!$E$1="CZK",AD6539,IF(verze!$E$1="SK",AE6539,""))</f>
        <v>26.252420000000001</v>
      </c>
    </row>
    <row r="6540" spans="27:32" ht="15">
      <c r="AA6540" s="463" t="s">
        <v>20535</v>
      </c>
      <c r="AB6540" s="462" t="s">
        <v>20536</v>
      </c>
      <c r="AC6540" s="462" t="s">
        <v>20537</v>
      </c>
      <c r="AD6540" s="464">
        <v>565.18799999999999</v>
      </c>
      <c r="AE6540" s="465">
        <v>26.6004</v>
      </c>
      <c r="AF6540" s="86">
        <f>IF(verze!$E$1="CZK",AD6540,IF(verze!$E$1="SK",AE6540,""))</f>
        <v>26.6004</v>
      </c>
    </row>
    <row r="6541" spans="27:32" ht="15">
      <c r="AA6541" s="463" t="s">
        <v>20538</v>
      </c>
      <c r="AB6541" s="462" t="s">
        <v>20539</v>
      </c>
      <c r="AC6541" s="462" t="s">
        <v>20540</v>
      </c>
      <c r="AD6541" s="464">
        <v>588.23680999999999</v>
      </c>
      <c r="AE6541" s="465">
        <v>28.296320000000001</v>
      </c>
      <c r="AF6541" s="86">
        <f>IF(verze!$E$1="CZK",AD6541,IF(verze!$E$1="SK",AE6541,""))</f>
        <v>28.296320000000001</v>
      </c>
    </row>
    <row r="6542" spans="27:32" ht="15">
      <c r="AA6542" s="463" t="s">
        <v>20541</v>
      </c>
      <c r="AB6542" s="462" t="s">
        <v>20542</v>
      </c>
      <c r="AC6542" s="462" t="s">
        <v>20543</v>
      </c>
      <c r="AD6542" s="464">
        <v>545.66444999999999</v>
      </c>
      <c r="AE6542" s="465">
        <v>26.248429999999999</v>
      </c>
      <c r="AF6542" s="86">
        <f>IF(verze!$E$1="CZK",AD6542,IF(verze!$E$1="SK",AE6542,""))</f>
        <v>26.248429999999999</v>
      </c>
    </row>
    <row r="6543" spans="27:32" ht="15">
      <c r="AA6543" s="463" t="s">
        <v>20544</v>
      </c>
      <c r="AB6543" s="462" t="s">
        <v>20545</v>
      </c>
      <c r="AC6543" s="462" t="s">
        <v>20546</v>
      </c>
      <c r="AD6543" s="464">
        <v>550.21777999999995</v>
      </c>
      <c r="AE6543" s="465">
        <v>26.467459999999999</v>
      </c>
      <c r="AF6543" s="86">
        <f>IF(verze!$E$1="CZK",AD6543,IF(verze!$E$1="SK",AE6543,""))</f>
        <v>26.467459999999999</v>
      </c>
    </row>
    <row r="6544" spans="27:32" ht="15">
      <c r="AA6544" s="463" t="s">
        <v>20547</v>
      </c>
      <c r="AB6544" s="462" t="s">
        <v>20548</v>
      </c>
      <c r="AC6544" s="462" t="s">
        <v>20549</v>
      </c>
      <c r="AD6544" s="464">
        <v>557.82863999999995</v>
      </c>
      <c r="AE6544" s="465">
        <v>26.833570000000002</v>
      </c>
      <c r="AF6544" s="86">
        <f>IF(verze!$E$1="CZK",AD6544,IF(verze!$E$1="SK",AE6544,""))</f>
        <v>26.833570000000002</v>
      </c>
    </row>
    <row r="6545" spans="27:32" ht="15">
      <c r="AA6545" s="463" t="s">
        <v>20550</v>
      </c>
      <c r="AB6545" s="462" t="s">
        <v>20551</v>
      </c>
      <c r="AC6545" s="462" t="s">
        <v>20552</v>
      </c>
      <c r="AD6545" s="464">
        <v>565.42625999999996</v>
      </c>
      <c r="AE6545" s="465">
        <v>27.19903</v>
      </c>
      <c r="AF6545" s="86">
        <f>IF(verze!$E$1="CZK",AD6545,IF(verze!$E$1="SK",AE6545,""))</f>
        <v>27.19903</v>
      </c>
    </row>
    <row r="6546" spans="27:32" ht="15">
      <c r="AA6546" s="463" t="s">
        <v>20553</v>
      </c>
      <c r="AB6546" s="462" t="s">
        <v>20554</v>
      </c>
      <c r="AC6546" s="462" t="s">
        <v>20555</v>
      </c>
      <c r="AD6546" s="464">
        <v>557.79244000000006</v>
      </c>
      <c r="AE6546" s="465">
        <v>26.252320000000001</v>
      </c>
      <c r="AF6546" s="86">
        <f>IF(verze!$E$1="CZK",AD6546,IF(verze!$E$1="SK",AE6546,""))</f>
        <v>26.252320000000001</v>
      </c>
    </row>
    <row r="6547" spans="27:32" ht="15">
      <c r="AA6547" s="463" t="s">
        <v>20556</v>
      </c>
      <c r="AB6547" s="462" t="s">
        <v>20557</v>
      </c>
      <c r="AC6547" s="462" t="s">
        <v>20558</v>
      </c>
      <c r="AD6547" s="464">
        <v>565.19020999999998</v>
      </c>
      <c r="AE6547" s="465">
        <v>26.6005</v>
      </c>
      <c r="AF6547" s="86">
        <f>IF(verze!$E$1="CZK",AD6547,IF(verze!$E$1="SK",AE6547,""))</f>
        <v>26.6005</v>
      </c>
    </row>
    <row r="6548" spans="27:32" ht="15">
      <c r="AA6548" s="463" t="s">
        <v>20559</v>
      </c>
      <c r="AB6548" s="462" t="s">
        <v>20560</v>
      </c>
      <c r="AC6548" s="462" t="s">
        <v>20561</v>
      </c>
      <c r="AD6548" s="464">
        <v>588.23680999999999</v>
      </c>
      <c r="AE6548" s="465">
        <v>28.296320000000001</v>
      </c>
      <c r="AF6548" s="86">
        <f>IF(verze!$E$1="CZK",AD6548,IF(verze!$E$1="SK",AE6548,""))</f>
        <v>28.296320000000001</v>
      </c>
    </row>
    <row r="6549" spans="27:32" ht="15">
      <c r="AA6549" s="463" t="s">
        <v>20562</v>
      </c>
      <c r="AB6549" s="462" t="s">
        <v>20563</v>
      </c>
      <c r="AC6549" s="462" t="s">
        <v>20564</v>
      </c>
      <c r="AD6549" s="464">
        <v>600.62784999999997</v>
      </c>
      <c r="AE6549" s="465">
        <v>28.89237</v>
      </c>
      <c r="AF6549" s="86">
        <f>IF(verze!$E$1="CZK",AD6549,IF(verze!$E$1="SK",AE6549,""))</f>
        <v>28.89237</v>
      </c>
    </row>
    <row r="6550" spans="27:32" ht="15">
      <c r="AA6550" s="463" t="s">
        <v>20565</v>
      </c>
      <c r="AB6550" s="462" t="s">
        <v>20566</v>
      </c>
      <c r="AC6550" s="462" t="s">
        <v>20567</v>
      </c>
      <c r="AD6550" s="464">
        <v>618.65596000000005</v>
      </c>
      <c r="AE6550" s="465">
        <v>29.75958</v>
      </c>
      <c r="AF6550" s="86">
        <f>IF(verze!$E$1="CZK",AD6550,IF(verze!$E$1="SK",AE6550,""))</f>
        <v>29.75958</v>
      </c>
    </row>
    <row r="6551" spans="27:32" ht="15">
      <c r="AA6551" s="463" t="s">
        <v>20568</v>
      </c>
      <c r="AB6551" s="462" t="s">
        <v>20569</v>
      </c>
      <c r="AC6551" s="462" t="s">
        <v>20570</v>
      </c>
      <c r="AD6551" s="464">
        <v>645.97351000000003</v>
      </c>
      <c r="AE6551" s="465">
        <v>31.07366</v>
      </c>
      <c r="AF6551" s="86">
        <f>IF(verze!$E$1="CZK",AD6551,IF(verze!$E$1="SK",AE6551,""))</f>
        <v>31.07366</v>
      </c>
    </row>
    <row r="6552" spans="27:32" ht="15">
      <c r="AA6552" s="463" t="s">
        <v>20571</v>
      </c>
      <c r="AB6552" s="462" t="s">
        <v>20572</v>
      </c>
      <c r="AC6552" s="462" t="s">
        <v>20573</v>
      </c>
      <c r="AD6552" s="464">
        <v>650.52683000000002</v>
      </c>
      <c r="AE6552" s="465">
        <v>31.29269</v>
      </c>
      <c r="AF6552" s="86">
        <f>IF(verze!$E$1="CZK",AD6552,IF(verze!$E$1="SK",AE6552,""))</f>
        <v>31.29269</v>
      </c>
    </row>
    <row r="6553" spans="27:32" ht="15">
      <c r="AA6553" s="463" t="s">
        <v>20574</v>
      </c>
      <c r="AB6553" s="462" t="s">
        <v>20575</v>
      </c>
      <c r="AC6553" s="462" t="s">
        <v>20576</v>
      </c>
      <c r="AD6553" s="464">
        <v>659.97708</v>
      </c>
      <c r="AE6553" s="465">
        <v>31.74728</v>
      </c>
      <c r="AF6553" s="86">
        <f>IF(verze!$E$1="CZK",AD6553,IF(verze!$E$1="SK",AE6553,""))</f>
        <v>31.74728</v>
      </c>
    </row>
    <row r="6554" spans="27:32" ht="15">
      <c r="AA6554" s="463" t="s">
        <v>20577</v>
      </c>
      <c r="AB6554" s="462" t="s">
        <v>20578</v>
      </c>
      <c r="AC6554" s="462" t="s">
        <v>20579</v>
      </c>
      <c r="AD6554" s="464">
        <v>669.42296999999996</v>
      </c>
      <c r="AE6554" s="465">
        <v>32.201650000000001</v>
      </c>
      <c r="AF6554" s="86">
        <f>IF(verze!$E$1="CZK",AD6554,IF(verze!$E$1="SK",AE6554,""))</f>
        <v>32.201650000000001</v>
      </c>
    </row>
    <row r="6555" spans="27:32" ht="15">
      <c r="AA6555" s="463" t="s">
        <v>20580</v>
      </c>
      <c r="AB6555" s="462" t="s">
        <v>20581</v>
      </c>
      <c r="AC6555" s="462" t="s">
        <v>20582</v>
      </c>
      <c r="AD6555" s="464">
        <v>660.82442000000003</v>
      </c>
      <c r="AE6555" s="465">
        <v>31.101500000000001</v>
      </c>
      <c r="AF6555" s="86">
        <f>IF(verze!$E$1="CZK",AD6555,IF(verze!$E$1="SK",AE6555,""))</f>
        <v>31.101500000000001</v>
      </c>
    </row>
    <row r="6556" spans="27:32" ht="15">
      <c r="AA6556" s="463" t="s">
        <v>20583</v>
      </c>
      <c r="AB6556" s="462" t="s">
        <v>20584</v>
      </c>
      <c r="AC6556" s="462" t="s">
        <v>20585</v>
      </c>
      <c r="AD6556" s="464">
        <v>670.01910999999996</v>
      </c>
      <c r="AE6556" s="465">
        <v>31.53424</v>
      </c>
      <c r="AF6556" s="86">
        <f>IF(verze!$E$1="CZK",AD6556,IF(verze!$E$1="SK",AE6556,""))</f>
        <v>31.53424</v>
      </c>
    </row>
    <row r="6557" spans="27:32" ht="15">
      <c r="AA6557" s="463" t="s">
        <v>20586</v>
      </c>
      <c r="AB6557" s="462" t="s">
        <v>20587</v>
      </c>
      <c r="AC6557" s="462" t="s">
        <v>20588</v>
      </c>
      <c r="AD6557" s="464">
        <v>697.76926000000003</v>
      </c>
      <c r="AE6557" s="465">
        <v>33.565219999999997</v>
      </c>
      <c r="AF6557" s="86">
        <f>IF(verze!$E$1="CZK",AD6557,IF(verze!$E$1="SK",AE6557,""))</f>
        <v>33.565219999999997</v>
      </c>
    </row>
    <row r="6558" spans="27:32" ht="15">
      <c r="AA6558" s="463" t="s">
        <v>20589</v>
      </c>
      <c r="AB6558" s="462" t="s">
        <v>20590</v>
      </c>
      <c r="AC6558" s="462" t="s">
        <v>20591</v>
      </c>
      <c r="AD6558" s="464">
        <v>712.95127000000002</v>
      </c>
      <c r="AE6558" s="465">
        <v>34.295520000000003</v>
      </c>
      <c r="AF6558" s="86">
        <f>IF(verze!$E$1="CZK",AD6558,IF(verze!$E$1="SK",AE6558,""))</f>
        <v>34.295520000000003</v>
      </c>
    </row>
    <row r="6559" spans="27:32" ht="15">
      <c r="AA6559" s="463" t="s">
        <v>20592</v>
      </c>
      <c r="AB6559" s="462" t="s">
        <v>20593</v>
      </c>
      <c r="AC6559" s="462" t="s">
        <v>20594</v>
      </c>
      <c r="AD6559" s="464">
        <v>730.98166000000003</v>
      </c>
      <c r="AE6559" s="465">
        <v>35.162860000000002</v>
      </c>
      <c r="AF6559" s="86">
        <f>IF(verze!$E$1="CZK",AD6559,IF(verze!$E$1="SK",AE6559,""))</f>
        <v>35.162860000000002</v>
      </c>
    </row>
    <row r="6560" spans="27:32" ht="15">
      <c r="AA6560" s="463" t="s">
        <v>20595</v>
      </c>
      <c r="AB6560" s="462" t="s">
        <v>20596</v>
      </c>
      <c r="AC6560" s="462" t="s">
        <v>20597</v>
      </c>
      <c r="AD6560" s="464">
        <v>781.77286000000004</v>
      </c>
      <c r="AE6560" s="465">
        <v>37.606110000000001</v>
      </c>
      <c r="AF6560" s="86">
        <f>IF(verze!$E$1="CZK",AD6560,IF(verze!$E$1="SK",AE6560,""))</f>
        <v>37.606110000000001</v>
      </c>
    </row>
    <row r="6561" spans="27:32" ht="15">
      <c r="AA6561" s="463" t="s">
        <v>20598</v>
      </c>
      <c r="AB6561" s="462" t="s">
        <v>20599</v>
      </c>
      <c r="AC6561" s="462" t="s">
        <v>20600</v>
      </c>
      <c r="AD6561" s="464">
        <v>788.96299999999997</v>
      </c>
      <c r="AE6561" s="465">
        <v>37.95196</v>
      </c>
      <c r="AF6561" s="86">
        <f>IF(verze!$E$1="CZK",AD6561,IF(verze!$E$1="SK",AE6561,""))</f>
        <v>37.95196</v>
      </c>
    </row>
    <row r="6562" spans="27:32" ht="15">
      <c r="AA6562" s="463" t="s">
        <v>20601</v>
      </c>
      <c r="AB6562" s="462" t="s">
        <v>20602</v>
      </c>
      <c r="AC6562" s="462" t="s">
        <v>20603</v>
      </c>
      <c r="AD6562" s="464">
        <v>800.95977000000005</v>
      </c>
      <c r="AE6562" s="465">
        <v>38.529060000000001</v>
      </c>
      <c r="AF6562" s="86">
        <f>IF(verze!$E$1="CZK",AD6562,IF(verze!$E$1="SK",AE6562,""))</f>
        <v>38.529060000000001</v>
      </c>
    </row>
    <row r="6563" spans="27:32" ht="15">
      <c r="AA6563" s="463" t="s">
        <v>20604</v>
      </c>
      <c r="AB6563" s="462" t="s">
        <v>20605</v>
      </c>
      <c r="AC6563" s="462" t="s">
        <v>20606</v>
      </c>
      <c r="AD6563" s="464">
        <v>812.95644000000004</v>
      </c>
      <c r="AE6563" s="465">
        <v>39.106140000000003</v>
      </c>
      <c r="AF6563" s="86">
        <f>IF(verze!$E$1="CZK",AD6563,IF(verze!$E$1="SK",AE6563,""))</f>
        <v>39.106140000000003</v>
      </c>
    </row>
    <row r="6564" spans="27:32" ht="15">
      <c r="AA6564" s="463" t="s">
        <v>20607</v>
      </c>
      <c r="AB6564" s="462" t="s">
        <v>20608</v>
      </c>
      <c r="AC6564" s="462" t="s">
        <v>20609</v>
      </c>
      <c r="AD6564" s="464">
        <v>803.01720999999998</v>
      </c>
      <c r="AE6564" s="465">
        <v>37.79374</v>
      </c>
      <c r="AF6564" s="86">
        <f>IF(verze!$E$1="CZK",AD6564,IF(verze!$E$1="SK",AE6564,""))</f>
        <v>37.79374</v>
      </c>
    </row>
    <row r="6565" spans="27:32" ht="15">
      <c r="AA6565" s="463" t="s">
        <v>20610</v>
      </c>
      <c r="AB6565" s="462" t="s">
        <v>20611</v>
      </c>
      <c r="AC6565" s="462" t="s">
        <v>20612</v>
      </c>
      <c r="AD6565" s="464">
        <v>814.69060000000002</v>
      </c>
      <c r="AE6565" s="465">
        <v>38.343159999999997</v>
      </c>
      <c r="AF6565" s="86">
        <f>IF(verze!$E$1="CZK",AD6565,IF(verze!$E$1="SK",AE6565,""))</f>
        <v>38.343159999999997</v>
      </c>
    </row>
    <row r="6566" spans="27:32" ht="15">
      <c r="AA6566" s="463" t="s">
        <v>20613</v>
      </c>
      <c r="AB6566" s="462" t="s">
        <v>20614</v>
      </c>
      <c r="AC6566" s="462" t="s">
        <v>20615</v>
      </c>
      <c r="AD6566" s="464">
        <v>848.94223999999997</v>
      </c>
      <c r="AE6566" s="465">
        <v>40.83719</v>
      </c>
      <c r="AF6566" s="86">
        <f>IF(verze!$E$1="CZK",AD6566,IF(verze!$E$1="SK",AE6566,""))</f>
        <v>40.83719</v>
      </c>
    </row>
    <row r="6567" spans="27:32" ht="15">
      <c r="AA6567" s="463" t="s">
        <v>20616</v>
      </c>
      <c r="AB6567" s="462" t="s">
        <v>20617</v>
      </c>
      <c r="AC6567" s="462" t="s">
        <v>20618</v>
      </c>
      <c r="AD6567" s="464">
        <v>867.96834999999999</v>
      </c>
      <c r="AE6567" s="465">
        <v>41.752409999999998</v>
      </c>
      <c r="AF6567" s="86">
        <f>IF(verze!$E$1="CZK",AD6567,IF(verze!$E$1="SK",AE6567,""))</f>
        <v>41.752409999999998</v>
      </c>
    </row>
    <row r="6568" spans="27:32" ht="15">
      <c r="AA6568" s="463" t="s">
        <v>20619</v>
      </c>
      <c r="AB6568" s="462" t="s">
        <v>20620</v>
      </c>
      <c r="AC6568" s="462" t="s">
        <v>20621</v>
      </c>
      <c r="AD6568" s="464">
        <v>895.00838999999996</v>
      </c>
      <c r="AE6568" s="465">
        <v>43.053130000000003</v>
      </c>
      <c r="AF6568" s="86">
        <f>IF(verze!$E$1="CZK",AD6568,IF(verze!$E$1="SK",AE6568,""))</f>
        <v>43.053130000000003</v>
      </c>
    </row>
    <row r="6569" spans="27:32" ht="15">
      <c r="AA6569" s="463" t="s">
        <v>20622</v>
      </c>
      <c r="AB6569" s="462" t="s">
        <v>20623</v>
      </c>
      <c r="AC6569" s="462" t="s">
        <v>20624</v>
      </c>
      <c r="AD6569" s="464">
        <v>1154.06167</v>
      </c>
      <c r="AE6569" s="465">
        <v>55.514530000000001</v>
      </c>
      <c r="AF6569" s="86">
        <f>IF(verze!$E$1="CZK",AD6569,IF(verze!$E$1="SK",AE6569,""))</f>
        <v>55.514530000000001</v>
      </c>
    </row>
    <row r="6570" spans="27:32" ht="15">
      <c r="AA6570" s="463" t="s">
        <v>20625</v>
      </c>
      <c r="AB6570" s="462" t="s">
        <v>20626</v>
      </c>
      <c r="AC6570" s="462" t="s">
        <v>20627</v>
      </c>
      <c r="AD6570" s="464">
        <v>1172.4555</v>
      </c>
      <c r="AE6570" s="465">
        <v>56.399320000000003</v>
      </c>
      <c r="AF6570" s="86">
        <f>IF(verze!$E$1="CZK",AD6570,IF(verze!$E$1="SK",AE6570,""))</f>
        <v>56.399320000000003</v>
      </c>
    </row>
    <row r="6571" spans="27:32" ht="15">
      <c r="AA6571" s="463" t="s">
        <v>20628</v>
      </c>
      <c r="AB6571" s="462" t="s">
        <v>20629</v>
      </c>
      <c r="AC6571" s="462" t="s">
        <v>20630</v>
      </c>
      <c r="AD6571" s="464">
        <v>1159.16713</v>
      </c>
      <c r="AE6571" s="465">
        <v>54.555819999999997</v>
      </c>
      <c r="AF6571" s="86">
        <f>IF(verze!$E$1="CZK",AD6571,IF(verze!$E$1="SK",AE6571,""))</f>
        <v>54.555819999999997</v>
      </c>
    </row>
    <row r="6572" spans="27:32" ht="15">
      <c r="AA6572" s="463" t="s">
        <v>20631</v>
      </c>
      <c r="AB6572" s="462" t="s">
        <v>20632</v>
      </c>
      <c r="AC6572" s="462" t="s">
        <v>20633</v>
      </c>
      <c r="AD6572" s="464">
        <v>1177.06744</v>
      </c>
      <c r="AE6572" s="465">
        <v>55.398299999999999</v>
      </c>
      <c r="AF6572" s="86">
        <f>IF(verze!$E$1="CZK",AD6572,IF(verze!$E$1="SK",AE6572,""))</f>
        <v>55.398299999999999</v>
      </c>
    </row>
    <row r="6573" spans="27:32" ht="15">
      <c r="AA6573" s="463" t="s">
        <v>20634</v>
      </c>
      <c r="AB6573" s="462" t="s">
        <v>20635</v>
      </c>
      <c r="AC6573" s="462" t="s">
        <v>20636</v>
      </c>
      <c r="AD6573" s="464">
        <v>1227.6127799999999</v>
      </c>
      <c r="AE6573" s="465">
        <v>59.052610000000001</v>
      </c>
      <c r="AF6573" s="86">
        <f>IF(verze!$E$1="CZK",AD6573,IF(verze!$E$1="SK",AE6573,""))</f>
        <v>59.052610000000001</v>
      </c>
    </row>
    <row r="6574" spans="27:32" ht="15">
      <c r="AA6574" s="463" t="s">
        <v>20637</v>
      </c>
      <c r="AB6574" s="462" t="s">
        <v>20638</v>
      </c>
      <c r="AC6574" s="462" t="s">
        <v>20639</v>
      </c>
      <c r="AD6574" s="464">
        <v>1255.0867800000001</v>
      </c>
      <c r="AE6574" s="465">
        <v>60.374200000000002</v>
      </c>
      <c r="AF6574" s="86">
        <f>IF(verze!$E$1="CZK",AD6574,IF(verze!$E$1="SK",AE6574,""))</f>
        <v>60.374200000000002</v>
      </c>
    </row>
    <row r="6575" spans="27:32" ht="15">
      <c r="AA6575" s="463" t="s">
        <v>20640</v>
      </c>
      <c r="AB6575" s="462" t="s">
        <v>20641</v>
      </c>
      <c r="AC6575" s="462" t="s">
        <v>20642</v>
      </c>
      <c r="AD6575" s="464">
        <v>1293.44064</v>
      </c>
      <c r="AE6575" s="465">
        <v>62.219180000000001</v>
      </c>
      <c r="AF6575" s="86">
        <f>IF(verze!$E$1="CZK",AD6575,IF(verze!$E$1="SK",AE6575,""))</f>
        <v>62.219180000000001</v>
      </c>
    </row>
    <row r="6576" spans="27:32" ht="15">
      <c r="AA6576" s="463" t="s">
        <v>20643</v>
      </c>
      <c r="AB6576" s="462" t="s">
        <v>20644</v>
      </c>
      <c r="AC6576" s="462" t="s">
        <v>20645</v>
      </c>
      <c r="AD6576" s="464">
        <v>565.42399</v>
      </c>
      <c r="AE6576" s="465">
        <v>27.198930000000001</v>
      </c>
      <c r="AF6576" s="86">
        <f>IF(verze!$E$1="CZK",AD6576,IF(verze!$E$1="SK",AE6576,""))</f>
        <v>27.198930000000001</v>
      </c>
    </row>
    <row r="6577" spans="27:32" ht="15">
      <c r="AA6577" s="463" t="s">
        <v>20646</v>
      </c>
      <c r="AB6577" s="462" t="s">
        <v>20647</v>
      </c>
      <c r="AC6577" s="462" t="s">
        <v>20648</v>
      </c>
      <c r="AD6577" s="464">
        <v>557.79456000000005</v>
      </c>
      <c r="AE6577" s="465">
        <v>26.252420000000001</v>
      </c>
      <c r="AF6577" s="86">
        <f>IF(verze!$E$1="CZK",AD6577,IF(verze!$E$1="SK",AE6577,""))</f>
        <v>26.252420000000001</v>
      </c>
    </row>
    <row r="6578" spans="27:32" ht="15">
      <c r="AA6578" s="463" t="s">
        <v>20649</v>
      </c>
      <c r="AB6578" s="462" t="s">
        <v>20650</v>
      </c>
      <c r="AC6578" s="462" t="s">
        <v>20651</v>
      </c>
      <c r="AD6578" s="464">
        <v>565.18799999999999</v>
      </c>
      <c r="AE6578" s="465">
        <v>26.6004</v>
      </c>
      <c r="AF6578" s="86">
        <f>IF(verze!$E$1="CZK",AD6578,IF(verze!$E$1="SK",AE6578,""))</f>
        <v>26.6004</v>
      </c>
    </row>
    <row r="6579" spans="27:32" ht="15">
      <c r="AA6579" s="463" t="s">
        <v>20652</v>
      </c>
      <c r="AB6579" s="462" t="s">
        <v>20653</v>
      </c>
      <c r="AC6579" s="462" t="s">
        <v>20654</v>
      </c>
      <c r="AD6579" s="464">
        <v>588.23680999999999</v>
      </c>
      <c r="AE6579" s="465">
        <v>28.296320000000001</v>
      </c>
      <c r="AF6579" s="86">
        <f>IF(verze!$E$1="CZK",AD6579,IF(verze!$E$1="SK",AE6579,""))</f>
        <v>28.296320000000001</v>
      </c>
    </row>
    <row r="6580" spans="27:32" ht="15">
      <c r="AA6580" s="463" t="s">
        <v>20655</v>
      </c>
      <c r="AB6580" s="462" t="s">
        <v>20656</v>
      </c>
      <c r="AC6580" s="462" t="s">
        <v>20657</v>
      </c>
      <c r="AD6580" s="464">
        <v>545.66444999999999</v>
      </c>
      <c r="AE6580" s="465">
        <v>26.248429999999999</v>
      </c>
      <c r="AF6580" s="86">
        <f>IF(verze!$E$1="CZK",AD6580,IF(verze!$E$1="SK",AE6580,""))</f>
        <v>26.248429999999999</v>
      </c>
    </row>
    <row r="6581" spans="27:32" ht="15">
      <c r="AA6581" s="463" t="s">
        <v>20658</v>
      </c>
      <c r="AB6581" s="462" t="s">
        <v>20659</v>
      </c>
      <c r="AC6581" s="462" t="s">
        <v>20660</v>
      </c>
      <c r="AD6581" s="464">
        <v>550.21777999999995</v>
      </c>
      <c r="AE6581" s="465">
        <v>26.467459999999999</v>
      </c>
      <c r="AF6581" s="86">
        <f>IF(verze!$E$1="CZK",AD6581,IF(verze!$E$1="SK",AE6581,""))</f>
        <v>26.467459999999999</v>
      </c>
    </row>
    <row r="6582" spans="27:32" ht="15">
      <c r="AA6582" s="463" t="s">
        <v>20661</v>
      </c>
      <c r="AB6582" s="462" t="s">
        <v>20662</v>
      </c>
      <c r="AC6582" s="462" t="s">
        <v>20663</v>
      </c>
      <c r="AD6582" s="464">
        <v>557.82863999999995</v>
      </c>
      <c r="AE6582" s="465">
        <v>26.833570000000002</v>
      </c>
      <c r="AF6582" s="86">
        <f>IF(verze!$E$1="CZK",AD6582,IF(verze!$E$1="SK",AE6582,""))</f>
        <v>26.833570000000002</v>
      </c>
    </row>
    <row r="6583" spans="27:32" ht="15">
      <c r="AA6583" s="463" t="s">
        <v>20664</v>
      </c>
      <c r="AB6583" s="462" t="s">
        <v>20665</v>
      </c>
      <c r="AC6583" s="462" t="s">
        <v>20666</v>
      </c>
      <c r="AD6583" s="464">
        <v>565.42625999999996</v>
      </c>
      <c r="AE6583" s="465">
        <v>27.19903</v>
      </c>
      <c r="AF6583" s="86">
        <f>IF(verze!$E$1="CZK",AD6583,IF(verze!$E$1="SK",AE6583,""))</f>
        <v>27.19903</v>
      </c>
    </row>
    <row r="6584" spans="27:32" ht="15">
      <c r="AA6584" s="463" t="s">
        <v>20667</v>
      </c>
      <c r="AB6584" s="462" t="s">
        <v>20668</v>
      </c>
      <c r="AC6584" s="462" t="s">
        <v>20669</v>
      </c>
      <c r="AD6584" s="464">
        <v>557.79244000000006</v>
      </c>
      <c r="AE6584" s="465">
        <v>26.252320000000001</v>
      </c>
      <c r="AF6584" s="86">
        <f>IF(verze!$E$1="CZK",AD6584,IF(verze!$E$1="SK",AE6584,""))</f>
        <v>26.252320000000001</v>
      </c>
    </row>
    <row r="6585" spans="27:32" ht="15">
      <c r="AA6585" s="463" t="s">
        <v>20670</v>
      </c>
      <c r="AB6585" s="462" t="s">
        <v>20671</v>
      </c>
      <c r="AC6585" s="462" t="s">
        <v>20672</v>
      </c>
      <c r="AD6585" s="464">
        <v>565.19020999999998</v>
      </c>
      <c r="AE6585" s="465">
        <v>26.6005</v>
      </c>
      <c r="AF6585" s="86">
        <f>IF(verze!$E$1="CZK",AD6585,IF(verze!$E$1="SK",AE6585,""))</f>
        <v>26.6005</v>
      </c>
    </row>
    <row r="6586" spans="27:32" ht="15">
      <c r="AA6586" s="463" t="s">
        <v>20673</v>
      </c>
      <c r="AB6586" s="462" t="s">
        <v>20674</v>
      </c>
      <c r="AC6586" s="462" t="s">
        <v>20675</v>
      </c>
      <c r="AD6586" s="464">
        <v>588.23680999999999</v>
      </c>
      <c r="AE6586" s="465">
        <v>28.296320000000001</v>
      </c>
      <c r="AF6586" s="86">
        <f>IF(verze!$E$1="CZK",AD6586,IF(verze!$E$1="SK",AE6586,""))</f>
        <v>28.296320000000001</v>
      </c>
    </row>
    <row r="6587" spans="27:32" ht="15">
      <c r="AA6587" s="463" t="s">
        <v>20676</v>
      </c>
      <c r="AB6587" s="462" t="s">
        <v>20677</v>
      </c>
      <c r="AC6587" s="462" t="s">
        <v>20678</v>
      </c>
      <c r="AD6587" s="464">
        <v>600.62784999999997</v>
      </c>
      <c r="AE6587" s="465">
        <v>28.89237</v>
      </c>
      <c r="AF6587" s="86">
        <f>IF(verze!$E$1="CZK",AD6587,IF(verze!$E$1="SK",AE6587,""))</f>
        <v>28.89237</v>
      </c>
    </row>
    <row r="6588" spans="27:32" ht="15">
      <c r="AA6588" s="463" t="s">
        <v>20679</v>
      </c>
      <c r="AB6588" s="462" t="s">
        <v>20680</v>
      </c>
      <c r="AC6588" s="462" t="s">
        <v>20681</v>
      </c>
      <c r="AD6588" s="464">
        <v>618.65596000000005</v>
      </c>
      <c r="AE6588" s="465">
        <v>29.75958</v>
      </c>
      <c r="AF6588" s="86">
        <f>IF(verze!$E$1="CZK",AD6588,IF(verze!$E$1="SK",AE6588,""))</f>
        <v>29.75958</v>
      </c>
    </row>
    <row r="6589" spans="27:32" ht="15">
      <c r="AA6589" s="463" t="s">
        <v>20682</v>
      </c>
      <c r="AB6589" s="462" t="s">
        <v>20683</v>
      </c>
      <c r="AC6589" s="462" t="s">
        <v>20684</v>
      </c>
      <c r="AD6589" s="464">
        <v>645.97351000000003</v>
      </c>
      <c r="AE6589" s="465">
        <v>31.07366</v>
      </c>
      <c r="AF6589" s="86">
        <f>IF(verze!$E$1="CZK",AD6589,IF(verze!$E$1="SK",AE6589,""))</f>
        <v>31.07366</v>
      </c>
    </row>
    <row r="6590" spans="27:32" ht="15">
      <c r="AA6590" s="463" t="s">
        <v>20685</v>
      </c>
      <c r="AB6590" s="462" t="s">
        <v>20686</v>
      </c>
      <c r="AC6590" s="462" t="s">
        <v>20687</v>
      </c>
      <c r="AD6590" s="464">
        <v>650.52683000000002</v>
      </c>
      <c r="AE6590" s="465">
        <v>31.29269</v>
      </c>
      <c r="AF6590" s="86">
        <f>IF(verze!$E$1="CZK",AD6590,IF(verze!$E$1="SK",AE6590,""))</f>
        <v>31.29269</v>
      </c>
    </row>
    <row r="6591" spans="27:32" ht="15">
      <c r="AA6591" s="463" t="s">
        <v>20688</v>
      </c>
      <c r="AB6591" s="462" t="s">
        <v>20689</v>
      </c>
      <c r="AC6591" s="462" t="s">
        <v>20690</v>
      </c>
      <c r="AD6591" s="464">
        <v>659.97708</v>
      </c>
      <c r="AE6591" s="465">
        <v>31.74728</v>
      </c>
      <c r="AF6591" s="86">
        <f>IF(verze!$E$1="CZK",AD6591,IF(verze!$E$1="SK",AE6591,""))</f>
        <v>31.74728</v>
      </c>
    </row>
    <row r="6592" spans="27:32" ht="15">
      <c r="AA6592" s="463" t="s">
        <v>20691</v>
      </c>
      <c r="AB6592" s="462" t="s">
        <v>20692</v>
      </c>
      <c r="AC6592" s="462" t="s">
        <v>20693</v>
      </c>
      <c r="AD6592" s="464">
        <v>669.42296999999996</v>
      </c>
      <c r="AE6592" s="465">
        <v>32.201650000000001</v>
      </c>
      <c r="AF6592" s="86">
        <f>IF(verze!$E$1="CZK",AD6592,IF(verze!$E$1="SK",AE6592,""))</f>
        <v>32.201650000000001</v>
      </c>
    </row>
    <row r="6593" spans="27:32" ht="15">
      <c r="AA6593" s="463" t="s">
        <v>20694</v>
      </c>
      <c r="AB6593" s="462" t="s">
        <v>20695</v>
      </c>
      <c r="AC6593" s="462" t="s">
        <v>20696</v>
      </c>
      <c r="AD6593" s="464">
        <v>660.82442000000003</v>
      </c>
      <c r="AE6593" s="465">
        <v>31.101500000000001</v>
      </c>
      <c r="AF6593" s="86">
        <f>IF(verze!$E$1="CZK",AD6593,IF(verze!$E$1="SK",AE6593,""))</f>
        <v>31.101500000000001</v>
      </c>
    </row>
    <row r="6594" spans="27:32" ht="15">
      <c r="AA6594" s="463" t="s">
        <v>20697</v>
      </c>
      <c r="AB6594" s="462" t="s">
        <v>20698</v>
      </c>
      <c r="AC6594" s="462" t="s">
        <v>20699</v>
      </c>
      <c r="AD6594" s="464">
        <v>670.01910999999996</v>
      </c>
      <c r="AE6594" s="465">
        <v>31.53424</v>
      </c>
      <c r="AF6594" s="86">
        <f>IF(verze!$E$1="CZK",AD6594,IF(verze!$E$1="SK",AE6594,""))</f>
        <v>31.53424</v>
      </c>
    </row>
    <row r="6595" spans="27:32" ht="15">
      <c r="AA6595" s="463" t="s">
        <v>20700</v>
      </c>
      <c r="AB6595" s="462" t="s">
        <v>20701</v>
      </c>
      <c r="AC6595" s="462" t="s">
        <v>20702</v>
      </c>
      <c r="AD6595" s="464">
        <v>697.76926000000003</v>
      </c>
      <c r="AE6595" s="465">
        <v>33.565219999999997</v>
      </c>
      <c r="AF6595" s="86">
        <f>IF(verze!$E$1="CZK",AD6595,IF(verze!$E$1="SK",AE6595,""))</f>
        <v>33.565219999999997</v>
      </c>
    </row>
    <row r="6596" spans="27:32" ht="15">
      <c r="AA6596" s="463" t="s">
        <v>20703</v>
      </c>
      <c r="AB6596" s="462" t="s">
        <v>20704</v>
      </c>
      <c r="AC6596" s="462" t="s">
        <v>20705</v>
      </c>
      <c r="AD6596" s="464">
        <v>712.95127000000002</v>
      </c>
      <c r="AE6596" s="465">
        <v>34.295520000000003</v>
      </c>
      <c r="AF6596" s="86">
        <f>IF(verze!$E$1="CZK",AD6596,IF(verze!$E$1="SK",AE6596,""))</f>
        <v>34.295520000000003</v>
      </c>
    </row>
    <row r="6597" spans="27:32" ht="15">
      <c r="AA6597" s="463" t="s">
        <v>20706</v>
      </c>
      <c r="AB6597" s="462" t="s">
        <v>20707</v>
      </c>
      <c r="AC6597" s="462" t="s">
        <v>20708</v>
      </c>
      <c r="AD6597" s="464">
        <v>730.98166000000003</v>
      </c>
      <c r="AE6597" s="465">
        <v>35.162860000000002</v>
      </c>
      <c r="AF6597" s="86">
        <f>IF(verze!$E$1="CZK",AD6597,IF(verze!$E$1="SK",AE6597,""))</f>
        <v>35.162860000000002</v>
      </c>
    </row>
    <row r="6598" spans="27:32" ht="15">
      <c r="AA6598" s="463" t="s">
        <v>20709</v>
      </c>
      <c r="AB6598" s="462" t="s">
        <v>20710</v>
      </c>
      <c r="AC6598" s="462" t="s">
        <v>20711</v>
      </c>
      <c r="AD6598" s="464">
        <v>781.77286000000004</v>
      </c>
      <c r="AE6598" s="465">
        <v>37.606110000000001</v>
      </c>
      <c r="AF6598" s="86">
        <f>IF(verze!$E$1="CZK",AD6598,IF(verze!$E$1="SK",AE6598,""))</f>
        <v>37.606110000000001</v>
      </c>
    </row>
    <row r="6599" spans="27:32" ht="15">
      <c r="AA6599" s="463" t="s">
        <v>20712</v>
      </c>
      <c r="AB6599" s="462" t="s">
        <v>20713</v>
      </c>
      <c r="AC6599" s="462" t="s">
        <v>20714</v>
      </c>
      <c r="AD6599" s="464">
        <v>788.96299999999997</v>
      </c>
      <c r="AE6599" s="465">
        <v>37.95196</v>
      </c>
      <c r="AF6599" s="86">
        <f>IF(verze!$E$1="CZK",AD6599,IF(verze!$E$1="SK",AE6599,""))</f>
        <v>37.95196</v>
      </c>
    </row>
    <row r="6600" spans="27:32" ht="15">
      <c r="AA6600" s="463" t="s">
        <v>20715</v>
      </c>
      <c r="AB6600" s="462" t="s">
        <v>20716</v>
      </c>
      <c r="AC6600" s="462" t="s">
        <v>20717</v>
      </c>
      <c r="AD6600" s="464">
        <v>800.95977000000005</v>
      </c>
      <c r="AE6600" s="465">
        <v>38.529060000000001</v>
      </c>
      <c r="AF6600" s="86">
        <f>IF(verze!$E$1="CZK",AD6600,IF(verze!$E$1="SK",AE6600,""))</f>
        <v>38.529060000000001</v>
      </c>
    </row>
    <row r="6601" spans="27:32" ht="15">
      <c r="AA6601" s="463" t="s">
        <v>20718</v>
      </c>
      <c r="AB6601" s="462" t="s">
        <v>20719</v>
      </c>
      <c r="AC6601" s="462" t="s">
        <v>20720</v>
      </c>
      <c r="AD6601" s="464">
        <v>812.95644000000004</v>
      </c>
      <c r="AE6601" s="465">
        <v>39.106140000000003</v>
      </c>
      <c r="AF6601" s="86">
        <f>IF(verze!$E$1="CZK",AD6601,IF(verze!$E$1="SK",AE6601,""))</f>
        <v>39.106140000000003</v>
      </c>
    </row>
    <row r="6602" spans="27:32" ht="15">
      <c r="AA6602" s="463" t="s">
        <v>20721</v>
      </c>
      <c r="AB6602" s="462" t="s">
        <v>20722</v>
      </c>
      <c r="AC6602" s="462" t="s">
        <v>20723</v>
      </c>
      <c r="AD6602" s="464">
        <v>803.01720999999998</v>
      </c>
      <c r="AE6602" s="465">
        <v>37.79374</v>
      </c>
      <c r="AF6602" s="86">
        <f>IF(verze!$E$1="CZK",AD6602,IF(verze!$E$1="SK",AE6602,""))</f>
        <v>37.79374</v>
      </c>
    </row>
    <row r="6603" spans="27:32" ht="15">
      <c r="AA6603" s="463" t="s">
        <v>20724</v>
      </c>
      <c r="AB6603" s="462" t="s">
        <v>20725</v>
      </c>
      <c r="AC6603" s="462" t="s">
        <v>20726</v>
      </c>
      <c r="AD6603" s="464">
        <v>814.69060000000002</v>
      </c>
      <c r="AE6603" s="465">
        <v>38.343159999999997</v>
      </c>
      <c r="AF6603" s="86">
        <f>IF(verze!$E$1="CZK",AD6603,IF(verze!$E$1="SK",AE6603,""))</f>
        <v>38.343159999999997</v>
      </c>
    </row>
    <row r="6604" spans="27:32" ht="15">
      <c r="AA6604" s="463" t="s">
        <v>20727</v>
      </c>
      <c r="AB6604" s="462" t="s">
        <v>20728</v>
      </c>
      <c r="AC6604" s="462" t="s">
        <v>20729</v>
      </c>
      <c r="AD6604" s="464">
        <v>848.94223999999997</v>
      </c>
      <c r="AE6604" s="465">
        <v>40.83719</v>
      </c>
      <c r="AF6604" s="86">
        <f>IF(verze!$E$1="CZK",AD6604,IF(verze!$E$1="SK",AE6604,""))</f>
        <v>40.83719</v>
      </c>
    </row>
    <row r="6605" spans="27:32" ht="15">
      <c r="AA6605" s="463" t="s">
        <v>20730</v>
      </c>
      <c r="AB6605" s="462" t="s">
        <v>20731</v>
      </c>
      <c r="AC6605" s="462" t="s">
        <v>20732</v>
      </c>
      <c r="AD6605" s="464">
        <v>867.96834999999999</v>
      </c>
      <c r="AE6605" s="465">
        <v>41.752409999999998</v>
      </c>
      <c r="AF6605" s="86">
        <f>IF(verze!$E$1="CZK",AD6605,IF(verze!$E$1="SK",AE6605,""))</f>
        <v>41.752409999999998</v>
      </c>
    </row>
    <row r="6606" spans="27:32" ht="15">
      <c r="AA6606" s="463" t="s">
        <v>20733</v>
      </c>
      <c r="AB6606" s="462" t="s">
        <v>20734</v>
      </c>
      <c r="AC6606" s="462" t="s">
        <v>20735</v>
      </c>
      <c r="AD6606" s="464">
        <v>895.00838999999996</v>
      </c>
      <c r="AE6606" s="465">
        <v>43.053130000000003</v>
      </c>
      <c r="AF6606" s="86">
        <f>IF(verze!$E$1="CZK",AD6606,IF(verze!$E$1="SK",AE6606,""))</f>
        <v>43.053130000000003</v>
      </c>
    </row>
    <row r="6607" spans="27:32" ht="15">
      <c r="AA6607" s="463" t="s">
        <v>20736</v>
      </c>
      <c r="AB6607" s="462" t="s">
        <v>20737</v>
      </c>
      <c r="AC6607" s="462" t="s">
        <v>20738</v>
      </c>
      <c r="AD6607" s="464">
        <v>1154.06167</v>
      </c>
      <c r="AE6607" s="465">
        <v>55.514530000000001</v>
      </c>
      <c r="AF6607" s="86">
        <f>IF(verze!$E$1="CZK",AD6607,IF(verze!$E$1="SK",AE6607,""))</f>
        <v>55.514530000000001</v>
      </c>
    </row>
    <row r="6608" spans="27:32" ht="15">
      <c r="AA6608" s="463" t="s">
        <v>20739</v>
      </c>
      <c r="AB6608" s="462" t="s">
        <v>20740</v>
      </c>
      <c r="AC6608" s="462" t="s">
        <v>20741</v>
      </c>
      <c r="AD6608" s="464">
        <v>1172.4555</v>
      </c>
      <c r="AE6608" s="465">
        <v>56.399320000000003</v>
      </c>
      <c r="AF6608" s="86">
        <f>IF(verze!$E$1="CZK",AD6608,IF(verze!$E$1="SK",AE6608,""))</f>
        <v>56.399320000000003</v>
      </c>
    </row>
    <row r="6609" spans="27:32" ht="15">
      <c r="AA6609" s="463" t="s">
        <v>20742</v>
      </c>
      <c r="AB6609" s="462" t="s">
        <v>20743</v>
      </c>
      <c r="AC6609" s="462" t="s">
        <v>20744</v>
      </c>
      <c r="AD6609" s="464">
        <v>1159.16713</v>
      </c>
      <c r="AE6609" s="465">
        <v>54.555819999999997</v>
      </c>
      <c r="AF6609" s="86">
        <f>IF(verze!$E$1="CZK",AD6609,IF(verze!$E$1="SK",AE6609,""))</f>
        <v>54.555819999999997</v>
      </c>
    </row>
    <row r="6610" spans="27:32" ht="15">
      <c r="AA6610" s="463" t="s">
        <v>20745</v>
      </c>
      <c r="AB6610" s="462" t="s">
        <v>20746</v>
      </c>
      <c r="AC6610" s="462" t="s">
        <v>20747</v>
      </c>
      <c r="AD6610" s="464">
        <v>1177.06744</v>
      </c>
      <c r="AE6610" s="465">
        <v>55.398299999999999</v>
      </c>
      <c r="AF6610" s="86">
        <f>IF(verze!$E$1="CZK",AD6610,IF(verze!$E$1="SK",AE6610,""))</f>
        <v>55.398299999999999</v>
      </c>
    </row>
    <row r="6611" spans="27:32" ht="15">
      <c r="AA6611" s="463" t="s">
        <v>20748</v>
      </c>
      <c r="AB6611" s="462" t="s">
        <v>20749</v>
      </c>
      <c r="AC6611" s="462" t="s">
        <v>20750</v>
      </c>
      <c r="AD6611" s="464">
        <v>1227.6127799999999</v>
      </c>
      <c r="AE6611" s="465">
        <v>59.052610000000001</v>
      </c>
      <c r="AF6611" s="86">
        <f>IF(verze!$E$1="CZK",AD6611,IF(verze!$E$1="SK",AE6611,""))</f>
        <v>59.052610000000001</v>
      </c>
    </row>
    <row r="6612" spans="27:32" ht="15">
      <c r="AA6612" s="463" t="s">
        <v>20751</v>
      </c>
      <c r="AB6612" s="462" t="s">
        <v>20752</v>
      </c>
      <c r="AC6612" s="462" t="s">
        <v>20753</v>
      </c>
      <c r="AD6612" s="464">
        <v>1255.0867800000001</v>
      </c>
      <c r="AE6612" s="465">
        <v>60.374200000000002</v>
      </c>
      <c r="AF6612" s="86">
        <f>IF(verze!$E$1="CZK",AD6612,IF(verze!$E$1="SK",AE6612,""))</f>
        <v>60.374200000000002</v>
      </c>
    </row>
    <row r="6613" spans="27:32" ht="15">
      <c r="AA6613" s="463" t="s">
        <v>20754</v>
      </c>
      <c r="AB6613" s="462" t="s">
        <v>20755</v>
      </c>
      <c r="AC6613" s="462" t="s">
        <v>20756</v>
      </c>
      <c r="AD6613" s="464">
        <v>1293.44064</v>
      </c>
      <c r="AE6613" s="465">
        <v>62.219180000000001</v>
      </c>
      <c r="AF6613" s="86">
        <f>IF(verze!$E$1="CZK",AD6613,IF(verze!$E$1="SK",AE6613,""))</f>
        <v>62.219180000000001</v>
      </c>
    </row>
    <row r="6614" spans="27:32" ht="15">
      <c r="AA6614" s="463" t="s">
        <v>1320</v>
      </c>
      <c r="AB6614" s="462" t="s">
        <v>20757</v>
      </c>
      <c r="AC6614" s="462" t="s">
        <v>20758</v>
      </c>
      <c r="AD6614" s="464">
        <v>118.36809</v>
      </c>
      <c r="AE6614" s="465">
        <v>5.6939200000000003</v>
      </c>
      <c r="AF6614" s="86">
        <f>IF(verze!$E$1="CZK",AD6614,IF(verze!$E$1="SK",AE6614,""))</f>
        <v>5.6939200000000003</v>
      </c>
    </row>
    <row r="6615" spans="27:32" ht="15">
      <c r="AA6615" s="463" t="s">
        <v>1320</v>
      </c>
      <c r="AB6615" s="462" t="s">
        <v>20759</v>
      </c>
      <c r="AC6615" s="462" t="s">
        <v>20760</v>
      </c>
      <c r="AD6615" s="464">
        <v>118.36809</v>
      </c>
      <c r="AE6615" s="465">
        <v>5.6939200000000003</v>
      </c>
      <c r="AF6615" s="86">
        <f>IF(verze!$E$1="CZK",AD6615,IF(verze!$E$1="SK",AE6615,""))</f>
        <v>5.6939200000000003</v>
      </c>
    </row>
    <row r="6616" spans="27:32" ht="15">
      <c r="AA6616" s="463" t="s">
        <v>20761</v>
      </c>
      <c r="AB6616" s="462" t="s">
        <v>20762</v>
      </c>
      <c r="AC6616" s="462" t="s">
        <v>20763</v>
      </c>
      <c r="AD6616" s="464">
        <v>1252.1635699999999</v>
      </c>
      <c r="AE6616" s="465">
        <v>57.365319999999997</v>
      </c>
      <c r="AF6616" s="86">
        <f>IF(verze!$E$1="CZK",AD6616,IF(verze!$E$1="SK",AE6616,""))</f>
        <v>57.365319999999997</v>
      </c>
    </row>
    <row r="6617" spans="27:32" ht="15">
      <c r="AA6617" s="463" t="s">
        <v>20764</v>
      </c>
      <c r="AB6617" s="462" t="s">
        <v>20765</v>
      </c>
      <c r="AC6617" s="462" t="s">
        <v>20766</v>
      </c>
      <c r="AD6617" s="464">
        <v>5.0154300000000003</v>
      </c>
      <c r="AE6617" s="465">
        <v>0.22978000000000001</v>
      </c>
      <c r="AF6617" s="86">
        <f>IF(verze!$E$1="CZK",AD6617,IF(verze!$E$1="SK",AE6617,""))</f>
        <v>0.22978000000000001</v>
      </c>
    </row>
    <row r="6618" spans="27:32" ht="15">
      <c r="AA6618" s="463" t="s">
        <v>20767</v>
      </c>
      <c r="AB6618" s="462" t="s">
        <v>20768</v>
      </c>
      <c r="AC6618" s="462" t="s">
        <v>20769</v>
      </c>
      <c r="AD6618" s="464">
        <v>6.2699699999999998</v>
      </c>
      <c r="AE6618" s="465">
        <v>0.28724</v>
      </c>
      <c r="AF6618" s="86">
        <f>IF(verze!$E$1="CZK",AD6618,IF(verze!$E$1="SK",AE6618,""))</f>
        <v>0.28724</v>
      </c>
    </row>
    <row r="6619" spans="27:32" ht="15">
      <c r="AA6619" s="463" t="s">
        <v>20770</v>
      </c>
      <c r="AB6619" s="462" t="s">
        <v>20771</v>
      </c>
      <c r="AC6619" s="462" t="s">
        <v>20772</v>
      </c>
      <c r="AD6619" s="464">
        <v>2959.24431</v>
      </c>
      <c r="AE6619" s="465">
        <v>135.57174000000001</v>
      </c>
      <c r="AF6619" s="86">
        <f>IF(verze!$E$1="CZK",AD6619,IF(verze!$E$1="SK",AE6619,""))</f>
        <v>135.57174000000001</v>
      </c>
    </row>
    <row r="6620" spans="27:32" ht="15">
      <c r="AA6620" s="463" t="s">
        <v>20773</v>
      </c>
      <c r="AB6620" s="462" t="s">
        <v>20774</v>
      </c>
      <c r="AC6620" s="462" t="s">
        <v>20775</v>
      </c>
      <c r="AD6620" s="464">
        <v>2959.24431</v>
      </c>
      <c r="AE6620" s="465">
        <v>135.57174000000001</v>
      </c>
      <c r="AF6620" s="86">
        <f>IF(verze!$E$1="CZK",AD6620,IF(verze!$E$1="SK",AE6620,""))</f>
        <v>135.57174000000001</v>
      </c>
    </row>
    <row r="6621" spans="27:32" ht="15">
      <c r="AA6621" s="463" t="s">
        <v>20776</v>
      </c>
      <c r="AB6621" s="462" t="s">
        <v>20777</v>
      </c>
      <c r="AC6621" s="462" t="s">
        <v>20778</v>
      </c>
      <c r="AD6621" s="464">
        <v>2047.27979</v>
      </c>
      <c r="AE6621" s="465">
        <v>93.791939999999997</v>
      </c>
      <c r="AF6621" s="86">
        <f>IF(verze!$E$1="CZK",AD6621,IF(verze!$E$1="SK",AE6621,""))</f>
        <v>93.791939999999997</v>
      </c>
    </row>
    <row r="6622" spans="27:32" ht="15">
      <c r="AA6622" s="463" t="s">
        <v>20779</v>
      </c>
      <c r="AB6622" s="462" t="s">
        <v>20780</v>
      </c>
      <c r="AC6622" s="462" t="s">
        <v>20781</v>
      </c>
      <c r="AD6622" s="464">
        <v>2047.27979</v>
      </c>
      <c r="AE6622" s="465">
        <v>93.791939999999997</v>
      </c>
      <c r="AF6622" s="86">
        <f>IF(verze!$E$1="CZK",AD6622,IF(verze!$E$1="SK",AE6622,""))</f>
        <v>93.791939999999997</v>
      </c>
    </row>
    <row r="6623" spans="27:32" ht="15">
      <c r="AA6623" s="463" t="s">
        <v>20782</v>
      </c>
      <c r="AB6623" s="462" t="s">
        <v>20783</v>
      </c>
      <c r="AC6623" s="462" t="s">
        <v>20784</v>
      </c>
      <c r="AD6623" s="464">
        <v>517.90578000000005</v>
      </c>
      <c r="AE6623" s="465">
        <v>23.726780000000002</v>
      </c>
      <c r="AF6623" s="86">
        <f>IF(verze!$E$1="CZK",AD6623,IF(verze!$E$1="SK",AE6623,""))</f>
        <v>23.726780000000002</v>
      </c>
    </row>
    <row r="6624" spans="27:32" ht="15">
      <c r="AA6624" s="463" t="s">
        <v>20785</v>
      </c>
      <c r="AB6624" s="462" t="s">
        <v>20786</v>
      </c>
      <c r="AC6624" s="462" t="s">
        <v>20787</v>
      </c>
      <c r="AD6624" s="464">
        <v>517.90578000000005</v>
      </c>
      <c r="AE6624" s="465">
        <v>23.726780000000002</v>
      </c>
      <c r="AF6624" s="86">
        <f>IF(verze!$E$1="CZK",AD6624,IF(verze!$E$1="SK",AE6624,""))</f>
        <v>23.726780000000002</v>
      </c>
    </row>
    <row r="6625" spans="27:32" ht="15">
      <c r="AA6625" s="463" t="s">
        <v>20788</v>
      </c>
      <c r="AB6625" s="462" t="s">
        <v>20789</v>
      </c>
      <c r="AC6625" s="462" t="s">
        <v>20790</v>
      </c>
      <c r="AD6625" s="464">
        <v>662.74902999999995</v>
      </c>
      <c r="AE6625" s="465">
        <v>30.362480000000001</v>
      </c>
      <c r="AF6625" s="86">
        <f>IF(verze!$E$1="CZK",AD6625,IF(verze!$E$1="SK",AE6625,""))</f>
        <v>30.362480000000001</v>
      </c>
    </row>
    <row r="6626" spans="27:32" ht="15">
      <c r="AA6626" s="463" t="s">
        <v>20791</v>
      </c>
      <c r="AB6626" s="462" t="s">
        <v>20792</v>
      </c>
      <c r="AC6626" s="462" t="s">
        <v>20793</v>
      </c>
      <c r="AD6626" s="464">
        <v>662.74902999999995</v>
      </c>
      <c r="AE6626" s="465">
        <v>30.362480000000001</v>
      </c>
      <c r="AF6626" s="86">
        <f>IF(verze!$E$1="CZK",AD6626,IF(verze!$E$1="SK",AE6626,""))</f>
        <v>30.362480000000001</v>
      </c>
    </row>
    <row r="6627" spans="27:32" ht="15">
      <c r="AA6627" s="463" t="s">
        <v>20794</v>
      </c>
      <c r="AB6627" s="462" t="s">
        <v>20795</v>
      </c>
      <c r="AC6627" s="462" t="s">
        <v>20796</v>
      </c>
      <c r="AD6627" s="464">
        <v>2430.07962</v>
      </c>
      <c r="AE6627" s="465">
        <v>111.32916</v>
      </c>
      <c r="AF6627" s="86">
        <f>IF(verze!$E$1="CZK",AD6627,IF(verze!$E$1="SK",AE6627,""))</f>
        <v>111.32916</v>
      </c>
    </row>
    <row r="6628" spans="27:32" ht="15">
      <c r="AA6628" s="463" t="s">
        <v>20797</v>
      </c>
      <c r="AB6628" s="462" t="s">
        <v>20798</v>
      </c>
      <c r="AC6628" s="462" t="s">
        <v>20799</v>
      </c>
      <c r="AD6628" s="464">
        <v>2430.07962</v>
      </c>
      <c r="AE6628" s="465">
        <v>111.32916</v>
      </c>
      <c r="AF6628" s="86">
        <f>IF(verze!$E$1="CZK",AD6628,IF(verze!$E$1="SK",AE6628,""))</f>
        <v>111.32916</v>
      </c>
    </row>
    <row r="6629" spans="27:32" ht="15">
      <c r="AA6629" s="463" t="s">
        <v>20800</v>
      </c>
      <c r="AB6629" s="462" t="s">
        <v>20801</v>
      </c>
      <c r="AC6629" s="462" t="s">
        <v>20802</v>
      </c>
      <c r="AD6629" s="464">
        <v>7540.9759700000004</v>
      </c>
      <c r="AE6629" s="465">
        <v>345.47444000000002</v>
      </c>
      <c r="AF6629" s="86">
        <f>IF(verze!$E$1="CZK",AD6629,IF(verze!$E$1="SK",AE6629,""))</f>
        <v>345.47444000000002</v>
      </c>
    </row>
    <row r="6630" spans="27:32" ht="15">
      <c r="AA6630" s="463" t="s">
        <v>20803</v>
      </c>
      <c r="AB6630" s="462" t="s">
        <v>20804</v>
      </c>
      <c r="AC6630" s="462" t="s">
        <v>20805</v>
      </c>
      <c r="AD6630" s="464">
        <v>7540.9759700000004</v>
      </c>
      <c r="AE6630" s="465">
        <v>345.47444000000002</v>
      </c>
      <c r="AF6630" s="86">
        <f>IF(verze!$E$1="CZK",AD6630,IF(verze!$E$1="SK",AE6630,""))</f>
        <v>345.47444000000002</v>
      </c>
    </row>
    <row r="6631" spans="27:32" ht="15">
      <c r="AA6631" s="463" t="s">
        <v>20806</v>
      </c>
      <c r="AB6631" s="462" t="s">
        <v>20807</v>
      </c>
      <c r="AC6631" s="462" t="s">
        <v>20808</v>
      </c>
      <c r="AD6631" s="464">
        <v>2708.2029600000001</v>
      </c>
      <c r="AE6631" s="465">
        <v>124.07080000000001</v>
      </c>
      <c r="AF6631" s="86">
        <f>IF(verze!$E$1="CZK",AD6631,IF(verze!$E$1="SK",AE6631,""))</f>
        <v>124.07080000000001</v>
      </c>
    </row>
    <row r="6632" spans="27:32" ht="15">
      <c r="AA6632" s="463" t="s">
        <v>20809</v>
      </c>
      <c r="AB6632" s="462" t="s">
        <v>20810</v>
      </c>
      <c r="AC6632" s="462" t="s">
        <v>20811</v>
      </c>
      <c r="AD6632" s="464">
        <v>2708.2029600000001</v>
      </c>
      <c r="AE6632" s="465">
        <v>124.07080000000001</v>
      </c>
      <c r="AF6632" s="86">
        <f>IF(verze!$E$1="CZK",AD6632,IF(verze!$E$1="SK",AE6632,""))</f>
        <v>124.07080000000001</v>
      </c>
    </row>
    <row r="6633" spans="27:32" ht="15">
      <c r="AA6633" s="463" t="s">
        <v>20812</v>
      </c>
      <c r="AB6633" s="462" t="s">
        <v>20813</v>
      </c>
      <c r="AC6633" s="462" t="s">
        <v>20814</v>
      </c>
      <c r="AD6633" s="464">
        <v>4945.3612300000004</v>
      </c>
      <c r="AE6633" s="465">
        <v>226.56162</v>
      </c>
      <c r="AF6633" s="86">
        <f>IF(verze!$E$1="CZK",AD6633,IF(verze!$E$1="SK",AE6633,""))</f>
        <v>226.56162</v>
      </c>
    </row>
    <row r="6634" spans="27:32" ht="15">
      <c r="AA6634" s="463" t="s">
        <v>20815</v>
      </c>
      <c r="AB6634" s="462" t="s">
        <v>20816</v>
      </c>
      <c r="AC6634" s="462" t="s">
        <v>20817</v>
      </c>
      <c r="AD6634" s="464">
        <v>4945.3612300000004</v>
      </c>
      <c r="AE6634" s="465">
        <v>226.56162</v>
      </c>
      <c r="AF6634" s="86">
        <f>IF(verze!$E$1="CZK",AD6634,IF(verze!$E$1="SK",AE6634,""))</f>
        <v>226.56162</v>
      </c>
    </row>
    <row r="6635" spans="27:32" ht="15">
      <c r="AA6635" s="463" t="s">
        <v>20818</v>
      </c>
      <c r="AB6635" s="462" t="s">
        <v>20819</v>
      </c>
      <c r="AC6635" s="462" t="s">
        <v>20820</v>
      </c>
      <c r="AD6635" s="464">
        <v>1373.1826799999999</v>
      </c>
      <c r="AE6635" s="465">
        <v>62.521239999999999</v>
      </c>
      <c r="AF6635" s="86">
        <f>IF(verze!$E$1="CZK",AD6635,IF(verze!$E$1="SK",AE6635,""))</f>
        <v>62.521239999999999</v>
      </c>
    </row>
    <row r="6636" spans="27:32" ht="15">
      <c r="AA6636" s="463" t="s">
        <v>20821</v>
      </c>
      <c r="AB6636" s="462" t="s">
        <v>20822</v>
      </c>
      <c r="AC6636" s="462" t="s">
        <v>20823</v>
      </c>
      <c r="AD6636" s="464">
        <v>1428.3967600000001</v>
      </c>
      <c r="AE6636" s="465">
        <v>65.035139999999998</v>
      </c>
      <c r="AF6636" s="86">
        <f>IF(verze!$E$1="CZK",AD6636,IF(verze!$E$1="SK",AE6636,""))</f>
        <v>65.035139999999998</v>
      </c>
    </row>
    <row r="6637" spans="27:32" ht="15">
      <c r="AA6637" s="463" t="s">
        <v>20824</v>
      </c>
      <c r="AB6637" s="462" t="s">
        <v>20825</v>
      </c>
      <c r="AC6637" s="462" t="s">
        <v>20826</v>
      </c>
      <c r="AD6637" s="464">
        <v>64.14067</v>
      </c>
      <c r="AE6637" s="465">
        <v>3.0853999999999999</v>
      </c>
      <c r="AF6637" s="86">
        <f>IF(verze!$E$1="CZK",AD6637,IF(verze!$E$1="SK",AE6637,""))</f>
        <v>3.0853999999999999</v>
      </c>
    </row>
    <row r="6638" spans="27:32" ht="15">
      <c r="AA6638" s="463" t="s">
        <v>20827</v>
      </c>
      <c r="AB6638" s="462" t="s">
        <v>20828</v>
      </c>
      <c r="AC6638" s="462" t="s">
        <v>20829</v>
      </c>
      <c r="AD6638" s="464">
        <v>64.14067</v>
      </c>
      <c r="AE6638" s="465">
        <v>3.0853999999999999</v>
      </c>
      <c r="AF6638" s="86">
        <f>IF(verze!$E$1="CZK",AD6638,IF(verze!$E$1="SK",AE6638,""))</f>
        <v>3.0853999999999999</v>
      </c>
    </row>
    <row r="6639" spans="27:32" ht="15">
      <c r="AA6639" s="463" t="s">
        <v>20830</v>
      </c>
      <c r="AB6639" s="462" t="s">
        <v>20831</v>
      </c>
      <c r="AC6639" s="462" t="s">
        <v>20832</v>
      </c>
      <c r="AD6639" s="464">
        <v>64.14067</v>
      </c>
      <c r="AE6639" s="465">
        <v>3.0853999999999999</v>
      </c>
      <c r="AF6639" s="86">
        <f>IF(verze!$E$1="CZK",AD6639,IF(verze!$E$1="SK",AE6639,""))</f>
        <v>3.0853999999999999</v>
      </c>
    </row>
    <row r="6640" spans="27:32" ht="15">
      <c r="AA6640" s="463" t="s">
        <v>20833</v>
      </c>
      <c r="AB6640" s="462" t="s">
        <v>20834</v>
      </c>
      <c r="AC6640" s="462" t="s">
        <v>20835</v>
      </c>
      <c r="AD6640" s="464">
        <v>68.172970000000007</v>
      </c>
      <c r="AE6640" s="465">
        <v>3.2793600000000001</v>
      </c>
      <c r="AF6640" s="86">
        <f>IF(verze!$E$1="CZK",AD6640,IF(verze!$E$1="SK",AE6640,""))</f>
        <v>3.2793600000000001</v>
      </c>
    </row>
    <row r="6641" spans="27:32" ht="15">
      <c r="AA6641" s="463" t="s">
        <v>20836</v>
      </c>
      <c r="AB6641" s="462" t="s">
        <v>20837</v>
      </c>
      <c r="AC6641" s="462" t="s">
        <v>20838</v>
      </c>
      <c r="AD6641" s="464">
        <v>68.172970000000007</v>
      </c>
      <c r="AE6641" s="465">
        <v>3.2793600000000001</v>
      </c>
      <c r="AF6641" s="86">
        <f>IF(verze!$E$1="CZK",AD6641,IF(verze!$E$1="SK",AE6641,""))</f>
        <v>3.2793600000000001</v>
      </c>
    </row>
    <row r="6642" spans="27:32" ht="15">
      <c r="AA6642" s="463" t="s">
        <v>20839</v>
      </c>
      <c r="AB6642" s="462" t="s">
        <v>20840</v>
      </c>
      <c r="AC6642" s="462" t="s">
        <v>20841</v>
      </c>
      <c r="AD6642" s="464">
        <v>68.172970000000007</v>
      </c>
      <c r="AE6642" s="465">
        <v>3.2793600000000001</v>
      </c>
      <c r="AF6642" s="86">
        <f>IF(verze!$E$1="CZK",AD6642,IF(verze!$E$1="SK",AE6642,""))</f>
        <v>3.2793600000000001</v>
      </c>
    </row>
    <row r="6643" spans="27:32" ht="15">
      <c r="AA6643" s="463" t="s">
        <v>20842</v>
      </c>
      <c r="AB6643" s="462" t="s">
        <v>20843</v>
      </c>
      <c r="AC6643" s="462" t="s">
        <v>20844</v>
      </c>
      <c r="AD6643" s="464">
        <v>52.924460000000003</v>
      </c>
      <c r="AE6643" s="465">
        <v>2.5458699999999999</v>
      </c>
      <c r="AF6643" s="86">
        <f>IF(verze!$E$1="CZK",AD6643,IF(verze!$E$1="SK",AE6643,""))</f>
        <v>2.5458699999999999</v>
      </c>
    </row>
    <row r="6644" spans="27:32" ht="15">
      <c r="AA6644" s="463" t="s">
        <v>20845</v>
      </c>
      <c r="AB6644" s="462" t="s">
        <v>20846</v>
      </c>
      <c r="AC6644" s="462" t="s">
        <v>20847</v>
      </c>
      <c r="AD6644" s="464">
        <v>52.924460000000003</v>
      </c>
      <c r="AE6644" s="465">
        <v>2.5458699999999999</v>
      </c>
      <c r="AF6644" s="86">
        <f>IF(verze!$E$1="CZK",AD6644,IF(verze!$E$1="SK",AE6644,""))</f>
        <v>2.5458699999999999</v>
      </c>
    </row>
    <row r="6645" spans="27:32" ht="15">
      <c r="AA6645" s="463" t="s">
        <v>20848</v>
      </c>
      <c r="AB6645" s="462" t="s">
        <v>20849</v>
      </c>
      <c r="AC6645" s="462" t="s">
        <v>20850</v>
      </c>
      <c r="AD6645" s="464">
        <v>52.924460000000003</v>
      </c>
      <c r="AE6645" s="465">
        <v>2.5458699999999999</v>
      </c>
      <c r="AF6645" s="86">
        <f>IF(verze!$E$1="CZK",AD6645,IF(verze!$E$1="SK",AE6645,""))</f>
        <v>2.5458699999999999</v>
      </c>
    </row>
    <row r="6646" spans="27:32" ht="15">
      <c r="AA6646" s="463" t="s">
        <v>20851</v>
      </c>
      <c r="AB6646" s="462" t="s">
        <v>20852</v>
      </c>
      <c r="AC6646" s="462" t="s">
        <v>20853</v>
      </c>
      <c r="AD6646" s="464">
        <v>55.571919999999999</v>
      </c>
      <c r="AE6646" s="465">
        <v>2.6732200000000002</v>
      </c>
      <c r="AF6646" s="86">
        <f>IF(verze!$E$1="CZK",AD6646,IF(verze!$E$1="SK",AE6646,""))</f>
        <v>2.6732200000000002</v>
      </c>
    </row>
    <row r="6647" spans="27:32" ht="15">
      <c r="AA6647" s="463" t="s">
        <v>20854</v>
      </c>
      <c r="AB6647" s="462" t="s">
        <v>20855</v>
      </c>
      <c r="AC6647" s="462" t="s">
        <v>20856</v>
      </c>
      <c r="AD6647" s="464">
        <v>55.571919999999999</v>
      </c>
      <c r="AE6647" s="465">
        <v>2.6732200000000002</v>
      </c>
      <c r="AF6647" s="86">
        <f>IF(verze!$E$1="CZK",AD6647,IF(verze!$E$1="SK",AE6647,""))</f>
        <v>2.6732200000000002</v>
      </c>
    </row>
    <row r="6648" spans="27:32" ht="15">
      <c r="AA6648" s="463" t="s">
        <v>20857</v>
      </c>
      <c r="AB6648" s="462" t="s">
        <v>20858</v>
      </c>
      <c r="AC6648" s="462" t="s">
        <v>20859</v>
      </c>
      <c r="AD6648" s="464">
        <v>55.571919999999999</v>
      </c>
      <c r="AE6648" s="465">
        <v>2.6732200000000002</v>
      </c>
      <c r="AF6648" s="86">
        <f>IF(verze!$E$1="CZK",AD6648,IF(verze!$E$1="SK",AE6648,""))</f>
        <v>2.6732200000000002</v>
      </c>
    </row>
    <row r="6649" spans="27:32" ht="15">
      <c r="AA6649" s="463" t="s">
        <v>20860</v>
      </c>
      <c r="AB6649" s="462" t="s">
        <v>20861</v>
      </c>
      <c r="AC6649" s="462" t="s">
        <v>20862</v>
      </c>
      <c r="AD6649" s="464">
        <v>64.14067</v>
      </c>
      <c r="AE6649" s="465">
        <v>3.0853999999999999</v>
      </c>
      <c r="AF6649" s="86">
        <f>IF(verze!$E$1="CZK",AD6649,IF(verze!$E$1="SK",AE6649,""))</f>
        <v>3.0853999999999999</v>
      </c>
    </row>
    <row r="6650" spans="27:32" ht="15">
      <c r="AA6650" s="463" t="s">
        <v>20863</v>
      </c>
      <c r="AB6650" s="462" t="s">
        <v>20864</v>
      </c>
      <c r="AC6650" s="462" t="s">
        <v>20865</v>
      </c>
      <c r="AD6650" s="464">
        <v>64.14067</v>
      </c>
      <c r="AE6650" s="465">
        <v>3.0853999999999999</v>
      </c>
      <c r="AF6650" s="86">
        <f>IF(verze!$E$1="CZK",AD6650,IF(verze!$E$1="SK",AE6650,""))</f>
        <v>3.0853999999999999</v>
      </c>
    </row>
    <row r="6651" spans="27:32" ht="15">
      <c r="AA6651" s="463" t="s">
        <v>20866</v>
      </c>
      <c r="AB6651" s="462" t="s">
        <v>20867</v>
      </c>
      <c r="AC6651" s="462" t="s">
        <v>20868</v>
      </c>
      <c r="AD6651" s="464">
        <v>64.14067</v>
      </c>
      <c r="AE6651" s="465">
        <v>3.0853999999999999</v>
      </c>
      <c r="AF6651" s="86">
        <f>IF(verze!$E$1="CZK",AD6651,IF(verze!$E$1="SK",AE6651,""))</f>
        <v>3.0853999999999999</v>
      </c>
    </row>
    <row r="6652" spans="27:32" ht="15">
      <c r="AA6652" s="463" t="s">
        <v>20869</v>
      </c>
      <c r="AB6652" s="462" t="s">
        <v>20870</v>
      </c>
      <c r="AC6652" s="462" t="s">
        <v>20871</v>
      </c>
      <c r="AD6652" s="464">
        <v>68.172970000000007</v>
      </c>
      <c r="AE6652" s="465">
        <v>3.2793600000000001</v>
      </c>
      <c r="AF6652" s="86">
        <f>IF(verze!$E$1="CZK",AD6652,IF(verze!$E$1="SK",AE6652,""))</f>
        <v>3.2793600000000001</v>
      </c>
    </row>
    <row r="6653" spans="27:32" ht="15">
      <c r="AA6653" s="463" t="s">
        <v>20872</v>
      </c>
      <c r="AB6653" s="462" t="s">
        <v>20873</v>
      </c>
      <c r="AC6653" s="462" t="s">
        <v>20874</v>
      </c>
      <c r="AD6653" s="464">
        <v>68.172970000000007</v>
      </c>
      <c r="AE6653" s="465">
        <v>3.2793600000000001</v>
      </c>
      <c r="AF6653" s="86">
        <f>IF(verze!$E$1="CZK",AD6653,IF(verze!$E$1="SK",AE6653,""))</f>
        <v>3.2793600000000001</v>
      </c>
    </row>
    <row r="6654" spans="27:32" ht="15">
      <c r="AA6654" s="463" t="s">
        <v>20875</v>
      </c>
      <c r="AB6654" s="462" t="s">
        <v>20876</v>
      </c>
      <c r="AC6654" s="462" t="s">
        <v>20877</v>
      </c>
      <c r="AD6654" s="464">
        <v>68.172970000000007</v>
      </c>
      <c r="AE6654" s="465">
        <v>3.2793600000000001</v>
      </c>
      <c r="AF6654" s="86">
        <f>IF(verze!$E$1="CZK",AD6654,IF(verze!$E$1="SK",AE6654,""))</f>
        <v>3.2793600000000001</v>
      </c>
    </row>
    <row r="6655" spans="27:32" ht="15">
      <c r="AA6655" s="463" t="s">
        <v>20878</v>
      </c>
      <c r="AB6655" s="462" t="s">
        <v>20879</v>
      </c>
      <c r="AC6655" s="462" t="s">
        <v>20880</v>
      </c>
      <c r="AD6655" s="464">
        <v>52.924460000000003</v>
      </c>
      <c r="AE6655" s="465">
        <v>2.5458699999999999</v>
      </c>
      <c r="AF6655" s="86">
        <f>IF(verze!$E$1="CZK",AD6655,IF(verze!$E$1="SK",AE6655,""))</f>
        <v>2.5458699999999999</v>
      </c>
    </row>
    <row r="6656" spans="27:32" ht="15">
      <c r="AA6656" s="463" t="s">
        <v>20881</v>
      </c>
      <c r="AB6656" s="462" t="s">
        <v>20882</v>
      </c>
      <c r="AC6656" s="462" t="s">
        <v>20883</v>
      </c>
      <c r="AD6656" s="464">
        <v>52.924460000000003</v>
      </c>
      <c r="AE6656" s="465">
        <v>2.5458699999999999</v>
      </c>
      <c r="AF6656" s="86">
        <f>IF(verze!$E$1="CZK",AD6656,IF(verze!$E$1="SK",AE6656,""))</f>
        <v>2.5458699999999999</v>
      </c>
    </row>
    <row r="6657" spans="27:32" ht="15">
      <c r="AA6657" s="463" t="s">
        <v>20884</v>
      </c>
      <c r="AB6657" s="462" t="s">
        <v>20885</v>
      </c>
      <c r="AC6657" s="462" t="s">
        <v>20886</v>
      </c>
      <c r="AD6657" s="464">
        <v>52.924460000000003</v>
      </c>
      <c r="AE6657" s="465">
        <v>2.5458699999999999</v>
      </c>
      <c r="AF6657" s="86">
        <f>IF(verze!$E$1="CZK",AD6657,IF(verze!$E$1="SK",AE6657,""))</f>
        <v>2.5458699999999999</v>
      </c>
    </row>
    <row r="6658" spans="27:32" ht="15">
      <c r="AA6658" s="463" t="s">
        <v>20887</v>
      </c>
      <c r="AB6658" s="462" t="s">
        <v>20888</v>
      </c>
      <c r="AC6658" s="462" t="s">
        <v>20889</v>
      </c>
      <c r="AD6658" s="464">
        <v>55.571919999999999</v>
      </c>
      <c r="AE6658" s="465">
        <v>2.6732200000000002</v>
      </c>
      <c r="AF6658" s="86">
        <f>IF(verze!$E$1="CZK",AD6658,IF(verze!$E$1="SK",AE6658,""))</f>
        <v>2.6732200000000002</v>
      </c>
    </row>
    <row r="6659" spans="27:32" ht="15">
      <c r="AA6659" s="463" t="s">
        <v>20890</v>
      </c>
      <c r="AB6659" s="462" t="s">
        <v>20891</v>
      </c>
      <c r="AC6659" s="462" t="s">
        <v>20892</v>
      </c>
      <c r="AD6659" s="464">
        <v>55.571919999999999</v>
      </c>
      <c r="AE6659" s="465">
        <v>2.6732200000000002</v>
      </c>
      <c r="AF6659" s="86">
        <f>IF(verze!$E$1="CZK",AD6659,IF(verze!$E$1="SK",AE6659,""))</f>
        <v>2.6732200000000002</v>
      </c>
    </row>
    <row r="6660" spans="27:32" ht="15">
      <c r="AA6660" s="463" t="s">
        <v>20893</v>
      </c>
      <c r="AB6660" s="462" t="s">
        <v>20894</v>
      </c>
      <c r="AC6660" s="462" t="s">
        <v>20895</v>
      </c>
      <c r="AD6660" s="464">
        <v>55.571919999999999</v>
      </c>
      <c r="AE6660" s="465">
        <v>2.6732200000000002</v>
      </c>
      <c r="AF6660" s="86">
        <f>IF(verze!$E$1="CZK",AD6660,IF(verze!$E$1="SK",AE6660,""))</f>
        <v>2.6732200000000002</v>
      </c>
    </row>
    <row r="6661" spans="27:32" ht="15">
      <c r="AA6661" s="463" t="s">
        <v>20896</v>
      </c>
      <c r="AB6661" s="462" t="s">
        <v>20897</v>
      </c>
      <c r="AC6661" s="462" t="s">
        <v>20898</v>
      </c>
      <c r="AD6661" s="464">
        <v>72.694959999999995</v>
      </c>
      <c r="AE6661" s="465">
        <v>3.4969000000000001</v>
      </c>
      <c r="AF6661" s="86">
        <f>IF(verze!$E$1="CZK",AD6661,IF(verze!$E$1="SK",AE6661,""))</f>
        <v>3.4969000000000001</v>
      </c>
    </row>
    <row r="6662" spans="27:32" ht="15">
      <c r="AA6662" s="463" t="s">
        <v>20899</v>
      </c>
      <c r="AB6662" s="462" t="s">
        <v>20900</v>
      </c>
      <c r="AC6662" s="462" t="s">
        <v>20901</v>
      </c>
      <c r="AD6662" s="464">
        <v>72.694959999999995</v>
      </c>
      <c r="AE6662" s="465">
        <v>3.4969000000000001</v>
      </c>
      <c r="AF6662" s="86">
        <f>IF(verze!$E$1="CZK",AD6662,IF(verze!$E$1="SK",AE6662,""))</f>
        <v>3.4969000000000001</v>
      </c>
    </row>
    <row r="6663" spans="27:32" ht="15">
      <c r="AA6663" s="463" t="s">
        <v>20902</v>
      </c>
      <c r="AB6663" s="462" t="s">
        <v>20903</v>
      </c>
      <c r="AC6663" s="462" t="s">
        <v>20904</v>
      </c>
      <c r="AD6663" s="464">
        <v>72.694959999999995</v>
      </c>
      <c r="AE6663" s="465">
        <v>3.4969000000000001</v>
      </c>
      <c r="AF6663" s="86">
        <f>IF(verze!$E$1="CZK",AD6663,IF(verze!$E$1="SK",AE6663,""))</f>
        <v>3.4969000000000001</v>
      </c>
    </row>
    <row r="6664" spans="27:32" ht="15">
      <c r="AA6664" s="463" t="s">
        <v>20905</v>
      </c>
      <c r="AB6664" s="462" t="s">
        <v>20906</v>
      </c>
      <c r="AC6664" s="462" t="s">
        <v>20907</v>
      </c>
      <c r="AD6664" s="464">
        <v>76.324089999999998</v>
      </c>
      <c r="AE6664" s="465">
        <v>3.6714500000000001</v>
      </c>
      <c r="AF6664" s="86">
        <f>IF(verze!$E$1="CZK",AD6664,IF(verze!$E$1="SK",AE6664,""))</f>
        <v>3.6714500000000001</v>
      </c>
    </row>
    <row r="6665" spans="27:32" ht="15">
      <c r="AA6665" s="463" t="s">
        <v>20908</v>
      </c>
      <c r="AB6665" s="462" t="s">
        <v>20909</v>
      </c>
      <c r="AC6665" s="462" t="s">
        <v>20910</v>
      </c>
      <c r="AD6665" s="464">
        <v>76.324089999999998</v>
      </c>
      <c r="AE6665" s="465">
        <v>3.6714500000000001</v>
      </c>
      <c r="AF6665" s="86">
        <f>IF(verze!$E$1="CZK",AD6665,IF(verze!$E$1="SK",AE6665,""))</f>
        <v>3.6714500000000001</v>
      </c>
    </row>
    <row r="6666" spans="27:32" ht="15">
      <c r="AA6666" s="463" t="s">
        <v>20911</v>
      </c>
      <c r="AB6666" s="462" t="s">
        <v>20912</v>
      </c>
      <c r="AC6666" s="462" t="s">
        <v>20913</v>
      </c>
      <c r="AD6666" s="464">
        <v>76.324089999999998</v>
      </c>
      <c r="AE6666" s="465">
        <v>3.6714500000000001</v>
      </c>
      <c r="AF6666" s="86">
        <f>IF(verze!$E$1="CZK",AD6666,IF(verze!$E$1="SK",AE6666,""))</f>
        <v>3.6714500000000001</v>
      </c>
    </row>
    <row r="6667" spans="27:32" ht="15">
      <c r="AA6667" s="463" t="s">
        <v>20914</v>
      </c>
      <c r="AB6667" s="462" t="s">
        <v>20915</v>
      </c>
      <c r="AC6667" s="462" t="s">
        <v>20916</v>
      </c>
      <c r="AD6667" s="464">
        <v>62.602080000000001</v>
      </c>
      <c r="AE6667" s="465">
        <v>3.0113799999999999</v>
      </c>
      <c r="AF6667" s="86">
        <f>IF(verze!$E$1="CZK",AD6667,IF(verze!$E$1="SK",AE6667,""))</f>
        <v>3.0113799999999999</v>
      </c>
    </row>
    <row r="6668" spans="27:32" ht="15">
      <c r="AA6668" s="463" t="s">
        <v>20917</v>
      </c>
      <c r="AB6668" s="462" t="s">
        <v>20918</v>
      </c>
      <c r="AC6668" s="462" t="s">
        <v>20919</v>
      </c>
      <c r="AD6668" s="464">
        <v>62.602080000000001</v>
      </c>
      <c r="AE6668" s="465">
        <v>3.0113799999999999</v>
      </c>
      <c r="AF6668" s="86">
        <f>IF(verze!$E$1="CZK",AD6668,IF(verze!$E$1="SK",AE6668,""))</f>
        <v>3.0113799999999999</v>
      </c>
    </row>
    <row r="6669" spans="27:32" ht="15">
      <c r="AA6669" s="463" t="s">
        <v>20920</v>
      </c>
      <c r="AB6669" s="462" t="s">
        <v>20921</v>
      </c>
      <c r="AC6669" s="462" t="s">
        <v>20922</v>
      </c>
      <c r="AD6669" s="464">
        <v>62.602080000000001</v>
      </c>
      <c r="AE6669" s="465">
        <v>3.0113799999999999</v>
      </c>
      <c r="AF6669" s="86">
        <f>IF(verze!$E$1="CZK",AD6669,IF(verze!$E$1="SK",AE6669,""))</f>
        <v>3.0113799999999999</v>
      </c>
    </row>
    <row r="6670" spans="27:32" ht="15">
      <c r="AA6670" s="463" t="s">
        <v>20923</v>
      </c>
      <c r="AB6670" s="462" t="s">
        <v>20924</v>
      </c>
      <c r="AC6670" s="462" t="s">
        <v>20925</v>
      </c>
      <c r="AD6670" s="464">
        <v>64.983080000000001</v>
      </c>
      <c r="AE6670" s="465">
        <v>3.1259100000000002</v>
      </c>
      <c r="AF6670" s="86">
        <f>IF(verze!$E$1="CZK",AD6670,IF(verze!$E$1="SK",AE6670,""))</f>
        <v>3.1259100000000002</v>
      </c>
    </row>
    <row r="6671" spans="27:32" ht="15">
      <c r="AA6671" s="463" t="s">
        <v>20926</v>
      </c>
      <c r="AB6671" s="462" t="s">
        <v>20927</v>
      </c>
      <c r="AC6671" s="462" t="s">
        <v>20928</v>
      </c>
      <c r="AD6671" s="464">
        <v>64.983080000000001</v>
      </c>
      <c r="AE6671" s="465">
        <v>3.1259100000000002</v>
      </c>
      <c r="AF6671" s="86">
        <f>IF(verze!$E$1="CZK",AD6671,IF(verze!$E$1="SK",AE6671,""))</f>
        <v>3.1259100000000002</v>
      </c>
    </row>
    <row r="6672" spans="27:32" ht="15">
      <c r="AA6672" s="463" t="s">
        <v>20929</v>
      </c>
      <c r="AB6672" s="462" t="s">
        <v>20930</v>
      </c>
      <c r="AC6672" s="462" t="s">
        <v>20931</v>
      </c>
      <c r="AD6672" s="464">
        <v>64.983080000000001</v>
      </c>
      <c r="AE6672" s="465">
        <v>3.1066400000000001</v>
      </c>
      <c r="AF6672" s="86">
        <f>IF(verze!$E$1="CZK",AD6672,IF(verze!$E$1="SK",AE6672,""))</f>
        <v>3.1066400000000001</v>
      </c>
    </row>
    <row r="6673" spans="27:32" ht="15">
      <c r="AA6673" s="463" t="s">
        <v>20932</v>
      </c>
      <c r="AB6673" s="462" t="s">
        <v>20933</v>
      </c>
      <c r="AC6673" s="462" t="s">
        <v>20934</v>
      </c>
      <c r="AD6673" s="464">
        <v>100.01075</v>
      </c>
      <c r="AE6673" s="465">
        <v>4.8108700000000004</v>
      </c>
      <c r="AF6673" s="86">
        <f>IF(verze!$E$1="CZK",AD6673,IF(verze!$E$1="SK",AE6673,""))</f>
        <v>4.8108700000000004</v>
      </c>
    </row>
    <row r="6674" spans="27:32" ht="15">
      <c r="AA6674" s="463" t="s">
        <v>20935</v>
      </c>
      <c r="AB6674" s="462" t="s">
        <v>20936</v>
      </c>
      <c r="AC6674" s="462" t="s">
        <v>20937</v>
      </c>
      <c r="AD6674" s="464">
        <v>100.01075</v>
      </c>
      <c r="AE6674" s="465">
        <v>4.8108700000000004</v>
      </c>
      <c r="AF6674" s="86">
        <f>IF(verze!$E$1="CZK",AD6674,IF(verze!$E$1="SK",AE6674,""))</f>
        <v>4.8108700000000004</v>
      </c>
    </row>
    <row r="6675" spans="27:32" ht="15">
      <c r="AA6675" s="463" t="s">
        <v>20938</v>
      </c>
      <c r="AB6675" s="462" t="s">
        <v>20939</v>
      </c>
      <c r="AC6675" s="462" t="s">
        <v>20940</v>
      </c>
      <c r="AD6675" s="464">
        <v>100.01075</v>
      </c>
      <c r="AE6675" s="465">
        <v>4.8108700000000004</v>
      </c>
      <c r="AF6675" s="86">
        <f>IF(verze!$E$1="CZK",AD6675,IF(verze!$E$1="SK",AE6675,""))</f>
        <v>4.8108700000000004</v>
      </c>
    </row>
    <row r="6676" spans="27:32" ht="15">
      <c r="AA6676" s="463" t="s">
        <v>20941</v>
      </c>
      <c r="AB6676" s="462" t="s">
        <v>20942</v>
      </c>
      <c r="AC6676" s="462" t="s">
        <v>20943</v>
      </c>
      <c r="AD6676" s="464">
        <v>148.22855999999999</v>
      </c>
      <c r="AE6676" s="465">
        <v>7.1303200000000002</v>
      </c>
      <c r="AF6676" s="86">
        <f>IF(verze!$E$1="CZK",AD6676,IF(verze!$E$1="SK",AE6676,""))</f>
        <v>7.1303200000000002</v>
      </c>
    </row>
    <row r="6677" spans="27:32" ht="15">
      <c r="AA6677" s="463" t="s">
        <v>20944</v>
      </c>
      <c r="AB6677" s="462" t="s">
        <v>20945</v>
      </c>
      <c r="AC6677" s="462" t="s">
        <v>20946</v>
      </c>
      <c r="AD6677" s="464">
        <v>148.22855999999999</v>
      </c>
      <c r="AE6677" s="465">
        <v>7.1303200000000002</v>
      </c>
      <c r="AF6677" s="86">
        <f>IF(verze!$E$1="CZK",AD6677,IF(verze!$E$1="SK",AE6677,""))</f>
        <v>7.1303200000000002</v>
      </c>
    </row>
    <row r="6678" spans="27:32" ht="15">
      <c r="AA6678" s="463" t="s">
        <v>20947</v>
      </c>
      <c r="AB6678" s="462" t="s">
        <v>20948</v>
      </c>
      <c r="AC6678" s="462" t="s">
        <v>20949</v>
      </c>
      <c r="AD6678" s="464">
        <v>148.22855999999999</v>
      </c>
      <c r="AE6678" s="465">
        <v>7.1303200000000002</v>
      </c>
      <c r="AF6678" s="86">
        <f>IF(verze!$E$1="CZK",AD6678,IF(verze!$E$1="SK",AE6678,""))</f>
        <v>7.1303200000000002</v>
      </c>
    </row>
    <row r="6679" spans="27:32" ht="15">
      <c r="AA6679" s="463" t="s">
        <v>20950</v>
      </c>
      <c r="AB6679" s="462" t="s">
        <v>20951</v>
      </c>
      <c r="AC6679" s="462" t="s">
        <v>20952</v>
      </c>
      <c r="AD6679" s="464">
        <v>37.31118</v>
      </c>
      <c r="AE6679" s="465">
        <v>1.79481</v>
      </c>
      <c r="AF6679" s="86">
        <f>IF(verze!$E$1="CZK",AD6679,IF(verze!$E$1="SK",AE6679,""))</f>
        <v>1.79481</v>
      </c>
    </row>
    <row r="6680" spans="27:32" ht="15">
      <c r="AA6680" s="463" t="s">
        <v>20953</v>
      </c>
      <c r="AB6680" s="462" t="s">
        <v>20954</v>
      </c>
      <c r="AC6680" s="462" t="s">
        <v>20955</v>
      </c>
      <c r="AD6680" s="464">
        <v>37.31118</v>
      </c>
      <c r="AE6680" s="465">
        <v>1.79481</v>
      </c>
      <c r="AF6680" s="86">
        <f>IF(verze!$E$1="CZK",AD6680,IF(verze!$E$1="SK",AE6680,""))</f>
        <v>1.79481</v>
      </c>
    </row>
    <row r="6681" spans="27:32" ht="15">
      <c r="AA6681" s="463" t="s">
        <v>20956</v>
      </c>
      <c r="AB6681" s="462" t="s">
        <v>20957</v>
      </c>
      <c r="AC6681" s="462" t="s">
        <v>20958</v>
      </c>
      <c r="AD6681" s="464">
        <v>37.31118</v>
      </c>
      <c r="AE6681" s="465">
        <v>1.79481</v>
      </c>
      <c r="AF6681" s="86">
        <f>IF(verze!$E$1="CZK",AD6681,IF(verze!$E$1="SK",AE6681,""))</f>
        <v>1.79481</v>
      </c>
    </row>
    <row r="6682" spans="27:32" ht="15">
      <c r="AA6682" s="463" t="s">
        <v>20959</v>
      </c>
      <c r="AB6682" s="462" t="s">
        <v>20960</v>
      </c>
      <c r="AC6682" s="462" t="s">
        <v>20961</v>
      </c>
      <c r="AD6682" s="464">
        <v>47.406419999999997</v>
      </c>
      <c r="AE6682" s="465">
        <v>2.28043</v>
      </c>
      <c r="AF6682" s="86">
        <f>IF(verze!$E$1="CZK",AD6682,IF(verze!$E$1="SK",AE6682,""))</f>
        <v>2.28043</v>
      </c>
    </row>
    <row r="6683" spans="27:32" ht="15">
      <c r="AA6683" s="463" t="s">
        <v>20962</v>
      </c>
      <c r="AB6683" s="462" t="s">
        <v>20963</v>
      </c>
      <c r="AC6683" s="462" t="s">
        <v>20964</v>
      </c>
      <c r="AD6683" s="464">
        <v>47.406419999999997</v>
      </c>
      <c r="AE6683" s="465">
        <v>2.28043</v>
      </c>
      <c r="AF6683" s="86">
        <f>IF(verze!$E$1="CZK",AD6683,IF(verze!$E$1="SK",AE6683,""))</f>
        <v>2.28043</v>
      </c>
    </row>
    <row r="6684" spans="27:32" ht="15">
      <c r="AA6684" s="463" t="s">
        <v>20965</v>
      </c>
      <c r="AB6684" s="462" t="s">
        <v>20966</v>
      </c>
      <c r="AC6684" s="462" t="s">
        <v>20967</v>
      </c>
      <c r="AD6684" s="464">
        <v>47.406419999999997</v>
      </c>
      <c r="AE6684" s="465">
        <v>2.28043</v>
      </c>
      <c r="AF6684" s="86">
        <f>IF(verze!$E$1="CZK",AD6684,IF(verze!$E$1="SK",AE6684,""))</f>
        <v>2.28043</v>
      </c>
    </row>
    <row r="6685" spans="27:32" ht="15">
      <c r="AA6685" s="463" t="s">
        <v>20968</v>
      </c>
      <c r="AB6685" s="462" t="s">
        <v>20969</v>
      </c>
      <c r="AC6685" s="462" t="s">
        <v>20970</v>
      </c>
      <c r="AD6685" s="464">
        <v>547.72645999999997</v>
      </c>
      <c r="AE6685" s="465">
        <v>25.092980000000001</v>
      </c>
      <c r="AF6685" s="86">
        <f>IF(verze!$E$1="CZK",AD6685,IF(verze!$E$1="SK",AE6685,""))</f>
        <v>25.092980000000001</v>
      </c>
    </row>
    <row r="6686" spans="27:32" ht="15">
      <c r="AA6686" s="463" t="s">
        <v>20971</v>
      </c>
      <c r="AB6686" s="462" t="s">
        <v>20972</v>
      </c>
      <c r="AC6686" s="462" t="s">
        <v>20973</v>
      </c>
      <c r="AD6686" s="464">
        <v>4564.3870299999999</v>
      </c>
      <c r="AE6686" s="465">
        <v>209.10808</v>
      </c>
      <c r="AF6686" s="86">
        <f>IF(verze!$E$1="CZK",AD6686,IF(verze!$E$1="SK",AE6686,""))</f>
        <v>209.10808</v>
      </c>
    </row>
    <row r="6687" spans="27:32" ht="15">
      <c r="AA6687" s="463" t="s">
        <v>20974</v>
      </c>
      <c r="AB6687" s="462" t="s">
        <v>20975</v>
      </c>
      <c r="AC6687" s="462" t="s">
        <v>20976</v>
      </c>
      <c r="AD6687" s="464">
        <v>4868.6794799999998</v>
      </c>
      <c r="AE6687" s="465">
        <v>223.04862</v>
      </c>
      <c r="AF6687" s="86">
        <f>IF(verze!$E$1="CZK",AD6687,IF(verze!$E$1="SK",AE6687,""))</f>
        <v>223.04862</v>
      </c>
    </row>
    <row r="6688" spans="27:32" ht="15">
      <c r="AA6688" s="463" t="s">
        <v>20977</v>
      </c>
      <c r="AB6688" s="462" t="s">
        <v>20978</v>
      </c>
      <c r="AC6688" s="462" t="s">
        <v>20979</v>
      </c>
      <c r="AD6688" s="464">
        <v>5172.97192</v>
      </c>
      <c r="AE6688" s="465">
        <v>236.98913999999999</v>
      </c>
      <c r="AF6688" s="86">
        <f>IF(verze!$E$1="CZK",AD6688,IF(verze!$E$1="SK",AE6688,""))</f>
        <v>236.98913999999999</v>
      </c>
    </row>
    <row r="6689" spans="27:32" ht="15">
      <c r="AA6689" s="463" t="s">
        <v>1320</v>
      </c>
      <c r="AB6689" s="462" t="s">
        <v>20980</v>
      </c>
      <c r="AC6689" s="462" t="s">
        <v>20981</v>
      </c>
      <c r="AD6689" s="464">
        <v>28.26905</v>
      </c>
      <c r="AE6689" s="465">
        <v>1.3598600000000001</v>
      </c>
      <c r="AF6689" s="86">
        <f>IF(verze!$E$1="CZK",AD6689,IF(verze!$E$1="SK",AE6689,""))</f>
        <v>1.3598600000000001</v>
      </c>
    </row>
    <row r="6690" spans="27:32" ht="15">
      <c r="AA6690" s="463" t="s">
        <v>1320</v>
      </c>
      <c r="AB6690" s="462" t="s">
        <v>20982</v>
      </c>
      <c r="AC6690" s="462" t="s">
        <v>20983</v>
      </c>
      <c r="AD6690" s="464">
        <v>28.581109999999999</v>
      </c>
      <c r="AE6690" s="465">
        <v>1.3748499999999999</v>
      </c>
      <c r="AF6690" s="86">
        <f>IF(verze!$E$1="CZK",AD6690,IF(verze!$E$1="SK",AE6690,""))</f>
        <v>1.3748499999999999</v>
      </c>
    </row>
    <row r="6691" spans="27:32" ht="15">
      <c r="AA6691" s="463" t="s">
        <v>1320</v>
      </c>
      <c r="AB6691" s="462" t="s">
        <v>20984</v>
      </c>
      <c r="AC6691" s="462" t="s">
        <v>20985</v>
      </c>
      <c r="AD6691" s="464">
        <v>29.109169999999999</v>
      </c>
      <c r="AE6691" s="465">
        <v>1.4002600000000001</v>
      </c>
      <c r="AF6691" s="86">
        <f>IF(verze!$E$1="CZK",AD6691,IF(verze!$E$1="SK",AE6691,""))</f>
        <v>1.4002600000000001</v>
      </c>
    </row>
    <row r="6692" spans="27:32" ht="15">
      <c r="AA6692" s="463" t="s">
        <v>1320</v>
      </c>
      <c r="AB6692" s="462" t="s">
        <v>20986</v>
      </c>
      <c r="AC6692" s="462" t="s">
        <v>20987</v>
      </c>
      <c r="AD6692" s="464">
        <v>29.63186</v>
      </c>
      <c r="AE6692" s="465">
        <v>1.4254199999999999</v>
      </c>
      <c r="AF6692" s="86">
        <f>IF(verze!$E$1="CZK",AD6692,IF(verze!$E$1="SK",AE6692,""))</f>
        <v>1.4254199999999999</v>
      </c>
    </row>
    <row r="6693" spans="27:32" ht="15">
      <c r="AA6693" s="463" t="s">
        <v>1320</v>
      </c>
      <c r="AB6693" s="462" t="s">
        <v>20988</v>
      </c>
      <c r="AC6693" s="462" t="s">
        <v>20989</v>
      </c>
      <c r="AD6693" s="464">
        <v>30.15992</v>
      </c>
      <c r="AE6693" s="465">
        <v>1.4508099999999999</v>
      </c>
      <c r="AF6693" s="86">
        <f>IF(verze!$E$1="CZK",AD6693,IF(verze!$E$1="SK",AE6693,""))</f>
        <v>1.4508099999999999</v>
      </c>
    </row>
    <row r="6694" spans="27:32" ht="15">
      <c r="AA6694" s="463" t="s">
        <v>1320</v>
      </c>
      <c r="AB6694" s="462" t="s">
        <v>20990</v>
      </c>
      <c r="AC6694" s="462" t="s">
        <v>20991</v>
      </c>
      <c r="AD6694" s="464">
        <v>30.685300000000002</v>
      </c>
      <c r="AE6694" s="465">
        <v>1.47607</v>
      </c>
      <c r="AF6694" s="86">
        <f>IF(verze!$E$1="CZK",AD6694,IF(verze!$E$1="SK",AE6694,""))</f>
        <v>1.47607</v>
      </c>
    </row>
    <row r="6695" spans="27:32" ht="15">
      <c r="AA6695" s="463" t="s">
        <v>1320</v>
      </c>
      <c r="AB6695" s="462" t="s">
        <v>20992</v>
      </c>
      <c r="AC6695" s="462" t="s">
        <v>20993</v>
      </c>
      <c r="AD6695" s="464">
        <v>31.207979999999999</v>
      </c>
      <c r="AE6695" s="465">
        <v>1.5012099999999999</v>
      </c>
      <c r="AF6695" s="86">
        <f>IF(verze!$E$1="CZK",AD6695,IF(verze!$E$1="SK",AE6695,""))</f>
        <v>1.5012099999999999</v>
      </c>
    </row>
    <row r="6696" spans="27:32" ht="15">
      <c r="AA6696" s="463" t="s">
        <v>1320</v>
      </c>
      <c r="AB6696" s="462" t="s">
        <v>20994</v>
      </c>
      <c r="AC6696" s="462" t="s">
        <v>20995</v>
      </c>
      <c r="AD6696" s="464">
        <v>32.56015</v>
      </c>
      <c r="AE6696" s="465">
        <v>1.56626</v>
      </c>
      <c r="AF6696" s="86">
        <f>IF(verze!$E$1="CZK",AD6696,IF(verze!$E$1="SK",AE6696,""))</f>
        <v>1.56626</v>
      </c>
    </row>
    <row r="6697" spans="27:32" ht="15">
      <c r="AA6697" s="463" t="s">
        <v>1320</v>
      </c>
      <c r="AB6697" s="462" t="s">
        <v>20996</v>
      </c>
      <c r="AC6697" s="462" t="s">
        <v>20997</v>
      </c>
      <c r="AD6697" s="464">
        <v>35.114960000000004</v>
      </c>
      <c r="AE6697" s="465">
        <v>1.68916</v>
      </c>
      <c r="AF6697" s="86">
        <f>IF(verze!$E$1="CZK",AD6697,IF(verze!$E$1="SK",AE6697,""))</f>
        <v>1.68916</v>
      </c>
    </row>
    <row r="6698" spans="27:32" ht="15">
      <c r="AA6698" s="463" t="s">
        <v>20998</v>
      </c>
      <c r="AB6698" s="462" t="s">
        <v>20999</v>
      </c>
      <c r="AC6698" s="462" t="s">
        <v>21000</v>
      </c>
      <c r="AD6698" s="464">
        <v>5.5445099999999998</v>
      </c>
      <c r="AE6698" s="465">
        <v>0.26669999999999999</v>
      </c>
      <c r="AF6698" s="86">
        <f>IF(verze!$E$1="CZK",AD6698,IF(verze!$E$1="SK",AE6698,""))</f>
        <v>0.26669999999999999</v>
      </c>
    </row>
    <row r="6699" spans="27:32" ht="15">
      <c r="AA6699" s="463" t="s">
        <v>21001</v>
      </c>
      <c r="AB6699" s="462" t="s">
        <v>21002</v>
      </c>
      <c r="AC6699" s="462" t="s">
        <v>21003</v>
      </c>
      <c r="AD6699" s="464">
        <v>3.7803</v>
      </c>
      <c r="AE6699" s="465">
        <v>0.18184</v>
      </c>
      <c r="AF6699" s="86">
        <f>IF(verze!$E$1="CZK",AD6699,IF(verze!$E$1="SK",AE6699,""))</f>
        <v>0.18184</v>
      </c>
    </row>
    <row r="6700" spans="27:32" ht="15">
      <c r="AA6700" s="463" t="s">
        <v>21004</v>
      </c>
      <c r="AB6700" s="462" t="s">
        <v>21005</v>
      </c>
      <c r="AC6700" s="462" t="s">
        <v>21006</v>
      </c>
      <c r="AD6700" s="464">
        <v>3.7803</v>
      </c>
      <c r="AE6700" s="465">
        <v>0.18184</v>
      </c>
      <c r="AF6700" s="86">
        <f>IF(verze!$E$1="CZK",AD6700,IF(verze!$E$1="SK",AE6700,""))</f>
        <v>0.18184</v>
      </c>
    </row>
    <row r="6701" spans="27:32" ht="15">
      <c r="AA6701" s="463" t="s">
        <v>21007</v>
      </c>
      <c r="AB6701" s="462" t="s">
        <v>21008</v>
      </c>
      <c r="AC6701" s="462" t="s">
        <v>21009</v>
      </c>
      <c r="AD6701" s="464">
        <v>7.0961400000000001</v>
      </c>
      <c r="AE6701" s="465">
        <v>0.3251</v>
      </c>
      <c r="AF6701" s="86">
        <f>IF(verze!$E$1="CZK",AD6701,IF(verze!$E$1="SK",AE6701,""))</f>
        <v>0.3251</v>
      </c>
    </row>
    <row r="6702" spans="27:32" ht="15">
      <c r="AA6702" s="463" t="s">
        <v>21010</v>
      </c>
      <c r="AB6702" s="462" t="s">
        <v>21011</v>
      </c>
      <c r="AC6702" s="462" t="s">
        <v>21012</v>
      </c>
      <c r="AD6702" s="464">
        <v>51.559750000000001</v>
      </c>
      <c r="AE6702" s="465">
        <v>2.0929799999999998</v>
      </c>
      <c r="AF6702" s="86">
        <f>IF(verze!$E$1="CZK",AD6702,IF(verze!$E$1="SK",AE6702,""))</f>
        <v>2.0929799999999998</v>
      </c>
    </row>
    <row r="6703" spans="27:32" ht="15">
      <c r="AA6703" s="463" t="s">
        <v>1320</v>
      </c>
      <c r="AB6703" s="462" t="s">
        <v>21013</v>
      </c>
      <c r="AC6703" s="462" t="s">
        <v>21014</v>
      </c>
      <c r="AD6703" s="464">
        <v>0</v>
      </c>
      <c r="AE6703" s="465">
        <v>0</v>
      </c>
      <c r="AF6703" s="86">
        <f>IF(verze!$E$1="CZK",AD6703,IF(verze!$E$1="SK",AE6703,""))</f>
        <v>0</v>
      </c>
    </row>
    <row r="6704" spans="27:32" ht="15">
      <c r="AA6704" s="463" t="s">
        <v>21015</v>
      </c>
      <c r="AB6704" s="462" t="s">
        <v>21016</v>
      </c>
      <c r="AC6704" s="462" t="s">
        <v>21017</v>
      </c>
      <c r="AD6704" s="464">
        <v>708.01328000000001</v>
      </c>
      <c r="AE6704" s="465">
        <v>29.038119999999999</v>
      </c>
      <c r="AF6704" s="86">
        <f>IF(verze!$E$1="CZK",AD6704,IF(verze!$E$1="SK",AE6704,""))</f>
        <v>29.038119999999999</v>
      </c>
    </row>
    <row r="6705" spans="27:32" ht="15">
      <c r="AA6705" s="463" t="s">
        <v>1320</v>
      </c>
      <c r="AB6705" s="462" t="s">
        <v>21018</v>
      </c>
      <c r="AC6705" s="462" t="s">
        <v>21019</v>
      </c>
      <c r="AD6705" s="464">
        <v>0</v>
      </c>
      <c r="AE6705" s="465">
        <v>0</v>
      </c>
      <c r="AF6705" s="86">
        <f>IF(verze!$E$1="CZK",AD6705,IF(verze!$E$1="SK",AE6705,""))</f>
        <v>0</v>
      </c>
    </row>
    <row r="6706" spans="27:32" ht="15">
      <c r="AA6706" s="463" t="s">
        <v>21020</v>
      </c>
      <c r="AB6706" s="462" t="s">
        <v>21021</v>
      </c>
      <c r="AC6706" s="462" t="s">
        <v>21022</v>
      </c>
      <c r="AD6706" s="464">
        <v>1302.01776</v>
      </c>
      <c r="AE6706" s="465">
        <v>59.649279999999997</v>
      </c>
      <c r="AF6706" s="86">
        <f>IF(verze!$E$1="CZK",AD6706,IF(verze!$E$1="SK",AE6706,""))</f>
        <v>59.649279999999997</v>
      </c>
    </row>
    <row r="6707" spans="27:32" ht="15">
      <c r="AA6707" s="463" t="s">
        <v>21023</v>
      </c>
      <c r="AB6707" s="462" t="s">
        <v>21024</v>
      </c>
      <c r="AC6707" s="462" t="s">
        <v>21025</v>
      </c>
      <c r="AD6707" s="464">
        <v>1382.2702300000001</v>
      </c>
      <c r="AE6707" s="465">
        <v>63.325899999999997</v>
      </c>
      <c r="AF6707" s="86">
        <f>IF(verze!$E$1="CZK",AD6707,IF(verze!$E$1="SK",AE6707,""))</f>
        <v>63.325899999999997</v>
      </c>
    </row>
    <row r="6708" spans="27:32" ht="15">
      <c r="AA6708" s="463" t="s">
        <v>21026</v>
      </c>
      <c r="AB6708" s="462" t="s">
        <v>21027</v>
      </c>
      <c r="AC6708" s="462" t="s">
        <v>21028</v>
      </c>
      <c r="AD6708" s="464">
        <v>80.493380000000002</v>
      </c>
      <c r="AE6708" s="465">
        <v>3.68764</v>
      </c>
      <c r="AF6708" s="86">
        <f>IF(verze!$E$1="CZK",AD6708,IF(verze!$E$1="SK",AE6708,""))</f>
        <v>3.68764</v>
      </c>
    </row>
    <row r="6709" spans="27:32" ht="15">
      <c r="AA6709" s="463" t="s">
        <v>21029</v>
      </c>
      <c r="AB6709" s="462" t="s">
        <v>21030</v>
      </c>
      <c r="AC6709" s="462" t="s">
        <v>21031</v>
      </c>
      <c r="AD6709" s="464">
        <v>105.35984000000001</v>
      </c>
      <c r="AE6709" s="465">
        <v>4.8268399999999998</v>
      </c>
      <c r="AF6709" s="86">
        <f>IF(verze!$E$1="CZK",AD6709,IF(verze!$E$1="SK",AE6709,""))</f>
        <v>4.8268399999999998</v>
      </c>
    </row>
    <row r="6710" spans="27:32" ht="15">
      <c r="AA6710" s="463" t="s">
        <v>21032</v>
      </c>
      <c r="AB6710" s="462" t="s">
        <v>21033</v>
      </c>
      <c r="AC6710" s="462" t="s">
        <v>21034</v>
      </c>
      <c r="AD6710" s="464">
        <v>135.30108000000001</v>
      </c>
      <c r="AE6710" s="465">
        <v>6.1985400000000004</v>
      </c>
      <c r="AF6710" s="86">
        <f>IF(verze!$E$1="CZK",AD6710,IF(verze!$E$1="SK",AE6710,""))</f>
        <v>6.1985400000000004</v>
      </c>
    </row>
    <row r="6711" spans="27:32" ht="15">
      <c r="AA6711" s="463" t="s">
        <v>21035</v>
      </c>
      <c r="AB6711" s="462" t="s">
        <v>21036</v>
      </c>
      <c r="AC6711" s="462" t="s">
        <v>21037</v>
      </c>
      <c r="AD6711" s="464">
        <v>165.12379999999999</v>
      </c>
      <c r="AE6711" s="465">
        <v>7.5648200000000001</v>
      </c>
      <c r="AF6711" s="86">
        <f>IF(verze!$E$1="CZK",AD6711,IF(verze!$E$1="SK",AE6711,""))</f>
        <v>7.5648200000000001</v>
      </c>
    </row>
    <row r="6712" spans="27:32" ht="15">
      <c r="AA6712" s="463" t="s">
        <v>21038</v>
      </c>
      <c r="AB6712" s="462" t="s">
        <v>21039</v>
      </c>
      <c r="AC6712" s="462" t="s">
        <v>21040</v>
      </c>
      <c r="AD6712" s="464">
        <v>146.28121999999999</v>
      </c>
      <c r="AE6712" s="465">
        <v>6.7015799999999999</v>
      </c>
      <c r="AF6712" s="86">
        <f>IF(verze!$E$1="CZK",AD6712,IF(verze!$E$1="SK",AE6712,""))</f>
        <v>6.7015799999999999</v>
      </c>
    </row>
    <row r="6713" spans="27:32" ht="15">
      <c r="AA6713" s="463" t="s">
        <v>21041</v>
      </c>
      <c r="AB6713" s="462" t="s">
        <v>21042</v>
      </c>
      <c r="AC6713" s="462" t="s">
        <v>21043</v>
      </c>
      <c r="AD6713" s="464">
        <v>146.28121999999999</v>
      </c>
      <c r="AE6713" s="465">
        <v>6.7015799999999999</v>
      </c>
      <c r="AF6713" s="86">
        <f>IF(verze!$E$1="CZK",AD6713,IF(verze!$E$1="SK",AE6713,""))</f>
        <v>6.7015799999999999</v>
      </c>
    </row>
    <row r="6714" spans="27:32" ht="15">
      <c r="AA6714" s="463" t="s">
        <v>21044</v>
      </c>
      <c r="AB6714" s="462" t="s">
        <v>21045</v>
      </c>
      <c r="AC6714" s="462" t="s">
        <v>21046</v>
      </c>
      <c r="AD6714" s="464">
        <v>131.67567</v>
      </c>
      <c r="AE6714" s="465">
        <v>6.0324600000000004</v>
      </c>
      <c r="AF6714" s="86">
        <f>IF(verze!$E$1="CZK",AD6714,IF(verze!$E$1="SK",AE6714,""))</f>
        <v>6.0324600000000004</v>
      </c>
    </row>
    <row r="6715" spans="27:32" ht="15">
      <c r="AA6715" s="463" t="s">
        <v>21047</v>
      </c>
      <c r="AB6715" s="462" t="s">
        <v>21048</v>
      </c>
      <c r="AC6715" s="462" t="s">
        <v>21049</v>
      </c>
      <c r="AD6715" s="464">
        <v>254.75856999999999</v>
      </c>
      <c r="AE6715" s="465">
        <v>11.67126</v>
      </c>
      <c r="AF6715" s="86">
        <f>IF(verze!$E$1="CZK",AD6715,IF(verze!$E$1="SK",AE6715,""))</f>
        <v>11.67126</v>
      </c>
    </row>
    <row r="6716" spans="27:32" ht="15">
      <c r="AA6716" s="463" t="s">
        <v>21050</v>
      </c>
      <c r="AB6716" s="462" t="s">
        <v>21051</v>
      </c>
      <c r="AC6716" s="462" t="s">
        <v>21052</v>
      </c>
      <c r="AD6716" s="464">
        <v>254.75856999999999</v>
      </c>
      <c r="AE6716" s="465">
        <v>11.67126</v>
      </c>
      <c r="AF6716" s="86">
        <f>IF(verze!$E$1="CZK",AD6716,IF(verze!$E$1="SK",AE6716,""))</f>
        <v>11.67126</v>
      </c>
    </row>
    <row r="6717" spans="27:32" ht="15">
      <c r="AA6717" s="463" t="s">
        <v>21053</v>
      </c>
      <c r="AB6717" s="462" t="s">
        <v>21054</v>
      </c>
      <c r="AC6717" s="462" t="s">
        <v>21055</v>
      </c>
      <c r="AD6717" s="464">
        <v>217.60355000000001</v>
      </c>
      <c r="AE6717" s="465">
        <v>9.9690600000000007</v>
      </c>
      <c r="AF6717" s="86">
        <f>IF(verze!$E$1="CZK",AD6717,IF(verze!$E$1="SK",AE6717,""))</f>
        <v>9.9690600000000007</v>
      </c>
    </row>
    <row r="6718" spans="27:32" ht="15">
      <c r="AA6718" s="463" t="s">
        <v>21056</v>
      </c>
      <c r="AB6718" s="462" t="s">
        <v>21057</v>
      </c>
      <c r="AC6718" s="462" t="s">
        <v>21058</v>
      </c>
      <c r="AD6718" s="464">
        <v>251.73733999999999</v>
      </c>
      <c r="AE6718" s="465">
        <v>11.53284</v>
      </c>
      <c r="AF6718" s="86">
        <f>IF(verze!$E$1="CZK",AD6718,IF(verze!$E$1="SK",AE6718,""))</f>
        <v>11.53284</v>
      </c>
    </row>
    <row r="6719" spans="27:32" ht="15">
      <c r="AA6719" s="463" t="s">
        <v>21059</v>
      </c>
      <c r="AB6719" s="462" t="s">
        <v>21060</v>
      </c>
      <c r="AC6719" s="462" t="s">
        <v>21061</v>
      </c>
      <c r="AD6719" s="464">
        <v>287.86932000000002</v>
      </c>
      <c r="AE6719" s="465">
        <v>13.18816</v>
      </c>
      <c r="AF6719" s="86">
        <f>IF(verze!$E$1="CZK",AD6719,IF(verze!$E$1="SK",AE6719,""))</f>
        <v>13.18816</v>
      </c>
    </row>
    <row r="6720" spans="27:32" ht="15">
      <c r="AA6720" s="463" t="s">
        <v>21062</v>
      </c>
      <c r="AB6720" s="462" t="s">
        <v>21063</v>
      </c>
      <c r="AC6720" s="462" t="s">
        <v>21064</v>
      </c>
      <c r="AD6720" s="464">
        <v>162.46218999999999</v>
      </c>
      <c r="AE6720" s="465">
        <v>7.4428799999999997</v>
      </c>
      <c r="AF6720" s="86">
        <f>IF(verze!$E$1="CZK",AD6720,IF(verze!$E$1="SK",AE6720,""))</f>
        <v>7.4428799999999997</v>
      </c>
    </row>
    <row r="6721" spans="27:32" ht="15">
      <c r="AA6721" s="463" t="s">
        <v>21065</v>
      </c>
      <c r="AB6721" s="462" t="s">
        <v>21066</v>
      </c>
      <c r="AC6721" s="462" t="s">
        <v>21067</v>
      </c>
      <c r="AD6721" s="464">
        <v>170.58414999999999</v>
      </c>
      <c r="AE6721" s="465">
        <v>7.8149800000000003</v>
      </c>
      <c r="AF6721" s="86">
        <f>IF(verze!$E$1="CZK",AD6721,IF(verze!$E$1="SK",AE6721,""))</f>
        <v>7.8149800000000003</v>
      </c>
    </row>
    <row r="6722" spans="27:32" ht="15">
      <c r="AA6722" s="463" t="s">
        <v>21068</v>
      </c>
      <c r="AB6722" s="462" t="s">
        <v>21069</v>
      </c>
      <c r="AC6722" s="462" t="s">
        <v>21070</v>
      </c>
      <c r="AD6722" s="464">
        <v>162.46218999999999</v>
      </c>
      <c r="AE6722" s="465">
        <v>7.4428799999999997</v>
      </c>
      <c r="AF6722" s="86">
        <f>IF(verze!$E$1="CZK",AD6722,IF(verze!$E$1="SK",AE6722,""))</f>
        <v>7.4428799999999997</v>
      </c>
    </row>
    <row r="6723" spans="27:32" ht="15">
      <c r="AA6723" s="463" t="s">
        <v>21071</v>
      </c>
      <c r="AB6723" s="462" t="s">
        <v>21072</v>
      </c>
      <c r="AC6723" s="462" t="s">
        <v>21073</v>
      </c>
      <c r="AD6723" s="464">
        <v>137.66242</v>
      </c>
      <c r="AE6723" s="465">
        <v>6.3067200000000003</v>
      </c>
      <c r="AF6723" s="86">
        <f>IF(verze!$E$1="CZK",AD6723,IF(verze!$E$1="SK",AE6723,""))</f>
        <v>6.3067200000000003</v>
      </c>
    </row>
    <row r="6724" spans="27:32" ht="15">
      <c r="AA6724" s="463" t="s">
        <v>21074</v>
      </c>
      <c r="AB6724" s="462" t="s">
        <v>21075</v>
      </c>
      <c r="AC6724" s="462" t="s">
        <v>21076</v>
      </c>
      <c r="AD6724" s="464">
        <v>152.9315</v>
      </c>
      <c r="AE6724" s="465">
        <v>7.0062600000000002</v>
      </c>
      <c r="AF6724" s="86">
        <f>IF(verze!$E$1="CZK",AD6724,IF(verze!$E$1="SK",AE6724,""))</f>
        <v>7.0062600000000002</v>
      </c>
    </row>
    <row r="6725" spans="27:32" ht="15">
      <c r="AA6725" s="463" t="s">
        <v>21077</v>
      </c>
      <c r="AB6725" s="462" t="s">
        <v>21078</v>
      </c>
      <c r="AC6725" s="462" t="s">
        <v>21079</v>
      </c>
      <c r="AD6725" s="464">
        <v>266.33544999999998</v>
      </c>
      <c r="AE6725" s="465">
        <v>12.20162</v>
      </c>
      <c r="AF6725" s="86">
        <f>IF(verze!$E$1="CZK",AD6725,IF(verze!$E$1="SK",AE6725,""))</f>
        <v>12.20162</v>
      </c>
    </row>
    <row r="6726" spans="27:32" ht="15">
      <c r="AA6726" s="463" t="s">
        <v>21080</v>
      </c>
      <c r="AB6726" s="462" t="s">
        <v>21081</v>
      </c>
      <c r="AC6726" s="462" t="s">
        <v>21082</v>
      </c>
      <c r="AD6726" s="464">
        <v>55.790089999999999</v>
      </c>
      <c r="AE6726" s="465">
        <v>2.5558999999999998</v>
      </c>
      <c r="AF6726" s="86">
        <f>IF(verze!$E$1="CZK",AD6726,IF(verze!$E$1="SK",AE6726,""))</f>
        <v>2.5558999999999998</v>
      </c>
    </row>
    <row r="6727" spans="27:32" ht="15">
      <c r="AA6727" s="463" t="s">
        <v>21083</v>
      </c>
      <c r="AB6727" s="462" t="s">
        <v>21084</v>
      </c>
      <c r="AC6727" s="462" t="s">
        <v>21085</v>
      </c>
      <c r="AD6727" s="464">
        <v>272.67811</v>
      </c>
      <c r="AE6727" s="465">
        <v>12.492179999999999</v>
      </c>
      <c r="AF6727" s="86">
        <f>IF(verze!$E$1="CZK",AD6727,IF(verze!$E$1="SK",AE6727,""))</f>
        <v>12.492179999999999</v>
      </c>
    </row>
    <row r="6728" spans="27:32" ht="15">
      <c r="AA6728" s="463" t="s">
        <v>21086</v>
      </c>
      <c r="AB6728" s="462" t="s">
        <v>21087</v>
      </c>
      <c r="AC6728" s="462" t="s">
        <v>21088</v>
      </c>
      <c r="AD6728" s="464">
        <v>362.73919000000001</v>
      </c>
      <c r="AE6728" s="465">
        <v>16.61816</v>
      </c>
      <c r="AF6728" s="86">
        <f>IF(verze!$E$1="CZK",AD6728,IF(verze!$E$1="SK",AE6728,""))</f>
        <v>16.61816</v>
      </c>
    </row>
    <row r="6729" spans="27:32" ht="15">
      <c r="AA6729" s="463" t="s">
        <v>21089</v>
      </c>
      <c r="AB6729" s="462" t="s">
        <v>21090</v>
      </c>
      <c r="AC6729" s="462" t="s">
        <v>21091</v>
      </c>
      <c r="AD6729" s="464">
        <v>440.94537000000003</v>
      </c>
      <c r="AE6729" s="465">
        <v>20.20102</v>
      </c>
      <c r="AF6729" s="86">
        <f>IF(verze!$E$1="CZK",AD6729,IF(verze!$E$1="SK",AE6729,""))</f>
        <v>20.20102</v>
      </c>
    </row>
    <row r="6730" spans="27:32" ht="15">
      <c r="AA6730" s="463" t="s">
        <v>21092</v>
      </c>
      <c r="AB6730" s="462" t="s">
        <v>21093</v>
      </c>
      <c r="AC6730" s="462" t="s">
        <v>21094</v>
      </c>
      <c r="AD6730" s="464">
        <v>437.29037</v>
      </c>
      <c r="AE6730" s="465">
        <v>19.275320000000001</v>
      </c>
      <c r="AF6730" s="86">
        <f>IF(verze!$E$1="CZK",AD6730,IF(verze!$E$1="SK",AE6730,""))</f>
        <v>19.275320000000001</v>
      </c>
    </row>
    <row r="6731" spans="27:32" ht="15">
      <c r="AA6731" s="463" t="s">
        <v>21095</v>
      </c>
      <c r="AB6731" s="462" t="s">
        <v>21096</v>
      </c>
      <c r="AC6731" s="462" t="s">
        <v>21097</v>
      </c>
      <c r="AD6731" s="464">
        <v>477.71494000000001</v>
      </c>
      <c r="AE6731" s="465">
        <v>21.885539999999999</v>
      </c>
      <c r="AF6731" s="86">
        <f>IF(verze!$E$1="CZK",AD6731,IF(verze!$E$1="SK",AE6731,""))</f>
        <v>21.885539999999999</v>
      </c>
    </row>
    <row r="6732" spans="27:32" ht="15">
      <c r="AA6732" s="463" t="s">
        <v>21098</v>
      </c>
      <c r="AB6732" s="462" t="s">
        <v>21099</v>
      </c>
      <c r="AC6732" s="462" t="s">
        <v>21100</v>
      </c>
      <c r="AD6732" s="464">
        <v>219.71652</v>
      </c>
      <c r="AE6732" s="465">
        <v>10.065860000000001</v>
      </c>
      <c r="AF6732" s="86">
        <f>IF(verze!$E$1="CZK",AD6732,IF(verze!$E$1="SK",AE6732,""))</f>
        <v>10.065860000000001</v>
      </c>
    </row>
    <row r="6733" spans="27:32" ht="15">
      <c r="AA6733" s="463" t="s">
        <v>21101</v>
      </c>
      <c r="AB6733" s="462" t="s">
        <v>21102</v>
      </c>
      <c r="AC6733" s="462" t="s">
        <v>21103</v>
      </c>
      <c r="AD6733" s="464">
        <v>291.23892000000001</v>
      </c>
      <c r="AE6733" s="465">
        <v>13.34252</v>
      </c>
      <c r="AF6733" s="86">
        <f>IF(verze!$E$1="CZK",AD6733,IF(verze!$E$1="SK",AE6733,""))</f>
        <v>13.34252</v>
      </c>
    </row>
    <row r="6734" spans="27:32" ht="15">
      <c r="AA6734" s="463" t="s">
        <v>21104</v>
      </c>
      <c r="AB6734" s="462" t="s">
        <v>21105</v>
      </c>
      <c r="AC6734" s="462" t="s">
        <v>21106</v>
      </c>
      <c r="AD6734" s="464">
        <v>355.27701999999999</v>
      </c>
      <c r="AE6734" s="465">
        <v>16.276299999999999</v>
      </c>
      <c r="AF6734" s="86">
        <f>IF(verze!$E$1="CZK",AD6734,IF(verze!$E$1="SK",AE6734,""))</f>
        <v>16.276299999999999</v>
      </c>
    </row>
    <row r="6735" spans="27:32" ht="15">
      <c r="AA6735" s="463" t="s">
        <v>21107</v>
      </c>
      <c r="AB6735" s="462" t="s">
        <v>21108</v>
      </c>
      <c r="AC6735" s="462" t="s">
        <v>21109</v>
      </c>
      <c r="AD6735" s="464">
        <v>165.59459000000001</v>
      </c>
      <c r="AE6735" s="465">
        <v>7.5863800000000001</v>
      </c>
      <c r="AF6735" s="86">
        <f>IF(verze!$E$1="CZK",AD6735,IF(verze!$E$1="SK",AE6735,""))</f>
        <v>7.5863800000000001</v>
      </c>
    </row>
    <row r="6736" spans="27:32" ht="15">
      <c r="AA6736" s="463" t="s">
        <v>21110</v>
      </c>
      <c r="AB6736" s="462" t="s">
        <v>21111</v>
      </c>
      <c r="AC6736" s="462" t="s">
        <v>21112</v>
      </c>
      <c r="AD6736" s="464">
        <v>158.39184</v>
      </c>
      <c r="AE6736" s="465">
        <v>7.2564000000000002</v>
      </c>
      <c r="AF6736" s="86">
        <f>IF(verze!$E$1="CZK",AD6736,IF(verze!$E$1="SK",AE6736,""))</f>
        <v>7.2564000000000002</v>
      </c>
    </row>
    <row r="6737" spans="27:32" ht="15">
      <c r="AA6737" s="463" t="s">
        <v>21113</v>
      </c>
      <c r="AB6737" s="462" t="s">
        <v>21114</v>
      </c>
      <c r="AC6737" s="462" t="s">
        <v>21115</v>
      </c>
      <c r="AD6737" s="464">
        <v>158.39184</v>
      </c>
      <c r="AE6737" s="465">
        <v>7.2564000000000002</v>
      </c>
      <c r="AF6737" s="86">
        <f>IF(verze!$E$1="CZK",AD6737,IF(verze!$E$1="SK",AE6737,""))</f>
        <v>7.2564000000000002</v>
      </c>
    </row>
    <row r="6738" spans="27:32" ht="15">
      <c r="AA6738" s="463" t="s">
        <v>1320</v>
      </c>
      <c r="AB6738" s="462" t="s">
        <v>21116</v>
      </c>
      <c r="AC6738" s="462" t="s">
        <v>21117</v>
      </c>
      <c r="AD6738" s="464">
        <v>0</v>
      </c>
      <c r="AE6738" s="465">
        <v>0</v>
      </c>
      <c r="AF6738" s="86">
        <f>IF(verze!$E$1="CZK",AD6738,IF(verze!$E$1="SK",AE6738,""))</f>
        <v>0</v>
      </c>
    </row>
    <row r="6739" spans="27:32" ht="15">
      <c r="AA6739" s="463" t="s">
        <v>1320</v>
      </c>
      <c r="AB6739" s="462" t="s">
        <v>21118</v>
      </c>
      <c r="AC6739" s="462" t="s">
        <v>21119</v>
      </c>
      <c r="AD6739" s="464">
        <v>0</v>
      </c>
      <c r="AE6739" s="465">
        <v>0</v>
      </c>
      <c r="AF6739" s="86">
        <f>IF(verze!$E$1="CZK",AD6739,IF(verze!$E$1="SK",AE6739,""))</f>
        <v>0</v>
      </c>
    </row>
    <row r="6740" spans="27:32" ht="15">
      <c r="AA6740" s="463" t="s">
        <v>1320</v>
      </c>
      <c r="AB6740" s="462" t="s">
        <v>21120</v>
      </c>
      <c r="AC6740" s="462" t="s">
        <v>21121</v>
      </c>
      <c r="AD6740" s="464">
        <v>0</v>
      </c>
      <c r="AE6740" s="465">
        <v>0</v>
      </c>
      <c r="AF6740" s="86">
        <f>IF(verze!$E$1="CZK",AD6740,IF(verze!$E$1="SK",AE6740,""))</f>
        <v>0</v>
      </c>
    </row>
    <row r="6741" spans="27:32" ht="15">
      <c r="AA6741" s="463" t="s">
        <v>1320</v>
      </c>
      <c r="AB6741" s="462" t="s">
        <v>21122</v>
      </c>
      <c r="AC6741" s="462" t="s">
        <v>21123</v>
      </c>
      <c r="AD6741" s="464">
        <v>0</v>
      </c>
      <c r="AE6741" s="465">
        <v>0</v>
      </c>
      <c r="AF6741" s="86">
        <f>IF(verze!$E$1="CZK",AD6741,IF(verze!$E$1="SK",AE6741,""))</f>
        <v>0</v>
      </c>
    </row>
    <row r="6742" spans="27:32" ht="15">
      <c r="AA6742" s="463" t="s">
        <v>1320</v>
      </c>
      <c r="AB6742" s="462" t="s">
        <v>21124</v>
      </c>
      <c r="AC6742" s="462" t="s">
        <v>21125</v>
      </c>
      <c r="AD6742" s="464">
        <v>0</v>
      </c>
      <c r="AE6742" s="465">
        <v>0</v>
      </c>
      <c r="AF6742" s="86">
        <f>IF(verze!$E$1="CZK",AD6742,IF(verze!$E$1="SK",AE6742,""))</f>
        <v>0</v>
      </c>
    </row>
    <row r="6743" spans="27:32" ht="15">
      <c r="AA6743" s="463" t="s">
        <v>1320</v>
      </c>
      <c r="AB6743" s="462" t="s">
        <v>21126</v>
      </c>
      <c r="AC6743" s="462" t="s">
        <v>21127</v>
      </c>
      <c r="AD6743" s="464">
        <v>0</v>
      </c>
      <c r="AE6743" s="465">
        <v>0</v>
      </c>
      <c r="AF6743" s="86">
        <f>IF(verze!$E$1="CZK",AD6743,IF(verze!$E$1="SK",AE6743,""))</f>
        <v>0</v>
      </c>
    </row>
    <row r="6744" spans="27:32" ht="15">
      <c r="AA6744" s="463" t="s">
        <v>21128</v>
      </c>
      <c r="AB6744" s="462" t="s">
        <v>21129</v>
      </c>
      <c r="AC6744" s="462" t="s">
        <v>21130</v>
      </c>
      <c r="AD6744" s="464">
        <v>939.25917000000004</v>
      </c>
      <c r="AE6744" s="465">
        <v>0</v>
      </c>
      <c r="AF6744" s="86">
        <f>IF(verze!$E$1="CZK",AD6744,IF(verze!$E$1="SK",AE6744,""))</f>
        <v>0</v>
      </c>
    </row>
    <row r="6745" spans="27:32" ht="15">
      <c r="AA6745" s="463" t="s">
        <v>21128</v>
      </c>
      <c r="AB6745" s="462" t="s">
        <v>21131</v>
      </c>
      <c r="AC6745" s="462" t="s">
        <v>21132</v>
      </c>
      <c r="AD6745" s="464">
        <v>939.25917000000004</v>
      </c>
      <c r="AE6745" s="465">
        <v>43.241680000000002</v>
      </c>
      <c r="AF6745" s="86">
        <f>IF(verze!$E$1="CZK",AD6745,IF(verze!$E$1="SK",AE6745,""))</f>
        <v>43.241680000000002</v>
      </c>
    </row>
    <row r="6746" spans="27:32" ht="15">
      <c r="AA6746" s="463" t="s">
        <v>21128</v>
      </c>
      <c r="AB6746" s="462" t="s">
        <v>21133</v>
      </c>
      <c r="AC6746" s="462" t="s">
        <v>21134</v>
      </c>
      <c r="AD6746" s="464">
        <v>934.79101000000003</v>
      </c>
      <c r="AE6746" s="465">
        <v>43.035960000000003</v>
      </c>
      <c r="AF6746" s="86">
        <f>IF(verze!$E$1="CZK",AD6746,IF(verze!$E$1="SK",AE6746,""))</f>
        <v>43.035960000000003</v>
      </c>
    </row>
    <row r="6747" spans="27:32" ht="15">
      <c r="AA6747" s="463" t="s">
        <v>21128</v>
      </c>
      <c r="AB6747" s="462" t="s">
        <v>21135</v>
      </c>
      <c r="AC6747" s="462" t="s">
        <v>21136</v>
      </c>
      <c r="AD6747" s="464">
        <v>698.50086999999996</v>
      </c>
      <c r="AE6747" s="465">
        <v>32.157640000000001</v>
      </c>
      <c r="AF6747" s="86">
        <f>IF(verze!$E$1="CZK",AD6747,IF(verze!$E$1="SK",AE6747,""))</f>
        <v>32.157640000000001</v>
      </c>
    </row>
    <row r="6748" spans="27:32" ht="15">
      <c r="AA6748" s="463" t="s">
        <v>21128</v>
      </c>
      <c r="AB6748" s="462" t="s">
        <v>21137</v>
      </c>
      <c r="AC6748" s="462" t="s">
        <v>21138</v>
      </c>
      <c r="AD6748" s="464">
        <v>698.50086999999996</v>
      </c>
      <c r="AE6748" s="465">
        <v>33.21152</v>
      </c>
      <c r="AF6748" s="86">
        <f>IF(verze!$E$1="CZK",AD6748,IF(verze!$E$1="SK",AE6748,""))</f>
        <v>33.21152</v>
      </c>
    </row>
    <row r="6749" spans="27:32" ht="15">
      <c r="AA6749" s="463" t="s">
        <v>21128</v>
      </c>
      <c r="AB6749" s="462" t="s">
        <v>21139</v>
      </c>
      <c r="AC6749" s="462" t="s">
        <v>21140</v>
      </c>
      <c r="AD6749" s="464">
        <v>694.03270999999995</v>
      </c>
      <c r="AE6749" s="465">
        <v>31.951920000000001</v>
      </c>
      <c r="AF6749" s="86">
        <f>IF(verze!$E$1="CZK",AD6749,IF(verze!$E$1="SK",AE6749,""))</f>
        <v>31.951920000000001</v>
      </c>
    </row>
    <row r="6750" spans="27:32" ht="15">
      <c r="AA6750" s="463"/>
      <c r="AB6750" s="462" t="s">
        <v>21141</v>
      </c>
      <c r="AC6750" s="462" t="s">
        <v>21142</v>
      </c>
      <c r="AD6750" s="464">
        <v>366950.81910000002</v>
      </c>
      <c r="AE6750" s="465">
        <v>0</v>
      </c>
      <c r="AF6750" s="86">
        <f>IF(verze!$E$1="CZK",AD6750,IF(verze!$E$1="SK",AE6750,""))</f>
        <v>0</v>
      </c>
    </row>
    <row r="6751" spans="27:32" ht="15">
      <c r="AA6751" s="463" t="s">
        <v>1320</v>
      </c>
      <c r="AB6751" s="462" t="s">
        <v>21143</v>
      </c>
      <c r="AC6751" s="462" t="s">
        <v>21144</v>
      </c>
      <c r="AD6751" s="464">
        <v>9722.1417299999994</v>
      </c>
      <c r="AE6751" s="465">
        <v>0</v>
      </c>
      <c r="AF6751" s="86">
        <f>IF(verze!$E$1="CZK",AD6751,IF(verze!$E$1="SK",AE6751,""))</f>
        <v>0</v>
      </c>
    </row>
    <row r="6752" spans="27:32" ht="15">
      <c r="AA6752" s="463" t="s">
        <v>1320</v>
      </c>
      <c r="AB6752" s="462" t="s">
        <v>21145</v>
      </c>
      <c r="AC6752" s="462" t="s">
        <v>21146</v>
      </c>
      <c r="AD6752" s="464">
        <v>4.4999999999999998E-2</v>
      </c>
      <c r="AE6752" s="465">
        <v>1.1299999999999999E-3</v>
      </c>
      <c r="AF6752" s="86">
        <f>IF(verze!$E$1="CZK",AD6752,IF(verze!$E$1="SK",AE6752,""))</f>
        <v>1.1299999999999999E-3</v>
      </c>
    </row>
    <row r="6753" spans="27:32" ht="15">
      <c r="AA6753" s="463"/>
      <c r="AB6753" s="462" t="s">
        <v>21147</v>
      </c>
      <c r="AC6753" s="462" t="s">
        <v>21148</v>
      </c>
      <c r="AD6753" s="464">
        <v>1.8E-3</v>
      </c>
      <c r="AE6753" s="465">
        <v>4.0000000000000003E-5</v>
      </c>
      <c r="AF6753" s="86">
        <f>IF(verze!$E$1="CZK",AD6753,IF(verze!$E$1="SK",AE6753,""))</f>
        <v>4.0000000000000003E-5</v>
      </c>
    </row>
    <row r="6754" spans="27:32" ht="15">
      <c r="AA6754" s="463" t="s">
        <v>21149</v>
      </c>
      <c r="AB6754" s="462" t="s">
        <v>21150</v>
      </c>
      <c r="AC6754" s="462" t="s">
        <v>21151</v>
      </c>
      <c r="AD6754" s="464">
        <v>96.010829999999999</v>
      </c>
      <c r="AE6754" s="465">
        <v>4.3985399999999997</v>
      </c>
      <c r="AF6754" s="86">
        <f>IF(verze!$E$1="CZK",AD6754,IF(verze!$E$1="SK",AE6754,""))</f>
        <v>4.3985399999999997</v>
      </c>
    </row>
    <row r="6755" spans="27:32" ht="15">
      <c r="AA6755" s="463" t="s">
        <v>21152</v>
      </c>
      <c r="AB6755" s="462" t="s">
        <v>21153</v>
      </c>
      <c r="AC6755" s="462" t="s">
        <v>21154</v>
      </c>
      <c r="AD6755" s="464">
        <v>119.69843</v>
      </c>
      <c r="AE6755" s="465">
        <v>5.4837400000000001</v>
      </c>
      <c r="AF6755" s="86">
        <f>IF(verze!$E$1="CZK",AD6755,IF(verze!$E$1="SK",AE6755,""))</f>
        <v>5.4837400000000001</v>
      </c>
    </row>
    <row r="6756" spans="27:32" ht="15">
      <c r="AA6756" s="463" t="s">
        <v>21155</v>
      </c>
      <c r="AB6756" s="462" t="s">
        <v>21156</v>
      </c>
      <c r="AC6756" s="462" t="s">
        <v>21157</v>
      </c>
      <c r="AD6756" s="464">
        <v>367.40264999999999</v>
      </c>
      <c r="AE6756" s="465">
        <v>16.831800000000001</v>
      </c>
      <c r="AF6756" s="86">
        <f>IF(verze!$E$1="CZK",AD6756,IF(verze!$E$1="SK",AE6756,""))</f>
        <v>16.831800000000001</v>
      </c>
    </row>
    <row r="6757" spans="27:32" ht="15">
      <c r="AA6757" s="463" t="s">
        <v>21158</v>
      </c>
      <c r="AB6757" s="462" t="s">
        <v>21159</v>
      </c>
      <c r="AC6757" s="462" t="s">
        <v>21160</v>
      </c>
      <c r="AD6757" s="464">
        <v>334.00268</v>
      </c>
      <c r="AE6757" s="465">
        <v>15.301640000000001</v>
      </c>
      <c r="AF6757" s="86">
        <f>IF(verze!$E$1="CZK",AD6757,IF(verze!$E$1="SK",AE6757,""))</f>
        <v>15.301640000000001</v>
      </c>
    </row>
    <row r="6758" spans="27:32" ht="15">
      <c r="AA6758" s="463" t="s">
        <v>21161</v>
      </c>
      <c r="AB6758" s="462" t="s">
        <v>21162</v>
      </c>
      <c r="AC6758" s="462" t="s">
        <v>21163</v>
      </c>
      <c r="AD6758" s="464">
        <v>40.265749999999997</v>
      </c>
      <c r="AE6758" s="465">
        <v>1.4902200000000001</v>
      </c>
      <c r="AF6758" s="86">
        <f>IF(verze!$E$1="CZK",AD6758,IF(verze!$E$1="SK",AE6758,""))</f>
        <v>1.4902200000000001</v>
      </c>
    </row>
    <row r="6759" spans="27:32" ht="15">
      <c r="AA6759" s="463"/>
      <c r="AB6759" s="462" t="s">
        <v>21164</v>
      </c>
      <c r="AC6759" s="462" t="s">
        <v>21165</v>
      </c>
      <c r="AD6759" s="464">
        <v>14074.2</v>
      </c>
      <c r="AE6759" s="465">
        <v>355.14217000000002</v>
      </c>
      <c r="AF6759" s="86">
        <f>IF(verze!$E$1="CZK",AD6759,IF(verze!$E$1="SK",AE6759,""))</f>
        <v>355.14217000000002</v>
      </c>
    </row>
    <row r="6760" spans="27:32" ht="15">
      <c r="AA6760" s="463" t="s">
        <v>21128</v>
      </c>
      <c r="AB6760" s="462" t="s">
        <v>21166</v>
      </c>
      <c r="AC6760" s="462" t="s">
        <v>21167</v>
      </c>
      <c r="AD6760" s="464">
        <v>932.50323000000003</v>
      </c>
      <c r="AE6760" s="465">
        <v>43.858879999999999</v>
      </c>
      <c r="AF6760" s="86">
        <f>IF(verze!$E$1="CZK",AD6760,IF(verze!$E$1="SK",AE6760,""))</f>
        <v>43.858879999999999</v>
      </c>
    </row>
    <row r="6761" spans="27:32" ht="15">
      <c r="AA6761" s="463" t="s">
        <v>21128</v>
      </c>
      <c r="AB6761" s="462" t="s">
        <v>21168</v>
      </c>
      <c r="AC6761" s="462" t="s">
        <v>21169</v>
      </c>
      <c r="AD6761" s="464">
        <v>932.50323000000003</v>
      </c>
      <c r="AE6761" s="465">
        <v>43.858879999999999</v>
      </c>
      <c r="AF6761" s="86">
        <f>IF(verze!$E$1="CZK",AD6761,IF(verze!$E$1="SK",AE6761,""))</f>
        <v>43.858879999999999</v>
      </c>
    </row>
    <row r="6762" spans="27:32" ht="15">
      <c r="AA6762" s="463" t="s">
        <v>21128</v>
      </c>
      <c r="AB6762" s="462" t="s">
        <v>21170</v>
      </c>
      <c r="AC6762" s="462" t="s">
        <v>21171</v>
      </c>
      <c r="AD6762" s="464">
        <v>932.50323000000003</v>
      </c>
      <c r="AE6762" s="465">
        <v>43.858879999999999</v>
      </c>
      <c r="AF6762" s="86">
        <f>IF(verze!$E$1="CZK",AD6762,IF(verze!$E$1="SK",AE6762,""))</f>
        <v>43.858879999999999</v>
      </c>
    </row>
    <row r="6763" spans="27:32" ht="15">
      <c r="AA6763" s="463" t="s">
        <v>21128</v>
      </c>
      <c r="AB6763" s="462" t="s">
        <v>21172</v>
      </c>
      <c r="AC6763" s="462" t="s">
        <v>21173</v>
      </c>
      <c r="AD6763" s="464">
        <v>932.50323000000003</v>
      </c>
      <c r="AE6763" s="465">
        <v>43.858879999999999</v>
      </c>
      <c r="AF6763" s="86">
        <f>IF(verze!$E$1="CZK",AD6763,IF(verze!$E$1="SK",AE6763,""))</f>
        <v>43.858879999999999</v>
      </c>
    </row>
    <row r="6764" spans="27:32" ht="15">
      <c r="AA6764" s="463" t="s">
        <v>21128</v>
      </c>
      <c r="AB6764" s="462" t="s">
        <v>21174</v>
      </c>
      <c r="AC6764" s="462" t="s">
        <v>21175</v>
      </c>
      <c r="AD6764" s="464">
        <v>955.64260000000002</v>
      </c>
      <c r="AE6764" s="465">
        <v>44.947200000000002</v>
      </c>
      <c r="AF6764" s="86">
        <f>IF(verze!$E$1="CZK",AD6764,IF(verze!$E$1="SK",AE6764,""))</f>
        <v>44.947200000000002</v>
      </c>
    </row>
    <row r="6765" spans="27:32" ht="15">
      <c r="AA6765" s="463" t="s">
        <v>21128</v>
      </c>
      <c r="AB6765" s="462" t="s">
        <v>21176</v>
      </c>
      <c r="AC6765" s="462" t="s">
        <v>21177</v>
      </c>
      <c r="AD6765" s="464">
        <v>955.64260000000002</v>
      </c>
      <c r="AE6765" s="465">
        <v>44.947200000000002</v>
      </c>
      <c r="AF6765" s="86">
        <f>IF(verze!$E$1="CZK",AD6765,IF(verze!$E$1="SK",AE6765,""))</f>
        <v>44.947200000000002</v>
      </c>
    </row>
    <row r="6766" spans="27:32" ht="15">
      <c r="AA6766" s="463" t="s">
        <v>21128</v>
      </c>
      <c r="AB6766" s="462" t="s">
        <v>21178</v>
      </c>
      <c r="AC6766" s="462" t="s">
        <v>21179</v>
      </c>
      <c r="AD6766" s="464">
        <v>955.64260000000002</v>
      </c>
      <c r="AE6766" s="465">
        <v>44.947200000000002</v>
      </c>
      <c r="AF6766" s="86">
        <f>IF(verze!$E$1="CZK",AD6766,IF(verze!$E$1="SK",AE6766,""))</f>
        <v>44.947200000000002</v>
      </c>
    </row>
    <row r="6767" spans="27:32" ht="15">
      <c r="AA6767" s="463" t="s">
        <v>21128</v>
      </c>
      <c r="AB6767" s="462" t="s">
        <v>21180</v>
      </c>
      <c r="AC6767" s="462" t="s">
        <v>21181</v>
      </c>
      <c r="AD6767" s="464">
        <v>975.27800000000002</v>
      </c>
      <c r="AE6767" s="465">
        <v>44.899920000000002</v>
      </c>
      <c r="AF6767" s="86">
        <f>IF(verze!$E$1="CZK",AD6767,IF(verze!$E$1="SK",AE6767,""))</f>
        <v>44.899920000000002</v>
      </c>
    </row>
    <row r="6768" spans="27:32" ht="15">
      <c r="AA6768" s="463" t="s">
        <v>21128</v>
      </c>
      <c r="AB6768" s="462" t="s">
        <v>21182</v>
      </c>
      <c r="AC6768" s="462" t="s">
        <v>21183</v>
      </c>
      <c r="AD6768" s="464">
        <v>975.27800000000002</v>
      </c>
      <c r="AE6768" s="465">
        <v>44.899920000000002</v>
      </c>
      <c r="AF6768" s="86">
        <f>IF(verze!$E$1="CZK",AD6768,IF(verze!$E$1="SK",AE6768,""))</f>
        <v>44.899920000000002</v>
      </c>
    </row>
    <row r="6769" spans="27:32" ht="15">
      <c r="AA6769" s="463" t="s">
        <v>21128</v>
      </c>
      <c r="AB6769" s="462" t="s">
        <v>21184</v>
      </c>
      <c r="AC6769" s="462" t="s">
        <v>21185</v>
      </c>
      <c r="AD6769" s="464">
        <v>695.66036999999994</v>
      </c>
      <c r="AE6769" s="465">
        <v>32.719340000000003</v>
      </c>
      <c r="AF6769" s="86">
        <f>IF(verze!$E$1="CZK",AD6769,IF(verze!$E$1="SK",AE6769,""))</f>
        <v>32.719340000000003</v>
      </c>
    </row>
    <row r="6770" spans="27:32" ht="15">
      <c r="AA6770" s="463" t="s">
        <v>21128</v>
      </c>
      <c r="AB6770" s="462" t="s">
        <v>21186</v>
      </c>
      <c r="AC6770" s="462" t="s">
        <v>21187</v>
      </c>
      <c r="AD6770" s="464">
        <v>695.66036999999994</v>
      </c>
      <c r="AE6770" s="465">
        <v>32.719340000000003</v>
      </c>
      <c r="AF6770" s="86">
        <f>IF(verze!$E$1="CZK",AD6770,IF(verze!$E$1="SK",AE6770,""))</f>
        <v>32.719340000000003</v>
      </c>
    </row>
    <row r="6771" spans="27:32" ht="15">
      <c r="AA6771" s="463" t="s">
        <v>21128</v>
      </c>
      <c r="AB6771" s="462" t="s">
        <v>21188</v>
      </c>
      <c r="AC6771" s="462" t="s">
        <v>21189</v>
      </c>
      <c r="AD6771" s="464">
        <v>695.66036999999994</v>
      </c>
      <c r="AE6771" s="465">
        <v>32.719340000000003</v>
      </c>
      <c r="AF6771" s="86">
        <f>IF(verze!$E$1="CZK",AD6771,IF(verze!$E$1="SK",AE6771,""))</f>
        <v>32.719340000000003</v>
      </c>
    </row>
    <row r="6772" spans="27:32" ht="15">
      <c r="AA6772" s="463" t="s">
        <v>21128</v>
      </c>
      <c r="AB6772" s="462" t="s">
        <v>21190</v>
      </c>
      <c r="AC6772" s="462" t="s">
        <v>21191</v>
      </c>
      <c r="AD6772" s="464">
        <v>695.66036999999994</v>
      </c>
      <c r="AE6772" s="465">
        <v>32.719340000000003</v>
      </c>
      <c r="AF6772" s="86">
        <f>IF(verze!$E$1="CZK",AD6772,IF(verze!$E$1="SK",AE6772,""))</f>
        <v>32.719340000000003</v>
      </c>
    </row>
    <row r="6773" spans="27:32" ht="15">
      <c r="AA6773" s="463" t="s">
        <v>21128</v>
      </c>
      <c r="AB6773" s="462" t="s">
        <v>21192</v>
      </c>
      <c r="AC6773" s="462" t="s">
        <v>21193</v>
      </c>
      <c r="AD6773" s="464">
        <v>695.66036999999994</v>
      </c>
      <c r="AE6773" s="465">
        <v>32.719340000000003</v>
      </c>
      <c r="AF6773" s="86">
        <f>IF(verze!$E$1="CZK",AD6773,IF(verze!$E$1="SK",AE6773,""))</f>
        <v>32.719340000000003</v>
      </c>
    </row>
    <row r="6774" spans="27:32" ht="15">
      <c r="AA6774" s="463" t="s">
        <v>21128</v>
      </c>
      <c r="AB6774" s="462" t="s">
        <v>21194</v>
      </c>
      <c r="AC6774" s="462" t="s">
        <v>21195</v>
      </c>
      <c r="AD6774" s="464">
        <v>712.61577999999997</v>
      </c>
      <c r="AE6774" s="465">
        <v>33.516800000000003</v>
      </c>
      <c r="AF6774" s="86">
        <f>IF(verze!$E$1="CZK",AD6774,IF(verze!$E$1="SK",AE6774,""))</f>
        <v>33.516800000000003</v>
      </c>
    </row>
    <row r="6775" spans="27:32" ht="15">
      <c r="AA6775" s="463" t="s">
        <v>21128</v>
      </c>
      <c r="AB6775" s="462" t="s">
        <v>21196</v>
      </c>
      <c r="AC6775" s="462" t="s">
        <v>21197</v>
      </c>
      <c r="AD6775" s="464">
        <v>712.61577999999997</v>
      </c>
      <c r="AE6775" s="465">
        <v>33.516800000000003</v>
      </c>
      <c r="AF6775" s="86">
        <f>IF(verze!$E$1="CZK",AD6775,IF(verze!$E$1="SK",AE6775,""))</f>
        <v>33.516800000000003</v>
      </c>
    </row>
    <row r="6776" spans="27:32" ht="15">
      <c r="AA6776" s="463" t="s">
        <v>21128</v>
      </c>
      <c r="AB6776" s="462" t="s">
        <v>21198</v>
      </c>
      <c r="AC6776" s="462" t="s">
        <v>21199</v>
      </c>
      <c r="AD6776" s="464">
        <v>712.61577999999997</v>
      </c>
      <c r="AE6776" s="465">
        <v>33.516800000000003</v>
      </c>
      <c r="AF6776" s="86">
        <f>IF(verze!$E$1="CZK",AD6776,IF(verze!$E$1="SK",AE6776,""))</f>
        <v>33.516800000000003</v>
      </c>
    </row>
    <row r="6777" spans="27:32" ht="15">
      <c r="AA6777" s="463" t="s">
        <v>21128</v>
      </c>
      <c r="AB6777" s="462" t="s">
        <v>21200</v>
      </c>
      <c r="AC6777" s="462" t="s">
        <v>21201</v>
      </c>
      <c r="AD6777" s="464">
        <v>730.21992999999998</v>
      </c>
      <c r="AE6777" s="465">
        <v>33.617919999999998</v>
      </c>
      <c r="AF6777" s="86">
        <f>IF(verze!$E$1="CZK",AD6777,IF(verze!$E$1="SK",AE6777,""))</f>
        <v>33.617919999999998</v>
      </c>
    </row>
    <row r="6778" spans="27:32" ht="15">
      <c r="AA6778" s="463" t="s">
        <v>21128</v>
      </c>
      <c r="AB6778" s="462" t="s">
        <v>21202</v>
      </c>
      <c r="AC6778" s="462" t="s">
        <v>21203</v>
      </c>
      <c r="AD6778" s="464">
        <v>730.21992999999998</v>
      </c>
      <c r="AE6778" s="465">
        <v>33.617919999999998</v>
      </c>
      <c r="AF6778" s="86">
        <f>IF(verze!$E$1="CZK",AD6778,IF(verze!$E$1="SK",AE6778,""))</f>
        <v>33.617919999999998</v>
      </c>
    </row>
    <row r="6779" spans="27:32" ht="15">
      <c r="AA6779" s="463" t="s">
        <v>1320</v>
      </c>
      <c r="AB6779" s="462" t="s">
        <v>21204</v>
      </c>
      <c r="AC6779" s="462" t="s">
        <v>21205</v>
      </c>
      <c r="AD6779" s="464">
        <v>1217.31548</v>
      </c>
      <c r="AE6779" s="465">
        <v>56.042859999999997</v>
      </c>
      <c r="AF6779" s="86">
        <f>IF(verze!$E$1="CZK",AD6779,IF(verze!$E$1="SK",AE6779,""))</f>
        <v>56.042859999999997</v>
      </c>
    </row>
    <row r="6780" spans="27:32" ht="15">
      <c r="AA6780" s="463" t="s">
        <v>1320</v>
      </c>
      <c r="AB6780" s="462" t="s">
        <v>21206</v>
      </c>
      <c r="AC6780" s="462" t="s">
        <v>21207</v>
      </c>
      <c r="AD6780" s="464">
        <v>1217.31548</v>
      </c>
      <c r="AE6780" s="465">
        <v>56.042859999999997</v>
      </c>
      <c r="AF6780" s="86">
        <f>IF(verze!$E$1="CZK",AD6780,IF(verze!$E$1="SK",AE6780,""))</f>
        <v>56.042859999999997</v>
      </c>
    </row>
    <row r="6781" spans="27:32" ht="15">
      <c r="AA6781" s="463" t="s">
        <v>1320</v>
      </c>
      <c r="AB6781" s="462" t="s">
        <v>21208</v>
      </c>
      <c r="AC6781" s="462" t="s">
        <v>21209</v>
      </c>
      <c r="AD6781" s="464">
        <v>1217.31548</v>
      </c>
      <c r="AE6781" s="465">
        <v>56.042859999999997</v>
      </c>
      <c r="AF6781" s="86">
        <f>IF(verze!$E$1="CZK",AD6781,IF(verze!$E$1="SK",AE6781,""))</f>
        <v>56.042859999999997</v>
      </c>
    </row>
    <row r="6782" spans="27:32" ht="15">
      <c r="AA6782" s="463" t="s">
        <v>1320</v>
      </c>
      <c r="AB6782" s="462" t="s">
        <v>21210</v>
      </c>
      <c r="AC6782" s="462" t="s">
        <v>21211</v>
      </c>
      <c r="AD6782" s="464">
        <v>1223.1234199999999</v>
      </c>
      <c r="AE6782" s="465">
        <v>56.31024</v>
      </c>
      <c r="AF6782" s="86">
        <f>IF(verze!$E$1="CZK",AD6782,IF(verze!$E$1="SK",AE6782,""))</f>
        <v>56.31024</v>
      </c>
    </row>
    <row r="6783" spans="27:32" ht="15">
      <c r="AA6783" s="463" t="s">
        <v>1320</v>
      </c>
      <c r="AB6783" s="462" t="s">
        <v>21212</v>
      </c>
      <c r="AC6783" s="462" t="s">
        <v>21213</v>
      </c>
      <c r="AD6783" s="464">
        <v>0</v>
      </c>
      <c r="AE6783" s="465">
        <v>0</v>
      </c>
      <c r="AF6783" s="86">
        <f>IF(verze!$E$1="CZK",AD6783,IF(verze!$E$1="SK",AE6783,""))</f>
        <v>0</v>
      </c>
    </row>
    <row r="6784" spans="27:32" ht="15">
      <c r="AA6784" s="463" t="s">
        <v>1320</v>
      </c>
      <c r="AB6784" s="462" t="s">
        <v>21214</v>
      </c>
      <c r="AC6784" s="462" t="s">
        <v>21215</v>
      </c>
      <c r="AD6784" s="464">
        <v>1223.1234199999999</v>
      </c>
      <c r="AE6784" s="465">
        <v>56.31024</v>
      </c>
      <c r="AF6784" s="86">
        <f>IF(verze!$E$1="CZK",AD6784,IF(verze!$E$1="SK",AE6784,""))</f>
        <v>56.31024</v>
      </c>
    </row>
    <row r="6785" spans="27:32" ht="15">
      <c r="AA6785" s="463" t="s">
        <v>1320</v>
      </c>
      <c r="AB6785" s="462" t="s">
        <v>21216</v>
      </c>
      <c r="AC6785" s="462" t="s">
        <v>21217</v>
      </c>
      <c r="AD6785" s="464">
        <v>1240.3042700000001</v>
      </c>
      <c r="AE6785" s="465">
        <v>57.101219999999998</v>
      </c>
      <c r="AF6785" s="86">
        <f>IF(verze!$E$1="CZK",AD6785,IF(verze!$E$1="SK",AE6785,""))</f>
        <v>57.101219999999998</v>
      </c>
    </row>
    <row r="6786" spans="27:32" ht="15">
      <c r="AA6786" s="463" t="s">
        <v>1320</v>
      </c>
      <c r="AB6786" s="462" t="s">
        <v>21218</v>
      </c>
      <c r="AC6786" s="462" t="s">
        <v>21219</v>
      </c>
      <c r="AD6786" s="464">
        <v>1240.3042700000001</v>
      </c>
      <c r="AE6786" s="465">
        <v>57.101219999999998</v>
      </c>
      <c r="AF6786" s="86">
        <f>IF(verze!$E$1="CZK",AD6786,IF(verze!$E$1="SK",AE6786,""))</f>
        <v>57.101219999999998</v>
      </c>
    </row>
    <row r="6787" spans="27:32" ht="15">
      <c r="AA6787" s="463" t="s">
        <v>1320</v>
      </c>
      <c r="AB6787" s="462" t="s">
        <v>21220</v>
      </c>
      <c r="AC6787" s="462" t="s">
        <v>21221</v>
      </c>
      <c r="AD6787" s="464">
        <v>1240.3042700000001</v>
      </c>
      <c r="AE6787" s="465">
        <v>57.101219999999998</v>
      </c>
      <c r="AF6787" s="86">
        <f>IF(verze!$E$1="CZK",AD6787,IF(verze!$E$1="SK",AE6787,""))</f>
        <v>57.101219999999998</v>
      </c>
    </row>
    <row r="6788" spans="27:32" ht="15">
      <c r="AA6788" s="463" t="s">
        <v>1320</v>
      </c>
      <c r="AB6788" s="462" t="s">
        <v>21222</v>
      </c>
      <c r="AC6788" s="462" t="s">
        <v>21223</v>
      </c>
      <c r="AD6788" s="464">
        <v>1257.4727600000001</v>
      </c>
      <c r="AE6788" s="465">
        <v>57.891620000000003</v>
      </c>
      <c r="AF6788" s="86">
        <f>IF(verze!$E$1="CZK",AD6788,IF(verze!$E$1="SK",AE6788,""))</f>
        <v>57.891620000000003</v>
      </c>
    </row>
    <row r="6789" spans="27:32" ht="15">
      <c r="AA6789" s="463" t="s">
        <v>1320</v>
      </c>
      <c r="AB6789" s="462" t="s">
        <v>21224</v>
      </c>
      <c r="AC6789" s="462" t="s">
        <v>21225</v>
      </c>
      <c r="AD6789" s="464">
        <v>1257.4727600000001</v>
      </c>
      <c r="AE6789" s="465">
        <v>57.891620000000003</v>
      </c>
      <c r="AF6789" s="86">
        <f>IF(verze!$E$1="CZK",AD6789,IF(verze!$E$1="SK",AE6789,""))</f>
        <v>57.891620000000003</v>
      </c>
    </row>
    <row r="6790" spans="27:32" ht="15">
      <c r="AA6790" s="463" t="s">
        <v>1320</v>
      </c>
      <c r="AB6790" s="462" t="s">
        <v>21226</v>
      </c>
      <c r="AC6790" s="462" t="s">
        <v>21227</v>
      </c>
      <c r="AD6790" s="464">
        <v>1257.4727600000001</v>
      </c>
      <c r="AE6790" s="465">
        <v>57.891620000000003</v>
      </c>
      <c r="AF6790" s="86">
        <f>IF(verze!$E$1="CZK",AD6790,IF(verze!$E$1="SK",AE6790,""))</f>
        <v>57.891620000000003</v>
      </c>
    </row>
    <row r="6791" spans="27:32" ht="15">
      <c r="AA6791" s="463" t="s">
        <v>1320</v>
      </c>
      <c r="AB6791" s="462" t="s">
        <v>21228</v>
      </c>
      <c r="AC6791" s="462" t="s">
        <v>21229</v>
      </c>
      <c r="AD6791" s="464">
        <v>1090.1286</v>
      </c>
      <c r="AE6791" s="465">
        <v>50.187420000000003</v>
      </c>
      <c r="AF6791" s="86">
        <f>IF(verze!$E$1="CZK",AD6791,IF(verze!$E$1="SK",AE6791,""))</f>
        <v>50.187420000000003</v>
      </c>
    </row>
    <row r="6792" spans="27:32" ht="15">
      <c r="AA6792" s="463" t="s">
        <v>1320</v>
      </c>
      <c r="AB6792" s="462" t="s">
        <v>21230</v>
      </c>
      <c r="AC6792" s="462" t="s">
        <v>21231</v>
      </c>
      <c r="AD6792" s="464">
        <v>1090.1286</v>
      </c>
      <c r="AE6792" s="465">
        <v>50.187420000000003</v>
      </c>
      <c r="AF6792" s="86">
        <f>IF(verze!$E$1="CZK",AD6792,IF(verze!$E$1="SK",AE6792,""))</f>
        <v>50.187420000000003</v>
      </c>
    </row>
    <row r="6793" spans="27:32" ht="15">
      <c r="AA6793" s="463" t="s">
        <v>1320</v>
      </c>
      <c r="AB6793" s="462" t="s">
        <v>21232</v>
      </c>
      <c r="AC6793" s="462" t="s">
        <v>21233</v>
      </c>
      <c r="AD6793" s="464">
        <v>1090.1286</v>
      </c>
      <c r="AE6793" s="465">
        <v>50.187420000000003</v>
      </c>
      <c r="AF6793" s="86">
        <f>IF(verze!$E$1="CZK",AD6793,IF(verze!$E$1="SK",AE6793,""))</f>
        <v>50.187420000000003</v>
      </c>
    </row>
    <row r="6794" spans="27:32" ht="15">
      <c r="AA6794" s="463" t="s">
        <v>1320</v>
      </c>
      <c r="AB6794" s="462" t="s">
        <v>21234</v>
      </c>
      <c r="AC6794" s="462" t="s">
        <v>21235</v>
      </c>
      <c r="AD6794" s="464">
        <v>1106.66497</v>
      </c>
      <c r="AE6794" s="465">
        <v>50.948720000000002</v>
      </c>
      <c r="AF6794" s="86">
        <f>IF(verze!$E$1="CZK",AD6794,IF(verze!$E$1="SK",AE6794,""))</f>
        <v>50.948720000000002</v>
      </c>
    </row>
    <row r="6795" spans="27:32" ht="15">
      <c r="AA6795" s="463" t="s">
        <v>1320</v>
      </c>
      <c r="AB6795" s="462" t="s">
        <v>21236</v>
      </c>
      <c r="AC6795" s="462" t="s">
        <v>21237</v>
      </c>
      <c r="AD6795" s="464">
        <v>1106.66497</v>
      </c>
      <c r="AE6795" s="465">
        <v>50.948720000000002</v>
      </c>
      <c r="AF6795" s="86">
        <f>IF(verze!$E$1="CZK",AD6795,IF(verze!$E$1="SK",AE6795,""))</f>
        <v>50.948720000000002</v>
      </c>
    </row>
    <row r="6796" spans="27:32" ht="15">
      <c r="AA6796" s="463" t="s">
        <v>1320</v>
      </c>
      <c r="AB6796" s="462" t="s">
        <v>21238</v>
      </c>
      <c r="AC6796" s="462" t="s">
        <v>21239</v>
      </c>
      <c r="AD6796" s="464">
        <v>1083.9476299999999</v>
      </c>
      <c r="AE6796" s="465">
        <v>49.902859999999997</v>
      </c>
      <c r="AF6796" s="86">
        <f>IF(verze!$E$1="CZK",AD6796,IF(verze!$E$1="SK",AE6796,""))</f>
        <v>49.902859999999997</v>
      </c>
    </row>
    <row r="6797" spans="27:32" ht="15">
      <c r="AA6797" s="463" t="s">
        <v>1320</v>
      </c>
      <c r="AB6797" s="462" t="s">
        <v>21240</v>
      </c>
      <c r="AC6797" s="462" t="s">
        <v>21241</v>
      </c>
      <c r="AD6797" s="464">
        <v>1321.07413</v>
      </c>
      <c r="AE6797" s="465">
        <v>60.819699999999997</v>
      </c>
      <c r="AF6797" s="86">
        <f>IF(verze!$E$1="CZK",AD6797,IF(verze!$E$1="SK",AE6797,""))</f>
        <v>60.819699999999997</v>
      </c>
    </row>
    <row r="6798" spans="27:32" ht="15">
      <c r="AA6798" s="463" t="s">
        <v>1320</v>
      </c>
      <c r="AB6798" s="462" t="s">
        <v>21242</v>
      </c>
      <c r="AC6798" s="462" t="s">
        <v>21243</v>
      </c>
      <c r="AD6798" s="464">
        <v>1321.07413</v>
      </c>
      <c r="AE6798" s="465">
        <v>60.819699999999997</v>
      </c>
      <c r="AF6798" s="86">
        <f>IF(verze!$E$1="CZK",AD6798,IF(verze!$E$1="SK",AE6798,""))</f>
        <v>60.819699999999997</v>
      </c>
    </row>
    <row r="6799" spans="27:32" ht="15">
      <c r="AA6799" s="463" t="s">
        <v>1320</v>
      </c>
      <c r="AB6799" s="462" t="s">
        <v>21244</v>
      </c>
      <c r="AC6799" s="462" t="s">
        <v>21245</v>
      </c>
      <c r="AD6799" s="464">
        <v>1342.4088200000001</v>
      </c>
      <c r="AE6799" s="465">
        <v>61.801920000000003</v>
      </c>
      <c r="AF6799" s="86">
        <f>IF(verze!$E$1="CZK",AD6799,IF(verze!$E$1="SK",AE6799,""))</f>
        <v>61.801920000000003</v>
      </c>
    </row>
    <row r="6800" spans="27:32" ht="15">
      <c r="AA6800" s="463" t="s">
        <v>1320</v>
      </c>
      <c r="AB6800" s="462" t="s">
        <v>21246</v>
      </c>
      <c r="AC6800" s="462" t="s">
        <v>21247</v>
      </c>
      <c r="AD6800" s="464">
        <v>1342.4088200000001</v>
      </c>
      <c r="AE6800" s="465">
        <v>61.801920000000003</v>
      </c>
      <c r="AF6800" s="86">
        <f>IF(verze!$E$1="CZK",AD6800,IF(verze!$E$1="SK",AE6800,""))</f>
        <v>61.801920000000003</v>
      </c>
    </row>
    <row r="6801" spans="27:32" ht="15">
      <c r="AA6801" s="463" t="s">
        <v>1320</v>
      </c>
      <c r="AB6801" s="462" t="s">
        <v>21248</v>
      </c>
      <c r="AC6801" s="462" t="s">
        <v>21249</v>
      </c>
      <c r="AD6801" s="464">
        <v>1342.4088200000001</v>
      </c>
      <c r="AE6801" s="465">
        <v>61.801920000000003</v>
      </c>
      <c r="AF6801" s="86">
        <f>IF(verze!$E$1="CZK",AD6801,IF(verze!$E$1="SK",AE6801,""))</f>
        <v>61.801920000000003</v>
      </c>
    </row>
    <row r="6802" spans="27:32" ht="15">
      <c r="AA6802" s="463" t="s">
        <v>1320</v>
      </c>
      <c r="AB6802" s="462" t="s">
        <v>21250</v>
      </c>
      <c r="AC6802" s="462" t="s">
        <v>21251</v>
      </c>
      <c r="AD6802" s="464">
        <v>1753.79006</v>
      </c>
      <c r="AE6802" s="465">
        <v>80.741100000000003</v>
      </c>
      <c r="AF6802" s="86">
        <f>IF(verze!$E$1="CZK",AD6802,IF(verze!$E$1="SK",AE6802,""))</f>
        <v>80.741100000000003</v>
      </c>
    </row>
    <row r="6803" spans="27:32" ht="15">
      <c r="AA6803" s="463" t="s">
        <v>1320</v>
      </c>
      <c r="AB6803" s="462" t="s">
        <v>21252</v>
      </c>
      <c r="AC6803" s="462" t="s">
        <v>21253</v>
      </c>
      <c r="AD6803" s="464">
        <v>1753.79006</v>
      </c>
      <c r="AE6803" s="465">
        <v>80.741100000000003</v>
      </c>
      <c r="AF6803" s="86">
        <f>IF(verze!$E$1="CZK",AD6803,IF(verze!$E$1="SK",AE6803,""))</f>
        <v>80.741100000000003</v>
      </c>
    </row>
    <row r="6804" spans="27:32" ht="15">
      <c r="AA6804" s="463" t="s">
        <v>1320</v>
      </c>
      <c r="AB6804" s="462" t="s">
        <v>21254</v>
      </c>
      <c r="AC6804" s="462" t="s">
        <v>21255</v>
      </c>
      <c r="AD6804" s="464">
        <v>1753.79006</v>
      </c>
      <c r="AE6804" s="465">
        <v>80.741100000000003</v>
      </c>
      <c r="AF6804" s="86">
        <f>IF(verze!$E$1="CZK",AD6804,IF(verze!$E$1="SK",AE6804,""))</f>
        <v>80.741100000000003</v>
      </c>
    </row>
    <row r="6805" spans="27:32" ht="15">
      <c r="AA6805" s="463" t="s">
        <v>1320</v>
      </c>
      <c r="AB6805" s="462" t="s">
        <v>21256</v>
      </c>
      <c r="AC6805" s="462" t="s">
        <v>21257</v>
      </c>
      <c r="AD6805" s="464">
        <v>1360.0538799999999</v>
      </c>
      <c r="AE6805" s="465">
        <v>62.614260000000002</v>
      </c>
      <c r="AF6805" s="86">
        <f>IF(verze!$E$1="CZK",AD6805,IF(verze!$E$1="SK",AE6805,""))</f>
        <v>62.614260000000002</v>
      </c>
    </row>
    <row r="6806" spans="27:32" ht="15">
      <c r="AA6806" s="463" t="s">
        <v>1320</v>
      </c>
      <c r="AB6806" s="462" t="s">
        <v>21258</v>
      </c>
      <c r="AC6806" s="462" t="s">
        <v>21259</v>
      </c>
      <c r="AD6806" s="464">
        <v>1360.0538799999999</v>
      </c>
      <c r="AE6806" s="465">
        <v>62.614260000000002</v>
      </c>
      <c r="AF6806" s="86">
        <f>IF(verze!$E$1="CZK",AD6806,IF(verze!$E$1="SK",AE6806,""))</f>
        <v>62.614260000000002</v>
      </c>
    </row>
    <row r="6807" spans="27:32" ht="15">
      <c r="AA6807" s="463" t="s">
        <v>1320</v>
      </c>
      <c r="AB6807" s="462" t="s">
        <v>21260</v>
      </c>
      <c r="AC6807" s="462" t="s">
        <v>21261</v>
      </c>
      <c r="AD6807" s="464">
        <v>1379.3633500000001</v>
      </c>
      <c r="AE6807" s="465">
        <v>63.503239999999998</v>
      </c>
      <c r="AF6807" s="86">
        <f>IF(verze!$E$1="CZK",AD6807,IF(verze!$E$1="SK",AE6807,""))</f>
        <v>63.503239999999998</v>
      </c>
    </row>
    <row r="6808" spans="27:32" ht="15">
      <c r="AA6808" s="463" t="s">
        <v>1320</v>
      </c>
      <c r="AB6808" s="462" t="s">
        <v>21262</v>
      </c>
      <c r="AC6808" s="462" t="s">
        <v>21263</v>
      </c>
      <c r="AD6808" s="464">
        <v>1379.3633500000001</v>
      </c>
      <c r="AE6808" s="465">
        <v>63.503239999999998</v>
      </c>
      <c r="AF6808" s="86">
        <f>IF(verze!$E$1="CZK",AD6808,IF(verze!$E$1="SK",AE6808,""))</f>
        <v>63.503239999999998</v>
      </c>
    </row>
    <row r="6809" spans="27:32" ht="15">
      <c r="AA6809" s="463" t="s">
        <v>1320</v>
      </c>
      <c r="AB6809" s="462" t="s">
        <v>21264</v>
      </c>
      <c r="AC6809" s="462" t="s">
        <v>21265</v>
      </c>
      <c r="AD6809" s="464">
        <v>1398.6706099999999</v>
      </c>
      <c r="AE6809" s="465">
        <v>64.392099999999999</v>
      </c>
      <c r="AF6809" s="86">
        <f>IF(verze!$E$1="CZK",AD6809,IF(verze!$E$1="SK",AE6809,""))</f>
        <v>64.392099999999999</v>
      </c>
    </row>
    <row r="6810" spans="27:32" ht="15">
      <c r="AA6810" s="463" t="s">
        <v>1320</v>
      </c>
      <c r="AB6810" s="462" t="s">
        <v>21266</v>
      </c>
      <c r="AC6810" s="462" t="s">
        <v>21267</v>
      </c>
      <c r="AD6810" s="464">
        <v>1398.6706099999999</v>
      </c>
      <c r="AE6810" s="465">
        <v>64.392099999999999</v>
      </c>
      <c r="AF6810" s="86">
        <f>IF(verze!$E$1="CZK",AD6810,IF(verze!$E$1="SK",AE6810,""))</f>
        <v>64.392099999999999</v>
      </c>
    </row>
    <row r="6811" spans="27:32" ht="15">
      <c r="AA6811" s="463" t="s">
        <v>1320</v>
      </c>
      <c r="AB6811" s="462" t="s">
        <v>21268</v>
      </c>
      <c r="AC6811" s="462" t="s">
        <v>21269</v>
      </c>
      <c r="AD6811" s="464">
        <v>1400.6506099999999</v>
      </c>
      <c r="AE6811" s="465">
        <v>64.483239999999995</v>
      </c>
      <c r="AF6811" s="86">
        <f>IF(verze!$E$1="CZK",AD6811,IF(verze!$E$1="SK",AE6811,""))</f>
        <v>64.483239999999995</v>
      </c>
    </row>
    <row r="6812" spans="27:32" ht="15">
      <c r="AA6812" s="463" t="s">
        <v>1320</v>
      </c>
      <c r="AB6812" s="462" t="s">
        <v>21270</v>
      </c>
      <c r="AC6812" s="462" t="s">
        <v>21271</v>
      </c>
      <c r="AD6812" s="464">
        <v>1430.0569800000001</v>
      </c>
      <c r="AE6812" s="465">
        <v>65.837059999999994</v>
      </c>
      <c r="AF6812" s="86">
        <f>IF(verze!$E$1="CZK",AD6812,IF(verze!$E$1="SK",AE6812,""))</f>
        <v>65.837059999999994</v>
      </c>
    </row>
    <row r="6813" spans="27:32" ht="15">
      <c r="AA6813" s="463" t="s">
        <v>1320</v>
      </c>
      <c r="AB6813" s="462" t="s">
        <v>21272</v>
      </c>
      <c r="AC6813" s="462" t="s">
        <v>21273</v>
      </c>
      <c r="AD6813" s="464">
        <v>1430.0569800000001</v>
      </c>
      <c r="AE6813" s="465">
        <v>65.837059999999994</v>
      </c>
      <c r="AF6813" s="86">
        <f>IF(verze!$E$1="CZK",AD6813,IF(verze!$E$1="SK",AE6813,""))</f>
        <v>65.837059999999994</v>
      </c>
    </row>
    <row r="6814" spans="27:32" ht="15">
      <c r="AA6814" s="463" t="s">
        <v>1320</v>
      </c>
      <c r="AB6814" s="462" t="s">
        <v>21274</v>
      </c>
      <c r="AC6814" s="462" t="s">
        <v>21275</v>
      </c>
      <c r="AD6814" s="464">
        <v>1430.0569800000001</v>
      </c>
      <c r="AE6814" s="465">
        <v>65.837059999999994</v>
      </c>
      <c r="AF6814" s="86">
        <f>IF(verze!$E$1="CZK",AD6814,IF(verze!$E$1="SK",AE6814,""))</f>
        <v>65.837059999999994</v>
      </c>
    </row>
    <row r="6815" spans="27:32" ht="15">
      <c r="AA6815" s="463" t="s">
        <v>1320</v>
      </c>
      <c r="AB6815" s="462" t="s">
        <v>21276</v>
      </c>
      <c r="AC6815" s="462" t="s">
        <v>21277</v>
      </c>
      <c r="AD6815" s="464">
        <v>1449.3761500000001</v>
      </c>
      <c r="AE6815" s="465">
        <v>66.726479999999995</v>
      </c>
      <c r="AF6815" s="86">
        <f>IF(verze!$E$1="CZK",AD6815,IF(verze!$E$1="SK",AE6815,""))</f>
        <v>66.726479999999995</v>
      </c>
    </row>
    <row r="6816" spans="27:32" ht="15">
      <c r="AA6816" s="463" t="s">
        <v>1320</v>
      </c>
      <c r="AB6816" s="462" t="s">
        <v>21278</v>
      </c>
      <c r="AC6816" s="462" t="s">
        <v>21279</v>
      </c>
      <c r="AD6816" s="464">
        <v>1449.3761500000001</v>
      </c>
      <c r="AE6816" s="465">
        <v>66.726479999999995</v>
      </c>
      <c r="AF6816" s="86">
        <f>IF(verze!$E$1="CZK",AD6816,IF(verze!$E$1="SK",AE6816,""))</f>
        <v>66.726479999999995</v>
      </c>
    </row>
    <row r="6817" spans="27:32" ht="15">
      <c r="AA6817" s="463" t="s">
        <v>1320</v>
      </c>
      <c r="AB6817" s="462" t="s">
        <v>21280</v>
      </c>
      <c r="AC6817" s="462" t="s">
        <v>21281</v>
      </c>
      <c r="AD6817" s="464">
        <v>1468.6782700000001</v>
      </c>
      <c r="AE6817" s="465">
        <v>67.615120000000005</v>
      </c>
      <c r="AF6817" s="86">
        <f>IF(verze!$E$1="CZK",AD6817,IF(verze!$E$1="SK",AE6817,""))</f>
        <v>67.615120000000005</v>
      </c>
    </row>
    <row r="6818" spans="27:32" ht="15">
      <c r="AA6818" s="463" t="s">
        <v>1320</v>
      </c>
      <c r="AB6818" s="462" t="s">
        <v>21282</v>
      </c>
      <c r="AC6818" s="462" t="s">
        <v>21283</v>
      </c>
      <c r="AD6818" s="464">
        <v>1468.6782700000001</v>
      </c>
      <c r="AE6818" s="465">
        <v>67.615120000000005</v>
      </c>
      <c r="AF6818" s="86">
        <f>IF(verze!$E$1="CZK",AD6818,IF(verze!$E$1="SK",AE6818,""))</f>
        <v>67.615120000000005</v>
      </c>
    </row>
    <row r="6819" spans="27:32" ht="15">
      <c r="AA6819" s="463" t="s">
        <v>1320</v>
      </c>
      <c r="AB6819" s="462" t="s">
        <v>21284</v>
      </c>
      <c r="AC6819" s="462" t="s">
        <v>21285</v>
      </c>
      <c r="AD6819" s="464">
        <v>1493.2428500000001</v>
      </c>
      <c r="AE6819" s="465">
        <v>68.746020000000001</v>
      </c>
      <c r="AF6819" s="86">
        <f>IF(verze!$E$1="CZK",AD6819,IF(verze!$E$1="SK",AE6819,""))</f>
        <v>68.746020000000001</v>
      </c>
    </row>
    <row r="6820" spans="27:32" ht="15">
      <c r="AA6820" s="463" t="s">
        <v>1320</v>
      </c>
      <c r="AB6820" s="462" t="s">
        <v>21286</v>
      </c>
      <c r="AC6820" s="462" t="s">
        <v>21287</v>
      </c>
      <c r="AD6820" s="464">
        <v>1493.2428500000001</v>
      </c>
      <c r="AE6820" s="465">
        <v>68.746020000000001</v>
      </c>
      <c r="AF6820" s="86">
        <f>IF(verze!$E$1="CZK",AD6820,IF(verze!$E$1="SK",AE6820,""))</f>
        <v>68.746020000000001</v>
      </c>
    </row>
    <row r="6821" spans="27:32" ht="15">
      <c r="AA6821" s="463" t="s">
        <v>1320</v>
      </c>
      <c r="AB6821" s="462" t="s">
        <v>21288</v>
      </c>
      <c r="AC6821" s="462" t="s">
        <v>21289</v>
      </c>
      <c r="AD6821" s="464">
        <v>1493.2428500000001</v>
      </c>
      <c r="AE6821" s="465">
        <v>68.746020000000001</v>
      </c>
      <c r="AF6821" s="86">
        <f>IF(verze!$E$1="CZK",AD6821,IF(verze!$E$1="SK",AE6821,""))</f>
        <v>68.746020000000001</v>
      </c>
    </row>
    <row r="6822" spans="27:32" ht="15">
      <c r="AA6822" s="463" t="s">
        <v>1320</v>
      </c>
      <c r="AB6822" s="462" t="s">
        <v>21290</v>
      </c>
      <c r="AC6822" s="462" t="s">
        <v>21291</v>
      </c>
      <c r="AD6822" s="464">
        <v>1705.39454</v>
      </c>
      <c r="AE6822" s="465">
        <v>78.513080000000002</v>
      </c>
      <c r="AF6822" s="86">
        <f>IF(verze!$E$1="CZK",AD6822,IF(verze!$E$1="SK",AE6822,""))</f>
        <v>78.513080000000002</v>
      </c>
    </row>
    <row r="6823" spans="27:32" ht="15">
      <c r="AA6823" s="463" t="s">
        <v>1320</v>
      </c>
      <c r="AB6823" s="462" t="s">
        <v>21292</v>
      </c>
      <c r="AC6823" s="462" t="s">
        <v>21293</v>
      </c>
      <c r="AD6823" s="464">
        <v>0</v>
      </c>
      <c r="AE6823" s="465">
        <v>0</v>
      </c>
      <c r="AF6823" s="86">
        <f>IF(verze!$E$1="CZK",AD6823,IF(verze!$E$1="SK",AE6823,""))</f>
        <v>0</v>
      </c>
    </row>
    <row r="6824" spans="27:32" ht="15">
      <c r="AA6824" s="463" t="s">
        <v>1320</v>
      </c>
      <c r="AB6824" s="462" t="s">
        <v>21294</v>
      </c>
      <c r="AC6824" s="462" t="s">
        <v>21295</v>
      </c>
      <c r="AD6824" s="464">
        <v>1553.1206199999999</v>
      </c>
      <c r="AE6824" s="465">
        <v>71.502679999999998</v>
      </c>
      <c r="AF6824" s="86">
        <f>IF(verze!$E$1="CZK",AD6824,IF(verze!$E$1="SK",AE6824,""))</f>
        <v>71.502679999999998</v>
      </c>
    </row>
    <row r="6825" spans="27:32" ht="15">
      <c r="AA6825" s="463" t="s">
        <v>1320</v>
      </c>
      <c r="AB6825" s="462" t="s">
        <v>21296</v>
      </c>
      <c r="AC6825" s="462" t="s">
        <v>21297</v>
      </c>
      <c r="AD6825" s="464">
        <v>1553.1206199999999</v>
      </c>
      <c r="AE6825" s="465">
        <v>71.502679999999998</v>
      </c>
      <c r="AF6825" s="86">
        <f>IF(verze!$E$1="CZK",AD6825,IF(verze!$E$1="SK",AE6825,""))</f>
        <v>71.502679999999998</v>
      </c>
    </row>
    <row r="6826" spans="27:32" ht="15">
      <c r="AA6826" s="463" t="s">
        <v>1320</v>
      </c>
      <c r="AB6826" s="462" t="s">
        <v>21298</v>
      </c>
      <c r="AC6826" s="462" t="s">
        <v>21299</v>
      </c>
      <c r="AD6826" s="464">
        <v>1553.1206199999999</v>
      </c>
      <c r="AE6826" s="465">
        <v>71.502679999999998</v>
      </c>
      <c r="AF6826" s="86">
        <f>IF(verze!$E$1="CZK",AD6826,IF(verze!$E$1="SK",AE6826,""))</f>
        <v>71.502679999999998</v>
      </c>
    </row>
    <row r="6827" spans="27:32" ht="15">
      <c r="AA6827" s="463" t="s">
        <v>1320</v>
      </c>
      <c r="AB6827" s="462" t="s">
        <v>21300</v>
      </c>
      <c r="AC6827" s="462" t="s">
        <v>21301</v>
      </c>
      <c r="AD6827" s="464">
        <v>1561.97993</v>
      </c>
      <c r="AE6827" s="465">
        <v>71.910560000000004</v>
      </c>
      <c r="AF6827" s="86">
        <f>IF(verze!$E$1="CZK",AD6827,IF(verze!$E$1="SK",AE6827,""))</f>
        <v>71.910560000000004</v>
      </c>
    </row>
    <row r="6828" spans="27:32" ht="15">
      <c r="AA6828" s="463" t="s">
        <v>1320</v>
      </c>
      <c r="AB6828" s="462" t="s">
        <v>21302</v>
      </c>
      <c r="AC6828" s="462" t="s">
        <v>21303</v>
      </c>
      <c r="AD6828" s="464">
        <v>1561.97993</v>
      </c>
      <c r="AE6828" s="465">
        <v>71.910560000000004</v>
      </c>
      <c r="AF6828" s="86">
        <f>IF(verze!$E$1="CZK",AD6828,IF(verze!$E$1="SK",AE6828,""))</f>
        <v>71.910560000000004</v>
      </c>
    </row>
    <row r="6829" spans="27:32" ht="15">
      <c r="AA6829" s="463" t="s">
        <v>1320</v>
      </c>
      <c r="AB6829" s="462" t="s">
        <v>21304</v>
      </c>
      <c r="AC6829" s="462" t="s">
        <v>21305</v>
      </c>
      <c r="AD6829" s="464">
        <v>1561.97993</v>
      </c>
      <c r="AE6829" s="465">
        <v>71.910560000000004</v>
      </c>
      <c r="AF6829" s="86">
        <f>IF(verze!$E$1="CZK",AD6829,IF(verze!$E$1="SK",AE6829,""))</f>
        <v>71.910560000000004</v>
      </c>
    </row>
    <row r="6830" spans="27:32" ht="15">
      <c r="AA6830" s="463" t="s">
        <v>1320</v>
      </c>
      <c r="AB6830" s="462" t="s">
        <v>21306</v>
      </c>
      <c r="AC6830" s="462" t="s">
        <v>21307</v>
      </c>
      <c r="AD6830" s="464">
        <v>1584.23632</v>
      </c>
      <c r="AE6830" s="465">
        <v>72.935180000000003</v>
      </c>
      <c r="AF6830" s="86">
        <f>IF(verze!$E$1="CZK",AD6830,IF(verze!$E$1="SK",AE6830,""))</f>
        <v>72.935180000000003</v>
      </c>
    </row>
    <row r="6831" spans="27:32" ht="15">
      <c r="AA6831" s="463" t="s">
        <v>1320</v>
      </c>
      <c r="AB6831" s="462" t="s">
        <v>21308</v>
      </c>
      <c r="AC6831" s="462" t="s">
        <v>21309</v>
      </c>
      <c r="AD6831" s="464">
        <v>1584.23632</v>
      </c>
      <c r="AE6831" s="465">
        <v>72.935180000000003</v>
      </c>
      <c r="AF6831" s="86">
        <f>IF(verze!$E$1="CZK",AD6831,IF(verze!$E$1="SK",AE6831,""))</f>
        <v>72.935180000000003</v>
      </c>
    </row>
    <row r="6832" spans="27:32" ht="15">
      <c r="AA6832" s="463" t="s">
        <v>1320</v>
      </c>
      <c r="AB6832" s="462" t="s">
        <v>21310</v>
      </c>
      <c r="AC6832" s="462" t="s">
        <v>21311</v>
      </c>
      <c r="AD6832" s="464">
        <v>1584.23632</v>
      </c>
      <c r="AE6832" s="465">
        <v>72.935180000000003</v>
      </c>
      <c r="AF6832" s="86">
        <f>IF(verze!$E$1="CZK",AD6832,IF(verze!$E$1="SK",AE6832,""))</f>
        <v>72.935180000000003</v>
      </c>
    </row>
    <row r="6833" spans="27:32" ht="15">
      <c r="AA6833" s="463" t="s">
        <v>1320</v>
      </c>
      <c r="AB6833" s="462" t="s">
        <v>21312</v>
      </c>
      <c r="AC6833" s="462" t="s">
        <v>21313</v>
      </c>
      <c r="AD6833" s="464">
        <v>1606.49568</v>
      </c>
      <c r="AE6833" s="465">
        <v>73.959959999999995</v>
      </c>
      <c r="AF6833" s="86">
        <f>IF(verze!$E$1="CZK",AD6833,IF(verze!$E$1="SK",AE6833,""))</f>
        <v>73.959959999999995</v>
      </c>
    </row>
    <row r="6834" spans="27:32" ht="15">
      <c r="AA6834" s="463" t="s">
        <v>1320</v>
      </c>
      <c r="AB6834" s="462" t="s">
        <v>21314</v>
      </c>
      <c r="AC6834" s="462" t="s">
        <v>21315</v>
      </c>
      <c r="AD6834" s="464">
        <v>1606.49568</v>
      </c>
      <c r="AE6834" s="465">
        <v>73.959959999999995</v>
      </c>
      <c r="AF6834" s="86">
        <f>IF(verze!$E$1="CZK",AD6834,IF(verze!$E$1="SK",AE6834,""))</f>
        <v>73.959959999999995</v>
      </c>
    </row>
    <row r="6835" spans="27:32" ht="15">
      <c r="AA6835" s="463" t="s">
        <v>1320</v>
      </c>
      <c r="AB6835" s="462" t="s">
        <v>21316</v>
      </c>
      <c r="AC6835" s="462" t="s">
        <v>21317</v>
      </c>
      <c r="AD6835" s="464">
        <v>1606.49568</v>
      </c>
      <c r="AE6835" s="465">
        <v>73.959959999999995</v>
      </c>
      <c r="AF6835" s="86">
        <f>IF(verze!$E$1="CZK",AD6835,IF(verze!$E$1="SK",AE6835,""))</f>
        <v>73.959959999999995</v>
      </c>
    </row>
    <row r="6836" spans="27:32" ht="15">
      <c r="AA6836" s="463" t="s">
        <v>1320</v>
      </c>
      <c r="AB6836" s="462" t="s">
        <v>21318</v>
      </c>
      <c r="AC6836" s="462" t="s">
        <v>21319</v>
      </c>
      <c r="AD6836" s="464">
        <v>1405.16066</v>
      </c>
      <c r="AE6836" s="465">
        <v>64.690899999999999</v>
      </c>
      <c r="AF6836" s="86">
        <f>IF(verze!$E$1="CZK",AD6836,IF(verze!$E$1="SK",AE6836,""))</f>
        <v>64.690899999999999</v>
      </c>
    </row>
    <row r="6837" spans="27:32" ht="15">
      <c r="AA6837" s="463" t="s">
        <v>1320</v>
      </c>
      <c r="AB6837" s="462" t="s">
        <v>21320</v>
      </c>
      <c r="AC6837" s="462" t="s">
        <v>21321</v>
      </c>
      <c r="AD6837" s="464">
        <v>1405.16066</v>
      </c>
      <c r="AE6837" s="465">
        <v>64.690899999999999</v>
      </c>
      <c r="AF6837" s="86">
        <f>IF(verze!$E$1="CZK",AD6837,IF(verze!$E$1="SK",AE6837,""))</f>
        <v>64.690899999999999</v>
      </c>
    </row>
    <row r="6838" spans="27:32" ht="15">
      <c r="AA6838" s="463" t="s">
        <v>1320</v>
      </c>
      <c r="AB6838" s="462" t="s">
        <v>21322</v>
      </c>
      <c r="AC6838" s="462" t="s">
        <v>21323</v>
      </c>
      <c r="AD6838" s="464">
        <v>1426.3809100000001</v>
      </c>
      <c r="AE6838" s="465">
        <v>65.667820000000006</v>
      </c>
      <c r="AF6838" s="86">
        <f>IF(verze!$E$1="CZK",AD6838,IF(verze!$E$1="SK",AE6838,""))</f>
        <v>65.667820000000006</v>
      </c>
    </row>
    <row r="6839" spans="27:32" ht="15">
      <c r="AA6839" s="463" t="s">
        <v>1320</v>
      </c>
      <c r="AB6839" s="462" t="s">
        <v>21324</v>
      </c>
      <c r="AC6839" s="462" t="s">
        <v>21325</v>
      </c>
      <c r="AD6839" s="464">
        <v>1426.3809100000001</v>
      </c>
      <c r="AE6839" s="465">
        <v>65.667820000000006</v>
      </c>
      <c r="AF6839" s="86">
        <f>IF(verze!$E$1="CZK",AD6839,IF(verze!$E$1="SK",AE6839,""))</f>
        <v>65.667820000000006</v>
      </c>
    </row>
    <row r="6840" spans="27:32" ht="15">
      <c r="AA6840" s="463" t="s">
        <v>1320</v>
      </c>
      <c r="AB6840" s="462" t="s">
        <v>21326</v>
      </c>
      <c r="AC6840" s="462" t="s">
        <v>21327</v>
      </c>
      <c r="AD6840" s="464">
        <v>1426.3809100000001</v>
      </c>
      <c r="AE6840" s="465">
        <v>65.667820000000006</v>
      </c>
      <c r="AF6840" s="86">
        <f>IF(verze!$E$1="CZK",AD6840,IF(verze!$E$1="SK",AE6840,""))</f>
        <v>65.667820000000006</v>
      </c>
    </row>
    <row r="6841" spans="27:32" ht="15">
      <c r="AA6841" s="463" t="s">
        <v>1320</v>
      </c>
      <c r="AB6841" s="462" t="s">
        <v>21328</v>
      </c>
      <c r="AC6841" s="462" t="s">
        <v>21329</v>
      </c>
      <c r="AD6841" s="464">
        <v>1685.34412</v>
      </c>
      <c r="AE6841" s="465">
        <v>77.59</v>
      </c>
      <c r="AF6841" s="86">
        <f>IF(verze!$E$1="CZK",AD6841,IF(verze!$E$1="SK",AE6841,""))</f>
        <v>77.59</v>
      </c>
    </row>
    <row r="6842" spans="27:32" ht="15">
      <c r="AA6842" s="463" t="s">
        <v>1320</v>
      </c>
      <c r="AB6842" s="462" t="s">
        <v>21330</v>
      </c>
      <c r="AC6842" s="462" t="s">
        <v>21331</v>
      </c>
      <c r="AD6842" s="464">
        <v>1685.34412</v>
      </c>
      <c r="AE6842" s="465">
        <v>77.59</v>
      </c>
      <c r="AF6842" s="86">
        <f>IF(verze!$E$1="CZK",AD6842,IF(verze!$E$1="SK",AE6842,""))</f>
        <v>77.59</v>
      </c>
    </row>
    <row r="6843" spans="27:32" ht="15">
      <c r="AA6843" s="463" t="s">
        <v>1320</v>
      </c>
      <c r="AB6843" s="462" t="s">
        <v>21332</v>
      </c>
      <c r="AC6843" s="462" t="s">
        <v>21333</v>
      </c>
      <c r="AD6843" s="464">
        <v>1685.34412</v>
      </c>
      <c r="AE6843" s="465">
        <v>77.59</v>
      </c>
      <c r="AF6843" s="86">
        <f>IF(verze!$E$1="CZK",AD6843,IF(verze!$E$1="SK",AE6843,""))</f>
        <v>77.59</v>
      </c>
    </row>
    <row r="6844" spans="27:32" ht="15">
      <c r="AA6844" s="463" t="s">
        <v>1320</v>
      </c>
      <c r="AB6844" s="462" t="s">
        <v>21334</v>
      </c>
      <c r="AC6844" s="462" t="s">
        <v>21335</v>
      </c>
      <c r="AD6844" s="464">
        <v>1714.35717</v>
      </c>
      <c r="AE6844" s="465">
        <v>78.925700000000006</v>
      </c>
      <c r="AF6844" s="86">
        <f>IF(verze!$E$1="CZK",AD6844,IF(verze!$E$1="SK",AE6844,""))</f>
        <v>78.925700000000006</v>
      </c>
    </row>
    <row r="6845" spans="27:32" ht="15">
      <c r="AA6845" s="463" t="s">
        <v>1320</v>
      </c>
      <c r="AB6845" s="462" t="s">
        <v>21336</v>
      </c>
      <c r="AC6845" s="462" t="s">
        <v>21337</v>
      </c>
      <c r="AD6845" s="464">
        <v>1714.35717</v>
      </c>
      <c r="AE6845" s="465">
        <v>78.925700000000006</v>
      </c>
      <c r="AF6845" s="86">
        <f>IF(verze!$E$1="CZK",AD6845,IF(verze!$E$1="SK",AE6845,""))</f>
        <v>78.925700000000006</v>
      </c>
    </row>
    <row r="6846" spans="27:32" ht="15">
      <c r="AA6846" s="463" t="s">
        <v>1320</v>
      </c>
      <c r="AB6846" s="462" t="s">
        <v>21338</v>
      </c>
      <c r="AC6846" s="462" t="s">
        <v>21339</v>
      </c>
      <c r="AD6846" s="464">
        <v>1741.59077</v>
      </c>
      <c r="AE6846" s="465">
        <v>80.179479999999998</v>
      </c>
      <c r="AF6846" s="86">
        <f>IF(verze!$E$1="CZK",AD6846,IF(verze!$E$1="SK",AE6846,""))</f>
        <v>80.179479999999998</v>
      </c>
    </row>
    <row r="6847" spans="27:32" ht="15">
      <c r="AA6847" s="463" t="s">
        <v>1320</v>
      </c>
      <c r="AB6847" s="462" t="s">
        <v>21340</v>
      </c>
      <c r="AC6847" s="462" t="s">
        <v>21341</v>
      </c>
      <c r="AD6847" s="464">
        <v>2136.1673500000002</v>
      </c>
      <c r="AE6847" s="465">
        <v>98.345020000000005</v>
      </c>
      <c r="AF6847" s="86">
        <f>IF(verze!$E$1="CZK",AD6847,IF(verze!$E$1="SK",AE6847,""))</f>
        <v>98.345020000000005</v>
      </c>
    </row>
    <row r="6848" spans="27:32" ht="15">
      <c r="AA6848" s="463" t="s">
        <v>1320</v>
      </c>
      <c r="AB6848" s="462" t="s">
        <v>21342</v>
      </c>
      <c r="AC6848" s="462" t="s">
        <v>21343</v>
      </c>
      <c r="AD6848" s="464">
        <v>2136.1673500000002</v>
      </c>
      <c r="AE6848" s="465">
        <v>98.345020000000005</v>
      </c>
      <c r="AF6848" s="86">
        <f>IF(verze!$E$1="CZK",AD6848,IF(verze!$E$1="SK",AE6848,""))</f>
        <v>98.345020000000005</v>
      </c>
    </row>
    <row r="6849" spans="27:32" ht="15">
      <c r="AA6849" s="463" t="s">
        <v>1320</v>
      </c>
      <c r="AB6849" s="462" t="s">
        <v>21344</v>
      </c>
      <c r="AC6849" s="462" t="s">
        <v>21345</v>
      </c>
      <c r="AD6849" s="464">
        <v>2136.1673500000002</v>
      </c>
      <c r="AE6849" s="465">
        <v>98.345020000000005</v>
      </c>
      <c r="AF6849" s="86">
        <f>IF(verze!$E$1="CZK",AD6849,IF(verze!$E$1="SK",AE6849,""))</f>
        <v>98.345020000000005</v>
      </c>
    </row>
    <row r="6850" spans="27:32" ht="15">
      <c r="AA6850" s="463" t="s">
        <v>1320</v>
      </c>
      <c r="AB6850" s="462" t="s">
        <v>21346</v>
      </c>
      <c r="AC6850" s="462" t="s">
        <v>21347</v>
      </c>
      <c r="AD6850" s="464">
        <v>2014.32033</v>
      </c>
      <c r="AE6850" s="465">
        <v>92.735420000000005</v>
      </c>
      <c r="AF6850" s="86">
        <f>IF(verze!$E$1="CZK",AD6850,IF(verze!$E$1="SK",AE6850,""))</f>
        <v>92.735420000000005</v>
      </c>
    </row>
    <row r="6851" spans="27:32" ht="15">
      <c r="AA6851" s="463" t="s">
        <v>1320</v>
      </c>
      <c r="AB6851" s="462" t="s">
        <v>21348</v>
      </c>
      <c r="AC6851" s="462" t="s">
        <v>21349</v>
      </c>
      <c r="AD6851" s="464">
        <v>2014.32033</v>
      </c>
      <c r="AE6851" s="465">
        <v>92.735420000000005</v>
      </c>
      <c r="AF6851" s="86">
        <f>IF(verze!$E$1="CZK",AD6851,IF(verze!$E$1="SK",AE6851,""))</f>
        <v>92.735420000000005</v>
      </c>
    </row>
    <row r="6852" spans="27:32" ht="15">
      <c r="AA6852" s="463" t="s">
        <v>1320</v>
      </c>
      <c r="AB6852" s="462" t="s">
        <v>21350</v>
      </c>
      <c r="AC6852" s="462" t="s">
        <v>21351</v>
      </c>
      <c r="AD6852" s="464">
        <v>2014.32033</v>
      </c>
      <c r="AE6852" s="465">
        <v>92.735420000000005</v>
      </c>
      <c r="AF6852" s="86">
        <f>IF(verze!$E$1="CZK",AD6852,IF(verze!$E$1="SK",AE6852,""))</f>
        <v>92.735420000000005</v>
      </c>
    </row>
    <row r="6853" spans="27:32" ht="15">
      <c r="AA6853" s="463" t="s">
        <v>1320</v>
      </c>
      <c r="AB6853" s="462" t="s">
        <v>21352</v>
      </c>
      <c r="AC6853" s="462" t="s">
        <v>21353</v>
      </c>
      <c r="AD6853" s="464">
        <v>2043.9749899999999</v>
      </c>
      <c r="AE6853" s="465">
        <v>94.100660000000005</v>
      </c>
      <c r="AF6853" s="86">
        <f>IF(verze!$E$1="CZK",AD6853,IF(verze!$E$1="SK",AE6853,""))</f>
        <v>94.100660000000005</v>
      </c>
    </row>
    <row r="6854" spans="27:32" ht="15">
      <c r="AA6854" s="463" t="s">
        <v>1320</v>
      </c>
      <c r="AB6854" s="462" t="s">
        <v>21354</v>
      </c>
      <c r="AC6854" s="462" t="s">
        <v>21355</v>
      </c>
      <c r="AD6854" s="464">
        <v>2043.9749899999999</v>
      </c>
      <c r="AE6854" s="465">
        <v>94.100660000000005</v>
      </c>
      <c r="AF6854" s="86">
        <f>IF(verze!$E$1="CZK",AD6854,IF(verze!$E$1="SK",AE6854,""))</f>
        <v>94.100660000000005</v>
      </c>
    </row>
    <row r="6855" spans="27:32" ht="15">
      <c r="AA6855" s="463" t="s">
        <v>1320</v>
      </c>
      <c r="AB6855" s="462" t="s">
        <v>21356</v>
      </c>
      <c r="AC6855" s="462" t="s">
        <v>21357</v>
      </c>
      <c r="AD6855" s="464">
        <v>2043.9749899999999</v>
      </c>
      <c r="AE6855" s="465">
        <v>94.100660000000005</v>
      </c>
      <c r="AF6855" s="86">
        <f>IF(verze!$E$1="CZK",AD6855,IF(verze!$E$1="SK",AE6855,""))</f>
        <v>94.100660000000005</v>
      </c>
    </row>
    <row r="6856" spans="27:32" ht="15">
      <c r="AA6856" s="463" t="s">
        <v>1320</v>
      </c>
      <c r="AB6856" s="462" t="s">
        <v>21358</v>
      </c>
      <c r="AC6856" s="462" t="s">
        <v>21359</v>
      </c>
      <c r="AD6856" s="464">
        <v>2085.6934999999999</v>
      </c>
      <c r="AE6856" s="465">
        <v>96.021299999999997</v>
      </c>
      <c r="AF6856" s="86">
        <f>IF(verze!$E$1="CZK",AD6856,IF(verze!$E$1="SK",AE6856,""))</f>
        <v>96.021299999999997</v>
      </c>
    </row>
    <row r="6857" spans="27:32" ht="15">
      <c r="AA6857" s="463" t="s">
        <v>1320</v>
      </c>
      <c r="AB6857" s="462" t="s">
        <v>21360</v>
      </c>
      <c r="AC6857" s="462" t="s">
        <v>21361</v>
      </c>
      <c r="AD6857" s="464">
        <v>2085.6934999999999</v>
      </c>
      <c r="AE6857" s="465">
        <v>96.021299999999997</v>
      </c>
      <c r="AF6857" s="86">
        <f>IF(verze!$E$1="CZK",AD6857,IF(verze!$E$1="SK",AE6857,""))</f>
        <v>96.021299999999997</v>
      </c>
    </row>
    <row r="6858" spans="27:32" ht="15">
      <c r="AA6858" s="463" t="s">
        <v>1320</v>
      </c>
      <c r="AB6858" s="462" t="s">
        <v>21362</v>
      </c>
      <c r="AC6858" s="462" t="s">
        <v>21363</v>
      </c>
      <c r="AD6858" s="464">
        <v>2085.6934999999999</v>
      </c>
      <c r="AE6858" s="465">
        <v>96.021299999999997</v>
      </c>
      <c r="AF6858" s="86">
        <f>IF(verze!$E$1="CZK",AD6858,IF(verze!$E$1="SK",AE6858,""))</f>
        <v>96.021299999999997</v>
      </c>
    </row>
    <row r="6859" spans="27:32" ht="15">
      <c r="AA6859" s="463" t="s">
        <v>1320</v>
      </c>
      <c r="AB6859" s="462" t="s">
        <v>21364</v>
      </c>
      <c r="AC6859" s="462" t="s">
        <v>21365</v>
      </c>
      <c r="AD6859" s="464">
        <v>2115.3574600000002</v>
      </c>
      <c r="AE6859" s="465">
        <v>97.386979999999994</v>
      </c>
      <c r="AF6859" s="86">
        <f>IF(verze!$E$1="CZK",AD6859,IF(verze!$E$1="SK",AE6859,""))</f>
        <v>97.386979999999994</v>
      </c>
    </row>
    <row r="6860" spans="27:32" ht="15">
      <c r="AA6860" s="463" t="s">
        <v>1320</v>
      </c>
      <c r="AB6860" s="462" t="s">
        <v>21366</v>
      </c>
      <c r="AC6860" s="462" t="s">
        <v>21367</v>
      </c>
      <c r="AD6860" s="464">
        <v>2145.0121199999999</v>
      </c>
      <c r="AE6860" s="465">
        <v>98.752219999999994</v>
      </c>
      <c r="AF6860" s="86">
        <f>IF(verze!$E$1="CZK",AD6860,IF(verze!$E$1="SK",AE6860,""))</f>
        <v>98.752219999999994</v>
      </c>
    </row>
    <row r="6861" spans="27:32" ht="15">
      <c r="AA6861" s="463" t="s">
        <v>1320</v>
      </c>
      <c r="AB6861" s="462" t="s">
        <v>21368</v>
      </c>
      <c r="AC6861" s="462" t="s">
        <v>21369</v>
      </c>
      <c r="AD6861" s="464">
        <v>2145.0121199999999</v>
      </c>
      <c r="AE6861" s="465">
        <v>98.752219999999994</v>
      </c>
      <c r="AF6861" s="86">
        <f>IF(verze!$E$1="CZK",AD6861,IF(verze!$E$1="SK",AE6861,""))</f>
        <v>98.752219999999994</v>
      </c>
    </row>
    <row r="6862" spans="27:32" ht="15">
      <c r="AA6862" s="463" t="s">
        <v>1320</v>
      </c>
      <c r="AB6862" s="462" t="s">
        <v>21370</v>
      </c>
      <c r="AC6862" s="462" t="s">
        <v>21371</v>
      </c>
      <c r="AD6862" s="464">
        <v>2145.0121199999999</v>
      </c>
      <c r="AE6862" s="465">
        <v>98.752219999999994</v>
      </c>
      <c r="AF6862" s="86">
        <f>IF(verze!$E$1="CZK",AD6862,IF(verze!$E$1="SK",AE6862,""))</f>
        <v>98.752219999999994</v>
      </c>
    </row>
    <row r="6863" spans="27:32" ht="15">
      <c r="AA6863" s="463" t="s">
        <v>1320</v>
      </c>
      <c r="AB6863" s="462" t="s">
        <v>21372</v>
      </c>
      <c r="AC6863" s="462" t="s">
        <v>21373</v>
      </c>
      <c r="AD6863" s="464">
        <v>2185.1756300000002</v>
      </c>
      <c r="AE6863" s="465">
        <v>100.60126</v>
      </c>
      <c r="AF6863" s="86">
        <f>IF(verze!$E$1="CZK",AD6863,IF(verze!$E$1="SK",AE6863,""))</f>
        <v>100.60126</v>
      </c>
    </row>
    <row r="6864" spans="27:32" ht="15">
      <c r="AA6864" s="463" t="s">
        <v>1320</v>
      </c>
      <c r="AB6864" s="462" t="s">
        <v>21374</v>
      </c>
      <c r="AC6864" s="462" t="s">
        <v>21375</v>
      </c>
      <c r="AD6864" s="464">
        <v>2185.1756300000002</v>
      </c>
      <c r="AE6864" s="465">
        <v>100.60126</v>
      </c>
      <c r="AF6864" s="86">
        <f>IF(verze!$E$1="CZK",AD6864,IF(verze!$E$1="SK",AE6864,""))</f>
        <v>100.60126</v>
      </c>
    </row>
    <row r="6865" spans="27:32" ht="15">
      <c r="AA6865" s="463" t="s">
        <v>1320</v>
      </c>
      <c r="AB6865" s="462" t="s">
        <v>21376</v>
      </c>
      <c r="AC6865" s="462" t="s">
        <v>21377</v>
      </c>
      <c r="AD6865" s="464">
        <v>2185.1756300000002</v>
      </c>
      <c r="AE6865" s="465">
        <v>100.60126</v>
      </c>
      <c r="AF6865" s="86">
        <f>IF(verze!$E$1="CZK",AD6865,IF(verze!$E$1="SK",AE6865,""))</f>
        <v>100.60126</v>
      </c>
    </row>
    <row r="6866" spans="27:32" ht="15">
      <c r="AA6866" s="463" t="s">
        <v>1320</v>
      </c>
      <c r="AB6866" s="462" t="s">
        <v>21378</v>
      </c>
      <c r="AC6866" s="462" t="s">
        <v>21379</v>
      </c>
      <c r="AD6866" s="464">
        <v>2622.15895</v>
      </c>
      <c r="AE6866" s="465">
        <v>120.71914</v>
      </c>
      <c r="AF6866" s="86">
        <f>IF(verze!$E$1="CZK",AD6866,IF(verze!$E$1="SK",AE6866,""))</f>
        <v>120.71914</v>
      </c>
    </row>
    <row r="6867" spans="27:32" ht="15">
      <c r="AA6867" s="463" t="s">
        <v>1320</v>
      </c>
      <c r="AB6867" s="462" t="s">
        <v>21380</v>
      </c>
      <c r="AC6867" s="462" t="s">
        <v>21381</v>
      </c>
      <c r="AD6867" s="464">
        <v>2622.15895</v>
      </c>
      <c r="AE6867" s="465">
        <v>120.71914</v>
      </c>
      <c r="AF6867" s="86">
        <f>IF(verze!$E$1="CZK",AD6867,IF(verze!$E$1="SK",AE6867,""))</f>
        <v>120.71914</v>
      </c>
    </row>
    <row r="6868" spans="27:32" ht="15">
      <c r="AA6868" s="463" t="s">
        <v>1320</v>
      </c>
      <c r="AB6868" s="462" t="s">
        <v>21382</v>
      </c>
      <c r="AC6868" s="462" t="s">
        <v>21383</v>
      </c>
      <c r="AD6868" s="464">
        <v>2622.15895</v>
      </c>
      <c r="AE6868" s="465">
        <v>120.71914</v>
      </c>
      <c r="AF6868" s="86">
        <f>IF(verze!$E$1="CZK",AD6868,IF(verze!$E$1="SK",AE6868,""))</f>
        <v>120.71914</v>
      </c>
    </row>
    <row r="6869" spans="27:32" ht="15">
      <c r="AA6869" s="463" t="s">
        <v>1320</v>
      </c>
      <c r="AB6869" s="462" t="s">
        <v>21384</v>
      </c>
      <c r="AC6869" s="462" t="s">
        <v>21385</v>
      </c>
      <c r="AD6869" s="464">
        <v>1283.0401099999999</v>
      </c>
      <c r="AE6869" s="465">
        <v>59.0687</v>
      </c>
      <c r="AF6869" s="86">
        <f>IF(verze!$E$1="CZK",AD6869,IF(verze!$E$1="SK",AE6869,""))</f>
        <v>59.0687</v>
      </c>
    </row>
    <row r="6870" spans="27:32" ht="15">
      <c r="AA6870" s="463" t="s">
        <v>1320</v>
      </c>
      <c r="AB6870" s="462" t="s">
        <v>21386</v>
      </c>
      <c r="AC6870" s="462" t="s">
        <v>21387</v>
      </c>
      <c r="AD6870" s="464">
        <v>1283.0401099999999</v>
      </c>
      <c r="AE6870" s="465">
        <v>59.0687</v>
      </c>
      <c r="AF6870" s="86">
        <f>IF(verze!$E$1="CZK",AD6870,IF(verze!$E$1="SK",AE6870,""))</f>
        <v>59.0687</v>
      </c>
    </row>
    <row r="6871" spans="27:32" ht="15">
      <c r="AA6871" s="463" t="s">
        <v>1320</v>
      </c>
      <c r="AB6871" s="462" t="s">
        <v>21388</v>
      </c>
      <c r="AC6871" s="462" t="s">
        <v>21389</v>
      </c>
      <c r="AD6871" s="464">
        <v>1283.0401099999999</v>
      </c>
      <c r="AE6871" s="465">
        <v>59.0687</v>
      </c>
      <c r="AF6871" s="86">
        <f>IF(verze!$E$1="CZK",AD6871,IF(verze!$E$1="SK",AE6871,""))</f>
        <v>59.0687</v>
      </c>
    </row>
    <row r="6872" spans="27:32" ht="15">
      <c r="AA6872" s="463" t="s">
        <v>21128</v>
      </c>
      <c r="AB6872" s="462" t="s">
        <v>21390</v>
      </c>
      <c r="AC6872" s="462" t="s">
        <v>21391</v>
      </c>
      <c r="AD6872" s="464">
        <v>695.66036999999994</v>
      </c>
      <c r="AE6872" s="465">
        <v>32.719340000000003</v>
      </c>
      <c r="AF6872" s="86">
        <f>IF(verze!$E$1="CZK",AD6872,IF(verze!$E$1="SK",AE6872,""))</f>
        <v>32.719340000000003</v>
      </c>
    </row>
    <row r="6873" spans="27:32" ht="15">
      <c r="AA6873" s="463" t="s">
        <v>21128</v>
      </c>
      <c r="AB6873" s="462" t="s">
        <v>21392</v>
      </c>
      <c r="AC6873" s="462" t="s">
        <v>21393</v>
      </c>
      <c r="AD6873" s="464">
        <v>895.57713999999999</v>
      </c>
      <c r="AE6873" s="465">
        <v>42.122120000000002</v>
      </c>
      <c r="AF6873" s="86">
        <f>IF(verze!$E$1="CZK",AD6873,IF(verze!$E$1="SK",AE6873,""))</f>
        <v>42.122120000000002</v>
      </c>
    </row>
    <row r="6874" spans="27:32" ht="15">
      <c r="AA6874" s="463" t="s">
        <v>1320</v>
      </c>
      <c r="AB6874" s="462" t="s">
        <v>21394</v>
      </c>
      <c r="AC6874" s="462" t="s">
        <v>21395</v>
      </c>
      <c r="AD6874" s="464">
        <v>1037.232</v>
      </c>
      <c r="AE6874" s="465">
        <v>0</v>
      </c>
      <c r="AF6874" s="86">
        <f>IF(verze!$E$1="CZK",AD6874,IF(verze!$E$1="SK",AE6874,""))</f>
        <v>0</v>
      </c>
    </row>
    <row r="6875" spans="27:32" ht="15">
      <c r="AA6875" s="463" t="s">
        <v>21396</v>
      </c>
      <c r="AB6875" s="462" t="s">
        <v>21397</v>
      </c>
      <c r="AC6875" s="462" t="s">
        <v>21398</v>
      </c>
      <c r="AD6875" s="464">
        <v>120.24021</v>
      </c>
      <c r="AE6875" s="465">
        <v>5.1583699999999997</v>
      </c>
      <c r="AF6875" s="86">
        <f>IF(verze!$E$1="CZK",AD6875,IF(verze!$E$1="SK",AE6875,""))</f>
        <v>5.1583699999999997</v>
      </c>
    </row>
    <row r="6876" spans="27:32" ht="15">
      <c r="AA6876" s="463" t="s">
        <v>21399</v>
      </c>
      <c r="AB6876" s="462" t="s">
        <v>21400</v>
      </c>
      <c r="AC6876" s="462" t="s">
        <v>21401</v>
      </c>
      <c r="AD6876" s="464">
        <v>168.63423</v>
      </c>
      <c r="AE6876" s="465">
        <v>7.7256400000000003</v>
      </c>
      <c r="AF6876" s="86">
        <f>IF(verze!$E$1="CZK",AD6876,IF(verze!$E$1="SK",AE6876,""))</f>
        <v>7.7256400000000003</v>
      </c>
    </row>
    <row r="6877" spans="27:32" ht="15">
      <c r="AA6877" s="463" t="s">
        <v>21402</v>
      </c>
      <c r="AB6877" s="462" t="s">
        <v>21403</v>
      </c>
      <c r="AC6877" s="462" t="s">
        <v>21404</v>
      </c>
      <c r="AD6877" s="464">
        <v>190.22373999999999</v>
      </c>
      <c r="AE6877" s="465">
        <v>8.7147199999999998</v>
      </c>
      <c r="AF6877" s="86">
        <f>IF(verze!$E$1="CZK",AD6877,IF(verze!$E$1="SK",AE6877,""))</f>
        <v>8.7147199999999998</v>
      </c>
    </row>
    <row r="6878" spans="27:32" ht="15">
      <c r="AA6878" s="463" t="s">
        <v>21405</v>
      </c>
      <c r="AB6878" s="462" t="s">
        <v>21406</v>
      </c>
      <c r="AC6878" s="462" t="s">
        <v>21407</v>
      </c>
      <c r="AD6878" s="464">
        <v>288.03239000000002</v>
      </c>
      <c r="AE6878" s="465">
        <v>13.19562</v>
      </c>
      <c r="AF6878" s="86">
        <f>IF(verze!$E$1="CZK",AD6878,IF(verze!$E$1="SK",AE6878,""))</f>
        <v>13.19562</v>
      </c>
    </row>
    <row r="6879" spans="27:32" ht="15">
      <c r="AA6879" s="463" t="s">
        <v>21408</v>
      </c>
      <c r="AB6879" s="462" t="s">
        <v>21409</v>
      </c>
      <c r="AC6879" s="462" t="s">
        <v>21410</v>
      </c>
      <c r="AD6879" s="464">
        <v>299.95409000000001</v>
      </c>
      <c r="AE6879" s="465">
        <v>13.7418</v>
      </c>
      <c r="AF6879" s="86">
        <f>IF(verze!$E$1="CZK",AD6879,IF(verze!$E$1="SK",AE6879,""))</f>
        <v>13.7418</v>
      </c>
    </row>
    <row r="6880" spans="27:32" ht="15">
      <c r="AA6880" s="463" t="s">
        <v>21411</v>
      </c>
      <c r="AB6880" s="462" t="s">
        <v>21412</v>
      </c>
      <c r="AC6880" s="462" t="s">
        <v>21413</v>
      </c>
      <c r="AD6880" s="464">
        <v>320.01629000000003</v>
      </c>
      <c r="AE6880" s="465">
        <v>14.6609</v>
      </c>
      <c r="AF6880" s="86">
        <f>IF(verze!$E$1="CZK",AD6880,IF(verze!$E$1="SK",AE6880,""))</f>
        <v>14.6609</v>
      </c>
    </row>
    <row r="6881" spans="27:32" ht="15">
      <c r="AA6881" s="463" t="s">
        <v>21414</v>
      </c>
      <c r="AB6881" s="462" t="s">
        <v>21415</v>
      </c>
      <c r="AC6881" s="462" t="s">
        <v>21416</v>
      </c>
      <c r="AD6881" s="464">
        <v>344.66023000000001</v>
      </c>
      <c r="AE6881" s="465">
        <v>15.789899999999999</v>
      </c>
      <c r="AF6881" s="86">
        <f>IF(verze!$E$1="CZK",AD6881,IF(verze!$E$1="SK",AE6881,""))</f>
        <v>15.789899999999999</v>
      </c>
    </row>
    <row r="6882" spans="27:32" ht="15">
      <c r="AA6882" s="463" t="s">
        <v>21417</v>
      </c>
      <c r="AB6882" s="462" t="s">
        <v>21418</v>
      </c>
      <c r="AC6882" s="462" t="s">
        <v>21419</v>
      </c>
      <c r="AD6882" s="464">
        <v>356.49290999999999</v>
      </c>
      <c r="AE6882" s="465">
        <v>16.332000000000001</v>
      </c>
      <c r="AF6882" s="86">
        <f>IF(verze!$E$1="CZK",AD6882,IF(verze!$E$1="SK",AE6882,""))</f>
        <v>16.332000000000001</v>
      </c>
    </row>
    <row r="6883" spans="27:32" ht="15">
      <c r="AA6883" s="463" t="s">
        <v>21420</v>
      </c>
      <c r="AB6883" s="462" t="s">
        <v>21421</v>
      </c>
      <c r="AC6883" s="462" t="s">
        <v>21422</v>
      </c>
      <c r="AD6883" s="464">
        <v>293.79311000000001</v>
      </c>
      <c r="AE6883" s="465">
        <v>13.459540000000001</v>
      </c>
      <c r="AF6883" s="86">
        <f>IF(verze!$E$1="CZK",AD6883,IF(verze!$E$1="SK",AE6883,""))</f>
        <v>13.459540000000001</v>
      </c>
    </row>
    <row r="6884" spans="27:32" ht="15">
      <c r="AA6884" s="463" t="s">
        <v>21423</v>
      </c>
      <c r="AB6884" s="462" t="s">
        <v>21424</v>
      </c>
      <c r="AC6884" s="462" t="s">
        <v>21425</v>
      </c>
      <c r="AD6884" s="464">
        <v>305.95202999999998</v>
      </c>
      <c r="AE6884" s="465">
        <v>14.016579999999999</v>
      </c>
      <c r="AF6884" s="86">
        <f>IF(verze!$E$1="CZK",AD6884,IF(verze!$E$1="SK",AE6884,""))</f>
        <v>14.016579999999999</v>
      </c>
    </row>
    <row r="6885" spans="27:32" ht="15">
      <c r="AA6885" s="463" t="s">
        <v>21426</v>
      </c>
      <c r="AB6885" s="462" t="s">
        <v>21427</v>
      </c>
      <c r="AC6885" s="462" t="s">
        <v>21428</v>
      </c>
      <c r="AD6885" s="464">
        <v>339.34816000000001</v>
      </c>
      <c r="AE6885" s="465">
        <v>15.54654</v>
      </c>
      <c r="AF6885" s="86">
        <f>IF(verze!$E$1="CZK",AD6885,IF(verze!$E$1="SK",AE6885,""))</f>
        <v>15.54654</v>
      </c>
    </row>
    <row r="6886" spans="27:32" ht="15">
      <c r="AA6886" s="463" t="s">
        <v>21429</v>
      </c>
      <c r="AB6886" s="462" t="s">
        <v>21430</v>
      </c>
      <c r="AC6886" s="462" t="s">
        <v>21431</v>
      </c>
      <c r="AD6886" s="464">
        <v>351.55524000000003</v>
      </c>
      <c r="AE6886" s="465">
        <v>16.105799999999999</v>
      </c>
      <c r="AF6886" s="86">
        <f>IF(verze!$E$1="CZK",AD6886,IF(verze!$E$1="SK",AE6886,""))</f>
        <v>16.105799999999999</v>
      </c>
    </row>
    <row r="6887" spans="27:32" ht="15">
      <c r="AA6887" s="463" t="s">
        <v>21432</v>
      </c>
      <c r="AB6887" s="462" t="s">
        <v>21433</v>
      </c>
      <c r="AC6887" s="462" t="s">
        <v>21434</v>
      </c>
      <c r="AD6887" s="464">
        <v>392.16156999999998</v>
      </c>
      <c r="AE6887" s="465">
        <v>17.966080000000002</v>
      </c>
      <c r="AF6887" s="86">
        <f>IF(verze!$E$1="CZK",AD6887,IF(verze!$E$1="SK",AE6887,""))</f>
        <v>17.966080000000002</v>
      </c>
    </row>
    <row r="6888" spans="27:32" ht="15">
      <c r="AA6888" s="463" t="s">
        <v>21435</v>
      </c>
      <c r="AB6888" s="462" t="s">
        <v>21436</v>
      </c>
      <c r="AC6888" s="462" t="s">
        <v>21437</v>
      </c>
      <c r="AD6888" s="464">
        <v>391.33787000000001</v>
      </c>
      <c r="AE6888" s="465">
        <v>17.2498</v>
      </c>
      <c r="AF6888" s="86">
        <f>IF(verze!$E$1="CZK",AD6888,IF(verze!$E$1="SK",AE6888,""))</f>
        <v>17.2498</v>
      </c>
    </row>
    <row r="6889" spans="27:32" ht="15">
      <c r="AA6889" s="463" t="s">
        <v>21438</v>
      </c>
      <c r="AB6889" s="462" t="s">
        <v>21439</v>
      </c>
      <c r="AC6889" s="462" t="s">
        <v>21440</v>
      </c>
      <c r="AD6889" s="464">
        <v>373.38938999999999</v>
      </c>
      <c r="AE6889" s="465">
        <v>17.106059999999999</v>
      </c>
      <c r="AF6889" s="86">
        <f>IF(verze!$E$1="CZK",AD6889,IF(verze!$E$1="SK",AE6889,""))</f>
        <v>17.106059999999999</v>
      </c>
    </row>
    <row r="6890" spans="27:32" ht="15">
      <c r="AA6890" s="463" t="s">
        <v>21441</v>
      </c>
      <c r="AB6890" s="462" t="s">
        <v>21442</v>
      </c>
      <c r="AC6890" s="462" t="s">
        <v>21443</v>
      </c>
      <c r="AD6890" s="464">
        <v>432.58981999999997</v>
      </c>
      <c r="AE6890" s="465">
        <v>19.81822</v>
      </c>
      <c r="AF6890" s="86">
        <f>IF(verze!$E$1="CZK",AD6890,IF(verze!$E$1="SK",AE6890,""))</f>
        <v>19.81822</v>
      </c>
    </row>
    <row r="6891" spans="27:32" ht="15">
      <c r="AA6891" s="463" t="s">
        <v>4715</v>
      </c>
      <c r="AB6891" s="462" t="s">
        <v>21444</v>
      </c>
      <c r="AC6891" s="462" t="s">
        <v>21445</v>
      </c>
      <c r="AD6891" s="464">
        <v>724.05688999999995</v>
      </c>
      <c r="AE6891" s="465">
        <v>28.965890000000002</v>
      </c>
      <c r="AF6891" s="86">
        <f>IF(verze!$E$1="CZK",AD6891,IF(verze!$E$1="SK",AE6891,""))</f>
        <v>28.965890000000002</v>
      </c>
    </row>
    <row r="6892" spans="27:32" ht="15">
      <c r="AA6892" s="463" t="s">
        <v>21446</v>
      </c>
      <c r="AB6892" s="462" t="s">
        <v>21447</v>
      </c>
      <c r="AC6892" s="462" t="s">
        <v>21448</v>
      </c>
      <c r="AD6892" s="464">
        <v>348.20128999999997</v>
      </c>
      <c r="AE6892" s="465">
        <v>13.929779999999999</v>
      </c>
      <c r="AF6892" s="86">
        <f>IF(verze!$E$1="CZK",AD6892,IF(verze!$E$1="SK",AE6892,""))</f>
        <v>13.929779999999999</v>
      </c>
    </row>
    <row r="6893" spans="27:32" ht="15">
      <c r="AA6893" s="463" t="s">
        <v>21449</v>
      </c>
      <c r="AB6893" s="462" t="s">
        <v>21450</v>
      </c>
      <c r="AC6893" s="462" t="s">
        <v>21451</v>
      </c>
      <c r="AD6893" s="464">
        <v>64687.775240000003</v>
      </c>
      <c r="AE6893" s="465">
        <v>2587.83302</v>
      </c>
      <c r="AF6893" s="86">
        <f>IF(verze!$E$1="CZK",AD6893,IF(verze!$E$1="SK",AE6893,""))</f>
        <v>2587.83302</v>
      </c>
    </row>
    <row r="6894" spans="27:32" ht="15">
      <c r="AA6894" s="463" t="s">
        <v>21452</v>
      </c>
      <c r="AB6894" s="462" t="s">
        <v>21453</v>
      </c>
      <c r="AC6894" s="462" t="s">
        <v>21454</v>
      </c>
      <c r="AD6894" s="464">
        <v>112.63249</v>
      </c>
      <c r="AE6894" s="465">
        <v>0</v>
      </c>
      <c r="AF6894" s="86">
        <f>IF(verze!$E$1="CZK",AD6894,IF(verze!$E$1="SK",AE6894,""))</f>
        <v>0</v>
      </c>
    </row>
    <row r="6895" spans="27:32" ht="15">
      <c r="AA6895" s="463" t="s">
        <v>21455</v>
      </c>
      <c r="AB6895" s="462" t="s">
        <v>21456</v>
      </c>
      <c r="AC6895" s="462" t="s">
        <v>21457</v>
      </c>
      <c r="AD6895" s="464">
        <v>3.90367</v>
      </c>
      <c r="AE6895" s="465">
        <v>0.16009999999999999</v>
      </c>
      <c r="AF6895" s="86">
        <f>IF(verze!$E$1="CZK",AD6895,IF(verze!$E$1="SK",AE6895,""))</f>
        <v>0.16009999999999999</v>
      </c>
    </row>
    <row r="6896" spans="27:32" ht="15">
      <c r="AA6896" s="463" t="s">
        <v>21458</v>
      </c>
      <c r="AB6896" s="462" t="s">
        <v>21459</v>
      </c>
      <c r="AC6896" s="462" t="s">
        <v>21460</v>
      </c>
      <c r="AD6896" s="464">
        <v>4.15435</v>
      </c>
      <c r="AE6896" s="465">
        <v>0</v>
      </c>
      <c r="AF6896" s="86">
        <f>IF(verze!$E$1="CZK",AD6896,IF(verze!$E$1="SK",AE6896,""))</f>
        <v>0</v>
      </c>
    </row>
    <row r="6897" spans="27:32" ht="15">
      <c r="AA6897" s="463" t="s">
        <v>1320</v>
      </c>
      <c r="AB6897" s="462" t="s">
        <v>21461</v>
      </c>
      <c r="AC6897" s="462" t="s">
        <v>21462</v>
      </c>
      <c r="AD6897" s="464">
        <v>0</v>
      </c>
      <c r="AE6897" s="465">
        <v>0</v>
      </c>
      <c r="AF6897" s="86">
        <f>IF(verze!$E$1="CZK",AD6897,IF(verze!$E$1="SK",AE6897,""))</f>
        <v>0</v>
      </c>
    </row>
    <row r="6898" spans="27:32" ht="15">
      <c r="AA6898" s="463" t="s">
        <v>1320</v>
      </c>
      <c r="AB6898" s="462" t="s">
        <v>21463</v>
      </c>
      <c r="AC6898" s="462" t="s">
        <v>21464</v>
      </c>
      <c r="AD6898" s="464">
        <v>0</v>
      </c>
      <c r="AE6898" s="465">
        <v>0</v>
      </c>
      <c r="AF6898" s="86">
        <f>IF(verze!$E$1="CZK",AD6898,IF(verze!$E$1="SK",AE6898,""))</f>
        <v>0</v>
      </c>
    </row>
    <row r="6899" spans="27:32" ht="15">
      <c r="AA6899" s="463" t="s">
        <v>1320</v>
      </c>
      <c r="AB6899" s="462" t="s">
        <v>21465</v>
      </c>
      <c r="AC6899" s="462" t="s">
        <v>21466</v>
      </c>
      <c r="AD6899" s="464">
        <v>0</v>
      </c>
      <c r="AE6899" s="465">
        <v>0</v>
      </c>
      <c r="AF6899" s="86">
        <f>IF(verze!$E$1="CZK",AD6899,IF(verze!$E$1="SK",AE6899,""))</f>
        <v>0</v>
      </c>
    </row>
    <row r="6900" spans="27:32" ht="15">
      <c r="AA6900" s="463" t="s">
        <v>1320</v>
      </c>
      <c r="AB6900" s="462" t="s">
        <v>21467</v>
      </c>
      <c r="AC6900" s="462" t="s">
        <v>21468</v>
      </c>
      <c r="AD6900" s="464">
        <v>0</v>
      </c>
      <c r="AE6900" s="465">
        <v>0</v>
      </c>
      <c r="AF6900" s="86">
        <f>IF(verze!$E$1="CZK",AD6900,IF(verze!$E$1="SK",AE6900,""))</f>
        <v>0</v>
      </c>
    </row>
    <row r="6901" spans="27:32" ht="15">
      <c r="AA6901" s="463" t="s">
        <v>1320</v>
      </c>
      <c r="AB6901" s="462" t="s">
        <v>21469</v>
      </c>
      <c r="AC6901" s="462" t="s">
        <v>21470</v>
      </c>
      <c r="AD6901" s="464">
        <v>0</v>
      </c>
      <c r="AE6901" s="465">
        <v>0</v>
      </c>
      <c r="AF6901" s="86">
        <f>IF(verze!$E$1="CZK",AD6901,IF(verze!$E$1="SK",AE6901,""))</f>
        <v>0</v>
      </c>
    </row>
    <row r="6902" spans="27:32" ht="15">
      <c r="AA6902" s="463" t="s">
        <v>1320</v>
      </c>
      <c r="AB6902" s="462" t="s">
        <v>21471</v>
      </c>
      <c r="AC6902" s="462" t="s">
        <v>21472</v>
      </c>
      <c r="AD6902" s="464">
        <v>0</v>
      </c>
      <c r="AE6902" s="465">
        <v>0</v>
      </c>
      <c r="AF6902" s="86">
        <f>IF(verze!$E$1="CZK",AD6902,IF(verze!$E$1="SK",AE6902,""))</f>
        <v>0</v>
      </c>
    </row>
    <row r="6903" spans="27:32" ht="15">
      <c r="AA6903" s="463" t="s">
        <v>1320</v>
      </c>
      <c r="AB6903" s="462" t="s">
        <v>21473</v>
      </c>
      <c r="AC6903" s="462" t="s">
        <v>21474</v>
      </c>
      <c r="AD6903" s="464">
        <v>0</v>
      </c>
      <c r="AE6903" s="465">
        <v>0</v>
      </c>
      <c r="AF6903" s="86">
        <f>IF(verze!$E$1="CZK",AD6903,IF(verze!$E$1="SK",AE6903,""))</f>
        <v>0</v>
      </c>
    </row>
    <row r="6904" spans="27:32" ht="15">
      <c r="AA6904" s="463" t="s">
        <v>1320</v>
      </c>
      <c r="AB6904" s="462" t="s">
        <v>21475</v>
      </c>
      <c r="AC6904" s="462" t="s">
        <v>21476</v>
      </c>
      <c r="AD6904" s="464">
        <v>0</v>
      </c>
      <c r="AE6904" s="465">
        <v>0</v>
      </c>
      <c r="AF6904" s="86">
        <f>IF(verze!$E$1="CZK",AD6904,IF(verze!$E$1="SK",AE6904,""))</f>
        <v>0</v>
      </c>
    </row>
    <row r="6905" spans="27:32" ht="15">
      <c r="AA6905" s="463" t="s">
        <v>1320</v>
      </c>
      <c r="AB6905" s="462" t="s">
        <v>21477</v>
      </c>
      <c r="AC6905" s="462" t="s">
        <v>21478</v>
      </c>
      <c r="AD6905" s="464">
        <v>0</v>
      </c>
      <c r="AE6905" s="465">
        <v>0</v>
      </c>
      <c r="AF6905" s="86">
        <f>IF(verze!$E$1="CZK",AD6905,IF(verze!$E$1="SK",AE6905,""))</f>
        <v>0</v>
      </c>
    </row>
    <row r="6906" spans="27:32" ht="15">
      <c r="AA6906" s="463" t="s">
        <v>1320</v>
      </c>
      <c r="AB6906" s="462" t="s">
        <v>21479</v>
      </c>
      <c r="AC6906" s="462" t="s">
        <v>21480</v>
      </c>
      <c r="AD6906" s="464">
        <v>0</v>
      </c>
      <c r="AE6906" s="465">
        <v>0</v>
      </c>
      <c r="AF6906" s="86">
        <f>IF(verze!$E$1="CZK",AD6906,IF(verze!$E$1="SK",AE6906,""))</f>
        <v>0</v>
      </c>
    </row>
    <row r="6907" spans="27:32" ht="15">
      <c r="AA6907" s="463" t="s">
        <v>1320</v>
      </c>
      <c r="AB6907" s="462" t="s">
        <v>21481</v>
      </c>
      <c r="AC6907" s="462" t="s">
        <v>21482</v>
      </c>
      <c r="AD6907" s="464">
        <v>0</v>
      </c>
      <c r="AE6907" s="465">
        <v>0</v>
      </c>
      <c r="AF6907" s="86">
        <f>IF(verze!$E$1="CZK",AD6907,IF(verze!$E$1="SK",AE6907,""))</f>
        <v>0</v>
      </c>
    </row>
    <row r="6908" spans="27:32" ht="15">
      <c r="AA6908" s="463" t="s">
        <v>1320</v>
      </c>
      <c r="AB6908" s="462" t="s">
        <v>21483</v>
      </c>
      <c r="AC6908" s="462" t="s">
        <v>21484</v>
      </c>
      <c r="AD6908" s="464">
        <v>0</v>
      </c>
      <c r="AE6908" s="465">
        <v>0</v>
      </c>
      <c r="AF6908" s="86">
        <f>IF(verze!$E$1="CZK",AD6908,IF(verze!$E$1="SK",AE6908,""))</f>
        <v>0</v>
      </c>
    </row>
    <row r="6909" spans="27:32" ht="15">
      <c r="AA6909" s="463" t="s">
        <v>1320</v>
      </c>
      <c r="AB6909" s="462" t="s">
        <v>21485</v>
      </c>
      <c r="AC6909" s="462" t="s">
        <v>21486</v>
      </c>
      <c r="AD6909" s="464">
        <v>0</v>
      </c>
      <c r="AE6909" s="465">
        <v>0</v>
      </c>
      <c r="AF6909" s="86">
        <f>IF(verze!$E$1="CZK",AD6909,IF(verze!$E$1="SK",AE6909,""))</f>
        <v>0</v>
      </c>
    </row>
    <row r="6910" spans="27:32" ht="15">
      <c r="AA6910" s="463" t="s">
        <v>1320</v>
      </c>
      <c r="AB6910" s="462" t="s">
        <v>21487</v>
      </c>
      <c r="AC6910" s="462" t="s">
        <v>21488</v>
      </c>
      <c r="AD6910" s="464">
        <v>0</v>
      </c>
      <c r="AE6910" s="465">
        <v>0</v>
      </c>
      <c r="AF6910" s="86">
        <f>IF(verze!$E$1="CZK",AD6910,IF(verze!$E$1="SK",AE6910,""))</f>
        <v>0</v>
      </c>
    </row>
    <row r="6911" spans="27:32" ht="15">
      <c r="AA6911" s="463" t="s">
        <v>1320</v>
      </c>
      <c r="AB6911" s="462" t="s">
        <v>21489</v>
      </c>
      <c r="AC6911" s="462" t="s">
        <v>21490</v>
      </c>
      <c r="AD6911" s="464">
        <v>0</v>
      </c>
      <c r="AE6911" s="465">
        <v>0</v>
      </c>
      <c r="AF6911" s="86">
        <f>IF(verze!$E$1="CZK",AD6911,IF(verze!$E$1="SK",AE6911,""))</f>
        <v>0</v>
      </c>
    </row>
    <row r="6912" spans="27:32" ht="15">
      <c r="AA6912" s="463" t="s">
        <v>1320</v>
      </c>
      <c r="AB6912" s="462" t="s">
        <v>21491</v>
      </c>
      <c r="AC6912" s="462" t="s">
        <v>21492</v>
      </c>
      <c r="AD6912" s="464">
        <v>0</v>
      </c>
      <c r="AE6912" s="465">
        <v>0</v>
      </c>
      <c r="AF6912" s="86">
        <f>IF(verze!$E$1="CZK",AD6912,IF(verze!$E$1="SK",AE6912,""))</f>
        <v>0</v>
      </c>
    </row>
    <row r="6913" spans="27:32" ht="15">
      <c r="AA6913" s="463" t="s">
        <v>1320</v>
      </c>
      <c r="AB6913" s="462" t="s">
        <v>21493</v>
      </c>
      <c r="AC6913" s="462" t="s">
        <v>21494</v>
      </c>
      <c r="AD6913" s="464">
        <v>0</v>
      </c>
      <c r="AE6913" s="465">
        <v>0</v>
      </c>
      <c r="AF6913" s="86">
        <f>IF(verze!$E$1="CZK",AD6913,IF(verze!$E$1="SK",AE6913,""))</f>
        <v>0</v>
      </c>
    </row>
    <row r="6914" spans="27:32" ht="15">
      <c r="AA6914" s="463" t="s">
        <v>1320</v>
      </c>
      <c r="AB6914" s="462" t="s">
        <v>21495</v>
      </c>
      <c r="AC6914" s="462" t="s">
        <v>21496</v>
      </c>
      <c r="AD6914" s="464">
        <v>0</v>
      </c>
      <c r="AE6914" s="465">
        <v>0</v>
      </c>
      <c r="AF6914" s="86">
        <f>IF(verze!$E$1="CZK",AD6914,IF(verze!$E$1="SK",AE6914,""))</f>
        <v>0</v>
      </c>
    </row>
    <row r="6915" spans="27:32" ht="15">
      <c r="AA6915" s="463" t="s">
        <v>1320</v>
      </c>
      <c r="AB6915" s="462" t="s">
        <v>21497</v>
      </c>
      <c r="AC6915" s="462" t="s">
        <v>21498</v>
      </c>
      <c r="AD6915" s="464">
        <v>0</v>
      </c>
      <c r="AE6915" s="465">
        <v>0</v>
      </c>
      <c r="AF6915" s="86">
        <f>IF(verze!$E$1="CZK",AD6915,IF(verze!$E$1="SK",AE6915,""))</f>
        <v>0</v>
      </c>
    </row>
    <row r="6916" spans="27:32" ht="15">
      <c r="AA6916" s="463" t="s">
        <v>1320</v>
      </c>
      <c r="AB6916" s="462" t="s">
        <v>21499</v>
      </c>
      <c r="AC6916" s="462" t="s">
        <v>21500</v>
      </c>
      <c r="AD6916" s="464">
        <v>0</v>
      </c>
      <c r="AE6916" s="465">
        <v>0</v>
      </c>
      <c r="AF6916" s="86">
        <f>IF(verze!$E$1="CZK",AD6916,IF(verze!$E$1="SK",AE6916,""))</f>
        <v>0</v>
      </c>
    </row>
    <row r="6917" spans="27:32" ht="15">
      <c r="AA6917" s="463" t="s">
        <v>1320</v>
      </c>
      <c r="AB6917" s="462" t="s">
        <v>21501</v>
      </c>
      <c r="AC6917" s="462" t="s">
        <v>21502</v>
      </c>
      <c r="AD6917" s="464">
        <v>0</v>
      </c>
      <c r="AE6917" s="465">
        <v>0</v>
      </c>
      <c r="AF6917" s="86">
        <f>IF(verze!$E$1="CZK",AD6917,IF(verze!$E$1="SK",AE6917,""))</f>
        <v>0</v>
      </c>
    </row>
    <row r="6918" spans="27:32" ht="15">
      <c r="AA6918" s="463" t="s">
        <v>1320</v>
      </c>
      <c r="AB6918" s="462" t="s">
        <v>21503</v>
      </c>
      <c r="AC6918" s="462" t="s">
        <v>21504</v>
      </c>
      <c r="AD6918" s="464">
        <v>0</v>
      </c>
      <c r="AE6918" s="465">
        <v>0</v>
      </c>
      <c r="AF6918" s="86">
        <f>IF(verze!$E$1="CZK",AD6918,IF(verze!$E$1="SK",AE6918,""))</f>
        <v>0</v>
      </c>
    </row>
    <row r="6919" spans="27:32" ht="15">
      <c r="AA6919" s="463" t="s">
        <v>1320</v>
      </c>
      <c r="AB6919" s="462" t="s">
        <v>21505</v>
      </c>
      <c r="AC6919" s="462" t="s">
        <v>21506</v>
      </c>
      <c r="AD6919" s="464">
        <v>0</v>
      </c>
      <c r="AE6919" s="465">
        <v>0</v>
      </c>
      <c r="AF6919" s="86">
        <f>IF(verze!$E$1="CZK",AD6919,IF(verze!$E$1="SK",AE6919,""))</f>
        <v>0</v>
      </c>
    </row>
    <row r="6920" spans="27:32" ht="15">
      <c r="AA6920" s="463" t="s">
        <v>1320</v>
      </c>
      <c r="AB6920" s="462" t="s">
        <v>21507</v>
      </c>
      <c r="AC6920" s="462" t="s">
        <v>21508</v>
      </c>
      <c r="AD6920" s="464">
        <v>0</v>
      </c>
      <c r="AE6920" s="465">
        <v>0</v>
      </c>
      <c r="AF6920" s="86">
        <f>IF(verze!$E$1="CZK",AD6920,IF(verze!$E$1="SK",AE6920,""))</f>
        <v>0</v>
      </c>
    </row>
    <row r="6921" spans="27:32" ht="15">
      <c r="AA6921" s="463" t="s">
        <v>1320</v>
      </c>
      <c r="AB6921" s="462" t="s">
        <v>21509</v>
      </c>
      <c r="AC6921" s="462" t="s">
        <v>21510</v>
      </c>
      <c r="AD6921" s="464">
        <v>0</v>
      </c>
      <c r="AE6921" s="465">
        <v>0</v>
      </c>
      <c r="AF6921" s="86">
        <f>IF(verze!$E$1="CZK",AD6921,IF(verze!$E$1="SK",AE6921,""))</f>
        <v>0</v>
      </c>
    </row>
    <row r="6922" spans="27:32" ht="15">
      <c r="AA6922" s="463" t="s">
        <v>1320</v>
      </c>
      <c r="AB6922" s="462" t="s">
        <v>21511</v>
      </c>
      <c r="AC6922" s="462" t="s">
        <v>21512</v>
      </c>
      <c r="AD6922" s="464">
        <v>0</v>
      </c>
      <c r="AE6922" s="465">
        <v>0</v>
      </c>
      <c r="AF6922" s="86">
        <f>IF(verze!$E$1="CZK",AD6922,IF(verze!$E$1="SK",AE6922,""))</f>
        <v>0</v>
      </c>
    </row>
    <row r="6923" spans="27:32" ht="15">
      <c r="AA6923" s="463" t="s">
        <v>1320</v>
      </c>
      <c r="AB6923" s="462" t="s">
        <v>21513</v>
      </c>
      <c r="AC6923" s="462" t="s">
        <v>21514</v>
      </c>
      <c r="AD6923" s="464">
        <v>0</v>
      </c>
      <c r="AE6923" s="465">
        <v>0</v>
      </c>
      <c r="AF6923" s="86">
        <f>IF(verze!$E$1="CZK",AD6923,IF(verze!$E$1="SK",AE6923,""))</f>
        <v>0</v>
      </c>
    </row>
    <row r="6924" spans="27:32" ht="15">
      <c r="AA6924" s="463" t="s">
        <v>1320</v>
      </c>
      <c r="AB6924" s="462" t="s">
        <v>21515</v>
      </c>
      <c r="AC6924" s="462" t="s">
        <v>21516</v>
      </c>
      <c r="AD6924" s="464">
        <v>0</v>
      </c>
      <c r="AE6924" s="465">
        <v>0</v>
      </c>
      <c r="AF6924" s="86">
        <f>IF(verze!$E$1="CZK",AD6924,IF(verze!$E$1="SK",AE6924,""))</f>
        <v>0</v>
      </c>
    </row>
    <row r="6925" spans="27:32" ht="15">
      <c r="AA6925" s="463" t="s">
        <v>1320</v>
      </c>
      <c r="AB6925" s="462" t="s">
        <v>21517</v>
      </c>
      <c r="AC6925" s="462" t="s">
        <v>21518</v>
      </c>
      <c r="AD6925" s="464">
        <v>0</v>
      </c>
      <c r="AE6925" s="465">
        <v>0</v>
      </c>
      <c r="AF6925" s="86">
        <f>IF(verze!$E$1="CZK",AD6925,IF(verze!$E$1="SK",AE6925,""))</f>
        <v>0</v>
      </c>
    </row>
    <row r="6926" spans="27:32" ht="15">
      <c r="AA6926" s="463" t="s">
        <v>1320</v>
      </c>
      <c r="AB6926" s="462" t="s">
        <v>21519</v>
      </c>
      <c r="AC6926" s="462" t="s">
        <v>21520</v>
      </c>
      <c r="AD6926" s="464">
        <v>0</v>
      </c>
      <c r="AE6926" s="465">
        <v>0</v>
      </c>
      <c r="AF6926" s="86">
        <f>IF(verze!$E$1="CZK",AD6926,IF(verze!$E$1="SK",AE6926,""))</f>
        <v>0</v>
      </c>
    </row>
    <row r="6927" spans="27:32" ht="15">
      <c r="AA6927" s="463" t="s">
        <v>1320</v>
      </c>
      <c r="AB6927" s="462" t="s">
        <v>21521</v>
      </c>
      <c r="AC6927" s="462" t="s">
        <v>21522</v>
      </c>
      <c r="AD6927" s="464">
        <v>0</v>
      </c>
      <c r="AE6927" s="465">
        <v>0</v>
      </c>
      <c r="AF6927" s="86">
        <f>IF(verze!$E$1="CZK",AD6927,IF(verze!$E$1="SK",AE6927,""))</f>
        <v>0</v>
      </c>
    </row>
    <row r="6928" spans="27:32" ht="15">
      <c r="AA6928" s="463" t="s">
        <v>1320</v>
      </c>
      <c r="AB6928" s="462" t="s">
        <v>21523</v>
      </c>
      <c r="AC6928" s="462" t="s">
        <v>21524</v>
      </c>
      <c r="AD6928" s="464">
        <v>0</v>
      </c>
      <c r="AE6928" s="465">
        <v>0</v>
      </c>
      <c r="AF6928" s="86">
        <f>IF(verze!$E$1="CZK",AD6928,IF(verze!$E$1="SK",AE6928,""))</f>
        <v>0</v>
      </c>
    </row>
    <row r="6929" spans="27:32" ht="15">
      <c r="AA6929" s="463" t="s">
        <v>1320</v>
      </c>
      <c r="AB6929" s="462" t="s">
        <v>21525</v>
      </c>
      <c r="AC6929" s="462" t="s">
        <v>21526</v>
      </c>
      <c r="AD6929" s="464">
        <v>0</v>
      </c>
      <c r="AE6929" s="465">
        <v>0</v>
      </c>
      <c r="AF6929" s="86">
        <f>IF(verze!$E$1="CZK",AD6929,IF(verze!$E$1="SK",AE6929,""))</f>
        <v>0</v>
      </c>
    </row>
    <row r="6930" spans="27:32" ht="15">
      <c r="AA6930" s="463" t="s">
        <v>1320</v>
      </c>
      <c r="AB6930" s="462" t="s">
        <v>21527</v>
      </c>
      <c r="AC6930" s="462" t="s">
        <v>21528</v>
      </c>
      <c r="AD6930" s="464">
        <v>0</v>
      </c>
      <c r="AE6930" s="465">
        <v>0</v>
      </c>
      <c r="AF6930" s="86">
        <f>IF(verze!$E$1="CZK",AD6930,IF(verze!$E$1="SK",AE6930,""))</f>
        <v>0</v>
      </c>
    </row>
    <row r="6931" spans="27:32" ht="15">
      <c r="AA6931" s="463" t="s">
        <v>1320</v>
      </c>
      <c r="AB6931" s="462" t="s">
        <v>21529</v>
      </c>
      <c r="AC6931" s="462" t="s">
        <v>21530</v>
      </c>
      <c r="AD6931" s="464">
        <v>0</v>
      </c>
      <c r="AE6931" s="465">
        <v>0</v>
      </c>
      <c r="AF6931" s="86">
        <f>IF(verze!$E$1="CZK",AD6931,IF(verze!$E$1="SK",AE6931,""))</f>
        <v>0</v>
      </c>
    </row>
    <row r="6932" spans="27:32" ht="15">
      <c r="AA6932" s="463" t="s">
        <v>1320</v>
      </c>
      <c r="AB6932" s="462" t="s">
        <v>21531</v>
      </c>
      <c r="AC6932" s="462" t="s">
        <v>21532</v>
      </c>
      <c r="AD6932" s="464">
        <v>0</v>
      </c>
      <c r="AE6932" s="465">
        <v>0</v>
      </c>
      <c r="AF6932" s="86">
        <f>IF(verze!$E$1="CZK",AD6932,IF(verze!$E$1="SK",AE6932,""))</f>
        <v>0</v>
      </c>
    </row>
    <row r="6933" spans="27:32" ht="15">
      <c r="AA6933" s="463" t="s">
        <v>1320</v>
      </c>
      <c r="AB6933" s="462" t="s">
        <v>21533</v>
      </c>
      <c r="AC6933" s="462" t="s">
        <v>21534</v>
      </c>
      <c r="AD6933" s="464">
        <v>0</v>
      </c>
      <c r="AE6933" s="465">
        <v>0</v>
      </c>
      <c r="AF6933" s="86">
        <f>IF(verze!$E$1="CZK",AD6933,IF(verze!$E$1="SK",AE6933,""))</f>
        <v>0</v>
      </c>
    </row>
    <row r="6934" spans="27:32" ht="15">
      <c r="AA6934" s="463" t="s">
        <v>1320</v>
      </c>
      <c r="AB6934" s="462" t="s">
        <v>21535</v>
      </c>
      <c r="AC6934" s="462" t="s">
        <v>21536</v>
      </c>
      <c r="AD6934" s="464">
        <v>0</v>
      </c>
      <c r="AE6934" s="465">
        <v>0</v>
      </c>
      <c r="AF6934" s="86">
        <f>IF(verze!$E$1="CZK",AD6934,IF(verze!$E$1="SK",AE6934,""))</f>
        <v>0</v>
      </c>
    </row>
    <row r="6935" spans="27:32" ht="15">
      <c r="AA6935" s="463" t="s">
        <v>1320</v>
      </c>
      <c r="AB6935" s="462" t="s">
        <v>21537</v>
      </c>
      <c r="AC6935" s="462" t="s">
        <v>21538</v>
      </c>
      <c r="AD6935" s="464">
        <v>0</v>
      </c>
      <c r="AE6935" s="465">
        <v>0</v>
      </c>
      <c r="AF6935" s="86">
        <f>IF(verze!$E$1="CZK",AD6935,IF(verze!$E$1="SK",AE6935,""))</f>
        <v>0</v>
      </c>
    </row>
    <row r="6936" spans="27:32" ht="15">
      <c r="AA6936" s="463" t="s">
        <v>1320</v>
      </c>
      <c r="AB6936" s="462" t="s">
        <v>21539</v>
      </c>
      <c r="AC6936" s="462" t="s">
        <v>21540</v>
      </c>
      <c r="AD6936" s="464">
        <v>0</v>
      </c>
      <c r="AE6936" s="465">
        <v>0</v>
      </c>
      <c r="AF6936" s="86">
        <f>IF(verze!$E$1="CZK",AD6936,IF(verze!$E$1="SK",AE6936,""))</f>
        <v>0</v>
      </c>
    </row>
    <row r="6937" spans="27:32" ht="15">
      <c r="AA6937" s="463" t="s">
        <v>1320</v>
      </c>
      <c r="AB6937" s="462" t="s">
        <v>21541</v>
      </c>
      <c r="AC6937" s="462" t="s">
        <v>21542</v>
      </c>
      <c r="AD6937" s="464">
        <v>0</v>
      </c>
      <c r="AE6937" s="465">
        <v>0</v>
      </c>
      <c r="AF6937" s="86">
        <f>IF(verze!$E$1="CZK",AD6937,IF(verze!$E$1="SK",AE6937,""))</f>
        <v>0</v>
      </c>
    </row>
    <row r="6938" spans="27:32" ht="15">
      <c r="AA6938" s="463" t="s">
        <v>1320</v>
      </c>
      <c r="AB6938" s="462" t="s">
        <v>21543</v>
      </c>
      <c r="AC6938" s="462" t="s">
        <v>21544</v>
      </c>
      <c r="AD6938" s="464">
        <v>0</v>
      </c>
      <c r="AE6938" s="465">
        <v>0</v>
      </c>
      <c r="AF6938" s="86">
        <f>IF(verze!$E$1="CZK",AD6938,IF(verze!$E$1="SK",AE6938,""))</f>
        <v>0</v>
      </c>
    </row>
    <row r="6939" spans="27:32" ht="15">
      <c r="AA6939" s="463" t="s">
        <v>1320</v>
      </c>
      <c r="AB6939" s="462" t="s">
        <v>21545</v>
      </c>
      <c r="AC6939" s="462" t="s">
        <v>21546</v>
      </c>
      <c r="AD6939" s="464">
        <v>0</v>
      </c>
      <c r="AE6939" s="465">
        <v>0</v>
      </c>
      <c r="AF6939" s="86">
        <f>IF(verze!$E$1="CZK",AD6939,IF(verze!$E$1="SK",AE6939,""))</f>
        <v>0</v>
      </c>
    </row>
    <row r="6940" spans="27:32" ht="15">
      <c r="AA6940" s="463" t="s">
        <v>1320</v>
      </c>
      <c r="AB6940" s="462" t="s">
        <v>21547</v>
      </c>
      <c r="AC6940" s="462" t="s">
        <v>21548</v>
      </c>
      <c r="AD6940" s="464">
        <v>0</v>
      </c>
      <c r="AE6940" s="465">
        <v>0</v>
      </c>
      <c r="AF6940" s="86">
        <f>IF(verze!$E$1="CZK",AD6940,IF(verze!$E$1="SK",AE6940,""))</f>
        <v>0</v>
      </c>
    </row>
    <row r="6941" spans="27:32" ht="15">
      <c r="AA6941" s="463" t="s">
        <v>1320</v>
      </c>
      <c r="AB6941" s="462" t="s">
        <v>21549</v>
      </c>
      <c r="AC6941" s="462" t="s">
        <v>21550</v>
      </c>
      <c r="AD6941" s="464">
        <v>0</v>
      </c>
      <c r="AE6941" s="465">
        <v>0</v>
      </c>
      <c r="AF6941" s="86">
        <f>IF(verze!$E$1="CZK",AD6941,IF(verze!$E$1="SK",AE6941,""))</f>
        <v>0</v>
      </c>
    </row>
    <row r="6942" spans="27:32" ht="15">
      <c r="AA6942" s="463" t="s">
        <v>1320</v>
      </c>
      <c r="AB6942" s="462" t="s">
        <v>21551</v>
      </c>
      <c r="AC6942" s="462" t="s">
        <v>21552</v>
      </c>
      <c r="AD6942" s="464">
        <v>0</v>
      </c>
      <c r="AE6942" s="465">
        <v>0</v>
      </c>
      <c r="AF6942" s="86">
        <f>IF(verze!$E$1="CZK",AD6942,IF(verze!$E$1="SK",AE6942,""))</f>
        <v>0</v>
      </c>
    </row>
    <row r="6943" spans="27:32" ht="15">
      <c r="AA6943" s="463" t="s">
        <v>1320</v>
      </c>
      <c r="AB6943" s="462" t="s">
        <v>21553</v>
      </c>
      <c r="AC6943" s="462" t="s">
        <v>21554</v>
      </c>
      <c r="AD6943" s="464">
        <v>0</v>
      </c>
      <c r="AE6943" s="465">
        <v>0</v>
      </c>
      <c r="AF6943" s="86">
        <f>IF(verze!$E$1="CZK",AD6943,IF(verze!$E$1="SK",AE6943,""))</f>
        <v>0</v>
      </c>
    </row>
    <row r="6944" spans="27:32" ht="15">
      <c r="AA6944" s="463" t="s">
        <v>1320</v>
      </c>
      <c r="AB6944" s="462" t="s">
        <v>21555</v>
      </c>
      <c r="AC6944" s="462" t="s">
        <v>21556</v>
      </c>
      <c r="AD6944" s="464">
        <v>0</v>
      </c>
      <c r="AE6944" s="465">
        <v>0</v>
      </c>
      <c r="AF6944" s="86">
        <f>IF(verze!$E$1="CZK",AD6944,IF(verze!$E$1="SK",AE6944,""))</f>
        <v>0</v>
      </c>
    </row>
    <row r="6945" spans="27:32" ht="15">
      <c r="AA6945" s="463" t="s">
        <v>1320</v>
      </c>
      <c r="AB6945" s="462" t="s">
        <v>21557</v>
      </c>
      <c r="AC6945" s="462" t="s">
        <v>21558</v>
      </c>
      <c r="AD6945" s="464">
        <v>0</v>
      </c>
      <c r="AE6945" s="465">
        <v>0</v>
      </c>
      <c r="AF6945" s="86">
        <f>IF(verze!$E$1="CZK",AD6945,IF(verze!$E$1="SK",AE6945,""))</f>
        <v>0</v>
      </c>
    </row>
    <row r="6946" spans="27:32" ht="15">
      <c r="AA6946" s="463" t="s">
        <v>1320</v>
      </c>
      <c r="AB6946" s="462" t="s">
        <v>21559</v>
      </c>
      <c r="AC6946" s="462" t="s">
        <v>21560</v>
      </c>
      <c r="AD6946" s="464">
        <v>0</v>
      </c>
      <c r="AE6946" s="465">
        <v>0</v>
      </c>
      <c r="AF6946" s="86">
        <f>IF(verze!$E$1="CZK",AD6946,IF(verze!$E$1="SK",AE6946,""))</f>
        <v>0</v>
      </c>
    </row>
    <row r="6947" spans="27:32" ht="15">
      <c r="AA6947" s="463" t="s">
        <v>1320</v>
      </c>
      <c r="AB6947" s="462" t="s">
        <v>21561</v>
      </c>
      <c r="AC6947" s="462" t="s">
        <v>21562</v>
      </c>
      <c r="AD6947" s="464">
        <v>0</v>
      </c>
      <c r="AE6947" s="465">
        <v>0</v>
      </c>
      <c r="AF6947" s="86">
        <f>IF(verze!$E$1="CZK",AD6947,IF(verze!$E$1="SK",AE6947,""))</f>
        <v>0</v>
      </c>
    </row>
    <row r="6948" spans="27:32" ht="15">
      <c r="AA6948" s="463" t="s">
        <v>1320</v>
      </c>
      <c r="AB6948" s="462" t="s">
        <v>21563</v>
      </c>
      <c r="AC6948" s="462" t="s">
        <v>21564</v>
      </c>
      <c r="AD6948" s="464">
        <v>0</v>
      </c>
      <c r="AE6948" s="465">
        <v>0</v>
      </c>
      <c r="AF6948" s="86">
        <f>IF(verze!$E$1="CZK",AD6948,IF(verze!$E$1="SK",AE6948,""))</f>
        <v>0</v>
      </c>
    </row>
    <row r="6949" spans="27:32" ht="15">
      <c r="AA6949" s="463" t="s">
        <v>1320</v>
      </c>
      <c r="AB6949" s="462" t="s">
        <v>21565</v>
      </c>
      <c r="AC6949" s="462" t="s">
        <v>21566</v>
      </c>
      <c r="AD6949" s="464">
        <v>0</v>
      </c>
      <c r="AE6949" s="465">
        <v>0</v>
      </c>
      <c r="AF6949" s="86">
        <f>IF(verze!$E$1="CZK",AD6949,IF(verze!$E$1="SK",AE6949,""))</f>
        <v>0</v>
      </c>
    </row>
    <row r="6950" spans="27:32" ht="15">
      <c r="AA6950" s="463" t="s">
        <v>1320</v>
      </c>
      <c r="AB6950" s="462" t="s">
        <v>21567</v>
      </c>
      <c r="AC6950" s="462" t="s">
        <v>21568</v>
      </c>
      <c r="AD6950" s="464">
        <v>0</v>
      </c>
      <c r="AE6950" s="465">
        <v>0</v>
      </c>
      <c r="AF6950" s="86">
        <f>IF(verze!$E$1="CZK",AD6950,IF(verze!$E$1="SK",AE6950,""))</f>
        <v>0</v>
      </c>
    </row>
    <row r="6951" spans="27:32" ht="15">
      <c r="AA6951" s="463" t="s">
        <v>1320</v>
      </c>
      <c r="AB6951" s="462" t="s">
        <v>21569</v>
      </c>
      <c r="AC6951" s="462" t="s">
        <v>21570</v>
      </c>
      <c r="AD6951" s="464">
        <v>0</v>
      </c>
      <c r="AE6951" s="465">
        <v>0</v>
      </c>
      <c r="AF6951" s="86">
        <f>IF(verze!$E$1="CZK",AD6951,IF(verze!$E$1="SK",AE6951,""))</f>
        <v>0</v>
      </c>
    </row>
    <row r="6952" spans="27:32" ht="15">
      <c r="AA6952" s="463" t="s">
        <v>1320</v>
      </c>
      <c r="AB6952" s="462" t="s">
        <v>21571</v>
      </c>
      <c r="AC6952" s="462" t="s">
        <v>21572</v>
      </c>
      <c r="AD6952" s="464">
        <v>0</v>
      </c>
      <c r="AE6952" s="465">
        <v>0</v>
      </c>
      <c r="AF6952" s="86">
        <f>IF(verze!$E$1="CZK",AD6952,IF(verze!$E$1="SK",AE6952,""))</f>
        <v>0</v>
      </c>
    </row>
    <row r="6953" spans="27:32" ht="15">
      <c r="AA6953" s="463" t="s">
        <v>1320</v>
      </c>
      <c r="AB6953" s="462" t="s">
        <v>21573</v>
      </c>
      <c r="AC6953" s="462" t="s">
        <v>21574</v>
      </c>
      <c r="AD6953" s="464">
        <v>0</v>
      </c>
      <c r="AE6953" s="465">
        <v>0</v>
      </c>
      <c r="AF6953" s="86">
        <f>IF(verze!$E$1="CZK",AD6953,IF(verze!$E$1="SK",AE6953,""))</f>
        <v>0</v>
      </c>
    </row>
    <row r="6954" spans="27:32" ht="15">
      <c r="AA6954" s="463" t="s">
        <v>1320</v>
      </c>
      <c r="AB6954" s="462" t="s">
        <v>21575</v>
      </c>
      <c r="AC6954" s="462" t="s">
        <v>21576</v>
      </c>
      <c r="AD6954" s="464">
        <v>0</v>
      </c>
      <c r="AE6954" s="465">
        <v>0</v>
      </c>
      <c r="AF6954" s="86">
        <f>IF(verze!$E$1="CZK",AD6954,IF(verze!$E$1="SK",AE6954,""))</f>
        <v>0</v>
      </c>
    </row>
    <row r="6955" spans="27:32" ht="15">
      <c r="AA6955" s="463" t="s">
        <v>1320</v>
      </c>
      <c r="AB6955" s="462" t="s">
        <v>21577</v>
      </c>
      <c r="AC6955" s="462" t="s">
        <v>21578</v>
      </c>
      <c r="AD6955" s="464">
        <v>0</v>
      </c>
      <c r="AE6955" s="465">
        <v>0</v>
      </c>
      <c r="AF6955" s="86">
        <f>IF(verze!$E$1="CZK",AD6955,IF(verze!$E$1="SK",AE6955,""))</f>
        <v>0</v>
      </c>
    </row>
    <row r="6956" spans="27:32" ht="15">
      <c r="AA6956" s="463" t="s">
        <v>1320</v>
      </c>
      <c r="AB6956" s="462" t="s">
        <v>21579</v>
      </c>
      <c r="AC6956" s="462" t="s">
        <v>21580</v>
      </c>
      <c r="AD6956" s="464">
        <v>0</v>
      </c>
      <c r="AE6956" s="465">
        <v>0</v>
      </c>
      <c r="AF6956" s="86">
        <f>IF(verze!$E$1="CZK",AD6956,IF(verze!$E$1="SK",AE6956,""))</f>
        <v>0</v>
      </c>
    </row>
    <row r="6957" spans="27:32" ht="15">
      <c r="AA6957" s="463" t="s">
        <v>1320</v>
      </c>
      <c r="AB6957" s="462" t="s">
        <v>21581</v>
      </c>
      <c r="AC6957" s="462" t="s">
        <v>21582</v>
      </c>
      <c r="AD6957" s="464">
        <v>0</v>
      </c>
      <c r="AE6957" s="465">
        <v>0</v>
      </c>
      <c r="AF6957" s="86">
        <f>IF(verze!$E$1="CZK",AD6957,IF(verze!$E$1="SK",AE6957,""))</f>
        <v>0</v>
      </c>
    </row>
    <row r="6958" spans="27:32" ht="15">
      <c r="AA6958" s="463" t="s">
        <v>1320</v>
      </c>
      <c r="AB6958" s="462" t="s">
        <v>21583</v>
      </c>
      <c r="AC6958" s="462" t="s">
        <v>21584</v>
      </c>
      <c r="AD6958" s="464">
        <v>0</v>
      </c>
      <c r="AE6958" s="465">
        <v>0</v>
      </c>
      <c r="AF6958" s="86">
        <f>IF(verze!$E$1="CZK",AD6958,IF(verze!$E$1="SK",AE6958,""))</f>
        <v>0</v>
      </c>
    </row>
    <row r="6959" spans="27:32" ht="15">
      <c r="AA6959" s="463" t="s">
        <v>1320</v>
      </c>
      <c r="AB6959" s="462" t="s">
        <v>21585</v>
      </c>
      <c r="AC6959" s="462" t="s">
        <v>21586</v>
      </c>
      <c r="AD6959" s="464">
        <v>0</v>
      </c>
      <c r="AE6959" s="465">
        <v>0</v>
      </c>
      <c r="AF6959" s="86">
        <f>IF(verze!$E$1="CZK",AD6959,IF(verze!$E$1="SK",AE6959,""))</f>
        <v>0</v>
      </c>
    </row>
    <row r="6960" spans="27:32" ht="15">
      <c r="AA6960" s="463" t="s">
        <v>1320</v>
      </c>
      <c r="AB6960" s="462" t="s">
        <v>21587</v>
      </c>
      <c r="AC6960" s="462" t="s">
        <v>21588</v>
      </c>
      <c r="AD6960" s="464">
        <v>1751.4351200000001</v>
      </c>
      <c r="AE6960" s="465">
        <v>0</v>
      </c>
      <c r="AF6960" s="86">
        <f>IF(verze!$E$1="CZK",AD6960,IF(verze!$E$1="SK",AE6960,""))</f>
        <v>0</v>
      </c>
    </row>
    <row r="6961" spans="27:32" ht="15">
      <c r="AA6961" s="463" t="s">
        <v>1320</v>
      </c>
      <c r="AB6961" s="462" t="s">
        <v>21589</v>
      </c>
      <c r="AC6961" s="462" t="s">
        <v>21590</v>
      </c>
      <c r="AD6961" s="464">
        <v>1751.4351200000001</v>
      </c>
      <c r="AE6961" s="465">
        <v>0</v>
      </c>
      <c r="AF6961" s="86">
        <f>IF(verze!$E$1="CZK",AD6961,IF(verze!$E$1="SK",AE6961,""))</f>
        <v>0</v>
      </c>
    </row>
    <row r="6962" spans="27:32" ht="15">
      <c r="AA6962" s="463" t="s">
        <v>1320</v>
      </c>
      <c r="AB6962" s="462" t="s">
        <v>21591</v>
      </c>
      <c r="AC6962" s="462" t="s">
        <v>21592</v>
      </c>
      <c r="AD6962" s="464">
        <v>1751.4351200000001</v>
      </c>
      <c r="AE6962" s="465">
        <v>0</v>
      </c>
      <c r="AF6962" s="86">
        <f>IF(verze!$E$1="CZK",AD6962,IF(verze!$E$1="SK",AE6962,""))</f>
        <v>0</v>
      </c>
    </row>
    <row r="6963" spans="27:32" ht="15">
      <c r="AA6963" s="463" t="s">
        <v>1320</v>
      </c>
      <c r="AB6963" s="462" t="s">
        <v>21593</v>
      </c>
      <c r="AC6963" s="462" t="s">
        <v>21594</v>
      </c>
      <c r="AD6963" s="464">
        <v>0</v>
      </c>
      <c r="AE6963" s="465">
        <v>0</v>
      </c>
      <c r="AF6963" s="86">
        <f>IF(verze!$E$1="CZK",AD6963,IF(verze!$E$1="SK",AE6963,""))</f>
        <v>0</v>
      </c>
    </row>
    <row r="6964" spans="27:32" ht="15">
      <c r="AA6964" s="463" t="s">
        <v>1320</v>
      </c>
      <c r="AB6964" s="462" t="s">
        <v>21595</v>
      </c>
      <c r="AC6964" s="462" t="s">
        <v>21596</v>
      </c>
      <c r="AD6964" s="464">
        <v>0</v>
      </c>
      <c r="AE6964" s="465">
        <v>0</v>
      </c>
      <c r="AF6964" s="86">
        <f>IF(verze!$E$1="CZK",AD6964,IF(verze!$E$1="SK",AE6964,""))</f>
        <v>0</v>
      </c>
    </row>
    <row r="6965" spans="27:32" ht="15">
      <c r="AA6965" s="463" t="s">
        <v>1320</v>
      </c>
      <c r="AB6965" s="462" t="s">
        <v>21597</v>
      </c>
      <c r="AC6965" s="462" t="s">
        <v>21598</v>
      </c>
      <c r="AD6965" s="464">
        <v>0</v>
      </c>
      <c r="AE6965" s="465">
        <v>0</v>
      </c>
      <c r="AF6965" s="86">
        <f>IF(verze!$E$1="CZK",AD6965,IF(verze!$E$1="SK",AE6965,""))</f>
        <v>0</v>
      </c>
    </row>
    <row r="6966" spans="27:32" ht="15">
      <c r="AA6966" s="463" t="s">
        <v>1320</v>
      </c>
      <c r="AB6966" s="462" t="s">
        <v>21599</v>
      </c>
      <c r="AC6966" s="462" t="s">
        <v>21600</v>
      </c>
      <c r="AD6966" s="464">
        <v>0</v>
      </c>
      <c r="AE6966" s="465">
        <v>0</v>
      </c>
      <c r="AF6966" s="86">
        <f>IF(verze!$E$1="CZK",AD6966,IF(verze!$E$1="SK",AE6966,""))</f>
        <v>0</v>
      </c>
    </row>
    <row r="6967" spans="27:32" ht="15">
      <c r="AA6967" s="463" t="s">
        <v>1320</v>
      </c>
      <c r="AB6967" s="462" t="s">
        <v>21601</v>
      </c>
      <c r="AC6967" s="462" t="s">
        <v>21602</v>
      </c>
      <c r="AD6967" s="464">
        <v>0</v>
      </c>
      <c r="AE6967" s="465">
        <v>0</v>
      </c>
      <c r="AF6967" s="86">
        <f>IF(verze!$E$1="CZK",AD6967,IF(verze!$E$1="SK",AE6967,""))</f>
        <v>0</v>
      </c>
    </row>
    <row r="6968" spans="27:32" ht="15">
      <c r="AA6968" s="463" t="s">
        <v>1320</v>
      </c>
      <c r="AB6968" s="462" t="s">
        <v>21603</v>
      </c>
      <c r="AC6968" s="462" t="s">
        <v>21604</v>
      </c>
      <c r="AD6968" s="464">
        <v>0</v>
      </c>
      <c r="AE6968" s="465">
        <v>0</v>
      </c>
      <c r="AF6968" s="86">
        <f>IF(verze!$E$1="CZK",AD6968,IF(verze!$E$1="SK",AE6968,""))</f>
        <v>0</v>
      </c>
    </row>
    <row r="6969" spans="27:32" ht="15">
      <c r="AA6969" s="463" t="s">
        <v>1320</v>
      </c>
      <c r="AB6969" s="462" t="s">
        <v>21605</v>
      </c>
      <c r="AC6969" s="462" t="s">
        <v>21606</v>
      </c>
      <c r="AD6969" s="464">
        <v>0</v>
      </c>
      <c r="AE6969" s="465">
        <v>0</v>
      </c>
      <c r="AF6969" s="86">
        <f>IF(verze!$E$1="CZK",AD6969,IF(verze!$E$1="SK",AE6969,""))</f>
        <v>0</v>
      </c>
    </row>
    <row r="6970" spans="27:32" ht="15">
      <c r="AA6970" s="463" t="s">
        <v>1320</v>
      </c>
      <c r="AB6970" s="462" t="s">
        <v>21607</v>
      </c>
      <c r="AC6970" s="462" t="s">
        <v>21608</v>
      </c>
      <c r="AD6970" s="464">
        <v>0</v>
      </c>
      <c r="AE6970" s="465">
        <v>0</v>
      </c>
      <c r="AF6970" s="86">
        <f>IF(verze!$E$1="CZK",AD6970,IF(verze!$E$1="SK",AE6970,""))</f>
        <v>0</v>
      </c>
    </row>
    <row r="6971" spans="27:32" ht="15">
      <c r="AA6971" s="463" t="s">
        <v>1320</v>
      </c>
      <c r="AB6971" s="462" t="s">
        <v>21609</v>
      </c>
      <c r="AC6971" s="462" t="s">
        <v>21610</v>
      </c>
      <c r="AD6971" s="464">
        <v>0</v>
      </c>
      <c r="AE6971" s="465">
        <v>0</v>
      </c>
      <c r="AF6971" s="86">
        <f>IF(verze!$E$1="CZK",AD6971,IF(verze!$E$1="SK",AE6971,""))</f>
        <v>0</v>
      </c>
    </row>
    <row r="6972" spans="27:32" ht="15">
      <c r="AA6972" s="463" t="s">
        <v>1320</v>
      </c>
      <c r="AB6972" s="462" t="s">
        <v>21611</v>
      </c>
      <c r="AC6972" s="462" t="s">
        <v>21612</v>
      </c>
      <c r="AD6972" s="464">
        <v>0</v>
      </c>
      <c r="AE6972" s="465">
        <v>0</v>
      </c>
      <c r="AF6972" s="86">
        <f>IF(verze!$E$1="CZK",AD6972,IF(verze!$E$1="SK",AE6972,""))</f>
        <v>0</v>
      </c>
    </row>
    <row r="6973" spans="27:32" ht="15">
      <c r="AA6973" s="463" t="s">
        <v>1320</v>
      </c>
      <c r="AB6973" s="462" t="s">
        <v>21613</v>
      </c>
      <c r="AC6973" s="462" t="s">
        <v>21614</v>
      </c>
      <c r="AD6973" s="464">
        <v>0</v>
      </c>
      <c r="AE6973" s="465">
        <v>0</v>
      </c>
      <c r="AF6973" s="86">
        <f>IF(verze!$E$1="CZK",AD6973,IF(verze!$E$1="SK",AE6973,""))</f>
        <v>0</v>
      </c>
    </row>
    <row r="6974" spans="27:32" ht="15">
      <c r="AA6974" s="463" t="s">
        <v>1320</v>
      </c>
      <c r="AB6974" s="462" t="s">
        <v>21615</v>
      </c>
      <c r="AC6974" s="462" t="s">
        <v>21616</v>
      </c>
      <c r="AD6974" s="464">
        <v>0</v>
      </c>
      <c r="AE6974" s="465">
        <v>0</v>
      </c>
      <c r="AF6974" s="86">
        <f>IF(verze!$E$1="CZK",AD6974,IF(verze!$E$1="SK",AE6974,""))</f>
        <v>0</v>
      </c>
    </row>
    <row r="6975" spans="27:32" ht="15">
      <c r="AA6975" s="463" t="s">
        <v>1320</v>
      </c>
      <c r="AB6975" s="462" t="s">
        <v>21617</v>
      </c>
      <c r="AC6975" s="462" t="s">
        <v>21618</v>
      </c>
      <c r="AD6975" s="464">
        <v>0</v>
      </c>
      <c r="AE6975" s="465">
        <v>0</v>
      </c>
      <c r="AF6975" s="86">
        <f>IF(verze!$E$1="CZK",AD6975,IF(verze!$E$1="SK",AE6975,""))</f>
        <v>0</v>
      </c>
    </row>
    <row r="6976" spans="27:32" ht="15">
      <c r="AA6976" s="463" t="s">
        <v>1320</v>
      </c>
      <c r="AB6976" s="462" t="s">
        <v>21619</v>
      </c>
      <c r="AC6976" s="462" t="s">
        <v>21620</v>
      </c>
      <c r="AD6976" s="464">
        <v>0</v>
      </c>
      <c r="AE6976" s="465">
        <v>0</v>
      </c>
      <c r="AF6976" s="86">
        <f>IF(verze!$E$1="CZK",AD6976,IF(verze!$E$1="SK",AE6976,""))</f>
        <v>0</v>
      </c>
    </row>
    <row r="6977" spans="27:32" ht="15">
      <c r="AA6977" s="463" t="s">
        <v>1320</v>
      </c>
      <c r="AB6977" s="462" t="s">
        <v>21621</v>
      </c>
      <c r="AC6977" s="462" t="s">
        <v>21622</v>
      </c>
      <c r="AD6977" s="464">
        <v>0</v>
      </c>
      <c r="AE6977" s="465">
        <v>0</v>
      </c>
      <c r="AF6977" s="86">
        <f>IF(verze!$E$1="CZK",AD6977,IF(verze!$E$1="SK",AE6977,""))</f>
        <v>0</v>
      </c>
    </row>
    <row r="6978" spans="27:32" ht="15">
      <c r="AA6978" s="463" t="s">
        <v>1320</v>
      </c>
      <c r="AB6978" s="462" t="s">
        <v>21623</v>
      </c>
      <c r="AC6978" s="462" t="s">
        <v>21624</v>
      </c>
      <c r="AD6978" s="464">
        <v>0</v>
      </c>
      <c r="AE6978" s="465">
        <v>0</v>
      </c>
      <c r="AF6978" s="86">
        <f>IF(verze!$E$1="CZK",AD6978,IF(verze!$E$1="SK",AE6978,""))</f>
        <v>0</v>
      </c>
    </row>
    <row r="6979" spans="27:32" ht="15">
      <c r="AA6979" s="463" t="s">
        <v>1320</v>
      </c>
      <c r="AB6979" s="462" t="s">
        <v>21625</v>
      </c>
      <c r="AC6979" s="462" t="s">
        <v>21626</v>
      </c>
      <c r="AD6979" s="464">
        <v>0</v>
      </c>
      <c r="AE6979" s="465">
        <v>0</v>
      </c>
      <c r="AF6979" s="86">
        <f>IF(verze!$E$1="CZK",AD6979,IF(verze!$E$1="SK",AE6979,""))</f>
        <v>0</v>
      </c>
    </row>
    <row r="6980" spans="27:32" ht="15">
      <c r="AA6980" s="463" t="s">
        <v>1320</v>
      </c>
      <c r="AB6980" s="462" t="s">
        <v>21627</v>
      </c>
      <c r="AC6980" s="462" t="s">
        <v>21628</v>
      </c>
      <c r="AD6980" s="464">
        <v>0</v>
      </c>
      <c r="AE6980" s="465">
        <v>0</v>
      </c>
      <c r="AF6980" s="86">
        <f>IF(verze!$E$1="CZK",AD6980,IF(verze!$E$1="SK",AE6980,""))</f>
        <v>0</v>
      </c>
    </row>
    <row r="6981" spans="27:32" ht="15">
      <c r="AA6981" s="463" t="s">
        <v>1320</v>
      </c>
      <c r="AB6981" s="462" t="s">
        <v>21629</v>
      </c>
      <c r="AC6981" s="462" t="s">
        <v>21630</v>
      </c>
      <c r="AD6981" s="464">
        <v>0</v>
      </c>
      <c r="AE6981" s="465">
        <v>0</v>
      </c>
      <c r="AF6981" s="86">
        <f>IF(verze!$E$1="CZK",AD6981,IF(verze!$E$1="SK",AE6981,""))</f>
        <v>0</v>
      </c>
    </row>
    <row r="6982" spans="27:32" ht="15">
      <c r="AA6982" s="463" t="s">
        <v>1320</v>
      </c>
      <c r="AB6982" s="462" t="s">
        <v>21631</v>
      </c>
      <c r="AC6982" s="462" t="s">
        <v>21632</v>
      </c>
      <c r="AD6982" s="464">
        <v>0</v>
      </c>
      <c r="AE6982" s="465">
        <v>0</v>
      </c>
      <c r="AF6982" s="86">
        <f>IF(verze!$E$1="CZK",AD6982,IF(verze!$E$1="SK",AE6982,""))</f>
        <v>0</v>
      </c>
    </row>
    <row r="6983" spans="27:32" ht="15">
      <c r="AA6983" s="463" t="s">
        <v>1320</v>
      </c>
      <c r="AB6983" s="462" t="s">
        <v>21633</v>
      </c>
      <c r="AC6983" s="462" t="s">
        <v>21634</v>
      </c>
      <c r="AD6983" s="464">
        <v>0</v>
      </c>
      <c r="AE6983" s="465">
        <v>0</v>
      </c>
      <c r="AF6983" s="86">
        <f>IF(verze!$E$1="CZK",AD6983,IF(verze!$E$1="SK",AE6983,""))</f>
        <v>0</v>
      </c>
    </row>
    <row r="6984" spans="27:32" ht="15">
      <c r="AA6984" s="463" t="s">
        <v>1320</v>
      </c>
      <c r="AB6984" s="462" t="s">
        <v>21635</v>
      </c>
      <c r="AC6984" s="462" t="s">
        <v>21636</v>
      </c>
      <c r="AD6984" s="464">
        <v>0</v>
      </c>
      <c r="AE6984" s="465">
        <v>0</v>
      </c>
      <c r="AF6984" s="86">
        <f>IF(verze!$E$1="CZK",AD6984,IF(verze!$E$1="SK",AE6984,""))</f>
        <v>0</v>
      </c>
    </row>
    <row r="6985" spans="27:32" ht="15">
      <c r="AA6985" s="463" t="s">
        <v>1320</v>
      </c>
      <c r="AB6985" s="462" t="s">
        <v>21637</v>
      </c>
      <c r="AC6985" s="462" t="s">
        <v>21638</v>
      </c>
      <c r="AD6985" s="464">
        <v>0</v>
      </c>
      <c r="AE6985" s="465">
        <v>0</v>
      </c>
      <c r="AF6985" s="86">
        <f>IF(verze!$E$1="CZK",AD6985,IF(verze!$E$1="SK",AE6985,""))</f>
        <v>0</v>
      </c>
    </row>
    <row r="6986" spans="27:32" ht="15">
      <c r="AA6986" s="463" t="s">
        <v>1320</v>
      </c>
      <c r="AB6986" s="462" t="s">
        <v>21639</v>
      </c>
      <c r="AC6986" s="462" t="s">
        <v>21640</v>
      </c>
      <c r="AD6986" s="464">
        <v>0</v>
      </c>
      <c r="AE6986" s="465">
        <v>0</v>
      </c>
      <c r="AF6986" s="86">
        <f>IF(verze!$E$1="CZK",AD6986,IF(verze!$E$1="SK",AE6986,""))</f>
        <v>0</v>
      </c>
    </row>
    <row r="6987" spans="27:32" ht="15">
      <c r="AA6987" s="463" t="s">
        <v>1320</v>
      </c>
      <c r="AB6987" s="462" t="s">
        <v>21641</v>
      </c>
      <c r="AC6987" s="462" t="s">
        <v>21642</v>
      </c>
      <c r="AD6987" s="464">
        <v>0</v>
      </c>
      <c r="AE6987" s="465">
        <v>0</v>
      </c>
      <c r="AF6987" s="86">
        <f>IF(verze!$E$1="CZK",AD6987,IF(verze!$E$1="SK",AE6987,""))</f>
        <v>0</v>
      </c>
    </row>
    <row r="6988" spans="27:32" ht="15">
      <c r="AA6988" s="463" t="s">
        <v>1320</v>
      </c>
      <c r="AB6988" s="462" t="s">
        <v>21643</v>
      </c>
      <c r="AC6988" s="462" t="s">
        <v>21644</v>
      </c>
      <c r="AD6988" s="464">
        <v>0</v>
      </c>
      <c r="AE6988" s="465">
        <v>0</v>
      </c>
      <c r="AF6988" s="86">
        <f>IF(verze!$E$1="CZK",AD6988,IF(verze!$E$1="SK",AE6988,""))</f>
        <v>0</v>
      </c>
    </row>
    <row r="6989" spans="27:32" ht="15">
      <c r="AA6989" s="463" t="s">
        <v>1320</v>
      </c>
      <c r="AB6989" s="462" t="s">
        <v>21645</v>
      </c>
      <c r="AC6989" s="462" t="s">
        <v>21646</v>
      </c>
      <c r="AD6989" s="464">
        <v>0</v>
      </c>
      <c r="AE6989" s="465">
        <v>0</v>
      </c>
      <c r="AF6989" s="86">
        <f>IF(verze!$E$1="CZK",AD6989,IF(verze!$E$1="SK",AE6989,""))</f>
        <v>0</v>
      </c>
    </row>
    <row r="6990" spans="27:32" ht="15">
      <c r="AA6990" s="463" t="s">
        <v>1320</v>
      </c>
      <c r="AB6990" s="462" t="s">
        <v>21647</v>
      </c>
      <c r="AC6990" s="462" t="s">
        <v>21648</v>
      </c>
      <c r="AD6990" s="464">
        <v>0</v>
      </c>
      <c r="AE6990" s="465">
        <v>0</v>
      </c>
      <c r="AF6990" s="86">
        <f>IF(verze!$E$1="CZK",AD6990,IF(verze!$E$1="SK",AE6990,""))</f>
        <v>0</v>
      </c>
    </row>
    <row r="6991" spans="27:32" ht="15">
      <c r="AA6991" s="463" t="s">
        <v>1320</v>
      </c>
      <c r="AB6991" s="462" t="s">
        <v>21649</v>
      </c>
      <c r="AC6991" s="462" t="s">
        <v>21650</v>
      </c>
      <c r="AD6991" s="464">
        <v>0</v>
      </c>
      <c r="AE6991" s="465">
        <v>0</v>
      </c>
      <c r="AF6991" s="86">
        <f>IF(verze!$E$1="CZK",AD6991,IF(verze!$E$1="SK",AE6991,""))</f>
        <v>0</v>
      </c>
    </row>
    <row r="6992" spans="27:32" ht="15">
      <c r="AA6992" s="463" t="s">
        <v>1320</v>
      </c>
      <c r="AB6992" s="462" t="s">
        <v>21651</v>
      </c>
      <c r="AC6992" s="462" t="s">
        <v>21652</v>
      </c>
      <c r="AD6992" s="464">
        <v>0</v>
      </c>
      <c r="AE6992" s="465">
        <v>0</v>
      </c>
      <c r="AF6992" s="86">
        <f>IF(verze!$E$1="CZK",AD6992,IF(verze!$E$1="SK",AE6992,""))</f>
        <v>0</v>
      </c>
    </row>
    <row r="6993" spans="27:32" ht="15">
      <c r="AA6993" s="463" t="s">
        <v>1320</v>
      </c>
      <c r="AB6993" s="462" t="s">
        <v>21653</v>
      </c>
      <c r="AC6993" s="462" t="s">
        <v>21654</v>
      </c>
      <c r="AD6993" s="464">
        <v>0</v>
      </c>
      <c r="AE6993" s="465">
        <v>0</v>
      </c>
      <c r="AF6993" s="86">
        <f>IF(verze!$E$1="CZK",AD6993,IF(verze!$E$1="SK",AE6993,""))</f>
        <v>0</v>
      </c>
    </row>
    <row r="6994" spans="27:32" ht="15">
      <c r="AA6994" s="463" t="s">
        <v>1320</v>
      </c>
      <c r="AB6994" s="462" t="s">
        <v>21655</v>
      </c>
      <c r="AC6994" s="462" t="s">
        <v>21656</v>
      </c>
      <c r="AD6994" s="464">
        <v>0</v>
      </c>
      <c r="AE6994" s="465">
        <v>0</v>
      </c>
      <c r="AF6994" s="86">
        <f>IF(verze!$E$1="CZK",AD6994,IF(verze!$E$1="SK",AE6994,""))</f>
        <v>0</v>
      </c>
    </row>
    <row r="6995" spans="27:32" ht="15">
      <c r="AA6995" s="463" t="s">
        <v>1320</v>
      </c>
      <c r="AB6995" s="462" t="s">
        <v>21657</v>
      </c>
      <c r="AC6995" s="462" t="s">
        <v>21658</v>
      </c>
      <c r="AD6995" s="464">
        <v>0</v>
      </c>
      <c r="AE6995" s="465">
        <v>0</v>
      </c>
      <c r="AF6995" s="86">
        <f>IF(verze!$E$1="CZK",AD6995,IF(verze!$E$1="SK",AE6995,""))</f>
        <v>0</v>
      </c>
    </row>
    <row r="6996" spans="27:32" ht="15">
      <c r="AA6996" s="463" t="s">
        <v>1320</v>
      </c>
      <c r="AB6996" s="462" t="s">
        <v>21659</v>
      </c>
      <c r="AC6996" s="462" t="s">
        <v>21660</v>
      </c>
      <c r="AD6996" s="464">
        <v>0</v>
      </c>
      <c r="AE6996" s="465">
        <v>0</v>
      </c>
      <c r="AF6996" s="86">
        <f>IF(verze!$E$1="CZK",AD6996,IF(verze!$E$1="SK",AE6996,""))</f>
        <v>0</v>
      </c>
    </row>
    <row r="6997" spans="27:32" ht="15">
      <c r="AA6997" s="463" t="s">
        <v>1320</v>
      </c>
      <c r="AB6997" s="462" t="s">
        <v>21661</v>
      </c>
      <c r="AC6997" s="462" t="s">
        <v>21662</v>
      </c>
      <c r="AD6997" s="464">
        <v>0</v>
      </c>
      <c r="AE6997" s="465">
        <v>0</v>
      </c>
      <c r="AF6997" s="86">
        <f>IF(verze!$E$1="CZK",AD6997,IF(verze!$E$1="SK",AE6997,""))</f>
        <v>0</v>
      </c>
    </row>
    <row r="6998" spans="27:32" ht="15">
      <c r="AA6998" s="463" t="s">
        <v>1320</v>
      </c>
      <c r="AB6998" s="462" t="s">
        <v>21663</v>
      </c>
      <c r="AC6998" s="462" t="s">
        <v>21664</v>
      </c>
      <c r="AD6998" s="464">
        <v>0</v>
      </c>
      <c r="AE6998" s="465">
        <v>0</v>
      </c>
      <c r="AF6998" s="86">
        <f>IF(verze!$E$1="CZK",AD6998,IF(verze!$E$1="SK",AE6998,""))</f>
        <v>0</v>
      </c>
    </row>
    <row r="6999" spans="27:32" ht="15">
      <c r="AA6999" s="463" t="s">
        <v>1320</v>
      </c>
      <c r="AB6999" s="462" t="s">
        <v>21665</v>
      </c>
      <c r="AC6999" s="462" t="s">
        <v>21666</v>
      </c>
      <c r="AD6999" s="464">
        <v>0</v>
      </c>
      <c r="AE6999" s="465">
        <v>0</v>
      </c>
      <c r="AF6999" s="86">
        <f>IF(verze!$E$1="CZK",AD6999,IF(verze!$E$1="SK",AE6999,""))</f>
        <v>0</v>
      </c>
    </row>
    <row r="7000" spans="27:32" ht="15">
      <c r="AA7000" s="463" t="s">
        <v>1320</v>
      </c>
      <c r="AB7000" s="462" t="s">
        <v>21667</v>
      </c>
      <c r="AC7000" s="462" t="s">
        <v>21668</v>
      </c>
      <c r="AD7000" s="464">
        <v>0</v>
      </c>
      <c r="AE7000" s="465">
        <v>0</v>
      </c>
      <c r="AF7000" s="86">
        <f>IF(verze!$E$1="CZK",AD7000,IF(verze!$E$1="SK",AE7000,""))</f>
        <v>0</v>
      </c>
    </row>
    <row r="7001" spans="27:32" ht="15">
      <c r="AA7001" s="463" t="s">
        <v>1320</v>
      </c>
      <c r="AB7001" s="462" t="s">
        <v>21669</v>
      </c>
      <c r="AC7001" s="462" t="s">
        <v>21670</v>
      </c>
      <c r="AD7001" s="464">
        <v>0</v>
      </c>
      <c r="AE7001" s="465">
        <v>0</v>
      </c>
      <c r="AF7001" s="86">
        <f>IF(verze!$E$1="CZK",AD7001,IF(verze!$E$1="SK",AE7001,""))</f>
        <v>0</v>
      </c>
    </row>
    <row r="7002" spans="27:32" ht="15">
      <c r="AA7002" s="463" t="s">
        <v>1320</v>
      </c>
      <c r="AB7002" s="462" t="s">
        <v>21671</v>
      </c>
      <c r="AC7002" s="462" t="s">
        <v>21672</v>
      </c>
      <c r="AD7002" s="464">
        <v>0</v>
      </c>
      <c r="AE7002" s="465">
        <v>0</v>
      </c>
      <c r="AF7002" s="86">
        <f>IF(verze!$E$1="CZK",AD7002,IF(verze!$E$1="SK",AE7002,""))</f>
        <v>0</v>
      </c>
    </row>
    <row r="7003" spans="27:32" ht="15">
      <c r="AA7003" s="463" t="s">
        <v>1320</v>
      </c>
      <c r="AB7003" s="462" t="s">
        <v>21673</v>
      </c>
      <c r="AC7003" s="462" t="s">
        <v>21674</v>
      </c>
      <c r="AD7003" s="464">
        <v>0</v>
      </c>
      <c r="AE7003" s="465">
        <v>0</v>
      </c>
      <c r="AF7003" s="86">
        <f>IF(verze!$E$1="CZK",AD7003,IF(verze!$E$1="SK",AE7003,""))</f>
        <v>0</v>
      </c>
    </row>
    <row r="7004" spans="27:32" ht="15">
      <c r="AA7004" s="463" t="s">
        <v>1320</v>
      </c>
      <c r="AB7004" s="462" t="s">
        <v>21675</v>
      </c>
      <c r="AC7004" s="462" t="s">
        <v>21676</v>
      </c>
      <c r="AD7004" s="464">
        <v>0</v>
      </c>
      <c r="AE7004" s="465">
        <v>0</v>
      </c>
      <c r="AF7004" s="86">
        <f>IF(verze!$E$1="CZK",AD7004,IF(verze!$E$1="SK",AE7004,""))</f>
        <v>0</v>
      </c>
    </row>
    <row r="7005" spans="27:32" ht="15">
      <c r="AA7005" s="463" t="s">
        <v>1320</v>
      </c>
      <c r="AB7005" s="462" t="s">
        <v>21677</v>
      </c>
      <c r="AC7005" s="462" t="s">
        <v>21678</v>
      </c>
      <c r="AD7005" s="464">
        <v>0</v>
      </c>
      <c r="AE7005" s="465">
        <v>0</v>
      </c>
      <c r="AF7005" s="86">
        <f>IF(verze!$E$1="CZK",AD7005,IF(verze!$E$1="SK",AE7005,""))</f>
        <v>0</v>
      </c>
    </row>
    <row r="7006" spans="27:32" ht="15">
      <c r="AA7006" s="463" t="s">
        <v>1320</v>
      </c>
      <c r="AB7006" s="462" t="s">
        <v>21679</v>
      </c>
      <c r="AC7006" s="462" t="s">
        <v>21680</v>
      </c>
      <c r="AD7006" s="464">
        <v>0</v>
      </c>
      <c r="AE7006" s="465">
        <v>0</v>
      </c>
      <c r="AF7006" s="86">
        <f>IF(verze!$E$1="CZK",AD7006,IF(verze!$E$1="SK",AE7006,""))</f>
        <v>0</v>
      </c>
    </row>
    <row r="7007" spans="27:32" ht="15">
      <c r="AA7007" s="463" t="s">
        <v>1320</v>
      </c>
      <c r="AB7007" s="462" t="s">
        <v>21681</v>
      </c>
      <c r="AC7007" s="462" t="s">
        <v>21682</v>
      </c>
      <c r="AD7007" s="464">
        <v>0</v>
      </c>
      <c r="AE7007" s="465">
        <v>0</v>
      </c>
      <c r="AF7007" s="86">
        <f>IF(verze!$E$1="CZK",AD7007,IF(verze!$E$1="SK",AE7007,""))</f>
        <v>0</v>
      </c>
    </row>
    <row r="7008" spans="27:32" ht="15">
      <c r="AA7008" s="463" t="s">
        <v>1320</v>
      </c>
      <c r="AB7008" s="462" t="s">
        <v>21683</v>
      </c>
      <c r="AC7008" s="462" t="s">
        <v>21684</v>
      </c>
      <c r="AD7008" s="464">
        <v>0</v>
      </c>
      <c r="AE7008" s="465">
        <v>0</v>
      </c>
      <c r="AF7008" s="86">
        <f>IF(verze!$E$1="CZK",AD7008,IF(verze!$E$1="SK",AE7008,""))</f>
        <v>0</v>
      </c>
    </row>
    <row r="7009" spans="27:32" ht="15">
      <c r="AA7009" s="463" t="s">
        <v>1320</v>
      </c>
      <c r="AB7009" s="462" t="s">
        <v>21685</v>
      </c>
      <c r="AC7009" s="462" t="s">
        <v>21686</v>
      </c>
      <c r="AD7009" s="464">
        <v>0</v>
      </c>
      <c r="AE7009" s="465">
        <v>0</v>
      </c>
      <c r="AF7009" s="86">
        <f>IF(verze!$E$1="CZK",AD7009,IF(verze!$E$1="SK",AE7009,""))</f>
        <v>0</v>
      </c>
    </row>
    <row r="7010" spans="27:32" ht="15">
      <c r="AA7010" s="463" t="s">
        <v>1320</v>
      </c>
      <c r="AB7010" s="462" t="s">
        <v>21687</v>
      </c>
      <c r="AC7010" s="462" t="s">
        <v>21688</v>
      </c>
      <c r="AD7010" s="464">
        <v>0</v>
      </c>
      <c r="AE7010" s="465">
        <v>0</v>
      </c>
      <c r="AF7010" s="86">
        <f>IF(verze!$E$1="CZK",AD7010,IF(verze!$E$1="SK",AE7010,""))</f>
        <v>0</v>
      </c>
    </row>
    <row r="7011" spans="27:32" ht="15">
      <c r="AA7011" s="463" t="s">
        <v>1320</v>
      </c>
      <c r="AB7011" s="462" t="s">
        <v>21689</v>
      </c>
      <c r="AC7011" s="462" t="s">
        <v>21690</v>
      </c>
      <c r="AD7011" s="464">
        <v>0</v>
      </c>
      <c r="AE7011" s="465">
        <v>0</v>
      </c>
      <c r="AF7011" s="86">
        <f>IF(verze!$E$1="CZK",AD7011,IF(verze!$E$1="SK",AE7011,""))</f>
        <v>0</v>
      </c>
    </row>
    <row r="7012" spans="27:32" ht="15">
      <c r="AA7012" s="463" t="s">
        <v>1320</v>
      </c>
      <c r="AB7012" s="462" t="s">
        <v>21691</v>
      </c>
      <c r="AC7012" s="462" t="s">
        <v>21692</v>
      </c>
      <c r="AD7012" s="464">
        <v>0</v>
      </c>
      <c r="AE7012" s="465">
        <v>0</v>
      </c>
      <c r="AF7012" s="86">
        <f>IF(verze!$E$1="CZK",AD7012,IF(verze!$E$1="SK",AE7012,""))</f>
        <v>0</v>
      </c>
    </row>
    <row r="7013" spans="27:32" ht="15">
      <c r="AA7013" s="463" t="s">
        <v>1320</v>
      </c>
      <c r="AB7013" s="462" t="s">
        <v>21693</v>
      </c>
      <c r="AC7013" s="462" t="s">
        <v>21694</v>
      </c>
      <c r="AD7013" s="464">
        <v>0</v>
      </c>
      <c r="AE7013" s="465">
        <v>0</v>
      </c>
      <c r="AF7013" s="86">
        <f>IF(verze!$E$1="CZK",AD7013,IF(verze!$E$1="SK",AE7013,""))</f>
        <v>0</v>
      </c>
    </row>
    <row r="7014" spans="27:32" ht="15">
      <c r="AA7014" s="463" t="s">
        <v>1320</v>
      </c>
      <c r="AB7014" s="462" t="s">
        <v>21695</v>
      </c>
      <c r="AC7014" s="462" t="s">
        <v>21696</v>
      </c>
      <c r="AD7014" s="464">
        <v>0</v>
      </c>
      <c r="AE7014" s="465">
        <v>0</v>
      </c>
      <c r="AF7014" s="86">
        <f>IF(verze!$E$1="CZK",AD7014,IF(verze!$E$1="SK",AE7014,""))</f>
        <v>0</v>
      </c>
    </row>
    <row r="7015" spans="27:32" ht="15">
      <c r="AA7015" s="463" t="s">
        <v>1320</v>
      </c>
      <c r="AB7015" s="462" t="s">
        <v>21697</v>
      </c>
      <c r="AC7015" s="462" t="s">
        <v>21698</v>
      </c>
      <c r="AD7015" s="464">
        <v>0</v>
      </c>
      <c r="AE7015" s="465">
        <v>0</v>
      </c>
      <c r="AF7015" s="86">
        <f>IF(verze!$E$1="CZK",AD7015,IF(verze!$E$1="SK",AE7015,""))</f>
        <v>0</v>
      </c>
    </row>
    <row r="7016" spans="27:32" ht="15">
      <c r="AA7016" s="463" t="s">
        <v>1320</v>
      </c>
      <c r="AB7016" s="462" t="s">
        <v>21699</v>
      </c>
      <c r="AC7016" s="462" t="s">
        <v>21700</v>
      </c>
      <c r="AD7016" s="464">
        <v>0</v>
      </c>
      <c r="AE7016" s="465">
        <v>0</v>
      </c>
      <c r="AF7016" s="86">
        <f>IF(verze!$E$1="CZK",AD7016,IF(verze!$E$1="SK",AE7016,""))</f>
        <v>0</v>
      </c>
    </row>
    <row r="7017" spans="27:32" ht="15">
      <c r="AA7017" s="463" t="s">
        <v>1320</v>
      </c>
      <c r="AB7017" s="462" t="s">
        <v>21701</v>
      </c>
      <c r="AC7017" s="462" t="s">
        <v>21702</v>
      </c>
      <c r="AD7017" s="464">
        <v>0</v>
      </c>
      <c r="AE7017" s="465">
        <v>0</v>
      </c>
      <c r="AF7017" s="86">
        <f>IF(verze!$E$1="CZK",AD7017,IF(verze!$E$1="SK",AE7017,""))</f>
        <v>0</v>
      </c>
    </row>
    <row r="7018" spans="27:32" ht="15">
      <c r="AA7018" s="463" t="s">
        <v>1320</v>
      </c>
      <c r="AB7018" s="462" t="s">
        <v>21703</v>
      </c>
      <c r="AC7018" s="462" t="s">
        <v>21704</v>
      </c>
      <c r="AD7018" s="464">
        <v>0</v>
      </c>
      <c r="AE7018" s="465">
        <v>0</v>
      </c>
      <c r="AF7018" s="86">
        <f>IF(verze!$E$1="CZK",AD7018,IF(verze!$E$1="SK",AE7018,""))</f>
        <v>0</v>
      </c>
    </row>
    <row r="7019" spans="27:32" ht="15">
      <c r="AA7019" s="463" t="s">
        <v>1320</v>
      </c>
      <c r="AB7019" s="462" t="s">
        <v>21705</v>
      </c>
      <c r="AC7019" s="462" t="s">
        <v>21706</v>
      </c>
      <c r="AD7019" s="464">
        <v>0</v>
      </c>
      <c r="AE7019" s="465">
        <v>0</v>
      </c>
      <c r="AF7019" s="86">
        <f>IF(verze!$E$1="CZK",AD7019,IF(verze!$E$1="SK",AE7019,""))</f>
        <v>0</v>
      </c>
    </row>
    <row r="7020" spans="27:32" ht="15">
      <c r="AA7020" s="463" t="s">
        <v>1320</v>
      </c>
      <c r="AB7020" s="462" t="s">
        <v>21707</v>
      </c>
      <c r="AC7020" s="462" t="s">
        <v>21708</v>
      </c>
      <c r="AD7020" s="464">
        <v>0</v>
      </c>
      <c r="AE7020" s="465">
        <v>0</v>
      </c>
      <c r="AF7020" s="86">
        <f>IF(verze!$E$1="CZK",AD7020,IF(verze!$E$1="SK",AE7020,""))</f>
        <v>0</v>
      </c>
    </row>
    <row r="7021" spans="27:32" ht="15">
      <c r="AA7021" s="463" t="s">
        <v>1320</v>
      </c>
      <c r="AB7021" s="462" t="s">
        <v>21709</v>
      </c>
      <c r="AC7021" s="462" t="s">
        <v>21710</v>
      </c>
      <c r="AD7021" s="464">
        <v>0</v>
      </c>
      <c r="AE7021" s="465">
        <v>0</v>
      </c>
      <c r="AF7021" s="86">
        <f>IF(verze!$E$1="CZK",AD7021,IF(verze!$E$1="SK",AE7021,""))</f>
        <v>0</v>
      </c>
    </row>
    <row r="7022" spans="27:32" ht="15">
      <c r="AA7022" s="463" t="s">
        <v>1320</v>
      </c>
      <c r="AB7022" s="462" t="s">
        <v>21711</v>
      </c>
      <c r="AC7022" s="462" t="s">
        <v>21712</v>
      </c>
      <c r="AD7022" s="464">
        <v>0</v>
      </c>
      <c r="AE7022" s="465">
        <v>0</v>
      </c>
      <c r="AF7022" s="86">
        <f>IF(verze!$E$1="CZK",AD7022,IF(verze!$E$1="SK",AE7022,""))</f>
        <v>0</v>
      </c>
    </row>
    <row r="7023" spans="27:32" ht="15">
      <c r="AA7023" s="463" t="s">
        <v>1320</v>
      </c>
      <c r="AB7023" s="462" t="s">
        <v>21713</v>
      </c>
      <c r="AC7023" s="462" t="s">
        <v>21714</v>
      </c>
      <c r="AD7023" s="464">
        <v>0</v>
      </c>
      <c r="AE7023" s="465">
        <v>0</v>
      </c>
      <c r="AF7023" s="86">
        <f>IF(verze!$E$1="CZK",AD7023,IF(verze!$E$1="SK",AE7023,""))</f>
        <v>0</v>
      </c>
    </row>
    <row r="7024" spans="27:32" ht="15">
      <c r="AA7024" s="463" t="s">
        <v>1320</v>
      </c>
      <c r="AB7024" s="462" t="s">
        <v>21715</v>
      </c>
      <c r="AC7024" s="462" t="s">
        <v>21716</v>
      </c>
      <c r="AD7024" s="464">
        <v>0</v>
      </c>
      <c r="AE7024" s="465">
        <v>0</v>
      </c>
      <c r="AF7024" s="86">
        <f>IF(verze!$E$1="CZK",AD7024,IF(verze!$E$1="SK",AE7024,""))</f>
        <v>0</v>
      </c>
    </row>
    <row r="7025" spans="27:32" ht="15">
      <c r="AA7025" s="463" t="s">
        <v>1320</v>
      </c>
      <c r="AB7025" s="462" t="s">
        <v>21717</v>
      </c>
      <c r="AC7025" s="462" t="s">
        <v>21718</v>
      </c>
      <c r="AD7025" s="464">
        <v>0</v>
      </c>
      <c r="AE7025" s="465">
        <v>0</v>
      </c>
      <c r="AF7025" s="86">
        <f>IF(verze!$E$1="CZK",AD7025,IF(verze!$E$1="SK",AE7025,""))</f>
        <v>0</v>
      </c>
    </row>
    <row r="7026" spans="27:32" ht="15">
      <c r="AA7026" s="463" t="s">
        <v>1320</v>
      </c>
      <c r="AB7026" s="462" t="s">
        <v>21719</v>
      </c>
      <c r="AC7026" s="462" t="s">
        <v>21720</v>
      </c>
      <c r="AD7026" s="464">
        <v>0</v>
      </c>
      <c r="AE7026" s="465">
        <v>0</v>
      </c>
      <c r="AF7026" s="86">
        <f>IF(verze!$E$1="CZK",AD7026,IF(verze!$E$1="SK",AE7026,""))</f>
        <v>0</v>
      </c>
    </row>
    <row r="7027" spans="27:32" ht="15">
      <c r="AA7027" s="463" t="s">
        <v>1320</v>
      </c>
      <c r="AB7027" s="462" t="s">
        <v>21721</v>
      </c>
      <c r="AC7027" s="462" t="s">
        <v>21722</v>
      </c>
      <c r="AD7027" s="464">
        <v>0</v>
      </c>
      <c r="AE7027" s="465">
        <v>0</v>
      </c>
      <c r="AF7027" s="86">
        <f>IF(verze!$E$1="CZK",AD7027,IF(verze!$E$1="SK",AE7027,""))</f>
        <v>0</v>
      </c>
    </row>
    <row r="7028" spans="27:32" ht="15">
      <c r="AA7028" s="463" t="s">
        <v>1320</v>
      </c>
      <c r="AB7028" s="462" t="s">
        <v>21723</v>
      </c>
      <c r="AC7028" s="462" t="s">
        <v>21724</v>
      </c>
      <c r="AD7028" s="464">
        <v>0</v>
      </c>
      <c r="AE7028" s="465">
        <v>0</v>
      </c>
      <c r="AF7028" s="86">
        <f>IF(verze!$E$1="CZK",AD7028,IF(verze!$E$1="SK",AE7028,""))</f>
        <v>0</v>
      </c>
    </row>
    <row r="7029" spans="27:32" ht="15">
      <c r="AA7029" s="463" t="s">
        <v>1320</v>
      </c>
      <c r="AB7029" s="462" t="s">
        <v>21725</v>
      </c>
      <c r="AC7029" s="462" t="s">
        <v>21726</v>
      </c>
      <c r="AD7029" s="464">
        <v>0</v>
      </c>
      <c r="AE7029" s="465">
        <v>0</v>
      </c>
      <c r="AF7029" s="86">
        <f>IF(verze!$E$1="CZK",AD7029,IF(verze!$E$1="SK",AE7029,""))</f>
        <v>0</v>
      </c>
    </row>
    <row r="7030" spans="27:32" ht="15">
      <c r="AA7030" s="463" t="s">
        <v>1320</v>
      </c>
      <c r="AB7030" s="462" t="s">
        <v>21727</v>
      </c>
      <c r="AC7030" s="462" t="s">
        <v>21728</v>
      </c>
      <c r="AD7030" s="464">
        <v>0</v>
      </c>
      <c r="AE7030" s="465">
        <v>0</v>
      </c>
      <c r="AF7030" s="86">
        <f>IF(verze!$E$1="CZK",AD7030,IF(verze!$E$1="SK",AE7030,""))</f>
        <v>0</v>
      </c>
    </row>
    <row r="7031" spans="27:32" ht="15">
      <c r="AA7031" s="463" t="s">
        <v>1320</v>
      </c>
      <c r="AB7031" s="462" t="s">
        <v>21729</v>
      </c>
      <c r="AC7031" s="462" t="s">
        <v>21730</v>
      </c>
      <c r="AD7031" s="464">
        <v>0</v>
      </c>
      <c r="AE7031" s="465">
        <v>0</v>
      </c>
      <c r="AF7031" s="86">
        <f>IF(verze!$E$1="CZK",AD7031,IF(verze!$E$1="SK",AE7031,""))</f>
        <v>0</v>
      </c>
    </row>
    <row r="7032" spans="27:32" ht="15">
      <c r="AA7032" s="463" t="s">
        <v>1320</v>
      </c>
      <c r="AB7032" s="462" t="s">
        <v>21731</v>
      </c>
      <c r="AC7032" s="462" t="s">
        <v>21732</v>
      </c>
      <c r="AD7032" s="464">
        <v>0</v>
      </c>
      <c r="AE7032" s="465">
        <v>0</v>
      </c>
      <c r="AF7032" s="86">
        <f>IF(verze!$E$1="CZK",AD7032,IF(verze!$E$1="SK",AE7032,""))</f>
        <v>0</v>
      </c>
    </row>
    <row r="7033" spans="27:32" ht="15">
      <c r="AA7033" s="463" t="s">
        <v>1320</v>
      </c>
      <c r="AB7033" s="462" t="s">
        <v>21733</v>
      </c>
      <c r="AC7033" s="462" t="s">
        <v>21734</v>
      </c>
      <c r="AD7033" s="464">
        <v>0</v>
      </c>
      <c r="AE7033" s="465">
        <v>0</v>
      </c>
      <c r="AF7033" s="86">
        <f>IF(verze!$E$1="CZK",AD7033,IF(verze!$E$1="SK",AE7033,""))</f>
        <v>0</v>
      </c>
    </row>
    <row r="7034" spans="27:32" ht="15">
      <c r="AA7034" s="463" t="s">
        <v>1320</v>
      </c>
      <c r="AB7034" s="462" t="s">
        <v>21735</v>
      </c>
      <c r="AC7034" s="462" t="s">
        <v>21736</v>
      </c>
      <c r="AD7034" s="464">
        <v>0</v>
      </c>
      <c r="AE7034" s="465">
        <v>0</v>
      </c>
      <c r="AF7034" s="86">
        <f>IF(verze!$E$1="CZK",AD7034,IF(verze!$E$1="SK",AE7034,""))</f>
        <v>0</v>
      </c>
    </row>
    <row r="7035" spans="27:32" ht="15">
      <c r="AA7035" s="463" t="s">
        <v>1320</v>
      </c>
      <c r="AB7035" s="462" t="s">
        <v>21737</v>
      </c>
      <c r="AC7035" s="462" t="s">
        <v>21738</v>
      </c>
      <c r="AD7035" s="464">
        <v>0</v>
      </c>
      <c r="AE7035" s="465">
        <v>0</v>
      </c>
      <c r="AF7035" s="86">
        <f>IF(verze!$E$1="CZK",AD7035,IF(verze!$E$1="SK",AE7035,""))</f>
        <v>0</v>
      </c>
    </row>
    <row r="7036" spans="27:32" ht="15">
      <c r="AA7036" s="463" t="s">
        <v>1320</v>
      </c>
      <c r="AB7036" s="462" t="s">
        <v>21739</v>
      </c>
      <c r="AC7036" s="462" t="s">
        <v>21740</v>
      </c>
      <c r="AD7036" s="464">
        <v>0</v>
      </c>
      <c r="AE7036" s="465">
        <v>0</v>
      </c>
      <c r="AF7036" s="86">
        <f>IF(verze!$E$1="CZK",AD7036,IF(verze!$E$1="SK",AE7036,""))</f>
        <v>0</v>
      </c>
    </row>
    <row r="7037" spans="27:32" ht="15">
      <c r="AA7037" s="463" t="s">
        <v>1320</v>
      </c>
      <c r="AB7037" s="462" t="s">
        <v>21741</v>
      </c>
      <c r="AC7037" s="462" t="s">
        <v>21742</v>
      </c>
      <c r="AD7037" s="464">
        <v>0</v>
      </c>
      <c r="AE7037" s="465">
        <v>0</v>
      </c>
      <c r="AF7037" s="86">
        <f>IF(verze!$E$1="CZK",AD7037,IF(verze!$E$1="SK",AE7037,""))</f>
        <v>0</v>
      </c>
    </row>
    <row r="7038" spans="27:32" ht="15">
      <c r="AA7038" s="463" t="s">
        <v>1320</v>
      </c>
      <c r="AB7038" s="462" t="s">
        <v>21743</v>
      </c>
      <c r="AC7038" s="462" t="s">
        <v>21744</v>
      </c>
      <c r="AD7038" s="464">
        <v>0</v>
      </c>
      <c r="AE7038" s="465">
        <v>0</v>
      </c>
      <c r="AF7038" s="86">
        <f>IF(verze!$E$1="CZK",AD7038,IF(verze!$E$1="SK",AE7038,""))</f>
        <v>0</v>
      </c>
    </row>
    <row r="7039" spans="27:32" ht="15">
      <c r="AA7039" s="463" t="s">
        <v>1320</v>
      </c>
      <c r="AB7039" s="462" t="s">
        <v>21745</v>
      </c>
      <c r="AC7039" s="462" t="s">
        <v>21746</v>
      </c>
      <c r="AD7039" s="464">
        <v>832.63534000000004</v>
      </c>
      <c r="AE7039" s="465">
        <v>40.052750000000003</v>
      </c>
      <c r="AF7039" s="86">
        <f>IF(verze!$E$1="CZK",AD7039,IF(verze!$E$1="SK",AE7039,""))</f>
        <v>40.052750000000003</v>
      </c>
    </row>
    <row r="7040" spans="27:32" ht="15">
      <c r="AA7040" s="463" t="s">
        <v>1320</v>
      </c>
      <c r="AB7040" s="462" t="s">
        <v>21747</v>
      </c>
      <c r="AC7040" s="462" t="s">
        <v>21748</v>
      </c>
      <c r="AD7040" s="464">
        <v>0</v>
      </c>
      <c r="AE7040" s="465">
        <v>0</v>
      </c>
      <c r="AF7040" s="86">
        <f>IF(verze!$E$1="CZK",AD7040,IF(verze!$E$1="SK",AE7040,""))</f>
        <v>0</v>
      </c>
    </row>
    <row r="7041" spans="27:32" ht="15">
      <c r="AA7041" s="463" t="s">
        <v>1320</v>
      </c>
      <c r="AB7041" s="462" t="s">
        <v>21749</v>
      </c>
      <c r="AC7041" s="462" t="s">
        <v>21750</v>
      </c>
      <c r="AD7041" s="464">
        <v>832.63534000000004</v>
      </c>
      <c r="AE7041" s="465">
        <v>40.052750000000003</v>
      </c>
      <c r="AF7041" s="86">
        <f>IF(verze!$E$1="CZK",AD7041,IF(verze!$E$1="SK",AE7041,""))</f>
        <v>40.052750000000003</v>
      </c>
    </row>
    <row r="7042" spans="27:32" ht="15">
      <c r="AA7042" s="463" t="s">
        <v>1320</v>
      </c>
      <c r="AB7042" s="462" t="s">
        <v>21751</v>
      </c>
      <c r="AC7042" s="462" t="s">
        <v>21752</v>
      </c>
      <c r="AD7042" s="464">
        <v>0</v>
      </c>
      <c r="AE7042" s="465">
        <v>0</v>
      </c>
      <c r="AF7042" s="86">
        <f>IF(verze!$E$1="CZK",AD7042,IF(verze!$E$1="SK",AE7042,""))</f>
        <v>0</v>
      </c>
    </row>
    <row r="7043" spans="27:32" ht="15">
      <c r="AA7043" s="463" t="s">
        <v>1320</v>
      </c>
      <c r="AB7043" s="462" t="s">
        <v>21753</v>
      </c>
      <c r="AC7043" s="462" t="s">
        <v>21754</v>
      </c>
      <c r="AD7043" s="464">
        <v>833.65310999999997</v>
      </c>
      <c r="AE7043" s="465">
        <v>40.101709999999997</v>
      </c>
      <c r="AF7043" s="86">
        <f>IF(verze!$E$1="CZK",AD7043,IF(verze!$E$1="SK",AE7043,""))</f>
        <v>40.101709999999997</v>
      </c>
    </row>
    <row r="7044" spans="27:32" ht="15">
      <c r="AA7044" s="463" t="s">
        <v>1320</v>
      </c>
      <c r="AB7044" s="462" t="s">
        <v>21755</v>
      </c>
      <c r="AC7044" s="462" t="s">
        <v>21756</v>
      </c>
      <c r="AD7044" s="464">
        <v>0</v>
      </c>
      <c r="AE7044" s="465">
        <v>0</v>
      </c>
      <c r="AF7044" s="86">
        <f>IF(verze!$E$1="CZK",AD7044,IF(verze!$E$1="SK",AE7044,""))</f>
        <v>0</v>
      </c>
    </row>
    <row r="7045" spans="27:32" ht="15">
      <c r="AA7045" s="463" t="s">
        <v>1320</v>
      </c>
      <c r="AB7045" s="462" t="s">
        <v>21757</v>
      </c>
      <c r="AC7045" s="462" t="s">
        <v>21758</v>
      </c>
      <c r="AD7045" s="464">
        <v>748.42660000000001</v>
      </c>
      <c r="AE7045" s="465">
        <v>36.002020000000002</v>
      </c>
      <c r="AF7045" s="86">
        <f>IF(verze!$E$1="CZK",AD7045,IF(verze!$E$1="SK",AE7045,""))</f>
        <v>36.002020000000002</v>
      </c>
    </row>
    <row r="7046" spans="27:32" ht="15">
      <c r="AA7046" s="463" t="s">
        <v>1320</v>
      </c>
      <c r="AB7046" s="462" t="s">
        <v>21759</v>
      </c>
      <c r="AC7046" s="462" t="s">
        <v>21760</v>
      </c>
      <c r="AD7046" s="464">
        <v>726.33475999999996</v>
      </c>
      <c r="AE7046" s="465">
        <v>0</v>
      </c>
      <c r="AF7046" s="86">
        <f>IF(verze!$E$1="CZK",AD7046,IF(verze!$E$1="SK",AE7046,""))</f>
        <v>0</v>
      </c>
    </row>
    <row r="7047" spans="27:32" ht="15">
      <c r="AA7047" s="463" t="s">
        <v>1320</v>
      </c>
      <c r="AB7047" s="462" t="s">
        <v>21761</v>
      </c>
      <c r="AC7047" s="462" t="s">
        <v>21762</v>
      </c>
      <c r="AD7047" s="464">
        <v>748.42660000000001</v>
      </c>
      <c r="AE7047" s="465">
        <v>36.002020000000002</v>
      </c>
      <c r="AF7047" s="86">
        <f>IF(verze!$E$1="CZK",AD7047,IF(verze!$E$1="SK",AE7047,""))</f>
        <v>36.002020000000002</v>
      </c>
    </row>
    <row r="7048" spans="27:32" ht="15">
      <c r="AA7048" s="463" t="s">
        <v>1320</v>
      </c>
      <c r="AB7048" s="462" t="s">
        <v>21763</v>
      </c>
      <c r="AC7048" s="462" t="s">
        <v>21764</v>
      </c>
      <c r="AD7048" s="464">
        <v>755.20964000000004</v>
      </c>
      <c r="AE7048" s="465">
        <v>36.328319999999998</v>
      </c>
      <c r="AF7048" s="86">
        <f>IF(verze!$E$1="CZK",AD7048,IF(verze!$E$1="SK",AE7048,""))</f>
        <v>36.328319999999998</v>
      </c>
    </row>
    <row r="7049" spans="27:32" ht="15">
      <c r="AA7049" s="463" t="s">
        <v>1320</v>
      </c>
      <c r="AB7049" s="462" t="s">
        <v>21765</v>
      </c>
      <c r="AC7049" s="462" t="s">
        <v>21766</v>
      </c>
      <c r="AD7049" s="464">
        <v>755.20964000000004</v>
      </c>
      <c r="AE7049" s="465">
        <v>36.328319999999998</v>
      </c>
      <c r="AF7049" s="86">
        <f>IF(verze!$E$1="CZK",AD7049,IF(verze!$E$1="SK",AE7049,""))</f>
        <v>36.328319999999998</v>
      </c>
    </row>
    <row r="7050" spans="27:32" ht="15">
      <c r="AA7050" s="463" t="s">
        <v>1320</v>
      </c>
      <c r="AB7050" s="462" t="s">
        <v>21767</v>
      </c>
      <c r="AC7050" s="462" t="s">
        <v>21768</v>
      </c>
      <c r="AD7050" s="464">
        <v>761.98771999999997</v>
      </c>
      <c r="AE7050" s="465">
        <v>36.654319999999998</v>
      </c>
      <c r="AF7050" s="86">
        <f>IF(verze!$E$1="CZK",AD7050,IF(verze!$E$1="SK",AE7050,""))</f>
        <v>36.654319999999998</v>
      </c>
    </row>
    <row r="7051" spans="27:32" ht="15">
      <c r="AA7051" s="463" t="s">
        <v>1320</v>
      </c>
      <c r="AB7051" s="462" t="s">
        <v>21769</v>
      </c>
      <c r="AC7051" s="462" t="s">
        <v>21770</v>
      </c>
      <c r="AD7051" s="464">
        <v>761.98771999999997</v>
      </c>
      <c r="AE7051" s="465">
        <v>36.654319999999998</v>
      </c>
      <c r="AF7051" s="86">
        <f>IF(verze!$E$1="CZK",AD7051,IF(verze!$E$1="SK",AE7051,""))</f>
        <v>36.654319999999998</v>
      </c>
    </row>
    <row r="7052" spans="27:32" ht="15">
      <c r="AA7052" s="463" t="s">
        <v>1320</v>
      </c>
      <c r="AB7052" s="462" t="s">
        <v>21771</v>
      </c>
      <c r="AC7052" s="462" t="s">
        <v>21772</v>
      </c>
      <c r="AD7052" s="464">
        <v>897.64728000000002</v>
      </c>
      <c r="AE7052" s="465">
        <v>43.180079999999997</v>
      </c>
      <c r="AF7052" s="86">
        <f>IF(verze!$E$1="CZK",AD7052,IF(verze!$E$1="SK",AE7052,""))</f>
        <v>43.180079999999997</v>
      </c>
    </row>
    <row r="7053" spans="27:32" ht="15">
      <c r="AA7053" s="463" t="s">
        <v>1320</v>
      </c>
      <c r="AB7053" s="462" t="s">
        <v>21773</v>
      </c>
      <c r="AC7053" s="462" t="s">
        <v>21774</v>
      </c>
      <c r="AD7053" s="464">
        <v>768.76598000000001</v>
      </c>
      <c r="AE7053" s="465">
        <v>36.980420000000002</v>
      </c>
      <c r="AF7053" s="86">
        <f>IF(verze!$E$1="CZK",AD7053,IF(verze!$E$1="SK",AE7053,""))</f>
        <v>36.980420000000002</v>
      </c>
    </row>
    <row r="7054" spans="27:32" ht="15">
      <c r="AA7054" s="463" t="s">
        <v>1320</v>
      </c>
      <c r="AB7054" s="462" t="s">
        <v>21775</v>
      </c>
      <c r="AC7054" s="462" t="s">
        <v>21776</v>
      </c>
      <c r="AD7054" s="464">
        <v>768.76598000000001</v>
      </c>
      <c r="AE7054" s="465">
        <v>36.980420000000002</v>
      </c>
      <c r="AF7054" s="86">
        <f>IF(verze!$E$1="CZK",AD7054,IF(verze!$E$1="SK",AE7054,""))</f>
        <v>36.980420000000002</v>
      </c>
    </row>
    <row r="7055" spans="27:32" ht="15">
      <c r="AA7055" s="463" t="s">
        <v>1320</v>
      </c>
      <c r="AB7055" s="462" t="s">
        <v>21777</v>
      </c>
      <c r="AC7055" s="462" t="s">
        <v>21778</v>
      </c>
      <c r="AD7055" s="464">
        <v>904.43984</v>
      </c>
      <c r="AE7055" s="465">
        <v>43.506799999999998</v>
      </c>
      <c r="AF7055" s="86">
        <f>IF(verze!$E$1="CZK",AD7055,IF(verze!$E$1="SK",AE7055,""))</f>
        <v>43.506799999999998</v>
      </c>
    </row>
    <row r="7056" spans="27:32" ht="15">
      <c r="AA7056" s="463" t="s">
        <v>1320</v>
      </c>
      <c r="AB7056" s="462" t="s">
        <v>21779</v>
      </c>
      <c r="AC7056" s="462" t="s">
        <v>21780</v>
      </c>
      <c r="AD7056" s="464">
        <v>809.46857999999997</v>
      </c>
      <c r="AE7056" s="465">
        <v>38.938360000000003</v>
      </c>
      <c r="AF7056" s="86">
        <f>IF(verze!$E$1="CZK",AD7056,IF(verze!$E$1="SK",AE7056,""))</f>
        <v>38.938360000000003</v>
      </c>
    </row>
    <row r="7057" spans="27:32" ht="15">
      <c r="AA7057" s="463" t="s">
        <v>1320</v>
      </c>
      <c r="AB7057" s="462" t="s">
        <v>21781</v>
      </c>
      <c r="AC7057" s="462" t="s">
        <v>21782</v>
      </c>
      <c r="AD7057" s="464">
        <v>945.13765999999998</v>
      </c>
      <c r="AE7057" s="465">
        <v>45.46454</v>
      </c>
      <c r="AF7057" s="86">
        <f>IF(verze!$E$1="CZK",AD7057,IF(verze!$E$1="SK",AE7057,""))</f>
        <v>45.46454</v>
      </c>
    </row>
    <row r="7058" spans="27:32" ht="15">
      <c r="AA7058" s="463" t="s">
        <v>1320</v>
      </c>
      <c r="AB7058" s="462" t="s">
        <v>21783</v>
      </c>
      <c r="AC7058" s="462" t="s">
        <v>21784</v>
      </c>
      <c r="AD7058" s="464">
        <v>809.46857999999997</v>
      </c>
      <c r="AE7058" s="465">
        <v>38.938360000000003</v>
      </c>
      <c r="AF7058" s="86">
        <f>IF(verze!$E$1="CZK",AD7058,IF(verze!$E$1="SK",AE7058,""))</f>
        <v>38.938360000000003</v>
      </c>
    </row>
    <row r="7059" spans="27:32" ht="15">
      <c r="AA7059" s="463" t="s">
        <v>1320</v>
      </c>
      <c r="AB7059" s="462" t="s">
        <v>21785</v>
      </c>
      <c r="AC7059" s="462" t="s">
        <v>21786</v>
      </c>
      <c r="AD7059" s="464">
        <v>945.13765999999998</v>
      </c>
      <c r="AE7059" s="465">
        <v>45.46454</v>
      </c>
      <c r="AF7059" s="86">
        <f>IF(verze!$E$1="CZK",AD7059,IF(verze!$E$1="SK",AE7059,""))</f>
        <v>45.46454</v>
      </c>
    </row>
    <row r="7060" spans="27:32" ht="15">
      <c r="AA7060" s="463" t="s">
        <v>1320</v>
      </c>
      <c r="AB7060" s="462" t="s">
        <v>21787</v>
      </c>
      <c r="AC7060" s="462" t="s">
        <v>21788</v>
      </c>
      <c r="AD7060" s="464">
        <v>985.83072000000004</v>
      </c>
      <c r="AE7060" s="465">
        <v>47.422040000000003</v>
      </c>
      <c r="AF7060" s="86">
        <f>IF(verze!$E$1="CZK",AD7060,IF(verze!$E$1="SK",AE7060,""))</f>
        <v>47.422040000000003</v>
      </c>
    </row>
    <row r="7061" spans="27:32" ht="15">
      <c r="AA7061" s="463" t="s">
        <v>1320</v>
      </c>
      <c r="AB7061" s="462" t="s">
        <v>21789</v>
      </c>
      <c r="AC7061" s="462" t="s">
        <v>21790</v>
      </c>
      <c r="AD7061" s="464">
        <v>890.86919999999998</v>
      </c>
      <c r="AE7061" s="465">
        <v>42.854019999999998</v>
      </c>
      <c r="AF7061" s="86">
        <f>IF(verze!$E$1="CZK",AD7061,IF(verze!$E$1="SK",AE7061,""))</f>
        <v>42.854019999999998</v>
      </c>
    </row>
    <row r="7062" spans="27:32" ht="15">
      <c r="AA7062" s="463" t="s">
        <v>1320</v>
      </c>
      <c r="AB7062" s="462" t="s">
        <v>21791</v>
      </c>
      <c r="AC7062" s="462" t="s">
        <v>21792</v>
      </c>
      <c r="AD7062" s="464">
        <v>1026.5237999999999</v>
      </c>
      <c r="AE7062" s="465">
        <v>49.379480000000001</v>
      </c>
      <c r="AF7062" s="86">
        <f>IF(verze!$E$1="CZK",AD7062,IF(verze!$E$1="SK",AE7062,""))</f>
        <v>49.379480000000001</v>
      </c>
    </row>
    <row r="7063" spans="27:32" ht="15">
      <c r="AA7063" s="463" t="s">
        <v>1320</v>
      </c>
      <c r="AB7063" s="462" t="s">
        <v>21793</v>
      </c>
      <c r="AC7063" s="462" t="s">
        <v>21794</v>
      </c>
      <c r="AD7063" s="464">
        <v>1067.2263600000001</v>
      </c>
      <c r="AE7063" s="465">
        <v>51.337440000000001</v>
      </c>
      <c r="AF7063" s="86">
        <f>IF(verze!$E$1="CZK",AD7063,IF(verze!$E$1="SK",AE7063,""))</f>
        <v>51.337440000000001</v>
      </c>
    </row>
    <row r="7064" spans="27:32" ht="15">
      <c r="AA7064" s="463" t="s">
        <v>1320</v>
      </c>
      <c r="AB7064" s="462" t="s">
        <v>21795</v>
      </c>
      <c r="AC7064" s="462" t="s">
        <v>21796</v>
      </c>
      <c r="AD7064" s="464">
        <v>1148.62698</v>
      </c>
      <c r="AE7064" s="465">
        <v>55.253100000000003</v>
      </c>
      <c r="AF7064" s="86">
        <f>IF(verze!$E$1="CZK",AD7064,IF(verze!$E$1="SK",AE7064,""))</f>
        <v>55.253100000000003</v>
      </c>
    </row>
    <row r="7065" spans="27:32" ht="15">
      <c r="AA7065" s="463" t="s">
        <v>1320</v>
      </c>
      <c r="AB7065" s="462" t="s">
        <v>21797</v>
      </c>
      <c r="AC7065" s="462" t="s">
        <v>21798</v>
      </c>
      <c r="AD7065" s="464">
        <v>1230.0226399999999</v>
      </c>
      <c r="AE7065" s="465">
        <v>59.168559999999999</v>
      </c>
      <c r="AF7065" s="86">
        <f>IF(verze!$E$1="CZK",AD7065,IF(verze!$E$1="SK",AE7065,""))</f>
        <v>59.168559999999999</v>
      </c>
    </row>
    <row r="7066" spans="27:32" ht="15">
      <c r="AA7066" s="463" t="s">
        <v>1320</v>
      </c>
      <c r="AB7066" s="462" t="s">
        <v>21799</v>
      </c>
      <c r="AC7066" s="462" t="s">
        <v>21800</v>
      </c>
      <c r="AD7066" s="464">
        <v>0</v>
      </c>
      <c r="AE7066" s="465">
        <v>0</v>
      </c>
      <c r="AF7066" s="86">
        <f>IF(verze!$E$1="CZK",AD7066,IF(verze!$E$1="SK",AE7066,""))</f>
        <v>0</v>
      </c>
    </row>
    <row r="7067" spans="27:32" ht="15">
      <c r="AA7067" s="463" t="s">
        <v>1320</v>
      </c>
      <c r="AB7067" s="462" t="s">
        <v>21801</v>
      </c>
      <c r="AC7067" s="462" t="s">
        <v>21802</v>
      </c>
      <c r="AD7067" s="464">
        <v>0</v>
      </c>
      <c r="AE7067" s="465">
        <v>0</v>
      </c>
      <c r="AF7067" s="86">
        <f>IF(verze!$E$1="CZK",AD7067,IF(verze!$E$1="SK",AE7067,""))</f>
        <v>0</v>
      </c>
    </row>
    <row r="7068" spans="27:32" ht="15">
      <c r="AA7068" s="463" t="s">
        <v>1320</v>
      </c>
      <c r="AB7068" s="462" t="s">
        <v>21803</v>
      </c>
      <c r="AC7068" s="462" t="s">
        <v>21804</v>
      </c>
      <c r="AD7068" s="464">
        <v>0</v>
      </c>
      <c r="AE7068" s="465">
        <v>0</v>
      </c>
      <c r="AF7068" s="86">
        <f>IF(verze!$E$1="CZK",AD7068,IF(verze!$E$1="SK",AE7068,""))</f>
        <v>0</v>
      </c>
    </row>
    <row r="7069" spans="27:32" ht="15">
      <c r="AA7069" s="463" t="s">
        <v>1320</v>
      </c>
      <c r="AB7069" s="462" t="s">
        <v>21805</v>
      </c>
      <c r="AC7069" s="462" t="s">
        <v>21806</v>
      </c>
      <c r="AD7069" s="464">
        <v>0</v>
      </c>
      <c r="AE7069" s="465">
        <v>0</v>
      </c>
      <c r="AF7069" s="86">
        <f>IF(verze!$E$1="CZK",AD7069,IF(verze!$E$1="SK",AE7069,""))</f>
        <v>0</v>
      </c>
    </row>
    <row r="7070" spans="27:32" ht="15">
      <c r="AA7070" s="463" t="s">
        <v>1320</v>
      </c>
      <c r="AB7070" s="462" t="s">
        <v>21807</v>
      </c>
      <c r="AC7070" s="462" t="s">
        <v>21808</v>
      </c>
      <c r="AD7070" s="464">
        <v>148.48179999999999</v>
      </c>
      <c r="AE7070" s="465">
        <v>7.1424799999999999</v>
      </c>
      <c r="AF7070" s="86">
        <f>IF(verze!$E$1="CZK",AD7070,IF(verze!$E$1="SK",AE7070,""))</f>
        <v>7.1424799999999999</v>
      </c>
    </row>
    <row r="7071" spans="27:32" ht="15">
      <c r="AA7071" s="463" t="s">
        <v>1320</v>
      </c>
      <c r="AB7071" s="462" t="s">
        <v>21809</v>
      </c>
      <c r="AC7071" s="462" t="s">
        <v>21810</v>
      </c>
      <c r="AD7071" s="464">
        <v>148.48179999999999</v>
      </c>
      <c r="AE7071" s="465">
        <v>7.1424799999999999</v>
      </c>
      <c r="AF7071" s="86">
        <f>IF(verze!$E$1="CZK",AD7071,IF(verze!$E$1="SK",AE7071,""))</f>
        <v>7.1424799999999999</v>
      </c>
    </row>
    <row r="7072" spans="27:32" ht="15">
      <c r="AA7072" s="463" t="s">
        <v>1320</v>
      </c>
      <c r="AB7072" s="462" t="s">
        <v>21811</v>
      </c>
      <c r="AC7072" s="462" t="s">
        <v>21812</v>
      </c>
      <c r="AD7072" s="464">
        <v>154.24780000000001</v>
      </c>
      <c r="AE7072" s="465">
        <v>7.4198399999999998</v>
      </c>
      <c r="AF7072" s="86">
        <f>IF(verze!$E$1="CZK",AD7072,IF(verze!$E$1="SK",AE7072,""))</f>
        <v>7.4198399999999998</v>
      </c>
    </row>
    <row r="7073" spans="27:32" ht="15">
      <c r="AA7073" s="463" t="s">
        <v>1320</v>
      </c>
      <c r="AB7073" s="462" t="s">
        <v>21813</v>
      </c>
      <c r="AC7073" s="462" t="s">
        <v>21814</v>
      </c>
      <c r="AD7073" s="464">
        <v>160.01362</v>
      </c>
      <c r="AE7073" s="465">
        <v>7.6972199999999997</v>
      </c>
      <c r="AF7073" s="86">
        <f>IF(verze!$E$1="CZK",AD7073,IF(verze!$E$1="SK",AE7073,""))</f>
        <v>7.6972199999999997</v>
      </c>
    </row>
    <row r="7074" spans="27:32" ht="15">
      <c r="AA7074" s="463" t="s">
        <v>1320</v>
      </c>
      <c r="AB7074" s="462" t="s">
        <v>21815</v>
      </c>
      <c r="AC7074" s="462" t="s">
        <v>21816</v>
      </c>
      <c r="AD7074" s="464">
        <v>160.01362</v>
      </c>
      <c r="AE7074" s="465">
        <v>7.6972199999999997</v>
      </c>
      <c r="AF7074" s="86">
        <f>IF(verze!$E$1="CZK",AD7074,IF(verze!$E$1="SK",AE7074,""))</f>
        <v>7.6972199999999997</v>
      </c>
    </row>
    <row r="7075" spans="27:32" ht="15">
      <c r="AA7075" s="463" t="s">
        <v>1320</v>
      </c>
      <c r="AB7075" s="462" t="s">
        <v>21817</v>
      </c>
      <c r="AC7075" s="462" t="s">
        <v>21818</v>
      </c>
      <c r="AD7075" s="464">
        <v>165.77938</v>
      </c>
      <c r="AE7075" s="465">
        <v>7.9745799999999996</v>
      </c>
      <c r="AF7075" s="86">
        <f>IF(verze!$E$1="CZK",AD7075,IF(verze!$E$1="SK",AE7075,""))</f>
        <v>7.9745799999999996</v>
      </c>
    </row>
    <row r="7076" spans="27:32" ht="15">
      <c r="AA7076" s="463" t="s">
        <v>1320</v>
      </c>
      <c r="AB7076" s="462" t="s">
        <v>21819</v>
      </c>
      <c r="AC7076" s="462" t="s">
        <v>21820</v>
      </c>
      <c r="AD7076" s="464">
        <v>161.50456</v>
      </c>
      <c r="AE7076" s="465">
        <v>7.6063999999999998</v>
      </c>
      <c r="AF7076" s="86">
        <f>IF(verze!$E$1="CZK",AD7076,IF(verze!$E$1="SK",AE7076,""))</f>
        <v>7.6063999999999998</v>
      </c>
    </row>
    <row r="7077" spans="27:32" ht="15">
      <c r="AA7077" s="463" t="s">
        <v>1320</v>
      </c>
      <c r="AB7077" s="462" t="s">
        <v>21821</v>
      </c>
      <c r="AC7077" s="462" t="s">
        <v>21822</v>
      </c>
      <c r="AD7077" s="464">
        <v>171.54519999999999</v>
      </c>
      <c r="AE7077" s="465">
        <v>8.2519200000000001</v>
      </c>
      <c r="AF7077" s="86">
        <f>IF(verze!$E$1="CZK",AD7077,IF(verze!$E$1="SK",AE7077,""))</f>
        <v>8.2519200000000001</v>
      </c>
    </row>
    <row r="7078" spans="27:32" ht="15">
      <c r="AA7078" s="463" t="s">
        <v>1320</v>
      </c>
      <c r="AB7078" s="462" t="s">
        <v>21823</v>
      </c>
      <c r="AC7078" s="462" t="s">
        <v>21824</v>
      </c>
      <c r="AD7078" s="464">
        <v>148.48179999999999</v>
      </c>
      <c r="AE7078" s="465">
        <v>7.1424799999999999</v>
      </c>
      <c r="AF7078" s="86">
        <f>IF(verze!$E$1="CZK",AD7078,IF(verze!$E$1="SK",AE7078,""))</f>
        <v>7.1424799999999999</v>
      </c>
    </row>
    <row r="7079" spans="27:32" ht="15">
      <c r="AA7079" s="463" t="s">
        <v>1320</v>
      </c>
      <c r="AB7079" s="462" t="s">
        <v>21825</v>
      </c>
      <c r="AC7079" s="462" t="s">
        <v>21826</v>
      </c>
      <c r="AD7079" s="464">
        <v>0</v>
      </c>
      <c r="AE7079" s="465">
        <v>0</v>
      </c>
      <c r="AF7079" s="86">
        <f>IF(verze!$E$1="CZK",AD7079,IF(verze!$E$1="SK",AE7079,""))</f>
        <v>0</v>
      </c>
    </row>
    <row r="7080" spans="27:32" ht="15">
      <c r="AA7080" s="463" t="s">
        <v>1320</v>
      </c>
      <c r="AB7080" s="462" t="s">
        <v>21827</v>
      </c>
      <c r="AC7080" s="462" t="s">
        <v>21828</v>
      </c>
      <c r="AD7080" s="464">
        <v>148.48179999999999</v>
      </c>
      <c r="AE7080" s="465">
        <v>7.1424799999999999</v>
      </c>
      <c r="AF7080" s="86">
        <f>IF(verze!$E$1="CZK",AD7080,IF(verze!$E$1="SK",AE7080,""))</f>
        <v>7.1424799999999999</v>
      </c>
    </row>
    <row r="7081" spans="27:32" ht="15">
      <c r="AA7081" s="463" t="s">
        <v>1320</v>
      </c>
      <c r="AB7081" s="462" t="s">
        <v>21829</v>
      </c>
      <c r="AC7081" s="462" t="s">
        <v>21830</v>
      </c>
      <c r="AD7081" s="464">
        <v>148.48179999999999</v>
      </c>
      <c r="AE7081" s="465">
        <v>7.1424799999999999</v>
      </c>
      <c r="AF7081" s="86">
        <f>IF(verze!$E$1="CZK",AD7081,IF(verze!$E$1="SK",AE7081,""))</f>
        <v>7.1424799999999999</v>
      </c>
    </row>
    <row r="7082" spans="27:32" ht="15">
      <c r="AA7082" s="463" t="s">
        <v>1320</v>
      </c>
      <c r="AB7082" s="462" t="s">
        <v>21831</v>
      </c>
      <c r="AC7082" s="462" t="s">
        <v>21832</v>
      </c>
      <c r="AD7082" s="464">
        <v>148.48179999999999</v>
      </c>
      <c r="AE7082" s="465">
        <v>7.1424799999999999</v>
      </c>
      <c r="AF7082" s="86">
        <f>IF(verze!$E$1="CZK",AD7082,IF(verze!$E$1="SK",AE7082,""))</f>
        <v>7.1424799999999999</v>
      </c>
    </row>
    <row r="7083" spans="27:32" ht="15">
      <c r="AA7083" s="463" t="s">
        <v>1320</v>
      </c>
      <c r="AB7083" s="462" t="s">
        <v>21833</v>
      </c>
      <c r="AC7083" s="462" t="s">
        <v>21834</v>
      </c>
      <c r="AD7083" s="464">
        <v>154.24780000000001</v>
      </c>
      <c r="AE7083" s="465">
        <v>7.4198399999999998</v>
      </c>
      <c r="AF7083" s="86">
        <f>IF(verze!$E$1="CZK",AD7083,IF(verze!$E$1="SK",AE7083,""))</f>
        <v>7.4198399999999998</v>
      </c>
    </row>
    <row r="7084" spans="27:32" ht="15">
      <c r="AA7084" s="463" t="s">
        <v>1320</v>
      </c>
      <c r="AB7084" s="462" t="s">
        <v>21835</v>
      </c>
      <c r="AC7084" s="462" t="s">
        <v>21836</v>
      </c>
      <c r="AD7084" s="464">
        <v>154.24780000000001</v>
      </c>
      <c r="AE7084" s="465">
        <v>7.4198399999999998</v>
      </c>
      <c r="AF7084" s="86">
        <f>IF(verze!$E$1="CZK",AD7084,IF(verze!$E$1="SK",AE7084,""))</f>
        <v>7.4198399999999998</v>
      </c>
    </row>
    <row r="7085" spans="27:32" ht="15">
      <c r="AA7085" s="463" t="s">
        <v>1320</v>
      </c>
      <c r="AB7085" s="462" t="s">
        <v>21837</v>
      </c>
      <c r="AC7085" s="462" t="s">
        <v>21838</v>
      </c>
      <c r="AD7085" s="464">
        <v>160.01362</v>
      </c>
      <c r="AE7085" s="465">
        <v>7.6972199999999997</v>
      </c>
      <c r="AF7085" s="86">
        <f>IF(verze!$E$1="CZK",AD7085,IF(verze!$E$1="SK",AE7085,""))</f>
        <v>7.6972199999999997</v>
      </c>
    </row>
    <row r="7086" spans="27:32" ht="15">
      <c r="AA7086" s="463" t="s">
        <v>1320</v>
      </c>
      <c r="AB7086" s="462" t="s">
        <v>21839</v>
      </c>
      <c r="AC7086" s="462" t="s">
        <v>21840</v>
      </c>
      <c r="AD7086" s="464">
        <v>161.50456</v>
      </c>
      <c r="AE7086" s="465">
        <v>7.6063999999999998</v>
      </c>
      <c r="AF7086" s="86">
        <f>IF(verze!$E$1="CZK",AD7086,IF(verze!$E$1="SK",AE7086,""))</f>
        <v>7.6063999999999998</v>
      </c>
    </row>
    <row r="7087" spans="27:32" ht="15">
      <c r="AA7087" s="463" t="s">
        <v>1320</v>
      </c>
      <c r="AB7087" s="462" t="s">
        <v>21841</v>
      </c>
      <c r="AC7087" s="462" t="s">
        <v>21842</v>
      </c>
      <c r="AD7087" s="464">
        <v>171.54519999999999</v>
      </c>
      <c r="AE7087" s="465">
        <v>8.2519200000000001</v>
      </c>
      <c r="AF7087" s="86">
        <f>IF(verze!$E$1="CZK",AD7087,IF(verze!$E$1="SK",AE7087,""))</f>
        <v>8.2519200000000001</v>
      </c>
    </row>
    <row r="7088" spans="27:32" ht="15">
      <c r="AA7088" s="463" t="s">
        <v>1320</v>
      </c>
      <c r="AB7088" s="462" t="s">
        <v>21843</v>
      </c>
      <c r="AC7088" s="462" t="s">
        <v>21844</v>
      </c>
      <c r="AD7088" s="464">
        <v>183.77016</v>
      </c>
      <c r="AE7088" s="465">
        <v>8.84</v>
      </c>
      <c r="AF7088" s="86">
        <f>IF(verze!$E$1="CZK",AD7088,IF(verze!$E$1="SK",AE7088,""))</f>
        <v>8.84</v>
      </c>
    </row>
    <row r="7089" spans="27:32" ht="15">
      <c r="AA7089" s="463" t="s">
        <v>1320</v>
      </c>
      <c r="AB7089" s="462" t="s">
        <v>21845</v>
      </c>
      <c r="AC7089" s="462" t="s">
        <v>21846</v>
      </c>
      <c r="AD7089" s="464">
        <v>183.77016</v>
      </c>
      <c r="AE7089" s="465">
        <v>8.84</v>
      </c>
      <c r="AF7089" s="86">
        <f>IF(verze!$E$1="CZK",AD7089,IF(verze!$E$1="SK",AE7089,""))</f>
        <v>8.84</v>
      </c>
    </row>
    <row r="7090" spans="27:32" ht="15">
      <c r="AA7090" s="463" t="s">
        <v>1320</v>
      </c>
      <c r="AB7090" s="462" t="s">
        <v>21847</v>
      </c>
      <c r="AC7090" s="462" t="s">
        <v>21848</v>
      </c>
      <c r="AD7090" s="464">
        <v>0</v>
      </c>
      <c r="AE7090" s="465">
        <v>0</v>
      </c>
      <c r="AF7090" s="86">
        <f>IF(verze!$E$1="CZK",AD7090,IF(verze!$E$1="SK",AE7090,""))</f>
        <v>0</v>
      </c>
    </row>
    <row r="7091" spans="27:32" ht="15">
      <c r="AA7091" s="463" t="s">
        <v>1320</v>
      </c>
      <c r="AB7091" s="462" t="s">
        <v>21849</v>
      </c>
      <c r="AC7091" s="462" t="s">
        <v>21850</v>
      </c>
      <c r="AD7091" s="464">
        <v>0</v>
      </c>
      <c r="AE7091" s="465">
        <v>0</v>
      </c>
      <c r="AF7091" s="86">
        <f>IF(verze!$E$1="CZK",AD7091,IF(verze!$E$1="SK",AE7091,""))</f>
        <v>0</v>
      </c>
    </row>
    <row r="7092" spans="27:32" ht="15">
      <c r="AA7092" s="463" t="s">
        <v>1320</v>
      </c>
      <c r="AB7092" s="462" t="s">
        <v>21851</v>
      </c>
      <c r="AC7092" s="462" t="s">
        <v>21852</v>
      </c>
      <c r="AD7092" s="464">
        <v>171.54519999999999</v>
      </c>
      <c r="AE7092" s="465">
        <v>8.2519200000000001</v>
      </c>
      <c r="AF7092" s="86">
        <f>IF(verze!$E$1="CZK",AD7092,IF(verze!$E$1="SK",AE7092,""))</f>
        <v>8.2519200000000001</v>
      </c>
    </row>
    <row r="7093" spans="27:32" ht="15">
      <c r="AA7093" s="463" t="s">
        <v>1320</v>
      </c>
      <c r="AB7093" s="462" t="s">
        <v>21853</v>
      </c>
      <c r="AC7093" s="462" t="s">
        <v>21854</v>
      </c>
      <c r="AD7093" s="464">
        <v>183.77016</v>
      </c>
      <c r="AE7093" s="465">
        <v>8.84</v>
      </c>
      <c r="AF7093" s="86">
        <f>IF(verze!$E$1="CZK",AD7093,IF(verze!$E$1="SK",AE7093,""))</f>
        <v>8.84</v>
      </c>
    </row>
    <row r="7094" spans="27:32" ht="15">
      <c r="AA7094" s="463" t="s">
        <v>1320</v>
      </c>
      <c r="AB7094" s="462" t="s">
        <v>21855</v>
      </c>
      <c r="AC7094" s="462" t="s">
        <v>21856</v>
      </c>
      <c r="AD7094" s="464">
        <v>1169.2197200000001</v>
      </c>
      <c r="AE7094" s="465">
        <v>56.189050000000002</v>
      </c>
      <c r="AF7094" s="86">
        <f>IF(verze!$E$1="CZK",AD7094,IF(verze!$E$1="SK",AE7094,""))</f>
        <v>56.189050000000002</v>
      </c>
    </row>
    <row r="7095" spans="27:32" ht="15">
      <c r="AA7095" s="463" t="s">
        <v>1320</v>
      </c>
      <c r="AB7095" s="462" t="s">
        <v>21857</v>
      </c>
      <c r="AC7095" s="462" t="s">
        <v>21858</v>
      </c>
      <c r="AD7095" s="464">
        <v>1169.2197200000001</v>
      </c>
      <c r="AE7095" s="465">
        <v>56.189050000000002</v>
      </c>
      <c r="AF7095" s="86">
        <f>IF(verze!$E$1="CZK",AD7095,IF(verze!$E$1="SK",AE7095,""))</f>
        <v>56.189050000000002</v>
      </c>
    </row>
    <row r="7096" spans="27:32" ht="15">
      <c r="AA7096" s="463" t="s">
        <v>1320</v>
      </c>
      <c r="AB7096" s="462" t="s">
        <v>21859</v>
      </c>
      <c r="AC7096" s="462" t="s">
        <v>21860</v>
      </c>
      <c r="AD7096" s="464">
        <v>1187.6330700000001</v>
      </c>
      <c r="AE7096" s="465">
        <v>57.07479</v>
      </c>
      <c r="AF7096" s="86">
        <f>IF(verze!$E$1="CZK",AD7096,IF(verze!$E$1="SK",AE7096,""))</f>
        <v>57.07479</v>
      </c>
    </row>
    <row r="7097" spans="27:32" ht="15">
      <c r="AA7097" s="463" t="s">
        <v>1320</v>
      </c>
      <c r="AB7097" s="462" t="s">
        <v>21861</v>
      </c>
      <c r="AC7097" s="462" t="s">
        <v>21862</v>
      </c>
      <c r="AD7097" s="464">
        <v>1207.4768999999999</v>
      </c>
      <c r="AE7097" s="465">
        <v>58.084029999999998</v>
      </c>
      <c r="AF7097" s="86">
        <f>IF(verze!$E$1="CZK",AD7097,IF(verze!$E$1="SK",AE7097,""))</f>
        <v>58.084029999999998</v>
      </c>
    </row>
    <row r="7098" spans="27:32" ht="15">
      <c r="AA7098" s="463" t="s">
        <v>1320</v>
      </c>
      <c r="AB7098" s="462" t="s">
        <v>21863</v>
      </c>
      <c r="AC7098" s="462" t="s">
        <v>21864</v>
      </c>
      <c r="AD7098" s="464">
        <v>1206.0391199999999</v>
      </c>
      <c r="AE7098" s="465">
        <v>57.960189999999997</v>
      </c>
      <c r="AF7098" s="86">
        <f>IF(verze!$E$1="CZK",AD7098,IF(verze!$E$1="SK",AE7098,""))</f>
        <v>57.960189999999997</v>
      </c>
    </row>
    <row r="7099" spans="27:32" ht="15">
      <c r="AA7099" s="463" t="s">
        <v>1320</v>
      </c>
      <c r="AB7099" s="462" t="s">
        <v>21865</v>
      </c>
      <c r="AC7099" s="462" t="s">
        <v>21866</v>
      </c>
      <c r="AD7099" s="464">
        <v>1214.2735399999999</v>
      </c>
      <c r="AE7099" s="465">
        <v>57.969270000000002</v>
      </c>
      <c r="AF7099" s="86">
        <f>IF(verze!$E$1="CZK",AD7099,IF(verze!$E$1="SK",AE7099,""))</f>
        <v>57.969270000000002</v>
      </c>
    </row>
    <row r="7100" spans="27:32" ht="15">
      <c r="AA7100" s="463" t="s">
        <v>1320</v>
      </c>
      <c r="AB7100" s="462" t="s">
        <v>21867</v>
      </c>
      <c r="AC7100" s="462" t="s">
        <v>21868</v>
      </c>
      <c r="AD7100" s="464">
        <v>1212.8357599999999</v>
      </c>
      <c r="AE7100" s="465">
        <v>57.84543</v>
      </c>
      <c r="AF7100" s="86">
        <f>IF(verze!$E$1="CZK",AD7100,IF(verze!$E$1="SK",AE7100,""))</f>
        <v>57.84543</v>
      </c>
    </row>
    <row r="7101" spans="27:32" ht="15">
      <c r="AA7101" s="463" t="s">
        <v>1320</v>
      </c>
      <c r="AB7101" s="462" t="s">
        <v>21869</v>
      </c>
      <c r="AC7101" s="462" t="s">
        <v>21870</v>
      </c>
      <c r="AD7101" s="464">
        <v>1408.93667</v>
      </c>
      <c r="AE7101" s="465">
        <v>67.130989999999997</v>
      </c>
      <c r="AF7101" s="86">
        <f>IF(verze!$E$1="CZK",AD7101,IF(verze!$E$1="SK",AE7101,""))</f>
        <v>67.130989999999997</v>
      </c>
    </row>
    <row r="7102" spans="27:32" ht="15">
      <c r="AA7102" s="463" t="s">
        <v>1320</v>
      </c>
      <c r="AB7102" s="462" t="s">
        <v>21871</v>
      </c>
      <c r="AC7102" s="462" t="s">
        <v>21872</v>
      </c>
      <c r="AD7102" s="464">
        <v>1407.4988900000001</v>
      </c>
      <c r="AE7102" s="465">
        <v>67.007149999999996</v>
      </c>
      <c r="AF7102" s="86">
        <f>IF(verze!$E$1="CZK",AD7102,IF(verze!$E$1="SK",AE7102,""))</f>
        <v>67.007149999999996</v>
      </c>
    </row>
    <row r="7103" spans="27:32" ht="15">
      <c r="AA7103" s="463" t="s">
        <v>1320</v>
      </c>
      <c r="AB7103" s="462" t="s">
        <v>21873</v>
      </c>
      <c r="AC7103" s="462" t="s">
        <v>21874</v>
      </c>
      <c r="AD7103" s="464">
        <v>1259.88579</v>
      </c>
      <c r="AE7103" s="465">
        <v>60.550409999999999</v>
      </c>
      <c r="AF7103" s="86">
        <f>IF(verze!$E$1="CZK",AD7103,IF(verze!$E$1="SK",AE7103,""))</f>
        <v>60.550409999999999</v>
      </c>
    </row>
    <row r="7104" spans="27:32" ht="15">
      <c r="AA7104" s="463" t="s">
        <v>1320</v>
      </c>
      <c r="AB7104" s="462" t="s">
        <v>21875</v>
      </c>
      <c r="AC7104" s="462" t="s">
        <v>21876</v>
      </c>
      <c r="AD7104" s="464">
        <v>1253.5509300000001</v>
      </c>
      <c r="AE7104" s="465">
        <v>60.201949999999997</v>
      </c>
      <c r="AF7104" s="86">
        <f>IF(verze!$E$1="CZK",AD7104,IF(verze!$E$1="SK",AE7104,""))</f>
        <v>60.201949999999997</v>
      </c>
    </row>
    <row r="7105" spans="27:32" ht="15">
      <c r="AA7105" s="463" t="s">
        <v>1320</v>
      </c>
      <c r="AB7105" s="462" t="s">
        <v>21877</v>
      </c>
      <c r="AC7105" s="462" t="s">
        <v>21878</v>
      </c>
      <c r="AD7105" s="464">
        <v>1253.5509300000001</v>
      </c>
      <c r="AE7105" s="465">
        <v>60.201949999999997</v>
      </c>
      <c r="AF7105" s="86">
        <f>IF(verze!$E$1="CZK",AD7105,IF(verze!$E$1="SK",AE7105,""))</f>
        <v>60.201949999999997</v>
      </c>
    </row>
    <row r="7106" spans="27:32" ht="15">
      <c r="AA7106" s="463" t="s">
        <v>1320</v>
      </c>
      <c r="AB7106" s="462" t="s">
        <v>21879</v>
      </c>
      <c r="AC7106" s="462" t="s">
        <v>21880</v>
      </c>
      <c r="AD7106" s="464">
        <v>1271.9642799999999</v>
      </c>
      <c r="AE7106" s="465">
        <v>61.087690000000002</v>
      </c>
      <c r="AF7106" s="86">
        <f>IF(verze!$E$1="CZK",AD7106,IF(verze!$E$1="SK",AE7106,""))</f>
        <v>61.087690000000002</v>
      </c>
    </row>
    <row r="7107" spans="27:32" ht="15">
      <c r="AA7107" s="463" t="s">
        <v>1320</v>
      </c>
      <c r="AB7107" s="462" t="s">
        <v>21881</v>
      </c>
      <c r="AC7107" s="462" t="s">
        <v>21882</v>
      </c>
      <c r="AD7107" s="464">
        <v>1292.95821</v>
      </c>
      <c r="AE7107" s="465">
        <v>62.195990000000002</v>
      </c>
      <c r="AF7107" s="86">
        <f>IF(verze!$E$1="CZK",AD7107,IF(verze!$E$1="SK",AE7107,""))</f>
        <v>62.195990000000002</v>
      </c>
    </row>
    <row r="7108" spans="27:32" ht="15">
      <c r="AA7108" s="463" t="s">
        <v>1320</v>
      </c>
      <c r="AB7108" s="462" t="s">
        <v>21883</v>
      </c>
      <c r="AC7108" s="462" t="s">
        <v>21884</v>
      </c>
      <c r="AD7108" s="464">
        <v>1290.37033</v>
      </c>
      <c r="AE7108" s="465">
        <v>61.973089999999999</v>
      </c>
      <c r="AF7108" s="86">
        <f>IF(verze!$E$1="CZK",AD7108,IF(verze!$E$1="SK",AE7108,""))</f>
        <v>61.973089999999999</v>
      </c>
    </row>
    <row r="7109" spans="27:32" ht="15">
      <c r="AA7109" s="463" t="s">
        <v>1320</v>
      </c>
      <c r="AB7109" s="462" t="s">
        <v>21885</v>
      </c>
      <c r="AC7109" s="462" t="s">
        <v>21886</v>
      </c>
      <c r="AD7109" s="464">
        <v>1299.75485</v>
      </c>
      <c r="AE7109" s="465">
        <v>62.081229999999998</v>
      </c>
      <c r="AF7109" s="86">
        <f>IF(verze!$E$1="CZK",AD7109,IF(verze!$E$1="SK",AE7109,""))</f>
        <v>62.081229999999998</v>
      </c>
    </row>
    <row r="7110" spans="27:32" ht="15">
      <c r="AA7110" s="463" t="s">
        <v>1320</v>
      </c>
      <c r="AB7110" s="462" t="s">
        <v>21887</v>
      </c>
      <c r="AC7110" s="462" t="s">
        <v>21888</v>
      </c>
      <c r="AD7110" s="464">
        <v>1297.16697</v>
      </c>
      <c r="AE7110" s="465">
        <v>61.858330000000002</v>
      </c>
      <c r="AF7110" s="86">
        <f>IF(verze!$E$1="CZK",AD7110,IF(verze!$E$1="SK",AE7110,""))</f>
        <v>61.858330000000002</v>
      </c>
    </row>
    <row r="7111" spans="27:32" ht="15">
      <c r="AA7111" s="463" t="s">
        <v>1320</v>
      </c>
      <c r="AB7111" s="462" t="s">
        <v>21889</v>
      </c>
      <c r="AC7111" s="462" t="s">
        <v>21890</v>
      </c>
      <c r="AD7111" s="464">
        <v>1494.4179799999999</v>
      </c>
      <c r="AE7111" s="465">
        <v>71.242949999999993</v>
      </c>
      <c r="AF7111" s="86">
        <f>IF(verze!$E$1="CZK",AD7111,IF(verze!$E$1="SK",AE7111,""))</f>
        <v>71.242949999999993</v>
      </c>
    </row>
    <row r="7112" spans="27:32" ht="15">
      <c r="AA7112" s="463" t="s">
        <v>1320</v>
      </c>
      <c r="AB7112" s="462" t="s">
        <v>21891</v>
      </c>
      <c r="AC7112" s="462" t="s">
        <v>21892</v>
      </c>
      <c r="AD7112" s="464">
        <v>1491.8300999999999</v>
      </c>
      <c r="AE7112" s="465">
        <v>71.020049999999998</v>
      </c>
      <c r="AF7112" s="86">
        <f>IF(verze!$E$1="CZK",AD7112,IF(verze!$E$1="SK",AE7112,""))</f>
        <v>71.020049999999998</v>
      </c>
    </row>
    <row r="7113" spans="27:32" ht="15">
      <c r="AA7113" s="463" t="s">
        <v>1320</v>
      </c>
      <c r="AB7113" s="462" t="s">
        <v>21893</v>
      </c>
      <c r="AC7113" s="462" t="s">
        <v>21894</v>
      </c>
      <c r="AD7113" s="464">
        <v>1344.2170000000001</v>
      </c>
      <c r="AE7113" s="465">
        <v>64.563310000000001</v>
      </c>
      <c r="AF7113" s="86">
        <f>IF(verze!$E$1="CZK",AD7113,IF(verze!$E$1="SK",AE7113,""))</f>
        <v>64.563310000000001</v>
      </c>
    </row>
    <row r="7114" spans="27:32" ht="15">
      <c r="AA7114" s="463" t="s">
        <v>1320</v>
      </c>
      <c r="AB7114" s="462" t="s">
        <v>21895</v>
      </c>
      <c r="AC7114" s="462" t="s">
        <v>21896</v>
      </c>
      <c r="AD7114" s="464">
        <v>1021.45559</v>
      </c>
      <c r="AE7114" s="465">
        <v>49.102960000000003</v>
      </c>
      <c r="AF7114" s="86">
        <f>IF(verze!$E$1="CZK",AD7114,IF(verze!$E$1="SK",AE7114,""))</f>
        <v>49.102960000000003</v>
      </c>
    </row>
    <row r="7115" spans="27:32" ht="15">
      <c r="AA7115" s="463" t="s">
        <v>1320</v>
      </c>
      <c r="AB7115" s="462" t="s">
        <v>21897</v>
      </c>
      <c r="AC7115" s="462" t="s">
        <v>21898</v>
      </c>
      <c r="AD7115" s="464">
        <v>1021.45559</v>
      </c>
      <c r="AE7115" s="465">
        <v>49.102960000000003</v>
      </c>
      <c r="AF7115" s="86">
        <f>IF(verze!$E$1="CZK",AD7115,IF(verze!$E$1="SK",AE7115,""))</f>
        <v>49.102960000000003</v>
      </c>
    </row>
    <row r="7116" spans="27:32" ht="15">
      <c r="AA7116" s="463" t="s">
        <v>1320</v>
      </c>
      <c r="AB7116" s="462" t="s">
        <v>21899</v>
      </c>
      <c r="AC7116" s="462" t="s">
        <v>21900</v>
      </c>
      <c r="AD7116" s="464">
        <v>1039.8689400000001</v>
      </c>
      <c r="AE7116" s="465">
        <v>49.988700000000001</v>
      </c>
      <c r="AF7116" s="86">
        <f>IF(verze!$E$1="CZK",AD7116,IF(verze!$E$1="SK",AE7116,""))</f>
        <v>49.988700000000001</v>
      </c>
    </row>
    <row r="7117" spans="27:32" ht="15">
      <c r="AA7117" s="463" t="s">
        <v>1320</v>
      </c>
      <c r="AB7117" s="462" t="s">
        <v>21901</v>
      </c>
      <c r="AC7117" s="462" t="s">
        <v>21902</v>
      </c>
      <c r="AD7117" s="464">
        <v>1059.13761</v>
      </c>
      <c r="AE7117" s="465">
        <v>50.948399999999999</v>
      </c>
      <c r="AF7117" s="86">
        <f>IF(verze!$E$1="CZK",AD7117,IF(verze!$E$1="SK",AE7117,""))</f>
        <v>50.948399999999999</v>
      </c>
    </row>
    <row r="7118" spans="27:32" ht="15">
      <c r="AA7118" s="463" t="s">
        <v>1320</v>
      </c>
      <c r="AB7118" s="462" t="s">
        <v>21903</v>
      </c>
      <c r="AC7118" s="462" t="s">
        <v>21904</v>
      </c>
      <c r="AD7118" s="464">
        <v>1058.2749899999999</v>
      </c>
      <c r="AE7118" s="465">
        <v>50.874099999999999</v>
      </c>
      <c r="AF7118" s="86">
        <f>IF(verze!$E$1="CZK",AD7118,IF(verze!$E$1="SK",AE7118,""))</f>
        <v>50.874099999999999</v>
      </c>
    </row>
    <row r="7119" spans="27:32" ht="15">
      <c r="AA7119" s="463" t="s">
        <v>1320</v>
      </c>
      <c r="AB7119" s="462" t="s">
        <v>21905</v>
      </c>
      <c r="AC7119" s="462" t="s">
        <v>21906</v>
      </c>
      <c r="AD7119" s="464">
        <v>1065.93425</v>
      </c>
      <c r="AE7119" s="465">
        <v>50.833640000000003</v>
      </c>
      <c r="AF7119" s="86">
        <f>IF(verze!$E$1="CZK",AD7119,IF(verze!$E$1="SK",AE7119,""))</f>
        <v>50.833640000000003</v>
      </c>
    </row>
    <row r="7120" spans="27:32" ht="15">
      <c r="AA7120" s="463" t="s">
        <v>1320</v>
      </c>
      <c r="AB7120" s="462" t="s">
        <v>21907</v>
      </c>
      <c r="AC7120" s="462" t="s">
        <v>21908</v>
      </c>
      <c r="AD7120" s="464">
        <v>1065.0716299999999</v>
      </c>
      <c r="AE7120" s="465">
        <v>50.759340000000002</v>
      </c>
      <c r="AF7120" s="86">
        <f>IF(verze!$E$1="CZK",AD7120,IF(verze!$E$1="SK",AE7120,""))</f>
        <v>50.759340000000002</v>
      </c>
    </row>
    <row r="7121" spans="27:32" ht="15">
      <c r="AA7121" s="463" t="s">
        <v>1320</v>
      </c>
      <c r="AB7121" s="462" t="s">
        <v>21909</v>
      </c>
      <c r="AC7121" s="462" t="s">
        <v>21910</v>
      </c>
      <c r="AD7121" s="464">
        <v>1260.5973799999999</v>
      </c>
      <c r="AE7121" s="465">
        <v>59.995359999999998</v>
      </c>
      <c r="AF7121" s="86">
        <f>IF(verze!$E$1="CZK",AD7121,IF(verze!$E$1="SK",AE7121,""))</f>
        <v>59.995359999999998</v>
      </c>
    </row>
    <row r="7122" spans="27:32" ht="15">
      <c r="AA7122" s="463" t="s">
        <v>1320</v>
      </c>
      <c r="AB7122" s="462" t="s">
        <v>21911</v>
      </c>
      <c r="AC7122" s="462" t="s">
        <v>21912</v>
      </c>
      <c r="AD7122" s="464">
        <v>1259.7347600000001</v>
      </c>
      <c r="AE7122" s="465">
        <v>59.921059999999997</v>
      </c>
      <c r="AF7122" s="86">
        <f>IF(verze!$E$1="CZK",AD7122,IF(verze!$E$1="SK",AE7122,""))</f>
        <v>59.921059999999997</v>
      </c>
    </row>
    <row r="7123" spans="27:32" ht="15">
      <c r="AA7123" s="463" t="s">
        <v>1320</v>
      </c>
      <c r="AB7123" s="462" t="s">
        <v>21913</v>
      </c>
      <c r="AC7123" s="462" t="s">
        <v>21914</v>
      </c>
      <c r="AD7123" s="464">
        <v>1112.12166</v>
      </c>
      <c r="AE7123" s="465">
        <v>53.464320000000001</v>
      </c>
      <c r="AF7123" s="86">
        <f>IF(verze!$E$1="CZK",AD7123,IF(verze!$E$1="SK",AE7123,""))</f>
        <v>53.464320000000001</v>
      </c>
    </row>
    <row r="7124" spans="27:32" ht="15">
      <c r="AA7124" s="463" t="s">
        <v>1320</v>
      </c>
      <c r="AB7124" s="462" t="s">
        <v>21915</v>
      </c>
      <c r="AC7124" s="462" t="s">
        <v>21916</v>
      </c>
      <c r="AD7124" s="464">
        <v>873.55528000000004</v>
      </c>
      <c r="AE7124" s="465">
        <v>41.96651</v>
      </c>
      <c r="AF7124" s="86">
        <f>IF(verze!$E$1="CZK",AD7124,IF(verze!$E$1="SK",AE7124,""))</f>
        <v>41.96651</v>
      </c>
    </row>
    <row r="7125" spans="27:32" ht="15">
      <c r="AA7125" s="463" t="s">
        <v>1320</v>
      </c>
      <c r="AB7125" s="462" t="s">
        <v>21917</v>
      </c>
      <c r="AC7125" s="462" t="s">
        <v>21918</v>
      </c>
      <c r="AD7125" s="464">
        <v>873.55528000000004</v>
      </c>
      <c r="AE7125" s="465">
        <v>41.96651</v>
      </c>
      <c r="AF7125" s="86">
        <f>IF(verze!$E$1="CZK",AD7125,IF(verze!$E$1="SK",AE7125,""))</f>
        <v>41.96651</v>
      </c>
    </row>
    <row r="7126" spans="27:32" ht="15">
      <c r="AA7126" s="463" t="s">
        <v>1320</v>
      </c>
      <c r="AB7126" s="462" t="s">
        <v>21919</v>
      </c>
      <c r="AC7126" s="462" t="s">
        <v>21920</v>
      </c>
      <c r="AD7126" s="464">
        <v>891.96862999999996</v>
      </c>
      <c r="AE7126" s="465">
        <v>42.852249999999998</v>
      </c>
      <c r="AF7126" s="86">
        <f>IF(verze!$E$1="CZK",AD7126,IF(verze!$E$1="SK",AE7126,""))</f>
        <v>42.852249999999998</v>
      </c>
    </row>
    <row r="7127" spans="27:32" ht="15">
      <c r="AA7127" s="463" t="s">
        <v>1320</v>
      </c>
      <c r="AB7127" s="462" t="s">
        <v>21921</v>
      </c>
      <c r="AC7127" s="462" t="s">
        <v>21922</v>
      </c>
      <c r="AD7127" s="464">
        <v>911.81245999999999</v>
      </c>
      <c r="AE7127" s="465">
        <v>43.861490000000003</v>
      </c>
      <c r="AF7127" s="86">
        <f>IF(verze!$E$1="CZK",AD7127,IF(verze!$E$1="SK",AE7127,""))</f>
        <v>43.861490000000003</v>
      </c>
    </row>
    <row r="7128" spans="27:32" ht="15">
      <c r="AA7128" s="463" t="s">
        <v>1320</v>
      </c>
      <c r="AB7128" s="462" t="s">
        <v>21923</v>
      </c>
      <c r="AC7128" s="462" t="s">
        <v>21924</v>
      </c>
      <c r="AD7128" s="464">
        <v>910.37468000000001</v>
      </c>
      <c r="AE7128" s="465">
        <v>43.737650000000002</v>
      </c>
      <c r="AF7128" s="86">
        <f>IF(verze!$E$1="CZK",AD7128,IF(verze!$E$1="SK",AE7128,""))</f>
        <v>43.737650000000002</v>
      </c>
    </row>
    <row r="7129" spans="27:32" ht="15">
      <c r="AA7129" s="463" t="s">
        <v>1320</v>
      </c>
      <c r="AB7129" s="462" t="s">
        <v>21925</v>
      </c>
      <c r="AC7129" s="462" t="s">
        <v>21926</v>
      </c>
      <c r="AD7129" s="464">
        <v>918.60910000000001</v>
      </c>
      <c r="AE7129" s="465">
        <v>43.746729999999999</v>
      </c>
      <c r="AF7129" s="86">
        <f>IF(verze!$E$1="CZK",AD7129,IF(verze!$E$1="SK",AE7129,""))</f>
        <v>43.746729999999999</v>
      </c>
    </row>
    <row r="7130" spans="27:32" ht="15">
      <c r="AA7130" s="463" t="s">
        <v>1320</v>
      </c>
      <c r="AB7130" s="462" t="s">
        <v>21927</v>
      </c>
      <c r="AC7130" s="462" t="s">
        <v>21928</v>
      </c>
      <c r="AD7130" s="464">
        <v>917.17132000000004</v>
      </c>
      <c r="AE7130" s="465">
        <v>43.622889999999998</v>
      </c>
      <c r="AF7130" s="86">
        <f>IF(verze!$E$1="CZK",AD7130,IF(verze!$E$1="SK",AE7130,""))</f>
        <v>43.622889999999998</v>
      </c>
    </row>
    <row r="7131" spans="27:32" ht="15">
      <c r="AA7131" s="463" t="s">
        <v>1320</v>
      </c>
      <c r="AB7131" s="462" t="s">
        <v>21929</v>
      </c>
      <c r="AC7131" s="462" t="s">
        <v>21930</v>
      </c>
      <c r="AD7131" s="464">
        <v>964.22135000000003</v>
      </c>
      <c r="AE7131" s="465">
        <v>46.327869999999997</v>
      </c>
      <c r="AF7131" s="86">
        <f>IF(verze!$E$1="CZK",AD7131,IF(verze!$E$1="SK",AE7131,""))</f>
        <v>46.327869999999997</v>
      </c>
    </row>
    <row r="7132" spans="27:32" ht="15">
      <c r="AA7132" s="463" t="s">
        <v>1320</v>
      </c>
      <c r="AB7132" s="462" t="s">
        <v>21931</v>
      </c>
      <c r="AC7132" s="462" t="s">
        <v>21932</v>
      </c>
      <c r="AD7132" s="464">
        <v>915.64872000000003</v>
      </c>
      <c r="AE7132" s="465">
        <v>43.947629999999997</v>
      </c>
      <c r="AF7132" s="86">
        <f>IF(verze!$E$1="CZK",AD7132,IF(verze!$E$1="SK",AE7132,""))</f>
        <v>43.947629999999997</v>
      </c>
    </row>
    <row r="7133" spans="27:32" ht="15">
      <c r="AA7133" s="463" t="s">
        <v>1320</v>
      </c>
      <c r="AB7133" s="462" t="s">
        <v>21933</v>
      </c>
      <c r="AC7133" s="462" t="s">
        <v>21934</v>
      </c>
      <c r="AD7133" s="464">
        <v>915.64872000000003</v>
      </c>
      <c r="AE7133" s="465">
        <v>43.947629999999997</v>
      </c>
      <c r="AF7133" s="86">
        <f>IF(verze!$E$1="CZK",AD7133,IF(verze!$E$1="SK",AE7133,""))</f>
        <v>43.947629999999997</v>
      </c>
    </row>
    <row r="7134" spans="27:32" ht="15">
      <c r="AA7134" s="463" t="s">
        <v>1320</v>
      </c>
      <c r="AB7134" s="462" t="s">
        <v>21935</v>
      </c>
      <c r="AC7134" s="462" t="s">
        <v>21936</v>
      </c>
      <c r="AD7134" s="464">
        <v>934.06206999999995</v>
      </c>
      <c r="AE7134" s="465">
        <v>44.833370000000002</v>
      </c>
      <c r="AF7134" s="86">
        <f>IF(verze!$E$1="CZK",AD7134,IF(verze!$E$1="SK",AE7134,""))</f>
        <v>44.833370000000002</v>
      </c>
    </row>
    <row r="7135" spans="27:32" ht="15">
      <c r="AA7135" s="463" t="s">
        <v>1320</v>
      </c>
      <c r="AB7135" s="462" t="s">
        <v>21937</v>
      </c>
      <c r="AC7135" s="462" t="s">
        <v>21938</v>
      </c>
      <c r="AD7135" s="464">
        <v>955.05600000000004</v>
      </c>
      <c r="AE7135" s="465">
        <v>45.941670000000002</v>
      </c>
      <c r="AF7135" s="86">
        <f>IF(verze!$E$1="CZK",AD7135,IF(verze!$E$1="SK",AE7135,""))</f>
        <v>45.941670000000002</v>
      </c>
    </row>
    <row r="7136" spans="27:32" ht="15">
      <c r="AA7136" s="463" t="s">
        <v>1320</v>
      </c>
      <c r="AB7136" s="462" t="s">
        <v>21939</v>
      </c>
      <c r="AC7136" s="462" t="s">
        <v>21940</v>
      </c>
      <c r="AD7136" s="464">
        <v>952.46812</v>
      </c>
      <c r="AE7136" s="465">
        <v>45.718769999999999</v>
      </c>
      <c r="AF7136" s="86">
        <f>IF(verze!$E$1="CZK",AD7136,IF(verze!$E$1="SK",AE7136,""))</f>
        <v>45.718769999999999</v>
      </c>
    </row>
    <row r="7137" spans="27:32" ht="15">
      <c r="AA7137" s="463" t="s">
        <v>1320</v>
      </c>
      <c r="AB7137" s="462" t="s">
        <v>21941</v>
      </c>
      <c r="AC7137" s="462" t="s">
        <v>21942</v>
      </c>
      <c r="AD7137" s="464">
        <v>961.85263999999995</v>
      </c>
      <c r="AE7137" s="465">
        <v>45.826909999999998</v>
      </c>
      <c r="AF7137" s="86">
        <f>IF(verze!$E$1="CZK",AD7137,IF(verze!$E$1="SK",AE7137,""))</f>
        <v>45.826909999999998</v>
      </c>
    </row>
    <row r="7138" spans="27:32" ht="15">
      <c r="AA7138" s="463" t="s">
        <v>1320</v>
      </c>
      <c r="AB7138" s="462" t="s">
        <v>21943</v>
      </c>
      <c r="AC7138" s="462" t="s">
        <v>21944</v>
      </c>
      <c r="AD7138" s="464">
        <v>959.26476000000002</v>
      </c>
      <c r="AE7138" s="465">
        <v>45.604010000000002</v>
      </c>
      <c r="AF7138" s="86">
        <f>IF(verze!$E$1="CZK",AD7138,IF(verze!$E$1="SK",AE7138,""))</f>
        <v>45.604010000000002</v>
      </c>
    </row>
    <row r="7139" spans="27:32" ht="15">
      <c r="AA7139" s="463" t="s">
        <v>1320</v>
      </c>
      <c r="AB7139" s="462" t="s">
        <v>21945</v>
      </c>
      <c r="AC7139" s="462" t="s">
        <v>21946</v>
      </c>
      <c r="AD7139" s="464">
        <v>1006.31479</v>
      </c>
      <c r="AE7139" s="465">
        <v>48.308990000000001</v>
      </c>
      <c r="AF7139" s="86">
        <f>IF(verze!$E$1="CZK",AD7139,IF(verze!$E$1="SK",AE7139,""))</f>
        <v>48.308990000000001</v>
      </c>
    </row>
    <row r="7140" spans="27:32" ht="15">
      <c r="AA7140" s="463" t="s">
        <v>1320</v>
      </c>
      <c r="AB7140" s="462" t="s">
        <v>21947</v>
      </c>
      <c r="AC7140" s="462" t="s">
        <v>21948</v>
      </c>
      <c r="AD7140" s="464">
        <v>939.86249999999995</v>
      </c>
      <c r="AE7140" s="465">
        <v>45.210810000000002</v>
      </c>
      <c r="AF7140" s="86">
        <f>IF(verze!$E$1="CZK",AD7140,IF(verze!$E$1="SK",AE7140,""))</f>
        <v>45.210810000000002</v>
      </c>
    </row>
    <row r="7141" spans="27:32" ht="15">
      <c r="AA7141" s="463" t="s">
        <v>1320</v>
      </c>
      <c r="AB7141" s="462" t="s">
        <v>21949</v>
      </c>
      <c r="AC7141" s="462" t="s">
        <v>21950</v>
      </c>
      <c r="AD7141" s="464">
        <v>939.86249999999995</v>
      </c>
      <c r="AE7141" s="465">
        <v>45.210810000000002</v>
      </c>
      <c r="AF7141" s="86">
        <f>IF(verze!$E$1="CZK",AD7141,IF(verze!$E$1="SK",AE7141,""))</f>
        <v>45.210810000000002</v>
      </c>
    </row>
    <row r="7142" spans="27:32" ht="15">
      <c r="AA7142" s="463" t="s">
        <v>1320</v>
      </c>
      <c r="AB7142" s="462" t="s">
        <v>21951</v>
      </c>
      <c r="AC7142" s="462" t="s">
        <v>21952</v>
      </c>
      <c r="AD7142" s="464">
        <v>958.27584999999999</v>
      </c>
      <c r="AE7142" s="465">
        <v>46.096550000000001</v>
      </c>
      <c r="AF7142" s="86">
        <f>IF(verze!$E$1="CZK",AD7142,IF(verze!$E$1="SK",AE7142,""))</f>
        <v>46.096550000000001</v>
      </c>
    </row>
    <row r="7143" spans="27:32" ht="15">
      <c r="AA7143" s="463" t="s">
        <v>1320</v>
      </c>
      <c r="AB7143" s="462" t="s">
        <v>21953</v>
      </c>
      <c r="AC7143" s="462" t="s">
        <v>21954</v>
      </c>
      <c r="AD7143" s="464">
        <v>976.68190000000004</v>
      </c>
      <c r="AE7143" s="465">
        <v>46.981949999999998</v>
      </c>
      <c r="AF7143" s="86">
        <f>IF(verze!$E$1="CZK",AD7143,IF(verze!$E$1="SK",AE7143,""))</f>
        <v>46.981949999999998</v>
      </c>
    </row>
    <row r="7144" spans="27:32" ht="15">
      <c r="AA7144" s="463" t="s">
        <v>1320</v>
      </c>
      <c r="AB7144" s="462" t="s">
        <v>21955</v>
      </c>
      <c r="AC7144" s="462" t="s">
        <v>21956</v>
      </c>
      <c r="AD7144" s="464">
        <v>976.68190000000004</v>
      </c>
      <c r="AE7144" s="465">
        <v>46.981949999999998</v>
      </c>
      <c r="AF7144" s="86">
        <f>IF(verze!$E$1="CZK",AD7144,IF(verze!$E$1="SK",AE7144,""))</f>
        <v>46.981949999999998</v>
      </c>
    </row>
    <row r="7145" spans="27:32" ht="15">
      <c r="AA7145" s="463" t="s">
        <v>1320</v>
      </c>
      <c r="AB7145" s="462" t="s">
        <v>21957</v>
      </c>
      <c r="AC7145" s="462" t="s">
        <v>21958</v>
      </c>
      <c r="AD7145" s="464">
        <v>983.47853999999995</v>
      </c>
      <c r="AE7145" s="465">
        <v>46.867190000000001</v>
      </c>
      <c r="AF7145" s="86">
        <f>IF(verze!$E$1="CZK",AD7145,IF(verze!$E$1="SK",AE7145,""))</f>
        <v>46.867190000000001</v>
      </c>
    </row>
    <row r="7146" spans="27:32" ht="15">
      <c r="AA7146" s="463" t="s">
        <v>1320</v>
      </c>
      <c r="AB7146" s="462" t="s">
        <v>21959</v>
      </c>
      <c r="AC7146" s="462" t="s">
        <v>21960</v>
      </c>
      <c r="AD7146" s="464">
        <v>983.47853999999995</v>
      </c>
      <c r="AE7146" s="465">
        <v>46.867190000000001</v>
      </c>
      <c r="AF7146" s="86">
        <f>IF(verze!$E$1="CZK",AD7146,IF(verze!$E$1="SK",AE7146,""))</f>
        <v>46.867190000000001</v>
      </c>
    </row>
    <row r="7147" spans="27:32" ht="15">
      <c r="AA7147" s="463" t="s">
        <v>1320</v>
      </c>
      <c r="AB7147" s="462" t="s">
        <v>21961</v>
      </c>
      <c r="AC7147" s="462" t="s">
        <v>21962</v>
      </c>
      <c r="AD7147" s="464">
        <v>1030.5285699999999</v>
      </c>
      <c r="AE7147" s="465">
        <v>49.57217</v>
      </c>
      <c r="AF7147" s="86">
        <f>IF(verze!$E$1="CZK",AD7147,IF(verze!$E$1="SK",AE7147,""))</f>
        <v>49.57217</v>
      </c>
    </row>
    <row r="7148" spans="27:32" ht="15">
      <c r="AA7148" s="463" t="s">
        <v>1320</v>
      </c>
      <c r="AB7148" s="462" t="s">
        <v>21963</v>
      </c>
      <c r="AC7148" s="462" t="s">
        <v>21964</v>
      </c>
      <c r="AD7148" s="464">
        <v>998.30780000000004</v>
      </c>
      <c r="AE7148" s="465">
        <v>48.02225</v>
      </c>
      <c r="AF7148" s="86">
        <f>IF(verze!$E$1="CZK",AD7148,IF(verze!$E$1="SK",AE7148,""))</f>
        <v>48.02225</v>
      </c>
    </row>
    <row r="7149" spans="27:32" ht="15">
      <c r="AA7149" s="463" t="s">
        <v>1320</v>
      </c>
      <c r="AB7149" s="462" t="s">
        <v>21965</v>
      </c>
      <c r="AC7149" s="462" t="s">
        <v>21966</v>
      </c>
      <c r="AD7149" s="464">
        <v>1005.10444</v>
      </c>
      <c r="AE7149" s="465">
        <v>47.907490000000003</v>
      </c>
      <c r="AF7149" s="86">
        <f>IF(verze!$E$1="CZK",AD7149,IF(verze!$E$1="SK",AE7149,""))</f>
        <v>47.907490000000003</v>
      </c>
    </row>
    <row r="7150" spans="27:32" ht="15">
      <c r="AA7150" s="463" t="s">
        <v>1320</v>
      </c>
      <c r="AB7150" s="462" t="s">
        <v>21967</v>
      </c>
      <c r="AC7150" s="462" t="s">
        <v>21968</v>
      </c>
      <c r="AD7150" s="464">
        <v>852.50454000000002</v>
      </c>
      <c r="AE7150" s="465">
        <v>40.975790000000003</v>
      </c>
      <c r="AF7150" s="86">
        <f>IF(verze!$E$1="CZK",AD7150,IF(verze!$E$1="SK",AE7150,""))</f>
        <v>40.975790000000003</v>
      </c>
    </row>
    <row r="7151" spans="27:32" ht="15">
      <c r="AA7151" s="463" t="s">
        <v>1320</v>
      </c>
      <c r="AB7151" s="462" t="s">
        <v>21969</v>
      </c>
      <c r="AC7151" s="462" t="s">
        <v>21970</v>
      </c>
      <c r="AD7151" s="464">
        <v>852.50454000000002</v>
      </c>
      <c r="AE7151" s="465">
        <v>40.975790000000003</v>
      </c>
      <c r="AF7151" s="86">
        <f>IF(verze!$E$1="CZK",AD7151,IF(verze!$E$1="SK",AE7151,""))</f>
        <v>40.975790000000003</v>
      </c>
    </row>
    <row r="7152" spans="27:32" ht="15">
      <c r="AA7152" s="463" t="s">
        <v>1320</v>
      </c>
      <c r="AB7152" s="462" t="s">
        <v>21971</v>
      </c>
      <c r="AC7152" s="462" t="s">
        <v>21972</v>
      </c>
      <c r="AD7152" s="464">
        <v>870.91789000000006</v>
      </c>
      <c r="AE7152" s="465">
        <v>41.861530000000002</v>
      </c>
      <c r="AF7152" s="86">
        <f>IF(verze!$E$1="CZK",AD7152,IF(verze!$E$1="SK",AE7152,""))</f>
        <v>41.861530000000002</v>
      </c>
    </row>
    <row r="7153" spans="27:32" ht="15">
      <c r="AA7153" s="463" t="s">
        <v>1320</v>
      </c>
      <c r="AB7153" s="462" t="s">
        <v>21973</v>
      </c>
      <c r="AC7153" s="462" t="s">
        <v>21974</v>
      </c>
      <c r="AD7153" s="464">
        <v>890.18655999999999</v>
      </c>
      <c r="AE7153" s="465">
        <v>42.82123</v>
      </c>
      <c r="AF7153" s="86">
        <f>IF(verze!$E$1="CZK",AD7153,IF(verze!$E$1="SK",AE7153,""))</f>
        <v>42.82123</v>
      </c>
    </row>
    <row r="7154" spans="27:32" ht="15">
      <c r="AA7154" s="463" t="s">
        <v>1320</v>
      </c>
      <c r="AB7154" s="462" t="s">
        <v>21975</v>
      </c>
      <c r="AC7154" s="462" t="s">
        <v>21976</v>
      </c>
      <c r="AD7154" s="464">
        <v>889.32393999999999</v>
      </c>
      <c r="AE7154" s="465">
        <v>42.746929999999999</v>
      </c>
      <c r="AF7154" s="86">
        <f>IF(verze!$E$1="CZK",AD7154,IF(verze!$E$1="SK",AE7154,""))</f>
        <v>42.746929999999999</v>
      </c>
    </row>
    <row r="7155" spans="27:32" ht="15">
      <c r="AA7155" s="463" t="s">
        <v>1320</v>
      </c>
      <c r="AB7155" s="462" t="s">
        <v>21977</v>
      </c>
      <c r="AC7155" s="462" t="s">
        <v>21978</v>
      </c>
      <c r="AD7155" s="464">
        <v>896.98320000000001</v>
      </c>
      <c r="AE7155" s="465">
        <v>42.706470000000003</v>
      </c>
      <c r="AF7155" s="86">
        <f>IF(verze!$E$1="CZK",AD7155,IF(verze!$E$1="SK",AE7155,""))</f>
        <v>42.706470000000003</v>
      </c>
    </row>
    <row r="7156" spans="27:32" ht="15">
      <c r="AA7156" s="463" t="s">
        <v>1320</v>
      </c>
      <c r="AB7156" s="462" t="s">
        <v>21979</v>
      </c>
      <c r="AC7156" s="462" t="s">
        <v>21980</v>
      </c>
      <c r="AD7156" s="464">
        <v>896.12058000000002</v>
      </c>
      <c r="AE7156" s="465">
        <v>42.632170000000002</v>
      </c>
      <c r="AF7156" s="86">
        <f>IF(verze!$E$1="CZK",AD7156,IF(verze!$E$1="SK",AE7156,""))</f>
        <v>42.632170000000002</v>
      </c>
    </row>
    <row r="7157" spans="27:32" ht="15">
      <c r="AA7157" s="463" t="s">
        <v>1320</v>
      </c>
      <c r="AB7157" s="462" t="s">
        <v>21981</v>
      </c>
      <c r="AC7157" s="462" t="s">
        <v>21982</v>
      </c>
      <c r="AD7157" s="464">
        <v>943.17061000000001</v>
      </c>
      <c r="AE7157" s="465">
        <v>45.337150000000001</v>
      </c>
      <c r="AF7157" s="86">
        <f>IF(verze!$E$1="CZK",AD7157,IF(verze!$E$1="SK",AE7157,""))</f>
        <v>45.337150000000001</v>
      </c>
    </row>
    <row r="7158" spans="27:32" ht="15">
      <c r="AA7158" s="463" t="s">
        <v>1320</v>
      </c>
      <c r="AB7158" s="462" t="s">
        <v>21983</v>
      </c>
      <c r="AC7158" s="462" t="s">
        <v>21984</v>
      </c>
      <c r="AD7158" s="464">
        <v>1090.47586</v>
      </c>
      <c r="AE7158" s="465">
        <v>52.455820000000003</v>
      </c>
      <c r="AF7158" s="86">
        <f>IF(verze!$E$1="CZK",AD7158,IF(verze!$E$1="SK",AE7158,""))</f>
        <v>52.455820000000003</v>
      </c>
    </row>
    <row r="7159" spans="27:32" ht="15">
      <c r="AA7159" s="463" t="s">
        <v>1320</v>
      </c>
      <c r="AB7159" s="462" t="s">
        <v>21985</v>
      </c>
      <c r="AC7159" s="462" t="s">
        <v>21986</v>
      </c>
      <c r="AD7159" s="464">
        <v>1090.47586</v>
      </c>
      <c r="AE7159" s="465">
        <v>52.455820000000003</v>
      </c>
      <c r="AF7159" s="86">
        <f>IF(verze!$E$1="CZK",AD7159,IF(verze!$E$1="SK",AE7159,""))</f>
        <v>52.455820000000003</v>
      </c>
    </row>
    <row r="7160" spans="27:32" ht="15">
      <c r="AA7160" s="463" t="s">
        <v>1320</v>
      </c>
      <c r="AB7160" s="462" t="s">
        <v>21987</v>
      </c>
      <c r="AC7160" s="462" t="s">
        <v>21988</v>
      </c>
      <c r="AD7160" s="464">
        <v>1101.2927400000001</v>
      </c>
      <c r="AE7160" s="465">
        <v>52.97616</v>
      </c>
      <c r="AF7160" s="86">
        <f>IF(verze!$E$1="CZK",AD7160,IF(verze!$E$1="SK",AE7160,""))</f>
        <v>52.97616</v>
      </c>
    </row>
    <row r="7161" spans="27:32" ht="15">
      <c r="AA7161" s="463" t="s">
        <v>1320</v>
      </c>
      <c r="AB7161" s="462" t="s">
        <v>21989</v>
      </c>
      <c r="AC7161" s="462" t="s">
        <v>21990</v>
      </c>
      <c r="AD7161" s="464">
        <v>1144.53628</v>
      </c>
      <c r="AE7161" s="465">
        <v>55.056339999999999</v>
      </c>
      <c r="AF7161" s="86">
        <f>IF(verze!$E$1="CZK",AD7161,IF(verze!$E$1="SK",AE7161,""))</f>
        <v>55.056339999999999</v>
      </c>
    </row>
    <row r="7162" spans="27:32" ht="15">
      <c r="AA7162" s="463" t="s">
        <v>1320</v>
      </c>
      <c r="AB7162" s="462" t="s">
        <v>21991</v>
      </c>
      <c r="AC7162" s="462" t="s">
        <v>21992</v>
      </c>
      <c r="AD7162" s="464">
        <v>1166.16218</v>
      </c>
      <c r="AE7162" s="465">
        <v>56.096620000000001</v>
      </c>
      <c r="AF7162" s="86">
        <f>IF(verze!$E$1="CZK",AD7162,IF(verze!$E$1="SK",AE7162,""))</f>
        <v>56.096620000000001</v>
      </c>
    </row>
    <row r="7163" spans="27:32" ht="15">
      <c r="AA7163" s="463" t="s">
        <v>1320</v>
      </c>
      <c r="AB7163" s="462" t="s">
        <v>21993</v>
      </c>
      <c r="AC7163" s="462" t="s">
        <v>21994</v>
      </c>
      <c r="AD7163" s="464">
        <v>1187.78808</v>
      </c>
      <c r="AE7163" s="465">
        <v>57.136920000000003</v>
      </c>
      <c r="AF7163" s="86">
        <f>IF(verze!$E$1="CZK",AD7163,IF(verze!$E$1="SK",AE7163,""))</f>
        <v>57.136920000000003</v>
      </c>
    </row>
    <row r="7164" spans="27:32" ht="15">
      <c r="AA7164" s="463" t="s">
        <v>1320</v>
      </c>
      <c r="AB7164" s="462" t="s">
        <v>21995</v>
      </c>
      <c r="AC7164" s="462" t="s">
        <v>21996</v>
      </c>
      <c r="AD7164" s="464">
        <v>0</v>
      </c>
      <c r="AE7164" s="465">
        <v>0</v>
      </c>
      <c r="AF7164" s="86">
        <f>IF(verze!$E$1="CZK",AD7164,IF(verze!$E$1="SK",AE7164,""))</f>
        <v>0</v>
      </c>
    </row>
    <row r="7165" spans="27:32" ht="15">
      <c r="AA7165" s="463" t="s">
        <v>1320</v>
      </c>
      <c r="AB7165" s="462" t="s">
        <v>21997</v>
      </c>
      <c r="AC7165" s="462" t="s">
        <v>21998</v>
      </c>
      <c r="AD7165" s="464">
        <v>1090.47586</v>
      </c>
      <c r="AE7165" s="465">
        <v>52.455820000000003</v>
      </c>
      <c r="AF7165" s="86">
        <f>IF(verze!$E$1="CZK",AD7165,IF(verze!$E$1="SK",AE7165,""))</f>
        <v>52.455820000000003</v>
      </c>
    </row>
    <row r="7166" spans="27:32" ht="15">
      <c r="AA7166" s="463" t="s">
        <v>1320</v>
      </c>
      <c r="AB7166" s="462" t="s">
        <v>21999</v>
      </c>
      <c r="AC7166" s="462" t="s">
        <v>22000</v>
      </c>
      <c r="AD7166" s="464">
        <v>1006.02639</v>
      </c>
      <c r="AE7166" s="465">
        <v>48.393540000000002</v>
      </c>
      <c r="AF7166" s="86">
        <f>IF(verze!$E$1="CZK",AD7166,IF(verze!$E$1="SK",AE7166,""))</f>
        <v>48.393540000000002</v>
      </c>
    </row>
    <row r="7167" spans="27:32" ht="15">
      <c r="AA7167" s="463" t="s">
        <v>1320</v>
      </c>
      <c r="AB7167" s="462" t="s">
        <v>22001</v>
      </c>
      <c r="AC7167" s="462" t="s">
        <v>22002</v>
      </c>
      <c r="AD7167" s="464">
        <v>1016.84327</v>
      </c>
      <c r="AE7167" s="465">
        <v>48.913879999999999</v>
      </c>
      <c r="AF7167" s="86">
        <f>IF(verze!$E$1="CZK",AD7167,IF(verze!$E$1="SK",AE7167,""))</f>
        <v>48.913879999999999</v>
      </c>
    </row>
    <row r="7168" spans="27:32" ht="15">
      <c r="AA7168" s="463" t="s">
        <v>1320</v>
      </c>
      <c r="AB7168" s="462" t="s">
        <v>22003</v>
      </c>
      <c r="AC7168" s="462" t="s">
        <v>22004</v>
      </c>
      <c r="AD7168" s="464">
        <v>1060.08681</v>
      </c>
      <c r="AE7168" s="465">
        <v>50.994059999999998</v>
      </c>
      <c r="AF7168" s="86">
        <f>IF(verze!$E$1="CZK",AD7168,IF(verze!$E$1="SK",AE7168,""))</f>
        <v>50.994059999999998</v>
      </c>
    </row>
    <row r="7169" spans="27:32" ht="15">
      <c r="AA7169" s="463" t="s">
        <v>1320</v>
      </c>
      <c r="AB7169" s="462" t="s">
        <v>22005</v>
      </c>
      <c r="AC7169" s="462" t="s">
        <v>22006</v>
      </c>
      <c r="AD7169" s="464">
        <v>1081.71271</v>
      </c>
      <c r="AE7169" s="465">
        <v>52.03434</v>
      </c>
      <c r="AF7169" s="86">
        <f>IF(verze!$E$1="CZK",AD7169,IF(verze!$E$1="SK",AE7169,""))</f>
        <v>52.03434</v>
      </c>
    </row>
    <row r="7170" spans="27:32" ht="15">
      <c r="AA7170" s="463" t="s">
        <v>1320</v>
      </c>
      <c r="AB7170" s="462" t="s">
        <v>22007</v>
      </c>
      <c r="AC7170" s="462" t="s">
        <v>22008</v>
      </c>
      <c r="AD7170" s="464">
        <v>1103.33861</v>
      </c>
      <c r="AE7170" s="465">
        <v>53.074640000000002</v>
      </c>
      <c r="AF7170" s="86">
        <f>IF(verze!$E$1="CZK",AD7170,IF(verze!$E$1="SK",AE7170,""))</f>
        <v>53.074640000000002</v>
      </c>
    </row>
    <row r="7171" spans="27:32" ht="15">
      <c r="AA7171" s="463" t="s">
        <v>1320</v>
      </c>
      <c r="AB7171" s="462" t="s">
        <v>22009</v>
      </c>
      <c r="AC7171" s="462" t="s">
        <v>22010</v>
      </c>
      <c r="AD7171" s="464">
        <v>1006.02639</v>
      </c>
      <c r="AE7171" s="465">
        <v>48.393540000000002</v>
      </c>
      <c r="AF7171" s="86">
        <f>IF(verze!$E$1="CZK",AD7171,IF(verze!$E$1="SK",AE7171,""))</f>
        <v>48.393540000000002</v>
      </c>
    </row>
    <row r="7172" spans="27:32" ht="15">
      <c r="AA7172" s="463" t="s">
        <v>1320</v>
      </c>
      <c r="AB7172" s="462" t="s">
        <v>22011</v>
      </c>
      <c r="AC7172" s="462" t="s">
        <v>22012</v>
      </c>
      <c r="AD7172" s="464">
        <v>1006.02639</v>
      </c>
      <c r="AE7172" s="465">
        <v>48.393540000000002</v>
      </c>
      <c r="AF7172" s="86">
        <f>IF(verze!$E$1="CZK",AD7172,IF(verze!$E$1="SK",AE7172,""))</f>
        <v>48.393540000000002</v>
      </c>
    </row>
    <row r="7173" spans="27:32" ht="15">
      <c r="AA7173" s="463" t="s">
        <v>1320</v>
      </c>
      <c r="AB7173" s="462" t="s">
        <v>22013</v>
      </c>
      <c r="AC7173" s="462" t="s">
        <v>22014</v>
      </c>
      <c r="AD7173" s="464">
        <v>1016.84327</v>
      </c>
      <c r="AE7173" s="465">
        <v>48.913879999999999</v>
      </c>
      <c r="AF7173" s="86">
        <f>IF(verze!$E$1="CZK",AD7173,IF(verze!$E$1="SK",AE7173,""))</f>
        <v>48.913879999999999</v>
      </c>
    </row>
    <row r="7174" spans="27:32" ht="15">
      <c r="AA7174" s="463" t="s">
        <v>1320</v>
      </c>
      <c r="AB7174" s="462" t="s">
        <v>22015</v>
      </c>
      <c r="AC7174" s="462" t="s">
        <v>22016</v>
      </c>
      <c r="AD7174" s="464">
        <v>1060.08681</v>
      </c>
      <c r="AE7174" s="465">
        <v>50.994059999999998</v>
      </c>
      <c r="AF7174" s="86">
        <f>IF(verze!$E$1="CZK",AD7174,IF(verze!$E$1="SK",AE7174,""))</f>
        <v>50.994059999999998</v>
      </c>
    </row>
    <row r="7175" spans="27:32" ht="15">
      <c r="AA7175" s="463" t="s">
        <v>1320</v>
      </c>
      <c r="AB7175" s="462" t="s">
        <v>22017</v>
      </c>
      <c r="AC7175" s="462" t="s">
        <v>22018</v>
      </c>
      <c r="AD7175" s="464">
        <v>1081.71271</v>
      </c>
      <c r="AE7175" s="465">
        <v>52.03434</v>
      </c>
      <c r="AF7175" s="86">
        <f>IF(verze!$E$1="CZK",AD7175,IF(verze!$E$1="SK",AE7175,""))</f>
        <v>52.03434</v>
      </c>
    </row>
    <row r="7176" spans="27:32" ht="15">
      <c r="AA7176" s="463" t="s">
        <v>1320</v>
      </c>
      <c r="AB7176" s="462" t="s">
        <v>22019</v>
      </c>
      <c r="AC7176" s="462" t="s">
        <v>22020</v>
      </c>
      <c r="AD7176" s="464">
        <v>1103.33861</v>
      </c>
      <c r="AE7176" s="465">
        <v>53.074640000000002</v>
      </c>
      <c r="AF7176" s="86">
        <f>IF(verze!$E$1="CZK",AD7176,IF(verze!$E$1="SK",AE7176,""))</f>
        <v>53.074640000000002</v>
      </c>
    </row>
    <row r="7177" spans="27:32" ht="15">
      <c r="AA7177" s="463" t="s">
        <v>1320</v>
      </c>
      <c r="AB7177" s="462" t="s">
        <v>22021</v>
      </c>
      <c r="AC7177" s="462" t="s">
        <v>22022</v>
      </c>
      <c r="AD7177" s="464">
        <v>1024.43965</v>
      </c>
      <c r="AE7177" s="465">
        <v>49.279260000000001</v>
      </c>
      <c r="AF7177" s="86">
        <f>IF(verze!$E$1="CZK",AD7177,IF(verze!$E$1="SK",AE7177,""))</f>
        <v>49.279260000000001</v>
      </c>
    </row>
    <row r="7178" spans="27:32" ht="15">
      <c r="AA7178" s="463" t="s">
        <v>1320</v>
      </c>
      <c r="AB7178" s="462" t="s">
        <v>22023</v>
      </c>
      <c r="AC7178" s="462" t="s">
        <v>22024</v>
      </c>
      <c r="AD7178" s="464">
        <v>0</v>
      </c>
      <c r="AE7178" s="465">
        <v>0</v>
      </c>
      <c r="AF7178" s="86">
        <f>IF(verze!$E$1="CZK",AD7178,IF(verze!$E$1="SK",AE7178,""))</f>
        <v>0</v>
      </c>
    </row>
    <row r="7179" spans="27:32" ht="15">
      <c r="AA7179" s="463" t="s">
        <v>1320</v>
      </c>
      <c r="AB7179" s="462" t="s">
        <v>22025</v>
      </c>
      <c r="AC7179" s="462" t="s">
        <v>22026</v>
      </c>
      <c r="AD7179" s="464">
        <v>1035.2565300000001</v>
      </c>
      <c r="AE7179" s="465">
        <v>49.799599999999998</v>
      </c>
      <c r="AF7179" s="86">
        <f>IF(verze!$E$1="CZK",AD7179,IF(verze!$E$1="SK",AE7179,""))</f>
        <v>49.799599999999998</v>
      </c>
    </row>
    <row r="7180" spans="27:32" ht="15">
      <c r="AA7180" s="463" t="s">
        <v>1320</v>
      </c>
      <c r="AB7180" s="462" t="s">
        <v>22027</v>
      </c>
      <c r="AC7180" s="462" t="s">
        <v>22028</v>
      </c>
      <c r="AD7180" s="464">
        <v>0</v>
      </c>
      <c r="AE7180" s="465">
        <v>0</v>
      </c>
      <c r="AF7180" s="86">
        <f>IF(verze!$E$1="CZK",AD7180,IF(verze!$E$1="SK",AE7180,""))</f>
        <v>0</v>
      </c>
    </row>
    <row r="7181" spans="27:32" ht="15">
      <c r="AA7181" s="463" t="s">
        <v>1320</v>
      </c>
      <c r="AB7181" s="462" t="s">
        <v>22029</v>
      </c>
      <c r="AC7181" s="462" t="s">
        <v>22030</v>
      </c>
      <c r="AD7181" s="464">
        <v>1078.5000700000001</v>
      </c>
      <c r="AE7181" s="465">
        <v>51.879779999999997</v>
      </c>
      <c r="AF7181" s="86">
        <f>IF(verze!$E$1="CZK",AD7181,IF(verze!$E$1="SK",AE7181,""))</f>
        <v>51.879779999999997</v>
      </c>
    </row>
    <row r="7182" spans="27:32" ht="15">
      <c r="AA7182" s="463" t="s">
        <v>1320</v>
      </c>
      <c r="AB7182" s="462" t="s">
        <v>22031</v>
      </c>
      <c r="AC7182" s="462" t="s">
        <v>22032</v>
      </c>
      <c r="AD7182" s="464">
        <v>0</v>
      </c>
      <c r="AE7182" s="465">
        <v>0</v>
      </c>
      <c r="AF7182" s="86">
        <f>IF(verze!$E$1="CZK",AD7182,IF(verze!$E$1="SK",AE7182,""))</f>
        <v>0</v>
      </c>
    </row>
    <row r="7183" spans="27:32" ht="15">
      <c r="AA7183" s="463" t="s">
        <v>1320</v>
      </c>
      <c r="AB7183" s="462" t="s">
        <v>22033</v>
      </c>
      <c r="AC7183" s="462" t="s">
        <v>22034</v>
      </c>
      <c r="AD7183" s="464">
        <v>1100.1259700000001</v>
      </c>
      <c r="AE7183" s="465">
        <v>52.920059999999999</v>
      </c>
      <c r="AF7183" s="86">
        <f>IF(verze!$E$1="CZK",AD7183,IF(verze!$E$1="SK",AE7183,""))</f>
        <v>52.920059999999999</v>
      </c>
    </row>
    <row r="7184" spans="27:32" ht="15">
      <c r="AA7184" s="463" t="s">
        <v>1320</v>
      </c>
      <c r="AB7184" s="462" t="s">
        <v>22035</v>
      </c>
      <c r="AC7184" s="462" t="s">
        <v>22036</v>
      </c>
      <c r="AD7184" s="464">
        <v>0</v>
      </c>
      <c r="AE7184" s="465">
        <v>0</v>
      </c>
      <c r="AF7184" s="86">
        <f>IF(verze!$E$1="CZK",AD7184,IF(verze!$E$1="SK",AE7184,""))</f>
        <v>0</v>
      </c>
    </row>
    <row r="7185" spans="27:32" ht="15">
      <c r="AA7185" s="463" t="s">
        <v>1320</v>
      </c>
      <c r="AB7185" s="462" t="s">
        <v>22037</v>
      </c>
      <c r="AC7185" s="462" t="s">
        <v>22038</v>
      </c>
      <c r="AD7185" s="464">
        <v>1121.7518700000001</v>
      </c>
      <c r="AE7185" s="465">
        <v>53.960360000000001</v>
      </c>
      <c r="AF7185" s="86">
        <f>IF(verze!$E$1="CZK",AD7185,IF(verze!$E$1="SK",AE7185,""))</f>
        <v>53.960360000000001</v>
      </c>
    </row>
    <row r="7186" spans="27:32" ht="15">
      <c r="AA7186" s="463" t="s">
        <v>1320</v>
      </c>
      <c r="AB7186" s="462" t="s">
        <v>22039</v>
      </c>
      <c r="AC7186" s="462" t="s">
        <v>22040</v>
      </c>
      <c r="AD7186" s="464">
        <v>0</v>
      </c>
      <c r="AE7186" s="465">
        <v>0</v>
      </c>
      <c r="AF7186" s="86">
        <f>IF(verze!$E$1="CZK",AD7186,IF(verze!$E$1="SK",AE7186,""))</f>
        <v>0</v>
      </c>
    </row>
    <row r="7187" spans="27:32" ht="15">
      <c r="AA7187" s="463" t="s">
        <v>1320</v>
      </c>
      <c r="AB7187" s="462" t="s">
        <v>22041</v>
      </c>
      <c r="AC7187" s="462" t="s">
        <v>22042</v>
      </c>
      <c r="AD7187" s="464">
        <v>1042.8457000000001</v>
      </c>
      <c r="AE7187" s="465">
        <v>50.164630000000002</v>
      </c>
      <c r="AF7187" s="86">
        <f>IF(verze!$E$1="CZK",AD7187,IF(verze!$E$1="SK",AE7187,""))</f>
        <v>50.164630000000002</v>
      </c>
    </row>
    <row r="7188" spans="27:32" ht="15">
      <c r="AA7188" s="463" t="s">
        <v>1320</v>
      </c>
      <c r="AB7188" s="462" t="s">
        <v>22043</v>
      </c>
      <c r="AC7188" s="462" t="s">
        <v>22044</v>
      </c>
      <c r="AD7188" s="464">
        <v>1243.2408800000001</v>
      </c>
      <c r="AE7188" s="465">
        <v>59.804349999999999</v>
      </c>
      <c r="AF7188" s="86">
        <f>IF(verze!$E$1="CZK",AD7188,IF(verze!$E$1="SK",AE7188,""))</f>
        <v>59.804349999999999</v>
      </c>
    </row>
    <row r="7189" spans="27:32" ht="15">
      <c r="AA7189" s="463" t="s">
        <v>1320</v>
      </c>
      <c r="AB7189" s="462" t="s">
        <v>22045</v>
      </c>
      <c r="AC7189" s="462" t="s">
        <v>22046</v>
      </c>
      <c r="AD7189" s="464">
        <v>1053.6625799999999</v>
      </c>
      <c r="AE7189" s="465">
        <v>50.68497</v>
      </c>
      <c r="AF7189" s="86">
        <f>IF(verze!$E$1="CZK",AD7189,IF(verze!$E$1="SK",AE7189,""))</f>
        <v>50.68497</v>
      </c>
    </row>
    <row r="7190" spans="27:32" ht="15">
      <c r="AA7190" s="463" t="s">
        <v>1320</v>
      </c>
      <c r="AB7190" s="462" t="s">
        <v>22047</v>
      </c>
      <c r="AC7190" s="462" t="s">
        <v>22048</v>
      </c>
      <c r="AD7190" s="464">
        <v>1254.0577599999999</v>
      </c>
      <c r="AE7190" s="465">
        <v>60.324689999999997</v>
      </c>
      <c r="AF7190" s="86">
        <f>IF(verze!$E$1="CZK",AD7190,IF(verze!$E$1="SK",AE7190,""))</f>
        <v>60.324689999999997</v>
      </c>
    </row>
    <row r="7191" spans="27:32" ht="15">
      <c r="AA7191" s="463" t="s">
        <v>1320</v>
      </c>
      <c r="AB7191" s="462" t="s">
        <v>22049</v>
      </c>
      <c r="AC7191" s="462" t="s">
        <v>22050</v>
      </c>
      <c r="AD7191" s="464">
        <v>1096.9061200000001</v>
      </c>
      <c r="AE7191" s="465">
        <v>52.765149999999998</v>
      </c>
      <c r="AF7191" s="86">
        <f>IF(verze!$E$1="CZK",AD7191,IF(verze!$E$1="SK",AE7191,""))</f>
        <v>52.765149999999998</v>
      </c>
    </row>
    <row r="7192" spans="27:32" ht="15">
      <c r="AA7192" s="463" t="s">
        <v>1320</v>
      </c>
      <c r="AB7192" s="462" t="s">
        <v>22051</v>
      </c>
      <c r="AC7192" s="462" t="s">
        <v>22052</v>
      </c>
      <c r="AD7192" s="464">
        <v>1297.3013000000001</v>
      </c>
      <c r="AE7192" s="465">
        <v>62.404870000000003</v>
      </c>
      <c r="AF7192" s="86">
        <f>IF(verze!$E$1="CZK",AD7192,IF(verze!$E$1="SK",AE7192,""))</f>
        <v>62.404870000000003</v>
      </c>
    </row>
    <row r="7193" spans="27:32" ht="15">
      <c r="AA7193" s="463" t="s">
        <v>1320</v>
      </c>
      <c r="AB7193" s="462" t="s">
        <v>22053</v>
      </c>
      <c r="AC7193" s="462" t="s">
        <v>22054</v>
      </c>
      <c r="AD7193" s="464">
        <v>1118.5320200000001</v>
      </c>
      <c r="AE7193" s="465">
        <v>53.805430000000001</v>
      </c>
      <c r="AF7193" s="86">
        <f>IF(verze!$E$1="CZK",AD7193,IF(verze!$E$1="SK",AE7193,""))</f>
        <v>53.805430000000001</v>
      </c>
    </row>
    <row r="7194" spans="27:32" ht="15">
      <c r="AA7194" s="463" t="s">
        <v>1320</v>
      </c>
      <c r="AB7194" s="462" t="s">
        <v>22055</v>
      </c>
      <c r="AC7194" s="462" t="s">
        <v>22056</v>
      </c>
      <c r="AD7194" s="464">
        <v>1318.9272000000001</v>
      </c>
      <c r="AE7194" s="465">
        <v>63.445149999999998</v>
      </c>
      <c r="AF7194" s="86">
        <f>IF(verze!$E$1="CZK",AD7194,IF(verze!$E$1="SK",AE7194,""))</f>
        <v>63.445149999999998</v>
      </c>
    </row>
    <row r="7195" spans="27:32" ht="15">
      <c r="AA7195" s="463" t="s">
        <v>1320</v>
      </c>
      <c r="AB7195" s="462" t="s">
        <v>22057</v>
      </c>
      <c r="AC7195" s="462" t="s">
        <v>22058</v>
      </c>
      <c r="AD7195" s="464">
        <v>1140.1579200000001</v>
      </c>
      <c r="AE7195" s="465">
        <v>54.845730000000003</v>
      </c>
      <c r="AF7195" s="86">
        <f>IF(verze!$E$1="CZK",AD7195,IF(verze!$E$1="SK",AE7195,""))</f>
        <v>54.845730000000003</v>
      </c>
    </row>
    <row r="7196" spans="27:32" ht="15">
      <c r="AA7196" s="463" t="s">
        <v>1320</v>
      </c>
      <c r="AB7196" s="462" t="s">
        <v>22059</v>
      </c>
      <c r="AC7196" s="462" t="s">
        <v>22060</v>
      </c>
      <c r="AD7196" s="464">
        <v>1340.5531000000001</v>
      </c>
      <c r="AE7196" s="465">
        <v>64.48545</v>
      </c>
      <c r="AF7196" s="86">
        <f>IF(verze!$E$1="CZK",AD7196,IF(verze!$E$1="SK",AE7196,""))</f>
        <v>64.48545</v>
      </c>
    </row>
    <row r="7197" spans="27:32" ht="15">
      <c r="AA7197" s="463" t="s">
        <v>1320</v>
      </c>
      <c r="AB7197" s="462" t="s">
        <v>22061</v>
      </c>
      <c r="AC7197" s="462" t="s">
        <v>22062</v>
      </c>
      <c r="AD7197" s="464">
        <v>1049.6424500000001</v>
      </c>
      <c r="AE7197" s="465">
        <v>50.049889999999998</v>
      </c>
      <c r="AF7197" s="86">
        <f>IF(verze!$E$1="CZK",AD7197,IF(verze!$E$1="SK",AE7197,""))</f>
        <v>50.049889999999998</v>
      </c>
    </row>
    <row r="7198" spans="27:32" ht="15">
      <c r="AA7198" s="463" t="s">
        <v>1320</v>
      </c>
      <c r="AB7198" s="462" t="s">
        <v>22063</v>
      </c>
      <c r="AC7198" s="462" t="s">
        <v>22064</v>
      </c>
      <c r="AD7198" s="464">
        <v>1244.30558</v>
      </c>
      <c r="AE7198" s="465">
        <v>59.21161</v>
      </c>
      <c r="AF7198" s="86">
        <f>IF(verze!$E$1="CZK",AD7198,IF(verze!$E$1="SK",AE7198,""))</f>
        <v>59.21161</v>
      </c>
    </row>
    <row r="7199" spans="27:32" ht="15">
      <c r="AA7199" s="463" t="s">
        <v>1320</v>
      </c>
      <c r="AB7199" s="462" t="s">
        <v>22065</v>
      </c>
      <c r="AC7199" s="462" t="s">
        <v>22066</v>
      </c>
      <c r="AD7199" s="464">
        <v>0</v>
      </c>
      <c r="AE7199" s="465">
        <v>0</v>
      </c>
      <c r="AF7199" s="86">
        <f>IF(verze!$E$1="CZK",AD7199,IF(verze!$E$1="SK",AE7199,""))</f>
        <v>0</v>
      </c>
    </row>
    <row r="7200" spans="27:32" ht="15">
      <c r="AA7200" s="463" t="s">
        <v>1320</v>
      </c>
      <c r="AB7200" s="462" t="s">
        <v>22067</v>
      </c>
      <c r="AC7200" s="462" t="s">
        <v>22068</v>
      </c>
      <c r="AD7200" s="464">
        <v>1060.4593299999999</v>
      </c>
      <c r="AE7200" s="465">
        <v>50.570230000000002</v>
      </c>
      <c r="AF7200" s="86">
        <f>IF(verze!$E$1="CZK",AD7200,IF(verze!$E$1="SK",AE7200,""))</f>
        <v>50.570230000000002</v>
      </c>
    </row>
    <row r="7201" spans="27:32" ht="15">
      <c r="AA7201" s="463" t="s">
        <v>1320</v>
      </c>
      <c r="AB7201" s="462" t="s">
        <v>22069</v>
      </c>
      <c r="AC7201" s="462" t="s">
        <v>22070</v>
      </c>
      <c r="AD7201" s="464">
        <v>1255.12246</v>
      </c>
      <c r="AE7201" s="465">
        <v>59.731949999999998</v>
      </c>
      <c r="AF7201" s="86">
        <f>IF(verze!$E$1="CZK",AD7201,IF(verze!$E$1="SK",AE7201,""))</f>
        <v>59.731949999999998</v>
      </c>
    </row>
    <row r="7202" spans="27:32" ht="15">
      <c r="AA7202" s="463" t="s">
        <v>1320</v>
      </c>
      <c r="AB7202" s="462" t="s">
        <v>22071</v>
      </c>
      <c r="AC7202" s="462" t="s">
        <v>22072</v>
      </c>
      <c r="AD7202" s="464">
        <v>0</v>
      </c>
      <c r="AE7202" s="465">
        <v>0</v>
      </c>
      <c r="AF7202" s="86">
        <f>IF(verze!$E$1="CZK",AD7202,IF(verze!$E$1="SK",AE7202,""))</f>
        <v>0</v>
      </c>
    </row>
    <row r="7203" spans="27:32" ht="15">
      <c r="AA7203" s="463" t="s">
        <v>1320</v>
      </c>
      <c r="AB7203" s="462" t="s">
        <v>22073</v>
      </c>
      <c r="AC7203" s="462" t="s">
        <v>22074</v>
      </c>
      <c r="AD7203" s="464">
        <v>1103.7028700000001</v>
      </c>
      <c r="AE7203" s="465">
        <v>52.650410000000001</v>
      </c>
      <c r="AF7203" s="86">
        <f>IF(verze!$E$1="CZK",AD7203,IF(verze!$E$1="SK",AE7203,""))</f>
        <v>52.650410000000001</v>
      </c>
    </row>
    <row r="7204" spans="27:32" ht="15">
      <c r="AA7204" s="463" t="s">
        <v>1320</v>
      </c>
      <c r="AB7204" s="462" t="s">
        <v>22075</v>
      </c>
      <c r="AC7204" s="462" t="s">
        <v>22076</v>
      </c>
      <c r="AD7204" s="464">
        <v>1298.366</v>
      </c>
      <c r="AE7204" s="465">
        <v>61.812130000000003</v>
      </c>
      <c r="AF7204" s="86">
        <f>IF(verze!$E$1="CZK",AD7204,IF(verze!$E$1="SK",AE7204,""))</f>
        <v>61.812130000000003</v>
      </c>
    </row>
    <row r="7205" spans="27:32" ht="15">
      <c r="AA7205" s="463" t="s">
        <v>1320</v>
      </c>
      <c r="AB7205" s="462" t="s">
        <v>22077</v>
      </c>
      <c r="AC7205" s="462" t="s">
        <v>22078</v>
      </c>
      <c r="AD7205" s="464">
        <v>0</v>
      </c>
      <c r="AE7205" s="465">
        <v>0</v>
      </c>
      <c r="AF7205" s="86">
        <f>IF(verze!$E$1="CZK",AD7205,IF(verze!$E$1="SK",AE7205,""))</f>
        <v>0</v>
      </c>
    </row>
    <row r="7206" spans="27:32" ht="15">
      <c r="AA7206" s="463" t="s">
        <v>1320</v>
      </c>
      <c r="AB7206" s="462" t="s">
        <v>22079</v>
      </c>
      <c r="AC7206" s="462" t="s">
        <v>22080</v>
      </c>
      <c r="AD7206" s="464">
        <v>1125.3287700000001</v>
      </c>
      <c r="AE7206" s="465">
        <v>53.690689999999996</v>
      </c>
      <c r="AF7206" s="86">
        <f>IF(verze!$E$1="CZK",AD7206,IF(verze!$E$1="SK",AE7206,""))</f>
        <v>53.690689999999996</v>
      </c>
    </row>
    <row r="7207" spans="27:32" ht="15">
      <c r="AA7207" s="463" t="s">
        <v>1320</v>
      </c>
      <c r="AB7207" s="462" t="s">
        <v>22081</v>
      </c>
      <c r="AC7207" s="462" t="s">
        <v>22082</v>
      </c>
      <c r="AD7207" s="464">
        <v>1125.3287700000001</v>
      </c>
      <c r="AE7207" s="465">
        <v>53.690689999999996</v>
      </c>
      <c r="AF7207" s="86">
        <f>IF(verze!$E$1="CZK",AD7207,IF(verze!$E$1="SK",AE7207,""))</f>
        <v>53.690689999999996</v>
      </c>
    </row>
    <row r="7208" spans="27:32" ht="15">
      <c r="AA7208" s="463" t="s">
        <v>1320</v>
      </c>
      <c r="AB7208" s="462" t="s">
        <v>22083</v>
      </c>
      <c r="AC7208" s="462" t="s">
        <v>22084</v>
      </c>
      <c r="AD7208" s="464">
        <v>0</v>
      </c>
      <c r="AE7208" s="465">
        <v>0</v>
      </c>
      <c r="AF7208" s="86">
        <f>IF(verze!$E$1="CZK",AD7208,IF(verze!$E$1="SK",AE7208,""))</f>
        <v>0</v>
      </c>
    </row>
    <row r="7209" spans="27:32" ht="15">
      <c r="AA7209" s="463" t="s">
        <v>1320</v>
      </c>
      <c r="AB7209" s="462" t="s">
        <v>22085</v>
      </c>
      <c r="AC7209" s="462" t="s">
        <v>22086</v>
      </c>
      <c r="AD7209" s="464">
        <v>1146.9546700000001</v>
      </c>
      <c r="AE7209" s="465">
        <v>54.730989999999998</v>
      </c>
      <c r="AF7209" s="86">
        <f>IF(verze!$E$1="CZK",AD7209,IF(verze!$E$1="SK",AE7209,""))</f>
        <v>54.730989999999998</v>
      </c>
    </row>
    <row r="7210" spans="27:32" ht="15">
      <c r="AA7210" s="463" t="s">
        <v>1320</v>
      </c>
      <c r="AB7210" s="462" t="s">
        <v>22087</v>
      </c>
      <c r="AC7210" s="462" t="s">
        <v>22088</v>
      </c>
      <c r="AD7210" s="464">
        <v>1341.6178</v>
      </c>
      <c r="AE7210" s="465">
        <v>63.892710000000001</v>
      </c>
      <c r="AF7210" s="86">
        <f>IF(verze!$E$1="CZK",AD7210,IF(verze!$E$1="SK",AE7210,""))</f>
        <v>63.892710000000001</v>
      </c>
    </row>
    <row r="7211" spans="27:32" ht="15">
      <c r="AA7211" s="463" t="s">
        <v>1320</v>
      </c>
      <c r="AB7211" s="462" t="s">
        <v>22089</v>
      </c>
      <c r="AC7211" s="462" t="s">
        <v>22090</v>
      </c>
      <c r="AD7211" s="464">
        <v>0</v>
      </c>
      <c r="AE7211" s="465">
        <v>0</v>
      </c>
      <c r="AF7211" s="86">
        <f>IF(verze!$E$1="CZK",AD7211,IF(verze!$E$1="SK",AE7211,""))</f>
        <v>0</v>
      </c>
    </row>
    <row r="7212" spans="27:32" ht="15">
      <c r="AA7212" s="463" t="s">
        <v>1320</v>
      </c>
      <c r="AB7212" s="462" t="s">
        <v>22091</v>
      </c>
      <c r="AC7212" s="462" t="s">
        <v>22092</v>
      </c>
      <c r="AD7212" s="464">
        <v>0</v>
      </c>
      <c r="AE7212" s="465">
        <v>0</v>
      </c>
      <c r="AF7212" s="86">
        <f>IF(verze!$E$1="CZK",AD7212,IF(verze!$E$1="SK",AE7212,""))</f>
        <v>0</v>
      </c>
    </row>
    <row r="7213" spans="27:32" ht="15">
      <c r="AA7213" s="463" t="s">
        <v>1320</v>
      </c>
      <c r="AB7213" s="462" t="s">
        <v>22093</v>
      </c>
      <c r="AC7213" s="462" t="s">
        <v>22094</v>
      </c>
      <c r="AD7213" s="464">
        <v>0</v>
      </c>
      <c r="AE7213" s="465">
        <v>0</v>
      </c>
      <c r="AF7213" s="86">
        <f>IF(verze!$E$1="CZK",AD7213,IF(verze!$E$1="SK",AE7213,""))</f>
        <v>0</v>
      </c>
    </row>
    <row r="7214" spans="27:32" ht="15">
      <c r="AA7214" s="463" t="s">
        <v>1320</v>
      </c>
      <c r="AB7214" s="462" t="s">
        <v>22095</v>
      </c>
      <c r="AC7214" s="462" t="s">
        <v>22096</v>
      </c>
      <c r="AD7214" s="464">
        <v>0</v>
      </c>
      <c r="AE7214" s="465">
        <v>0</v>
      </c>
      <c r="AF7214" s="86">
        <f>IF(verze!$E$1="CZK",AD7214,IF(verze!$E$1="SK",AE7214,""))</f>
        <v>0</v>
      </c>
    </row>
    <row r="7215" spans="27:32" ht="15">
      <c r="AA7215" s="463" t="s">
        <v>1320</v>
      </c>
      <c r="AB7215" s="462" t="s">
        <v>22097</v>
      </c>
      <c r="AC7215" s="462" t="s">
        <v>22098</v>
      </c>
      <c r="AD7215" s="464">
        <v>0</v>
      </c>
      <c r="AE7215" s="465">
        <v>0</v>
      </c>
      <c r="AF7215" s="86">
        <f>IF(verze!$E$1="CZK",AD7215,IF(verze!$E$1="SK",AE7215,""))</f>
        <v>0</v>
      </c>
    </row>
    <row r="7216" spans="27:32" ht="15">
      <c r="AA7216" s="463" t="s">
        <v>1320</v>
      </c>
      <c r="AB7216" s="462" t="s">
        <v>22099</v>
      </c>
      <c r="AC7216" s="462" t="s">
        <v>22100</v>
      </c>
      <c r="AD7216" s="464">
        <v>0</v>
      </c>
      <c r="AE7216" s="465">
        <v>0</v>
      </c>
      <c r="AF7216" s="86">
        <f>IF(verze!$E$1="CZK",AD7216,IF(verze!$E$1="SK",AE7216,""))</f>
        <v>0</v>
      </c>
    </row>
    <row r="7217" spans="27:32" ht="15">
      <c r="AA7217" s="463" t="s">
        <v>1320</v>
      </c>
      <c r="AB7217" s="462" t="s">
        <v>22101</v>
      </c>
      <c r="AC7217" s="462" t="s">
        <v>22102</v>
      </c>
      <c r="AD7217" s="464">
        <v>0</v>
      </c>
      <c r="AE7217" s="465">
        <v>0</v>
      </c>
      <c r="AF7217" s="86">
        <f>IF(verze!$E$1="CZK",AD7217,IF(verze!$E$1="SK",AE7217,""))</f>
        <v>0</v>
      </c>
    </row>
    <row r="7218" spans="27:32" ht="15">
      <c r="AA7218" s="463" t="s">
        <v>1320</v>
      </c>
      <c r="AB7218" s="462" t="s">
        <v>22103</v>
      </c>
      <c r="AC7218" s="462" t="s">
        <v>22104</v>
      </c>
      <c r="AD7218" s="464">
        <v>1096.69246</v>
      </c>
      <c r="AE7218" s="465">
        <v>52.75488</v>
      </c>
      <c r="AF7218" s="86">
        <f>IF(verze!$E$1="CZK",AD7218,IF(verze!$E$1="SK",AE7218,""))</f>
        <v>52.75488</v>
      </c>
    </row>
    <row r="7219" spans="27:32" ht="15">
      <c r="AA7219" s="463" t="s">
        <v>1320</v>
      </c>
      <c r="AB7219" s="462" t="s">
        <v>22105</v>
      </c>
      <c r="AC7219" s="462" t="s">
        <v>22106</v>
      </c>
      <c r="AD7219" s="464">
        <v>1296.26109</v>
      </c>
      <c r="AE7219" s="465">
        <v>62.354840000000003</v>
      </c>
      <c r="AF7219" s="86">
        <f>IF(verze!$E$1="CZK",AD7219,IF(verze!$E$1="SK",AE7219,""))</f>
        <v>62.354840000000003</v>
      </c>
    </row>
    <row r="7220" spans="27:32" ht="15">
      <c r="AA7220" s="463" t="s">
        <v>1320</v>
      </c>
      <c r="AB7220" s="462" t="s">
        <v>22107</v>
      </c>
      <c r="AC7220" s="462" t="s">
        <v>22108</v>
      </c>
      <c r="AD7220" s="464">
        <v>0</v>
      </c>
      <c r="AE7220" s="465">
        <v>0</v>
      </c>
      <c r="AF7220" s="86">
        <f>IF(verze!$E$1="CZK",AD7220,IF(verze!$E$1="SK",AE7220,""))</f>
        <v>0</v>
      </c>
    </row>
    <row r="7221" spans="27:32" ht="15">
      <c r="AA7221" s="463" t="s">
        <v>1320</v>
      </c>
      <c r="AB7221" s="462" t="s">
        <v>22109</v>
      </c>
      <c r="AC7221" s="462" t="s">
        <v>22110</v>
      </c>
      <c r="AD7221" s="464">
        <v>1107.5093400000001</v>
      </c>
      <c r="AE7221" s="465">
        <v>53.275219999999997</v>
      </c>
      <c r="AF7221" s="86">
        <f>IF(verze!$E$1="CZK",AD7221,IF(verze!$E$1="SK",AE7221,""))</f>
        <v>53.275219999999997</v>
      </c>
    </row>
    <row r="7222" spans="27:32" ht="15">
      <c r="AA7222" s="463" t="s">
        <v>1320</v>
      </c>
      <c r="AB7222" s="462" t="s">
        <v>22111</v>
      </c>
      <c r="AC7222" s="462" t="s">
        <v>22112</v>
      </c>
      <c r="AD7222" s="464">
        <v>1307.0779700000001</v>
      </c>
      <c r="AE7222" s="465">
        <v>62.87518</v>
      </c>
      <c r="AF7222" s="86">
        <f>IF(verze!$E$1="CZK",AD7222,IF(verze!$E$1="SK",AE7222,""))</f>
        <v>62.87518</v>
      </c>
    </row>
    <row r="7223" spans="27:32" ht="15">
      <c r="AA7223" s="463" t="s">
        <v>1320</v>
      </c>
      <c r="AB7223" s="462" t="s">
        <v>22113</v>
      </c>
      <c r="AC7223" s="462" t="s">
        <v>22114</v>
      </c>
      <c r="AD7223" s="464">
        <v>0</v>
      </c>
      <c r="AE7223" s="465">
        <v>0</v>
      </c>
      <c r="AF7223" s="86">
        <f>IF(verze!$E$1="CZK",AD7223,IF(verze!$E$1="SK",AE7223,""))</f>
        <v>0</v>
      </c>
    </row>
    <row r="7224" spans="27:32" ht="15">
      <c r="AA7224" s="463" t="s">
        <v>1320</v>
      </c>
      <c r="AB7224" s="462" t="s">
        <v>22115</v>
      </c>
      <c r="AC7224" s="462" t="s">
        <v>22116</v>
      </c>
      <c r="AD7224" s="464">
        <v>1150.75288</v>
      </c>
      <c r="AE7224" s="465">
        <v>55.355400000000003</v>
      </c>
      <c r="AF7224" s="86">
        <f>IF(verze!$E$1="CZK",AD7224,IF(verze!$E$1="SK",AE7224,""))</f>
        <v>55.355400000000003</v>
      </c>
    </row>
    <row r="7225" spans="27:32" ht="15">
      <c r="AA7225" s="463" t="s">
        <v>1320</v>
      </c>
      <c r="AB7225" s="462" t="s">
        <v>22117</v>
      </c>
      <c r="AC7225" s="462" t="s">
        <v>22118</v>
      </c>
      <c r="AD7225" s="464">
        <v>1350.32151</v>
      </c>
      <c r="AE7225" s="465">
        <v>64.955359999999999</v>
      </c>
      <c r="AF7225" s="86">
        <f>IF(verze!$E$1="CZK",AD7225,IF(verze!$E$1="SK",AE7225,""))</f>
        <v>64.955359999999999</v>
      </c>
    </row>
    <row r="7226" spans="27:32" ht="15">
      <c r="AA7226" s="463" t="s">
        <v>1320</v>
      </c>
      <c r="AB7226" s="462" t="s">
        <v>22119</v>
      </c>
      <c r="AC7226" s="462" t="s">
        <v>22120</v>
      </c>
      <c r="AD7226" s="464">
        <v>0</v>
      </c>
      <c r="AE7226" s="465">
        <v>0</v>
      </c>
      <c r="AF7226" s="86">
        <f>IF(verze!$E$1="CZK",AD7226,IF(verze!$E$1="SK",AE7226,""))</f>
        <v>0</v>
      </c>
    </row>
    <row r="7227" spans="27:32" ht="15">
      <c r="AA7227" s="463" t="s">
        <v>1320</v>
      </c>
      <c r="AB7227" s="462" t="s">
        <v>22121</v>
      </c>
      <c r="AC7227" s="462" t="s">
        <v>22122</v>
      </c>
      <c r="AD7227" s="464">
        <v>1172.37878</v>
      </c>
      <c r="AE7227" s="465">
        <v>56.395679999999999</v>
      </c>
      <c r="AF7227" s="86">
        <f>IF(verze!$E$1="CZK",AD7227,IF(verze!$E$1="SK",AE7227,""))</f>
        <v>56.395679999999999</v>
      </c>
    </row>
    <row r="7228" spans="27:32" ht="15">
      <c r="AA7228" s="463" t="s">
        <v>1320</v>
      </c>
      <c r="AB7228" s="462" t="s">
        <v>22123</v>
      </c>
      <c r="AC7228" s="462" t="s">
        <v>22124</v>
      </c>
      <c r="AD7228" s="464">
        <v>1371.94741</v>
      </c>
      <c r="AE7228" s="465">
        <v>65.995639999999995</v>
      </c>
      <c r="AF7228" s="86">
        <f>IF(verze!$E$1="CZK",AD7228,IF(verze!$E$1="SK",AE7228,""))</f>
        <v>65.995639999999995</v>
      </c>
    </row>
    <row r="7229" spans="27:32" ht="15">
      <c r="AA7229" s="463" t="s">
        <v>1320</v>
      </c>
      <c r="AB7229" s="462" t="s">
        <v>22125</v>
      </c>
      <c r="AC7229" s="462" t="s">
        <v>22126</v>
      </c>
      <c r="AD7229" s="464">
        <v>0</v>
      </c>
      <c r="AE7229" s="465">
        <v>0</v>
      </c>
      <c r="AF7229" s="86">
        <f>IF(verze!$E$1="CZK",AD7229,IF(verze!$E$1="SK",AE7229,""))</f>
        <v>0</v>
      </c>
    </row>
    <row r="7230" spans="27:32" ht="15">
      <c r="AA7230" s="463" t="s">
        <v>1320</v>
      </c>
      <c r="AB7230" s="462" t="s">
        <v>22127</v>
      </c>
      <c r="AC7230" s="462" t="s">
        <v>22128</v>
      </c>
      <c r="AD7230" s="464">
        <v>1194.00468</v>
      </c>
      <c r="AE7230" s="465">
        <v>57.435980000000001</v>
      </c>
      <c r="AF7230" s="86">
        <f>IF(verze!$E$1="CZK",AD7230,IF(verze!$E$1="SK",AE7230,""))</f>
        <v>57.435980000000001</v>
      </c>
    </row>
    <row r="7231" spans="27:32" ht="15">
      <c r="AA7231" s="463" t="s">
        <v>1320</v>
      </c>
      <c r="AB7231" s="462" t="s">
        <v>22129</v>
      </c>
      <c r="AC7231" s="462" t="s">
        <v>22130</v>
      </c>
      <c r="AD7231" s="464">
        <v>1393.57331</v>
      </c>
      <c r="AE7231" s="465">
        <v>67.035939999999997</v>
      </c>
      <c r="AF7231" s="86">
        <f>IF(verze!$E$1="CZK",AD7231,IF(verze!$E$1="SK",AE7231,""))</f>
        <v>67.035939999999997</v>
      </c>
    </row>
    <row r="7232" spans="27:32" ht="15">
      <c r="AA7232" s="463" t="s">
        <v>1320</v>
      </c>
      <c r="AB7232" s="462" t="s">
        <v>22131</v>
      </c>
      <c r="AC7232" s="462" t="s">
        <v>22132</v>
      </c>
      <c r="AD7232" s="464">
        <v>0</v>
      </c>
      <c r="AE7232" s="465">
        <v>0</v>
      </c>
      <c r="AF7232" s="86">
        <f>IF(verze!$E$1="CZK",AD7232,IF(verze!$E$1="SK",AE7232,""))</f>
        <v>0</v>
      </c>
    </row>
    <row r="7233" spans="27:32" ht="15">
      <c r="AA7233" s="463" t="s">
        <v>1320</v>
      </c>
      <c r="AB7233" s="462" t="s">
        <v>22133</v>
      </c>
      <c r="AC7233" s="462" t="s">
        <v>22134</v>
      </c>
      <c r="AD7233" s="464">
        <v>0</v>
      </c>
      <c r="AE7233" s="465">
        <v>0</v>
      </c>
      <c r="AF7233" s="86">
        <f>IF(verze!$E$1="CZK",AD7233,IF(verze!$E$1="SK",AE7233,""))</f>
        <v>0</v>
      </c>
    </row>
    <row r="7234" spans="27:32" ht="15">
      <c r="AA7234" s="463" t="s">
        <v>1320</v>
      </c>
      <c r="AB7234" s="462" t="s">
        <v>22135</v>
      </c>
      <c r="AC7234" s="462" t="s">
        <v>22136</v>
      </c>
      <c r="AD7234" s="464">
        <v>0</v>
      </c>
      <c r="AE7234" s="465">
        <v>0</v>
      </c>
      <c r="AF7234" s="86">
        <f>IF(verze!$E$1="CZK",AD7234,IF(verze!$E$1="SK",AE7234,""))</f>
        <v>0</v>
      </c>
    </row>
    <row r="7235" spans="27:32" ht="15">
      <c r="AA7235" s="463" t="s">
        <v>1320</v>
      </c>
      <c r="AB7235" s="462" t="s">
        <v>22137</v>
      </c>
      <c r="AC7235" s="462" t="s">
        <v>22138</v>
      </c>
      <c r="AD7235" s="464">
        <v>0</v>
      </c>
      <c r="AE7235" s="465">
        <v>0</v>
      </c>
      <c r="AF7235" s="86">
        <f>IF(verze!$E$1="CZK",AD7235,IF(verze!$E$1="SK",AE7235,""))</f>
        <v>0</v>
      </c>
    </row>
    <row r="7236" spans="27:32" ht="15">
      <c r="AA7236" s="463" t="s">
        <v>1320</v>
      </c>
      <c r="AB7236" s="462" t="s">
        <v>22139</v>
      </c>
      <c r="AC7236" s="462" t="s">
        <v>22140</v>
      </c>
      <c r="AD7236" s="464">
        <v>0</v>
      </c>
      <c r="AE7236" s="465">
        <v>0</v>
      </c>
      <c r="AF7236" s="86">
        <f>IF(verze!$E$1="CZK",AD7236,IF(verze!$E$1="SK",AE7236,""))</f>
        <v>0</v>
      </c>
    </row>
    <row r="7237" spans="27:32" ht="15">
      <c r="AA7237" s="463" t="s">
        <v>1320</v>
      </c>
      <c r="AB7237" s="462" t="s">
        <v>22141</v>
      </c>
      <c r="AC7237" s="462" t="s">
        <v>22142</v>
      </c>
      <c r="AD7237" s="464">
        <v>0</v>
      </c>
      <c r="AE7237" s="465">
        <v>0</v>
      </c>
      <c r="AF7237" s="86">
        <f>IF(verze!$E$1="CZK",AD7237,IF(verze!$E$1="SK",AE7237,""))</f>
        <v>0</v>
      </c>
    </row>
    <row r="7238" spans="27:32" ht="15">
      <c r="AA7238" s="463" t="s">
        <v>1320</v>
      </c>
      <c r="AB7238" s="462" t="s">
        <v>22143</v>
      </c>
      <c r="AC7238" s="462" t="s">
        <v>22144</v>
      </c>
      <c r="AD7238" s="464">
        <v>0</v>
      </c>
      <c r="AE7238" s="465">
        <v>0</v>
      </c>
      <c r="AF7238" s="86">
        <f>IF(verze!$E$1="CZK",AD7238,IF(verze!$E$1="SK",AE7238,""))</f>
        <v>0</v>
      </c>
    </row>
    <row r="7239" spans="27:32" ht="15">
      <c r="AA7239" s="463" t="s">
        <v>1320</v>
      </c>
      <c r="AB7239" s="462" t="s">
        <v>22145</v>
      </c>
      <c r="AC7239" s="462" t="s">
        <v>22146</v>
      </c>
      <c r="AD7239" s="464">
        <v>1249.5385799999999</v>
      </c>
      <c r="AE7239" s="465">
        <v>60.107320000000001</v>
      </c>
      <c r="AF7239" s="86">
        <f>IF(verze!$E$1="CZK",AD7239,IF(verze!$E$1="SK",AE7239,""))</f>
        <v>60.107320000000001</v>
      </c>
    </row>
    <row r="7240" spans="27:32" ht="15">
      <c r="AA7240" s="463" t="s">
        <v>1320</v>
      </c>
      <c r="AB7240" s="462" t="s">
        <v>22147</v>
      </c>
      <c r="AC7240" s="462" t="s">
        <v>22148</v>
      </c>
      <c r="AD7240" s="464">
        <v>1366.3061299999999</v>
      </c>
      <c r="AE7240" s="465">
        <v>65.724249999999998</v>
      </c>
      <c r="AF7240" s="86">
        <f>IF(verze!$E$1="CZK",AD7240,IF(verze!$E$1="SK",AE7240,""))</f>
        <v>65.724249999999998</v>
      </c>
    </row>
    <row r="7241" spans="27:32" ht="15">
      <c r="AA7241" s="463" t="s">
        <v>1320</v>
      </c>
      <c r="AB7241" s="462" t="s">
        <v>22149</v>
      </c>
      <c r="AC7241" s="462" t="s">
        <v>22150</v>
      </c>
      <c r="AD7241" s="464">
        <v>0</v>
      </c>
      <c r="AE7241" s="465">
        <v>0</v>
      </c>
      <c r="AF7241" s="86">
        <f>IF(verze!$E$1="CZK",AD7241,IF(verze!$E$1="SK",AE7241,""))</f>
        <v>0</v>
      </c>
    </row>
    <row r="7242" spans="27:32" ht="15">
      <c r="AA7242" s="463" t="s">
        <v>1320</v>
      </c>
      <c r="AB7242" s="462" t="s">
        <v>22151</v>
      </c>
      <c r="AC7242" s="462" t="s">
        <v>22152</v>
      </c>
      <c r="AD7242" s="464">
        <v>1260.35546</v>
      </c>
      <c r="AE7242" s="465">
        <v>60.627659999999999</v>
      </c>
      <c r="AF7242" s="86">
        <f>IF(verze!$E$1="CZK",AD7242,IF(verze!$E$1="SK",AE7242,""))</f>
        <v>60.627659999999999</v>
      </c>
    </row>
    <row r="7243" spans="27:32" ht="15">
      <c r="AA7243" s="463" t="s">
        <v>1320</v>
      </c>
      <c r="AB7243" s="462" t="s">
        <v>22153</v>
      </c>
      <c r="AC7243" s="462" t="s">
        <v>22154</v>
      </c>
      <c r="AD7243" s="464">
        <v>1377.12301</v>
      </c>
      <c r="AE7243" s="465">
        <v>66.244590000000002</v>
      </c>
      <c r="AF7243" s="86">
        <f>IF(verze!$E$1="CZK",AD7243,IF(verze!$E$1="SK",AE7243,""))</f>
        <v>66.244590000000002</v>
      </c>
    </row>
    <row r="7244" spans="27:32" ht="15">
      <c r="AA7244" s="463" t="s">
        <v>1320</v>
      </c>
      <c r="AB7244" s="462" t="s">
        <v>22155</v>
      </c>
      <c r="AC7244" s="462" t="s">
        <v>22156</v>
      </c>
      <c r="AD7244" s="464">
        <v>0</v>
      </c>
      <c r="AE7244" s="465">
        <v>0</v>
      </c>
      <c r="AF7244" s="86">
        <f>IF(verze!$E$1="CZK",AD7244,IF(verze!$E$1="SK",AE7244,""))</f>
        <v>0</v>
      </c>
    </row>
    <row r="7245" spans="27:32" ht="15">
      <c r="AA7245" s="463" t="s">
        <v>1320</v>
      </c>
      <c r="AB7245" s="462" t="s">
        <v>22157</v>
      </c>
      <c r="AC7245" s="462" t="s">
        <v>22158</v>
      </c>
      <c r="AD7245" s="464">
        <v>1303.5989999999999</v>
      </c>
      <c r="AE7245" s="465">
        <v>62.707839999999997</v>
      </c>
      <c r="AF7245" s="86">
        <f>IF(verze!$E$1="CZK",AD7245,IF(verze!$E$1="SK",AE7245,""))</f>
        <v>62.707839999999997</v>
      </c>
    </row>
    <row r="7246" spans="27:32" ht="15">
      <c r="AA7246" s="463" t="s">
        <v>1320</v>
      </c>
      <c r="AB7246" s="462" t="s">
        <v>22159</v>
      </c>
      <c r="AC7246" s="462" t="s">
        <v>22160</v>
      </c>
      <c r="AD7246" s="464">
        <v>1420.36655</v>
      </c>
      <c r="AE7246" s="465">
        <v>68.324770000000001</v>
      </c>
      <c r="AF7246" s="86">
        <f>IF(verze!$E$1="CZK",AD7246,IF(verze!$E$1="SK",AE7246,""))</f>
        <v>68.324770000000001</v>
      </c>
    </row>
    <row r="7247" spans="27:32" ht="15">
      <c r="AA7247" s="463" t="s">
        <v>1320</v>
      </c>
      <c r="AB7247" s="462" t="s">
        <v>22161</v>
      </c>
      <c r="AC7247" s="462" t="s">
        <v>22162</v>
      </c>
      <c r="AD7247" s="464">
        <v>0</v>
      </c>
      <c r="AE7247" s="465">
        <v>0</v>
      </c>
      <c r="AF7247" s="86">
        <f>IF(verze!$E$1="CZK",AD7247,IF(verze!$E$1="SK",AE7247,""))</f>
        <v>0</v>
      </c>
    </row>
    <row r="7248" spans="27:32" ht="15">
      <c r="AA7248" s="463" t="s">
        <v>1320</v>
      </c>
      <c r="AB7248" s="462" t="s">
        <v>22163</v>
      </c>
      <c r="AC7248" s="462" t="s">
        <v>22164</v>
      </c>
      <c r="AD7248" s="464">
        <v>1325.2248999999999</v>
      </c>
      <c r="AE7248" s="465">
        <v>63.74812</v>
      </c>
      <c r="AF7248" s="86">
        <f>IF(verze!$E$1="CZK",AD7248,IF(verze!$E$1="SK",AE7248,""))</f>
        <v>63.74812</v>
      </c>
    </row>
    <row r="7249" spans="27:32" ht="15">
      <c r="AA7249" s="463" t="s">
        <v>1320</v>
      </c>
      <c r="AB7249" s="462" t="s">
        <v>22165</v>
      </c>
      <c r="AC7249" s="462" t="s">
        <v>22166</v>
      </c>
      <c r="AD7249" s="464">
        <v>1441.99245</v>
      </c>
      <c r="AE7249" s="465">
        <v>69.365049999999997</v>
      </c>
      <c r="AF7249" s="86">
        <f>IF(verze!$E$1="CZK",AD7249,IF(verze!$E$1="SK",AE7249,""))</f>
        <v>69.365049999999997</v>
      </c>
    </row>
    <row r="7250" spans="27:32" ht="15">
      <c r="AA7250" s="463" t="s">
        <v>1320</v>
      </c>
      <c r="AB7250" s="462" t="s">
        <v>22167</v>
      </c>
      <c r="AC7250" s="462" t="s">
        <v>22168</v>
      </c>
      <c r="AD7250" s="464">
        <v>0</v>
      </c>
      <c r="AE7250" s="465">
        <v>0</v>
      </c>
      <c r="AF7250" s="86">
        <f>IF(verze!$E$1="CZK",AD7250,IF(verze!$E$1="SK",AE7250,""))</f>
        <v>0</v>
      </c>
    </row>
    <row r="7251" spans="27:32" ht="15">
      <c r="AA7251" s="463" t="s">
        <v>1320</v>
      </c>
      <c r="AB7251" s="462" t="s">
        <v>22169</v>
      </c>
      <c r="AC7251" s="462" t="s">
        <v>22170</v>
      </c>
      <c r="AD7251" s="464">
        <v>1346.8507999999999</v>
      </c>
      <c r="AE7251" s="465">
        <v>64.788420000000002</v>
      </c>
      <c r="AF7251" s="86">
        <f>IF(verze!$E$1="CZK",AD7251,IF(verze!$E$1="SK",AE7251,""))</f>
        <v>64.788420000000002</v>
      </c>
    </row>
    <row r="7252" spans="27:32" ht="15">
      <c r="AA7252" s="463" t="s">
        <v>1320</v>
      </c>
      <c r="AB7252" s="462" t="s">
        <v>22171</v>
      </c>
      <c r="AC7252" s="462" t="s">
        <v>22172</v>
      </c>
      <c r="AD7252" s="464">
        <v>1463.61835</v>
      </c>
      <c r="AE7252" s="465">
        <v>70.405349999999999</v>
      </c>
      <c r="AF7252" s="86">
        <f>IF(verze!$E$1="CZK",AD7252,IF(verze!$E$1="SK",AE7252,""))</f>
        <v>70.405349999999999</v>
      </c>
    </row>
    <row r="7253" spans="27:32" ht="15">
      <c r="AA7253" s="463" t="s">
        <v>1320</v>
      </c>
      <c r="AB7253" s="462" t="s">
        <v>22173</v>
      </c>
      <c r="AC7253" s="462" t="s">
        <v>22174</v>
      </c>
      <c r="AD7253" s="464">
        <v>0</v>
      </c>
      <c r="AE7253" s="465">
        <v>0</v>
      </c>
      <c r="AF7253" s="86">
        <f>IF(verze!$E$1="CZK",AD7253,IF(verze!$E$1="SK",AE7253,""))</f>
        <v>0</v>
      </c>
    </row>
    <row r="7254" spans="27:32" ht="15">
      <c r="AA7254" s="463" t="s">
        <v>1320</v>
      </c>
      <c r="AB7254" s="462" t="s">
        <v>22175</v>
      </c>
      <c r="AC7254" s="462" t="s">
        <v>22176</v>
      </c>
      <c r="AD7254" s="464">
        <v>0</v>
      </c>
      <c r="AE7254" s="465">
        <v>0</v>
      </c>
      <c r="AF7254" s="86">
        <f>IF(verze!$E$1="CZK",AD7254,IF(verze!$E$1="SK",AE7254,""))</f>
        <v>0</v>
      </c>
    </row>
    <row r="7255" spans="27:32" ht="15">
      <c r="AA7255" s="463" t="s">
        <v>1320</v>
      </c>
      <c r="AB7255" s="462" t="s">
        <v>22177</v>
      </c>
      <c r="AC7255" s="462" t="s">
        <v>22178</v>
      </c>
      <c r="AD7255" s="464">
        <v>0</v>
      </c>
      <c r="AE7255" s="465">
        <v>0</v>
      </c>
      <c r="AF7255" s="86">
        <f>IF(verze!$E$1="CZK",AD7255,IF(verze!$E$1="SK",AE7255,""))</f>
        <v>0</v>
      </c>
    </row>
    <row r="7256" spans="27:32" ht="15">
      <c r="AA7256" s="463" t="s">
        <v>1320</v>
      </c>
      <c r="AB7256" s="462" t="s">
        <v>22179</v>
      </c>
      <c r="AC7256" s="462" t="s">
        <v>22180</v>
      </c>
      <c r="AD7256" s="464">
        <v>0</v>
      </c>
      <c r="AE7256" s="465">
        <v>0</v>
      </c>
      <c r="AF7256" s="86">
        <f>IF(verze!$E$1="CZK",AD7256,IF(verze!$E$1="SK",AE7256,""))</f>
        <v>0</v>
      </c>
    </row>
    <row r="7257" spans="27:32" ht="15">
      <c r="AA7257" s="463" t="s">
        <v>1320</v>
      </c>
      <c r="AB7257" s="462" t="s">
        <v>22181</v>
      </c>
      <c r="AC7257" s="462" t="s">
        <v>22182</v>
      </c>
      <c r="AD7257" s="464">
        <v>0</v>
      </c>
      <c r="AE7257" s="465">
        <v>0</v>
      </c>
      <c r="AF7257" s="86">
        <f>IF(verze!$E$1="CZK",AD7257,IF(verze!$E$1="SK",AE7257,""))</f>
        <v>0</v>
      </c>
    </row>
    <row r="7258" spans="27:32" ht="15">
      <c r="AA7258" s="463" t="s">
        <v>1320</v>
      </c>
      <c r="AB7258" s="462" t="s">
        <v>22183</v>
      </c>
      <c r="AC7258" s="462" t="s">
        <v>22184</v>
      </c>
      <c r="AD7258" s="464">
        <v>0</v>
      </c>
      <c r="AE7258" s="465">
        <v>0</v>
      </c>
      <c r="AF7258" s="86">
        <f>IF(verze!$E$1="CZK",AD7258,IF(verze!$E$1="SK",AE7258,""))</f>
        <v>0</v>
      </c>
    </row>
    <row r="7259" spans="27:32" ht="15">
      <c r="AA7259" s="463" t="s">
        <v>1320</v>
      </c>
      <c r="AB7259" s="462" t="s">
        <v>22185</v>
      </c>
      <c r="AC7259" s="462" t="s">
        <v>22186</v>
      </c>
      <c r="AD7259" s="464">
        <v>0</v>
      </c>
      <c r="AE7259" s="465">
        <v>0</v>
      </c>
      <c r="AF7259" s="86">
        <f>IF(verze!$E$1="CZK",AD7259,IF(verze!$E$1="SK",AE7259,""))</f>
        <v>0</v>
      </c>
    </row>
    <row r="7260" spans="27:32" ht="15">
      <c r="AA7260" s="463" t="s">
        <v>1320</v>
      </c>
      <c r="AB7260" s="462" t="s">
        <v>22187</v>
      </c>
      <c r="AC7260" s="462" t="s">
        <v>22188</v>
      </c>
      <c r="AD7260" s="464">
        <v>0</v>
      </c>
      <c r="AE7260" s="465">
        <v>0</v>
      </c>
      <c r="AF7260" s="86">
        <f>IF(verze!$E$1="CZK",AD7260,IF(verze!$E$1="SK",AE7260,""))</f>
        <v>0</v>
      </c>
    </row>
    <row r="7261" spans="27:32" ht="15">
      <c r="AA7261" s="463" t="s">
        <v>1320</v>
      </c>
      <c r="AB7261" s="462" t="s">
        <v>22189</v>
      </c>
      <c r="AC7261" s="462" t="s">
        <v>22190</v>
      </c>
      <c r="AD7261" s="464">
        <v>0</v>
      </c>
      <c r="AE7261" s="465">
        <v>0</v>
      </c>
      <c r="AF7261" s="86">
        <f>IF(verze!$E$1="CZK",AD7261,IF(verze!$E$1="SK",AE7261,""))</f>
        <v>0</v>
      </c>
    </row>
    <row r="7262" spans="27:32" ht="15">
      <c r="AA7262" s="463" t="s">
        <v>1320</v>
      </c>
      <c r="AB7262" s="462" t="s">
        <v>22191</v>
      </c>
      <c r="AC7262" s="462" t="s">
        <v>22192</v>
      </c>
      <c r="AD7262" s="464">
        <v>0</v>
      </c>
      <c r="AE7262" s="465">
        <v>0</v>
      </c>
      <c r="AF7262" s="86">
        <f>IF(verze!$E$1="CZK",AD7262,IF(verze!$E$1="SK",AE7262,""))</f>
        <v>0</v>
      </c>
    </row>
    <row r="7263" spans="27:32" ht="15">
      <c r="AA7263" s="463" t="s">
        <v>1320</v>
      </c>
      <c r="AB7263" s="462" t="s">
        <v>22193</v>
      </c>
      <c r="AC7263" s="462" t="s">
        <v>22194</v>
      </c>
      <c r="AD7263" s="464">
        <v>0</v>
      </c>
      <c r="AE7263" s="465">
        <v>0</v>
      </c>
      <c r="AF7263" s="86">
        <f>IF(verze!$E$1="CZK",AD7263,IF(verze!$E$1="SK",AE7263,""))</f>
        <v>0</v>
      </c>
    </row>
    <row r="7264" spans="27:32" ht="15">
      <c r="AA7264" s="463" t="s">
        <v>1320</v>
      </c>
      <c r="AB7264" s="462" t="s">
        <v>22195</v>
      </c>
      <c r="AC7264" s="462" t="s">
        <v>22196</v>
      </c>
      <c r="AD7264" s="464">
        <v>0</v>
      </c>
      <c r="AE7264" s="465">
        <v>0</v>
      </c>
      <c r="AF7264" s="86">
        <f>IF(verze!$E$1="CZK",AD7264,IF(verze!$E$1="SK",AE7264,""))</f>
        <v>0</v>
      </c>
    </row>
    <row r="7265" spans="27:32" ht="15">
      <c r="AA7265" s="463" t="s">
        <v>1320</v>
      </c>
      <c r="AB7265" s="462" t="s">
        <v>22197</v>
      </c>
      <c r="AC7265" s="462" t="s">
        <v>22198</v>
      </c>
      <c r="AD7265" s="464">
        <v>936.95401000000004</v>
      </c>
      <c r="AE7265" s="465">
        <v>45.038069999999998</v>
      </c>
      <c r="AF7265" s="86">
        <f>IF(verze!$E$1="CZK",AD7265,IF(verze!$E$1="SK",AE7265,""))</f>
        <v>45.038069999999998</v>
      </c>
    </row>
    <row r="7266" spans="27:32" ht="15">
      <c r="AA7266" s="463" t="s">
        <v>1320</v>
      </c>
      <c r="AB7266" s="462" t="s">
        <v>22199</v>
      </c>
      <c r="AC7266" s="462" t="s">
        <v>22200</v>
      </c>
      <c r="AD7266" s="464">
        <v>936.95401000000004</v>
      </c>
      <c r="AE7266" s="465">
        <v>45.038069999999998</v>
      </c>
      <c r="AF7266" s="86">
        <f>IF(verze!$E$1="CZK",AD7266,IF(verze!$E$1="SK",AE7266,""))</f>
        <v>45.038069999999998</v>
      </c>
    </row>
    <row r="7267" spans="27:32" ht="15">
      <c r="AA7267" s="463" t="s">
        <v>1320</v>
      </c>
      <c r="AB7267" s="462" t="s">
        <v>22201</v>
      </c>
      <c r="AC7267" s="462" t="s">
        <v>22202</v>
      </c>
      <c r="AD7267" s="464">
        <v>958.00474999999994</v>
      </c>
      <c r="AE7267" s="465">
        <v>46.028790000000001</v>
      </c>
      <c r="AF7267" s="86">
        <f>IF(verze!$E$1="CZK",AD7267,IF(verze!$E$1="SK",AE7267,""))</f>
        <v>46.028790000000001</v>
      </c>
    </row>
    <row r="7268" spans="27:32" ht="15">
      <c r="AA7268" s="463" t="s">
        <v>1320</v>
      </c>
      <c r="AB7268" s="462" t="s">
        <v>22203</v>
      </c>
      <c r="AC7268" s="462" t="s">
        <v>22204</v>
      </c>
      <c r="AD7268" s="464">
        <v>1024.31197</v>
      </c>
      <c r="AE7268" s="465">
        <v>49.273090000000003</v>
      </c>
      <c r="AF7268" s="86">
        <f>IF(verze!$E$1="CZK",AD7268,IF(verze!$E$1="SK",AE7268,""))</f>
        <v>49.273090000000003</v>
      </c>
    </row>
    <row r="7269" spans="27:32" ht="15">
      <c r="AA7269" s="463" t="s">
        <v>1320</v>
      </c>
      <c r="AB7269" s="462" t="s">
        <v>22205</v>
      </c>
      <c r="AC7269" s="462" t="s">
        <v>22206</v>
      </c>
      <c r="AD7269" s="464">
        <v>1045.93787</v>
      </c>
      <c r="AE7269" s="465">
        <v>50.313389999999998</v>
      </c>
      <c r="AF7269" s="86">
        <f>IF(verze!$E$1="CZK",AD7269,IF(verze!$E$1="SK",AE7269,""))</f>
        <v>50.313389999999998</v>
      </c>
    </row>
    <row r="7270" spans="27:32" ht="15">
      <c r="AA7270" s="463" t="s">
        <v>1320</v>
      </c>
      <c r="AB7270" s="462" t="s">
        <v>22207</v>
      </c>
      <c r="AC7270" s="462" t="s">
        <v>22208</v>
      </c>
      <c r="AD7270" s="464">
        <v>1090.47586</v>
      </c>
      <c r="AE7270" s="465">
        <v>52.455820000000003</v>
      </c>
      <c r="AF7270" s="86">
        <f>IF(verze!$E$1="CZK",AD7270,IF(verze!$E$1="SK",AE7270,""))</f>
        <v>52.455820000000003</v>
      </c>
    </row>
    <row r="7271" spans="27:32" ht="15">
      <c r="AA7271" s="463" t="s">
        <v>1320</v>
      </c>
      <c r="AB7271" s="462" t="s">
        <v>22209</v>
      </c>
      <c r="AC7271" s="462" t="s">
        <v>22210</v>
      </c>
      <c r="AD7271" s="464">
        <v>1006.02639</v>
      </c>
      <c r="AE7271" s="465">
        <v>48.393540000000002</v>
      </c>
      <c r="AF7271" s="86">
        <f>IF(verze!$E$1="CZK",AD7271,IF(verze!$E$1="SK",AE7271,""))</f>
        <v>48.393540000000002</v>
      </c>
    </row>
    <row r="7272" spans="27:32" ht="15">
      <c r="AA7272" s="463" t="s">
        <v>1320</v>
      </c>
      <c r="AB7272" s="462" t="s">
        <v>22211</v>
      </c>
      <c r="AC7272" s="462" t="s">
        <v>22212</v>
      </c>
      <c r="AD7272" s="464">
        <v>1015.40549</v>
      </c>
      <c r="AE7272" s="465">
        <v>48.790039999999998</v>
      </c>
      <c r="AF7272" s="86">
        <f>IF(verze!$E$1="CZK",AD7272,IF(verze!$E$1="SK",AE7272,""))</f>
        <v>48.790039999999998</v>
      </c>
    </row>
    <row r="7273" spans="27:32" ht="15">
      <c r="AA7273" s="463" t="s">
        <v>1320</v>
      </c>
      <c r="AB7273" s="462" t="s">
        <v>22213</v>
      </c>
      <c r="AC7273" s="462" t="s">
        <v>22214</v>
      </c>
      <c r="AD7273" s="464">
        <v>1057.49893</v>
      </c>
      <c r="AE7273" s="465">
        <v>50.771160000000002</v>
      </c>
      <c r="AF7273" s="86">
        <f>IF(verze!$E$1="CZK",AD7273,IF(verze!$E$1="SK",AE7273,""))</f>
        <v>50.771160000000002</v>
      </c>
    </row>
    <row r="7274" spans="27:32" ht="15">
      <c r="AA7274" s="463" t="s">
        <v>1320</v>
      </c>
      <c r="AB7274" s="462" t="s">
        <v>22215</v>
      </c>
      <c r="AC7274" s="462" t="s">
        <v>22216</v>
      </c>
      <c r="AD7274" s="464">
        <v>1081.71271</v>
      </c>
      <c r="AE7274" s="465">
        <v>52.03434</v>
      </c>
      <c r="AF7274" s="86">
        <f>IF(verze!$E$1="CZK",AD7274,IF(verze!$E$1="SK",AE7274,""))</f>
        <v>52.03434</v>
      </c>
    </row>
    <row r="7275" spans="27:32" ht="15">
      <c r="AA7275" s="463" t="s">
        <v>1320</v>
      </c>
      <c r="AB7275" s="462" t="s">
        <v>22217</v>
      </c>
      <c r="AC7275" s="462" t="s">
        <v>22218</v>
      </c>
      <c r="AD7275" s="464">
        <v>1103.33861</v>
      </c>
      <c r="AE7275" s="465">
        <v>53.074640000000002</v>
      </c>
      <c r="AF7275" s="86">
        <f>IF(verze!$E$1="CZK",AD7275,IF(verze!$E$1="SK",AE7275,""))</f>
        <v>53.074640000000002</v>
      </c>
    </row>
    <row r="7276" spans="27:32" ht="15">
      <c r="AA7276" s="463" t="s">
        <v>1320</v>
      </c>
      <c r="AB7276" s="462" t="s">
        <v>22219</v>
      </c>
      <c r="AC7276" s="462" t="s">
        <v>22220</v>
      </c>
      <c r="AD7276" s="464">
        <v>936.95401000000004</v>
      </c>
      <c r="AE7276" s="465">
        <v>45.038069999999998</v>
      </c>
      <c r="AF7276" s="86">
        <f>IF(verze!$E$1="CZK",AD7276,IF(verze!$E$1="SK",AE7276,""))</f>
        <v>45.038069999999998</v>
      </c>
    </row>
    <row r="7277" spans="27:32" ht="15">
      <c r="AA7277" s="463" t="s">
        <v>1320</v>
      </c>
      <c r="AB7277" s="462" t="s">
        <v>22221</v>
      </c>
      <c r="AC7277" s="462" t="s">
        <v>22222</v>
      </c>
      <c r="AD7277" s="464">
        <v>1006.02639</v>
      </c>
      <c r="AE7277" s="465">
        <v>48.393540000000002</v>
      </c>
      <c r="AF7277" s="86">
        <f>IF(verze!$E$1="CZK",AD7277,IF(verze!$E$1="SK",AE7277,""))</f>
        <v>48.393540000000002</v>
      </c>
    </row>
    <row r="7278" spans="27:32" ht="15">
      <c r="AA7278" s="463" t="s">
        <v>1320</v>
      </c>
      <c r="AB7278" s="462" t="s">
        <v>22223</v>
      </c>
      <c r="AC7278" s="462" t="s">
        <v>22224</v>
      </c>
      <c r="AD7278" s="464">
        <v>639.02377000000001</v>
      </c>
      <c r="AE7278" s="465">
        <v>30.706579999999999</v>
      </c>
      <c r="AF7278" s="86">
        <f>IF(verze!$E$1="CZK",AD7278,IF(verze!$E$1="SK",AE7278,""))</f>
        <v>30.706579999999999</v>
      </c>
    </row>
    <row r="7279" spans="27:32" ht="15">
      <c r="AA7279" s="463" t="s">
        <v>1320</v>
      </c>
      <c r="AB7279" s="462" t="s">
        <v>22225</v>
      </c>
      <c r="AC7279" s="462" t="s">
        <v>22226</v>
      </c>
      <c r="AD7279" s="464">
        <v>1015.40549</v>
      </c>
      <c r="AE7279" s="465">
        <v>48.790039999999998</v>
      </c>
      <c r="AF7279" s="86">
        <f>IF(verze!$E$1="CZK",AD7279,IF(verze!$E$1="SK",AE7279,""))</f>
        <v>48.790039999999998</v>
      </c>
    </row>
    <row r="7280" spans="27:32" ht="15">
      <c r="AA7280" s="463" t="s">
        <v>1320</v>
      </c>
      <c r="AB7280" s="462" t="s">
        <v>22227</v>
      </c>
      <c r="AC7280" s="462" t="s">
        <v>22228</v>
      </c>
      <c r="AD7280" s="464">
        <v>1057.49893</v>
      </c>
      <c r="AE7280" s="465">
        <v>50.771160000000002</v>
      </c>
      <c r="AF7280" s="86">
        <f>IF(verze!$E$1="CZK",AD7280,IF(verze!$E$1="SK",AE7280,""))</f>
        <v>50.771160000000002</v>
      </c>
    </row>
    <row r="7281" spans="27:32" ht="15">
      <c r="AA7281" s="463" t="s">
        <v>1320</v>
      </c>
      <c r="AB7281" s="462" t="s">
        <v>22229</v>
      </c>
      <c r="AC7281" s="462" t="s">
        <v>22230</v>
      </c>
      <c r="AD7281" s="464">
        <v>1081.71271</v>
      </c>
      <c r="AE7281" s="465">
        <v>52.03434</v>
      </c>
      <c r="AF7281" s="86">
        <f>IF(verze!$E$1="CZK",AD7281,IF(verze!$E$1="SK",AE7281,""))</f>
        <v>52.03434</v>
      </c>
    </row>
    <row r="7282" spans="27:32" ht="15">
      <c r="AA7282" s="463" t="s">
        <v>1320</v>
      </c>
      <c r="AB7282" s="462" t="s">
        <v>22231</v>
      </c>
      <c r="AC7282" s="462" t="s">
        <v>22232</v>
      </c>
      <c r="AD7282" s="464">
        <v>1103.33861</v>
      </c>
      <c r="AE7282" s="465">
        <v>53.074640000000002</v>
      </c>
      <c r="AF7282" s="86">
        <f>IF(verze!$E$1="CZK",AD7282,IF(verze!$E$1="SK",AE7282,""))</f>
        <v>53.074640000000002</v>
      </c>
    </row>
    <row r="7283" spans="27:32" ht="15">
      <c r="AA7283" s="463" t="s">
        <v>1320</v>
      </c>
      <c r="AB7283" s="462" t="s">
        <v>22233</v>
      </c>
      <c r="AC7283" s="462" t="s">
        <v>22234</v>
      </c>
      <c r="AD7283" s="464">
        <v>1024.43965</v>
      </c>
      <c r="AE7283" s="465">
        <v>49.279260000000001</v>
      </c>
      <c r="AF7283" s="86">
        <f>IF(verze!$E$1="CZK",AD7283,IF(verze!$E$1="SK",AE7283,""))</f>
        <v>49.279260000000001</v>
      </c>
    </row>
    <row r="7284" spans="27:32" ht="15">
      <c r="AA7284" s="463" t="s">
        <v>1320</v>
      </c>
      <c r="AB7284" s="462" t="s">
        <v>22235</v>
      </c>
      <c r="AC7284" s="462" t="s">
        <v>22236</v>
      </c>
      <c r="AD7284" s="464">
        <v>0</v>
      </c>
      <c r="AE7284" s="465">
        <v>0</v>
      </c>
      <c r="AF7284" s="86">
        <f>IF(verze!$E$1="CZK",AD7284,IF(verze!$E$1="SK",AE7284,""))</f>
        <v>0</v>
      </c>
    </row>
    <row r="7285" spans="27:32" ht="15">
      <c r="AA7285" s="463" t="s">
        <v>1320</v>
      </c>
      <c r="AB7285" s="462" t="s">
        <v>22237</v>
      </c>
      <c r="AC7285" s="462" t="s">
        <v>22238</v>
      </c>
      <c r="AD7285" s="464">
        <v>1033.8187499999999</v>
      </c>
      <c r="AE7285" s="465">
        <v>49.675759999999997</v>
      </c>
      <c r="AF7285" s="86">
        <f>IF(verze!$E$1="CZK",AD7285,IF(verze!$E$1="SK",AE7285,""))</f>
        <v>49.675759999999997</v>
      </c>
    </row>
    <row r="7286" spans="27:32" ht="15">
      <c r="AA7286" s="463" t="s">
        <v>1320</v>
      </c>
      <c r="AB7286" s="462" t="s">
        <v>22239</v>
      </c>
      <c r="AC7286" s="462" t="s">
        <v>22240</v>
      </c>
      <c r="AD7286" s="464">
        <v>0</v>
      </c>
      <c r="AE7286" s="465">
        <v>0</v>
      </c>
      <c r="AF7286" s="86">
        <f>IF(verze!$E$1="CZK",AD7286,IF(verze!$E$1="SK",AE7286,""))</f>
        <v>0</v>
      </c>
    </row>
    <row r="7287" spans="27:32" ht="15">
      <c r="AA7287" s="463" t="s">
        <v>1320</v>
      </c>
      <c r="AB7287" s="462" t="s">
        <v>22241</v>
      </c>
      <c r="AC7287" s="462" t="s">
        <v>22242</v>
      </c>
      <c r="AD7287" s="464">
        <v>1075.91219</v>
      </c>
      <c r="AE7287" s="465">
        <v>51.656880000000001</v>
      </c>
      <c r="AF7287" s="86">
        <f>IF(verze!$E$1="CZK",AD7287,IF(verze!$E$1="SK",AE7287,""))</f>
        <v>51.656880000000001</v>
      </c>
    </row>
    <row r="7288" spans="27:32" ht="15">
      <c r="AA7288" s="463" t="s">
        <v>1320</v>
      </c>
      <c r="AB7288" s="462" t="s">
        <v>22243</v>
      </c>
      <c r="AC7288" s="462" t="s">
        <v>22244</v>
      </c>
      <c r="AD7288" s="464">
        <v>0</v>
      </c>
      <c r="AE7288" s="465">
        <v>0</v>
      </c>
      <c r="AF7288" s="86">
        <f>IF(verze!$E$1="CZK",AD7288,IF(verze!$E$1="SK",AE7288,""))</f>
        <v>0</v>
      </c>
    </row>
    <row r="7289" spans="27:32" ht="15">
      <c r="AA7289" s="463" t="s">
        <v>1320</v>
      </c>
      <c r="AB7289" s="462" t="s">
        <v>22245</v>
      </c>
      <c r="AC7289" s="462" t="s">
        <v>22246</v>
      </c>
      <c r="AD7289" s="464">
        <v>1100.1259700000001</v>
      </c>
      <c r="AE7289" s="465">
        <v>52.920059999999999</v>
      </c>
      <c r="AF7289" s="86">
        <f>IF(verze!$E$1="CZK",AD7289,IF(verze!$E$1="SK",AE7289,""))</f>
        <v>52.920059999999999</v>
      </c>
    </row>
    <row r="7290" spans="27:32" ht="15">
      <c r="AA7290" s="463" t="s">
        <v>1320</v>
      </c>
      <c r="AB7290" s="462" t="s">
        <v>22247</v>
      </c>
      <c r="AC7290" s="462" t="s">
        <v>22248</v>
      </c>
      <c r="AD7290" s="464">
        <v>0</v>
      </c>
      <c r="AE7290" s="465">
        <v>0</v>
      </c>
      <c r="AF7290" s="86">
        <f>IF(verze!$E$1="CZK",AD7290,IF(verze!$E$1="SK",AE7290,""))</f>
        <v>0</v>
      </c>
    </row>
    <row r="7291" spans="27:32" ht="15">
      <c r="AA7291" s="463" t="s">
        <v>1320</v>
      </c>
      <c r="AB7291" s="462" t="s">
        <v>22249</v>
      </c>
      <c r="AC7291" s="462" t="s">
        <v>22250</v>
      </c>
      <c r="AD7291" s="464">
        <v>1121.7518700000001</v>
      </c>
      <c r="AE7291" s="465">
        <v>53.960360000000001</v>
      </c>
      <c r="AF7291" s="86">
        <f>IF(verze!$E$1="CZK",AD7291,IF(verze!$E$1="SK",AE7291,""))</f>
        <v>53.960360000000001</v>
      </c>
    </row>
    <row r="7292" spans="27:32" ht="15">
      <c r="AA7292" s="463" t="s">
        <v>1320</v>
      </c>
      <c r="AB7292" s="462" t="s">
        <v>22251</v>
      </c>
      <c r="AC7292" s="462" t="s">
        <v>22252</v>
      </c>
      <c r="AD7292" s="464">
        <v>0</v>
      </c>
      <c r="AE7292" s="465">
        <v>0</v>
      </c>
      <c r="AF7292" s="86">
        <f>IF(verze!$E$1="CZK",AD7292,IF(verze!$E$1="SK",AE7292,""))</f>
        <v>0</v>
      </c>
    </row>
    <row r="7293" spans="27:32" ht="15">
      <c r="AA7293" s="463" t="s">
        <v>1320</v>
      </c>
      <c r="AB7293" s="462" t="s">
        <v>22253</v>
      </c>
      <c r="AC7293" s="462" t="s">
        <v>22254</v>
      </c>
      <c r="AD7293" s="464">
        <v>0</v>
      </c>
      <c r="AE7293" s="465">
        <v>0</v>
      </c>
      <c r="AF7293" s="86">
        <f>IF(verze!$E$1="CZK",AD7293,IF(verze!$E$1="SK",AE7293,""))</f>
        <v>0</v>
      </c>
    </row>
    <row r="7294" spans="27:32" ht="15">
      <c r="AA7294" s="463" t="s">
        <v>1320</v>
      </c>
      <c r="AB7294" s="462" t="s">
        <v>22255</v>
      </c>
      <c r="AC7294" s="462" t="s">
        <v>22256</v>
      </c>
      <c r="AD7294" s="464">
        <v>0</v>
      </c>
      <c r="AE7294" s="465">
        <v>0</v>
      </c>
      <c r="AF7294" s="86">
        <f>IF(verze!$E$1="CZK",AD7294,IF(verze!$E$1="SK",AE7294,""))</f>
        <v>0</v>
      </c>
    </row>
    <row r="7295" spans="27:32" ht="15">
      <c r="AA7295" s="463" t="s">
        <v>1320</v>
      </c>
      <c r="AB7295" s="462" t="s">
        <v>22257</v>
      </c>
      <c r="AC7295" s="462" t="s">
        <v>22258</v>
      </c>
      <c r="AD7295" s="464">
        <v>0</v>
      </c>
      <c r="AE7295" s="465">
        <v>0</v>
      </c>
      <c r="AF7295" s="86">
        <f>IF(verze!$E$1="CZK",AD7295,IF(verze!$E$1="SK",AE7295,""))</f>
        <v>0</v>
      </c>
    </row>
    <row r="7296" spans="27:32" ht="15">
      <c r="AA7296" s="463" t="s">
        <v>1320</v>
      </c>
      <c r="AB7296" s="462" t="s">
        <v>22259</v>
      </c>
      <c r="AC7296" s="462" t="s">
        <v>22260</v>
      </c>
      <c r="AD7296" s="464">
        <v>0</v>
      </c>
      <c r="AE7296" s="465">
        <v>0</v>
      </c>
      <c r="AF7296" s="86">
        <f>IF(verze!$E$1="CZK",AD7296,IF(verze!$E$1="SK",AE7296,""))</f>
        <v>0</v>
      </c>
    </row>
    <row r="7297" spans="27:32" ht="15">
      <c r="AA7297" s="463" t="s">
        <v>1320</v>
      </c>
      <c r="AB7297" s="462" t="s">
        <v>22261</v>
      </c>
      <c r="AC7297" s="462" t="s">
        <v>22262</v>
      </c>
      <c r="AD7297" s="464">
        <v>0</v>
      </c>
      <c r="AE7297" s="465">
        <v>0</v>
      </c>
      <c r="AF7297" s="86">
        <f>IF(verze!$E$1="CZK",AD7297,IF(verze!$E$1="SK",AE7297,""))</f>
        <v>0</v>
      </c>
    </row>
    <row r="7298" spans="27:32" ht="15">
      <c r="AA7298" s="463" t="s">
        <v>1320</v>
      </c>
      <c r="AB7298" s="462" t="s">
        <v>22263</v>
      </c>
      <c r="AC7298" s="462" t="s">
        <v>22264</v>
      </c>
      <c r="AD7298" s="464">
        <v>1042.8457000000001</v>
      </c>
      <c r="AE7298" s="465">
        <v>50.164630000000002</v>
      </c>
      <c r="AF7298" s="86">
        <f>IF(verze!$E$1="CZK",AD7298,IF(verze!$E$1="SK",AE7298,""))</f>
        <v>50.164630000000002</v>
      </c>
    </row>
    <row r="7299" spans="27:32" ht="15">
      <c r="AA7299" s="463" t="s">
        <v>1320</v>
      </c>
      <c r="AB7299" s="462" t="s">
        <v>22265</v>
      </c>
      <c r="AC7299" s="462" t="s">
        <v>22266</v>
      </c>
      <c r="AD7299" s="464">
        <v>1243.2408800000001</v>
      </c>
      <c r="AE7299" s="465">
        <v>59.804349999999999</v>
      </c>
      <c r="AF7299" s="86">
        <f>IF(verze!$E$1="CZK",AD7299,IF(verze!$E$1="SK",AE7299,""))</f>
        <v>59.804349999999999</v>
      </c>
    </row>
    <row r="7300" spans="27:32" ht="15">
      <c r="AA7300" s="463" t="s">
        <v>1320</v>
      </c>
      <c r="AB7300" s="462" t="s">
        <v>22267</v>
      </c>
      <c r="AC7300" s="462" t="s">
        <v>22268</v>
      </c>
      <c r="AD7300" s="464">
        <v>1052.2248</v>
      </c>
      <c r="AE7300" s="465">
        <v>50.561129999999999</v>
      </c>
      <c r="AF7300" s="86">
        <f>IF(verze!$E$1="CZK",AD7300,IF(verze!$E$1="SK",AE7300,""))</f>
        <v>50.561129999999999</v>
      </c>
    </row>
    <row r="7301" spans="27:32" ht="15">
      <c r="AA7301" s="463" t="s">
        <v>1320</v>
      </c>
      <c r="AB7301" s="462" t="s">
        <v>22269</v>
      </c>
      <c r="AC7301" s="462" t="s">
        <v>22270</v>
      </c>
      <c r="AD7301" s="464">
        <v>1252.6199799999999</v>
      </c>
      <c r="AE7301" s="465">
        <v>60.200850000000003</v>
      </c>
      <c r="AF7301" s="86">
        <f>IF(verze!$E$1="CZK",AD7301,IF(verze!$E$1="SK",AE7301,""))</f>
        <v>60.200850000000003</v>
      </c>
    </row>
    <row r="7302" spans="27:32" ht="15">
      <c r="AA7302" s="463" t="s">
        <v>1320</v>
      </c>
      <c r="AB7302" s="462" t="s">
        <v>22271</v>
      </c>
      <c r="AC7302" s="462" t="s">
        <v>22272</v>
      </c>
      <c r="AD7302" s="464">
        <v>1094.3182400000001</v>
      </c>
      <c r="AE7302" s="465">
        <v>52.542250000000003</v>
      </c>
      <c r="AF7302" s="86">
        <f>IF(verze!$E$1="CZK",AD7302,IF(verze!$E$1="SK",AE7302,""))</f>
        <v>52.542250000000003</v>
      </c>
    </row>
    <row r="7303" spans="27:32" ht="15">
      <c r="AA7303" s="463" t="s">
        <v>1320</v>
      </c>
      <c r="AB7303" s="462" t="s">
        <v>22273</v>
      </c>
      <c r="AC7303" s="462" t="s">
        <v>22274</v>
      </c>
      <c r="AD7303" s="464">
        <v>1294.71342</v>
      </c>
      <c r="AE7303" s="465">
        <v>62.18197</v>
      </c>
      <c r="AF7303" s="86">
        <f>IF(verze!$E$1="CZK",AD7303,IF(verze!$E$1="SK",AE7303,""))</f>
        <v>62.18197</v>
      </c>
    </row>
    <row r="7304" spans="27:32" ht="15">
      <c r="AA7304" s="463" t="s">
        <v>1320</v>
      </c>
      <c r="AB7304" s="462" t="s">
        <v>22275</v>
      </c>
      <c r="AC7304" s="462" t="s">
        <v>22276</v>
      </c>
      <c r="AD7304" s="464">
        <v>1118.5320200000001</v>
      </c>
      <c r="AE7304" s="465">
        <v>53.805430000000001</v>
      </c>
      <c r="AF7304" s="86">
        <f>IF(verze!$E$1="CZK",AD7304,IF(verze!$E$1="SK",AE7304,""))</f>
        <v>53.805430000000001</v>
      </c>
    </row>
    <row r="7305" spans="27:32" ht="15">
      <c r="AA7305" s="463" t="s">
        <v>1320</v>
      </c>
      <c r="AB7305" s="462" t="s">
        <v>22277</v>
      </c>
      <c r="AC7305" s="462" t="s">
        <v>22278</v>
      </c>
      <c r="AD7305" s="464">
        <v>1318.9272000000001</v>
      </c>
      <c r="AE7305" s="465">
        <v>63.445149999999998</v>
      </c>
      <c r="AF7305" s="86">
        <f>IF(verze!$E$1="CZK",AD7305,IF(verze!$E$1="SK",AE7305,""))</f>
        <v>63.445149999999998</v>
      </c>
    </row>
    <row r="7306" spans="27:32" ht="15">
      <c r="AA7306" s="463" t="s">
        <v>1320</v>
      </c>
      <c r="AB7306" s="462" t="s">
        <v>22279</v>
      </c>
      <c r="AC7306" s="462" t="s">
        <v>22280</v>
      </c>
      <c r="AD7306" s="464">
        <v>1140.1579200000001</v>
      </c>
      <c r="AE7306" s="465">
        <v>54.845730000000003</v>
      </c>
      <c r="AF7306" s="86">
        <f>IF(verze!$E$1="CZK",AD7306,IF(verze!$E$1="SK",AE7306,""))</f>
        <v>54.845730000000003</v>
      </c>
    </row>
    <row r="7307" spans="27:32" ht="15">
      <c r="AA7307" s="463" t="s">
        <v>1320</v>
      </c>
      <c r="AB7307" s="462" t="s">
        <v>22281</v>
      </c>
      <c r="AC7307" s="462" t="s">
        <v>22282</v>
      </c>
      <c r="AD7307" s="464">
        <v>1340.5531000000001</v>
      </c>
      <c r="AE7307" s="465">
        <v>64.48545</v>
      </c>
      <c r="AF7307" s="86">
        <f>IF(verze!$E$1="CZK",AD7307,IF(verze!$E$1="SK",AE7307,""))</f>
        <v>64.48545</v>
      </c>
    </row>
    <row r="7308" spans="27:32" ht="15">
      <c r="AA7308" s="463" t="s">
        <v>1320</v>
      </c>
      <c r="AB7308" s="462" t="s">
        <v>22283</v>
      </c>
      <c r="AC7308" s="462" t="s">
        <v>22284</v>
      </c>
      <c r="AD7308" s="464">
        <v>1089.71912</v>
      </c>
      <c r="AE7308" s="465">
        <v>52.386650000000003</v>
      </c>
      <c r="AF7308" s="86">
        <f>IF(verze!$E$1="CZK",AD7308,IF(verze!$E$1="SK",AE7308,""))</f>
        <v>52.386650000000003</v>
      </c>
    </row>
    <row r="7309" spans="27:32" ht="15">
      <c r="AA7309" s="463" t="s">
        <v>1320</v>
      </c>
      <c r="AB7309" s="462" t="s">
        <v>22285</v>
      </c>
      <c r="AC7309" s="462" t="s">
        <v>22286</v>
      </c>
      <c r="AD7309" s="464">
        <v>1110.7698600000001</v>
      </c>
      <c r="AE7309" s="465">
        <v>53.377369999999999</v>
      </c>
      <c r="AF7309" s="86">
        <f>IF(verze!$E$1="CZK",AD7309,IF(verze!$E$1="SK",AE7309,""))</f>
        <v>53.377369999999999</v>
      </c>
    </row>
    <row r="7310" spans="27:32" ht="15">
      <c r="AA7310" s="463" t="s">
        <v>1320</v>
      </c>
      <c r="AB7310" s="462" t="s">
        <v>22287</v>
      </c>
      <c r="AC7310" s="462" t="s">
        <v>22288</v>
      </c>
      <c r="AD7310" s="464">
        <v>1152.8633</v>
      </c>
      <c r="AE7310" s="465">
        <v>55.358490000000003</v>
      </c>
      <c r="AF7310" s="86">
        <f>IF(verze!$E$1="CZK",AD7310,IF(verze!$E$1="SK",AE7310,""))</f>
        <v>55.358490000000003</v>
      </c>
    </row>
    <row r="7311" spans="27:32" ht="15">
      <c r="AA7311" s="463" t="s">
        <v>1320</v>
      </c>
      <c r="AB7311" s="462" t="s">
        <v>22289</v>
      </c>
      <c r="AC7311" s="462" t="s">
        <v>22290</v>
      </c>
      <c r="AD7311" s="464">
        <v>1177.07708</v>
      </c>
      <c r="AE7311" s="465">
        <v>56.621670000000002</v>
      </c>
      <c r="AF7311" s="86">
        <f>IF(verze!$E$1="CZK",AD7311,IF(verze!$E$1="SK",AE7311,""))</f>
        <v>56.621670000000002</v>
      </c>
    </row>
    <row r="7312" spans="27:32" ht="15">
      <c r="AA7312" s="463" t="s">
        <v>1320</v>
      </c>
      <c r="AB7312" s="462" t="s">
        <v>22291</v>
      </c>
      <c r="AC7312" s="462" t="s">
        <v>22292</v>
      </c>
      <c r="AD7312" s="464">
        <v>1198.70298</v>
      </c>
      <c r="AE7312" s="465">
        <v>57.661969999999997</v>
      </c>
      <c r="AF7312" s="86">
        <f>IF(verze!$E$1="CZK",AD7312,IF(verze!$E$1="SK",AE7312,""))</f>
        <v>57.661969999999997</v>
      </c>
    </row>
    <row r="7313" spans="27:32" ht="15">
      <c r="AA7313" s="463" t="s">
        <v>1320</v>
      </c>
      <c r="AB7313" s="462" t="s">
        <v>22293</v>
      </c>
      <c r="AC7313" s="462" t="s">
        <v>22294</v>
      </c>
      <c r="AD7313" s="464">
        <v>1049.6424500000001</v>
      </c>
      <c r="AE7313" s="465">
        <v>50.049889999999998</v>
      </c>
      <c r="AF7313" s="86">
        <f>IF(verze!$E$1="CZK",AD7313,IF(verze!$E$1="SK",AE7313,""))</f>
        <v>50.049889999999998</v>
      </c>
    </row>
    <row r="7314" spans="27:32" ht="15">
      <c r="AA7314" s="463" t="s">
        <v>1320</v>
      </c>
      <c r="AB7314" s="462" t="s">
        <v>22295</v>
      </c>
      <c r="AC7314" s="462" t="s">
        <v>22296</v>
      </c>
      <c r="AD7314" s="464">
        <v>1244.30558</v>
      </c>
      <c r="AE7314" s="465">
        <v>59.21161</v>
      </c>
      <c r="AF7314" s="86">
        <f>IF(verze!$E$1="CZK",AD7314,IF(verze!$E$1="SK",AE7314,""))</f>
        <v>59.21161</v>
      </c>
    </row>
    <row r="7315" spans="27:32" ht="15">
      <c r="AA7315" s="463" t="s">
        <v>1320</v>
      </c>
      <c r="AB7315" s="462" t="s">
        <v>22297</v>
      </c>
      <c r="AC7315" s="462" t="s">
        <v>22298</v>
      </c>
      <c r="AD7315" s="464">
        <v>0</v>
      </c>
      <c r="AE7315" s="465">
        <v>0</v>
      </c>
      <c r="AF7315" s="86">
        <f>IF(verze!$E$1="CZK",AD7315,IF(verze!$E$1="SK",AE7315,""))</f>
        <v>0</v>
      </c>
    </row>
    <row r="7316" spans="27:32" ht="15">
      <c r="AA7316" s="463" t="s">
        <v>1320</v>
      </c>
      <c r="AB7316" s="462" t="s">
        <v>22299</v>
      </c>
      <c r="AC7316" s="462" t="s">
        <v>22300</v>
      </c>
      <c r="AD7316" s="464">
        <v>1059.0215499999999</v>
      </c>
      <c r="AE7316" s="465">
        <v>50.446390000000001</v>
      </c>
      <c r="AF7316" s="86">
        <f>IF(verze!$E$1="CZK",AD7316,IF(verze!$E$1="SK",AE7316,""))</f>
        <v>50.446390000000001</v>
      </c>
    </row>
    <row r="7317" spans="27:32" ht="15">
      <c r="AA7317" s="463" t="s">
        <v>1320</v>
      </c>
      <c r="AB7317" s="462" t="s">
        <v>22301</v>
      </c>
      <c r="AC7317" s="462" t="s">
        <v>22302</v>
      </c>
      <c r="AD7317" s="464">
        <v>1253.6846800000001</v>
      </c>
      <c r="AE7317" s="465">
        <v>59.608110000000003</v>
      </c>
      <c r="AF7317" s="86">
        <f>IF(verze!$E$1="CZK",AD7317,IF(verze!$E$1="SK",AE7317,""))</f>
        <v>59.608110000000003</v>
      </c>
    </row>
    <row r="7318" spans="27:32" ht="15">
      <c r="AA7318" s="463" t="s">
        <v>1320</v>
      </c>
      <c r="AB7318" s="462" t="s">
        <v>22303</v>
      </c>
      <c r="AC7318" s="462" t="s">
        <v>22304</v>
      </c>
      <c r="AD7318" s="464">
        <v>0</v>
      </c>
      <c r="AE7318" s="465">
        <v>0</v>
      </c>
      <c r="AF7318" s="86">
        <f>IF(verze!$E$1="CZK",AD7318,IF(verze!$E$1="SK",AE7318,""))</f>
        <v>0</v>
      </c>
    </row>
    <row r="7319" spans="27:32" ht="15">
      <c r="AA7319" s="463" t="s">
        <v>1320</v>
      </c>
      <c r="AB7319" s="462" t="s">
        <v>22305</v>
      </c>
      <c r="AC7319" s="462" t="s">
        <v>22306</v>
      </c>
      <c r="AD7319" s="464">
        <v>1101.11499</v>
      </c>
      <c r="AE7319" s="465">
        <v>52.427509999999998</v>
      </c>
      <c r="AF7319" s="86">
        <f>IF(verze!$E$1="CZK",AD7319,IF(verze!$E$1="SK",AE7319,""))</f>
        <v>52.427509999999998</v>
      </c>
    </row>
    <row r="7320" spans="27:32" ht="15">
      <c r="AA7320" s="463" t="s">
        <v>1320</v>
      </c>
      <c r="AB7320" s="462" t="s">
        <v>22307</v>
      </c>
      <c r="AC7320" s="462" t="s">
        <v>22308</v>
      </c>
      <c r="AD7320" s="464">
        <v>1295.7781199999999</v>
      </c>
      <c r="AE7320" s="465">
        <v>61.589230000000001</v>
      </c>
      <c r="AF7320" s="86">
        <f>IF(verze!$E$1="CZK",AD7320,IF(verze!$E$1="SK",AE7320,""))</f>
        <v>61.589230000000001</v>
      </c>
    </row>
    <row r="7321" spans="27:32" ht="15">
      <c r="AA7321" s="463" t="s">
        <v>1320</v>
      </c>
      <c r="AB7321" s="462" t="s">
        <v>22309</v>
      </c>
      <c r="AC7321" s="462" t="s">
        <v>22310</v>
      </c>
      <c r="AD7321" s="464">
        <v>0</v>
      </c>
      <c r="AE7321" s="465">
        <v>0</v>
      </c>
      <c r="AF7321" s="86">
        <f>IF(verze!$E$1="CZK",AD7321,IF(verze!$E$1="SK",AE7321,""))</f>
        <v>0</v>
      </c>
    </row>
    <row r="7322" spans="27:32" ht="15">
      <c r="AA7322" s="463" t="s">
        <v>1320</v>
      </c>
      <c r="AB7322" s="462" t="s">
        <v>22311</v>
      </c>
      <c r="AC7322" s="462" t="s">
        <v>22312</v>
      </c>
      <c r="AD7322" s="464">
        <v>1125.3287700000001</v>
      </c>
      <c r="AE7322" s="465">
        <v>53.690689999999996</v>
      </c>
      <c r="AF7322" s="86">
        <f>IF(verze!$E$1="CZK",AD7322,IF(verze!$E$1="SK",AE7322,""))</f>
        <v>53.690689999999996</v>
      </c>
    </row>
    <row r="7323" spans="27:32" ht="15">
      <c r="AA7323" s="463" t="s">
        <v>1320</v>
      </c>
      <c r="AB7323" s="462" t="s">
        <v>22313</v>
      </c>
      <c r="AC7323" s="462" t="s">
        <v>22314</v>
      </c>
      <c r="AD7323" s="464">
        <v>1319.9919</v>
      </c>
      <c r="AE7323" s="465">
        <v>62.852409999999999</v>
      </c>
      <c r="AF7323" s="86">
        <f>IF(verze!$E$1="CZK",AD7323,IF(verze!$E$1="SK",AE7323,""))</f>
        <v>62.852409999999999</v>
      </c>
    </row>
    <row r="7324" spans="27:32" ht="15">
      <c r="AA7324" s="463" t="s">
        <v>1320</v>
      </c>
      <c r="AB7324" s="462" t="s">
        <v>22315</v>
      </c>
      <c r="AC7324" s="462" t="s">
        <v>22316</v>
      </c>
      <c r="AD7324" s="464">
        <v>0</v>
      </c>
      <c r="AE7324" s="465">
        <v>0</v>
      </c>
      <c r="AF7324" s="86">
        <f>IF(verze!$E$1="CZK",AD7324,IF(verze!$E$1="SK",AE7324,""))</f>
        <v>0</v>
      </c>
    </row>
    <row r="7325" spans="27:32" ht="15">
      <c r="AA7325" s="463" t="s">
        <v>1320</v>
      </c>
      <c r="AB7325" s="462" t="s">
        <v>22317</v>
      </c>
      <c r="AC7325" s="462" t="s">
        <v>22318</v>
      </c>
      <c r="AD7325" s="464">
        <v>1146.9546700000001</v>
      </c>
      <c r="AE7325" s="465">
        <v>54.730989999999998</v>
      </c>
      <c r="AF7325" s="86">
        <f>IF(verze!$E$1="CZK",AD7325,IF(verze!$E$1="SK",AE7325,""))</f>
        <v>54.730989999999998</v>
      </c>
    </row>
    <row r="7326" spans="27:32" ht="15">
      <c r="AA7326" s="463" t="s">
        <v>1320</v>
      </c>
      <c r="AB7326" s="462" t="s">
        <v>22319</v>
      </c>
      <c r="AC7326" s="462" t="s">
        <v>22320</v>
      </c>
      <c r="AD7326" s="464">
        <v>1341.6178</v>
      </c>
      <c r="AE7326" s="465">
        <v>63.892710000000001</v>
      </c>
      <c r="AF7326" s="86">
        <f>IF(verze!$E$1="CZK",AD7326,IF(verze!$E$1="SK",AE7326,""))</f>
        <v>63.892710000000001</v>
      </c>
    </row>
    <row r="7327" spans="27:32" ht="15">
      <c r="AA7327" s="463" t="s">
        <v>1320</v>
      </c>
      <c r="AB7327" s="462" t="s">
        <v>22321</v>
      </c>
      <c r="AC7327" s="462" t="s">
        <v>22322</v>
      </c>
      <c r="AD7327" s="464">
        <v>0</v>
      </c>
      <c r="AE7327" s="465">
        <v>0</v>
      </c>
      <c r="AF7327" s="86">
        <f>IF(verze!$E$1="CZK",AD7327,IF(verze!$E$1="SK",AE7327,""))</f>
        <v>0</v>
      </c>
    </row>
    <row r="7328" spans="27:32" ht="15">
      <c r="AA7328" s="463" t="s">
        <v>1320</v>
      </c>
      <c r="AB7328" s="462" t="s">
        <v>22323</v>
      </c>
      <c r="AC7328" s="462" t="s">
        <v>22324</v>
      </c>
      <c r="AD7328" s="464">
        <v>0</v>
      </c>
      <c r="AE7328" s="465">
        <v>0</v>
      </c>
      <c r="AF7328" s="86">
        <f>IF(verze!$E$1="CZK",AD7328,IF(verze!$E$1="SK",AE7328,""))</f>
        <v>0</v>
      </c>
    </row>
    <row r="7329" spans="27:32" ht="15">
      <c r="AA7329" s="463" t="s">
        <v>1320</v>
      </c>
      <c r="AB7329" s="462" t="s">
        <v>22325</v>
      </c>
      <c r="AC7329" s="462" t="s">
        <v>22326</v>
      </c>
      <c r="AD7329" s="464">
        <v>1090.7837099999999</v>
      </c>
      <c r="AE7329" s="465">
        <v>51.793889999999998</v>
      </c>
      <c r="AF7329" s="86">
        <f>IF(verze!$E$1="CZK",AD7329,IF(verze!$E$1="SK",AE7329,""))</f>
        <v>51.793889999999998</v>
      </c>
    </row>
    <row r="7330" spans="27:32" ht="15">
      <c r="AA7330" s="463" t="s">
        <v>1320</v>
      </c>
      <c r="AB7330" s="462" t="s">
        <v>22327</v>
      </c>
      <c r="AC7330" s="462" t="s">
        <v>22328</v>
      </c>
      <c r="AD7330" s="464">
        <v>0</v>
      </c>
      <c r="AE7330" s="465">
        <v>0</v>
      </c>
      <c r="AF7330" s="86">
        <f>IF(verze!$E$1="CZK",AD7330,IF(verze!$E$1="SK",AE7330,""))</f>
        <v>0</v>
      </c>
    </row>
    <row r="7331" spans="27:32" ht="15">
      <c r="AA7331" s="463" t="s">
        <v>1320</v>
      </c>
      <c r="AB7331" s="462" t="s">
        <v>22329</v>
      </c>
      <c r="AC7331" s="462" t="s">
        <v>22330</v>
      </c>
      <c r="AD7331" s="464">
        <v>1111.8344500000001</v>
      </c>
      <c r="AE7331" s="465">
        <v>52.784610000000001</v>
      </c>
      <c r="AF7331" s="86">
        <f>IF(verze!$E$1="CZK",AD7331,IF(verze!$E$1="SK",AE7331,""))</f>
        <v>52.784610000000001</v>
      </c>
    </row>
    <row r="7332" spans="27:32" ht="15">
      <c r="AA7332" s="463" t="s">
        <v>1320</v>
      </c>
      <c r="AB7332" s="462" t="s">
        <v>22331</v>
      </c>
      <c r="AC7332" s="462" t="s">
        <v>22332</v>
      </c>
      <c r="AD7332" s="464">
        <v>0</v>
      </c>
      <c r="AE7332" s="465">
        <v>0</v>
      </c>
      <c r="AF7332" s="86">
        <f>IF(verze!$E$1="CZK",AD7332,IF(verze!$E$1="SK",AE7332,""))</f>
        <v>0</v>
      </c>
    </row>
    <row r="7333" spans="27:32" ht="15">
      <c r="AA7333" s="463" t="s">
        <v>1320</v>
      </c>
      <c r="AB7333" s="462" t="s">
        <v>22333</v>
      </c>
      <c r="AC7333" s="462" t="s">
        <v>22334</v>
      </c>
      <c r="AD7333" s="464">
        <v>1153.9278899999999</v>
      </c>
      <c r="AE7333" s="465">
        <v>54.765729999999998</v>
      </c>
      <c r="AF7333" s="86">
        <f>IF(verze!$E$1="CZK",AD7333,IF(verze!$E$1="SK",AE7333,""))</f>
        <v>54.765729999999998</v>
      </c>
    </row>
    <row r="7334" spans="27:32" ht="15">
      <c r="AA7334" s="463" t="s">
        <v>1320</v>
      </c>
      <c r="AB7334" s="462" t="s">
        <v>22335</v>
      </c>
      <c r="AC7334" s="462" t="s">
        <v>22336</v>
      </c>
      <c r="AD7334" s="464">
        <v>0</v>
      </c>
      <c r="AE7334" s="465">
        <v>0</v>
      </c>
      <c r="AF7334" s="86">
        <f>IF(verze!$E$1="CZK",AD7334,IF(verze!$E$1="SK",AE7334,""))</f>
        <v>0</v>
      </c>
    </row>
    <row r="7335" spans="27:32" ht="15">
      <c r="AA7335" s="463" t="s">
        <v>1320</v>
      </c>
      <c r="AB7335" s="462" t="s">
        <v>22337</v>
      </c>
      <c r="AC7335" s="462" t="s">
        <v>22338</v>
      </c>
      <c r="AD7335" s="464">
        <v>1178.14167</v>
      </c>
      <c r="AE7335" s="465">
        <v>56.028910000000003</v>
      </c>
      <c r="AF7335" s="86">
        <f>IF(verze!$E$1="CZK",AD7335,IF(verze!$E$1="SK",AE7335,""))</f>
        <v>56.028910000000003</v>
      </c>
    </row>
    <row r="7336" spans="27:32" ht="15">
      <c r="AA7336" s="463" t="s">
        <v>1320</v>
      </c>
      <c r="AB7336" s="462" t="s">
        <v>22339</v>
      </c>
      <c r="AC7336" s="462" t="s">
        <v>22340</v>
      </c>
      <c r="AD7336" s="464">
        <v>0</v>
      </c>
      <c r="AE7336" s="465">
        <v>0</v>
      </c>
      <c r="AF7336" s="86">
        <f>IF(verze!$E$1="CZK",AD7336,IF(verze!$E$1="SK",AE7336,""))</f>
        <v>0</v>
      </c>
    </row>
    <row r="7337" spans="27:32" ht="15">
      <c r="AA7337" s="463" t="s">
        <v>1320</v>
      </c>
      <c r="AB7337" s="462" t="s">
        <v>22341</v>
      </c>
      <c r="AC7337" s="462" t="s">
        <v>22342</v>
      </c>
      <c r="AD7337" s="464">
        <v>1199.76757</v>
      </c>
      <c r="AE7337" s="465">
        <v>57.069209999999998</v>
      </c>
      <c r="AF7337" s="86">
        <f>IF(verze!$E$1="CZK",AD7337,IF(verze!$E$1="SK",AE7337,""))</f>
        <v>57.069209999999998</v>
      </c>
    </row>
    <row r="7338" spans="27:32" ht="15">
      <c r="AA7338" s="463" t="s">
        <v>1320</v>
      </c>
      <c r="AB7338" s="462" t="s">
        <v>22343</v>
      </c>
      <c r="AC7338" s="462" t="s">
        <v>22344</v>
      </c>
      <c r="AD7338" s="464">
        <v>0</v>
      </c>
      <c r="AE7338" s="465">
        <v>0</v>
      </c>
      <c r="AF7338" s="86">
        <f>IF(verze!$E$1="CZK",AD7338,IF(verze!$E$1="SK",AE7338,""))</f>
        <v>0</v>
      </c>
    </row>
    <row r="7339" spans="27:32" ht="15">
      <c r="AA7339" s="463" t="s">
        <v>1320</v>
      </c>
      <c r="AB7339" s="462" t="s">
        <v>22345</v>
      </c>
      <c r="AC7339" s="462" t="s">
        <v>22346</v>
      </c>
      <c r="AD7339" s="464">
        <v>1096.69246</v>
      </c>
      <c r="AE7339" s="465">
        <v>52.75488</v>
      </c>
      <c r="AF7339" s="86">
        <f>IF(verze!$E$1="CZK",AD7339,IF(verze!$E$1="SK",AE7339,""))</f>
        <v>52.75488</v>
      </c>
    </row>
    <row r="7340" spans="27:32" ht="15">
      <c r="AA7340" s="463" t="s">
        <v>1320</v>
      </c>
      <c r="AB7340" s="462" t="s">
        <v>22347</v>
      </c>
      <c r="AC7340" s="462" t="s">
        <v>22348</v>
      </c>
      <c r="AD7340" s="464">
        <v>1296.26109</v>
      </c>
      <c r="AE7340" s="465">
        <v>62.354840000000003</v>
      </c>
      <c r="AF7340" s="86">
        <f>IF(verze!$E$1="CZK",AD7340,IF(verze!$E$1="SK",AE7340,""))</f>
        <v>62.354840000000003</v>
      </c>
    </row>
    <row r="7341" spans="27:32" ht="15">
      <c r="AA7341" s="463" t="s">
        <v>1320</v>
      </c>
      <c r="AB7341" s="462" t="s">
        <v>22349</v>
      </c>
      <c r="AC7341" s="462" t="s">
        <v>22350</v>
      </c>
      <c r="AD7341" s="464">
        <v>0</v>
      </c>
      <c r="AE7341" s="465">
        <v>0</v>
      </c>
      <c r="AF7341" s="86">
        <f>IF(verze!$E$1="CZK",AD7341,IF(verze!$E$1="SK",AE7341,""))</f>
        <v>0</v>
      </c>
    </row>
    <row r="7342" spans="27:32" ht="15">
      <c r="AA7342" s="463" t="s">
        <v>1320</v>
      </c>
      <c r="AB7342" s="462" t="s">
        <v>22351</v>
      </c>
      <c r="AC7342" s="462" t="s">
        <v>22352</v>
      </c>
      <c r="AD7342" s="464">
        <v>1106.0715600000001</v>
      </c>
      <c r="AE7342" s="465">
        <v>53.151380000000003</v>
      </c>
      <c r="AF7342" s="86">
        <f>IF(verze!$E$1="CZK",AD7342,IF(verze!$E$1="SK",AE7342,""))</f>
        <v>53.151380000000003</v>
      </c>
    </row>
    <row r="7343" spans="27:32" ht="15">
      <c r="AA7343" s="463" t="s">
        <v>1320</v>
      </c>
      <c r="AB7343" s="462" t="s">
        <v>22353</v>
      </c>
      <c r="AC7343" s="462" t="s">
        <v>22354</v>
      </c>
      <c r="AD7343" s="464">
        <v>1305.6401900000001</v>
      </c>
      <c r="AE7343" s="465">
        <v>62.751339999999999</v>
      </c>
      <c r="AF7343" s="86">
        <f>IF(verze!$E$1="CZK",AD7343,IF(verze!$E$1="SK",AE7343,""))</f>
        <v>62.751339999999999</v>
      </c>
    </row>
    <row r="7344" spans="27:32" ht="15">
      <c r="AA7344" s="463" t="s">
        <v>1320</v>
      </c>
      <c r="AB7344" s="462" t="s">
        <v>22355</v>
      </c>
      <c r="AC7344" s="462" t="s">
        <v>22356</v>
      </c>
      <c r="AD7344" s="464">
        <v>0</v>
      </c>
      <c r="AE7344" s="465">
        <v>0</v>
      </c>
      <c r="AF7344" s="86">
        <f>IF(verze!$E$1="CZK",AD7344,IF(verze!$E$1="SK",AE7344,""))</f>
        <v>0</v>
      </c>
    </row>
    <row r="7345" spans="27:32" ht="15">
      <c r="AA7345" s="463" t="s">
        <v>1320</v>
      </c>
      <c r="AB7345" s="462" t="s">
        <v>22357</v>
      </c>
      <c r="AC7345" s="462" t="s">
        <v>22358</v>
      </c>
      <c r="AD7345" s="464">
        <v>1148.165</v>
      </c>
      <c r="AE7345" s="465">
        <v>55.1325</v>
      </c>
      <c r="AF7345" s="86">
        <f>IF(verze!$E$1="CZK",AD7345,IF(verze!$E$1="SK",AE7345,""))</f>
        <v>55.1325</v>
      </c>
    </row>
    <row r="7346" spans="27:32" ht="15">
      <c r="AA7346" s="463" t="s">
        <v>1320</v>
      </c>
      <c r="AB7346" s="462" t="s">
        <v>22359</v>
      </c>
      <c r="AC7346" s="462" t="s">
        <v>22360</v>
      </c>
      <c r="AD7346" s="464">
        <v>1347.7336299999999</v>
      </c>
      <c r="AE7346" s="465">
        <v>64.732460000000003</v>
      </c>
      <c r="AF7346" s="86">
        <f>IF(verze!$E$1="CZK",AD7346,IF(verze!$E$1="SK",AE7346,""))</f>
        <v>64.732460000000003</v>
      </c>
    </row>
    <row r="7347" spans="27:32" ht="15">
      <c r="AA7347" s="463" t="s">
        <v>1320</v>
      </c>
      <c r="AB7347" s="462" t="s">
        <v>22361</v>
      </c>
      <c r="AC7347" s="462" t="s">
        <v>22362</v>
      </c>
      <c r="AD7347" s="464">
        <v>0</v>
      </c>
      <c r="AE7347" s="465">
        <v>0</v>
      </c>
      <c r="AF7347" s="86">
        <f>IF(verze!$E$1="CZK",AD7347,IF(verze!$E$1="SK",AE7347,""))</f>
        <v>0</v>
      </c>
    </row>
    <row r="7348" spans="27:32" ht="15">
      <c r="AA7348" s="463" t="s">
        <v>1320</v>
      </c>
      <c r="AB7348" s="462" t="s">
        <v>22363</v>
      </c>
      <c r="AC7348" s="462" t="s">
        <v>22364</v>
      </c>
      <c r="AD7348" s="464">
        <v>1172.37878</v>
      </c>
      <c r="AE7348" s="465">
        <v>56.395679999999999</v>
      </c>
      <c r="AF7348" s="86">
        <f>IF(verze!$E$1="CZK",AD7348,IF(verze!$E$1="SK",AE7348,""))</f>
        <v>56.395679999999999</v>
      </c>
    </row>
    <row r="7349" spans="27:32" ht="15">
      <c r="AA7349" s="463" t="s">
        <v>1320</v>
      </c>
      <c r="AB7349" s="462" t="s">
        <v>22365</v>
      </c>
      <c r="AC7349" s="462" t="s">
        <v>22366</v>
      </c>
      <c r="AD7349" s="464">
        <v>1371.94741</v>
      </c>
      <c r="AE7349" s="465">
        <v>65.995639999999995</v>
      </c>
      <c r="AF7349" s="86">
        <f>IF(verze!$E$1="CZK",AD7349,IF(verze!$E$1="SK",AE7349,""))</f>
        <v>65.995639999999995</v>
      </c>
    </row>
    <row r="7350" spans="27:32" ht="15">
      <c r="AA7350" s="463" t="s">
        <v>1320</v>
      </c>
      <c r="AB7350" s="462" t="s">
        <v>22367</v>
      </c>
      <c r="AC7350" s="462" t="s">
        <v>22368</v>
      </c>
      <c r="AD7350" s="464">
        <v>0</v>
      </c>
      <c r="AE7350" s="465">
        <v>0</v>
      </c>
      <c r="AF7350" s="86">
        <f>IF(verze!$E$1="CZK",AD7350,IF(verze!$E$1="SK",AE7350,""))</f>
        <v>0</v>
      </c>
    </row>
    <row r="7351" spans="27:32" ht="15">
      <c r="AA7351" s="463" t="s">
        <v>1320</v>
      </c>
      <c r="AB7351" s="462" t="s">
        <v>22369</v>
      </c>
      <c r="AC7351" s="462" t="s">
        <v>22370</v>
      </c>
      <c r="AD7351" s="464">
        <v>1194.00468</v>
      </c>
      <c r="AE7351" s="465">
        <v>57.435980000000001</v>
      </c>
      <c r="AF7351" s="86">
        <f>IF(verze!$E$1="CZK",AD7351,IF(verze!$E$1="SK",AE7351,""))</f>
        <v>57.435980000000001</v>
      </c>
    </row>
    <row r="7352" spans="27:32" ht="15">
      <c r="AA7352" s="463" t="s">
        <v>1320</v>
      </c>
      <c r="AB7352" s="462" t="s">
        <v>22371</v>
      </c>
      <c r="AC7352" s="462" t="s">
        <v>22372</v>
      </c>
      <c r="AD7352" s="464">
        <v>1393.57331</v>
      </c>
      <c r="AE7352" s="465">
        <v>67.035939999999997</v>
      </c>
      <c r="AF7352" s="86">
        <f>IF(verze!$E$1="CZK",AD7352,IF(verze!$E$1="SK",AE7352,""))</f>
        <v>67.035939999999997</v>
      </c>
    </row>
    <row r="7353" spans="27:32" ht="15">
      <c r="AA7353" s="463" t="s">
        <v>1320</v>
      </c>
      <c r="AB7353" s="462" t="s">
        <v>22373</v>
      </c>
      <c r="AC7353" s="462" t="s">
        <v>22374</v>
      </c>
      <c r="AD7353" s="464">
        <v>0</v>
      </c>
      <c r="AE7353" s="465">
        <v>0</v>
      </c>
      <c r="AF7353" s="86">
        <f>IF(verze!$E$1="CZK",AD7353,IF(verze!$E$1="SK",AE7353,""))</f>
        <v>0</v>
      </c>
    </row>
    <row r="7354" spans="27:32" ht="15">
      <c r="AA7354" s="463" t="s">
        <v>1320</v>
      </c>
      <c r="AB7354" s="462" t="s">
        <v>22375</v>
      </c>
      <c r="AC7354" s="462" t="s">
        <v>22376</v>
      </c>
      <c r="AD7354" s="464">
        <v>1142.7392400000001</v>
      </c>
      <c r="AE7354" s="465">
        <v>54.937109999999997</v>
      </c>
      <c r="AF7354" s="86">
        <f>IF(verze!$E$1="CZK",AD7354,IF(verze!$E$1="SK",AE7354,""))</f>
        <v>54.937109999999997</v>
      </c>
    </row>
    <row r="7355" spans="27:32" ht="15">
      <c r="AA7355" s="463" t="s">
        <v>1320</v>
      </c>
      <c r="AB7355" s="462" t="s">
        <v>22377</v>
      </c>
      <c r="AC7355" s="462" t="s">
        <v>22378</v>
      </c>
      <c r="AD7355" s="464">
        <v>0</v>
      </c>
      <c r="AE7355" s="465">
        <v>0</v>
      </c>
      <c r="AF7355" s="86">
        <f>IF(verze!$E$1="CZK",AD7355,IF(verze!$E$1="SK",AE7355,""))</f>
        <v>0</v>
      </c>
    </row>
    <row r="7356" spans="27:32" ht="15">
      <c r="AA7356" s="463" t="s">
        <v>1320</v>
      </c>
      <c r="AB7356" s="462" t="s">
        <v>22379</v>
      </c>
      <c r="AC7356" s="462" t="s">
        <v>22380</v>
      </c>
      <c r="AD7356" s="464">
        <v>1163.78998</v>
      </c>
      <c r="AE7356" s="465">
        <v>55.92783</v>
      </c>
      <c r="AF7356" s="86">
        <f>IF(verze!$E$1="CZK",AD7356,IF(verze!$E$1="SK",AE7356,""))</f>
        <v>55.92783</v>
      </c>
    </row>
    <row r="7357" spans="27:32" ht="15">
      <c r="AA7357" s="463" t="s">
        <v>1320</v>
      </c>
      <c r="AB7357" s="462" t="s">
        <v>22381</v>
      </c>
      <c r="AC7357" s="462" t="s">
        <v>22382</v>
      </c>
      <c r="AD7357" s="464">
        <v>0</v>
      </c>
      <c r="AE7357" s="465">
        <v>0</v>
      </c>
      <c r="AF7357" s="86">
        <f>IF(verze!$E$1="CZK",AD7357,IF(verze!$E$1="SK",AE7357,""))</f>
        <v>0</v>
      </c>
    </row>
    <row r="7358" spans="27:32" ht="15">
      <c r="AA7358" s="463" t="s">
        <v>1320</v>
      </c>
      <c r="AB7358" s="462" t="s">
        <v>22383</v>
      </c>
      <c r="AC7358" s="462" t="s">
        <v>22384</v>
      </c>
      <c r="AD7358" s="464">
        <v>1205.8834199999999</v>
      </c>
      <c r="AE7358" s="465">
        <v>57.908949999999997</v>
      </c>
      <c r="AF7358" s="86">
        <f>IF(verze!$E$1="CZK",AD7358,IF(verze!$E$1="SK",AE7358,""))</f>
        <v>57.908949999999997</v>
      </c>
    </row>
    <row r="7359" spans="27:32" ht="15">
      <c r="AA7359" s="463" t="s">
        <v>1320</v>
      </c>
      <c r="AB7359" s="462" t="s">
        <v>22385</v>
      </c>
      <c r="AC7359" s="462" t="s">
        <v>22386</v>
      </c>
      <c r="AD7359" s="464">
        <v>0</v>
      </c>
      <c r="AE7359" s="465">
        <v>0</v>
      </c>
      <c r="AF7359" s="86">
        <f>IF(verze!$E$1="CZK",AD7359,IF(verze!$E$1="SK",AE7359,""))</f>
        <v>0</v>
      </c>
    </row>
    <row r="7360" spans="27:32" ht="15">
      <c r="AA7360" s="463" t="s">
        <v>1320</v>
      </c>
      <c r="AB7360" s="462" t="s">
        <v>22387</v>
      </c>
      <c r="AC7360" s="462" t="s">
        <v>22388</v>
      </c>
      <c r="AD7360" s="464">
        <v>1230.0971999999999</v>
      </c>
      <c r="AE7360" s="465">
        <v>59.172130000000003</v>
      </c>
      <c r="AF7360" s="86">
        <f>IF(verze!$E$1="CZK",AD7360,IF(verze!$E$1="SK",AE7360,""))</f>
        <v>59.172130000000003</v>
      </c>
    </row>
    <row r="7361" spans="27:32" ht="15">
      <c r="AA7361" s="463" t="s">
        <v>1320</v>
      </c>
      <c r="AB7361" s="462" t="s">
        <v>22389</v>
      </c>
      <c r="AC7361" s="462" t="s">
        <v>22390</v>
      </c>
      <c r="AD7361" s="464">
        <v>0</v>
      </c>
      <c r="AE7361" s="465">
        <v>0</v>
      </c>
      <c r="AF7361" s="86">
        <f>IF(verze!$E$1="CZK",AD7361,IF(verze!$E$1="SK",AE7361,""))</f>
        <v>0</v>
      </c>
    </row>
    <row r="7362" spans="27:32" ht="15">
      <c r="AA7362" s="463" t="s">
        <v>1320</v>
      </c>
      <c r="AB7362" s="462" t="s">
        <v>22391</v>
      </c>
      <c r="AC7362" s="462" t="s">
        <v>22392</v>
      </c>
      <c r="AD7362" s="464">
        <v>1251.7230999999999</v>
      </c>
      <c r="AE7362" s="465">
        <v>60.212429999999998</v>
      </c>
      <c r="AF7362" s="86">
        <f>IF(verze!$E$1="CZK",AD7362,IF(verze!$E$1="SK",AE7362,""))</f>
        <v>60.212429999999998</v>
      </c>
    </row>
    <row r="7363" spans="27:32" ht="15">
      <c r="AA7363" s="463" t="s">
        <v>1320</v>
      </c>
      <c r="AB7363" s="462" t="s">
        <v>22393</v>
      </c>
      <c r="AC7363" s="462" t="s">
        <v>22394</v>
      </c>
      <c r="AD7363" s="464">
        <v>0</v>
      </c>
      <c r="AE7363" s="465">
        <v>0</v>
      </c>
      <c r="AF7363" s="86">
        <f>IF(verze!$E$1="CZK",AD7363,IF(verze!$E$1="SK",AE7363,""))</f>
        <v>0</v>
      </c>
    </row>
    <row r="7364" spans="27:32" ht="15">
      <c r="AA7364" s="463" t="s">
        <v>1320</v>
      </c>
      <c r="AB7364" s="462" t="s">
        <v>22395</v>
      </c>
      <c r="AC7364" s="462" t="s">
        <v>22396</v>
      </c>
      <c r="AD7364" s="464">
        <v>1249.5385799999999</v>
      </c>
      <c r="AE7364" s="465">
        <v>60.107320000000001</v>
      </c>
      <c r="AF7364" s="86">
        <f>IF(verze!$E$1="CZK",AD7364,IF(verze!$E$1="SK",AE7364,""))</f>
        <v>60.107320000000001</v>
      </c>
    </row>
    <row r="7365" spans="27:32" ht="15">
      <c r="AA7365" s="463" t="s">
        <v>1320</v>
      </c>
      <c r="AB7365" s="462" t="s">
        <v>22397</v>
      </c>
      <c r="AC7365" s="462" t="s">
        <v>22398</v>
      </c>
      <c r="AD7365" s="464">
        <v>1366.3061299999999</v>
      </c>
      <c r="AE7365" s="465">
        <v>65.724249999999998</v>
      </c>
      <c r="AF7365" s="86">
        <f>IF(verze!$E$1="CZK",AD7365,IF(verze!$E$1="SK",AE7365,""))</f>
        <v>65.724249999999998</v>
      </c>
    </row>
    <row r="7366" spans="27:32" ht="15">
      <c r="AA7366" s="463" t="s">
        <v>1320</v>
      </c>
      <c r="AB7366" s="462" t="s">
        <v>22399</v>
      </c>
      <c r="AC7366" s="462" t="s">
        <v>22400</v>
      </c>
      <c r="AD7366" s="464">
        <v>0</v>
      </c>
      <c r="AE7366" s="465">
        <v>0</v>
      </c>
      <c r="AF7366" s="86">
        <f>IF(verze!$E$1="CZK",AD7366,IF(verze!$E$1="SK",AE7366,""))</f>
        <v>0</v>
      </c>
    </row>
    <row r="7367" spans="27:32" ht="15">
      <c r="AA7367" s="463" t="s">
        <v>1320</v>
      </c>
      <c r="AB7367" s="462" t="s">
        <v>22401</v>
      </c>
      <c r="AC7367" s="462" t="s">
        <v>22402</v>
      </c>
      <c r="AD7367" s="464">
        <v>1258.91768</v>
      </c>
      <c r="AE7367" s="465">
        <v>60.503819999999997</v>
      </c>
      <c r="AF7367" s="86">
        <f>IF(verze!$E$1="CZK",AD7367,IF(verze!$E$1="SK",AE7367,""))</f>
        <v>60.503819999999997</v>
      </c>
    </row>
    <row r="7368" spans="27:32" ht="15">
      <c r="AA7368" s="463" t="s">
        <v>1320</v>
      </c>
      <c r="AB7368" s="462" t="s">
        <v>22403</v>
      </c>
      <c r="AC7368" s="462" t="s">
        <v>22404</v>
      </c>
      <c r="AD7368" s="464">
        <v>1375.68523</v>
      </c>
      <c r="AE7368" s="465">
        <v>66.120750000000001</v>
      </c>
      <c r="AF7368" s="86">
        <f>IF(verze!$E$1="CZK",AD7368,IF(verze!$E$1="SK",AE7368,""))</f>
        <v>66.120750000000001</v>
      </c>
    </row>
    <row r="7369" spans="27:32" ht="15">
      <c r="AA7369" s="463" t="s">
        <v>1320</v>
      </c>
      <c r="AB7369" s="462" t="s">
        <v>22405</v>
      </c>
      <c r="AC7369" s="462" t="s">
        <v>22406</v>
      </c>
      <c r="AD7369" s="464">
        <v>0</v>
      </c>
      <c r="AE7369" s="465">
        <v>0</v>
      </c>
      <c r="AF7369" s="86">
        <f>IF(verze!$E$1="CZK",AD7369,IF(verze!$E$1="SK",AE7369,""))</f>
        <v>0</v>
      </c>
    </row>
    <row r="7370" spans="27:32" ht="15">
      <c r="AA7370" s="463" t="s">
        <v>1320</v>
      </c>
      <c r="AB7370" s="462" t="s">
        <v>22407</v>
      </c>
      <c r="AC7370" s="462" t="s">
        <v>22408</v>
      </c>
      <c r="AD7370" s="464">
        <v>1301.0111199999999</v>
      </c>
      <c r="AE7370" s="465">
        <v>62.484940000000002</v>
      </c>
      <c r="AF7370" s="86">
        <f>IF(verze!$E$1="CZK",AD7370,IF(verze!$E$1="SK",AE7370,""))</f>
        <v>62.484940000000002</v>
      </c>
    </row>
    <row r="7371" spans="27:32" ht="15">
      <c r="AA7371" s="463" t="s">
        <v>1320</v>
      </c>
      <c r="AB7371" s="462" t="s">
        <v>22409</v>
      </c>
      <c r="AC7371" s="462" t="s">
        <v>22410</v>
      </c>
      <c r="AD7371" s="464">
        <v>1417.7786699999999</v>
      </c>
      <c r="AE7371" s="465">
        <v>68.101870000000005</v>
      </c>
      <c r="AF7371" s="86">
        <f>IF(verze!$E$1="CZK",AD7371,IF(verze!$E$1="SK",AE7371,""))</f>
        <v>68.101870000000005</v>
      </c>
    </row>
    <row r="7372" spans="27:32" ht="15">
      <c r="AA7372" s="463" t="s">
        <v>1320</v>
      </c>
      <c r="AB7372" s="462" t="s">
        <v>22411</v>
      </c>
      <c r="AC7372" s="462" t="s">
        <v>22412</v>
      </c>
      <c r="AD7372" s="464">
        <v>0</v>
      </c>
      <c r="AE7372" s="465">
        <v>0</v>
      </c>
      <c r="AF7372" s="86">
        <f>IF(verze!$E$1="CZK",AD7372,IF(verze!$E$1="SK",AE7372,""))</f>
        <v>0</v>
      </c>
    </row>
    <row r="7373" spans="27:32" ht="15">
      <c r="AA7373" s="463" t="s">
        <v>1320</v>
      </c>
      <c r="AB7373" s="462" t="s">
        <v>22413</v>
      </c>
      <c r="AC7373" s="462" t="s">
        <v>22414</v>
      </c>
      <c r="AD7373" s="464">
        <v>1325.2248999999999</v>
      </c>
      <c r="AE7373" s="465">
        <v>63.74812</v>
      </c>
      <c r="AF7373" s="86">
        <f>IF(verze!$E$1="CZK",AD7373,IF(verze!$E$1="SK",AE7373,""))</f>
        <v>63.74812</v>
      </c>
    </row>
    <row r="7374" spans="27:32" ht="15">
      <c r="AA7374" s="463" t="s">
        <v>1320</v>
      </c>
      <c r="AB7374" s="462" t="s">
        <v>22415</v>
      </c>
      <c r="AC7374" s="462" t="s">
        <v>22416</v>
      </c>
      <c r="AD7374" s="464">
        <v>1441.99245</v>
      </c>
      <c r="AE7374" s="465">
        <v>69.365049999999997</v>
      </c>
      <c r="AF7374" s="86">
        <f>IF(verze!$E$1="CZK",AD7374,IF(verze!$E$1="SK",AE7374,""))</f>
        <v>69.365049999999997</v>
      </c>
    </row>
    <row r="7375" spans="27:32" ht="15">
      <c r="AA7375" s="463" t="s">
        <v>1320</v>
      </c>
      <c r="AB7375" s="462" t="s">
        <v>22417</v>
      </c>
      <c r="AC7375" s="462" t="s">
        <v>22418</v>
      </c>
      <c r="AD7375" s="464">
        <v>0</v>
      </c>
      <c r="AE7375" s="465">
        <v>0</v>
      </c>
      <c r="AF7375" s="86">
        <f>IF(verze!$E$1="CZK",AD7375,IF(verze!$E$1="SK",AE7375,""))</f>
        <v>0</v>
      </c>
    </row>
    <row r="7376" spans="27:32" ht="15">
      <c r="AA7376" s="463" t="s">
        <v>1320</v>
      </c>
      <c r="AB7376" s="462" t="s">
        <v>22419</v>
      </c>
      <c r="AC7376" s="462" t="s">
        <v>22420</v>
      </c>
      <c r="AD7376" s="464">
        <v>1346.8507999999999</v>
      </c>
      <c r="AE7376" s="465">
        <v>64.788420000000002</v>
      </c>
      <c r="AF7376" s="86">
        <f>IF(verze!$E$1="CZK",AD7376,IF(verze!$E$1="SK",AE7376,""))</f>
        <v>64.788420000000002</v>
      </c>
    </row>
    <row r="7377" spans="27:32" ht="15">
      <c r="AA7377" s="463" t="s">
        <v>1320</v>
      </c>
      <c r="AB7377" s="462" t="s">
        <v>22421</v>
      </c>
      <c r="AC7377" s="462" t="s">
        <v>22422</v>
      </c>
      <c r="AD7377" s="464">
        <v>1463.61835</v>
      </c>
      <c r="AE7377" s="465">
        <v>70.405349999999999</v>
      </c>
      <c r="AF7377" s="86">
        <f>IF(verze!$E$1="CZK",AD7377,IF(verze!$E$1="SK",AE7377,""))</f>
        <v>70.405349999999999</v>
      </c>
    </row>
    <row r="7378" spans="27:32" ht="15">
      <c r="AA7378" s="463" t="s">
        <v>1320</v>
      </c>
      <c r="AB7378" s="462" t="s">
        <v>22423</v>
      </c>
      <c r="AC7378" s="462" t="s">
        <v>22424</v>
      </c>
      <c r="AD7378" s="464">
        <v>0</v>
      </c>
      <c r="AE7378" s="465">
        <v>0</v>
      </c>
      <c r="AF7378" s="86">
        <f>IF(verze!$E$1="CZK",AD7378,IF(verze!$E$1="SK",AE7378,""))</f>
        <v>0</v>
      </c>
    </row>
    <row r="7379" spans="27:32" ht="15">
      <c r="AA7379" s="463" t="s">
        <v>1320</v>
      </c>
      <c r="AB7379" s="462" t="s">
        <v>22425</v>
      </c>
      <c r="AC7379" s="462" t="s">
        <v>22426</v>
      </c>
      <c r="AD7379" s="464">
        <v>1096.0167100000001</v>
      </c>
      <c r="AE7379" s="465">
        <v>52.689590000000003</v>
      </c>
      <c r="AF7379" s="86">
        <f>IF(verze!$E$1="CZK",AD7379,IF(verze!$E$1="SK",AE7379,""))</f>
        <v>52.689590000000003</v>
      </c>
    </row>
    <row r="7380" spans="27:32" ht="15">
      <c r="AA7380" s="463" t="s">
        <v>1320</v>
      </c>
      <c r="AB7380" s="462" t="s">
        <v>22427</v>
      </c>
      <c r="AC7380" s="462" t="s">
        <v>22428</v>
      </c>
      <c r="AD7380" s="464">
        <v>1212.7842599999999</v>
      </c>
      <c r="AE7380" s="465">
        <v>58.306519999999999</v>
      </c>
      <c r="AF7380" s="86">
        <f>IF(verze!$E$1="CZK",AD7380,IF(verze!$E$1="SK",AE7380,""))</f>
        <v>58.306519999999999</v>
      </c>
    </row>
    <row r="7381" spans="27:32" ht="15">
      <c r="AA7381" s="463" t="s">
        <v>1320</v>
      </c>
      <c r="AB7381" s="462" t="s">
        <v>22429</v>
      </c>
      <c r="AC7381" s="462" t="s">
        <v>22430</v>
      </c>
      <c r="AD7381" s="464">
        <v>0</v>
      </c>
      <c r="AE7381" s="465">
        <v>0</v>
      </c>
      <c r="AF7381" s="86">
        <f>IF(verze!$E$1="CZK",AD7381,IF(verze!$E$1="SK",AE7381,""))</f>
        <v>0</v>
      </c>
    </row>
    <row r="7382" spans="27:32" ht="15">
      <c r="AA7382" s="463" t="s">
        <v>1320</v>
      </c>
      <c r="AB7382" s="462" t="s">
        <v>22431</v>
      </c>
      <c r="AC7382" s="462" t="s">
        <v>22432</v>
      </c>
      <c r="AD7382" s="464">
        <v>1117.06745</v>
      </c>
      <c r="AE7382" s="465">
        <v>53.680309999999999</v>
      </c>
      <c r="AF7382" s="86">
        <f>IF(verze!$E$1="CZK",AD7382,IF(verze!$E$1="SK",AE7382,""))</f>
        <v>53.680309999999999</v>
      </c>
    </row>
    <row r="7383" spans="27:32" ht="15">
      <c r="AA7383" s="463" t="s">
        <v>1320</v>
      </c>
      <c r="AB7383" s="462" t="s">
        <v>22433</v>
      </c>
      <c r="AC7383" s="462" t="s">
        <v>22434</v>
      </c>
      <c r="AD7383" s="464">
        <v>1233.835</v>
      </c>
      <c r="AE7383" s="465">
        <v>59.297240000000002</v>
      </c>
      <c r="AF7383" s="86">
        <f>IF(verze!$E$1="CZK",AD7383,IF(verze!$E$1="SK",AE7383,""))</f>
        <v>59.297240000000002</v>
      </c>
    </row>
    <row r="7384" spans="27:32" ht="15">
      <c r="AA7384" s="463" t="s">
        <v>1320</v>
      </c>
      <c r="AB7384" s="462" t="s">
        <v>22435</v>
      </c>
      <c r="AC7384" s="462" t="s">
        <v>22436</v>
      </c>
      <c r="AD7384" s="464">
        <v>0</v>
      </c>
      <c r="AE7384" s="465">
        <v>0</v>
      </c>
      <c r="AF7384" s="86">
        <f>IF(verze!$E$1="CZK",AD7384,IF(verze!$E$1="SK",AE7384,""))</f>
        <v>0</v>
      </c>
    </row>
    <row r="7385" spans="27:32" ht="15">
      <c r="AA7385" s="463" t="s">
        <v>1320</v>
      </c>
      <c r="AB7385" s="462" t="s">
        <v>22437</v>
      </c>
      <c r="AC7385" s="462" t="s">
        <v>22438</v>
      </c>
      <c r="AD7385" s="464">
        <v>1159.1608900000001</v>
      </c>
      <c r="AE7385" s="465">
        <v>55.661430000000003</v>
      </c>
      <c r="AF7385" s="86">
        <f>IF(verze!$E$1="CZK",AD7385,IF(verze!$E$1="SK",AE7385,""))</f>
        <v>55.661430000000003</v>
      </c>
    </row>
    <row r="7386" spans="27:32" ht="15">
      <c r="AA7386" s="463" t="s">
        <v>1320</v>
      </c>
      <c r="AB7386" s="462" t="s">
        <v>22439</v>
      </c>
      <c r="AC7386" s="462" t="s">
        <v>22440</v>
      </c>
      <c r="AD7386" s="464">
        <v>1275.9284399999999</v>
      </c>
      <c r="AE7386" s="465">
        <v>61.278359999999999</v>
      </c>
      <c r="AF7386" s="86">
        <f>IF(verze!$E$1="CZK",AD7386,IF(verze!$E$1="SK",AE7386,""))</f>
        <v>61.278359999999999</v>
      </c>
    </row>
    <row r="7387" spans="27:32" ht="15">
      <c r="AA7387" s="463" t="s">
        <v>1320</v>
      </c>
      <c r="AB7387" s="462" t="s">
        <v>22441</v>
      </c>
      <c r="AC7387" s="462" t="s">
        <v>22442</v>
      </c>
      <c r="AD7387" s="464">
        <v>0</v>
      </c>
      <c r="AE7387" s="465">
        <v>0</v>
      </c>
      <c r="AF7387" s="86">
        <f>IF(verze!$E$1="CZK",AD7387,IF(verze!$E$1="SK",AE7387,""))</f>
        <v>0</v>
      </c>
    </row>
    <row r="7388" spans="27:32" ht="15">
      <c r="AA7388" s="463" t="s">
        <v>1320</v>
      </c>
      <c r="AB7388" s="462" t="s">
        <v>22443</v>
      </c>
      <c r="AC7388" s="462" t="s">
        <v>22444</v>
      </c>
      <c r="AD7388" s="464">
        <v>1183.3746699999999</v>
      </c>
      <c r="AE7388" s="465">
        <v>56.924610000000001</v>
      </c>
      <c r="AF7388" s="86">
        <f>IF(verze!$E$1="CZK",AD7388,IF(verze!$E$1="SK",AE7388,""))</f>
        <v>56.924610000000001</v>
      </c>
    </row>
    <row r="7389" spans="27:32" ht="15">
      <c r="AA7389" s="463" t="s">
        <v>1320</v>
      </c>
      <c r="AB7389" s="462" t="s">
        <v>22445</v>
      </c>
      <c r="AC7389" s="462" t="s">
        <v>22446</v>
      </c>
      <c r="AD7389" s="464">
        <v>1300.14222</v>
      </c>
      <c r="AE7389" s="465">
        <v>62.541539999999998</v>
      </c>
      <c r="AF7389" s="86">
        <f>IF(verze!$E$1="CZK",AD7389,IF(verze!$E$1="SK",AE7389,""))</f>
        <v>62.541539999999998</v>
      </c>
    </row>
    <row r="7390" spans="27:32" ht="15">
      <c r="AA7390" s="463" t="s">
        <v>1320</v>
      </c>
      <c r="AB7390" s="462" t="s">
        <v>22447</v>
      </c>
      <c r="AC7390" s="462" t="s">
        <v>22448</v>
      </c>
      <c r="AD7390" s="464">
        <v>0</v>
      </c>
      <c r="AE7390" s="465">
        <v>0</v>
      </c>
      <c r="AF7390" s="86">
        <f>IF(verze!$E$1="CZK",AD7390,IF(verze!$E$1="SK",AE7390,""))</f>
        <v>0</v>
      </c>
    </row>
    <row r="7391" spans="27:32" ht="15">
      <c r="AA7391" s="463" t="s">
        <v>1320</v>
      </c>
      <c r="AB7391" s="462" t="s">
        <v>22449</v>
      </c>
      <c r="AC7391" s="462" t="s">
        <v>22450</v>
      </c>
      <c r="AD7391" s="464">
        <v>1205.0005699999999</v>
      </c>
      <c r="AE7391" s="465">
        <v>57.964910000000003</v>
      </c>
      <c r="AF7391" s="86">
        <f>IF(verze!$E$1="CZK",AD7391,IF(verze!$E$1="SK",AE7391,""))</f>
        <v>57.964910000000003</v>
      </c>
    </row>
    <row r="7392" spans="27:32" ht="15">
      <c r="AA7392" s="463" t="s">
        <v>1320</v>
      </c>
      <c r="AB7392" s="462" t="s">
        <v>22451</v>
      </c>
      <c r="AC7392" s="462" t="s">
        <v>22452</v>
      </c>
      <c r="AD7392" s="464">
        <v>1321.76812</v>
      </c>
      <c r="AE7392" s="465">
        <v>63.58184</v>
      </c>
      <c r="AF7392" s="86">
        <f>IF(verze!$E$1="CZK",AD7392,IF(verze!$E$1="SK",AE7392,""))</f>
        <v>63.58184</v>
      </c>
    </row>
    <row r="7393" spans="27:32" ht="15">
      <c r="AA7393" s="463" t="s">
        <v>1320</v>
      </c>
      <c r="AB7393" s="462" t="s">
        <v>22453</v>
      </c>
      <c r="AC7393" s="462" t="s">
        <v>22454</v>
      </c>
      <c r="AD7393" s="464">
        <v>0</v>
      </c>
      <c r="AE7393" s="465">
        <v>0</v>
      </c>
      <c r="AF7393" s="86">
        <f>IF(verze!$E$1="CZK",AD7393,IF(verze!$E$1="SK",AE7393,""))</f>
        <v>0</v>
      </c>
    </row>
    <row r="7394" spans="27:32" ht="15">
      <c r="AA7394" s="463" t="s">
        <v>1320</v>
      </c>
      <c r="AB7394" s="462" t="s">
        <v>22455</v>
      </c>
      <c r="AC7394" s="462" t="s">
        <v>22456</v>
      </c>
      <c r="AD7394" s="464">
        <v>1090.47586</v>
      </c>
      <c r="AE7394" s="465">
        <v>52.455820000000003</v>
      </c>
      <c r="AF7394" s="86">
        <f>IF(verze!$E$1="CZK",AD7394,IF(verze!$E$1="SK",AE7394,""))</f>
        <v>52.455820000000003</v>
      </c>
    </row>
    <row r="7395" spans="27:32" ht="15">
      <c r="AA7395" s="463" t="s">
        <v>1320</v>
      </c>
      <c r="AB7395" s="462" t="s">
        <v>22457</v>
      </c>
      <c r="AC7395" s="462" t="s">
        <v>22458</v>
      </c>
      <c r="AD7395" s="464">
        <v>1090.47586</v>
      </c>
      <c r="AE7395" s="465">
        <v>52.455820000000003</v>
      </c>
      <c r="AF7395" s="86">
        <f>IF(verze!$E$1="CZK",AD7395,IF(verze!$E$1="SK",AE7395,""))</f>
        <v>52.455820000000003</v>
      </c>
    </row>
    <row r="7396" spans="27:32" ht="15">
      <c r="AA7396" s="463" t="s">
        <v>1320</v>
      </c>
      <c r="AB7396" s="462" t="s">
        <v>22459</v>
      </c>
      <c r="AC7396" s="462" t="s">
        <v>22460</v>
      </c>
      <c r="AD7396" s="464">
        <v>1099.8549599999999</v>
      </c>
      <c r="AE7396" s="465">
        <v>52.852319999999999</v>
      </c>
      <c r="AF7396" s="86">
        <f>IF(verze!$E$1="CZK",AD7396,IF(verze!$E$1="SK",AE7396,""))</f>
        <v>52.852319999999999</v>
      </c>
    </row>
    <row r="7397" spans="27:32" ht="15">
      <c r="AA7397" s="463" t="s">
        <v>1320</v>
      </c>
      <c r="AB7397" s="462" t="s">
        <v>22461</v>
      </c>
      <c r="AC7397" s="462" t="s">
        <v>22462</v>
      </c>
      <c r="AD7397" s="464">
        <v>1141.9484</v>
      </c>
      <c r="AE7397" s="465">
        <v>54.833440000000003</v>
      </c>
      <c r="AF7397" s="86">
        <f>IF(verze!$E$1="CZK",AD7397,IF(verze!$E$1="SK",AE7397,""))</f>
        <v>54.833440000000003</v>
      </c>
    </row>
    <row r="7398" spans="27:32" ht="15">
      <c r="AA7398" s="463" t="s">
        <v>1320</v>
      </c>
      <c r="AB7398" s="462" t="s">
        <v>22463</v>
      </c>
      <c r="AC7398" s="462" t="s">
        <v>22464</v>
      </c>
      <c r="AD7398" s="464">
        <v>1166.16218</v>
      </c>
      <c r="AE7398" s="465">
        <v>56.096620000000001</v>
      </c>
      <c r="AF7398" s="86">
        <f>IF(verze!$E$1="CZK",AD7398,IF(verze!$E$1="SK",AE7398,""))</f>
        <v>56.096620000000001</v>
      </c>
    </row>
    <row r="7399" spans="27:32" ht="15">
      <c r="AA7399" s="463" t="s">
        <v>1320</v>
      </c>
      <c r="AB7399" s="462" t="s">
        <v>22465</v>
      </c>
      <c r="AC7399" s="462" t="s">
        <v>22466</v>
      </c>
      <c r="AD7399" s="464">
        <v>1187.78808</v>
      </c>
      <c r="AE7399" s="465">
        <v>57.136920000000003</v>
      </c>
      <c r="AF7399" s="86">
        <f>IF(verze!$E$1="CZK",AD7399,IF(verze!$E$1="SK",AE7399,""))</f>
        <v>57.136920000000003</v>
      </c>
    </row>
    <row r="7400" spans="27:32" ht="15">
      <c r="AA7400" s="463" t="s">
        <v>1320</v>
      </c>
      <c r="AB7400" s="462" t="s">
        <v>22467</v>
      </c>
      <c r="AC7400" s="462" t="s">
        <v>22468</v>
      </c>
      <c r="AD7400" s="464">
        <v>936.95401000000004</v>
      </c>
      <c r="AE7400" s="465">
        <v>45.038069999999998</v>
      </c>
      <c r="AF7400" s="86">
        <f>IF(verze!$E$1="CZK",AD7400,IF(verze!$E$1="SK",AE7400,""))</f>
        <v>45.038069999999998</v>
      </c>
    </row>
    <row r="7401" spans="27:32" ht="15">
      <c r="AA7401" s="463" t="s">
        <v>1320</v>
      </c>
      <c r="AB7401" s="462" t="s">
        <v>22469</v>
      </c>
      <c r="AC7401" s="462" t="s">
        <v>22470</v>
      </c>
      <c r="AD7401" s="464">
        <v>936.95401000000004</v>
      </c>
      <c r="AE7401" s="465">
        <v>45.038069999999998</v>
      </c>
      <c r="AF7401" s="86">
        <f>IF(verze!$E$1="CZK",AD7401,IF(verze!$E$1="SK",AE7401,""))</f>
        <v>45.038069999999998</v>
      </c>
    </row>
    <row r="7402" spans="27:32" ht="15">
      <c r="AA7402" s="463" t="s">
        <v>1320</v>
      </c>
      <c r="AB7402" s="462" t="s">
        <v>22471</v>
      </c>
      <c r="AC7402" s="462" t="s">
        <v>22472</v>
      </c>
      <c r="AD7402" s="464">
        <v>958.00474999999994</v>
      </c>
      <c r="AE7402" s="465">
        <v>46.028790000000001</v>
      </c>
      <c r="AF7402" s="86">
        <f>IF(verze!$E$1="CZK",AD7402,IF(verze!$E$1="SK",AE7402,""))</f>
        <v>46.028790000000001</v>
      </c>
    </row>
    <row r="7403" spans="27:32" ht="15">
      <c r="AA7403" s="463" t="s">
        <v>1320</v>
      </c>
      <c r="AB7403" s="462" t="s">
        <v>22473</v>
      </c>
      <c r="AC7403" s="462" t="s">
        <v>22474</v>
      </c>
      <c r="AD7403" s="464">
        <v>1000.09819</v>
      </c>
      <c r="AE7403" s="465">
        <v>48.009909999999998</v>
      </c>
      <c r="AF7403" s="86">
        <f>IF(verze!$E$1="CZK",AD7403,IF(verze!$E$1="SK",AE7403,""))</f>
        <v>48.009909999999998</v>
      </c>
    </row>
    <row r="7404" spans="27:32" ht="15">
      <c r="AA7404" s="463" t="s">
        <v>1320</v>
      </c>
      <c r="AB7404" s="462" t="s">
        <v>22475</v>
      </c>
      <c r="AC7404" s="462" t="s">
        <v>22476</v>
      </c>
      <c r="AD7404" s="464">
        <v>1024.31197</v>
      </c>
      <c r="AE7404" s="465">
        <v>49.273090000000003</v>
      </c>
      <c r="AF7404" s="86">
        <f>IF(verze!$E$1="CZK",AD7404,IF(verze!$E$1="SK",AE7404,""))</f>
        <v>49.273090000000003</v>
      </c>
    </row>
    <row r="7405" spans="27:32" ht="15">
      <c r="AA7405" s="463" t="s">
        <v>1320</v>
      </c>
      <c r="AB7405" s="462" t="s">
        <v>22477</v>
      </c>
      <c r="AC7405" s="462" t="s">
        <v>22478</v>
      </c>
      <c r="AD7405" s="464">
        <v>1045.93787</v>
      </c>
      <c r="AE7405" s="465">
        <v>50.313389999999998</v>
      </c>
      <c r="AF7405" s="86">
        <f>IF(verze!$E$1="CZK",AD7405,IF(verze!$E$1="SK",AE7405,""))</f>
        <v>50.313389999999998</v>
      </c>
    </row>
    <row r="7406" spans="27:32" ht="15">
      <c r="AA7406" s="463" t="s">
        <v>1320</v>
      </c>
      <c r="AB7406" s="462" t="s">
        <v>22479</v>
      </c>
      <c r="AC7406" s="462" t="s">
        <v>22480</v>
      </c>
      <c r="AD7406" s="464">
        <v>1090.47586</v>
      </c>
      <c r="AE7406" s="465">
        <v>52.455820000000003</v>
      </c>
      <c r="AF7406" s="86">
        <f>IF(verze!$E$1="CZK",AD7406,IF(verze!$E$1="SK",AE7406,""))</f>
        <v>52.455820000000003</v>
      </c>
    </row>
    <row r="7407" spans="27:32" ht="15">
      <c r="AA7407" s="463" t="s">
        <v>1320</v>
      </c>
      <c r="AB7407" s="462" t="s">
        <v>22481</v>
      </c>
      <c r="AC7407" s="462" t="s">
        <v>22482</v>
      </c>
      <c r="AD7407" s="464">
        <v>1006.02639</v>
      </c>
      <c r="AE7407" s="465">
        <v>48.393540000000002</v>
      </c>
      <c r="AF7407" s="86">
        <f>IF(verze!$E$1="CZK",AD7407,IF(verze!$E$1="SK",AE7407,""))</f>
        <v>48.393540000000002</v>
      </c>
    </row>
    <row r="7408" spans="27:32" ht="15">
      <c r="AA7408" s="463" t="s">
        <v>1320</v>
      </c>
      <c r="AB7408" s="462" t="s">
        <v>22483</v>
      </c>
      <c r="AC7408" s="462" t="s">
        <v>22484</v>
      </c>
      <c r="AD7408" s="464">
        <v>1015.40549</v>
      </c>
      <c r="AE7408" s="465">
        <v>48.790039999999998</v>
      </c>
      <c r="AF7408" s="86">
        <f>IF(verze!$E$1="CZK",AD7408,IF(verze!$E$1="SK",AE7408,""))</f>
        <v>48.790039999999998</v>
      </c>
    </row>
    <row r="7409" spans="27:32" ht="15">
      <c r="AA7409" s="463" t="s">
        <v>1320</v>
      </c>
      <c r="AB7409" s="462" t="s">
        <v>22485</v>
      </c>
      <c r="AC7409" s="462" t="s">
        <v>22486</v>
      </c>
      <c r="AD7409" s="464">
        <v>915.64872000000003</v>
      </c>
      <c r="AE7409" s="465">
        <v>43.947629999999997</v>
      </c>
      <c r="AF7409" s="86">
        <f>IF(verze!$E$1="CZK",AD7409,IF(verze!$E$1="SK",AE7409,""))</f>
        <v>43.947629999999997</v>
      </c>
    </row>
    <row r="7410" spans="27:32" ht="15">
      <c r="AA7410" s="463" t="s">
        <v>1320</v>
      </c>
      <c r="AB7410" s="462" t="s">
        <v>22487</v>
      </c>
      <c r="AC7410" s="462" t="s">
        <v>22488</v>
      </c>
      <c r="AD7410" s="464">
        <v>1081.71271</v>
      </c>
      <c r="AE7410" s="465">
        <v>52.03434</v>
      </c>
      <c r="AF7410" s="86">
        <f>IF(verze!$E$1="CZK",AD7410,IF(verze!$E$1="SK",AE7410,""))</f>
        <v>52.03434</v>
      </c>
    </row>
    <row r="7411" spans="27:32" ht="15">
      <c r="AA7411" s="463" t="s">
        <v>1320</v>
      </c>
      <c r="AB7411" s="462" t="s">
        <v>22489</v>
      </c>
      <c r="AC7411" s="462" t="s">
        <v>22490</v>
      </c>
      <c r="AD7411" s="464">
        <v>1103.33861</v>
      </c>
      <c r="AE7411" s="465">
        <v>53.074640000000002</v>
      </c>
      <c r="AF7411" s="86">
        <f>IF(verze!$E$1="CZK",AD7411,IF(verze!$E$1="SK",AE7411,""))</f>
        <v>53.074640000000002</v>
      </c>
    </row>
    <row r="7412" spans="27:32" ht="15">
      <c r="AA7412" s="463" t="s">
        <v>1320</v>
      </c>
      <c r="AB7412" s="462" t="s">
        <v>22491</v>
      </c>
      <c r="AC7412" s="462" t="s">
        <v>22492</v>
      </c>
      <c r="AD7412" s="464">
        <v>936.95401000000004</v>
      </c>
      <c r="AE7412" s="465">
        <v>45.038069999999998</v>
      </c>
      <c r="AF7412" s="86">
        <f>IF(verze!$E$1="CZK",AD7412,IF(verze!$E$1="SK",AE7412,""))</f>
        <v>45.038069999999998</v>
      </c>
    </row>
    <row r="7413" spans="27:32" ht="15">
      <c r="AA7413" s="463" t="s">
        <v>1320</v>
      </c>
      <c r="AB7413" s="462" t="s">
        <v>22493</v>
      </c>
      <c r="AC7413" s="462" t="s">
        <v>22494</v>
      </c>
      <c r="AD7413" s="464">
        <v>852.50454000000002</v>
      </c>
      <c r="AE7413" s="465">
        <v>40.975790000000003</v>
      </c>
      <c r="AF7413" s="86">
        <f>IF(verze!$E$1="CZK",AD7413,IF(verze!$E$1="SK",AE7413,""))</f>
        <v>40.975790000000003</v>
      </c>
    </row>
    <row r="7414" spans="27:32" ht="15">
      <c r="AA7414" s="463" t="s">
        <v>1320</v>
      </c>
      <c r="AB7414" s="462" t="s">
        <v>22495</v>
      </c>
      <c r="AC7414" s="462" t="s">
        <v>22496</v>
      </c>
      <c r="AD7414" s="464">
        <v>873.55528000000004</v>
      </c>
      <c r="AE7414" s="465">
        <v>41.96651</v>
      </c>
      <c r="AF7414" s="86">
        <f>IF(verze!$E$1="CZK",AD7414,IF(verze!$E$1="SK",AE7414,""))</f>
        <v>41.96651</v>
      </c>
    </row>
    <row r="7415" spans="27:32" ht="15">
      <c r="AA7415" s="463" t="s">
        <v>1320</v>
      </c>
      <c r="AB7415" s="462" t="s">
        <v>22497</v>
      </c>
      <c r="AC7415" s="462" t="s">
        <v>22498</v>
      </c>
      <c r="AD7415" s="464">
        <v>915.64872000000003</v>
      </c>
      <c r="AE7415" s="465">
        <v>43.947629999999997</v>
      </c>
      <c r="AF7415" s="86">
        <f>IF(verze!$E$1="CZK",AD7415,IF(verze!$E$1="SK",AE7415,""))</f>
        <v>43.947629999999997</v>
      </c>
    </row>
    <row r="7416" spans="27:32" ht="15">
      <c r="AA7416" s="463" t="s">
        <v>1320</v>
      </c>
      <c r="AB7416" s="462" t="s">
        <v>22499</v>
      </c>
      <c r="AC7416" s="462" t="s">
        <v>22500</v>
      </c>
      <c r="AD7416" s="464">
        <v>939.86249999999995</v>
      </c>
      <c r="AE7416" s="465">
        <v>45.210810000000002</v>
      </c>
      <c r="AF7416" s="86">
        <f>IF(verze!$E$1="CZK",AD7416,IF(verze!$E$1="SK",AE7416,""))</f>
        <v>45.210810000000002</v>
      </c>
    </row>
    <row r="7417" spans="27:32" ht="15">
      <c r="AA7417" s="463" t="s">
        <v>1320</v>
      </c>
      <c r="AB7417" s="462" t="s">
        <v>22501</v>
      </c>
      <c r="AC7417" s="462" t="s">
        <v>22502</v>
      </c>
      <c r="AD7417" s="464">
        <v>961.48839999999996</v>
      </c>
      <c r="AE7417" s="465">
        <v>46.251109999999997</v>
      </c>
      <c r="AF7417" s="86">
        <f>IF(verze!$E$1="CZK",AD7417,IF(verze!$E$1="SK",AE7417,""))</f>
        <v>46.251109999999997</v>
      </c>
    </row>
    <row r="7418" spans="27:32" ht="15">
      <c r="AA7418" s="463" t="s">
        <v>1320</v>
      </c>
      <c r="AB7418" s="462" t="s">
        <v>22503</v>
      </c>
      <c r="AC7418" s="462" t="s">
        <v>22504</v>
      </c>
      <c r="AD7418" s="464">
        <v>1006.02639</v>
      </c>
      <c r="AE7418" s="465">
        <v>48.393540000000002</v>
      </c>
      <c r="AF7418" s="86">
        <f>IF(verze!$E$1="CZK",AD7418,IF(verze!$E$1="SK",AE7418,""))</f>
        <v>48.393540000000002</v>
      </c>
    </row>
    <row r="7419" spans="27:32" ht="15">
      <c r="AA7419" s="463" t="s">
        <v>1320</v>
      </c>
      <c r="AB7419" s="462" t="s">
        <v>22505</v>
      </c>
      <c r="AC7419" s="462" t="s">
        <v>22506</v>
      </c>
      <c r="AD7419" s="464">
        <v>1006.02639</v>
      </c>
      <c r="AE7419" s="465">
        <v>48.393540000000002</v>
      </c>
      <c r="AF7419" s="86">
        <f>IF(verze!$E$1="CZK",AD7419,IF(verze!$E$1="SK",AE7419,""))</f>
        <v>48.393540000000002</v>
      </c>
    </row>
    <row r="7420" spans="27:32" ht="15">
      <c r="AA7420" s="463" t="s">
        <v>1320</v>
      </c>
      <c r="AB7420" s="462" t="s">
        <v>22507</v>
      </c>
      <c r="AC7420" s="462" t="s">
        <v>22508</v>
      </c>
      <c r="AD7420" s="464">
        <v>1015.40549</v>
      </c>
      <c r="AE7420" s="465">
        <v>48.790039999999998</v>
      </c>
      <c r="AF7420" s="86">
        <f>IF(verze!$E$1="CZK",AD7420,IF(verze!$E$1="SK",AE7420,""))</f>
        <v>48.790039999999998</v>
      </c>
    </row>
    <row r="7421" spans="27:32" ht="15">
      <c r="AA7421" s="463" t="s">
        <v>1320</v>
      </c>
      <c r="AB7421" s="462" t="s">
        <v>22509</v>
      </c>
      <c r="AC7421" s="462" t="s">
        <v>22510</v>
      </c>
      <c r="AD7421" s="464">
        <v>1057.49893</v>
      </c>
      <c r="AE7421" s="465">
        <v>50.771160000000002</v>
      </c>
      <c r="AF7421" s="86">
        <f>IF(verze!$E$1="CZK",AD7421,IF(verze!$E$1="SK",AE7421,""))</f>
        <v>50.771160000000002</v>
      </c>
    </row>
    <row r="7422" spans="27:32" ht="15">
      <c r="AA7422" s="463" t="s">
        <v>1320</v>
      </c>
      <c r="AB7422" s="462" t="s">
        <v>22511</v>
      </c>
      <c r="AC7422" s="462" t="s">
        <v>22512</v>
      </c>
      <c r="AD7422" s="464">
        <v>1081.71271</v>
      </c>
      <c r="AE7422" s="465">
        <v>52.03434</v>
      </c>
      <c r="AF7422" s="86">
        <f>IF(verze!$E$1="CZK",AD7422,IF(verze!$E$1="SK",AE7422,""))</f>
        <v>52.03434</v>
      </c>
    </row>
    <row r="7423" spans="27:32" ht="15">
      <c r="AA7423" s="463" t="s">
        <v>1320</v>
      </c>
      <c r="AB7423" s="462" t="s">
        <v>22513</v>
      </c>
      <c r="AC7423" s="462" t="s">
        <v>22514</v>
      </c>
      <c r="AD7423" s="464">
        <v>1103.33861</v>
      </c>
      <c r="AE7423" s="465">
        <v>53.074640000000002</v>
      </c>
      <c r="AF7423" s="86">
        <f>IF(verze!$E$1="CZK",AD7423,IF(verze!$E$1="SK",AE7423,""))</f>
        <v>53.074640000000002</v>
      </c>
    </row>
    <row r="7424" spans="27:32" ht="15">
      <c r="AA7424" s="463" t="s">
        <v>1320</v>
      </c>
      <c r="AB7424" s="462" t="s">
        <v>22515</v>
      </c>
      <c r="AC7424" s="462" t="s">
        <v>22516</v>
      </c>
      <c r="AD7424" s="464">
        <v>852.50454000000002</v>
      </c>
      <c r="AE7424" s="465">
        <v>40.975790000000003</v>
      </c>
      <c r="AF7424" s="86">
        <f>IF(verze!$E$1="CZK",AD7424,IF(verze!$E$1="SK",AE7424,""))</f>
        <v>40.975790000000003</v>
      </c>
    </row>
    <row r="7425" spans="27:32" ht="15">
      <c r="AA7425" s="463" t="s">
        <v>1320</v>
      </c>
      <c r="AB7425" s="462" t="s">
        <v>22517</v>
      </c>
      <c r="AC7425" s="462" t="s">
        <v>22518</v>
      </c>
      <c r="AD7425" s="464">
        <v>852.50454000000002</v>
      </c>
      <c r="AE7425" s="465">
        <v>40.975790000000003</v>
      </c>
      <c r="AF7425" s="86">
        <f>IF(verze!$E$1="CZK",AD7425,IF(verze!$E$1="SK",AE7425,""))</f>
        <v>40.975790000000003</v>
      </c>
    </row>
    <row r="7426" spans="27:32" ht="15">
      <c r="AA7426" s="463" t="s">
        <v>1320</v>
      </c>
      <c r="AB7426" s="462" t="s">
        <v>22519</v>
      </c>
      <c r="AC7426" s="462" t="s">
        <v>22520</v>
      </c>
      <c r="AD7426" s="464">
        <v>873.55528000000004</v>
      </c>
      <c r="AE7426" s="465">
        <v>41.96651</v>
      </c>
      <c r="AF7426" s="86">
        <f>IF(verze!$E$1="CZK",AD7426,IF(verze!$E$1="SK",AE7426,""))</f>
        <v>41.96651</v>
      </c>
    </row>
    <row r="7427" spans="27:32" ht="15">
      <c r="AA7427" s="463" t="s">
        <v>1320</v>
      </c>
      <c r="AB7427" s="462" t="s">
        <v>22521</v>
      </c>
      <c r="AC7427" s="462" t="s">
        <v>22522</v>
      </c>
      <c r="AD7427" s="464">
        <v>915.64872000000003</v>
      </c>
      <c r="AE7427" s="465">
        <v>43.947629999999997</v>
      </c>
      <c r="AF7427" s="86">
        <f>IF(verze!$E$1="CZK",AD7427,IF(verze!$E$1="SK",AE7427,""))</f>
        <v>43.947629999999997</v>
      </c>
    </row>
    <row r="7428" spans="27:32" ht="15">
      <c r="AA7428" s="463" t="s">
        <v>1320</v>
      </c>
      <c r="AB7428" s="462" t="s">
        <v>22523</v>
      </c>
      <c r="AC7428" s="462" t="s">
        <v>22524</v>
      </c>
      <c r="AD7428" s="464">
        <v>939.86249999999995</v>
      </c>
      <c r="AE7428" s="465">
        <v>45.210810000000002</v>
      </c>
      <c r="AF7428" s="86">
        <f>IF(verze!$E$1="CZK",AD7428,IF(verze!$E$1="SK",AE7428,""))</f>
        <v>45.210810000000002</v>
      </c>
    </row>
    <row r="7429" spans="27:32" ht="15">
      <c r="AA7429" s="463" t="s">
        <v>1320</v>
      </c>
      <c r="AB7429" s="462" t="s">
        <v>22525</v>
      </c>
      <c r="AC7429" s="462" t="s">
        <v>22526</v>
      </c>
      <c r="AD7429" s="464">
        <v>961.48839999999996</v>
      </c>
      <c r="AE7429" s="465">
        <v>46.251109999999997</v>
      </c>
      <c r="AF7429" s="86">
        <f>IF(verze!$E$1="CZK",AD7429,IF(verze!$E$1="SK",AE7429,""))</f>
        <v>46.251109999999997</v>
      </c>
    </row>
    <row r="7430" spans="27:32" ht="15">
      <c r="AA7430" s="463" t="s">
        <v>1320</v>
      </c>
      <c r="AB7430" s="462" t="s">
        <v>22527</v>
      </c>
      <c r="AC7430" s="462" t="s">
        <v>22528</v>
      </c>
      <c r="AD7430" s="464">
        <v>1024.43965</v>
      </c>
      <c r="AE7430" s="465">
        <v>49.279260000000001</v>
      </c>
      <c r="AF7430" s="86">
        <f>IF(verze!$E$1="CZK",AD7430,IF(verze!$E$1="SK",AE7430,""))</f>
        <v>49.279260000000001</v>
      </c>
    </row>
    <row r="7431" spans="27:32" ht="15">
      <c r="AA7431" s="463" t="s">
        <v>1320</v>
      </c>
      <c r="AB7431" s="462" t="s">
        <v>22529</v>
      </c>
      <c r="AC7431" s="462" t="s">
        <v>22530</v>
      </c>
      <c r="AD7431" s="464">
        <v>0</v>
      </c>
      <c r="AE7431" s="465">
        <v>0</v>
      </c>
      <c r="AF7431" s="86">
        <f>IF(verze!$E$1="CZK",AD7431,IF(verze!$E$1="SK",AE7431,""))</f>
        <v>0</v>
      </c>
    </row>
    <row r="7432" spans="27:32" ht="15">
      <c r="AA7432" s="463" t="s">
        <v>1320</v>
      </c>
      <c r="AB7432" s="462" t="s">
        <v>22531</v>
      </c>
      <c r="AC7432" s="462" t="s">
        <v>22532</v>
      </c>
      <c r="AD7432" s="464">
        <v>1033.8187499999999</v>
      </c>
      <c r="AE7432" s="465">
        <v>49.675759999999997</v>
      </c>
      <c r="AF7432" s="86">
        <f>IF(verze!$E$1="CZK",AD7432,IF(verze!$E$1="SK",AE7432,""))</f>
        <v>49.675759999999997</v>
      </c>
    </row>
    <row r="7433" spans="27:32" ht="15">
      <c r="AA7433" s="463" t="s">
        <v>1320</v>
      </c>
      <c r="AB7433" s="462" t="s">
        <v>22533</v>
      </c>
      <c r="AC7433" s="462" t="s">
        <v>22534</v>
      </c>
      <c r="AD7433" s="464">
        <v>0</v>
      </c>
      <c r="AE7433" s="465">
        <v>0</v>
      </c>
      <c r="AF7433" s="86">
        <f>IF(verze!$E$1="CZK",AD7433,IF(verze!$E$1="SK",AE7433,""))</f>
        <v>0</v>
      </c>
    </row>
    <row r="7434" spans="27:32" ht="15">
      <c r="AA7434" s="463" t="s">
        <v>1320</v>
      </c>
      <c r="AB7434" s="462" t="s">
        <v>22535</v>
      </c>
      <c r="AC7434" s="462" t="s">
        <v>22536</v>
      </c>
      <c r="AD7434" s="464">
        <v>1075.91219</v>
      </c>
      <c r="AE7434" s="465">
        <v>51.656880000000001</v>
      </c>
      <c r="AF7434" s="86">
        <f>IF(verze!$E$1="CZK",AD7434,IF(verze!$E$1="SK",AE7434,""))</f>
        <v>51.656880000000001</v>
      </c>
    </row>
    <row r="7435" spans="27:32" ht="15">
      <c r="AA7435" s="463" t="s">
        <v>1320</v>
      </c>
      <c r="AB7435" s="462" t="s">
        <v>22537</v>
      </c>
      <c r="AC7435" s="462" t="s">
        <v>22538</v>
      </c>
      <c r="AD7435" s="464">
        <v>0</v>
      </c>
      <c r="AE7435" s="465">
        <v>0</v>
      </c>
      <c r="AF7435" s="86">
        <f>IF(verze!$E$1="CZK",AD7435,IF(verze!$E$1="SK",AE7435,""))</f>
        <v>0</v>
      </c>
    </row>
    <row r="7436" spans="27:32" ht="15">
      <c r="AA7436" s="463" t="s">
        <v>1320</v>
      </c>
      <c r="AB7436" s="462" t="s">
        <v>22539</v>
      </c>
      <c r="AC7436" s="462" t="s">
        <v>22540</v>
      </c>
      <c r="AD7436" s="464">
        <v>1100.1259700000001</v>
      </c>
      <c r="AE7436" s="465">
        <v>52.920059999999999</v>
      </c>
      <c r="AF7436" s="86">
        <f>IF(verze!$E$1="CZK",AD7436,IF(verze!$E$1="SK",AE7436,""))</f>
        <v>52.920059999999999</v>
      </c>
    </row>
    <row r="7437" spans="27:32" ht="15">
      <c r="AA7437" s="463" t="s">
        <v>1320</v>
      </c>
      <c r="AB7437" s="462" t="s">
        <v>22541</v>
      </c>
      <c r="AC7437" s="462" t="s">
        <v>22542</v>
      </c>
      <c r="AD7437" s="464">
        <v>0</v>
      </c>
      <c r="AE7437" s="465">
        <v>0</v>
      </c>
      <c r="AF7437" s="86">
        <f>IF(verze!$E$1="CZK",AD7437,IF(verze!$E$1="SK",AE7437,""))</f>
        <v>0</v>
      </c>
    </row>
    <row r="7438" spans="27:32" ht="15">
      <c r="AA7438" s="463" t="s">
        <v>1320</v>
      </c>
      <c r="AB7438" s="462" t="s">
        <v>22543</v>
      </c>
      <c r="AC7438" s="462" t="s">
        <v>22544</v>
      </c>
      <c r="AD7438" s="464">
        <v>1121.7518700000001</v>
      </c>
      <c r="AE7438" s="465">
        <v>53.960360000000001</v>
      </c>
      <c r="AF7438" s="86">
        <f>IF(verze!$E$1="CZK",AD7438,IF(verze!$E$1="SK",AE7438,""))</f>
        <v>53.960360000000001</v>
      </c>
    </row>
    <row r="7439" spans="27:32" ht="15">
      <c r="AA7439" s="463" t="s">
        <v>1320</v>
      </c>
      <c r="AB7439" s="462" t="s">
        <v>22545</v>
      </c>
      <c r="AC7439" s="462" t="s">
        <v>22546</v>
      </c>
      <c r="AD7439" s="464">
        <v>0</v>
      </c>
      <c r="AE7439" s="465">
        <v>0</v>
      </c>
      <c r="AF7439" s="86">
        <f>IF(verze!$E$1="CZK",AD7439,IF(verze!$E$1="SK",AE7439,""))</f>
        <v>0</v>
      </c>
    </row>
    <row r="7440" spans="27:32" ht="15">
      <c r="AA7440" s="463" t="s">
        <v>1320</v>
      </c>
      <c r="AB7440" s="462" t="s">
        <v>22547</v>
      </c>
      <c r="AC7440" s="462" t="s">
        <v>22548</v>
      </c>
      <c r="AD7440" s="464">
        <v>870.91789000000006</v>
      </c>
      <c r="AE7440" s="465">
        <v>41.861530000000002</v>
      </c>
      <c r="AF7440" s="86">
        <f>IF(verze!$E$1="CZK",AD7440,IF(verze!$E$1="SK",AE7440,""))</f>
        <v>41.861530000000002</v>
      </c>
    </row>
    <row r="7441" spans="27:32" ht="15">
      <c r="AA7441" s="463" t="s">
        <v>1320</v>
      </c>
      <c r="AB7441" s="462" t="s">
        <v>22549</v>
      </c>
      <c r="AC7441" s="462" t="s">
        <v>22550</v>
      </c>
      <c r="AD7441" s="464">
        <v>0</v>
      </c>
      <c r="AE7441" s="465">
        <v>0</v>
      </c>
      <c r="AF7441" s="86">
        <f>IF(verze!$E$1="CZK",AD7441,IF(verze!$E$1="SK",AE7441,""))</f>
        <v>0</v>
      </c>
    </row>
    <row r="7442" spans="27:32" ht="15">
      <c r="AA7442" s="463" t="s">
        <v>1320</v>
      </c>
      <c r="AB7442" s="462" t="s">
        <v>22551</v>
      </c>
      <c r="AC7442" s="462" t="s">
        <v>22552</v>
      </c>
      <c r="AD7442" s="464">
        <v>891.96862999999996</v>
      </c>
      <c r="AE7442" s="465">
        <v>42.852249999999998</v>
      </c>
      <c r="AF7442" s="86">
        <f>IF(verze!$E$1="CZK",AD7442,IF(verze!$E$1="SK",AE7442,""))</f>
        <v>42.852249999999998</v>
      </c>
    </row>
    <row r="7443" spans="27:32" ht="15">
      <c r="AA7443" s="463" t="s">
        <v>1320</v>
      </c>
      <c r="AB7443" s="462" t="s">
        <v>22553</v>
      </c>
      <c r="AC7443" s="462" t="s">
        <v>22554</v>
      </c>
      <c r="AD7443" s="464">
        <v>0</v>
      </c>
      <c r="AE7443" s="465">
        <v>0</v>
      </c>
      <c r="AF7443" s="86">
        <f>IF(verze!$E$1="CZK",AD7443,IF(verze!$E$1="SK",AE7443,""))</f>
        <v>0</v>
      </c>
    </row>
    <row r="7444" spans="27:32" ht="15">
      <c r="AA7444" s="463" t="s">
        <v>1320</v>
      </c>
      <c r="AB7444" s="462" t="s">
        <v>22555</v>
      </c>
      <c r="AC7444" s="462" t="s">
        <v>22556</v>
      </c>
      <c r="AD7444" s="464">
        <v>934.06206999999995</v>
      </c>
      <c r="AE7444" s="465">
        <v>44.833370000000002</v>
      </c>
      <c r="AF7444" s="86">
        <f>IF(verze!$E$1="CZK",AD7444,IF(verze!$E$1="SK",AE7444,""))</f>
        <v>44.833370000000002</v>
      </c>
    </row>
    <row r="7445" spans="27:32" ht="15">
      <c r="AA7445" s="463" t="s">
        <v>1320</v>
      </c>
      <c r="AB7445" s="462" t="s">
        <v>22557</v>
      </c>
      <c r="AC7445" s="462" t="s">
        <v>22558</v>
      </c>
      <c r="AD7445" s="464">
        <v>0</v>
      </c>
      <c r="AE7445" s="465">
        <v>0</v>
      </c>
      <c r="AF7445" s="86">
        <f>IF(verze!$E$1="CZK",AD7445,IF(verze!$E$1="SK",AE7445,""))</f>
        <v>0</v>
      </c>
    </row>
    <row r="7446" spans="27:32" ht="15">
      <c r="AA7446" s="463" t="s">
        <v>1320</v>
      </c>
      <c r="AB7446" s="462" t="s">
        <v>22559</v>
      </c>
      <c r="AC7446" s="462" t="s">
        <v>22560</v>
      </c>
      <c r="AD7446" s="464">
        <v>958.27584999999999</v>
      </c>
      <c r="AE7446" s="465">
        <v>46.096550000000001</v>
      </c>
      <c r="AF7446" s="86">
        <f>IF(verze!$E$1="CZK",AD7446,IF(verze!$E$1="SK",AE7446,""))</f>
        <v>46.096550000000001</v>
      </c>
    </row>
    <row r="7447" spans="27:32" ht="15">
      <c r="AA7447" s="463" t="s">
        <v>1320</v>
      </c>
      <c r="AB7447" s="462" t="s">
        <v>22561</v>
      </c>
      <c r="AC7447" s="462" t="s">
        <v>22562</v>
      </c>
      <c r="AD7447" s="464">
        <v>0</v>
      </c>
      <c r="AE7447" s="465">
        <v>0</v>
      </c>
      <c r="AF7447" s="86">
        <f>IF(verze!$E$1="CZK",AD7447,IF(verze!$E$1="SK",AE7447,""))</f>
        <v>0</v>
      </c>
    </row>
    <row r="7448" spans="27:32" ht="15">
      <c r="AA7448" s="463" t="s">
        <v>1320</v>
      </c>
      <c r="AB7448" s="462" t="s">
        <v>22563</v>
      </c>
      <c r="AC7448" s="462" t="s">
        <v>22564</v>
      </c>
      <c r="AD7448" s="464">
        <v>979.90174999999999</v>
      </c>
      <c r="AE7448" s="465">
        <v>47.136850000000003</v>
      </c>
      <c r="AF7448" s="86">
        <f>IF(verze!$E$1="CZK",AD7448,IF(verze!$E$1="SK",AE7448,""))</f>
        <v>47.136850000000003</v>
      </c>
    </row>
    <row r="7449" spans="27:32" ht="15">
      <c r="AA7449" s="463" t="s">
        <v>1320</v>
      </c>
      <c r="AB7449" s="462" t="s">
        <v>22565</v>
      </c>
      <c r="AC7449" s="462" t="s">
        <v>22566</v>
      </c>
      <c r="AD7449" s="464">
        <v>0</v>
      </c>
      <c r="AE7449" s="465">
        <v>0</v>
      </c>
      <c r="AF7449" s="86">
        <f>IF(verze!$E$1="CZK",AD7449,IF(verze!$E$1="SK",AE7449,""))</f>
        <v>0</v>
      </c>
    </row>
    <row r="7450" spans="27:32" ht="15">
      <c r="AA7450" s="463" t="s">
        <v>1320</v>
      </c>
      <c r="AB7450" s="462" t="s">
        <v>22567</v>
      </c>
      <c r="AC7450" s="462" t="s">
        <v>22568</v>
      </c>
      <c r="AD7450" s="464">
        <v>1042.8457000000001</v>
      </c>
      <c r="AE7450" s="465">
        <v>50.164630000000002</v>
      </c>
      <c r="AF7450" s="86">
        <f>IF(verze!$E$1="CZK",AD7450,IF(verze!$E$1="SK",AE7450,""))</f>
        <v>50.164630000000002</v>
      </c>
    </row>
    <row r="7451" spans="27:32" ht="15">
      <c r="AA7451" s="463" t="s">
        <v>1320</v>
      </c>
      <c r="AB7451" s="462" t="s">
        <v>22569</v>
      </c>
      <c r="AC7451" s="462" t="s">
        <v>22570</v>
      </c>
      <c r="AD7451" s="464">
        <v>1243.2408800000001</v>
      </c>
      <c r="AE7451" s="465">
        <v>59.804349999999999</v>
      </c>
      <c r="AF7451" s="86">
        <f>IF(verze!$E$1="CZK",AD7451,IF(verze!$E$1="SK",AE7451,""))</f>
        <v>59.804349999999999</v>
      </c>
    </row>
    <row r="7452" spans="27:32" ht="15">
      <c r="AA7452" s="463" t="s">
        <v>1320</v>
      </c>
      <c r="AB7452" s="462" t="s">
        <v>22571</v>
      </c>
      <c r="AC7452" s="462" t="s">
        <v>22572</v>
      </c>
      <c r="AD7452" s="464">
        <v>1052.2248</v>
      </c>
      <c r="AE7452" s="465">
        <v>50.561129999999999</v>
      </c>
      <c r="AF7452" s="86">
        <f>IF(verze!$E$1="CZK",AD7452,IF(verze!$E$1="SK",AE7452,""))</f>
        <v>50.561129999999999</v>
      </c>
    </row>
    <row r="7453" spans="27:32" ht="15">
      <c r="AA7453" s="463" t="s">
        <v>1320</v>
      </c>
      <c r="AB7453" s="462" t="s">
        <v>22573</v>
      </c>
      <c r="AC7453" s="462" t="s">
        <v>22574</v>
      </c>
      <c r="AD7453" s="464">
        <v>1252.6199799999999</v>
      </c>
      <c r="AE7453" s="465">
        <v>60.200850000000003</v>
      </c>
      <c r="AF7453" s="86">
        <f>IF(verze!$E$1="CZK",AD7453,IF(verze!$E$1="SK",AE7453,""))</f>
        <v>60.200850000000003</v>
      </c>
    </row>
    <row r="7454" spans="27:32" ht="15">
      <c r="AA7454" s="463" t="s">
        <v>1320</v>
      </c>
      <c r="AB7454" s="462" t="s">
        <v>22575</v>
      </c>
      <c r="AC7454" s="462" t="s">
        <v>22576</v>
      </c>
      <c r="AD7454" s="464">
        <v>1094.3182400000001</v>
      </c>
      <c r="AE7454" s="465">
        <v>52.542250000000003</v>
      </c>
      <c r="AF7454" s="86">
        <f>IF(verze!$E$1="CZK",AD7454,IF(verze!$E$1="SK",AE7454,""))</f>
        <v>52.542250000000003</v>
      </c>
    </row>
    <row r="7455" spans="27:32" ht="15">
      <c r="AA7455" s="463" t="s">
        <v>1320</v>
      </c>
      <c r="AB7455" s="462" t="s">
        <v>22577</v>
      </c>
      <c r="AC7455" s="462" t="s">
        <v>22578</v>
      </c>
      <c r="AD7455" s="464">
        <v>1294.71342</v>
      </c>
      <c r="AE7455" s="465">
        <v>62.18197</v>
      </c>
      <c r="AF7455" s="86">
        <f>IF(verze!$E$1="CZK",AD7455,IF(verze!$E$1="SK",AE7455,""))</f>
        <v>62.18197</v>
      </c>
    </row>
    <row r="7456" spans="27:32" ht="15">
      <c r="AA7456" s="463" t="s">
        <v>1320</v>
      </c>
      <c r="AB7456" s="462" t="s">
        <v>22579</v>
      </c>
      <c r="AC7456" s="462" t="s">
        <v>22580</v>
      </c>
      <c r="AD7456" s="464">
        <v>1118.5320200000001</v>
      </c>
      <c r="AE7456" s="465">
        <v>53.805430000000001</v>
      </c>
      <c r="AF7456" s="86">
        <f>IF(verze!$E$1="CZK",AD7456,IF(verze!$E$1="SK",AE7456,""))</f>
        <v>53.805430000000001</v>
      </c>
    </row>
    <row r="7457" spans="27:32" ht="15">
      <c r="AA7457" s="463" t="s">
        <v>1320</v>
      </c>
      <c r="AB7457" s="462" t="s">
        <v>22581</v>
      </c>
      <c r="AC7457" s="462" t="s">
        <v>22582</v>
      </c>
      <c r="AD7457" s="464">
        <v>1318.9272000000001</v>
      </c>
      <c r="AE7457" s="465">
        <v>63.445149999999998</v>
      </c>
      <c r="AF7457" s="86">
        <f>IF(verze!$E$1="CZK",AD7457,IF(verze!$E$1="SK",AE7457,""))</f>
        <v>63.445149999999998</v>
      </c>
    </row>
    <row r="7458" spans="27:32" ht="15">
      <c r="AA7458" s="463" t="s">
        <v>1320</v>
      </c>
      <c r="AB7458" s="462" t="s">
        <v>22583</v>
      </c>
      <c r="AC7458" s="462" t="s">
        <v>22584</v>
      </c>
      <c r="AD7458" s="464">
        <v>1140.1579200000001</v>
      </c>
      <c r="AE7458" s="465">
        <v>54.845730000000003</v>
      </c>
      <c r="AF7458" s="86">
        <f>IF(verze!$E$1="CZK",AD7458,IF(verze!$E$1="SK",AE7458,""))</f>
        <v>54.845730000000003</v>
      </c>
    </row>
    <row r="7459" spans="27:32" ht="15">
      <c r="AA7459" s="463" t="s">
        <v>1320</v>
      </c>
      <c r="AB7459" s="462" t="s">
        <v>22585</v>
      </c>
      <c r="AC7459" s="462" t="s">
        <v>22586</v>
      </c>
      <c r="AD7459" s="464">
        <v>1340.5531000000001</v>
      </c>
      <c r="AE7459" s="465">
        <v>64.48545</v>
      </c>
      <c r="AF7459" s="86">
        <f>IF(verze!$E$1="CZK",AD7459,IF(verze!$E$1="SK",AE7459,""))</f>
        <v>64.48545</v>
      </c>
    </row>
    <row r="7460" spans="27:32" ht="15">
      <c r="AA7460" s="463" t="s">
        <v>1320</v>
      </c>
      <c r="AB7460" s="462" t="s">
        <v>22587</v>
      </c>
      <c r="AC7460" s="462" t="s">
        <v>22588</v>
      </c>
      <c r="AD7460" s="464">
        <v>889.32393999999999</v>
      </c>
      <c r="AE7460" s="465">
        <v>42.746929999999999</v>
      </c>
      <c r="AF7460" s="86">
        <f>IF(verze!$E$1="CZK",AD7460,IF(verze!$E$1="SK",AE7460,""))</f>
        <v>42.746929999999999</v>
      </c>
    </row>
    <row r="7461" spans="27:32" ht="15">
      <c r="AA7461" s="463" t="s">
        <v>1320</v>
      </c>
      <c r="AB7461" s="462" t="s">
        <v>22589</v>
      </c>
      <c r="AC7461" s="462" t="s">
        <v>22590</v>
      </c>
      <c r="AD7461" s="464">
        <v>1089.71912</v>
      </c>
      <c r="AE7461" s="465">
        <v>52.386650000000003</v>
      </c>
      <c r="AF7461" s="86">
        <f>IF(verze!$E$1="CZK",AD7461,IF(verze!$E$1="SK",AE7461,""))</f>
        <v>52.386650000000003</v>
      </c>
    </row>
    <row r="7462" spans="27:32" ht="15">
      <c r="AA7462" s="463" t="s">
        <v>1320</v>
      </c>
      <c r="AB7462" s="462" t="s">
        <v>22591</v>
      </c>
      <c r="AC7462" s="462" t="s">
        <v>22592</v>
      </c>
      <c r="AD7462" s="464">
        <v>910.37468000000001</v>
      </c>
      <c r="AE7462" s="465">
        <v>43.737650000000002</v>
      </c>
      <c r="AF7462" s="86">
        <f>IF(verze!$E$1="CZK",AD7462,IF(verze!$E$1="SK",AE7462,""))</f>
        <v>43.737650000000002</v>
      </c>
    </row>
    <row r="7463" spans="27:32" ht="15">
      <c r="AA7463" s="463" t="s">
        <v>1320</v>
      </c>
      <c r="AB7463" s="462" t="s">
        <v>22593</v>
      </c>
      <c r="AC7463" s="462" t="s">
        <v>22594</v>
      </c>
      <c r="AD7463" s="464">
        <v>1110.7698600000001</v>
      </c>
      <c r="AE7463" s="465">
        <v>53.377369999999999</v>
      </c>
      <c r="AF7463" s="86">
        <f>IF(verze!$E$1="CZK",AD7463,IF(verze!$E$1="SK",AE7463,""))</f>
        <v>53.377369999999999</v>
      </c>
    </row>
    <row r="7464" spans="27:32" ht="15">
      <c r="AA7464" s="463" t="s">
        <v>1320</v>
      </c>
      <c r="AB7464" s="462" t="s">
        <v>22595</v>
      </c>
      <c r="AC7464" s="462" t="s">
        <v>22596</v>
      </c>
      <c r="AD7464" s="464">
        <v>952.46812</v>
      </c>
      <c r="AE7464" s="465">
        <v>45.718769999999999</v>
      </c>
      <c r="AF7464" s="86">
        <f>IF(verze!$E$1="CZK",AD7464,IF(verze!$E$1="SK",AE7464,""))</f>
        <v>45.718769999999999</v>
      </c>
    </row>
    <row r="7465" spans="27:32" ht="15">
      <c r="AA7465" s="463" t="s">
        <v>1320</v>
      </c>
      <c r="AB7465" s="462" t="s">
        <v>22597</v>
      </c>
      <c r="AC7465" s="462" t="s">
        <v>22598</v>
      </c>
      <c r="AD7465" s="464">
        <v>1152.8633</v>
      </c>
      <c r="AE7465" s="465">
        <v>55.358490000000003</v>
      </c>
      <c r="AF7465" s="86">
        <f>IF(verze!$E$1="CZK",AD7465,IF(verze!$E$1="SK",AE7465,""))</f>
        <v>55.358490000000003</v>
      </c>
    </row>
    <row r="7466" spans="27:32" ht="15">
      <c r="AA7466" s="463" t="s">
        <v>1320</v>
      </c>
      <c r="AB7466" s="462" t="s">
        <v>22599</v>
      </c>
      <c r="AC7466" s="462" t="s">
        <v>22600</v>
      </c>
      <c r="AD7466" s="464">
        <v>976.68190000000004</v>
      </c>
      <c r="AE7466" s="465">
        <v>46.981949999999998</v>
      </c>
      <c r="AF7466" s="86">
        <f>IF(verze!$E$1="CZK",AD7466,IF(verze!$E$1="SK",AE7466,""))</f>
        <v>46.981949999999998</v>
      </c>
    </row>
    <row r="7467" spans="27:32" ht="15">
      <c r="AA7467" s="463" t="s">
        <v>1320</v>
      </c>
      <c r="AB7467" s="462" t="s">
        <v>22601</v>
      </c>
      <c r="AC7467" s="462" t="s">
        <v>22602</v>
      </c>
      <c r="AD7467" s="464">
        <v>1177.07708</v>
      </c>
      <c r="AE7467" s="465">
        <v>56.621670000000002</v>
      </c>
      <c r="AF7467" s="86">
        <f>IF(verze!$E$1="CZK",AD7467,IF(verze!$E$1="SK",AE7467,""))</f>
        <v>56.621670000000002</v>
      </c>
    </row>
    <row r="7468" spans="27:32" ht="15">
      <c r="AA7468" s="463" t="s">
        <v>1320</v>
      </c>
      <c r="AB7468" s="462" t="s">
        <v>22603</v>
      </c>
      <c r="AC7468" s="462" t="s">
        <v>22604</v>
      </c>
      <c r="AD7468" s="464">
        <v>998.30780000000004</v>
      </c>
      <c r="AE7468" s="465">
        <v>48.02225</v>
      </c>
      <c r="AF7468" s="86">
        <f>IF(verze!$E$1="CZK",AD7468,IF(verze!$E$1="SK",AE7468,""))</f>
        <v>48.02225</v>
      </c>
    </row>
    <row r="7469" spans="27:32" ht="15">
      <c r="AA7469" s="463" t="s">
        <v>1320</v>
      </c>
      <c r="AB7469" s="462" t="s">
        <v>22605</v>
      </c>
      <c r="AC7469" s="462" t="s">
        <v>22606</v>
      </c>
      <c r="AD7469" s="464">
        <v>1198.70298</v>
      </c>
      <c r="AE7469" s="465">
        <v>57.661969999999997</v>
      </c>
      <c r="AF7469" s="86">
        <f>IF(verze!$E$1="CZK",AD7469,IF(verze!$E$1="SK",AE7469,""))</f>
        <v>57.661969999999997</v>
      </c>
    </row>
    <row r="7470" spans="27:32" ht="15">
      <c r="AA7470" s="463" t="s">
        <v>1320</v>
      </c>
      <c r="AB7470" s="462" t="s">
        <v>22607</v>
      </c>
      <c r="AC7470" s="462" t="s">
        <v>22608</v>
      </c>
      <c r="AD7470" s="464">
        <v>1049.6424500000001</v>
      </c>
      <c r="AE7470" s="465">
        <v>50.049889999999998</v>
      </c>
      <c r="AF7470" s="86">
        <f>IF(verze!$E$1="CZK",AD7470,IF(verze!$E$1="SK",AE7470,""))</f>
        <v>50.049889999999998</v>
      </c>
    </row>
    <row r="7471" spans="27:32" ht="15">
      <c r="AA7471" s="463" t="s">
        <v>1320</v>
      </c>
      <c r="AB7471" s="462" t="s">
        <v>22609</v>
      </c>
      <c r="AC7471" s="462" t="s">
        <v>22610</v>
      </c>
      <c r="AD7471" s="464">
        <v>1244.30558</v>
      </c>
      <c r="AE7471" s="465">
        <v>59.21161</v>
      </c>
      <c r="AF7471" s="86">
        <f>IF(verze!$E$1="CZK",AD7471,IF(verze!$E$1="SK",AE7471,""))</f>
        <v>59.21161</v>
      </c>
    </row>
    <row r="7472" spans="27:32" ht="15">
      <c r="AA7472" s="463" t="s">
        <v>1320</v>
      </c>
      <c r="AB7472" s="462" t="s">
        <v>22611</v>
      </c>
      <c r="AC7472" s="462" t="s">
        <v>22612</v>
      </c>
      <c r="AD7472" s="464">
        <v>0</v>
      </c>
      <c r="AE7472" s="465">
        <v>0</v>
      </c>
      <c r="AF7472" s="86">
        <f>IF(verze!$E$1="CZK",AD7472,IF(verze!$E$1="SK",AE7472,""))</f>
        <v>0</v>
      </c>
    </row>
    <row r="7473" spans="27:32" ht="15">
      <c r="AA7473" s="463" t="s">
        <v>1320</v>
      </c>
      <c r="AB7473" s="462" t="s">
        <v>22613</v>
      </c>
      <c r="AC7473" s="462" t="s">
        <v>22614</v>
      </c>
      <c r="AD7473" s="464">
        <v>1059.0215499999999</v>
      </c>
      <c r="AE7473" s="465">
        <v>50.446390000000001</v>
      </c>
      <c r="AF7473" s="86">
        <f>IF(verze!$E$1="CZK",AD7473,IF(verze!$E$1="SK",AE7473,""))</f>
        <v>50.446390000000001</v>
      </c>
    </row>
    <row r="7474" spans="27:32" ht="15">
      <c r="AA7474" s="463" t="s">
        <v>1320</v>
      </c>
      <c r="AB7474" s="462" t="s">
        <v>22615</v>
      </c>
      <c r="AC7474" s="462" t="s">
        <v>22616</v>
      </c>
      <c r="AD7474" s="464">
        <v>1253.6846800000001</v>
      </c>
      <c r="AE7474" s="465">
        <v>59.608110000000003</v>
      </c>
      <c r="AF7474" s="86">
        <f>IF(verze!$E$1="CZK",AD7474,IF(verze!$E$1="SK",AE7474,""))</f>
        <v>59.608110000000003</v>
      </c>
    </row>
    <row r="7475" spans="27:32" ht="15">
      <c r="AA7475" s="463" t="s">
        <v>1320</v>
      </c>
      <c r="AB7475" s="462" t="s">
        <v>22617</v>
      </c>
      <c r="AC7475" s="462" t="s">
        <v>22618</v>
      </c>
      <c r="AD7475" s="464">
        <v>0</v>
      </c>
      <c r="AE7475" s="465">
        <v>0</v>
      </c>
      <c r="AF7475" s="86">
        <f>IF(verze!$E$1="CZK",AD7475,IF(verze!$E$1="SK",AE7475,""))</f>
        <v>0</v>
      </c>
    </row>
    <row r="7476" spans="27:32" ht="15">
      <c r="AA7476" s="463" t="s">
        <v>1320</v>
      </c>
      <c r="AB7476" s="462" t="s">
        <v>22619</v>
      </c>
      <c r="AC7476" s="462" t="s">
        <v>22620</v>
      </c>
      <c r="AD7476" s="464">
        <v>1101.11499</v>
      </c>
      <c r="AE7476" s="465">
        <v>52.427509999999998</v>
      </c>
      <c r="AF7476" s="86">
        <f>IF(verze!$E$1="CZK",AD7476,IF(verze!$E$1="SK",AE7476,""))</f>
        <v>52.427509999999998</v>
      </c>
    </row>
    <row r="7477" spans="27:32" ht="15">
      <c r="AA7477" s="463" t="s">
        <v>1320</v>
      </c>
      <c r="AB7477" s="462" t="s">
        <v>22621</v>
      </c>
      <c r="AC7477" s="462" t="s">
        <v>22622</v>
      </c>
      <c r="AD7477" s="464">
        <v>1295.7781199999999</v>
      </c>
      <c r="AE7477" s="465">
        <v>61.589230000000001</v>
      </c>
      <c r="AF7477" s="86">
        <f>IF(verze!$E$1="CZK",AD7477,IF(verze!$E$1="SK",AE7477,""))</f>
        <v>61.589230000000001</v>
      </c>
    </row>
    <row r="7478" spans="27:32" ht="15">
      <c r="AA7478" s="463" t="s">
        <v>1320</v>
      </c>
      <c r="AB7478" s="462" t="s">
        <v>22623</v>
      </c>
      <c r="AC7478" s="462" t="s">
        <v>22624</v>
      </c>
      <c r="AD7478" s="464">
        <v>0</v>
      </c>
      <c r="AE7478" s="465">
        <v>0</v>
      </c>
      <c r="AF7478" s="86">
        <f>IF(verze!$E$1="CZK",AD7478,IF(verze!$E$1="SK",AE7478,""))</f>
        <v>0</v>
      </c>
    </row>
    <row r="7479" spans="27:32" ht="15">
      <c r="AA7479" s="463" t="s">
        <v>1320</v>
      </c>
      <c r="AB7479" s="462" t="s">
        <v>22625</v>
      </c>
      <c r="AC7479" s="462" t="s">
        <v>22626</v>
      </c>
      <c r="AD7479" s="464">
        <v>1125.3287700000001</v>
      </c>
      <c r="AE7479" s="465">
        <v>53.690689999999996</v>
      </c>
      <c r="AF7479" s="86">
        <f>IF(verze!$E$1="CZK",AD7479,IF(verze!$E$1="SK",AE7479,""))</f>
        <v>53.690689999999996</v>
      </c>
    </row>
    <row r="7480" spans="27:32" ht="15">
      <c r="AA7480" s="463" t="s">
        <v>1320</v>
      </c>
      <c r="AB7480" s="462" t="s">
        <v>22627</v>
      </c>
      <c r="AC7480" s="462" t="s">
        <v>22628</v>
      </c>
      <c r="AD7480" s="464">
        <v>1319.9919</v>
      </c>
      <c r="AE7480" s="465">
        <v>62.852409999999999</v>
      </c>
      <c r="AF7480" s="86">
        <f>IF(verze!$E$1="CZK",AD7480,IF(verze!$E$1="SK",AE7480,""))</f>
        <v>62.852409999999999</v>
      </c>
    </row>
    <row r="7481" spans="27:32" ht="15">
      <c r="AA7481" s="463" t="s">
        <v>1320</v>
      </c>
      <c r="AB7481" s="462" t="s">
        <v>22629</v>
      </c>
      <c r="AC7481" s="462" t="s">
        <v>22630</v>
      </c>
      <c r="AD7481" s="464">
        <v>0</v>
      </c>
      <c r="AE7481" s="465">
        <v>0</v>
      </c>
      <c r="AF7481" s="86">
        <f>IF(verze!$E$1="CZK",AD7481,IF(verze!$E$1="SK",AE7481,""))</f>
        <v>0</v>
      </c>
    </row>
    <row r="7482" spans="27:32" ht="15">
      <c r="AA7482" s="463" t="s">
        <v>1320</v>
      </c>
      <c r="AB7482" s="462" t="s">
        <v>22631</v>
      </c>
      <c r="AC7482" s="462" t="s">
        <v>22632</v>
      </c>
      <c r="AD7482" s="464">
        <v>1146.9546700000001</v>
      </c>
      <c r="AE7482" s="465">
        <v>54.730989999999998</v>
      </c>
      <c r="AF7482" s="86">
        <f>IF(verze!$E$1="CZK",AD7482,IF(verze!$E$1="SK",AE7482,""))</f>
        <v>54.730989999999998</v>
      </c>
    </row>
    <row r="7483" spans="27:32" ht="15">
      <c r="AA7483" s="463" t="s">
        <v>1320</v>
      </c>
      <c r="AB7483" s="462" t="s">
        <v>22633</v>
      </c>
      <c r="AC7483" s="462" t="s">
        <v>22634</v>
      </c>
      <c r="AD7483" s="464">
        <v>1341.6178</v>
      </c>
      <c r="AE7483" s="465">
        <v>63.892710000000001</v>
      </c>
      <c r="AF7483" s="86">
        <f>IF(verze!$E$1="CZK",AD7483,IF(verze!$E$1="SK",AE7483,""))</f>
        <v>63.892710000000001</v>
      </c>
    </row>
    <row r="7484" spans="27:32" ht="15">
      <c r="AA7484" s="463" t="s">
        <v>1320</v>
      </c>
      <c r="AB7484" s="462" t="s">
        <v>22635</v>
      </c>
      <c r="AC7484" s="462" t="s">
        <v>22636</v>
      </c>
      <c r="AD7484" s="464">
        <v>0</v>
      </c>
      <c r="AE7484" s="465">
        <v>0</v>
      </c>
      <c r="AF7484" s="86">
        <f>IF(verze!$E$1="CZK",AD7484,IF(verze!$E$1="SK",AE7484,""))</f>
        <v>0</v>
      </c>
    </row>
    <row r="7485" spans="27:32" ht="15">
      <c r="AA7485" s="463" t="s">
        <v>1320</v>
      </c>
      <c r="AB7485" s="462" t="s">
        <v>22637</v>
      </c>
      <c r="AC7485" s="462" t="s">
        <v>22638</v>
      </c>
      <c r="AD7485" s="464">
        <v>0</v>
      </c>
      <c r="AE7485" s="465">
        <v>0</v>
      </c>
      <c r="AF7485" s="86">
        <f>IF(verze!$E$1="CZK",AD7485,IF(verze!$E$1="SK",AE7485,""))</f>
        <v>0</v>
      </c>
    </row>
    <row r="7486" spans="27:32" ht="15">
      <c r="AA7486" s="463" t="s">
        <v>1320</v>
      </c>
      <c r="AB7486" s="462" t="s">
        <v>22639</v>
      </c>
      <c r="AC7486" s="462" t="s">
        <v>22640</v>
      </c>
      <c r="AD7486" s="464">
        <v>884.43493999999998</v>
      </c>
      <c r="AE7486" s="465">
        <v>41.625700000000002</v>
      </c>
      <c r="AF7486" s="86">
        <f>IF(verze!$E$1="CZK",AD7486,IF(verze!$E$1="SK",AE7486,""))</f>
        <v>41.625700000000002</v>
      </c>
    </row>
    <row r="7487" spans="27:32" ht="15">
      <c r="AA7487" s="463" t="s">
        <v>1320</v>
      </c>
      <c r="AB7487" s="462" t="s">
        <v>22641</v>
      </c>
      <c r="AC7487" s="462" t="s">
        <v>22642</v>
      </c>
      <c r="AD7487" s="464">
        <v>1079.09807</v>
      </c>
      <c r="AE7487" s="465">
        <v>50.787419999999997</v>
      </c>
      <c r="AF7487" s="86">
        <f>IF(verze!$E$1="CZK",AD7487,IF(verze!$E$1="SK",AE7487,""))</f>
        <v>50.787419999999997</v>
      </c>
    </row>
    <row r="7488" spans="27:32" ht="15">
      <c r="AA7488" s="463" t="s">
        <v>1320</v>
      </c>
      <c r="AB7488" s="462" t="s">
        <v>22643</v>
      </c>
      <c r="AC7488" s="462" t="s">
        <v>22644</v>
      </c>
      <c r="AD7488" s="464">
        <v>0</v>
      </c>
      <c r="AE7488" s="465">
        <v>0</v>
      </c>
      <c r="AF7488" s="86">
        <f>IF(verze!$E$1="CZK",AD7488,IF(verze!$E$1="SK",AE7488,""))</f>
        <v>0</v>
      </c>
    </row>
    <row r="7489" spans="27:32" ht="15">
      <c r="AA7489" s="463" t="s">
        <v>1320</v>
      </c>
      <c r="AB7489" s="462" t="s">
        <v>22645</v>
      </c>
      <c r="AC7489" s="462" t="s">
        <v>22646</v>
      </c>
      <c r="AD7489" s="464">
        <v>905.48568</v>
      </c>
      <c r="AE7489" s="465">
        <v>42.616419999999998</v>
      </c>
      <c r="AF7489" s="86">
        <f>IF(verze!$E$1="CZK",AD7489,IF(verze!$E$1="SK",AE7489,""))</f>
        <v>42.616419999999998</v>
      </c>
    </row>
    <row r="7490" spans="27:32" ht="15">
      <c r="AA7490" s="463" t="s">
        <v>1320</v>
      </c>
      <c r="AB7490" s="462" t="s">
        <v>22647</v>
      </c>
      <c r="AC7490" s="462" t="s">
        <v>22648</v>
      </c>
      <c r="AD7490" s="464">
        <v>1100.1488099999999</v>
      </c>
      <c r="AE7490" s="465">
        <v>51.77814</v>
      </c>
      <c r="AF7490" s="86">
        <f>IF(verze!$E$1="CZK",AD7490,IF(verze!$E$1="SK",AE7490,""))</f>
        <v>51.77814</v>
      </c>
    </row>
    <row r="7491" spans="27:32" ht="15">
      <c r="AA7491" s="463" t="s">
        <v>1320</v>
      </c>
      <c r="AB7491" s="462" t="s">
        <v>22649</v>
      </c>
      <c r="AC7491" s="462" t="s">
        <v>22650</v>
      </c>
      <c r="AD7491" s="464">
        <v>0</v>
      </c>
      <c r="AE7491" s="465">
        <v>0</v>
      </c>
      <c r="AF7491" s="86">
        <f>IF(verze!$E$1="CZK",AD7491,IF(verze!$E$1="SK",AE7491,""))</f>
        <v>0</v>
      </c>
    </row>
    <row r="7492" spans="27:32" ht="15">
      <c r="AA7492" s="463" t="s">
        <v>1320</v>
      </c>
      <c r="AB7492" s="462" t="s">
        <v>22651</v>
      </c>
      <c r="AC7492" s="462" t="s">
        <v>22652</v>
      </c>
      <c r="AD7492" s="464">
        <v>947.57911999999999</v>
      </c>
      <c r="AE7492" s="465">
        <v>44.597540000000002</v>
      </c>
      <c r="AF7492" s="86">
        <f>IF(verze!$E$1="CZK",AD7492,IF(verze!$E$1="SK",AE7492,""))</f>
        <v>44.597540000000002</v>
      </c>
    </row>
    <row r="7493" spans="27:32" ht="15">
      <c r="AA7493" s="463" t="s">
        <v>1320</v>
      </c>
      <c r="AB7493" s="462" t="s">
        <v>22653</v>
      </c>
      <c r="AC7493" s="462" t="s">
        <v>22654</v>
      </c>
      <c r="AD7493" s="464">
        <v>1142.24225</v>
      </c>
      <c r="AE7493" s="465">
        <v>53.759259999999998</v>
      </c>
      <c r="AF7493" s="86">
        <f>IF(verze!$E$1="CZK",AD7493,IF(verze!$E$1="SK",AE7493,""))</f>
        <v>53.759259999999998</v>
      </c>
    </row>
    <row r="7494" spans="27:32" ht="15">
      <c r="AA7494" s="463" t="s">
        <v>1320</v>
      </c>
      <c r="AB7494" s="462" t="s">
        <v>22655</v>
      </c>
      <c r="AC7494" s="462" t="s">
        <v>22656</v>
      </c>
      <c r="AD7494" s="464">
        <v>0</v>
      </c>
      <c r="AE7494" s="465">
        <v>0</v>
      </c>
      <c r="AF7494" s="86">
        <f>IF(verze!$E$1="CZK",AD7494,IF(verze!$E$1="SK",AE7494,""))</f>
        <v>0</v>
      </c>
    </row>
    <row r="7495" spans="27:32" ht="15">
      <c r="AA7495" s="463" t="s">
        <v>1320</v>
      </c>
      <c r="AB7495" s="462" t="s">
        <v>22657</v>
      </c>
      <c r="AC7495" s="462" t="s">
        <v>22658</v>
      </c>
      <c r="AD7495" s="464">
        <v>971.79290000000003</v>
      </c>
      <c r="AE7495" s="465">
        <v>45.860720000000001</v>
      </c>
      <c r="AF7495" s="86">
        <f>IF(verze!$E$1="CZK",AD7495,IF(verze!$E$1="SK",AE7495,""))</f>
        <v>45.860720000000001</v>
      </c>
    </row>
    <row r="7496" spans="27:32" ht="15">
      <c r="AA7496" s="463" t="s">
        <v>1320</v>
      </c>
      <c r="AB7496" s="462" t="s">
        <v>22659</v>
      </c>
      <c r="AC7496" s="462" t="s">
        <v>22660</v>
      </c>
      <c r="AD7496" s="464">
        <v>1166.4560300000001</v>
      </c>
      <c r="AE7496" s="465">
        <v>55.022440000000003</v>
      </c>
      <c r="AF7496" s="86">
        <f>IF(verze!$E$1="CZK",AD7496,IF(verze!$E$1="SK",AE7496,""))</f>
        <v>55.022440000000003</v>
      </c>
    </row>
    <row r="7497" spans="27:32" ht="15">
      <c r="AA7497" s="463" t="s">
        <v>1320</v>
      </c>
      <c r="AB7497" s="462" t="s">
        <v>22661</v>
      </c>
      <c r="AC7497" s="462" t="s">
        <v>22662</v>
      </c>
      <c r="AD7497" s="464">
        <v>0</v>
      </c>
      <c r="AE7497" s="465">
        <v>0</v>
      </c>
      <c r="AF7497" s="86">
        <f>IF(verze!$E$1="CZK",AD7497,IF(verze!$E$1="SK",AE7497,""))</f>
        <v>0</v>
      </c>
    </row>
    <row r="7498" spans="27:32" ht="15">
      <c r="AA7498" s="463" t="s">
        <v>1320</v>
      </c>
      <c r="AB7498" s="462" t="s">
        <v>22663</v>
      </c>
      <c r="AC7498" s="462" t="s">
        <v>22664</v>
      </c>
      <c r="AD7498" s="464">
        <v>993.41880000000003</v>
      </c>
      <c r="AE7498" s="465">
        <v>46.901020000000003</v>
      </c>
      <c r="AF7498" s="86">
        <f>IF(verze!$E$1="CZK",AD7498,IF(verze!$E$1="SK",AE7498,""))</f>
        <v>46.901020000000003</v>
      </c>
    </row>
    <row r="7499" spans="27:32" ht="15">
      <c r="AA7499" s="463" t="s">
        <v>1320</v>
      </c>
      <c r="AB7499" s="462" t="s">
        <v>22665</v>
      </c>
      <c r="AC7499" s="462" t="s">
        <v>22666</v>
      </c>
      <c r="AD7499" s="464">
        <v>1188.0819300000001</v>
      </c>
      <c r="AE7499" s="465">
        <v>56.062739999999998</v>
      </c>
      <c r="AF7499" s="86">
        <f>IF(verze!$E$1="CZK",AD7499,IF(verze!$E$1="SK",AE7499,""))</f>
        <v>56.062739999999998</v>
      </c>
    </row>
    <row r="7500" spans="27:32" ht="15">
      <c r="AA7500" s="463" t="s">
        <v>1320</v>
      </c>
      <c r="AB7500" s="462" t="s">
        <v>22667</v>
      </c>
      <c r="AC7500" s="462" t="s">
        <v>22668</v>
      </c>
      <c r="AD7500" s="464">
        <v>0</v>
      </c>
      <c r="AE7500" s="465">
        <v>0</v>
      </c>
      <c r="AF7500" s="86">
        <f>IF(verze!$E$1="CZK",AD7500,IF(verze!$E$1="SK",AE7500,""))</f>
        <v>0</v>
      </c>
    </row>
    <row r="7501" spans="27:32" ht="15">
      <c r="AA7501" s="463" t="s">
        <v>1320</v>
      </c>
      <c r="AB7501" s="462" t="s">
        <v>22669</v>
      </c>
      <c r="AC7501" s="462" t="s">
        <v>22670</v>
      </c>
      <c r="AD7501" s="464">
        <v>1096.69246</v>
      </c>
      <c r="AE7501" s="465">
        <v>52.75488</v>
      </c>
      <c r="AF7501" s="86">
        <f>IF(verze!$E$1="CZK",AD7501,IF(verze!$E$1="SK",AE7501,""))</f>
        <v>52.75488</v>
      </c>
    </row>
    <row r="7502" spans="27:32" ht="15">
      <c r="AA7502" s="463" t="s">
        <v>1320</v>
      </c>
      <c r="AB7502" s="462" t="s">
        <v>22671</v>
      </c>
      <c r="AC7502" s="462" t="s">
        <v>22672</v>
      </c>
      <c r="AD7502" s="464">
        <v>1296.26109</v>
      </c>
      <c r="AE7502" s="465">
        <v>62.354840000000003</v>
      </c>
      <c r="AF7502" s="86">
        <f>IF(verze!$E$1="CZK",AD7502,IF(verze!$E$1="SK",AE7502,""))</f>
        <v>62.354840000000003</v>
      </c>
    </row>
    <row r="7503" spans="27:32" ht="15">
      <c r="AA7503" s="463" t="s">
        <v>1320</v>
      </c>
      <c r="AB7503" s="462" t="s">
        <v>22673</v>
      </c>
      <c r="AC7503" s="462" t="s">
        <v>22674</v>
      </c>
      <c r="AD7503" s="464">
        <v>0</v>
      </c>
      <c r="AE7503" s="465">
        <v>0</v>
      </c>
      <c r="AF7503" s="86">
        <f>IF(verze!$E$1="CZK",AD7503,IF(verze!$E$1="SK",AE7503,""))</f>
        <v>0</v>
      </c>
    </row>
    <row r="7504" spans="27:32" ht="15">
      <c r="AA7504" s="463" t="s">
        <v>1320</v>
      </c>
      <c r="AB7504" s="462" t="s">
        <v>22675</v>
      </c>
      <c r="AC7504" s="462" t="s">
        <v>22676</v>
      </c>
      <c r="AD7504" s="464">
        <v>1106.0715600000001</v>
      </c>
      <c r="AE7504" s="465">
        <v>53.151380000000003</v>
      </c>
      <c r="AF7504" s="86">
        <f>IF(verze!$E$1="CZK",AD7504,IF(verze!$E$1="SK",AE7504,""))</f>
        <v>53.151380000000003</v>
      </c>
    </row>
    <row r="7505" spans="27:32" ht="15">
      <c r="AA7505" s="463" t="s">
        <v>1320</v>
      </c>
      <c r="AB7505" s="462" t="s">
        <v>22677</v>
      </c>
      <c r="AC7505" s="462" t="s">
        <v>22678</v>
      </c>
      <c r="AD7505" s="464">
        <v>1305.6401900000001</v>
      </c>
      <c r="AE7505" s="465">
        <v>62.751339999999999</v>
      </c>
      <c r="AF7505" s="86">
        <f>IF(verze!$E$1="CZK",AD7505,IF(verze!$E$1="SK",AE7505,""))</f>
        <v>62.751339999999999</v>
      </c>
    </row>
    <row r="7506" spans="27:32" ht="15">
      <c r="AA7506" s="463" t="s">
        <v>1320</v>
      </c>
      <c r="AB7506" s="462" t="s">
        <v>22679</v>
      </c>
      <c r="AC7506" s="462" t="s">
        <v>22680</v>
      </c>
      <c r="AD7506" s="464">
        <v>0</v>
      </c>
      <c r="AE7506" s="465">
        <v>0</v>
      </c>
      <c r="AF7506" s="86">
        <f>IF(verze!$E$1="CZK",AD7506,IF(verze!$E$1="SK",AE7506,""))</f>
        <v>0</v>
      </c>
    </row>
    <row r="7507" spans="27:32" ht="15">
      <c r="AA7507" s="463" t="s">
        <v>1320</v>
      </c>
      <c r="AB7507" s="462" t="s">
        <v>22681</v>
      </c>
      <c r="AC7507" s="462" t="s">
        <v>22682</v>
      </c>
      <c r="AD7507" s="464">
        <v>1148.165</v>
      </c>
      <c r="AE7507" s="465">
        <v>55.1325</v>
      </c>
      <c r="AF7507" s="86">
        <f>IF(verze!$E$1="CZK",AD7507,IF(verze!$E$1="SK",AE7507,""))</f>
        <v>55.1325</v>
      </c>
    </row>
    <row r="7508" spans="27:32" ht="15">
      <c r="AA7508" s="463" t="s">
        <v>1320</v>
      </c>
      <c r="AB7508" s="462" t="s">
        <v>22683</v>
      </c>
      <c r="AC7508" s="462" t="s">
        <v>22684</v>
      </c>
      <c r="AD7508" s="464">
        <v>1347.7336299999999</v>
      </c>
      <c r="AE7508" s="465">
        <v>64.732460000000003</v>
      </c>
      <c r="AF7508" s="86">
        <f>IF(verze!$E$1="CZK",AD7508,IF(verze!$E$1="SK",AE7508,""))</f>
        <v>64.732460000000003</v>
      </c>
    </row>
    <row r="7509" spans="27:32" ht="15">
      <c r="AA7509" s="463" t="s">
        <v>1320</v>
      </c>
      <c r="AB7509" s="462" t="s">
        <v>22685</v>
      </c>
      <c r="AC7509" s="462" t="s">
        <v>22686</v>
      </c>
      <c r="AD7509" s="464">
        <v>0</v>
      </c>
      <c r="AE7509" s="465">
        <v>0</v>
      </c>
      <c r="AF7509" s="86">
        <f>IF(verze!$E$1="CZK",AD7509,IF(verze!$E$1="SK",AE7509,""))</f>
        <v>0</v>
      </c>
    </row>
    <row r="7510" spans="27:32" ht="15">
      <c r="AA7510" s="463" t="s">
        <v>1320</v>
      </c>
      <c r="AB7510" s="462" t="s">
        <v>22687</v>
      </c>
      <c r="AC7510" s="462" t="s">
        <v>22688</v>
      </c>
      <c r="AD7510" s="464">
        <v>1172.37878</v>
      </c>
      <c r="AE7510" s="465">
        <v>56.395679999999999</v>
      </c>
      <c r="AF7510" s="86">
        <f>IF(verze!$E$1="CZK",AD7510,IF(verze!$E$1="SK",AE7510,""))</f>
        <v>56.395679999999999</v>
      </c>
    </row>
    <row r="7511" spans="27:32" ht="15">
      <c r="AA7511" s="463" t="s">
        <v>1320</v>
      </c>
      <c r="AB7511" s="462" t="s">
        <v>22689</v>
      </c>
      <c r="AC7511" s="462" t="s">
        <v>22690</v>
      </c>
      <c r="AD7511" s="464">
        <v>1371.94741</v>
      </c>
      <c r="AE7511" s="465">
        <v>65.995639999999995</v>
      </c>
      <c r="AF7511" s="86">
        <f>IF(verze!$E$1="CZK",AD7511,IF(verze!$E$1="SK",AE7511,""))</f>
        <v>65.995639999999995</v>
      </c>
    </row>
    <row r="7512" spans="27:32" ht="15">
      <c r="AA7512" s="463" t="s">
        <v>1320</v>
      </c>
      <c r="AB7512" s="462" t="s">
        <v>22691</v>
      </c>
      <c r="AC7512" s="462" t="s">
        <v>22692</v>
      </c>
      <c r="AD7512" s="464">
        <v>0</v>
      </c>
      <c r="AE7512" s="465">
        <v>0</v>
      </c>
      <c r="AF7512" s="86">
        <f>IF(verze!$E$1="CZK",AD7512,IF(verze!$E$1="SK",AE7512,""))</f>
        <v>0</v>
      </c>
    </row>
    <row r="7513" spans="27:32" ht="15">
      <c r="AA7513" s="463" t="s">
        <v>1320</v>
      </c>
      <c r="AB7513" s="462" t="s">
        <v>22693</v>
      </c>
      <c r="AC7513" s="462" t="s">
        <v>22694</v>
      </c>
      <c r="AD7513" s="464">
        <v>1194.00468</v>
      </c>
      <c r="AE7513" s="465">
        <v>57.435980000000001</v>
      </c>
      <c r="AF7513" s="86">
        <f>IF(verze!$E$1="CZK",AD7513,IF(verze!$E$1="SK",AE7513,""))</f>
        <v>57.435980000000001</v>
      </c>
    </row>
    <row r="7514" spans="27:32" ht="15">
      <c r="AA7514" s="463" t="s">
        <v>1320</v>
      </c>
      <c r="AB7514" s="462" t="s">
        <v>22695</v>
      </c>
      <c r="AC7514" s="462" t="s">
        <v>22696</v>
      </c>
      <c r="AD7514" s="464">
        <v>1393.57331</v>
      </c>
      <c r="AE7514" s="465">
        <v>67.035939999999997</v>
      </c>
      <c r="AF7514" s="86">
        <f>IF(verze!$E$1="CZK",AD7514,IF(verze!$E$1="SK",AE7514,""))</f>
        <v>67.035939999999997</v>
      </c>
    </row>
    <row r="7515" spans="27:32" ht="15">
      <c r="AA7515" s="463" t="s">
        <v>1320</v>
      </c>
      <c r="AB7515" s="462" t="s">
        <v>22697</v>
      </c>
      <c r="AC7515" s="462" t="s">
        <v>22698</v>
      </c>
      <c r="AD7515" s="464">
        <v>0</v>
      </c>
      <c r="AE7515" s="465">
        <v>0</v>
      </c>
      <c r="AF7515" s="86">
        <f>IF(verze!$E$1="CZK",AD7515,IF(verze!$E$1="SK",AE7515,""))</f>
        <v>0</v>
      </c>
    </row>
    <row r="7516" spans="27:32" ht="15">
      <c r="AA7516" s="463" t="s">
        <v>1320</v>
      </c>
      <c r="AB7516" s="462" t="s">
        <v>22699</v>
      </c>
      <c r="AC7516" s="462" t="s">
        <v>22700</v>
      </c>
      <c r="AD7516" s="464">
        <v>943.17061000000001</v>
      </c>
      <c r="AE7516" s="465">
        <v>45.337150000000001</v>
      </c>
      <c r="AF7516" s="86">
        <f>IF(verze!$E$1="CZK",AD7516,IF(verze!$E$1="SK",AE7516,""))</f>
        <v>45.337150000000001</v>
      </c>
    </row>
    <row r="7517" spans="27:32" ht="15">
      <c r="AA7517" s="463" t="s">
        <v>1320</v>
      </c>
      <c r="AB7517" s="462" t="s">
        <v>22701</v>
      </c>
      <c r="AC7517" s="462" t="s">
        <v>22702</v>
      </c>
      <c r="AD7517" s="464">
        <v>1142.7392400000001</v>
      </c>
      <c r="AE7517" s="465">
        <v>54.937109999999997</v>
      </c>
      <c r="AF7517" s="86">
        <f>IF(verze!$E$1="CZK",AD7517,IF(verze!$E$1="SK",AE7517,""))</f>
        <v>54.937109999999997</v>
      </c>
    </row>
    <row r="7518" spans="27:32" ht="15">
      <c r="AA7518" s="463" t="s">
        <v>1320</v>
      </c>
      <c r="AB7518" s="462" t="s">
        <v>22703</v>
      </c>
      <c r="AC7518" s="462" t="s">
        <v>22704</v>
      </c>
      <c r="AD7518" s="464">
        <v>0</v>
      </c>
      <c r="AE7518" s="465">
        <v>0</v>
      </c>
      <c r="AF7518" s="86">
        <f>IF(verze!$E$1="CZK",AD7518,IF(verze!$E$1="SK",AE7518,""))</f>
        <v>0</v>
      </c>
    </row>
    <row r="7519" spans="27:32" ht="15">
      <c r="AA7519" s="463" t="s">
        <v>1320</v>
      </c>
      <c r="AB7519" s="462" t="s">
        <v>22705</v>
      </c>
      <c r="AC7519" s="462" t="s">
        <v>22706</v>
      </c>
      <c r="AD7519" s="464">
        <v>964.22135000000003</v>
      </c>
      <c r="AE7519" s="465">
        <v>46.327869999999997</v>
      </c>
      <c r="AF7519" s="86">
        <f>IF(verze!$E$1="CZK",AD7519,IF(verze!$E$1="SK",AE7519,""))</f>
        <v>46.327869999999997</v>
      </c>
    </row>
    <row r="7520" spans="27:32" ht="15">
      <c r="AA7520" s="463" t="s">
        <v>1320</v>
      </c>
      <c r="AB7520" s="462" t="s">
        <v>22707</v>
      </c>
      <c r="AC7520" s="462" t="s">
        <v>22708</v>
      </c>
      <c r="AD7520" s="464">
        <v>1163.78998</v>
      </c>
      <c r="AE7520" s="465">
        <v>55.92783</v>
      </c>
      <c r="AF7520" s="86">
        <f>IF(verze!$E$1="CZK",AD7520,IF(verze!$E$1="SK",AE7520,""))</f>
        <v>55.92783</v>
      </c>
    </row>
    <row r="7521" spans="27:32" ht="15">
      <c r="AA7521" s="463" t="s">
        <v>1320</v>
      </c>
      <c r="AB7521" s="462" t="s">
        <v>22709</v>
      </c>
      <c r="AC7521" s="462" t="s">
        <v>22710</v>
      </c>
      <c r="AD7521" s="464">
        <v>0</v>
      </c>
      <c r="AE7521" s="465">
        <v>0</v>
      </c>
      <c r="AF7521" s="86">
        <f>IF(verze!$E$1="CZK",AD7521,IF(verze!$E$1="SK",AE7521,""))</f>
        <v>0</v>
      </c>
    </row>
    <row r="7522" spans="27:32" ht="15">
      <c r="AA7522" s="463" t="s">
        <v>1320</v>
      </c>
      <c r="AB7522" s="462" t="s">
        <v>22711</v>
      </c>
      <c r="AC7522" s="462" t="s">
        <v>22712</v>
      </c>
      <c r="AD7522" s="464">
        <v>1006.31479</v>
      </c>
      <c r="AE7522" s="465">
        <v>48.308990000000001</v>
      </c>
      <c r="AF7522" s="86">
        <f>IF(verze!$E$1="CZK",AD7522,IF(verze!$E$1="SK",AE7522,""))</f>
        <v>48.308990000000001</v>
      </c>
    </row>
    <row r="7523" spans="27:32" ht="15">
      <c r="AA7523" s="463" t="s">
        <v>1320</v>
      </c>
      <c r="AB7523" s="462" t="s">
        <v>22713</v>
      </c>
      <c r="AC7523" s="462" t="s">
        <v>22714</v>
      </c>
      <c r="AD7523" s="464">
        <v>1205.8834199999999</v>
      </c>
      <c r="AE7523" s="465">
        <v>57.908949999999997</v>
      </c>
      <c r="AF7523" s="86">
        <f>IF(verze!$E$1="CZK",AD7523,IF(verze!$E$1="SK",AE7523,""))</f>
        <v>57.908949999999997</v>
      </c>
    </row>
    <row r="7524" spans="27:32" ht="15">
      <c r="AA7524" s="463" t="s">
        <v>1320</v>
      </c>
      <c r="AB7524" s="462" t="s">
        <v>22715</v>
      </c>
      <c r="AC7524" s="462" t="s">
        <v>22716</v>
      </c>
      <c r="AD7524" s="464">
        <v>0</v>
      </c>
      <c r="AE7524" s="465">
        <v>0</v>
      </c>
      <c r="AF7524" s="86">
        <f>IF(verze!$E$1="CZK",AD7524,IF(verze!$E$1="SK",AE7524,""))</f>
        <v>0</v>
      </c>
    </row>
    <row r="7525" spans="27:32" ht="15">
      <c r="AA7525" s="463" t="s">
        <v>1320</v>
      </c>
      <c r="AB7525" s="462" t="s">
        <v>22717</v>
      </c>
      <c r="AC7525" s="462" t="s">
        <v>22718</v>
      </c>
      <c r="AD7525" s="464">
        <v>1030.5285699999999</v>
      </c>
      <c r="AE7525" s="465">
        <v>49.57217</v>
      </c>
      <c r="AF7525" s="86">
        <f>IF(verze!$E$1="CZK",AD7525,IF(verze!$E$1="SK",AE7525,""))</f>
        <v>49.57217</v>
      </c>
    </row>
    <row r="7526" spans="27:32" ht="15">
      <c r="AA7526" s="463" t="s">
        <v>1320</v>
      </c>
      <c r="AB7526" s="462" t="s">
        <v>22719</v>
      </c>
      <c r="AC7526" s="462" t="s">
        <v>22720</v>
      </c>
      <c r="AD7526" s="464">
        <v>1230.0971999999999</v>
      </c>
      <c r="AE7526" s="465">
        <v>59.172130000000003</v>
      </c>
      <c r="AF7526" s="86">
        <f>IF(verze!$E$1="CZK",AD7526,IF(verze!$E$1="SK",AE7526,""))</f>
        <v>59.172130000000003</v>
      </c>
    </row>
    <row r="7527" spans="27:32" ht="15">
      <c r="AA7527" s="463" t="s">
        <v>1320</v>
      </c>
      <c r="AB7527" s="462" t="s">
        <v>22721</v>
      </c>
      <c r="AC7527" s="462" t="s">
        <v>22722</v>
      </c>
      <c r="AD7527" s="464">
        <v>0</v>
      </c>
      <c r="AE7527" s="465">
        <v>0</v>
      </c>
      <c r="AF7527" s="86">
        <f>IF(verze!$E$1="CZK",AD7527,IF(verze!$E$1="SK",AE7527,""))</f>
        <v>0</v>
      </c>
    </row>
    <row r="7528" spans="27:32" ht="15">
      <c r="AA7528" s="463" t="s">
        <v>1320</v>
      </c>
      <c r="AB7528" s="462" t="s">
        <v>22723</v>
      </c>
      <c r="AC7528" s="462" t="s">
        <v>22724</v>
      </c>
      <c r="AD7528" s="464">
        <v>1052.1544699999999</v>
      </c>
      <c r="AE7528" s="465">
        <v>50.612470000000002</v>
      </c>
      <c r="AF7528" s="86">
        <f>IF(verze!$E$1="CZK",AD7528,IF(verze!$E$1="SK",AE7528,""))</f>
        <v>50.612470000000002</v>
      </c>
    </row>
    <row r="7529" spans="27:32" ht="15">
      <c r="AA7529" s="463" t="s">
        <v>1320</v>
      </c>
      <c r="AB7529" s="462" t="s">
        <v>22725</v>
      </c>
      <c r="AC7529" s="462" t="s">
        <v>22726</v>
      </c>
      <c r="AD7529" s="464">
        <v>1251.7230999999999</v>
      </c>
      <c r="AE7529" s="465">
        <v>60.212429999999998</v>
      </c>
      <c r="AF7529" s="86">
        <f>IF(verze!$E$1="CZK",AD7529,IF(verze!$E$1="SK",AE7529,""))</f>
        <v>60.212429999999998</v>
      </c>
    </row>
    <row r="7530" spans="27:32" ht="15">
      <c r="AA7530" s="463" t="s">
        <v>1320</v>
      </c>
      <c r="AB7530" s="462" t="s">
        <v>22727</v>
      </c>
      <c r="AC7530" s="462" t="s">
        <v>22728</v>
      </c>
      <c r="AD7530" s="464">
        <v>0</v>
      </c>
      <c r="AE7530" s="465">
        <v>0</v>
      </c>
      <c r="AF7530" s="86">
        <f>IF(verze!$E$1="CZK",AD7530,IF(verze!$E$1="SK",AE7530,""))</f>
        <v>0</v>
      </c>
    </row>
    <row r="7531" spans="27:32" ht="15">
      <c r="AA7531" s="463" t="s">
        <v>1320</v>
      </c>
      <c r="AB7531" s="462" t="s">
        <v>22729</v>
      </c>
      <c r="AC7531" s="462" t="s">
        <v>22730</v>
      </c>
      <c r="AD7531" s="464">
        <v>1249.5385799999999</v>
      </c>
      <c r="AE7531" s="465">
        <v>60.107320000000001</v>
      </c>
      <c r="AF7531" s="86">
        <f>IF(verze!$E$1="CZK",AD7531,IF(verze!$E$1="SK",AE7531,""))</f>
        <v>60.107320000000001</v>
      </c>
    </row>
    <row r="7532" spans="27:32" ht="15">
      <c r="AA7532" s="463" t="s">
        <v>1320</v>
      </c>
      <c r="AB7532" s="462" t="s">
        <v>22731</v>
      </c>
      <c r="AC7532" s="462" t="s">
        <v>22732</v>
      </c>
      <c r="AD7532" s="464">
        <v>1366.3061299999999</v>
      </c>
      <c r="AE7532" s="465">
        <v>65.724249999999998</v>
      </c>
      <c r="AF7532" s="86">
        <f>IF(verze!$E$1="CZK",AD7532,IF(verze!$E$1="SK",AE7532,""))</f>
        <v>65.724249999999998</v>
      </c>
    </row>
    <row r="7533" spans="27:32" ht="15">
      <c r="AA7533" s="463" t="s">
        <v>1320</v>
      </c>
      <c r="AB7533" s="462" t="s">
        <v>22733</v>
      </c>
      <c r="AC7533" s="462" t="s">
        <v>22734</v>
      </c>
      <c r="AD7533" s="464">
        <v>0</v>
      </c>
      <c r="AE7533" s="465">
        <v>0</v>
      </c>
      <c r="AF7533" s="86">
        <f>IF(verze!$E$1="CZK",AD7533,IF(verze!$E$1="SK",AE7533,""))</f>
        <v>0</v>
      </c>
    </row>
    <row r="7534" spans="27:32" ht="15">
      <c r="AA7534" s="463" t="s">
        <v>1320</v>
      </c>
      <c r="AB7534" s="462" t="s">
        <v>22735</v>
      </c>
      <c r="AC7534" s="462" t="s">
        <v>22736</v>
      </c>
      <c r="AD7534" s="464">
        <v>1258.91768</v>
      </c>
      <c r="AE7534" s="465">
        <v>60.503819999999997</v>
      </c>
      <c r="AF7534" s="86">
        <f>IF(verze!$E$1="CZK",AD7534,IF(verze!$E$1="SK",AE7534,""))</f>
        <v>60.503819999999997</v>
      </c>
    </row>
    <row r="7535" spans="27:32" ht="15">
      <c r="AA7535" s="463" t="s">
        <v>1320</v>
      </c>
      <c r="AB7535" s="462" t="s">
        <v>22737</v>
      </c>
      <c r="AC7535" s="462" t="s">
        <v>22738</v>
      </c>
      <c r="AD7535" s="464">
        <v>1375.68523</v>
      </c>
      <c r="AE7535" s="465">
        <v>66.120750000000001</v>
      </c>
      <c r="AF7535" s="86">
        <f>IF(verze!$E$1="CZK",AD7535,IF(verze!$E$1="SK",AE7535,""))</f>
        <v>66.120750000000001</v>
      </c>
    </row>
    <row r="7536" spans="27:32" ht="15">
      <c r="AA7536" s="463" t="s">
        <v>1320</v>
      </c>
      <c r="AB7536" s="462" t="s">
        <v>22739</v>
      </c>
      <c r="AC7536" s="462" t="s">
        <v>22740</v>
      </c>
      <c r="AD7536" s="464">
        <v>0</v>
      </c>
      <c r="AE7536" s="465">
        <v>0</v>
      </c>
      <c r="AF7536" s="86">
        <f>IF(verze!$E$1="CZK",AD7536,IF(verze!$E$1="SK",AE7536,""))</f>
        <v>0</v>
      </c>
    </row>
    <row r="7537" spans="27:32" ht="15">
      <c r="AA7537" s="463" t="s">
        <v>1320</v>
      </c>
      <c r="AB7537" s="462" t="s">
        <v>22741</v>
      </c>
      <c r="AC7537" s="462" t="s">
        <v>22742</v>
      </c>
      <c r="AD7537" s="464">
        <v>1301.0111199999999</v>
      </c>
      <c r="AE7537" s="465">
        <v>62.484940000000002</v>
      </c>
      <c r="AF7537" s="86">
        <f>IF(verze!$E$1="CZK",AD7537,IF(verze!$E$1="SK",AE7537,""))</f>
        <v>62.484940000000002</v>
      </c>
    </row>
    <row r="7538" spans="27:32" ht="15">
      <c r="AA7538" s="463" t="s">
        <v>1320</v>
      </c>
      <c r="AB7538" s="462" t="s">
        <v>22743</v>
      </c>
      <c r="AC7538" s="462" t="s">
        <v>22744</v>
      </c>
      <c r="AD7538" s="464">
        <v>1417.7786699999999</v>
      </c>
      <c r="AE7538" s="465">
        <v>68.101870000000005</v>
      </c>
      <c r="AF7538" s="86">
        <f>IF(verze!$E$1="CZK",AD7538,IF(verze!$E$1="SK",AE7538,""))</f>
        <v>68.101870000000005</v>
      </c>
    </row>
    <row r="7539" spans="27:32" ht="15">
      <c r="AA7539" s="463" t="s">
        <v>1320</v>
      </c>
      <c r="AB7539" s="462" t="s">
        <v>22745</v>
      </c>
      <c r="AC7539" s="462" t="s">
        <v>22746</v>
      </c>
      <c r="AD7539" s="464">
        <v>0</v>
      </c>
      <c r="AE7539" s="465">
        <v>0</v>
      </c>
      <c r="AF7539" s="86">
        <f>IF(verze!$E$1="CZK",AD7539,IF(verze!$E$1="SK",AE7539,""))</f>
        <v>0</v>
      </c>
    </row>
    <row r="7540" spans="27:32" ht="15">
      <c r="AA7540" s="463" t="s">
        <v>1320</v>
      </c>
      <c r="AB7540" s="462" t="s">
        <v>22747</v>
      </c>
      <c r="AC7540" s="462" t="s">
        <v>22748</v>
      </c>
      <c r="AD7540" s="464">
        <v>1183.3746699999999</v>
      </c>
      <c r="AE7540" s="465">
        <v>56.924610000000001</v>
      </c>
      <c r="AF7540" s="86">
        <f>IF(verze!$E$1="CZK",AD7540,IF(verze!$E$1="SK",AE7540,""))</f>
        <v>56.924610000000001</v>
      </c>
    </row>
    <row r="7541" spans="27:32" ht="15">
      <c r="AA7541" s="463" t="s">
        <v>1320</v>
      </c>
      <c r="AB7541" s="462" t="s">
        <v>22749</v>
      </c>
      <c r="AC7541" s="462" t="s">
        <v>22750</v>
      </c>
      <c r="AD7541" s="464">
        <v>1441.99245</v>
      </c>
      <c r="AE7541" s="465">
        <v>69.365049999999997</v>
      </c>
      <c r="AF7541" s="86">
        <f>IF(verze!$E$1="CZK",AD7541,IF(verze!$E$1="SK",AE7541,""))</f>
        <v>69.365049999999997</v>
      </c>
    </row>
    <row r="7542" spans="27:32" ht="15">
      <c r="AA7542" s="463" t="s">
        <v>1320</v>
      </c>
      <c r="AB7542" s="462" t="s">
        <v>22751</v>
      </c>
      <c r="AC7542" s="462" t="s">
        <v>22752</v>
      </c>
      <c r="AD7542" s="464">
        <v>0</v>
      </c>
      <c r="AE7542" s="465">
        <v>0</v>
      </c>
      <c r="AF7542" s="86">
        <f>IF(verze!$E$1="CZK",AD7542,IF(verze!$E$1="SK",AE7542,""))</f>
        <v>0</v>
      </c>
    </row>
    <row r="7543" spans="27:32" ht="15">
      <c r="AA7543" s="463" t="s">
        <v>1320</v>
      </c>
      <c r="AB7543" s="462" t="s">
        <v>22753</v>
      </c>
      <c r="AC7543" s="462" t="s">
        <v>22754</v>
      </c>
      <c r="AD7543" s="464">
        <v>1346.8507999999999</v>
      </c>
      <c r="AE7543" s="465">
        <v>64.788420000000002</v>
      </c>
      <c r="AF7543" s="86">
        <f>IF(verze!$E$1="CZK",AD7543,IF(verze!$E$1="SK",AE7543,""))</f>
        <v>64.788420000000002</v>
      </c>
    </row>
    <row r="7544" spans="27:32" ht="15">
      <c r="AA7544" s="463" t="s">
        <v>1320</v>
      </c>
      <c r="AB7544" s="462" t="s">
        <v>22755</v>
      </c>
      <c r="AC7544" s="462" t="s">
        <v>22756</v>
      </c>
      <c r="AD7544" s="464">
        <v>1463.61835</v>
      </c>
      <c r="AE7544" s="465">
        <v>70.405349999999999</v>
      </c>
      <c r="AF7544" s="86">
        <f>IF(verze!$E$1="CZK",AD7544,IF(verze!$E$1="SK",AE7544,""))</f>
        <v>70.405349999999999</v>
      </c>
    </row>
    <row r="7545" spans="27:32" ht="15">
      <c r="AA7545" s="463" t="s">
        <v>1320</v>
      </c>
      <c r="AB7545" s="462" t="s">
        <v>22757</v>
      </c>
      <c r="AC7545" s="462" t="s">
        <v>22758</v>
      </c>
      <c r="AD7545" s="464">
        <v>0</v>
      </c>
      <c r="AE7545" s="465">
        <v>0</v>
      </c>
      <c r="AF7545" s="86">
        <f>IF(verze!$E$1="CZK",AD7545,IF(verze!$E$1="SK",AE7545,""))</f>
        <v>0</v>
      </c>
    </row>
    <row r="7546" spans="27:32" ht="15">
      <c r="AA7546" s="463" t="s">
        <v>1320</v>
      </c>
      <c r="AB7546" s="462" t="s">
        <v>22759</v>
      </c>
      <c r="AC7546" s="462" t="s">
        <v>22760</v>
      </c>
      <c r="AD7546" s="464">
        <v>1096.0167100000001</v>
      </c>
      <c r="AE7546" s="465">
        <v>52.689590000000003</v>
      </c>
      <c r="AF7546" s="86">
        <f>IF(verze!$E$1="CZK",AD7546,IF(verze!$E$1="SK",AE7546,""))</f>
        <v>52.689590000000003</v>
      </c>
    </row>
    <row r="7547" spans="27:32" ht="15">
      <c r="AA7547" s="463" t="s">
        <v>1320</v>
      </c>
      <c r="AB7547" s="462" t="s">
        <v>22761</v>
      </c>
      <c r="AC7547" s="462" t="s">
        <v>22762</v>
      </c>
      <c r="AD7547" s="464">
        <v>1212.7842599999999</v>
      </c>
      <c r="AE7547" s="465">
        <v>58.306519999999999</v>
      </c>
      <c r="AF7547" s="86">
        <f>IF(verze!$E$1="CZK",AD7547,IF(verze!$E$1="SK",AE7547,""))</f>
        <v>58.306519999999999</v>
      </c>
    </row>
    <row r="7548" spans="27:32" ht="15">
      <c r="AA7548" s="463" t="s">
        <v>1320</v>
      </c>
      <c r="AB7548" s="462" t="s">
        <v>22763</v>
      </c>
      <c r="AC7548" s="462" t="s">
        <v>22764</v>
      </c>
      <c r="AD7548" s="464">
        <v>0</v>
      </c>
      <c r="AE7548" s="465">
        <v>0</v>
      </c>
      <c r="AF7548" s="86">
        <f>IF(verze!$E$1="CZK",AD7548,IF(verze!$E$1="SK",AE7548,""))</f>
        <v>0</v>
      </c>
    </row>
    <row r="7549" spans="27:32" ht="15">
      <c r="AA7549" s="463" t="s">
        <v>1320</v>
      </c>
      <c r="AB7549" s="462" t="s">
        <v>22765</v>
      </c>
      <c r="AC7549" s="462" t="s">
        <v>22766</v>
      </c>
      <c r="AD7549" s="464">
        <v>1117.06745</v>
      </c>
      <c r="AE7549" s="465">
        <v>53.680309999999999</v>
      </c>
      <c r="AF7549" s="86">
        <f>IF(verze!$E$1="CZK",AD7549,IF(verze!$E$1="SK",AE7549,""))</f>
        <v>53.680309999999999</v>
      </c>
    </row>
    <row r="7550" spans="27:32" ht="15">
      <c r="AA7550" s="463" t="s">
        <v>1320</v>
      </c>
      <c r="AB7550" s="462" t="s">
        <v>22767</v>
      </c>
      <c r="AC7550" s="462" t="s">
        <v>22768</v>
      </c>
      <c r="AD7550" s="464">
        <v>1233.835</v>
      </c>
      <c r="AE7550" s="465">
        <v>59.297240000000002</v>
      </c>
      <c r="AF7550" s="86">
        <f>IF(verze!$E$1="CZK",AD7550,IF(verze!$E$1="SK",AE7550,""))</f>
        <v>59.297240000000002</v>
      </c>
    </row>
    <row r="7551" spans="27:32" ht="15">
      <c r="AA7551" s="463" t="s">
        <v>1320</v>
      </c>
      <c r="AB7551" s="462" t="s">
        <v>22769</v>
      </c>
      <c r="AC7551" s="462" t="s">
        <v>22770</v>
      </c>
      <c r="AD7551" s="464">
        <v>0</v>
      </c>
      <c r="AE7551" s="465">
        <v>0</v>
      </c>
      <c r="AF7551" s="86">
        <f>IF(verze!$E$1="CZK",AD7551,IF(verze!$E$1="SK",AE7551,""))</f>
        <v>0</v>
      </c>
    </row>
    <row r="7552" spans="27:32" ht="15">
      <c r="AA7552" s="463" t="s">
        <v>1320</v>
      </c>
      <c r="AB7552" s="462" t="s">
        <v>22771</v>
      </c>
      <c r="AC7552" s="462" t="s">
        <v>22772</v>
      </c>
      <c r="AD7552" s="464">
        <v>1159.1608900000001</v>
      </c>
      <c r="AE7552" s="465">
        <v>55.661430000000003</v>
      </c>
      <c r="AF7552" s="86">
        <f>IF(verze!$E$1="CZK",AD7552,IF(verze!$E$1="SK",AE7552,""))</f>
        <v>55.661430000000003</v>
      </c>
    </row>
    <row r="7553" spans="27:32" ht="15">
      <c r="AA7553" s="463" t="s">
        <v>1320</v>
      </c>
      <c r="AB7553" s="462" t="s">
        <v>22773</v>
      </c>
      <c r="AC7553" s="462" t="s">
        <v>22774</v>
      </c>
      <c r="AD7553" s="464">
        <v>1275.9284399999999</v>
      </c>
      <c r="AE7553" s="465">
        <v>61.278359999999999</v>
      </c>
      <c r="AF7553" s="86">
        <f>IF(verze!$E$1="CZK",AD7553,IF(verze!$E$1="SK",AE7553,""))</f>
        <v>61.278359999999999</v>
      </c>
    </row>
    <row r="7554" spans="27:32" ht="15">
      <c r="AA7554" s="463" t="s">
        <v>1320</v>
      </c>
      <c r="AB7554" s="462" t="s">
        <v>22775</v>
      </c>
      <c r="AC7554" s="462" t="s">
        <v>22776</v>
      </c>
      <c r="AD7554" s="464">
        <v>0</v>
      </c>
      <c r="AE7554" s="465">
        <v>0</v>
      </c>
      <c r="AF7554" s="86">
        <f>IF(verze!$E$1="CZK",AD7554,IF(verze!$E$1="SK",AE7554,""))</f>
        <v>0</v>
      </c>
    </row>
    <row r="7555" spans="27:32" ht="15">
      <c r="AA7555" s="463" t="s">
        <v>1320</v>
      </c>
      <c r="AB7555" s="462" t="s">
        <v>22777</v>
      </c>
      <c r="AC7555" s="462" t="s">
        <v>22778</v>
      </c>
      <c r="AD7555" s="464">
        <v>1183.3746699999999</v>
      </c>
      <c r="AE7555" s="465">
        <v>56.924610000000001</v>
      </c>
      <c r="AF7555" s="86">
        <f>IF(verze!$E$1="CZK",AD7555,IF(verze!$E$1="SK",AE7555,""))</f>
        <v>56.924610000000001</v>
      </c>
    </row>
    <row r="7556" spans="27:32" ht="15">
      <c r="AA7556" s="463" t="s">
        <v>1320</v>
      </c>
      <c r="AB7556" s="462" t="s">
        <v>22779</v>
      </c>
      <c r="AC7556" s="462" t="s">
        <v>22780</v>
      </c>
      <c r="AD7556" s="464">
        <v>1300.14222</v>
      </c>
      <c r="AE7556" s="465">
        <v>62.541539999999998</v>
      </c>
      <c r="AF7556" s="86">
        <f>IF(verze!$E$1="CZK",AD7556,IF(verze!$E$1="SK",AE7556,""))</f>
        <v>62.541539999999998</v>
      </c>
    </row>
    <row r="7557" spans="27:32" ht="15">
      <c r="AA7557" s="463" t="s">
        <v>1320</v>
      </c>
      <c r="AB7557" s="462" t="s">
        <v>22781</v>
      </c>
      <c r="AC7557" s="462" t="s">
        <v>22782</v>
      </c>
      <c r="AD7557" s="464">
        <v>0</v>
      </c>
      <c r="AE7557" s="465">
        <v>0</v>
      </c>
      <c r="AF7557" s="86">
        <f>IF(verze!$E$1="CZK",AD7557,IF(verze!$E$1="SK",AE7557,""))</f>
        <v>0</v>
      </c>
    </row>
    <row r="7558" spans="27:32" ht="15">
      <c r="AA7558" s="463" t="s">
        <v>1320</v>
      </c>
      <c r="AB7558" s="462" t="s">
        <v>22783</v>
      </c>
      <c r="AC7558" s="462" t="s">
        <v>22784</v>
      </c>
      <c r="AD7558" s="464">
        <v>1205.0005699999999</v>
      </c>
      <c r="AE7558" s="465">
        <v>57.964910000000003</v>
      </c>
      <c r="AF7558" s="86">
        <f>IF(verze!$E$1="CZK",AD7558,IF(verze!$E$1="SK",AE7558,""))</f>
        <v>57.964910000000003</v>
      </c>
    </row>
    <row r="7559" spans="27:32" ht="15">
      <c r="AA7559" s="463" t="s">
        <v>1320</v>
      </c>
      <c r="AB7559" s="462" t="s">
        <v>22785</v>
      </c>
      <c r="AC7559" s="462" t="s">
        <v>22786</v>
      </c>
      <c r="AD7559" s="464">
        <v>1321.76812</v>
      </c>
      <c r="AE7559" s="465">
        <v>63.58184</v>
      </c>
      <c r="AF7559" s="86">
        <f>IF(verze!$E$1="CZK",AD7559,IF(verze!$E$1="SK",AE7559,""))</f>
        <v>63.58184</v>
      </c>
    </row>
    <row r="7560" spans="27:32" ht="15">
      <c r="AA7560" s="463" t="s">
        <v>1320</v>
      </c>
      <c r="AB7560" s="462" t="s">
        <v>22787</v>
      </c>
      <c r="AC7560" s="462" t="s">
        <v>22788</v>
      </c>
      <c r="AD7560" s="464">
        <v>0</v>
      </c>
      <c r="AE7560" s="465">
        <v>0</v>
      </c>
      <c r="AF7560" s="86">
        <f>IF(verze!$E$1="CZK",AD7560,IF(verze!$E$1="SK",AE7560,""))</f>
        <v>0</v>
      </c>
    </row>
    <row r="7561" spans="27:32" ht="15">
      <c r="AA7561" s="463" t="s">
        <v>1320</v>
      </c>
      <c r="AB7561" s="462" t="s">
        <v>22789</v>
      </c>
      <c r="AC7561" s="462" t="s">
        <v>22790</v>
      </c>
      <c r="AD7561" s="464">
        <v>1301.6647800000001</v>
      </c>
      <c r="AE7561" s="465">
        <v>62.614759999999997</v>
      </c>
      <c r="AF7561" s="86">
        <f>IF(verze!$E$1="CZK",AD7561,IF(verze!$E$1="SK",AE7561,""))</f>
        <v>62.614759999999997</v>
      </c>
    </row>
    <row r="7562" spans="27:32" ht="15">
      <c r="AA7562" s="463" t="s">
        <v>1320</v>
      </c>
      <c r="AB7562" s="462" t="s">
        <v>22791</v>
      </c>
      <c r="AC7562" s="462" t="s">
        <v>22792</v>
      </c>
      <c r="AD7562" s="464">
        <v>1301.6647800000001</v>
      </c>
      <c r="AE7562" s="465">
        <v>62.614759999999997</v>
      </c>
      <c r="AF7562" s="86">
        <f>IF(verze!$E$1="CZK",AD7562,IF(verze!$E$1="SK",AE7562,""))</f>
        <v>62.614759999999997</v>
      </c>
    </row>
    <row r="7563" spans="27:32" ht="15">
      <c r="AA7563" s="463" t="s">
        <v>1320</v>
      </c>
      <c r="AB7563" s="462" t="s">
        <v>22793</v>
      </c>
      <c r="AC7563" s="462" t="s">
        <v>22794</v>
      </c>
      <c r="AD7563" s="464">
        <v>1396.9571800000001</v>
      </c>
      <c r="AE7563" s="465">
        <v>67.198700000000002</v>
      </c>
      <c r="AF7563" s="86">
        <f>IF(verze!$E$1="CZK",AD7563,IF(verze!$E$1="SK",AE7563,""))</f>
        <v>67.198700000000002</v>
      </c>
    </row>
    <row r="7564" spans="27:32" ht="15">
      <c r="AA7564" s="463" t="s">
        <v>1320</v>
      </c>
      <c r="AB7564" s="462" t="s">
        <v>22795</v>
      </c>
      <c r="AC7564" s="462" t="s">
        <v>22796</v>
      </c>
      <c r="AD7564" s="464">
        <v>1482.43849</v>
      </c>
      <c r="AE7564" s="465">
        <v>71.310659999999999</v>
      </c>
      <c r="AF7564" s="86">
        <f>IF(verze!$E$1="CZK",AD7564,IF(verze!$E$1="SK",AE7564,""))</f>
        <v>71.310659999999999</v>
      </c>
    </row>
    <row r="7565" spans="27:32" ht="15">
      <c r="AA7565" s="463" t="s">
        <v>1320</v>
      </c>
      <c r="AB7565" s="462" t="s">
        <v>22797</v>
      </c>
      <c r="AC7565" s="462" t="s">
        <v>22798</v>
      </c>
      <c r="AD7565" s="464">
        <v>1106.7676799999999</v>
      </c>
      <c r="AE7565" s="465">
        <v>53.239539999999998</v>
      </c>
      <c r="AF7565" s="86">
        <f>IF(verze!$E$1="CZK",AD7565,IF(verze!$E$1="SK",AE7565,""))</f>
        <v>53.239539999999998</v>
      </c>
    </row>
    <row r="7566" spans="27:32" ht="15">
      <c r="AA7566" s="463" t="s">
        <v>1320</v>
      </c>
      <c r="AB7566" s="462" t="s">
        <v>22799</v>
      </c>
      <c r="AC7566" s="462" t="s">
        <v>22800</v>
      </c>
      <c r="AD7566" s="464">
        <v>1106.7676799999999</v>
      </c>
      <c r="AE7566" s="465">
        <v>53.239539999999998</v>
      </c>
      <c r="AF7566" s="86">
        <f>IF(verze!$E$1="CZK",AD7566,IF(verze!$E$1="SK",AE7566,""))</f>
        <v>53.239539999999998</v>
      </c>
    </row>
    <row r="7567" spans="27:32" ht="15">
      <c r="AA7567" s="463" t="s">
        <v>1320</v>
      </c>
      <c r="AB7567" s="462" t="s">
        <v>22801</v>
      </c>
      <c r="AC7567" s="462" t="s">
        <v>22802</v>
      </c>
      <c r="AD7567" s="464">
        <v>1255.10697</v>
      </c>
      <c r="AE7567" s="465">
        <v>60.375169999999997</v>
      </c>
      <c r="AF7567" s="86">
        <f>IF(verze!$E$1="CZK",AD7567,IF(verze!$E$1="SK",AE7567,""))</f>
        <v>60.375169999999997</v>
      </c>
    </row>
    <row r="7568" spans="27:32" ht="15">
      <c r="AA7568" s="463" t="s">
        <v>1320</v>
      </c>
      <c r="AB7568" s="462" t="s">
        <v>22803</v>
      </c>
      <c r="AC7568" s="462" t="s">
        <v>22804</v>
      </c>
      <c r="AD7568" s="464">
        <v>1340.5882799999999</v>
      </c>
      <c r="AE7568" s="465">
        <v>64.487129999999993</v>
      </c>
      <c r="AF7568" s="86">
        <f>IF(verze!$E$1="CZK",AD7568,IF(verze!$E$1="SK",AE7568,""))</f>
        <v>64.487129999999993</v>
      </c>
    </row>
    <row r="7569" spans="27:32" ht="15">
      <c r="AA7569" s="463" t="s">
        <v>1320</v>
      </c>
      <c r="AB7569" s="462" t="s">
        <v>22805</v>
      </c>
      <c r="AC7569" s="462" t="s">
        <v>22806</v>
      </c>
      <c r="AD7569" s="464">
        <v>1301.6647800000001</v>
      </c>
      <c r="AE7569" s="465">
        <v>62.614759999999997</v>
      </c>
      <c r="AF7569" s="86">
        <f>IF(verze!$E$1="CZK",AD7569,IF(verze!$E$1="SK",AE7569,""))</f>
        <v>62.614759999999997</v>
      </c>
    </row>
    <row r="7570" spans="27:32" ht="15">
      <c r="AA7570" s="463" t="s">
        <v>1320</v>
      </c>
      <c r="AB7570" s="462" t="s">
        <v>22807</v>
      </c>
      <c r="AC7570" s="462" t="s">
        <v>22808</v>
      </c>
      <c r="AD7570" s="464">
        <v>1217.21531</v>
      </c>
      <c r="AE7570" s="465">
        <v>58.552480000000003</v>
      </c>
      <c r="AF7570" s="86">
        <f>IF(verze!$E$1="CZK",AD7570,IF(verze!$E$1="SK",AE7570,""))</f>
        <v>58.552480000000003</v>
      </c>
    </row>
    <row r="7571" spans="27:32" ht="15">
      <c r="AA7571" s="463" t="s">
        <v>1320</v>
      </c>
      <c r="AB7571" s="462" t="s">
        <v>22809</v>
      </c>
      <c r="AC7571" s="462" t="s">
        <v>22810</v>
      </c>
      <c r="AD7571" s="464">
        <v>1312.5077100000001</v>
      </c>
      <c r="AE7571" s="465">
        <v>63.136420000000001</v>
      </c>
      <c r="AF7571" s="86">
        <f>IF(verze!$E$1="CZK",AD7571,IF(verze!$E$1="SK",AE7571,""))</f>
        <v>63.136420000000001</v>
      </c>
    </row>
    <row r="7572" spans="27:32" ht="15">
      <c r="AA7572" s="463" t="s">
        <v>1320</v>
      </c>
      <c r="AB7572" s="462" t="s">
        <v>22811</v>
      </c>
      <c r="AC7572" s="462" t="s">
        <v>22812</v>
      </c>
      <c r="AD7572" s="464">
        <v>1397.98902</v>
      </c>
      <c r="AE7572" s="465">
        <v>67.248379999999997</v>
      </c>
      <c r="AF7572" s="86">
        <f>IF(verze!$E$1="CZK",AD7572,IF(verze!$E$1="SK",AE7572,""))</f>
        <v>67.248379999999997</v>
      </c>
    </row>
    <row r="7573" spans="27:32" ht="15">
      <c r="AA7573" s="463" t="s">
        <v>1320</v>
      </c>
      <c r="AB7573" s="462" t="s">
        <v>22813</v>
      </c>
      <c r="AC7573" s="462" t="s">
        <v>22814</v>
      </c>
      <c r="AD7573" s="464">
        <v>1106.7676799999999</v>
      </c>
      <c r="AE7573" s="465">
        <v>53.239539999999998</v>
      </c>
      <c r="AF7573" s="86">
        <f>IF(verze!$E$1="CZK",AD7573,IF(verze!$E$1="SK",AE7573,""))</f>
        <v>53.239539999999998</v>
      </c>
    </row>
    <row r="7574" spans="27:32" ht="15">
      <c r="AA7574" s="463" t="s">
        <v>1320</v>
      </c>
      <c r="AB7574" s="462" t="s">
        <v>22815</v>
      </c>
      <c r="AC7574" s="462" t="s">
        <v>22816</v>
      </c>
      <c r="AD7574" s="464">
        <v>1022.31821</v>
      </c>
      <c r="AE7574" s="465">
        <v>49.177259999999997</v>
      </c>
      <c r="AF7574" s="86">
        <f>IF(verze!$E$1="CZK",AD7574,IF(verze!$E$1="SK",AE7574,""))</f>
        <v>49.177259999999997</v>
      </c>
    </row>
    <row r="7575" spans="27:32" ht="15">
      <c r="AA7575" s="463" t="s">
        <v>1320</v>
      </c>
      <c r="AB7575" s="462" t="s">
        <v>22817</v>
      </c>
      <c r="AC7575" s="462" t="s">
        <v>22818</v>
      </c>
      <c r="AD7575" s="464">
        <v>1170.6575</v>
      </c>
      <c r="AE7575" s="465">
        <v>56.312890000000003</v>
      </c>
      <c r="AF7575" s="86">
        <f>IF(verze!$E$1="CZK",AD7575,IF(verze!$E$1="SK",AE7575,""))</f>
        <v>56.312890000000003</v>
      </c>
    </row>
    <row r="7576" spans="27:32" ht="15">
      <c r="AA7576" s="463" t="s">
        <v>1320</v>
      </c>
      <c r="AB7576" s="462" t="s">
        <v>22819</v>
      </c>
      <c r="AC7576" s="462" t="s">
        <v>22820</v>
      </c>
      <c r="AD7576" s="464">
        <v>1256.1388099999999</v>
      </c>
      <c r="AE7576" s="465">
        <v>60.424849999999999</v>
      </c>
      <c r="AF7576" s="86">
        <f>IF(verze!$E$1="CZK",AD7576,IF(verze!$E$1="SK",AE7576,""))</f>
        <v>60.424849999999999</v>
      </c>
    </row>
    <row r="7577" spans="27:32" ht="15">
      <c r="AA7577" s="463" t="s">
        <v>1320</v>
      </c>
      <c r="AB7577" s="462" t="s">
        <v>22821</v>
      </c>
      <c r="AC7577" s="462" t="s">
        <v>22822</v>
      </c>
      <c r="AD7577" s="464">
        <v>1217.21531</v>
      </c>
      <c r="AE7577" s="465">
        <v>58.552480000000003</v>
      </c>
      <c r="AF7577" s="86">
        <f>IF(verze!$E$1="CZK",AD7577,IF(verze!$E$1="SK",AE7577,""))</f>
        <v>58.552480000000003</v>
      </c>
    </row>
    <row r="7578" spans="27:32" ht="15">
      <c r="AA7578" s="463" t="s">
        <v>1320</v>
      </c>
      <c r="AB7578" s="462" t="s">
        <v>22823</v>
      </c>
      <c r="AC7578" s="462" t="s">
        <v>22824</v>
      </c>
      <c r="AD7578" s="464">
        <v>1217.21531</v>
      </c>
      <c r="AE7578" s="465">
        <v>58.552480000000003</v>
      </c>
      <c r="AF7578" s="86">
        <f>IF(verze!$E$1="CZK",AD7578,IF(verze!$E$1="SK",AE7578,""))</f>
        <v>58.552480000000003</v>
      </c>
    </row>
    <row r="7579" spans="27:32" ht="15">
      <c r="AA7579" s="463" t="s">
        <v>1320</v>
      </c>
      <c r="AB7579" s="462" t="s">
        <v>22825</v>
      </c>
      <c r="AC7579" s="462" t="s">
        <v>22826</v>
      </c>
      <c r="AD7579" s="464">
        <v>1312.5077100000001</v>
      </c>
      <c r="AE7579" s="465">
        <v>63.136420000000001</v>
      </c>
      <c r="AF7579" s="86">
        <f>IF(verze!$E$1="CZK",AD7579,IF(verze!$E$1="SK",AE7579,""))</f>
        <v>63.136420000000001</v>
      </c>
    </row>
    <row r="7580" spans="27:32" ht="15">
      <c r="AA7580" s="463" t="s">
        <v>1320</v>
      </c>
      <c r="AB7580" s="462" t="s">
        <v>22827</v>
      </c>
      <c r="AC7580" s="462" t="s">
        <v>22828</v>
      </c>
      <c r="AD7580" s="464">
        <v>1397.98902</v>
      </c>
      <c r="AE7580" s="465">
        <v>67.248379999999997</v>
      </c>
      <c r="AF7580" s="86">
        <f>IF(verze!$E$1="CZK",AD7580,IF(verze!$E$1="SK",AE7580,""))</f>
        <v>67.248379999999997</v>
      </c>
    </row>
    <row r="7581" spans="27:32" ht="15">
      <c r="AA7581" s="463" t="s">
        <v>1320</v>
      </c>
      <c r="AB7581" s="462" t="s">
        <v>22829</v>
      </c>
      <c r="AC7581" s="462" t="s">
        <v>22830</v>
      </c>
      <c r="AD7581" s="464">
        <v>1022.31821</v>
      </c>
      <c r="AE7581" s="465">
        <v>49.177259999999997</v>
      </c>
      <c r="AF7581" s="86">
        <f>IF(verze!$E$1="CZK",AD7581,IF(verze!$E$1="SK",AE7581,""))</f>
        <v>49.177259999999997</v>
      </c>
    </row>
    <row r="7582" spans="27:32" ht="15">
      <c r="AA7582" s="463" t="s">
        <v>1320</v>
      </c>
      <c r="AB7582" s="462" t="s">
        <v>22831</v>
      </c>
      <c r="AC7582" s="462" t="s">
        <v>22832</v>
      </c>
      <c r="AD7582" s="464">
        <v>1022.31821</v>
      </c>
      <c r="AE7582" s="465">
        <v>49.177259999999997</v>
      </c>
      <c r="AF7582" s="86">
        <f>IF(verze!$E$1="CZK",AD7582,IF(verze!$E$1="SK",AE7582,""))</f>
        <v>49.177259999999997</v>
      </c>
    </row>
    <row r="7583" spans="27:32" ht="15">
      <c r="AA7583" s="463" t="s">
        <v>1320</v>
      </c>
      <c r="AB7583" s="462" t="s">
        <v>22833</v>
      </c>
      <c r="AC7583" s="462" t="s">
        <v>22834</v>
      </c>
      <c r="AD7583" s="464">
        <v>1170.6575</v>
      </c>
      <c r="AE7583" s="465">
        <v>56.312890000000003</v>
      </c>
      <c r="AF7583" s="86">
        <f>IF(verze!$E$1="CZK",AD7583,IF(verze!$E$1="SK",AE7583,""))</f>
        <v>56.312890000000003</v>
      </c>
    </row>
    <row r="7584" spans="27:32" ht="15">
      <c r="AA7584" s="463" t="s">
        <v>1320</v>
      </c>
      <c r="AB7584" s="462" t="s">
        <v>22835</v>
      </c>
      <c r="AC7584" s="462" t="s">
        <v>22836</v>
      </c>
      <c r="AD7584" s="464">
        <v>1256.1388099999999</v>
      </c>
      <c r="AE7584" s="465">
        <v>60.424849999999999</v>
      </c>
      <c r="AF7584" s="86">
        <f>IF(verze!$E$1="CZK",AD7584,IF(verze!$E$1="SK",AE7584,""))</f>
        <v>60.424849999999999</v>
      </c>
    </row>
    <row r="7585" spans="27:32" ht="15">
      <c r="AA7585" s="463" t="s">
        <v>1320</v>
      </c>
      <c r="AB7585" s="462" t="s">
        <v>22837</v>
      </c>
      <c r="AC7585" s="462" t="s">
        <v>22838</v>
      </c>
      <c r="AD7585" s="464">
        <v>1235.6285700000001</v>
      </c>
      <c r="AE7585" s="465">
        <v>59.438200000000002</v>
      </c>
      <c r="AF7585" s="86">
        <f>IF(verze!$E$1="CZK",AD7585,IF(verze!$E$1="SK",AE7585,""))</f>
        <v>59.438200000000002</v>
      </c>
    </row>
    <row r="7586" spans="27:32" ht="15">
      <c r="AA7586" s="463" t="s">
        <v>1320</v>
      </c>
      <c r="AB7586" s="462" t="s">
        <v>22839</v>
      </c>
      <c r="AC7586" s="462" t="s">
        <v>22840</v>
      </c>
      <c r="AD7586" s="464">
        <v>0</v>
      </c>
      <c r="AE7586" s="465">
        <v>0</v>
      </c>
      <c r="AF7586" s="86">
        <f>IF(verze!$E$1="CZK",AD7586,IF(verze!$E$1="SK",AE7586,""))</f>
        <v>0</v>
      </c>
    </row>
    <row r="7587" spans="27:32" ht="15">
      <c r="AA7587" s="463" t="s">
        <v>1320</v>
      </c>
      <c r="AB7587" s="462" t="s">
        <v>22841</v>
      </c>
      <c r="AC7587" s="462" t="s">
        <v>22842</v>
      </c>
      <c r="AD7587" s="464">
        <v>1330.9209699999999</v>
      </c>
      <c r="AE7587" s="465">
        <v>64.022139999999993</v>
      </c>
      <c r="AF7587" s="86">
        <f>IF(verze!$E$1="CZK",AD7587,IF(verze!$E$1="SK",AE7587,""))</f>
        <v>64.022139999999993</v>
      </c>
    </row>
    <row r="7588" spans="27:32" ht="15">
      <c r="AA7588" s="463" t="s">
        <v>1320</v>
      </c>
      <c r="AB7588" s="462" t="s">
        <v>22843</v>
      </c>
      <c r="AC7588" s="462" t="s">
        <v>22844</v>
      </c>
      <c r="AD7588" s="464">
        <v>0</v>
      </c>
      <c r="AE7588" s="465">
        <v>0</v>
      </c>
      <c r="AF7588" s="86">
        <f>IF(verze!$E$1="CZK",AD7588,IF(verze!$E$1="SK",AE7588,""))</f>
        <v>0</v>
      </c>
    </row>
    <row r="7589" spans="27:32" ht="15">
      <c r="AA7589" s="463" t="s">
        <v>1320</v>
      </c>
      <c r="AB7589" s="462" t="s">
        <v>22845</v>
      </c>
      <c r="AC7589" s="462" t="s">
        <v>22846</v>
      </c>
      <c r="AD7589" s="464">
        <v>1416.40228</v>
      </c>
      <c r="AE7589" s="465">
        <v>68.134100000000004</v>
      </c>
      <c r="AF7589" s="86">
        <f>IF(verze!$E$1="CZK",AD7589,IF(verze!$E$1="SK",AE7589,""))</f>
        <v>68.134100000000004</v>
      </c>
    </row>
    <row r="7590" spans="27:32" ht="15">
      <c r="AA7590" s="463" t="s">
        <v>1320</v>
      </c>
      <c r="AB7590" s="462" t="s">
        <v>22847</v>
      </c>
      <c r="AC7590" s="462" t="s">
        <v>22848</v>
      </c>
      <c r="AD7590" s="464">
        <v>0</v>
      </c>
      <c r="AE7590" s="465">
        <v>0</v>
      </c>
      <c r="AF7590" s="86">
        <f>IF(verze!$E$1="CZK",AD7590,IF(verze!$E$1="SK",AE7590,""))</f>
        <v>0</v>
      </c>
    </row>
    <row r="7591" spans="27:32" ht="15">
      <c r="AA7591" s="463" t="s">
        <v>1320</v>
      </c>
      <c r="AB7591" s="462" t="s">
        <v>22849</v>
      </c>
      <c r="AC7591" s="462" t="s">
        <v>22850</v>
      </c>
      <c r="AD7591" s="464">
        <v>1040.7315599999999</v>
      </c>
      <c r="AE7591" s="465">
        <v>50.063000000000002</v>
      </c>
      <c r="AF7591" s="86">
        <f>IF(verze!$E$1="CZK",AD7591,IF(verze!$E$1="SK",AE7591,""))</f>
        <v>50.063000000000002</v>
      </c>
    </row>
    <row r="7592" spans="27:32" ht="15">
      <c r="AA7592" s="463" t="s">
        <v>1320</v>
      </c>
      <c r="AB7592" s="462" t="s">
        <v>22851</v>
      </c>
      <c r="AC7592" s="462" t="s">
        <v>22852</v>
      </c>
      <c r="AD7592" s="464">
        <v>0</v>
      </c>
      <c r="AE7592" s="465">
        <v>0</v>
      </c>
      <c r="AF7592" s="86">
        <f>IF(verze!$E$1="CZK",AD7592,IF(verze!$E$1="SK",AE7592,""))</f>
        <v>0</v>
      </c>
    </row>
    <row r="7593" spans="27:32" ht="15">
      <c r="AA7593" s="463" t="s">
        <v>1320</v>
      </c>
      <c r="AB7593" s="462" t="s">
        <v>22853</v>
      </c>
      <c r="AC7593" s="462" t="s">
        <v>22854</v>
      </c>
      <c r="AD7593" s="464">
        <v>1189.0708500000001</v>
      </c>
      <c r="AE7593" s="465">
        <v>57.198630000000001</v>
      </c>
      <c r="AF7593" s="86">
        <f>IF(verze!$E$1="CZK",AD7593,IF(verze!$E$1="SK",AE7593,""))</f>
        <v>57.198630000000001</v>
      </c>
    </row>
    <row r="7594" spans="27:32" ht="15">
      <c r="AA7594" s="463" t="s">
        <v>1320</v>
      </c>
      <c r="AB7594" s="462" t="s">
        <v>22855</v>
      </c>
      <c r="AC7594" s="462" t="s">
        <v>22856</v>
      </c>
      <c r="AD7594" s="464">
        <v>0</v>
      </c>
      <c r="AE7594" s="465">
        <v>0</v>
      </c>
      <c r="AF7594" s="86">
        <f>IF(verze!$E$1="CZK",AD7594,IF(verze!$E$1="SK",AE7594,""))</f>
        <v>0</v>
      </c>
    </row>
    <row r="7595" spans="27:32" ht="15">
      <c r="AA7595" s="463" t="s">
        <v>1320</v>
      </c>
      <c r="AB7595" s="462" t="s">
        <v>22857</v>
      </c>
      <c r="AC7595" s="462" t="s">
        <v>22858</v>
      </c>
      <c r="AD7595" s="464">
        <v>1274.55216</v>
      </c>
      <c r="AE7595" s="465">
        <v>61.310589999999998</v>
      </c>
      <c r="AF7595" s="86">
        <f>IF(verze!$E$1="CZK",AD7595,IF(verze!$E$1="SK",AE7595,""))</f>
        <v>61.310589999999998</v>
      </c>
    </row>
    <row r="7596" spans="27:32" ht="15">
      <c r="AA7596" s="463" t="s">
        <v>1320</v>
      </c>
      <c r="AB7596" s="462" t="s">
        <v>22859</v>
      </c>
      <c r="AC7596" s="462" t="s">
        <v>22860</v>
      </c>
      <c r="AD7596" s="464">
        <v>0</v>
      </c>
      <c r="AE7596" s="465">
        <v>0</v>
      </c>
      <c r="AF7596" s="86">
        <f>IF(verze!$E$1="CZK",AD7596,IF(verze!$E$1="SK",AE7596,""))</f>
        <v>0</v>
      </c>
    </row>
    <row r="7597" spans="27:32" ht="15">
      <c r="AA7597" s="463" t="s">
        <v>1320</v>
      </c>
      <c r="AB7597" s="462" t="s">
        <v>22861</v>
      </c>
      <c r="AC7597" s="462" t="s">
        <v>22862</v>
      </c>
      <c r="AD7597" s="464">
        <v>1254.0346199999999</v>
      </c>
      <c r="AE7597" s="465">
        <v>60.323569999999997</v>
      </c>
      <c r="AF7597" s="86">
        <f>IF(verze!$E$1="CZK",AD7597,IF(verze!$E$1="SK",AE7597,""))</f>
        <v>60.323569999999997</v>
      </c>
    </row>
    <row r="7598" spans="27:32" ht="15">
      <c r="AA7598" s="463" t="s">
        <v>1320</v>
      </c>
      <c r="AB7598" s="462" t="s">
        <v>22863</v>
      </c>
      <c r="AC7598" s="462" t="s">
        <v>22864</v>
      </c>
      <c r="AD7598" s="464">
        <v>1454.4297999999999</v>
      </c>
      <c r="AE7598" s="465">
        <v>69.963290000000001</v>
      </c>
      <c r="AF7598" s="86">
        <f>IF(verze!$E$1="CZK",AD7598,IF(verze!$E$1="SK",AE7598,""))</f>
        <v>69.963290000000001</v>
      </c>
    </row>
    <row r="7599" spans="27:32" ht="15">
      <c r="AA7599" s="463" t="s">
        <v>1320</v>
      </c>
      <c r="AB7599" s="462" t="s">
        <v>22865</v>
      </c>
      <c r="AC7599" s="462" t="s">
        <v>22866</v>
      </c>
      <c r="AD7599" s="464">
        <v>1349.3270199999999</v>
      </c>
      <c r="AE7599" s="465">
        <v>64.907510000000002</v>
      </c>
      <c r="AF7599" s="86">
        <f>IF(verze!$E$1="CZK",AD7599,IF(verze!$E$1="SK",AE7599,""))</f>
        <v>64.907510000000002</v>
      </c>
    </row>
    <row r="7600" spans="27:32" ht="15">
      <c r="AA7600" s="463" t="s">
        <v>1320</v>
      </c>
      <c r="AB7600" s="462" t="s">
        <v>22867</v>
      </c>
      <c r="AC7600" s="462" t="s">
        <v>22868</v>
      </c>
      <c r="AD7600" s="464">
        <v>1549.7221999999999</v>
      </c>
      <c r="AE7600" s="465">
        <v>74.547229999999999</v>
      </c>
      <c r="AF7600" s="86">
        <f>IF(verze!$E$1="CZK",AD7600,IF(verze!$E$1="SK",AE7600,""))</f>
        <v>74.547229999999999</v>
      </c>
    </row>
    <row r="7601" spans="27:32" ht="15">
      <c r="AA7601" s="463" t="s">
        <v>1320</v>
      </c>
      <c r="AB7601" s="462" t="s">
        <v>22869</v>
      </c>
      <c r="AC7601" s="462" t="s">
        <v>22870</v>
      </c>
      <c r="AD7601" s="464">
        <v>1434.8083300000001</v>
      </c>
      <c r="AE7601" s="465">
        <v>69.019469999999998</v>
      </c>
      <c r="AF7601" s="86">
        <f>IF(verze!$E$1="CZK",AD7601,IF(verze!$E$1="SK",AE7601,""))</f>
        <v>69.019469999999998</v>
      </c>
    </row>
    <row r="7602" spans="27:32" ht="15">
      <c r="AA7602" s="463" t="s">
        <v>1320</v>
      </c>
      <c r="AB7602" s="462" t="s">
        <v>22871</v>
      </c>
      <c r="AC7602" s="462" t="s">
        <v>22872</v>
      </c>
      <c r="AD7602" s="464">
        <v>1635.2035100000001</v>
      </c>
      <c r="AE7602" s="465">
        <v>78.659189999999995</v>
      </c>
      <c r="AF7602" s="86">
        <f>IF(verze!$E$1="CZK",AD7602,IF(verze!$E$1="SK",AE7602,""))</f>
        <v>78.659189999999995</v>
      </c>
    </row>
    <row r="7603" spans="27:32" ht="15">
      <c r="AA7603" s="463" t="s">
        <v>1320</v>
      </c>
      <c r="AB7603" s="462" t="s">
        <v>22873</v>
      </c>
      <c r="AC7603" s="462" t="s">
        <v>22874</v>
      </c>
      <c r="AD7603" s="464">
        <v>1259.53279</v>
      </c>
      <c r="AE7603" s="465">
        <v>60.588120000000004</v>
      </c>
      <c r="AF7603" s="86">
        <f>IF(verze!$E$1="CZK",AD7603,IF(verze!$E$1="SK",AE7603,""))</f>
        <v>60.588120000000004</v>
      </c>
    </row>
    <row r="7604" spans="27:32" ht="15">
      <c r="AA7604" s="463" t="s">
        <v>1320</v>
      </c>
      <c r="AB7604" s="462" t="s">
        <v>22875</v>
      </c>
      <c r="AC7604" s="462" t="s">
        <v>22876</v>
      </c>
      <c r="AD7604" s="464">
        <v>1407.8720800000001</v>
      </c>
      <c r="AE7604" s="465">
        <v>67.723749999999995</v>
      </c>
      <c r="AF7604" s="86">
        <f>IF(verze!$E$1="CZK",AD7604,IF(verze!$E$1="SK",AE7604,""))</f>
        <v>67.723749999999995</v>
      </c>
    </row>
    <row r="7605" spans="27:32" ht="15">
      <c r="AA7605" s="463" t="s">
        <v>1320</v>
      </c>
      <c r="AB7605" s="462" t="s">
        <v>22877</v>
      </c>
      <c r="AC7605" s="462" t="s">
        <v>22878</v>
      </c>
      <c r="AD7605" s="464">
        <v>1493.35339</v>
      </c>
      <c r="AE7605" s="465">
        <v>71.835710000000006</v>
      </c>
      <c r="AF7605" s="86">
        <f>IF(verze!$E$1="CZK",AD7605,IF(verze!$E$1="SK",AE7605,""))</f>
        <v>71.835710000000006</v>
      </c>
    </row>
    <row r="7606" spans="27:32" ht="15">
      <c r="AA7606" s="463" t="s">
        <v>1320</v>
      </c>
      <c r="AB7606" s="462" t="s">
        <v>22879</v>
      </c>
      <c r="AC7606" s="462" t="s">
        <v>22880</v>
      </c>
      <c r="AD7606" s="464">
        <v>1260.8313700000001</v>
      </c>
      <c r="AE7606" s="465">
        <v>60.208829999999999</v>
      </c>
      <c r="AF7606" s="86">
        <f>IF(verze!$E$1="CZK",AD7606,IF(verze!$E$1="SK",AE7606,""))</f>
        <v>60.208829999999999</v>
      </c>
    </row>
    <row r="7607" spans="27:32" ht="15">
      <c r="AA7607" s="463" t="s">
        <v>1320</v>
      </c>
      <c r="AB7607" s="462" t="s">
        <v>22881</v>
      </c>
      <c r="AC7607" s="462" t="s">
        <v>22882</v>
      </c>
      <c r="AD7607" s="464">
        <v>1455.4945</v>
      </c>
      <c r="AE7607" s="465">
        <v>69.370549999999994</v>
      </c>
      <c r="AF7607" s="86">
        <f>IF(verze!$E$1="CZK",AD7607,IF(verze!$E$1="SK",AE7607,""))</f>
        <v>69.370549999999994</v>
      </c>
    </row>
    <row r="7608" spans="27:32" ht="15">
      <c r="AA7608" s="463" t="s">
        <v>1320</v>
      </c>
      <c r="AB7608" s="462" t="s">
        <v>22883</v>
      </c>
      <c r="AC7608" s="462" t="s">
        <v>22884</v>
      </c>
      <c r="AD7608" s="464">
        <v>0</v>
      </c>
      <c r="AE7608" s="465">
        <v>0</v>
      </c>
      <c r="AF7608" s="86">
        <f>IF(verze!$E$1="CZK",AD7608,IF(verze!$E$1="SK",AE7608,""))</f>
        <v>0</v>
      </c>
    </row>
    <row r="7609" spans="27:32" ht="15">
      <c r="AA7609" s="463" t="s">
        <v>1320</v>
      </c>
      <c r="AB7609" s="462" t="s">
        <v>22885</v>
      </c>
      <c r="AC7609" s="462" t="s">
        <v>22886</v>
      </c>
      <c r="AD7609" s="464">
        <v>1356.1237699999999</v>
      </c>
      <c r="AE7609" s="465">
        <v>64.792770000000004</v>
      </c>
      <c r="AF7609" s="86">
        <f>IF(verze!$E$1="CZK",AD7609,IF(verze!$E$1="SK",AE7609,""))</f>
        <v>64.792770000000004</v>
      </c>
    </row>
    <row r="7610" spans="27:32" ht="15">
      <c r="AA7610" s="463" t="s">
        <v>1320</v>
      </c>
      <c r="AB7610" s="462" t="s">
        <v>22887</v>
      </c>
      <c r="AC7610" s="462" t="s">
        <v>22888</v>
      </c>
      <c r="AD7610" s="464">
        <v>1550.7869000000001</v>
      </c>
      <c r="AE7610" s="465">
        <v>73.954490000000007</v>
      </c>
      <c r="AF7610" s="86">
        <f>IF(verze!$E$1="CZK",AD7610,IF(verze!$E$1="SK",AE7610,""))</f>
        <v>73.954490000000007</v>
      </c>
    </row>
    <row r="7611" spans="27:32" ht="15">
      <c r="AA7611" s="463" t="s">
        <v>1320</v>
      </c>
      <c r="AB7611" s="462" t="s">
        <v>22889</v>
      </c>
      <c r="AC7611" s="462" t="s">
        <v>22890</v>
      </c>
      <c r="AD7611" s="464">
        <v>0</v>
      </c>
      <c r="AE7611" s="465">
        <v>0</v>
      </c>
      <c r="AF7611" s="86">
        <f>IF(verze!$E$1="CZK",AD7611,IF(verze!$E$1="SK",AE7611,""))</f>
        <v>0</v>
      </c>
    </row>
    <row r="7612" spans="27:32" ht="15">
      <c r="AA7612" s="463" t="s">
        <v>1320</v>
      </c>
      <c r="AB7612" s="462" t="s">
        <v>22891</v>
      </c>
      <c r="AC7612" s="462" t="s">
        <v>22892</v>
      </c>
      <c r="AD7612" s="464">
        <v>1441.60508</v>
      </c>
      <c r="AE7612" s="465">
        <v>68.904730000000001</v>
      </c>
      <c r="AF7612" s="86">
        <f>IF(verze!$E$1="CZK",AD7612,IF(verze!$E$1="SK",AE7612,""))</f>
        <v>68.904730000000001</v>
      </c>
    </row>
    <row r="7613" spans="27:32" ht="15">
      <c r="AA7613" s="463" t="s">
        <v>1320</v>
      </c>
      <c r="AB7613" s="462" t="s">
        <v>22893</v>
      </c>
      <c r="AC7613" s="462" t="s">
        <v>22894</v>
      </c>
      <c r="AD7613" s="464">
        <v>1636.26821</v>
      </c>
      <c r="AE7613" s="465">
        <v>78.066450000000003</v>
      </c>
      <c r="AF7613" s="86">
        <f>IF(verze!$E$1="CZK",AD7613,IF(verze!$E$1="SK",AE7613,""))</f>
        <v>78.066450000000003</v>
      </c>
    </row>
    <row r="7614" spans="27:32" ht="15">
      <c r="AA7614" s="463" t="s">
        <v>1320</v>
      </c>
      <c r="AB7614" s="462" t="s">
        <v>22895</v>
      </c>
      <c r="AC7614" s="462" t="s">
        <v>22896</v>
      </c>
      <c r="AD7614" s="464">
        <v>0</v>
      </c>
      <c r="AE7614" s="465">
        <v>0</v>
      </c>
      <c r="AF7614" s="86">
        <f>IF(verze!$E$1="CZK",AD7614,IF(verze!$E$1="SK",AE7614,""))</f>
        <v>0</v>
      </c>
    </row>
    <row r="7615" spans="27:32" ht="15">
      <c r="AA7615" s="463" t="s">
        <v>1320</v>
      </c>
      <c r="AB7615" s="462" t="s">
        <v>22897</v>
      </c>
      <c r="AC7615" s="462" t="s">
        <v>22898</v>
      </c>
      <c r="AD7615" s="464">
        <v>0</v>
      </c>
      <c r="AE7615" s="465">
        <v>0</v>
      </c>
      <c r="AF7615" s="86">
        <f>IF(verze!$E$1="CZK",AD7615,IF(verze!$E$1="SK",AE7615,""))</f>
        <v>0</v>
      </c>
    </row>
    <row r="7616" spans="27:32" ht="15">
      <c r="AA7616" s="463" t="s">
        <v>1320</v>
      </c>
      <c r="AB7616" s="462" t="s">
        <v>22899</v>
      </c>
      <c r="AC7616" s="462" t="s">
        <v>22900</v>
      </c>
      <c r="AD7616" s="464">
        <v>0</v>
      </c>
      <c r="AE7616" s="465">
        <v>0</v>
      </c>
      <c r="AF7616" s="86">
        <f>IF(verze!$E$1="CZK",AD7616,IF(verze!$E$1="SK",AE7616,""))</f>
        <v>0</v>
      </c>
    </row>
    <row r="7617" spans="27:32" ht="15">
      <c r="AA7617" s="463" t="s">
        <v>1320</v>
      </c>
      <c r="AB7617" s="462" t="s">
        <v>22901</v>
      </c>
      <c r="AC7617" s="462" t="s">
        <v>22902</v>
      </c>
      <c r="AD7617" s="464">
        <v>0</v>
      </c>
      <c r="AE7617" s="465">
        <v>0</v>
      </c>
      <c r="AF7617" s="86">
        <f>IF(verze!$E$1="CZK",AD7617,IF(verze!$E$1="SK",AE7617,""))</f>
        <v>0</v>
      </c>
    </row>
    <row r="7618" spans="27:32" ht="15">
      <c r="AA7618" s="463" t="s">
        <v>1320</v>
      </c>
      <c r="AB7618" s="462" t="s">
        <v>22903</v>
      </c>
      <c r="AC7618" s="462" t="s">
        <v>22904</v>
      </c>
      <c r="AD7618" s="464">
        <v>1307.88138</v>
      </c>
      <c r="AE7618" s="465">
        <v>62.913820000000001</v>
      </c>
      <c r="AF7618" s="86">
        <f>IF(verze!$E$1="CZK",AD7618,IF(verze!$E$1="SK",AE7618,""))</f>
        <v>62.913820000000001</v>
      </c>
    </row>
    <row r="7619" spans="27:32" ht="15">
      <c r="AA7619" s="463" t="s">
        <v>1320</v>
      </c>
      <c r="AB7619" s="462" t="s">
        <v>22905</v>
      </c>
      <c r="AC7619" s="462" t="s">
        <v>22906</v>
      </c>
      <c r="AD7619" s="464">
        <v>1507.45001</v>
      </c>
      <c r="AE7619" s="465">
        <v>72.513779999999997</v>
      </c>
      <c r="AF7619" s="86">
        <f>IF(verze!$E$1="CZK",AD7619,IF(verze!$E$1="SK",AE7619,""))</f>
        <v>72.513779999999997</v>
      </c>
    </row>
    <row r="7620" spans="27:32" ht="15">
      <c r="AA7620" s="463" t="s">
        <v>1320</v>
      </c>
      <c r="AB7620" s="462" t="s">
        <v>22907</v>
      </c>
      <c r="AC7620" s="462" t="s">
        <v>22908</v>
      </c>
      <c r="AD7620" s="464">
        <v>0</v>
      </c>
      <c r="AE7620" s="465">
        <v>0</v>
      </c>
      <c r="AF7620" s="86">
        <f>IF(verze!$E$1="CZK",AD7620,IF(verze!$E$1="SK",AE7620,""))</f>
        <v>0</v>
      </c>
    </row>
    <row r="7621" spans="27:32" ht="15">
      <c r="AA7621" s="463" t="s">
        <v>1320</v>
      </c>
      <c r="AB7621" s="462" t="s">
        <v>22909</v>
      </c>
      <c r="AC7621" s="462" t="s">
        <v>22910</v>
      </c>
      <c r="AD7621" s="464">
        <v>1403.1737800000001</v>
      </c>
      <c r="AE7621" s="465">
        <v>67.49776</v>
      </c>
      <c r="AF7621" s="86">
        <f>IF(verze!$E$1="CZK",AD7621,IF(verze!$E$1="SK",AE7621,""))</f>
        <v>67.49776</v>
      </c>
    </row>
    <row r="7622" spans="27:32" ht="15">
      <c r="AA7622" s="463" t="s">
        <v>1320</v>
      </c>
      <c r="AB7622" s="462" t="s">
        <v>22911</v>
      </c>
      <c r="AC7622" s="462" t="s">
        <v>22912</v>
      </c>
      <c r="AD7622" s="464">
        <v>1602.7424100000001</v>
      </c>
      <c r="AE7622" s="465">
        <v>77.097719999999995</v>
      </c>
      <c r="AF7622" s="86">
        <f>IF(verze!$E$1="CZK",AD7622,IF(verze!$E$1="SK",AE7622,""))</f>
        <v>77.097719999999995</v>
      </c>
    </row>
    <row r="7623" spans="27:32" ht="15">
      <c r="AA7623" s="463" t="s">
        <v>1320</v>
      </c>
      <c r="AB7623" s="462" t="s">
        <v>22913</v>
      </c>
      <c r="AC7623" s="462" t="s">
        <v>22914</v>
      </c>
      <c r="AD7623" s="464">
        <v>0</v>
      </c>
      <c r="AE7623" s="465">
        <v>0</v>
      </c>
      <c r="AF7623" s="86">
        <f>IF(verze!$E$1="CZK",AD7623,IF(verze!$E$1="SK",AE7623,""))</f>
        <v>0</v>
      </c>
    </row>
    <row r="7624" spans="27:32" ht="15">
      <c r="AA7624" s="463" t="s">
        <v>1320</v>
      </c>
      <c r="AB7624" s="462" t="s">
        <v>22915</v>
      </c>
      <c r="AC7624" s="462" t="s">
        <v>22916</v>
      </c>
      <c r="AD7624" s="464">
        <v>1488.65509</v>
      </c>
      <c r="AE7624" s="465">
        <v>71.609719999999996</v>
      </c>
      <c r="AF7624" s="86">
        <f>IF(verze!$E$1="CZK",AD7624,IF(verze!$E$1="SK",AE7624,""))</f>
        <v>71.609719999999996</v>
      </c>
    </row>
    <row r="7625" spans="27:32" ht="15">
      <c r="AA7625" s="463" t="s">
        <v>1320</v>
      </c>
      <c r="AB7625" s="462" t="s">
        <v>22917</v>
      </c>
      <c r="AC7625" s="462" t="s">
        <v>22918</v>
      </c>
      <c r="AD7625" s="464">
        <v>1688.22372</v>
      </c>
      <c r="AE7625" s="465">
        <v>81.209680000000006</v>
      </c>
      <c r="AF7625" s="86">
        <f>IF(verze!$E$1="CZK",AD7625,IF(verze!$E$1="SK",AE7625,""))</f>
        <v>81.209680000000006</v>
      </c>
    </row>
    <row r="7626" spans="27:32" ht="15">
      <c r="AA7626" s="463" t="s">
        <v>1320</v>
      </c>
      <c r="AB7626" s="462" t="s">
        <v>22919</v>
      </c>
      <c r="AC7626" s="462" t="s">
        <v>22920</v>
      </c>
      <c r="AD7626" s="464">
        <v>0</v>
      </c>
      <c r="AE7626" s="465">
        <v>0</v>
      </c>
      <c r="AF7626" s="86">
        <f>IF(verze!$E$1="CZK",AD7626,IF(verze!$E$1="SK",AE7626,""))</f>
        <v>0</v>
      </c>
    </row>
    <row r="7627" spans="27:32" ht="15">
      <c r="AA7627" s="463" t="s">
        <v>1320</v>
      </c>
      <c r="AB7627" s="462" t="s">
        <v>22921</v>
      </c>
      <c r="AC7627" s="462" t="s">
        <v>22922</v>
      </c>
      <c r="AD7627" s="464">
        <v>1112.9842799999999</v>
      </c>
      <c r="AE7627" s="465">
        <v>53.538620000000002</v>
      </c>
      <c r="AF7627" s="86">
        <f>IF(verze!$E$1="CZK",AD7627,IF(verze!$E$1="SK",AE7627,""))</f>
        <v>53.538620000000002</v>
      </c>
    </row>
    <row r="7628" spans="27:32" ht="15">
      <c r="AA7628" s="463" t="s">
        <v>1320</v>
      </c>
      <c r="AB7628" s="462" t="s">
        <v>22923</v>
      </c>
      <c r="AC7628" s="462" t="s">
        <v>22924</v>
      </c>
      <c r="AD7628" s="464">
        <v>1312.5529100000001</v>
      </c>
      <c r="AE7628" s="465">
        <v>63.138579999999997</v>
      </c>
      <c r="AF7628" s="86">
        <f>IF(verze!$E$1="CZK",AD7628,IF(verze!$E$1="SK",AE7628,""))</f>
        <v>63.138579999999997</v>
      </c>
    </row>
    <row r="7629" spans="27:32" ht="15">
      <c r="AA7629" s="463" t="s">
        <v>1320</v>
      </c>
      <c r="AB7629" s="462" t="s">
        <v>22925</v>
      </c>
      <c r="AC7629" s="462" t="s">
        <v>22926</v>
      </c>
      <c r="AD7629" s="464">
        <v>0</v>
      </c>
      <c r="AE7629" s="465">
        <v>0</v>
      </c>
      <c r="AF7629" s="86">
        <f>IF(verze!$E$1="CZK",AD7629,IF(verze!$E$1="SK",AE7629,""))</f>
        <v>0</v>
      </c>
    </row>
    <row r="7630" spans="27:32" ht="15">
      <c r="AA7630" s="463" t="s">
        <v>1320</v>
      </c>
      <c r="AB7630" s="462" t="s">
        <v>22927</v>
      </c>
      <c r="AC7630" s="462" t="s">
        <v>22928</v>
      </c>
      <c r="AD7630" s="464">
        <v>1261.32357</v>
      </c>
      <c r="AE7630" s="465">
        <v>60.674250000000001</v>
      </c>
      <c r="AF7630" s="86">
        <f>IF(verze!$E$1="CZK",AD7630,IF(verze!$E$1="SK",AE7630,""))</f>
        <v>60.674250000000001</v>
      </c>
    </row>
    <row r="7631" spans="27:32" ht="15">
      <c r="AA7631" s="463" t="s">
        <v>1320</v>
      </c>
      <c r="AB7631" s="462" t="s">
        <v>22929</v>
      </c>
      <c r="AC7631" s="462" t="s">
        <v>22930</v>
      </c>
      <c r="AD7631" s="464">
        <v>1460.8922</v>
      </c>
      <c r="AE7631" s="465">
        <v>70.274209999999997</v>
      </c>
      <c r="AF7631" s="86">
        <f>IF(verze!$E$1="CZK",AD7631,IF(verze!$E$1="SK",AE7631,""))</f>
        <v>70.274209999999997</v>
      </c>
    </row>
    <row r="7632" spans="27:32" ht="15">
      <c r="AA7632" s="463" t="s">
        <v>1320</v>
      </c>
      <c r="AB7632" s="462" t="s">
        <v>22931</v>
      </c>
      <c r="AC7632" s="462" t="s">
        <v>22932</v>
      </c>
      <c r="AD7632" s="464">
        <v>0</v>
      </c>
      <c r="AE7632" s="465">
        <v>0</v>
      </c>
      <c r="AF7632" s="86">
        <f>IF(verze!$E$1="CZK",AD7632,IF(verze!$E$1="SK",AE7632,""))</f>
        <v>0</v>
      </c>
    </row>
    <row r="7633" spans="27:32" ht="15">
      <c r="AA7633" s="463" t="s">
        <v>1320</v>
      </c>
      <c r="AB7633" s="462" t="s">
        <v>22933</v>
      </c>
      <c r="AC7633" s="462" t="s">
        <v>22934</v>
      </c>
      <c r="AD7633" s="464">
        <v>1346.8048799999999</v>
      </c>
      <c r="AE7633" s="465">
        <v>64.786209999999997</v>
      </c>
      <c r="AF7633" s="86">
        <f>IF(verze!$E$1="CZK",AD7633,IF(verze!$E$1="SK",AE7633,""))</f>
        <v>64.786209999999997</v>
      </c>
    </row>
    <row r="7634" spans="27:32" ht="15">
      <c r="AA7634" s="463" t="s">
        <v>1320</v>
      </c>
      <c r="AB7634" s="462" t="s">
        <v>22935</v>
      </c>
      <c r="AC7634" s="462" t="s">
        <v>22936</v>
      </c>
      <c r="AD7634" s="464">
        <v>1546.3735099999999</v>
      </c>
      <c r="AE7634" s="465">
        <v>74.386170000000007</v>
      </c>
      <c r="AF7634" s="86">
        <f>IF(verze!$E$1="CZK",AD7634,IF(verze!$E$1="SK",AE7634,""))</f>
        <v>74.386170000000007</v>
      </c>
    </row>
    <row r="7635" spans="27:32" ht="15">
      <c r="AA7635" s="463" t="s">
        <v>1320</v>
      </c>
      <c r="AB7635" s="462" t="s">
        <v>22937</v>
      </c>
      <c r="AC7635" s="462" t="s">
        <v>22938</v>
      </c>
      <c r="AD7635" s="464">
        <v>0</v>
      </c>
      <c r="AE7635" s="465">
        <v>0</v>
      </c>
      <c r="AF7635" s="86">
        <f>IF(verze!$E$1="CZK",AD7635,IF(verze!$E$1="SK",AE7635,""))</f>
        <v>0</v>
      </c>
    </row>
    <row r="7636" spans="27:32" ht="15">
      <c r="AA7636" s="463" t="s">
        <v>1320</v>
      </c>
      <c r="AB7636" s="462" t="s">
        <v>22939</v>
      </c>
      <c r="AC7636" s="462" t="s">
        <v>22940</v>
      </c>
      <c r="AD7636" s="464">
        <v>1460.7275</v>
      </c>
      <c r="AE7636" s="465">
        <v>70.266260000000003</v>
      </c>
      <c r="AF7636" s="86">
        <f>IF(verze!$E$1="CZK",AD7636,IF(verze!$E$1="SK",AE7636,""))</f>
        <v>70.266260000000003</v>
      </c>
    </row>
    <row r="7637" spans="27:32" ht="15">
      <c r="AA7637" s="463" t="s">
        <v>1320</v>
      </c>
      <c r="AB7637" s="462" t="s">
        <v>22941</v>
      </c>
      <c r="AC7637" s="462" t="s">
        <v>22942</v>
      </c>
      <c r="AD7637" s="464">
        <v>1577.49505</v>
      </c>
      <c r="AE7637" s="465">
        <v>75.883189999999999</v>
      </c>
      <c r="AF7637" s="86">
        <f>IF(verze!$E$1="CZK",AD7637,IF(verze!$E$1="SK",AE7637,""))</f>
        <v>75.883189999999999</v>
      </c>
    </row>
    <row r="7638" spans="27:32" ht="15">
      <c r="AA7638" s="463" t="s">
        <v>1320</v>
      </c>
      <c r="AB7638" s="462" t="s">
        <v>22943</v>
      </c>
      <c r="AC7638" s="462" t="s">
        <v>22944</v>
      </c>
      <c r="AD7638" s="464">
        <v>0</v>
      </c>
      <c r="AE7638" s="465">
        <v>0</v>
      </c>
      <c r="AF7638" s="86">
        <f>IF(verze!$E$1="CZK",AD7638,IF(verze!$E$1="SK",AE7638,""))</f>
        <v>0</v>
      </c>
    </row>
    <row r="7639" spans="27:32" ht="15">
      <c r="AA7639" s="463" t="s">
        <v>1320</v>
      </c>
      <c r="AB7639" s="462" t="s">
        <v>22945</v>
      </c>
      <c r="AC7639" s="462" t="s">
        <v>22946</v>
      </c>
      <c r="AD7639" s="464">
        <v>1556.0199</v>
      </c>
      <c r="AE7639" s="465">
        <v>74.850200000000001</v>
      </c>
      <c r="AF7639" s="86">
        <f>IF(verze!$E$1="CZK",AD7639,IF(verze!$E$1="SK",AE7639,""))</f>
        <v>74.850200000000001</v>
      </c>
    </row>
    <row r="7640" spans="27:32" ht="15">
      <c r="AA7640" s="463" t="s">
        <v>1320</v>
      </c>
      <c r="AB7640" s="462" t="s">
        <v>22947</v>
      </c>
      <c r="AC7640" s="462" t="s">
        <v>22948</v>
      </c>
      <c r="AD7640" s="464">
        <v>1672.78745</v>
      </c>
      <c r="AE7640" s="465">
        <v>80.467129999999997</v>
      </c>
      <c r="AF7640" s="86">
        <f>IF(verze!$E$1="CZK",AD7640,IF(verze!$E$1="SK",AE7640,""))</f>
        <v>80.467129999999997</v>
      </c>
    </row>
    <row r="7641" spans="27:32" ht="15">
      <c r="AA7641" s="463" t="s">
        <v>1320</v>
      </c>
      <c r="AB7641" s="462" t="s">
        <v>22949</v>
      </c>
      <c r="AC7641" s="462" t="s">
        <v>22950</v>
      </c>
      <c r="AD7641" s="464">
        <v>0</v>
      </c>
      <c r="AE7641" s="465">
        <v>0</v>
      </c>
      <c r="AF7641" s="86">
        <f>IF(verze!$E$1="CZK",AD7641,IF(verze!$E$1="SK",AE7641,""))</f>
        <v>0</v>
      </c>
    </row>
    <row r="7642" spans="27:32" ht="15">
      <c r="AA7642" s="463" t="s">
        <v>1320</v>
      </c>
      <c r="AB7642" s="462" t="s">
        <v>22951</v>
      </c>
      <c r="AC7642" s="462" t="s">
        <v>22952</v>
      </c>
      <c r="AD7642" s="464">
        <v>1641.5012099999999</v>
      </c>
      <c r="AE7642" s="465">
        <v>78.962159999999997</v>
      </c>
      <c r="AF7642" s="86">
        <f>IF(verze!$E$1="CZK",AD7642,IF(verze!$E$1="SK",AE7642,""))</f>
        <v>78.962159999999997</v>
      </c>
    </row>
    <row r="7643" spans="27:32" ht="15">
      <c r="AA7643" s="463" t="s">
        <v>1320</v>
      </c>
      <c r="AB7643" s="462" t="s">
        <v>22953</v>
      </c>
      <c r="AC7643" s="462" t="s">
        <v>22954</v>
      </c>
      <c r="AD7643" s="464">
        <v>0</v>
      </c>
      <c r="AE7643" s="465">
        <v>0</v>
      </c>
      <c r="AF7643" s="86">
        <f>IF(verze!$E$1="CZK",AD7643,IF(verze!$E$1="SK",AE7643,""))</f>
        <v>0</v>
      </c>
    </row>
    <row r="7644" spans="27:32" ht="15">
      <c r="AA7644" s="463" t="s">
        <v>1320</v>
      </c>
      <c r="AB7644" s="462" t="s">
        <v>22955</v>
      </c>
      <c r="AC7644" s="462" t="s">
        <v>22956</v>
      </c>
      <c r="AD7644" s="464">
        <v>0</v>
      </c>
      <c r="AE7644" s="465">
        <v>0</v>
      </c>
      <c r="AF7644" s="86">
        <f>IF(verze!$E$1="CZK",AD7644,IF(verze!$E$1="SK",AE7644,""))</f>
        <v>0</v>
      </c>
    </row>
    <row r="7645" spans="27:32" ht="15">
      <c r="AA7645" s="463" t="s">
        <v>1320</v>
      </c>
      <c r="AB7645" s="462" t="s">
        <v>22957</v>
      </c>
      <c r="AC7645" s="462" t="s">
        <v>22958</v>
      </c>
      <c r="AD7645" s="464">
        <v>1265.8303800000001</v>
      </c>
      <c r="AE7645" s="465">
        <v>60.891060000000003</v>
      </c>
      <c r="AF7645" s="86">
        <f>IF(verze!$E$1="CZK",AD7645,IF(verze!$E$1="SK",AE7645,""))</f>
        <v>60.891060000000003</v>
      </c>
    </row>
    <row r="7646" spans="27:32" ht="15">
      <c r="AA7646" s="463" t="s">
        <v>1320</v>
      </c>
      <c r="AB7646" s="462" t="s">
        <v>22959</v>
      </c>
      <c r="AC7646" s="462" t="s">
        <v>22960</v>
      </c>
      <c r="AD7646" s="464">
        <v>1382.5979299999999</v>
      </c>
      <c r="AE7646" s="465">
        <v>66.507990000000007</v>
      </c>
      <c r="AF7646" s="86">
        <f>IF(verze!$E$1="CZK",AD7646,IF(verze!$E$1="SK",AE7646,""))</f>
        <v>66.507990000000007</v>
      </c>
    </row>
    <row r="7647" spans="27:32" ht="15">
      <c r="AA7647" s="463" t="s">
        <v>1320</v>
      </c>
      <c r="AB7647" s="462" t="s">
        <v>22961</v>
      </c>
      <c r="AC7647" s="462" t="s">
        <v>22962</v>
      </c>
      <c r="AD7647" s="464">
        <v>0</v>
      </c>
      <c r="AE7647" s="465">
        <v>0</v>
      </c>
      <c r="AF7647" s="86">
        <f>IF(verze!$E$1="CZK",AD7647,IF(verze!$E$1="SK",AE7647,""))</f>
        <v>0</v>
      </c>
    </row>
    <row r="7648" spans="27:32" ht="15">
      <c r="AA7648" s="463" t="s">
        <v>1320</v>
      </c>
      <c r="AB7648" s="462" t="s">
        <v>22963</v>
      </c>
      <c r="AC7648" s="462" t="s">
        <v>22964</v>
      </c>
      <c r="AD7648" s="464">
        <v>1414.16967</v>
      </c>
      <c r="AE7648" s="465">
        <v>68.026690000000002</v>
      </c>
      <c r="AF7648" s="86">
        <f>IF(verze!$E$1="CZK",AD7648,IF(verze!$E$1="SK",AE7648,""))</f>
        <v>68.026690000000002</v>
      </c>
    </row>
    <row r="7649" spans="27:32" ht="15">
      <c r="AA7649" s="463" t="s">
        <v>1320</v>
      </c>
      <c r="AB7649" s="462" t="s">
        <v>22965</v>
      </c>
      <c r="AC7649" s="462" t="s">
        <v>22966</v>
      </c>
      <c r="AD7649" s="464">
        <v>1530.93722</v>
      </c>
      <c r="AE7649" s="465">
        <v>73.643619999999999</v>
      </c>
      <c r="AF7649" s="86">
        <f>IF(verze!$E$1="CZK",AD7649,IF(verze!$E$1="SK",AE7649,""))</f>
        <v>73.643619999999999</v>
      </c>
    </row>
    <row r="7650" spans="27:32" ht="15">
      <c r="AA7650" s="463" t="s">
        <v>1320</v>
      </c>
      <c r="AB7650" s="462" t="s">
        <v>22967</v>
      </c>
      <c r="AC7650" s="462" t="s">
        <v>22968</v>
      </c>
      <c r="AD7650" s="464">
        <v>0</v>
      </c>
      <c r="AE7650" s="465">
        <v>0</v>
      </c>
      <c r="AF7650" s="86">
        <f>IF(verze!$E$1="CZK",AD7650,IF(verze!$E$1="SK",AE7650,""))</f>
        <v>0</v>
      </c>
    </row>
    <row r="7651" spans="27:32" ht="15">
      <c r="AA7651" s="463" t="s">
        <v>1320</v>
      </c>
      <c r="AB7651" s="462" t="s">
        <v>22969</v>
      </c>
      <c r="AC7651" s="462" t="s">
        <v>22970</v>
      </c>
      <c r="AD7651" s="464">
        <v>1499.6509799999999</v>
      </c>
      <c r="AE7651" s="465">
        <v>72.138649999999998</v>
      </c>
      <c r="AF7651" s="86">
        <f>IF(verze!$E$1="CZK",AD7651,IF(verze!$E$1="SK",AE7651,""))</f>
        <v>72.138649999999998</v>
      </c>
    </row>
    <row r="7652" spans="27:32" ht="15">
      <c r="AA7652" s="463" t="s">
        <v>1320</v>
      </c>
      <c r="AB7652" s="462" t="s">
        <v>22971</v>
      </c>
      <c r="AC7652" s="462" t="s">
        <v>22972</v>
      </c>
      <c r="AD7652" s="464">
        <v>1499.6509799999999</v>
      </c>
      <c r="AE7652" s="465">
        <v>72.138649999999998</v>
      </c>
      <c r="AF7652" s="86">
        <f>IF(verze!$E$1="CZK",AD7652,IF(verze!$E$1="SK",AE7652,""))</f>
        <v>72.138649999999998</v>
      </c>
    </row>
    <row r="7653" spans="27:32" ht="15">
      <c r="AA7653" s="463" t="s">
        <v>1320</v>
      </c>
      <c r="AB7653" s="462" t="s">
        <v>22973</v>
      </c>
      <c r="AC7653" s="462" t="s">
        <v>22974</v>
      </c>
      <c r="AD7653" s="464">
        <v>0</v>
      </c>
      <c r="AE7653" s="465">
        <v>0</v>
      </c>
      <c r="AF7653" s="86">
        <f>IF(verze!$E$1="CZK",AD7653,IF(verze!$E$1="SK",AE7653,""))</f>
        <v>0</v>
      </c>
    </row>
    <row r="7654" spans="27:32" ht="15">
      <c r="AA7654" s="463" t="s">
        <v>1320</v>
      </c>
      <c r="AB7654" s="462" t="s">
        <v>22975</v>
      </c>
      <c r="AC7654" s="462" t="s">
        <v>22976</v>
      </c>
      <c r="AD7654" s="464">
        <v>0</v>
      </c>
      <c r="AE7654" s="465">
        <v>0</v>
      </c>
      <c r="AF7654" s="86">
        <f>IF(verze!$E$1="CZK",AD7654,IF(verze!$E$1="SK",AE7654,""))</f>
        <v>0</v>
      </c>
    </row>
    <row r="7655" spans="27:32" ht="15">
      <c r="AA7655" s="463" t="s">
        <v>1320</v>
      </c>
      <c r="AB7655" s="462" t="s">
        <v>22977</v>
      </c>
      <c r="AC7655" s="462" t="s">
        <v>22978</v>
      </c>
      <c r="AD7655" s="464">
        <v>0</v>
      </c>
      <c r="AE7655" s="465">
        <v>0</v>
      </c>
      <c r="AF7655" s="86">
        <f>IF(verze!$E$1="CZK",AD7655,IF(verze!$E$1="SK",AE7655,""))</f>
        <v>0</v>
      </c>
    </row>
    <row r="7656" spans="27:32" ht="15">
      <c r="AA7656" s="463" t="s">
        <v>1320</v>
      </c>
      <c r="AB7656" s="462" t="s">
        <v>22979</v>
      </c>
      <c r="AC7656" s="462" t="s">
        <v>22980</v>
      </c>
      <c r="AD7656" s="464">
        <v>0</v>
      </c>
      <c r="AE7656" s="465">
        <v>0</v>
      </c>
      <c r="AF7656" s="86">
        <f>IF(verze!$E$1="CZK",AD7656,IF(verze!$E$1="SK",AE7656,""))</f>
        <v>0</v>
      </c>
    </row>
    <row r="7657" spans="27:32" ht="15">
      <c r="AA7657" s="463" t="s">
        <v>1320</v>
      </c>
      <c r="AB7657" s="462" t="s">
        <v>22981</v>
      </c>
      <c r="AC7657" s="462" t="s">
        <v>22982</v>
      </c>
      <c r="AD7657" s="464">
        <v>0</v>
      </c>
      <c r="AE7657" s="465">
        <v>0</v>
      </c>
      <c r="AF7657" s="86">
        <f>IF(verze!$E$1="CZK",AD7657,IF(verze!$E$1="SK",AE7657,""))</f>
        <v>0</v>
      </c>
    </row>
    <row r="7658" spans="27:32" ht="15">
      <c r="AA7658" s="463" t="s">
        <v>1320</v>
      </c>
      <c r="AB7658" s="462" t="s">
        <v>22983</v>
      </c>
      <c r="AC7658" s="462" t="s">
        <v>22984</v>
      </c>
      <c r="AD7658" s="464">
        <v>1105.90506</v>
      </c>
      <c r="AE7658" s="465">
        <v>53.165239999999997</v>
      </c>
      <c r="AF7658" s="86">
        <f>IF(verze!$E$1="CZK",AD7658,IF(verze!$E$1="SK",AE7658,""))</f>
        <v>53.165239999999997</v>
      </c>
    </row>
    <row r="7659" spans="27:32" ht="15">
      <c r="AA7659" s="463" t="s">
        <v>1320</v>
      </c>
      <c r="AB7659" s="462" t="s">
        <v>22985</v>
      </c>
      <c r="AC7659" s="462" t="s">
        <v>22986</v>
      </c>
      <c r="AD7659" s="464">
        <v>1105.90506</v>
      </c>
      <c r="AE7659" s="465">
        <v>53.165239999999997</v>
      </c>
      <c r="AF7659" s="86">
        <f>IF(verze!$E$1="CZK",AD7659,IF(verze!$E$1="SK",AE7659,""))</f>
        <v>53.165239999999997</v>
      </c>
    </row>
    <row r="7660" spans="27:32" ht="15">
      <c r="AA7660" s="463" t="s">
        <v>1320</v>
      </c>
      <c r="AB7660" s="462" t="s">
        <v>22987</v>
      </c>
      <c r="AC7660" s="462" t="s">
        <v>22988</v>
      </c>
      <c r="AD7660" s="464">
        <v>1253.6691900000001</v>
      </c>
      <c r="AE7660" s="465">
        <v>60.251330000000003</v>
      </c>
      <c r="AF7660" s="86">
        <f>IF(verze!$E$1="CZK",AD7660,IF(verze!$E$1="SK",AE7660,""))</f>
        <v>60.251330000000003</v>
      </c>
    </row>
    <row r="7661" spans="27:32" ht="15">
      <c r="AA7661" s="463" t="s">
        <v>1320</v>
      </c>
      <c r="AB7661" s="462" t="s">
        <v>22989</v>
      </c>
      <c r="AC7661" s="462" t="s">
        <v>22990</v>
      </c>
      <c r="AD7661" s="464">
        <v>1338.0003999999999</v>
      </c>
      <c r="AE7661" s="465">
        <v>64.264229999999998</v>
      </c>
      <c r="AF7661" s="86">
        <f>IF(verze!$E$1="CZK",AD7661,IF(verze!$E$1="SK",AE7661,""))</f>
        <v>64.264229999999998</v>
      </c>
    </row>
    <row r="7662" spans="27:32" ht="15">
      <c r="AA7662" s="463" t="s">
        <v>1320</v>
      </c>
      <c r="AB7662" s="462" t="s">
        <v>22991</v>
      </c>
      <c r="AC7662" s="462" t="s">
        <v>22992</v>
      </c>
      <c r="AD7662" s="464">
        <v>0</v>
      </c>
      <c r="AE7662" s="465">
        <v>0</v>
      </c>
      <c r="AF7662" s="86">
        <f>IF(verze!$E$1="CZK",AD7662,IF(verze!$E$1="SK",AE7662,""))</f>
        <v>0</v>
      </c>
    </row>
    <row r="7663" spans="27:32" ht="15">
      <c r="AA7663" s="463" t="s">
        <v>1320</v>
      </c>
      <c r="AB7663" s="462" t="s">
        <v>22993</v>
      </c>
      <c r="AC7663" s="462" t="s">
        <v>22994</v>
      </c>
      <c r="AD7663" s="464">
        <v>0</v>
      </c>
      <c r="AE7663" s="465">
        <v>0</v>
      </c>
      <c r="AF7663" s="86">
        <f>IF(verze!$E$1="CZK",AD7663,IF(verze!$E$1="SK",AE7663,""))</f>
        <v>0</v>
      </c>
    </row>
    <row r="7664" spans="27:32" ht="15">
      <c r="AA7664" s="463" t="s">
        <v>1320</v>
      </c>
      <c r="AB7664" s="462" t="s">
        <v>22995</v>
      </c>
      <c r="AC7664" s="462" t="s">
        <v>22996</v>
      </c>
      <c r="AD7664" s="464">
        <v>1311.0699300000001</v>
      </c>
      <c r="AE7664" s="465">
        <v>63.01258</v>
      </c>
      <c r="AF7664" s="86">
        <f>IF(verze!$E$1="CZK",AD7664,IF(verze!$E$1="SK",AE7664,""))</f>
        <v>63.01258</v>
      </c>
    </row>
    <row r="7665" spans="27:32" ht="15">
      <c r="AA7665" s="463" t="s">
        <v>1320</v>
      </c>
      <c r="AB7665" s="462" t="s">
        <v>22997</v>
      </c>
      <c r="AC7665" s="462" t="s">
        <v>22998</v>
      </c>
      <c r="AD7665" s="464">
        <v>1395.4011399999999</v>
      </c>
      <c r="AE7665" s="465">
        <v>67.025480000000002</v>
      </c>
      <c r="AF7665" s="86">
        <f>IF(verze!$E$1="CZK",AD7665,IF(verze!$E$1="SK",AE7665,""))</f>
        <v>67.025480000000002</v>
      </c>
    </row>
    <row r="7666" spans="27:32" ht="15">
      <c r="AA7666" s="463" t="s">
        <v>1320</v>
      </c>
      <c r="AB7666" s="462" t="s">
        <v>22999</v>
      </c>
      <c r="AC7666" s="462" t="s">
        <v>23000</v>
      </c>
      <c r="AD7666" s="464">
        <v>1504.4798000000001</v>
      </c>
      <c r="AE7666" s="465">
        <v>72.338160000000002</v>
      </c>
      <c r="AF7666" s="86">
        <f>IF(verze!$E$1="CZK",AD7666,IF(verze!$E$1="SK",AE7666,""))</f>
        <v>72.338160000000002</v>
      </c>
    </row>
    <row r="7667" spans="27:32" ht="15">
      <c r="AA7667" s="463" t="s">
        <v>1320</v>
      </c>
      <c r="AB7667" s="462" t="s">
        <v>23001</v>
      </c>
      <c r="AC7667" s="462" t="s">
        <v>23002</v>
      </c>
      <c r="AD7667" s="464">
        <v>0</v>
      </c>
      <c r="AE7667" s="465">
        <v>0</v>
      </c>
      <c r="AF7667" s="86">
        <f>IF(verze!$E$1="CZK",AD7667,IF(verze!$E$1="SK",AE7667,""))</f>
        <v>0</v>
      </c>
    </row>
    <row r="7668" spans="27:32" ht="15">
      <c r="AA7668" s="463" t="s">
        <v>1320</v>
      </c>
      <c r="AB7668" s="462" t="s">
        <v>23003</v>
      </c>
      <c r="AC7668" s="462" t="s">
        <v>23004</v>
      </c>
      <c r="AD7668" s="464">
        <v>0</v>
      </c>
      <c r="AE7668" s="465">
        <v>0</v>
      </c>
      <c r="AF7668" s="86">
        <f>IF(verze!$E$1="CZK",AD7668,IF(verze!$E$1="SK",AE7668,""))</f>
        <v>0</v>
      </c>
    </row>
    <row r="7669" spans="27:32" ht="15">
      <c r="AA7669" s="463" t="s">
        <v>1320</v>
      </c>
      <c r="AB7669" s="462" t="s">
        <v>23005</v>
      </c>
      <c r="AC7669" s="462" t="s">
        <v>23006</v>
      </c>
      <c r="AD7669" s="464">
        <v>1311.0699300000001</v>
      </c>
      <c r="AE7669" s="465">
        <v>63.01258</v>
      </c>
      <c r="AF7669" s="86">
        <f>IF(verze!$E$1="CZK",AD7669,IF(verze!$E$1="SK",AE7669,""))</f>
        <v>63.01258</v>
      </c>
    </row>
    <row r="7670" spans="27:32" ht="15">
      <c r="AA7670" s="463" t="s">
        <v>1320</v>
      </c>
      <c r="AB7670" s="462" t="s">
        <v>23007</v>
      </c>
      <c r="AC7670" s="462" t="s">
        <v>23008</v>
      </c>
      <c r="AD7670" s="464">
        <v>1395.4011399999999</v>
      </c>
      <c r="AE7670" s="465">
        <v>67.025480000000002</v>
      </c>
      <c r="AF7670" s="86">
        <f>IF(verze!$E$1="CZK",AD7670,IF(verze!$E$1="SK",AE7670,""))</f>
        <v>67.025480000000002</v>
      </c>
    </row>
    <row r="7671" spans="27:32" ht="15">
      <c r="AA7671" s="463" t="s">
        <v>1320</v>
      </c>
      <c r="AB7671" s="462" t="s">
        <v>23009</v>
      </c>
      <c r="AC7671" s="462" t="s">
        <v>23010</v>
      </c>
      <c r="AD7671" s="464">
        <v>1021.45559</v>
      </c>
      <c r="AE7671" s="465">
        <v>49.102960000000003</v>
      </c>
      <c r="AF7671" s="86">
        <f>IF(verze!$E$1="CZK",AD7671,IF(verze!$E$1="SK",AE7671,""))</f>
        <v>49.102960000000003</v>
      </c>
    </row>
    <row r="7672" spans="27:32" ht="15">
      <c r="AA7672" s="463" t="s">
        <v>1320</v>
      </c>
      <c r="AB7672" s="462" t="s">
        <v>23011</v>
      </c>
      <c r="AC7672" s="462" t="s">
        <v>23012</v>
      </c>
      <c r="AD7672" s="464">
        <v>0</v>
      </c>
      <c r="AE7672" s="465">
        <v>0</v>
      </c>
      <c r="AF7672" s="86">
        <f>IF(verze!$E$1="CZK",AD7672,IF(verze!$E$1="SK",AE7672,""))</f>
        <v>0</v>
      </c>
    </row>
    <row r="7673" spans="27:32" ht="15">
      <c r="AA7673" s="463" t="s">
        <v>1320</v>
      </c>
      <c r="AB7673" s="462" t="s">
        <v>23013</v>
      </c>
      <c r="AC7673" s="462" t="s">
        <v>23014</v>
      </c>
      <c r="AD7673" s="464">
        <v>0</v>
      </c>
      <c r="AE7673" s="465">
        <v>0</v>
      </c>
      <c r="AF7673" s="86">
        <f>IF(verze!$E$1="CZK",AD7673,IF(verze!$E$1="SK",AE7673,""))</f>
        <v>0</v>
      </c>
    </row>
    <row r="7674" spans="27:32" ht="15">
      <c r="AA7674" s="463" t="s">
        <v>1320</v>
      </c>
      <c r="AB7674" s="462" t="s">
        <v>23015</v>
      </c>
      <c r="AC7674" s="462" t="s">
        <v>23016</v>
      </c>
      <c r="AD7674" s="464">
        <v>1329.4831899999999</v>
      </c>
      <c r="AE7674" s="465">
        <v>63.898299999999999</v>
      </c>
      <c r="AF7674" s="86">
        <f>IF(verze!$E$1="CZK",AD7674,IF(verze!$E$1="SK",AE7674,""))</f>
        <v>63.898299999999999</v>
      </c>
    </row>
    <row r="7675" spans="27:32" ht="15">
      <c r="AA7675" s="463" t="s">
        <v>1320</v>
      </c>
      <c r="AB7675" s="462" t="s">
        <v>23017</v>
      </c>
      <c r="AC7675" s="462" t="s">
        <v>23018</v>
      </c>
      <c r="AD7675" s="464">
        <v>0</v>
      </c>
      <c r="AE7675" s="465">
        <v>0</v>
      </c>
      <c r="AF7675" s="86">
        <f>IF(verze!$E$1="CZK",AD7675,IF(verze!$E$1="SK",AE7675,""))</f>
        <v>0</v>
      </c>
    </row>
    <row r="7676" spans="27:32" ht="15">
      <c r="AA7676" s="463" t="s">
        <v>1320</v>
      </c>
      <c r="AB7676" s="462" t="s">
        <v>23019</v>
      </c>
      <c r="AC7676" s="462" t="s">
        <v>23020</v>
      </c>
      <c r="AD7676" s="464">
        <v>1413.8144</v>
      </c>
      <c r="AE7676" s="465">
        <v>67.911199999999994</v>
      </c>
      <c r="AF7676" s="86">
        <f>IF(verze!$E$1="CZK",AD7676,IF(verze!$E$1="SK",AE7676,""))</f>
        <v>67.911199999999994</v>
      </c>
    </row>
    <row r="7677" spans="27:32" ht="15">
      <c r="AA7677" s="463" t="s">
        <v>1320</v>
      </c>
      <c r="AB7677" s="462" t="s">
        <v>23021</v>
      </c>
      <c r="AC7677" s="462" t="s">
        <v>23022</v>
      </c>
      <c r="AD7677" s="464">
        <v>0</v>
      </c>
      <c r="AE7677" s="465">
        <v>0</v>
      </c>
      <c r="AF7677" s="86">
        <f>IF(verze!$E$1="CZK",AD7677,IF(verze!$E$1="SK",AE7677,""))</f>
        <v>0</v>
      </c>
    </row>
    <row r="7678" spans="27:32" ht="15">
      <c r="AA7678" s="463" t="s">
        <v>1320</v>
      </c>
      <c r="AB7678" s="462" t="s">
        <v>23023</v>
      </c>
      <c r="AC7678" s="462" t="s">
        <v>23024</v>
      </c>
      <c r="AD7678" s="464">
        <v>0</v>
      </c>
      <c r="AE7678" s="465">
        <v>0</v>
      </c>
      <c r="AF7678" s="86">
        <f>IF(verze!$E$1="CZK",AD7678,IF(verze!$E$1="SK",AE7678,""))</f>
        <v>0</v>
      </c>
    </row>
    <row r="7679" spans="27:32" ht="15">
      <c r="AA7679" s="463" t="s">
        <v>1320</v>
      </c>
      <c r="AB7679" s="462" t="s">
        <v>23025</v>
      </c>
      <c r="AC7679" s="462" t="s">
        <v>23026</v>
      </c>
      <c r="AD7679" s="464">
        <v>0</v>
      </c>
      <c r="AE7679" s="465">
        <v>0</v>
      </c>
      <c r="AF7679" s="86">
        <f>IF(verze!$E$1="CZK",AD7679,IF(verze!$E$1="SK",AE7679,""))</f>
        <v>0</v>
      </c>
    </row>
    <row r="7680" spans="27:32" ht="15">
      <c r="AA7680" s="463" t="s">
        <v>1320</v>
      </c>
      <c r="AB7680" s="462" t="s">
        <v>23027</v>
      </c>
      <c r="AC7680" s="462" t="s">
        <v>23028</v>
      </c>
      <c r="AD7680" s="464">
        <v>0</v>
      </c>
      <c r="AE7680" s="465">
        <v>0</v>
      </c>
      <c r="AF7680" s="86">
        <f>IF(verze!$E$1="CZK",AD7680,IF(verze!$E$1="SK",AE7680,""))</f>
        <v>0</v>
      </c>
    </row>
    <row r="7681" spans="27:32" ht="15">
      <c r="AA7681" s="463" t="s">
        <v>1320</v>
      </c>
      <c r="AB7681" s="462" t="s">
        <v>23029</v>
      </c>
      <c r="AC7681" s="462" t="s">
        <v>23030</v>
      </c>
      <c r="AD7681" s="464">
        <v>0</v>
      </c>
      <c r="AE7681" s="465">
        <v>0</v>
      </c>
      <c r="AF7681" s="86">
        <f>IF(verze!$E$1="CZK",AD7681,IF(verze!$E$1="SK",AE7681,""))</f>
        <v>0</v>
      </c>
    </row>
    <row r="7682" spans="27:32" ht="15">
      <c r="AA7682" s="463" t="s">
        <v>1320</v>
      </c>
      <c r="AB7682" s="462" t="s">
        <v>23031</v>
      </c>
      <c r="AC7682" s="462" t="s">
        <v>23032</v>
      </c>
      <c r="AD7682" s="464">
        <v>0</v>
      </c>
      <c r="AE7682" s="465">
        <v>0</v>
      </c>
      <c r="AF7682" s="86">
        <f>IF(verze!$E$1="CZK",AD7682,IF(verze!$E$1="SK",AE7682,""))</f>
        <v>0</v>
      </c>
    </row>
    <row r="7683" spans="27:32" ht="15">
      <c r="AA7683" s="463" t="s">
        <v>1320</v>
      </c>
      <c r="AB7683" s="462" t="s">
        <v>23033</v>
      </c>
      <c r="AC7683" s="462" t="s">
        <v>23034</v>
      </c>
      <c r="AD7683" s="464">
        <v>1347.88924</v>
      </c>
      <c r="AE7683" s="465">
        <v>64.783670000000001</v>
      </c>
      <c r="AF7683" s="86">
        <f>IF(verze!$E$1="CZK",AD7683,IF(verze!$E$1="SK",AE7683,""))</f>
        <v>64.783670000000001</v>
      </c>
    </row>
    <row r="7684" spans="27:32" ht="15">
      <c r="AA7684" s="463" t="s">
        <v>1320</v>
      </c>
      <c r="AB7684" s="462" t="s">
        <v>23035</v>
      </c>
      <c r="AC7684" s="462" t="s">
        <v>23036</v>
      </c>
      <c r="AD7684" s="464">
        <v>1548.28442</v>
      </c>
      <c r="AE7684" s="465">
        <v>74.423389999999998</v>
      </c>
      <c r="AF7684" s="86">
        <f>IF(verze!$E$1="CZK",AD7684,IF(verze!$E$1="SK",AE7684,""))</f>
        <v>74.423389999999998</v>
      </c>
    </row>
    <row r="7685" spans="27:32" ht="15">
      <c r="AA7685" s="463" t="s">
        <v>1320</v>
      </c>
      <c r="AB7685" s="462" t="s">
        <v>23037</v>
      </c>
      <c r="AC7685" s="462" t="s">
        <v>23038</v>
      </c>
      <c r="AD7685" s="464">
        <v>1432.22045</v>
      </c>
      <c r="AE7685" s="465">
        <v>68.796570000000003</v>
      </c>
      <c r="AF7685" s="86">
        <f>IF(verze!$E$1="CZK",AD7685,IF(verze!$E$1="SK",AE7685,""))</f>
        <v>68.796570000000003</v>
      </c>
    </row>
    <row r="7686" spans="27:32" ht="15">
      <c r="AA7686" s="463" t="s">
        <v>1320</v>
      </c>
      <c r="AB7686" s="462" t="s">
        <v>23039</v>
      </c>
      <c r="AC7686" s="462" t="s">
        <v>23040</v>
      </c>
      <c r="AD7686" s="464">
        <v>1632.61563</v>
      </c>
      <c r="AE7686" s="465">
        <v>78.43629</v>
      </c>
      <c r="AF7686" s="86">
        <f>IF(verze!$E$1="CZK",AD7686,IF(verze!$E$1="SK",AE7686,""))</f>
        <v>78.43629</v>
      </c>
    </row>
    <row r="7687" spans="27:32" ht="15">
      <c r="AA7687" s="463" t="s">
        <v>1320</v>
      </c>
      <c r="AB7687" s="462" t="s">
        <v>23041</v>
      </c>
      <c r="AC7687" s="462" t="s">
        <v>23042</v>
      </c>
      <c r="AD7687" s="464">
        <v>1258.6701700000001</v>
      </c>
      <c r="AE7687" s="465">
        <v>60.513820000000003</v>
      </c>
      <c r="AF7687" s="86">
        <f>IF(verze!$E$1="CZK",AD7687,IF(verze!$E$1="SK",AE7687,""))</f>
        <v>60.513820000000003</v>
      </c>
    </row>
    <row r="7688" spans="27:32" ht="15">
      <c r="AA7688" s="463" t="s">
        <v>1320</v>
      </c>
      <c r="AB7688" s="462" t="s">
        <v>23043</v>
      </c>
      <c r="AC7688" s="462" t="s">
        <v>23044</v>
      </c>
      <c r="AD7688" s="464">
        <v>1406.4342999999999</v>
      </c>
      <c r="AE7688" s="465">
        <v>67.599909999999994</v>
      </c>
      <c r="AF7688" s="86">
        <f>IF(verze!$E$1="CZK",AD7688,IF(verze!$E$1="SK",AE7688,""))</f>
        <v>67.599909999999994</v>
      </c>
    </row>
    <row r="7689" spans="27:32" ht="15">
      <c r="AA7689" s="463" t="s">
        <v>1320</v>
      </c>
      <c r="AB7689" s="462" t="s">
        <v>23045</v>
      </c>
      <c r="AC7689" s="462" t="s">
        <v>23046</v>
      </c>
      <c r="AD7689" s="464">
        <v>1490.7655099999999</v>
      </c>
      <c r="AE7689" s="465">
        <v>71.612809999999996</v>
      </c>
      <c r="AF7689" s="86">
        <f>IF(verze!$E$1="CZK",AD7689,IF(verze!$E$1="SK",AE7689,""))</f>
        <v>71.612809999999996</v>
      </c>
    </row>
    <row r="7690" spans="27:32" ht="15">
      <c r="AA7690" s="463" t="s">
        <v>1320</v>
      </c>
      <c r="AB7690" s="462" t="s">
        <v>23047</v>
      </c>
      <c r="AC7690" s="462" t="s">
        <v>23048</v>
      </c>
      <c r="AD7690" s="464">
        <v>0</v>
      </c>
      <c r="AE7690" s="465">
        <v>0</v>
      </c>
      <c r="AF7690" s="86">
        <f>IF(verze!$E$1="CZK",AD7690,IF(verze!$E$1="SK",AE7690,""))</f>
        <v>0</v>
      </c>
    </row>
    <row r="7691" spans="27:32" ht="15">
      <c r="AA7691" s="463" t="s">
        <v>1320</v>
      </c>
      <c r="AB7691" s="462" t="s">
        <v>23049</v>
      </c>
      <c r="AC7691" s="462" t="s">
        <v>23050</v>
      </c>
      <c r="AD7691" s="464">
        <v>0</v>
      </c>
      <c r="AE7691" s="465">
        <v>0</v>
      </c>
      <c r="AF7691" s="86">
        <f>IF(verze!$E$1="CZK",AD7691,IF(verze!$E$1="SK",AE7691,""))</f>
        <v>0</v>
      </c>
    </row>
    <row r="7692" spans="27:32" ht="15">
      <c r="AA7692" s="463" t="s">
        <v>1320</v>
      </c>
      <c r="AB7692" s="462" t="s">
        <v>23051</v>
      </c>
      <c r="AC7692" s="462" t="s">
        <v>23052</v>
      </c>
      <c r="AD7692" s="464">
        <v>0</v>
      </c>
      <c r="AE7692" s="465">
        <v>0</v>
      </c>
      <c r="AF7692" s="86">
        <f>IF(verze!$E$1="CZK",AD7692,IF(verze!$E$1="SK",AE7692,""))</f>
        <v>0</v>
      </c>
    </row>
    <row r="7693" spans="27:32" ht="15">
      <c r="AA7693" s="463" t="s">
        <v>1320</v>
      </c>
      <c r="AB7693" s="462" t="s">
        <v>23053</v>
      </c>
      <c r="AC7693" s="462" t="s">
        <v>23054</v>
      </c>
      <c r="AD7693" s="464">
        <v>1354.6859899999999</v>
      </c>
      <c r="AE7693" s="465">
        <v>64.668930000000003</v>
      </c>
      <c r="AF7693" s="86">
        <f>IF(verze!$E$1="CZK",AD7693,IF(verze!$E$1="SK",AE7693,""))</f>
        <v>64.668930000000003</v>
      </c>
    </row>
    <row r="7694" spans="27:32" ht="15">
      <c r="AA7694" s="463" t="s">
        <v>1320</v>
      </c>
      <c r="AB7694" s="462" t="s">
        <v>23055</v>
      </c>
      <c r="AC7694" s="462" t="s">
        <v>23056</v>
      </c>
      <c r="AD7694" s="464">
        <v>1549.3491200000001</v>
      </c>
      <c r="AE7694" s="465">
        <v>73.830650000000006</v>
      </c>
      <c r="AF7694" s="86">
        <f>IF(verze!$E$1="CZK",AD7694,IF(verze!$E$1="SK",AE7694,""))</f>
        <v>73.830650000000006</v>
      </c>
    </row>
    <row r="7695" spans="27:32" ht="15">
      <c r="AA7695" s="463" t="s">
        <v>1320</v>
      </c>
      <c r="AB7695" s="462" t="s">
        <v>23057</v>
      </c>
      <c r="AC7695" s="462" t="s">
        <v>23058</v>
      </c>
      <c r="AD7695" s="464">
        <v>0</v>
      </c>
      <c r="AE7695" s="465">
        <v>0</v>
      </c>
      <c r="AF7695" s="86">
        <f>IF(verze!$E$1="CZK",AD7695,IF(verze!$E$1="SK",AE7695,""))</f>
        <v>0</v>
      </c>
    </row>
    <row r="7696" spans="27:32" ht="15">
      <c r="AA7696" s="463" t="s">
        <v>1320</v>
      </c>
      <c r="AB7696" s="462" t="s">
        <v>23059</v>
      </c>
      <c r="AC7696" s="462" t="s">
        <v>23060</v>
      </c>
      <c r="AD7696" s="464">
        <v>1297.16697</v>
      </c>
      <c r="AE7696" s="465">
        <v>61.858330000000002</v>
      </c>
      <c r="AF7696" s="86">
        <f>IF(verze!$E$1="CZK",AD7696,IF(verze!$E$1="SK",AE7696,""))</f>
        <v>61.858330000000002</v>
      </c>
    </row>
    <row r="7697" spans="27:32" ht="15">
      <c r="AA7697" s="463" t="s">
        <v>1320</v>
      </c>
      <c r="AB7697" s="462" t="s">
        <v>23061</v>
      </c>
      <c r="AC7697" s="462" t="s">
        <v>23062</v>
      </c>
      <c r="AD7697" s="464">
        <v>1633.6803299999999</v>
      </c>
      <c r="AE7697" s="465">
        <v>77.843549999999993</v>
      </c>
      <c r="AF7697" s="86">
        <f>IF(verze!$E$1="CZK",AD7697,IF(verze!$E$1="SK",AE7697,""))</f>
        <v>77.843549999999993</v>
      </c>
    </row>
    <row r="7698" spans="27:32" ht="15">
      <c r="AA7698" s="463" t="s">
        <v>1320</v>
      </c>
      <c r="AB7698" s="462" t="s">
        <v>23063</v>
      </c>
      <c r="AC7698" s="462" t="s">
        <v>23064</v>
      </c>
      <c r="AD7698" s="464">
        <v>0</v>
      </c>
      <c r="AE7698" s="465">
        <v>0</v>
      </c>
      <c r="AF7698" s="86">
        <f>IF(verze!$E$1="CZK",AD7698,IF(verze!$E$1="SK",AE7698,""))</f>
        <v>0</v>
      </c>
    </row>
    <row r="7699" spans="27:32" ht="15">
      <c r="AA7699" s="463" t="s">
        <v>1320</v>
      </c>
      <c r="AB7699" s="462" t="s">
        <v>23065</v>
      </c>
      <c r="AC7699" s="462" t="s">
        <v>23066</v>
      </c>
      <c r="AD7699" s="464">
        <v>0</v>
      </c>
      <c r="AE7699" s="465">
        <v>0</v>
      </c>
      <c r="AF7699" s="86">
        <f>IF(verze!$E$1="CZK",AD7699,IF(verze!$E$1="SK",AE7699,""))</f>
        <v>0</v>
      </c>
    </row>
    <row r="7700" spans="27:32" ht="15">
      <c r="AA7700" s="463" t="s">
        <v>1320</v>
      </c>
      <c r="AB7700" s="462" t="s">
        <v>23067</v>
      </c>
      <c r="AC7700" s="462" t="s">
        <v>23068</v>
      </c>
      <c r="AD7700" s="464">
        <v>0</v>
      </c>
      <c r="AE7700" s="465">
        <v>0</v>
      </c>
      <c r="AF7700" s="86">
        <f>IF(verze!$E$1="CZK",AD7700,IF(verze!$E$1="SK",AE7700,""))</f>
        <v>0</v>
      </c>
    </row>
    <row r="7701" spans="27:32" ht="15">
      <c r="AA7701" s="463" t="s">
        <v>1320</v>
      </c>
      <c r="AB7701" s="462" t="s">
        <v>23069</v>
      </c>
      <c r="AC7701" s="462" t="s">
        <v>23070</v>
      </c>
      <c r="AD7701" s="464">
        <v>0</v>
      </c>
      <c r="AE7701" s="465">
        <v>0</v>
      </c>
      <c r="AF7701" s="86">
        <f>IF(verze!$E$1="CZK",AD7701,IF(verze!$E$1="SK",AE7701,""))</f>
        <v>0</v>
      </c>
    </row>
    <row r="7702" spans="27:32" ht="15">
      <c r="AA7702" s="463" t="s">
        <v>1320</v>
      </c>
      <c r="AB7702" s="462" t="s">
        <v>23071</v>
      </c>
      <c r="AC7702" s="462" t="s">
        <v>23072</v>
      </c>
      <c r="AD7702" s="464">
        <v>0</v>
      </c>
      <c r="AE7702" s="465">
        <v>0</v>
      </c>
      <c r="AF7702" s="86">
        <f>IF(verze!$E$1="CZK",AD7702,IF(verze!$E$1="SK",AE7702,""))</f>
        <v>0</v>
      </c>
    </row>
    <row r="7703" spans="27:32" ht="15">
      <c r="AA7703" s="463" t="s">
        <v>1320</v>
      </c>
      <c r="AB7703" s="462" t="s">
        <v>23073</v>
      </c>
      <c r="AC7703" s="462" t="s">
        <v>23074</v>
      </c>
      <c r="AD7703" s="464">
        <v>0</v>
      </c>
      <c r="AE7703" s="465">
        <v>0</v>
      </c>
      <c r="AF7703" s="86">
        <f>IF(verze!$E$1="CZK",AD7703,IF(verze!$E$1="SK",AE7703,""))</f>
        <v>0</v>
      </c>
    </row>
    <row r="7704" spans="27:32" ht="15">
      <c r="AA7704" s="463" t="s">
        <v>1320</v>
      </c>
      <c r="AB7704" s="462" t="s">
        <v>23075</v>
      </c>
      <c r="AC7704" s="462" t="s">
        <v>23076</v>
      </c>
      <c r="AD7704" s="464">
        <v>0</v>
      </c>
      <c r="AE7704" s="465">
        <v>0</v>
      </c>
      <c r="AF7704" s="86">
        <f>IF(verze!$E$1="CZK",AD7704,IF(verze!$E$1="SK",AE7704,""))</f>
        <v>0</v>
      </c>
    </row>
    <row r="7705" spans="27:32" ht="15">
      <c r="AA7705" s="463" t="s">
        <v>1320</v>
      </c>
      <c r="AB7705" s="462" t="s">
        <v>23077</v>
      </c>
      <c r="AC7705" s="462" t="s">
        <v>23078</v>
      </c>
      <c r="AD7705" s="464">
        <v>1401.7360000000001</v>
      </c>
      <c r="AE7705" s="465">
        <v>67.373919999999998</v>
      </c>
      <c r="AF7705" s="86">
        <f>IF(verze!$E$1="CZK",AD7705,IF(verze!$E$1="SK",AE7705,""))</f>
        <v>67.373919999999998</v>
      </c>
    </row>
    <row r="7706" spans="27:32" ht="15">
      <c r="AA7706" s="463" t="s">
        <v>1320</v>
      </c>
      <c r="AB7706" s="462" t="s">
        <v>23079</v>
      </c>
      <c r="AC7706" s="462" t="s">
        <v>23080</v>
      </c>
      <c r="AD7706" s="464">
        <v>1601.3046300000001</v>
      </c>
      <c r="AE7706" s="465">
        <v>76.973879999999994</v>
      </c>
      <c r="AF7706" s="86">
        <f>IF(verze!$E$1="CZK",AD7706,IF(verze!$E$1="SK",AE7706,""))</f>
        <v>76.973879999999994</v>
      </c>
    </row>
    <row r="7707" spans="27:32" ht="15">
      <c r="AA7707" s="463" t="s">
        <v>1320</v>
      </c>
      <c r="AB7707" s="462" t="s">
        <v>23081</v>
      </c>
      <c r="AC7707" s="462" t="s">
        <v>23082</v>
      </c>
      <c r="AD7707" s="464">
        <v>0</v>
      </c>
      <c r="AE7707" s="465">
        <v>0</v>
      </c>
      <c r="AF7707" s="86">
        <f>IF(verze!$E$1="CZK",AD7707,IF(verze!$E$1="SK",AE7707,""))</f>
        <v>0</v>
      </c>
    </row>
    <row r="7708" spans="27:32" ht="15">
      <c r="AA7708" s="463" t="s">
        <v>1320</v>
      </c>
      <c r="AB7708" s="462" t="s">
        <v>23083</v>
      </c>
      <c r="AC7708" s="462" t="s">
        <v>23084</v>
      </c>
      <c r="AD7708" s="464">
        <v>1486.0672099999999</v>
      </c>
      <c r="AE7708" s="465">
        <v>71.38682</v>
      </c>
      <c r="AF7708" s="86">
        <f>IF(verze!$E$1="CZK",AD7708,IF(verze!$E$1="SK",AE7708,""))</f>
        <v>71.38682</v>
      </c>
    </row>
    <row r="7709" spans="27:32" ht="15">
      <c r="AA7709" s="463" t="s">
        <v>1320</v>
      </c>
      <c r="AB7709" s="462" t="s">
        <v>23085</v>
      </c>
      <c r="AC7709" s="462" t="s">
        <v>23086</v>
      </c>
      <c r="AD7709" s="464">
        <v>1685.6358399999999</v>
      </c>
      <c r="AE7709" s="465">
        <v>80.986779999999996</v>
      </c>
      <c r="AF7709" s="86">
        <f>IF(verze!$E$1="CZK",AD7709,IF(verze!$E$1="SK",AE7709,""))</f>
        <v>80.986779999999996</v>
      </c>
    </row>
    <row r="7710" spans="27:32" ht="15">
      <c r="AA7710" s="463" t="s">
        <v>1320</v>
      </c>
      <c r="AB7710" s="462" t="s">
        <v>23087</v>
      </c>
      <c r="AC7710" s="462" t="s">
        <v>23088</v>
      </c>
      <c r="AD7710" s="464">
        <v>0</v>
      </c>
      <c r="AE7710" s="465">
        <v>0</v>
      </c>
      <c r="AF7710" s="86">
        <f>IF(verze!$E$1="CZK",AD7710,IF(verze!$E$1="SK",AE7710,""))</f>
        <v>0</v>
      </c>
    </row>
    <row r="7711" spans="27:32" ht="15">
      <c r="AA7711" s="463" t="s">
        <v>1320</v>
      </c>
      <c r="AB7711" s="462" t="s">
        <v>23089</v>
      </c>
      <c r="AC7711" s="462" t="s">
        <v>23090</v>
      </c>
      <c r="AD7711" s="464">
        <v>1311.69029</v>
      </c>
      <c r="AE7711" s="465">
        <v>63.064279999999997</v>
      </c>
      <c r="AF7711" s="86">
        <f>IF(verze!$E$1="CZK",AD7711,IF(verze!$E$1="SK",AE7711,""))</f>
        <v>63.064279999999997</v>
      </c>
    </row>
    <row r="7712" spans="27:32" ht="15">
      <c r="AA7712" s="463" t="s">
        <v>1320</v>
      </c>
      <c r="AB7712" s="462" t="s">
        <v>23091</v>
      </c>
      <c r="AC7712" s="462" t="s">
        <v>23092</v>
      </c>
      <c r="AD7712" s="464">
        <v>0</v>
      </c>
      <c r="AE7712" s="465">
        <v>0</v>
      </c>
      <c r="AF7712" s="86">
        <f>IF(verze!$E$1="CZK",AD7712,IF(verze!$E$1="SK",AE7712,""))</f>
        <v>0</v>
      </c>
    </row>
    <row r="7713" spans="27:32" ht="15">
      <c r="AA7713" s="463" t="s">
        <v>1320</v>
      </c>
      <c r="AB7713" s="462" t="s">
        <v>23093</v>
      </c>
      <c r="AC7713" s="462" t="s">
        <v>23094</v>
      </c>
      <c r="AD7713" s="464">
        <v>1459.45442</v>
      </c>
      <c r="AE7713" s="465">
        <v>70.150369999999995</v>
      </c>
      <c r="AF7713" s="86">
        <f>IF(verze!$E$1="CZK",AD7713,IF(verze!$E$1="SK",AE7713,""))</f>
        <v>70.150369999999995</v>
      </c>
    </row>
    <row r="7714" spans="27:32" ht="15">
      <c r="AA7714" s="463" t="s">
        <v>1320</v>
      </c>
      <c r="AB7714" s="462" t="s">
        <v>23095</v>
      </c>
      <c r="AC7714" s="462" t="s">
        <v>23096</v>
      </c>
      <c r="AD7714" s="464">
        <v>0</v>
      </c>
      <c r="AE7714" s="465">
        <v>0</v>
      </c>
      <c r="AF7714" s="86">
        <f>IF(verze!$E$1="CZK",AD7714,IF(verze!$E$1="SK",AE7714,""))</f>
        <v>0</v>
      </c>
    </row>
    <row r="7715" spans="27:32" ht="15">
      <c r="AA7715" s="463" t="s">
        <v>1320</v>
      </c>
      <c r="AB7715" s="462" t="s">
        <v>23097</v>
      </c>
      <c r="AC7715" s="462" t="s">
        <v>23098</v>
      </c>
      <c r="AD7715" s="464">
        <v>1543.7856300000001</v>
      </c>
      <c r="AE7715" s="465">
        <v>74.163269999999997</v>
      </c>
      <c r="AF7715" s="86">
        <f>IF(verze!$E$1="CZK",AD7715,IF(verze!$E$1="SK",AE7715,""))</f>
        <v>74.163269999999997</v>
      </c>
    </row>
    <row r="7716" spans="27:32" ht="15">
      <c r="AA7716" s="463" t="s">
        <v>1320</v>
      </c>
      <c r="AB7716" s="462" t="s">
        <v>23099</v>
      </c>
      <c r="AC7716" s="462" t="s">
        <v>23100</v>
      </c>
      <c r="AD7716" s="464">
        <v>0</v>
      </c>
      <c r="AE7716" s="465">
        <v>0</v>
      </c>
      <c r="AF7716" s="86">
        <f>IF(verze!$E$1="CZK",AD7716,IF(verze!$E$1="SK",AE7716,""))</f>
        <v>0</v>
      </c>
    </row>
    <row r="7717" spans="27:32" ht="15">
      <c r="AA7717" s="463" t="s">
        <v>1320</v>
      </c>
      <c r="AB7717" s="462" t="s">
        <v>23101</v>
      </c>
      <c r="AC7717" s="462" t="s">
        <v>23102</v>
      </c>
      <c r="AD7717" s="464">
        <v>0</v>
      </c>
      <c r="AE7717" s="465">
        <v>0</v>
      </c>
      <c r="AF7717" s="86">
        <f>IF(verze!$E$1="CZK",AD7717,IF(verze!$E$1="SK",AE7717,""))</f>
        <v>0</v>
      </c>
    </row>
    <row r="7718" spans="27:32" ht="15">
      <c r="AA7718" s="463" t="s">
        <v>1320</v>
      </c>
      <c r="AB7718" s="462" t="s">
        <v>23103</v>
      </c>
      <c r="AC7718" s="462" t="s">
        <v>23104</v>
      </c>
      <c r="AD7718" s="464">
        <v>0</v>
      </c>
      <c r="AE7718" s="465">
        <v>0</v>
      </c>
      <c r="AF7718" s="86">
        <f>IF(verze!$E$1="CZK",AD7718,IF(verze!$E$1="SK",AE7718,""))</f>
        <v>0</v>
      </c>
    </row>
    <row r="7719" spans="27:32" ht="15">
      <c r="AA7719" s="463" t="s">
        <v>1320</v>
      </c>
      <c r="AB7719" s="462" t="s">
        <v>23105</v>
      </c>
      <c r="AC7719" s="462" t="s">
        <v>23106</v>
      </c>
      <c r="AD7719" s="464">
        <v>0</v>
      </c>
      <c r="AE7719" s="465">
        <v>0</v>
      </c>
      <c r="AF7719" s="86">
        <f>IF(verze!$E$1="CZK",AD7719,IF(verze!$E$1="SK",AE7719,""))</f>
        <v>0</v>
      </c>
    </row>
    <row r="7720" spans="27:32" ht="15">
      <c r="AA7720" s="463" t="s">
        <v>1320</v>
      </c>
      <c r="AB7720" s="462" t="s">
        <v>23107</v>
      </c>
      <c r="AC7720" s="462" t="s">
        <v>23108</v>
      </c>
      <c r="AD7720" s="464">
        <v>1554.58212</v>
      </c>
      <c r="AE7720" s="465">
        <v>74.72636</v>
      </c>
      <c r="AF7720" s="86">
        <f>IF(verze!$E$1="CZK",AD7720,IF(verze!$E$1="SK",AE7720,""))</f>
        <v>74.72636</v>
      </c>
    </row>
    <row r="7721" spans="27:32" ht="15">
      <c r="AA7721" s="463" t="s">
        <v>1320</v>
      </c>
      <c r="AB7721" s="462" t="s">
        <v>23109</v>
      </c>
      <c r="AC7721" s="462" t="s">
        <v>23110</v>
      </c>
      <c r="AD7721" s="464">
        <v>1671.3496700000001</v>
      </c>
      <c r="AE7721" s="465">
        <v>80.343289999999996</v>
      </c>
      <c r="AF7721" s="86">
        <f>IF(verze!$E$1="CZK",AD7721,IF(verze!$E$1="SK",AE7721,""))</f>
        <v>80.343289999999996</v>
      </c>
    </row>
    <row r="7722" spans="27:32" ht="15">
      <c r="AA7722" s="463" t="s">
        <v>1320</v>
      </c>
      <c r="AB7722" s="462" t="s">
        <v>23111</v>
      </c>
      <c r="AC7722" s="462" t="s">
        <v>23112</v>
      </c>
      <c r="AD7722" s="464">
        <v>0</v>
      </c>
      <c r="AE7722" s="465">
        <v>0</v>
      </c>
      <c r="AF7722" s="86">
        <f>IF(verze!$E$1="CZK",AD7722,IF(verze!$E$1="SK",AE7722,""))</f>
        <v>0</v>
      </c>
    </row>
    <row r="7723" spans="27:32" ht="15">
      <c r="AA7723" s="463" t="s">
        <v>1320</v>
      </c>
      <c r="AB7723" s="462" t="s">
        <v>23113</v>
      </c>
      <c r="AC7723" s="462" t="s">
        <v>23114</v>
      </c>
      <c r="AD7723" s="464">
        <v>1638.9133300000001</v>
      </c>
      <c r="AE7723" s="465">
        <v>78.739260000000002</v>
      </c>
      <c r="AF7723" s="86">
        <f>IF(verze!$E$1="CZK",AD7723,IF(verze!$E$1="SK",AE7723,""))</f>
        <v>78.739260000000002</v>
      </c>
    </row>
    <row r="7724" spans="27:32" ht="15">
      <c r="AA7724" s="463" t="s">
        <v>1320</v>
      </c>
      <c r="AB7724" s="462" t="s">
        <v>23115</v>
      </c>
      <c r="AC7724" s="462" t="s">
        <v>23116</v>
      </c>
      <c r="AD7724" s="464">
        <v>1755.6808799999999</v>
      </c>
      <c r="AE7724" s="465">
        <v>84.356189999999998</v>
      </c>
      <c r="AF7724" s="86">
        <f>IF(verze!$E$1="CZK",AD7724,IF(verze!$E$1="SK",AE7724,""))</f>
        <v>84.356189999999998</v>
      </c>
    </row>
    <row r="7725" spans="27:32" ht="15">
      <c r="AA7725" s="463" t="s">
        <v>1320</v>
      </c>
      <c r="AB7725" s="462" t="s">
        <v>23117</v>
      </c>
      <c r="AC7725" s="462" t="s">
        <v>23118</v>
      </c>
      <c r="AD7725" s="464">
        <v>0</v>
      </c>
      <c r="AE7725" s="465">
        <v>0</v>
      </c>
      <c r="AF7725" s="86">
        <f>IF(verze!$E$1="CZK",AD7725,IF(verze!$E$1="SK",AE7725,""))</f>
        <v>0</v>
      </c>
    </row>
    <row r="7726" spans="27:32" ht="15">
      <c r="AA7726" s="463" t="s">
        <v>1320</v>
      </c>
      <c r="AB7726" s="462" t="s">
        <v>23119</v>
      </c>
      <c r="AC7726" s="462" t="s">
        <v>23120</v>
      </c>
      <c r="AD7726" s="464">
        <v>1264.96776</v>
      </c>
      <c r="AE7726" s="465">
        <v>60.816760000000002</v>
      </c>
      <c r="AF7726" s="86">
        <f>IF(verze!$E$1="CZK",AD7726,IF(verze!$E$1="SK",AE7726,""))</f>
        <v>60.816760000000002</v>
      </c>
    </row>
    <row r="7727" spans="27:32" ht="15">
      <c r="AA7727" s="463" t="s">
        <v>1320</v>
      </c>
      <c r="AB7727" s="462" t="s">
        <v>23121</v>
      </c>
      <c r="AC7727" s="462" t="s">
        <v>23122</v>
      </c>
      <c r="AD7727" s="464">
        <v>1381.73531</v>
      </c>
      <c r="AE7727" s="465">
        <v>66.433689999999999</v>
      </c>
      <c r="AF7727" s="86">
        <f>IF(verze!$E$1="CZK",AD7727,IF(verze!$E$1="SK",AE7727,""))</f>
        <v>66.433689999999999</v>
      </c>
    </row>
    <row r="7728" spans="27:32" ht="15">
      <c r="AA7728" s="463" t="s">
        <v>1320</v>
      </c>
      <c r="AB7728" s="462" t="s">
        <v>23123</v>
      </c>
      <c r="AC7728" s="462" t="s">
        <v>23124</v>
      </c>
      <c r="AD7728" s="464">
        <v>0</v>
      </c>
      <c r="AE7728" s="465">
        <v>0</v>
      </c>
      <c r="AF7728" s="86">
        <f>IF(verze!$E$1="CZK",AD7728,IF(verze!$E$1="SK",AE7728,""))</f>
        <v>0</v>
      </c>
    </row>
    <row r="7729" spans="27:32" ht="15">
      <c r="AA7729" s="463" t="s">
        <v>1320</v>
      </c>
      <c r="AB7729" s="462" t="s">
        <v>23125</v>
      </c>
      <c r="AC7729" s="462" t="s">
        <v>23126</v>
      </c>
      <c r="AD7729" s="464">
        <v>1412.73189</v>
      </c>
      <c r="AE7729" s="465">
        <v>67.902850000000001</v>
      </c>
      <c r="AF7729" s="86">
        <f>IF(verze!$E$1="CZK",AD7729,IF(verze!$E$1="SK",AE7729,""))</f>
        <v>67.902850000000001</v>
      </c>
    </row>
    <row r="7730" spans="27:32" ht="15">
      <c r="AA7730" s="463" t="s">
        <v>1320</v>
      </c>
      <c r="AB7730" s="462" t="s">
        <v>23127</v>
      </c>
      <c r="AC7730" s="462" t="s">
        <v>23128</v>
      </c>
      <c r="AD7730" s="464">
        <v>1529.49944</v>
      </c>
      <c r="AE7730" s="465">
        <v>73.519779999999997</v>
      </c>
      <c r="AF7730" s="86">
        <f>IF(verze!$E$1="CZK",AD7730,IF(verze!$E$1="SK",AE7730,""))</f>
        <v>73.519779999999997</v>
      </c>
    </row>
    <row r="7731" spans="27:32" ht="15">
      <c r="AA7731" s="463" t="s">
        <v>1320</v>
      </c>
      <c r="AB7731" s="462" t="s">
        <v>23129</v>
      </c>
      <c r="AC7731" s="462" t="s">
        <v>23130</v>
      </c>
      <c r="AD7731" s="464">
        <v>0</v>
      </c>
      <c r="AE7731" s="465">
        <v>0</v>
      </c>
      <c r="AF7731" s="86">
        <f>IF(verze!$E$1="CZK",AD7731,IF(verze!$E$1="SK",AE7731,""))</f>
        <v>0</v>
      </c>
    </row>
    <row r="7732" spans="27:32" ht="15">
      <c r="AA7732" s="463" t="s">
        <v>1320</v>
      </c>
      <c r="AB7732" s="462" t="s">
        <v>23131</v>
      </c>
      <c r="AC7732" s="462" t="s">
        <v>23132</v>
      </c>
      <c r="AD7732" s="464">
        <v>1497.0631000000001</v>
      </c>
      <c r="AE7732" s="465">
        <v>71.915750000000003</v>
      </c>
      <c r="AF7732" s="86">
        <f>IF(verze!$E$1="CZK",AD7732,IF(verze!$E$1="SK",AE7732,""))</f>
        <v>71.915750000000003</v>
      </c>
    </row>
    <row r="7733" spans="27:32" ht="15">
      <c r="AA7733" s="463" t="s">
        <v>1320</v>
      </c>
      <c r="AB7733" s="462" t="s">
        <v>23133</v>
      </c>
      <c r="AC7733" s="462" t="s">
        <v>23134</v>
      </c>
      <c r="AD7733" s="464">
        <v>1613.8306500000001</v>
      </c>
      <c r="AE7733" s="465">
        <v>77.532679999999999</v>
      </c>
      <c r="AF7733" s="86">
        <f>IF(verze!$E$1="CZK",AD7733,IF(verze!$E$1="SK",AE7733,""))</f>
        <v>77.532679999999999</v>
      </c>
    </row>
    <row r="7734" spans="27:32" ht="15">
      <c r="AA7734" s="463" t="s">
        <v>1320</v>
      </c>
      <c r="AB7734" s="462" t="s">
        <v>23135</v>
      </c>
      <c r="AC7734" s="462" t="s">
        <v>23136</v>
      </c>
      <c r="AD7734" s="464">
        <v>0</v>
      </c>
      <c r="AE7734" s="465">
        <v>0</v>
      </c>
      <c r="AF7734" s="86">
        <f>IF(verze!$E$1="CZK",AD7734,IF(verze!$E$1="SK",AE7734,""))</f>
        <v>0</v>
      </c>
    </row>
    <row r="7735" spans="27:32" ht="15">
      <c r="AA7735" s="463" t="s">
        <v>1320</v>
      </c>
      <c r="AB7735" s="462" t="s">
        <v>23137</v>
      </c>
      <c r="AC7735" s="462" t="s">
        <v>23138</v>
      </c>
      <c r="AD7735" s="464">
        <v>1301.6647800000001</v>
      </c>
      <c r="AE7735" s="465">
        <v>62.614759999999997</v>
      </c>
      <c r="AF7735" s="86">
        <f>IF(verze!$E$1="CZK",AD7735,IF(verze!$E$1="SK",AE7735,""))</f>
        <v>62.614759999999997</v>
      </c>
    </row>
    <row r="7736" spans="27:32" ht="15">
      <c r="AA7736" s="463" t="s">
        <v>1320</v>
      </c>
      <c r="AB7736" s="462" t="s">
        <v>23139</v>
      </c>
      <c r="AC7736" s="462" t="s">
        <v>23140</v>
      </c>
      <c r="AD7736" s="464">
        <v>1301.6647800000001</v>
      </c>
      <c r="AE7736" s="465">
        <v>62.614759999999997</v>
      </c>
      <c r="AF7736" s="86">
        <f>IF(verze!$E$1="CZK",AD7736,IF(verze!$E$1="SK",AE7736,""))</f>
        <v>62.614759999999997</v>
      </c>
    </row>
    <row r="7737" spans="27:32" ht="15">
      <c r="AA7737" s="463" t="s">
        <v>1320</v>
      </c>
      <c r="AB7737" s="462" t="s">
        <v>23141</v>
      </c>
      <c r="AC7737" s="462" t="s">
        <v>23142</v>
      </c>
      <c r="AD7737" s="464">
        <v>1395.5193999999999</v>
      </c>
      <c r="AE7737" s="465">
        <v>67.074860000000001</v>
      </c>
      <c r="AF7737" s="86">
        <f>IF(verze!$E$1="CZK",AD7737,IF(verze!$E$1="SK",AE7737,""))</f>
        <v>67.074860000000001</v>
      </c>
    </row>
    <row r="7738" spans="27:32" ht="15">
      <c r="AA7738" s="463" t="s">
        <v>1320</v>
      </c>
      <c r="AB7738" s="462" t="s">
        <v>23143</v>
      </c>
      <c r="AC7738" s="462" t="s">
        <v>23144</v>
      </c>
      <c r="AD7738" s="464">
        <v>1479.85061</v>
      </c>
      <c r="AE7738" s="465">
        <v>71.087760000000003</v>
      </c>
      <c r="AF7738" s="86">
        <f>IF(verze!$E$1="CZK",AD7738,IF(verze!$E$1="SK",AE7738,""))</f>
        <v>71.087760000000003</v>
      </c>
    </row>
    <row r="7739" spans="27:32" ht="15">
      <c r="AA7739" s="463" t="s">
        <v>1320</v>
      </c>
      <c r="AB7739" s="462" t="s">
        <v>23145</v>
      </c>
      <c r="AC7739" s="462" t="s">
        <v>23146</v>
      </c>
      <c r="AD7739" s="464">
        <v>1105.90506</v>
      </c>
      <c r="AE7739" s="465">
        <v>53.165239999999997</v>
      </c>
      <c r="AF7739" s="86">
        <f>IF(verze!$E$1="CZK",AD7739,IF(verze!$E$1="SK",AE7739,""))</f>
        <v>53.165239999999997</v>
      </c>
    </row>
    <row r="7740" spans="27:32" ht="15">
      <c r="AA7740" s="463" t="s">
        <v>1320</v>
      </c>
      <c r="AB7740" s="462" t="s">
        <v>23147</v>
      </c>
      <c r="AC7740" s="462" t="s">
        <v>23148</v>
      </c>
      <c r="AD7740" s="464">
        <v>1105.90506</v>
      </c>
      <c r="AE7740" s="465">
        <v>53.165239999999997</v>
      </c>
      <c r="AF7740" s="86">
        <f>IF(verze!$E$1="CZK",AD7740,IF(verze!$E$1="SK",AE7740,""))</f>
        <v>53.165239999999997</v>
      </c>
    </row>
    <row r="7741" spans="27:32" ht="15">
      <c r="AA7741" s="463" t="s">
        <v>1320</v>
      </c>
      <c r="AB7741" s="462" t="s">
        <v>23149</v>
      </c>
      <c r="AC7741" s="462" t="s">
        <v>23150</v>
      </c>
      <c r="AD7741" s="464">
        <v>1253.6691900000001</v>
      </c>
      <c r="AE7741" s="465">
        <v>60.251330000000003</v>
      </c>
      <c r="AF7741" s="86">
        <f>IF(verze!$E$1="CZK",AD7741,IF(verze!$E$1="SK",AE7741,""))</f>
        <v>60.251330000000003</v>
      </c>
    </row>
    <row r="7742" spans="27:32" ht="15">
      <c r="AA7742" s="463" t="s">
        <v>1320</v>
      </c>
      <c r="AB7742" s="462" t="s">
        <v>23151</v>
      </c>
      <c r="AC7742" s="462" t="s">
        <v>23152</v>
      </c>
      <c r="AD7742" s="464">
        <v>1338.0003999999999</v>
      </c>
      <c r="AE7742" s="465">
        <v>64.264229999999998</v>
      </c>
      <c r="AF7742" s="86">
        <f>IF(verze!$E$1="CZK",AD7742,IF(verze!$E$1="SK",AE7742,""))</f>
        <v>64.264229999999998</v>
      </c>
    </row>
    <row r="7743" spans="27:32" ht="15">
      <c r="AA7743" s="463" t="s">
        <v>1320</v>
      </c>
      <c r="AB7743" s="462" t="s">
        <v>23153</v>
      </c>
      <c r="AC7743" s="462" t="s">
        <v>23154</v>
      </c>
      <c r="AD7743" s="464">
        <v>1301.6647800000001</v>
      </c>
      <c r="AE7743" s="465">
        <v>62.614759999999997</v>
      </c>
      <c r="AF7743" s="86">
        <f>IF(verze!$E$1="CZK",AD7743,IF(verze!$E$1="SK",AE7743,""))</f>
        <v>62.614759999999997</v>
      </c>
    </row>
    <row r="7744" spans="27:32" ht="15">
      <c r="AA7744" s="463" t="s">
        <v>1320</v>
      </c>
      <c r="AB7744" s="462" t="s">
        <v>23155</v>
      </c>
      <c r="AC7744" s="462" t="s">
        <v>23156</v>
      </c>
      <c r="AD7744" s="464">
        <v>1217.21531</v>
      </c>
      <c r="AE7744" s="465">
        <v>58.552480000000003</v>
      </c>
      <c r="AF7744" s="86">
        <f>IF(verze!$E$1="CZK",AD7744,IF(verze!$E$1="SK",AE7744,""))</f>
        <v>58.552480000000003</v>
      </c>
    </row>
    <row r="7745" spans="27:32" ht="15">
      <c r="AA7745" s="463" t="s">
        <v>1320</v>
      </c>
      <c r="AB7745" s="462" t="s">
        <v>23157</v>
      </c>
      <c r="AC7745" s="462" t="s">
        <v>23158</v>
      </c>
      <c r="AD7745" s="464">
        <v>1311.0699300000001</v>
      </c>
      <c r="AE7745" s="465">
        <v>63.01258</v>
      </c>
      <c r="AF7745" s="86">
        <f>IF(verze!$E$1="CZK",AD7745,IF(verze!$E$1="SK",AE7745,""))</f>
        <v>63.01258</v>
      </c>
    </row>
    <row r="7746" spans="27:32" ht="15">
      <c r="AA7746" s="463" t="s">
        <v>1320</v>
      </c>
      <c r="AB7746" s="462" t="s">
        <v>23159</v>
      </c>
      <c r="AC7746" s="462" t="s">
        <v>23160</v>
      </c>
      <c r="AD7746" s="464">
        <v>1395.4011399999999</v>
      </c>
      <c r="AE7746" s="465">
        <v>67.025480000000002</v>
      </c>
      <c r="AF7746" s="86">
        <f>IF(verze!$E$1="CZK",AD7746,IF(verze!$E$1="SK",AE7746,""))</f>
        <v>67.025480000000002</v>
      </c>
    </row>
    <row r="7747" spans="27:32" ht="15">
      <c r="AA7747" s="463" t="s">
        <v>1320</v>
      </c>
      <c r="AB7747" s="462" t="s">
        <v>23161</v>
      </c>
      <c r="AC7747" s="462" t="s">
        <v>23162</v>
      </c>
      <c r="AD7747" s="464">
        <v>1105.90506</v>
      </c>
      <c r="AE7747" s="465">
        <v>53.165239999999997</v>
      </c>
      <c r="AF7747" s="86">
        <f>IF(verze!$E$1="CZK",AD7747,IF(verze!$E$1="SK",AE7747,""))</f>
        <v>53.165239999999997</v>
      </c>
    </row>
    <row r="7748" spans="27:32" ht="15">
      <c r="AA7748" s="463" t="s">
        <v>1320</v>
      </c>
      <c r="AB7748" s="462" t="s">
        <v>23163</v>
      </c>
      <c r="AC7748" s="462" t="s">
        <v>23164</v>
      </c>
      <c r="AD7748" s="464">
        <v>1021.45559</v>
      </c>
      <c r="AE7748" s="465">
        <v>49.102960000000003</v>
      </c>
      <c r="AF7748" s="86">
        <f>IF(verze!$E$1="CZK",AD7748,IF(verze!$E$1="SK",AE7748,""))</f>
        <v>49.102960000000003</v>
      </c>
    </row>
    <row r="7749" spans="27:32" ht="15">
      <c r="AA7749" s="463" t="s">
        <v>1320</v>
      </c>
      <c r="AB7749" s="462" t="s">
        <v>23165</v>
      </c>
      <c r="AC7749" s="462" t="s">
        <v>23166</v>
      </c>
      <c r="AD7749" s="464">
        <v>1169.2197200000001</v>
      </c>
      <c r="AE7749" s="465">
        <v>56.189050000000002</v>
      </c>
      <c r="AF7749" s="86">
        <f>IF(verze!$E$1="CZK",AD7749,IF(verze!$E$1="SK",AE7749,""))</f>
        <v>56.189050000000002</v>
      </c>
    </row>
    <row r="7750" spans="27:32" ht="15">
      <c r="AA7750" s="463" t="s">
        <v>1320</v>
      </c>
      <c r="AB7750" s="462" t="s">
        <v>23167</v>
      </c>
      <c r="AC7750" s="462" t="s">
        <v>23168</v>
      </c>
      <c r="AD7750" s="464">
        <v>1253.5509300000001</v>
      </c>
      <c r="AE7750" s="465">
        <v>60.201949999999997</v>
      </c>
      <c r="AF7750" s="86">
        <f>IF(verze!$E$1="CZK",AD7750,IF(verze!$E$1="SK",AE7750,""))</f>
        <v>60.201949999999997</v>
      </c>
    </row>
    <row r="7751" spans="27:32" ht="15">
      <c r="AA7751" s="463" t="s">
        <v>1320</v>
      </c>
      <c r="AB7751" s="462" t="s">
        <v>23169</v>
      </c>
      <c r="AC7751" s="462" t="s">
        <v>23170</v>
      </c>
      <c r="AD7751" s="464">
        <v>1217.21531</v>
      </c>
      <c r="AE7751" s="465">
        <v>58.552480000000003</v>
      </c>
      <c r="AF7751" s="86">
        <f>IF(verze!$E$1="CZK",AD7751,IF(verze!$E$1="SK",AE7751,""))</f>
        <v>58.552480000000003</v>
      </c>
    </row>
    <row r="7752" spans="27:32" ht="15">
      <c r="AA7752" s="463" t="s">
        <v>1320</v>
      </c>
      <c r="AB7752" s="462" t="s">
        <v>23171</v>
      </c>
      <c r="AC7752" s="462" t="s">
        <v>23172</v>
      </c>
      <c r="AD7752" s="464">
        <v>1217.21531</v>
      </c>
      <c r="AE7752" s="465">
        <v>58.552480000000003</v>
      </c>
      <c r="AF7752" s="86">
        <f>IF(verze!$E$1="CZK",AD7752,IF(verze!$E$1="SK",AE7752,""))</f>
        <v>58.552480000000003</v>
      </c>
    </row>
    <row r="7753" spans="27:32" ht="15">
      <c r="AA7753" s="463" t="s">
        <v>1320</v>
      </c>
      <c r="AB7753" s="462" t="s">
        <v>23173</v>
      </c>
      <c r="AC7753" s="462" t="s">
        <v>23174</v>
      </c>
      <c r="AD7753" s="464">
        <v>1311.0699300000001</v>
      </c>
      <c r="AE7753" s="465">
        <v>63.01258</v>
      </c>
      <c r="AF7753" s="86">
        <f>IF(verze!$E$1="CZK",AD7753,IF(verze!$E$1="SK",AE7753,""))</f>
        <v>63.01258</v>
      </c>
    </row>
    <row r="7754" spans="27:32" ht="15">
      <c r="AA7754" s="463" t="s">
        <v>1320</v>
      </c>
      <c r="AB7754" s="462" t="s">
        <v>23175</v>
      </c>
      <c r="AC7754" s="462" t="s">
        <v>23176</v>
      </c>
      <c r="AD7754" s="464">
        <v>1395.4011399999999</v>
      </c>
      <c r="AE7754" s="465">
        <v>67.025480000000002</v>
      </c>
      <c r="AF7754" s="86">
        <f>IF(verze!$E$1="CZK",AD7754,IF(verze!$E$1="SK",AE7754,""))</f>
        <v>67.025480000000002</v>
      </c>
    </row>
    <row r="7755" spans="27:32" ht="15">
      <c r="AA7755" s="463" t="s">
        <v>1320</v>
      </c>
      <c r="AB7755" s="462" t="s">
        <v>23177</v>
      </c>
      <c r="AC7755" s="462" t="s">
        <v>23178</v>
      </c>
      <c r="AD7755" s="464">
        <v>1021.45559</v>
      </c>
      <c r="AE7755" s="465">
        <v>49.102960000000003</v>
      </c>
      <c r="AF7755" s="86">
        <f>IF(verze!$E$1="CZK",AD7755,IF(verze!$E$1="SK",AE7755,""))</f>
        <v>49.102960000000003</v>
      </c>
    </row>
    <row r="7756" spans="27:32" ht="15">
      <c r="AA7756" s="463" t="s">
        <v>1320</v>
      </c>
      <c r="AB7756" s="462" t="s">
        <v>23179</v>
      </c>
      <c r="AC7756" s="462" t="s">
        <v>23180</v>
      </c>
      <c r="AD7756" s="464">
        <v>1021.45559</v>
      </c>
      <c r="AE7756" s="465">
        <v>49.102960000000003</v>
      </c>
      <c r="AF7756" s="86">
        <f>IF(verze!$E$1="CZK",AD7756,IF(verze!$E$1="SK",AE7756,""))</f>
        <v>49.102960000000003</v>
      </c>
    </row>
    <row r="7757" spans="27:32" ht="15">
      <c r="AA7757" s="463" t="s">
        <v>1320</v>
      </c>
      <c r="AB7757" s="462" t="s">
        <v>23181</v>
      </c>
      <c r="AC7757" s="462" t="s">
        <v>23182</v>
      </c>
      <c r="AD7757" s="464">
        <v>1169.2197200000001</v>
      </c>
      <c r="AE7757" s="465">
        <v>56.189050000000002</v>
      </c>
      <c r="AF7757" s="86">
        <f>IF(verze!$E$1="CZK",AD7757,IF(verze!$E$1="SK",AE7757,""))</f>
        <v>56.189050000000002</v>
      </c>
    </row>
    <row r="7758" spans="27:32" ht="15">
      <c r="AA7758" s="463" t="s">
        <v>1320</v>
      </c>
      <c r="AB7758" s="462" t="s">
        <v>23183</v>
      </c>
      <c r="AC7758" s="462" t="s">
        <v>23184</v>
      </c>
      <c r="AD7758" s="464">
        <v>1253.5509300000001</v>
      </c>
      <c r="AE7758" s="465">
        <v>60.201949999999997</v>
      </c>
      <c r="AF7758" s="86">
        <f>IF(verze!$E$1="CZK",AD7758,IF(verze!$E$1="SK",AE7758,""))</f>
        <v>60.201949999999997</v>
      </c>
    </row>
    <row r="7759" spans="27:32" ht="15">
      <c r="AA7759" s="463" t="s">
        <v>1320</v>
      </c>
      <c r="AB7759" s="462" t="s">
        <v>23185</v>
      </c>
      <c r="AC7759" s="462" t="s">
        <v>23186</v>
      </c>
      <c r="AD7759" s="464">
        <v>1235.6285700000001</v>
      </c>
      <c r="AE7759" s="465">
        <v>59.438200000000002</v>
      </c>
      <c r="AF7759" s="86">
        <f>IF(verze!$E$1="CZK",AD7759,IF(verze!$E$1="SK",AE7759,""))</f>
        <v>59.438200000000002</v>
      </c>
    </row>
    <row r="7760" spans="27:32" ht="15">
      <c r="AA7760" s="463" t="s">
        <v>1320</v>
      </c>
      <c r="AB7760" s="462" t="s">
        <v>23187</v>
      </c>
      <c r="AC7760" s="462" t="s">
        <v>23188</v>
      </c>
      <c r="AD7760" s="464">
        <v>0</v>
      </c>
      <c r="AE7760" s="465">
        <v>0</v>
      </c>
      <c r="AF7760" s="86">
        <f>IF(verze!$E$1="CZK",AD7760,IF(verze!$E$1="SK",AE7760,""))</f>
        <v>0</v>
      </c>
    </row>
    <row r="7761" spans="27:32" ht="15">
      <c r="AA7761" s="463" t="s">
        <v>1320</v>
      </c>
      <c r="AB7761" s="462" t="s">
        <v>23189</v>
      </c>
      <c r="AC7761" s="462" t="s">
        <v>23190</v>
      </c>
      <c r="AD7761" s="464">
        <v>1329.4831899999999</v>
      </c>
      <c r="AE7761" s="465">
        <v>63.898299999999999</v>
      </c>
      <c r="AF7761" s="86">
        <f>IF(verze!$E$1="CZK",AD7761,IF(verze!$E$1="SK",AE7761,""))</f>
        <v>63.898299999999999</v>
      </c>
    </row>
    <row r="7762" spans="27:32" ht="15">
      <c r="AA7762" s="463" t="s">
        <v>1320</v>
      </c>
      <c r="AB7762" s="462" t="s">
        <v>23191</v>
      </c>
      <c r="AC7762" s="462" t="s">
        <v>23192</v>
      </c>
      <c r="AD7762" s="464">
        <v>0</v>
      </c>
      <c r="AE7762" s="465">
        <v>0</v>
      </c>
      <c r="AF7762" s="86">
        <f>IF(verze!$E$1="CZK",AD7762,IF(verze!$E$1="SK",AE7762,""))</f>
        <v>0</v>
      </c>
    </row>
    <row r="7763" spans="27:32" ht="15">
      <c r="AA7763" s="463" t="s">
        <v>1320</v>
      </c>
      <c r="AB7763" s="462" t="s">
        <v>23193</v>
      </c>
      <c r="AC7763" s="462" t="s">
        <v>23194</v>
      </c>
      <c r="AD7763" s="464">
        <v>1413.8144</v>
      </c>
      <c r="AE7763" s="465">
        <v>67.911199999999994</v>
      </c>
      <c r="AF7763" s="86">
        <f>IF(verze!$E$1="CZK",AD7763,IF(verze!$E$1="SK",AE7763,""))</f>
        <v>67.911199999999994</v>
      </c>
    </row>
    <row r="7764" spans="27:32" ht="15">
      <c r="AA7764" s="463" t="s">
        <v>1320</v>
      </c>
      <c r="AB7764" s="462" t="s">
        <v>23195</v>
      </c>
      <c r="AC7764" s="462" t="s">
        <v>23196</v>
      </c>
      <c r="AD7764" s="464">
        <v>0</v>
      </c>
      <c r="AE7764" s="465">
        <v>0</v>
      </c>
      <c r="AF7764" s="86">
        <f>IF(verze!$E$1="CZK",AD7764,IF(verze!$E$1="SK",AE7764,""))</f>
        <v>0</v>
      </c>
    </row>
    <row r="7765" spans="27:32" ht="15">
      <c r="AA7765" s="463" t="s">
        <v>1320</v>
      </c>
      <c r="AB7765" s="462" t="s">
        <v>23197</v>
      </c>
      <c r="AC7765" s="462" t="s">
        <v>23198</v>
      </c>
      <c r="AD7765" s="464">
        <v>1039.8689400000001</v>
      </c>
      <c r="AE7765" s="465">
        <v>49.988700000000001</v>
      </c>
      <c r="AF7765" s="86">
        <f>IF(verze!$E$1="CZK",AD7765,IF(verze!$E$1="SK",AE7765,""))</f>
        <v>49.988700000000001</v>
      </c>
    </row>
    <row r="7766" spans="27:32" ht="15">
      <c r="AA7766" s="463" t="s">
        <v>1320</v>
      </c>
      <c r="AB7766" s="462" t="s">
        <v>23199</v>
      </c>
      <c r="AC7766" s="462" t="s">
        <v>23200</v>
      </c>
      <c r="AD7766" s="464">
        <v>0</v>
      </c>
      <c r="AE7766" s="465">
        <v>0</v>
      </c>
      <c r="AF7766" s="86">
        <f>IF(verze!$E$1="CZK",AD7766,IF(verze!$E$1="SK",AE7766,""))</f>
        <v>0</v>
      </c>
    </row>
    <row r="7767" spans="27:32" ht="15">
      <c r="AA7767" s="463" t="s">
        <v>1320</v>
      </c>
      <c r="AB7767" s="462" t="s">
        <v>23201</v>
      </c>
      <c r="AC7767" s="462" t="s">
        <v>23202</v>
      </c>
      <c r="AD7767" s="464">
        <v>1187.6330700000001</v>
      </c>
      <c r="AE7767" s="465">
        <v>57.07479</v>
      </c>
      <c r="AF7767" s="86">
        <f>IF(verze!$E$1="CZK",AD7767,IF(verze!$E$1="SK",AE7767,""))</f>
        <v>57.07479</v>
      </c>
    </row>
    <row r="7768" spans="27:32" ht="15">
      <c r="AA7768" s="463" t="s">
        <v>1320</v>
      </c>
      <c r="AB7768" s="462" t="s">
        <v>23203</v>
      </c>
      <c r="AC7768" s="462" t="s">
        <v>23204</v>
      </c>
      <c r="AD7768" s="464">
        <v>0</v>
      </c>
      <c r="AE7768" s="465">
        <v>0</v>
      </c>
      <c r="AF7768" s="86">
        <f>IF(verze!$E$1="CZK",AD7768,IF(verze!$E$1="SK",AE7768,""))</f>
        <v>0</v>
      </c>
    </row>
    <row r="7769" spans="27:32" ht="15">
      <c r="AA7769" s="463" t="s">
        <v>1320</v>
      </c>
      <c r="AB7769" s="462" t="s">
        <v>23205</v>
      </c>
      <c r="AC7769" s="462" t="s">
        <v>23206</v>
      </c>
      <c r="AD7769" s="464">
        <v>1271.9642799999999</v>
      </c>
      <c r="AE7769" s="465">
        <v>61.087690000000002</v>
      </c>
      <c r="AF7769" s="86">
        <f>IF(verze!$E$1="CZK",AD7769,IF(verze!$E$1="SK",AE7769,""))</f>
        <v>61.087690000000002</v>
      </c>
    </row>
    <row r="7770" spans="27:32" ht="15">
      <c r="AA7770" s="463" t="s">
        <v>1320</v>
      </c>
      <c r="AB7770" s="462" t="s">
        <v>23207</v>
      </c>
      <c r="AC7770" s="462" t="s">
        <v>23208</v>
      </c>
      <c r="AD7770" s="464">
        <v>0</v>
      </c>
      <c r="AE7770" s="465">
        <v>0</v>
      </c>
      <c r="AF7770" s="86">
        <f>IF(verze!$E$1="CZK",AD7770,IF(verze!$E$1="SK",AE7770,""))</f>
        <v>0</v>
      </c>
    </row>
    <row r="7771" spans="27:32" ht="15">
      <c r="AA7771" s="463" t="s">
        <v>1320</v>
      </c>
      <c r="AB7771" s="462" t="s">
        <v>23209</v>
      </c>
      <c r="AC7771" s="462" t="s">
        <v>23210</v>
      </c>
      <c r="AD7771" s="464">
        <v>1254.0346199999999</v>
      </c>
      <c r="AE7771" s="465">
        <v>60.323569999999997</v>
      </c>
      <c r="AF7771" s="86">
        <f>IF(verze!$E$1="CZK",AD7771,IF(verze!$E$1="SK",AE7771,""))</f>
        <v>60.323569999999997</v>
      </c>
    </row>
    <row r="7772" spans="27:32" ht="15">
      <c r="AA7772" s="463" t="s">
        <v>1320</v>
      </c>
      <c r="AB7772" s="462" t="s">
        <v>23211</v>
      </c>
      <c r="AC7772" s="462" t="s">
        <v>23212</v>
      </c>
      <c r="AD7772" s="464">
        <v>1454.4297999999999</v>
      </c>
      <c r="AE7772" s="465">
        <v>69.963290000000001</v>
      </c>
      <c r="AF7772" s="86">
        <f>IF(verze!$E$1="CZK",AD7772,IF(verze!$E$1="SK",AE7772,""))</f>
        <v>69.963290000000001</v>
      </c>
    </row>
    <row r="7773" spans="27:32" ht="15">
      <c r="AA7773" s="463" t="s">
        <v>1320</v>
      </c>
      <c r="AB7773" s="462" t="s">
        <v>23213</v>
      </c>
      <c r="AC7773" s="462" t="s">
        <v>23214</v>
      </c>
      <c r="AD7773" s="464">
        <v>1347.88924</v>
      </c>
      <c r="AE7773" s="465">
        <v>64.783670000000001</v>
      </c>
      <c r="AF7773" s="86">
        <f>IF(verze!$E$1="CZK",AD7773,IF(verze!$E$1="SK",AE7773,""))</f>
        <v>64.783670000000001</v>
      </c>
    </row>
    <row r="7774" spans="27:32" ht="15">
      <c r="AA7774" s="463" t="s">
        <v>1320</v>
      </c>
      <c r="AB7774" s="462" t="s">
        <v>23215</v>
      </c>
      <c r="AC7774" s="462" t="s">
        <v>23216</v>
      </c>
      <c r="AD7774" s="464">
        <v>1548.28442</v>
      </c>
      <c r="AE7774" s="465">
        <v>74.423389999999998</v>
      </c>
      <c r="AF7774" s="86">
        <f>IF(verze!$E$1="CZK",AD7774,IF(verze!$E$1="SK",AE7774,""))</f>
        <v>74.423389999999998</v>
      </c>
    </row>
    <row r="7775" spans="27:32" ht="15">
      <c r="AA7775" s="463" t="s">
        <v>1320</v>
      </c>
      <c r="AB7775" s="462" t="s">
        <v>23217</v>
      </c>
      <c r="AC7775" s="462" t="s">
        <v>23218</v>
      </c>
      <c r="AD7775" s="464">
        <v>1432.22045</v>
      </c>
      <c r="AE7775" s="465">
        <v>68.796570000000003</v>
      </c>
      <c r="AF7775" s="86">
        <f>IF(verze!$E$1="CZK",AD7775,IF(verze!$E$1="SK",AE7775,""))</f>
        <v>68.796570000000003</v>
      </c>
    </row>
    <row r="7776" spans="27:32" ht="15">
      <c r="AA7776" s="463" t="s">
        <v>1320</v>
      </c>
      <c r="AB7776" s="462" t="s">
        <v>23219</v>
      </c>
      <c r="AC7776" s="462" t="s">
        <v>23220</v>
      </c>
      <c r="AD7776" s="464">
        <v>1632.61563</v>
      </c>
      <c r="AE7776" s="465">
        <v>78.43629</v>
      </c>
      <c r="AF7776" s="86">
        <f>IF(verze!$E$1="CZK",AD7776,IF(verze!$E$1="SK",AE7776,""))</f>
        <v>78.43629</v>
      </c>
    </row>
    <row r="7777" spans="27:32" ht="15">
      <c r="AA7777" s="463" t="s">
        <v>1320</v>
      </c>
      <c r="AB7777" s="462" t="s">
        <v>23221</v>
      </c>
      <c r="AC7777" s="462" t="s">
        <v>23222</v>
      </c>
      <c r="AD7777" s="464">
        <v>1058.2749899999999</v>
      </c>
      <c r="AE7777" s="465">
        <v>50.874099999999999</v>
      </c>
      <c r="AF7777" s="86">
        <f>IF(verze!$E$1="CZK",AD7777,IF(verze!$E$1="SK",AE7777,""))</f>
        <v>50.874099999999999</v>
      </c>
    </row>
    <row r="7778" spans="27:32" ht="15">
      <c r="AA7778" s="463" t="s">
        <v>1320</v>
      </c>
      <c r="AB7778" s="462" t="s">
        <v>23223</v>
      </c>
      <c r="AC7778" s="462" t="s">
        <v>23224</v>
      </c>
      <c r="AD7778" s="464">
        <v>1258.6701700000001</v>
      </c>
      <c r="AE7778" s="465">
        <v>60.513820000000003</v>
      </c>
      <c r="AF7778" s="86">
        <f>IF(verze!$E$1="CZK",AD7778,IF(verze!$E$1="SK",AE7778,""))</f>
        <v>60.513820000000003</v>
      </c>
    </row>
    <row r="7779" spans="27:32" ht="15">
      <c r="AA7779" s="463" t="s">
        <v>1320</v>
      </c>
      <c r="AB7779" s="462" t="s">
        <v>23225</v>
      </c>
      <c r="AC7779" s="462" t="s">
        <v>23226</v>
      </c>
      <c r="AD7779" s="464">
        <v>1206.0391199999999</v>
      </c>
      <c r="AE7779" s="465">
        <v>57.960189999999997</v>
      </c>
      <c r="AF7779" s="86">
        <f>IF(verze!$E$1="CZK",AD7779,IF(verze!$E$1="SK",AE7779,""))</f>
        <v>57.960189999999997</v>
      </c>
    </row>
    <row r="7780" spans="27:32" ht="15">
      <c r="AA7780" s="463" t="s">
        <v>1320</v>
      </c>
      <c r="AB7780" s="462" t="s">
        <v>23227</v>
      </c>
      <c r="AC7780" s="462" t="s">
        <v>23228</v>
      </c>
      <c r="AD7780" s="464">
        <v>1406.4342999999999</v>
      </c>
      <c r="AE7780" s="465">
        <v>67.599909999999994</v>
      </c>
      <c r="AF7780" s="86">
        <f>IF(verze!$E$1="CZK",AD7780,IF(verze!$E$1="SK",AE7780,""))</f>
        <v>67.599909999999994</v>
      </c>
    </row>
    <row r="7781" spans="27:32" ht="15">
      <c r="AA7781" s="463" t="s">
        <v>1320</v>
      </c>
      <c r="AB7781" s="462" t="s">
        <v>23229</v>
      </c>
      <c r="AC7781" s="462" t="s">
        <v>23230</v>
      </c>
      <c r="AD7781" s="464">
        <v>1290.37033</v>
      </c>
      <c r="AE7781" s="465">
        <v>61.973089999999999</v>
      </c>
      <c r="AF7781" s="86">
        <f>IF(verze!$E$1="CZK",AD7781,IF(verze!$E$1="SK",AE7781,""))</f>
        <v>61.973089999999999</v>
      </c>
    </row>
    <row r="7782" spans="27:32" ht="15">
      <c r="AA7782" s="463" t="s">
        <v>1320</v>
      </c>
      <c r="AB7782" s="462" t="s">
        <v>23231</v>
      </c>
      <c r="AC7782" s="462" t="s">
        <v>23232</v>
      </c>
      <c r="AD7782" s="464">
        <v>1490.7655099999999</v>
      </c>
      <c r="AE7782" s="465">
        <v>71.612809999999996</v>
      </c>
      <c r="AF7782" s="86">
        <f>IF(verze!$E$1="CZK",AD7782,IF(verze!$E$1="SK",AE7782,""))</f>
        <v>71.612809999999996</v>
      </c>
    </row>
    <row r="7783" spans="27:32" ht="15">
      <c r="AA7783" s="463" t="s">
        <v>1320</v>
      </c>
      <c r="AB7783" s="462" t="s">
        <v>23233</v>
      </c>
      <c r="AC7783" s="462" t="s">
        <v>23234</v>
      </c>
      <c r="AD7783" s="464">
        <v>1260.8313700000001</v>
      </c>
      <c r="AE7783" s="465">
        <v>60.208829999999999</v>
      </c>
      <c r="AF7783" s="86">
        <f>IF(verze!$E$1="CZK",AD7783,IF(verze!$E$1="SK",AE7783,""))</f>
        <v>60.208829999999999</v>
      </c>
    </row>
    <row r="7784" spans="27:32" ht="15">
      <c r="AA7784" s="463" t="s">
        <v>1320</v>
      </c>
      <c r="AB7784" s="462" t="s">
        <v>23235</v>
      </c>
      <c r="AC7784" s="462" t="s">
        <v>23236</v>
      </c>
      <c r="AD7784" s="464">
        <v>1455.4945</v>
      </c>
      <c r="AE7784" s="465">
        <v>69.370549999999994</v>
      </c>
      <c r="AF7784" s="86">
        <f>IF(verze!$E$1="CZK",AD7784,IF(verze!$E$1="SK",AE7784,""))</f>
        <v>69.370549999999994</v>
      </c>
    </row>
    <row r="7785" spans="27:32" ht="15">
      <c r="AA7785" s="463" t="s">
        <v>1320</v>
      </c>
      <c r="AB7785" s="462" t="s">
        <v>23237</v>
      </c>
      <c r="AC7785" s="462" t="s">
        <v>23238</v>
      </c>
      <c r="AD7785" s="464">
        <v>0</v>
      </c>
      <c r="AE7785" s="465">
        <v>0</v>
      </c>
      <c r="AF7785" s="86">
        <f>IF(verze!$E$1="CZK",AD7785,IF(verze!$E$1="SK",AE7785,""))</f>
        <v>0</v>
      </c>
    </row>
    <row r="7786" spans="27:32" ht="15">
      <c r="AA7786" s="463" t="s">
        <v>1320</v>
      </c>
      <c r="AB7786" s="462" t="s">
        <v>23239</v>
      </c>
      <c r="AC7786" s="462" t="s">
        <v>23240</v>
      </c>
      <c r="AD7786" s="464">
        <v>1354.6859899999999</v>
      </c>
      <c r="AE7786" s="465">
        <v>64.668930000000003</v>
      </c>
      <c r="AF7786" s="86">
        <f>IF(verze!$E$1="CZK",AD7786,IF(verze!$E$1="SK",AE7786,""))</f>
        <v>64.668930000000003</v>
      </c>
    </row>
    <row r="7787" spans="27:32" ht="15">
      <c r="AA7787" s="463" t="s">
        <v>1320</v>
      </c>
      <c r="AB7787" s="462" t="s">
        <v>23241</v>
      </c>
      <c r="AC7787" s="462" t="s">
        <v>23242</v>
      </c>
      <c r="AD7787" s="464">
        <v>1549.3491200000001</v>
      </c>
      <c r="AE7787" s="465">
        <v>73.830650000000006</v>
      </c>
      <c r="AF7787" s="86">
        <f>IF(verze!$E$1="CZK",AD7787,IF(verze!$E$1="SK",AE7787,""))</f>
        <v>73.830650000000006</v>
      </c>
    </row>
    <row r="7788" spans="27:32" ht="15">
      <c r="AA7788" s="463" t="s">
        <v>1320</v>
      </c>
      <c r="AB7788" s="462" t="s">
        <v>23243</v>
      </c>
      <c r="AC7788" s="462" t="s">
        <v>23244</v>
      </c>
      <c r="AD7788" s="464">
        <v>0</v>
      </c>
      <c r="AE7788" s="465">
        <v>0</v>
      </c>
      <c r="AF7788" s="86">
        <f>IF(verze!$E$1="CZK",AD7788,IF(verze!$E$1="SK",AE7788,""))</f>
        <v>0</v>
      </c>
    </row>
    <row r="7789" spans="27:32" ht="15">
      <c r="AA7789" s="463" t="s">
        <v>1320</v>
      </c>
      <c r="AB7789" s="462" t="s">
        <v>23245</v>
      </c>
      <c r="AC7789" s="462" t="s">
        <v>23246</v>
      </c>
      <c r="AD7789" s="464">
        <v>1439.0172</v>
      </c>
      <c r="AE7789" s="465">
        <v>68.681830000000005</v>
      </c>
      <c r="AF7789" s="86">
        <f>IF(verze!$E$1="CZK",AD7789,IF(verze!$E$1="SK",AE7789,""))</f>
        <v>68.681830000000005</v>
      </c>
    </row>
    <row r="7790" spans="27:32" ht="15">
      <c r="AA7790" s="463" t="s">
        <v>1320</v>
      </c>
      <c r="AB7790" s="462" t="s">
        <v>23247</v>
      </c>
      <c r="AC7790" s="462" t="s">
        <v>23248</v>
      </c>
      <c r="AD7790" s="464">
        <v>1633.6803299999999</v>
      </c>
      <c r="AE7790" s="465">
        <v>77.843549999999993</v>
      </c>
      <c r="AF7790" s="86">
        <f>IF(verze!$E$1="CZK",AD7790,IF(verze!$E$1="SK",AE7790,""))</f>
        <v>77.843549999999993</v>
      </c>
    </row>
    <row r="7791" spans="27:32" ht="15">
      <c r="AA7791" s="463" t="s">
        <v>1320</v>
      </c>
      <c r="AB7791" s="462" t="s">
        <v>23249</v>
      </c>
      <c r="AC7791" s="462" t="s">
        <v>23250</v>
      </c>
      <c r="AD7791" s="464">
        <v>0</v>
      </c>
      <c r="AE7791" s="465">
        <v>0</v>
      </c>
      <c r="AF7791" s="86">
        <f>IF(verze!$E$1="CZK",AD7791,IF(verze!$E$1="SK",AE7791,""))</f>
        <v>0</v>
      </c>
    </row>
    <row r="7792" spans="27:32" ht="15">
      <c r="AA7792" s="463" t="s">
        <v>1320</v>
      </c>
      <c r="AB7792" s="462" t="s">
        <v>23251</v>
      </c>
      <c r="AC7792" s="462" t="s">
        <v>23252</v>
      </c>
      <c r="AD7792" s="464">
        <v>1053.38599</v>
      </c>
      <c r="AE7792" s="465">
        <v>49.752870000000001</v>
      </c>
      <c r="AF7792" s="86">
        <f>IF(verze!$E$1="CZK",AD7792,IF(verze!$E$1="SK",AE7792,""))</f>
        <v>49.752870000000001</v>
      </c>
    </row>
    <row r="7793" spans="27:32" ht="15">
      <c r="AA7793" s="463" t="s">
        <v>1320</v>
      </c>
      <c r="AB7793" s="462" t="s">
        <v>23253</v>
      </c>
      <c r="AC7793" s="462" t="s">
        <v>23254</v>
      </c>
      <c r="AD7793" s="464">
        <v>1248.0491199999999</v>
      </c>
      <c r="AE7793" s="465">
        <v>58.914589999999997</v>
      </c>
      <c r="AF7793" s="86">
        <f>IF(verze!$E$1="CZK",AD7793,IF(verze!$E$1="SK",AE7793,""))</f>
        <v>58.914589999999997</v>
      </c>
    </row>
    <row r="7794" spans="27:32" ht="15">
      <c r="AA7794" s="463" t="s">
        <v>1320</v>
      </c>
      <c r="AB7794" s="462" t="s">
        <v>23255</v>
      </c>
      <c r="AC7794" s="462" t="s">
        <v>23256</v>
      </c>
      <c r="AD7794" s="464">
        <v>0</v>
      </c>
      <c r="AE7794" s="465">
        <v>0</v>
      </c>
      <c r="AF7794" s="86">
        <f>IF(verze!$E$1="CZK",AD7794,IF(verze!$E$1="SK",AE7794,""))</f>
        <v>0</v>
      </c>
    </row>
    <row r="7795" spans="27:32" ht="15">
      <c r="AA7795" s="463" t="s">
        <v>1320</v>
      </c>
      <c r="AB7795" s="462" t="s">
        <v>23257</v>
      </c>
      <c r="AC7795" s="462" t="s">
        <v>23258</v>
      </c>
      <c r="AD7795" s="464">
        <v>1201.15012</v>
      </c>
      <c r="AE7795" s="465">
        <v>56.83896</v>
      </c>
      <c r="AF7795" s="86">
        <f>IF(verze!$E$1="CZK",AD7795,IF(verze!$E$1="SK",AE7795,""))</f>
        <v>56.83896</v>
      </c>
    </row>
    <row r="7796" spans="27:32" ht="15">
      <c r="AA7796" s="463" t="s">
        <v>1320</v>
      </c>
      <c r="AB7796" s="462" t="s">
        <v>23259</v>
      </c>
      <c r="AC7796" s="462" t="s">
        <v>23260</v>
      </c>
      <c r="AD7796" s="464">
        <v>1395.8132499999999</v>
      </c>
      <c r="AE7796" s="465">
        <v>66.000680000000003</v>
      </c>
      <c r="AF7796" s="86">
        <f>IF(verze!$E$1="CZK",AD7796,IF(verze!$E$1="SK",AE7796,""))</f>
        <v>66.000680000000003</v>
      </c>
    </row>
    <row r="7797" spans="27:32" ht="15">
      <c r="AA7797" s="463" t="s">
        <v>1320</v>
      </c>
      <c r="AB7797" s="462" t="s">
        <v>23261</v>
      </c>
      <c r="AC7797" s="462" t="s">
        <v>23262</v>
      </c>
      <c r="AD7797" s="464">
        <v>0</v>
      </c>
      <c r="AE7797" s="465">
        <v>0</v>
      </c>
      <c r="AF7797" s="86">
        <f>IF(verze!$E$1="CZK",AD7797,IF(verze!$E$1="SK",AE7797,""))</f>
        <v>0</v>
      </c>
    </row>
    <row r="7798" spans="27:32" ht="15">
      <c r="AA7798" s="463" t="s">
        <v>1320</v>
      </c>
      <c r="AB7798" s="462" t="s">
        <v>23263</v>
      </c>
      <c r="AC7798" s="462" t="s">
        <v>23264</v>
      </c>
      <c r="AD7798" s="464">
        <v>1285.4813300000001</v>
      </c>
      <c r="AE7798" s="465">
        <v>60.851860000000002</v>
      </c>
      <c r="AF7798" s="86">
        <f>IF(verze!$E$1="CZK",AD7798,IF(verze!$E$1="SK",AE7798,""))</f>
        <v>60.851860000000002</v>
      </c>
    </row>
    <row r="7799" spans="27:32" ht="15">
      <c r="AA7799" s="463" t="s">
        <v>1320</v>
      </c>
      <c r="AB7799" s="462" t="s">
        <v>23265</v>
      </c>
      <c r="AC7799" s="462" t="s">
        <v>23266</v>
      </c>
      <c r="AD7799" s="464">
        <v>1480.14446</v>
      </c>
      <c r="AE7799" s="465">
        <v>70.013580000000005</v>
      </c>
      <c r="AF7799" s="86">
        <f>IF(verze!$E$1="CZK",AD7799,IF(verze!$E$1="SK",AE7799,""))</f>
        <v>70.013580000000005</v>
      </c>
    </row>
    <row r="7800" spans="27:32" ht="15">
      <c r="AA7800" s="463" t="s">
        <v>1320</v>
      </c>
      <c r="AB7800" s="462" t="s">
        <v>23267</v>
      </c>
      <c r="AC7800" s="462" t="s">
        <v>23268</v>
      </c>
      <c r="AD7800" s="464">
        <v>0</v>
      </c>
      <c r="AE7800" s="465">
        <v>0</v>
      </c>
      <c r="AF7800" s="86">
        <f>IF(verze!$E$1="CZK",AD7800,IF(verze!$E$1="SK",AE7800,""))</f>
        <v>0</v>
      </c>
    </row>
    <row r="7801" spans="27:32" ht="15">
      <c r="AA7801" s="463" t="s">
        <v>1320</v>
      </c>
      <c r="AB7801" s="462" t="s">
        <v>23269</v>
      </c>
      <c r="AC7801" s="462" t="s">
        <v>23270</v>
      </c>
      <c r="AD7801" s="464">
        <v>1307.88138</v>
      </c>
      <c r="AE7801" s="465">
        <v>62.913820000000001</v>
      </c>
      <c r="AF7801" s="86">
        <f>IF(verze!$E$1="CZK",AD7801,IF(verze!$E$1="SK",AE7801,""))</f>
        <v>62.913820000000001</v>
      </c>
    </row>
    <row r="7802" spans="27:32" ht="15">
      <c r="AA7802" s="463" t="s">
        <v>1320</v>
      </c>
      <c r="AB7802" s="462" t="s">
        <v>23271</v>
      </c>
      <c r="AC7802" s="462" t="s">
        <v>23272</v>
      </c>
      <c r="AD7802" s="464">
        <v>1507.45001</v>
      </c>
      <c r="AE7802" s="465">
        <v>72.513779999999997</v>
      </c>
      <c r="AF7802" s="86">
        <f>IF(verze!$E$1="CZK",AD7802,IF(verze!$E$1="SK",AE7802,""))</f>
        <v>72.513779999999997</v>
      </c>
    </row>
    <row r="7803" spans="27:32" ht="15">
      <c r="AA7803" s="463" t="s">
        <v>1320</v>
      </c>
      <c r="AB7803" s="462" t="s">
        <v>23273</v>
      </c>
      <c r="AC7803" s="462" t="s">
        <v>23274</v>
      </c>
      <c r="AD7803" s="464">
        <v>0</v>
      </c>
      <c r="AE7803" s="465">
        <v>0</v>
      </c>
      <c r="AF7803" s="86">
        <f>IF(verze!$E$1="CZK",AD7803,IF(verze!$E$1="SK",AE7803,""))</f>
        <v>0</v>
      </c>
    </row>
    <row r="7804" spans="27:32" ht="15">
      <c r="AA7804" s="463" t="s">
        <v>1320</v>
      </c>
      <c r="AB7804" s="462" t="s">
        <v>23275</v>
      </c>
      <c r="AC7804" s="462" t="s">
        <v>23276</v>
      </c>
      <c r="AD7804" s="464">
        <v>1401.7360000000001</v>
      </c>
      <c r="AE7804" s="465">
        <v>67.373919999999998</v>
      </c>
      <c r="AF7804" s="86">
        <f>IF(verze!$E$1="CZK",AD7804,IF(verze!$E$1="SK",AE7804,""))</f>
        <v>67.373919999999998</v>
      </c>
    </row>
    <row r="7805" spans="27:32" ht="15">
      <c r="AA7805" s="463" t="s">
        <v>1320</v>
      </c>
      <c r="AB7805" s="462" t="s">
        <v>23277</v>
      </c>
      <c r="AC7805" s="462" t="s">
        <v>23278</v>
      </c>
      <c r="AD7805" s="464">
        <v>1601.3046300000001</v>
      </c>
      <c r="AE7805" s="465">
        <v>76.973879999999994</v>
      </c>
      <c r="AF7805" s="86">
        <f>IF(verze!$E$1="CZK",AD7805,IF(verze!$E$1="SK",AE7805,""))</f>
        <v>76.973879999999994</v>
      </c>
    </row>
    <row r="7806" spans="27:32" ht="15">
      <c r="AA7806" s="463" t="s">
        <v>1320</v>
      </c>
      <c r="AB7806" s="462" t="s">
        <v>23279</v>
      </c>
      <c r="AC7806" s="462" t="s">
        <v>23280</v>
      </c>
      <c r="AD7806" s="464">
        <v>0</v>
      </c>
      <c r="AE7806" s="465">
        <v>0</v>
      </c>
      <c r="AF7806" s="86">
        <f>IF(verze!$E$1="CZK",AD7806,IF(verze!$E$1="SK",AE7806,""))</f>
        <v>0</v>
      </c>
    </row>
    <row r="7807" spans="27:32" ht="15">
      <c r="AA7807" s="463" t="s">
        <v>1320</v>
      </c>
      <c r="AB7807" s="462" t="s">
        <v>23281</v>
      </c>
      <c r="AC7807" s="462" t="s">
        <v>23282</v>
      </c>
      <c r="AD7807" s="464">
        <v>1486.0672099999999</v>
      </c>
      <c r="AE7807" s="465">
        <v>71.38682</v>
      </c>
      <c r="AF7807" s="86">
        <f>IF(verze!$E$1="CZK",AD7807,IF(verze!$E$1="SK",AE7807,""))</f>
        <v>71.38682</v>
      </c>
    </row>
    <row r="7808" spans="27:32" ht="15">
      <c r="AA7808" s="463" t="s">
        <v>1320</v>
      </c>
      <c r="AB7808" s="462" t="s">
        <v>23283</v>
      </c>
      <c r="AC7808" s="462" t="s">
        <v>23284</v>
      </c>
      <c r="AD7808" s="464">
        <v>1685.6358399999999</v>
      </c>
      <c r="AE7808" s="465">
        <v>80.986779999999996</v>
      </c>
      <c r="AF7808" s="86">
        <f>IF(verze!$E$1="CZK",AD7808,IF(verze!$E$1="SK",AE7808,""))</f>
        <v>80.986779999999996</v>
      </c>
    </row>
    <row r="7809" spans="27:32" ht="15">
      <c r="AA7809" s="463" t="s">
        <v>1320</v>
      </c>
      <c r="AB7809" s="462" t="s">
        <v>23285</v>
      </c>
      <c r="AC7809" s="462" t="s">
        <v>23286</v>
      </c>
      <c r="AD7809" s="464">
        <v>0</v>
      </c>
      <c r="AE7809" s="465">
        <v>0</v>
      </c>
      <c r="AF7809" s="86">
        <f>IF(verze!$E$1="CZK",AD7809,IF(verze!$E$1="SK",AE7809,""))</f>
        <v>0</v>
      </c>
    </row>
    <row r="7810" spans="27:32" ht="15">
      <c r="AA7810" s="463" t="s">
        <v>1320</v>
      </c>
      <c r="AB7810" s="462" t="s">
        <v>23287</v>
      </c>
      <c r="AC7810" s="462" t="s">
        <v>23288</v>
      </c>
      <c r="AD7810" s="464">
        <v>1112.12166</v>
      </c>
      <c r="AE7810" s="465">
        <v>53.464320000000001</v>
      </c>
      <c r="AF7810" s="86">
        <f>IF(verze!$E$1="CZK",AD7810,IF(verze!$E$1="SK",AE7810,""))</f>
        <v>53.464320000000001</v>
      </c>
    </row>
    <row r="7811" spans="27:32" ht="15">
      <c r="AA7811" s="463" t="s">
        <v>1320</v>
      </c>
      <c r="AB7811" s="462" t="s">
        <v>23289</v>
      </c>
      <c r="AC7811" s="462" t="s">
        <v>23290</v>
      </c>
      <c r="AD7811" s="464">
        <v>1311.69029</v>
      </c>
      <c r="AE7811" s="465">
        <v>63.064279999999997</v>
      </c>
      <c r="AF7811" s="86">
        <f>IF(verze!$E$1="CZK",AD7811,IF(verze!$E$1="SK",AE7811,""))</f>
        <v>63.064279999999997</v>
      </c>
    </row>
    <row r="7812" spans="27:32" ht="15">
      <c r="AA7812" s="463" t="s">
        <v>1320</v>
      </c>
      <c r="AB7812" s="462" t="s">
        <v>23291</v>
      </c>
      <c r="AC7812" s="462" t="s">
        <v>23292</v>
      </c>
      <c r="AD7812" s="464">
        <v>0</v>
      </c>
      <c r="AE7812" s="465">
        <v>0</v>
      </c>
      <c r="AF7812" s="86">
        <f>IF(verze!$E$1="CZK",AD7812,IF(verze!$E$1="SK",AE7812,""))</f>
        <v>0</v>
      </c>
    </row>
    <row r="7813" spans="27:32" ht="15">
      <c r="AA7813" s="463" t="s">
        <v>1320</v>
      </c>
      <c r="AB7813" s="462" t="s">
        <v>23293</v>
      </c>
      <c r="AC7813" s="462" t="s">
        <v>23294</v>
      </c>
      <c r="AD7813" s="464">
        <v>1259.88579</v>
      </c>
      <c r="AE7813" s="465">
        <v>60.550409999999999</v>
      </c>
      <c r="AF7813" s="86">
        <f>IF(verze!$E$1="CZK",AD7813,IF(verze!$E$1="SK",AE7813,""))</f>
        <v>60.550409999999999</v>
      </c>
    </row>
    <row r="7814" spans="27:32" ht="15">
      <c r="AA7814" s="463" t="s">
        <v>1320</v>
      </c>
      <c r="AB7814" s="462" t="s">
        <v>23295</v>
      </c>
      <c r="AC7814" s="462" t="s">
        <v>23296</v>
      </c>
      <c r="AD7814" s="464">
        <v>1459.45442</v>
      </c>
      <c r="AE7814" s="465">
        <v>70.150369999999995</v>
      </c>
      <c r="AF7814" s="86">
        <f>IF(verze!$E$1="CZK",AD7814,IF(verze!$E$1="SK",AE7814,""))</f>
        <v>70.150369999999995</v>
      </c>
    </row>
    <row r="7815" spans="27:32" ht="15">
      <c r="AA7815" s="463" t="s">
        <v>1320</v>
      </c>
      <c r="AB7815" s="462" t="s">
        <v>23297</v>
      </c>
      <c r="AC7815" s="462" t="s">
        <v>23298</v>
      </c>
      <c r="AD7815" s="464">
        <v>0</v>
      </c>
      <c r="AE7815" s="465">
        <v>0</v>
      </c>
      <c r="AF7815" s="86">
        <f>IF(verze!$E$1="CZK",AD7815,IF(verze!$E$1="SK",AE7815,""))</f>
        <v>0</v>
      </c>
    </row>
    <row r="7816" spans="27:32" ht="15">
      <c r="AA7816" s="463" t="s">
        <v>1320</v>
      </c>
      <c r="AB7816" s="462" t="s">
        <v>23299</v>
      </c>
      <c r="AC7816" s="462" t="s">
        <v>23300</v>
      </c>
      <c r="AD7816" s="464">
        <v>1344.2170000000001</v>
      </c>
      <c r="AE7816" s="465">
        <v>64.563310000000001</v>
      </c>
      <c r="AF7816" s="86">
        <f>IF(verze!$E$1="CZK",AD7816,IF(verze!$E$1="SK",AE7816,""))</f>
        <v>64.563310000000001</v>
      </c>
    </row>
    <row r="7817" spans="27:32" ht="15">
      <c r="AA7817" s="463" t="s">
        <v>1320</v>
      </c>
      <c r="AB7817" s="462" t="s">
        <v>23301</v>
      </c>
      <c r="AC7817" s="462" t="s">
        <v>23302</v>
      </c>
      <c r="AD7817" s="464">
        <v>1543.7856300000001</v>
      </c>
      <c r="AE7817" s="465">
        <v>74.163269999999997</v>
      </c>
      <c r="AF7817" s="86">
        <f>IF(verze!$E$1="CZK",AD7817,IF(verze!$E$1="SK",AE7817,""))</f>
        <v>74.163269999999997</v>
      </c>
    </row>
    <row r="7818" spans="27:32" ht="15">
      <c r="AA7818" s="463" t="s">
        <v>1320</v>
      </c>
      <c r="AB7818" s="462" t="s">
        <v>23303</v>
      </c>
      <c r="AC7818" s="462" t="s">
        <v>23304</v>
      </c>
      <c r="AD7818" s="464">
        <v>0</v>
      </c>
      <c r="AE7818" s="465">
        <v>0</v>
      </c>
      <c r="AF7818" s="86">
        <f>IF(verze!$E$1="CZK",AD7818,IF(verze!$E$1="SK",AE7818,""))</f>
        <v>0</v>
      </c>
    </row>
    <row r="7819" spans="27:32" ht="15">
      <c r="AA7819" s="463" t="s">
        <v>1320</v>
      </c>
      <c r="AB7819" s="462" t="s">
        <v>23305</v>
      </c>
      <c r="AC7819" s="462" t="s">
        <v>23306</v>
      </c>
      <c r="AD7819" s="464">
        <v>1460.7275</v>
      </c>
      <c r="AE7819" s="465">
        <v>70.266260000000003</v>
      </c>
      <c r="AF7819" s="86">
        <f>IF(verze!$E$1="CZK",AD7819,IF(verze!$E$1="SK",AE7819,""))</f>
        <v>70.266260000000003</v>
      </c>
    </row>
    <row r="7820" spans="27:32" ht="15">
      <c r="AA7820" s="463" t="s">
        <v>1320</v>
      </c>
      <c r="AB7820" s="462" t="s">
        <v>23307</v>
      </c>
      <c r="AC7820" s="462" t="s">
        <v>23308</v>
      </c>
      <c r="AD7820" s="464">
        <v>1577.49505</v>
      </c>
      <c r="AE7820" s="465">
        <v>75.883189999999999</v>
      </c>
      <c r="AF7820" s="86">
        <f>IF(verze!$E$1="CZK",AD7820,IF(verze!$E$1="SK",AE7820,""))</f>
        <v>75.883189999999999</v>
      </c>
    </row>
    <row r="7821" spans="27:32" ht="15">
      <c r="AA7821" s="463" t="s">
        <v>1320</v>
      </c>
      <c r="AB7821" s="462" t="s">
        <v>23309</v>
      </c>
      <c r="AC7821" s="462" t="s">
        <v>23310</v>
      </c>
      <c r="AD7821" s="464">
        <v>0</v>
      </c>
      <c r="AE7821" s="465">
        <v>0</v>
      </c>
      <c r="AF7821" s="86">
        <f>IF(verze!$E$1="CZK",AD7821,IF(verze!$E$1="SK",AE7821,""))</f>
        <v>0</v>
      </c>
    </row>
    <row r="7822" spans="27:32" ht="15">
      <c r="AA7822" s="463" t="s">
        <v>1320</v>
      </c>
      <c r="AB7822" s="462" t="s">
        <v>23311</v>
      </c>
      <c r="AC7822" s="462" t="s">
        <v>23312</v>
      </c>
      <c r="AD7822" s="464">
        <v>1554.58212</v>
      </c>
      <c r="AE7822" s="465">
        <v>74.72636</v>
      </c>
      <c r="AF7822" s="86">
        <f>IF(verze!$E$1="CZK",AD7822,IF(verze!$E$1="SK",AE7822,""))</f>
        <v>74.72636</v>
      </c>
    </row>
    <row r="7823" spans="27:32" ht="15">
      <c r="AA7823" s="463" t="s">
        <v>1320</v>
      </c>
      <c r="AB7823" s="462" t="s">
        <v>23313</v>
      </c>
      <c r="AC7823" s="462" t="s">
        <v>23314</v>
      </c>
      <c r="AD7823" s="464">
        <v>1671.3496700000001</v>
      </c>
      <c r="AE7823" s="465">
        <v>80.343289999999996</v>
      </c>
      <c r="AF7823" s="86">
        <f>IF(verze!$E$1="CZK",AD7823,IF(verze!$E$1="SK",AE7823,""))</f>
        <v>80.343289999999996</v>
      </c>
    </row>
    <row r="7824" spans="27:32" ht="15">
      <c r="AA7824" s="463" t="s">
        <v>1320</v>
      </c>
      <c r="AB7824" s="462" t="s">
        <v>23315</v>
      </c>
      <c r="AC7824" s="462" t="s">
        <v>23316</v>
      </c>
      <c r="AD7824" s="464">
        <v>0</v>
      </c>
      <c r="AE7824" s="465">
        <v>0</v>
      </c>
      <c r="AF7824" s="86">
        <f>IF(verze!$E$1="CZK",AD7824,IF(verze!$E$1="SK",AE7824,""))</f>
        <v>0</v>
      </c>
    </row>
    <row r="7825" spans="27:32" ht="15">
      <c r="AA7825" s="463" t="s">
        <v>1320</v>
      </c>
      <c r="AB7825" s="462" t="s">
        <v>23317</v>
      </c>
      <c r="AC7825" s="462" t="s">
        <v>23318</v>
      </c>
      <c r="AD7825" s="464">
        <v>1638.9133300000001</v>
      </c>
      <c r="AE7825" s="465">
        <v>78.739260000000002</v>
      </c>
      <c r="AF7825" s="86">
        <f>IF(verze!$E$1="CZK",AD7825,IF(verze!$E$1="SK",AE7825,""))</f>
        <v>78.739260000000002</v>
      </c>
    </row>
    <row r="7826" spans="27:32" ht="15">
      <c r="AA7826" s="463" t="s">
        <v>1320</v>
      </c>
      <c r="AB7826" s="462" t="s">
        <v>23319</v>
      </c>
      <c r="AC7826" s="462" t="s">
        <v>23320</v>
      </c>
      <c r="AD7826" s="464">
        <v>1755.6808799999999</v>
      </c>
      <c r="AE7826" s="465">
        <v>84.356189999999998</v>
      </c>
      <c r="AF7826" s="86">
        <f>IF(verze!$E$1="CZK",AD7826,IF(verze!$E$1="SK",AE7826,""))</f>
        <v>84.356189999999998</v>
      </c>
    </row>
    <row r="7827" spans="27:32" ht="15">
      <c r="AA7827" s="463" t="s">
        <v>1320</v>
      </c>
      <c r="AB7827" s="462" t="s">
        <v>23321</v>
      </c>
      <c r="AC7827" s="462" t="s">
        <v>23322</v>
      </c>
      <c r="AD7827" s="464">
        <v>0</v>
      </c>
      <c r="AE7827" s="465">
        <v>0</v>
      </c>
      <c r="AF7827" s="86">
        <f>IF(verze!$E$1="CZK",AD7827,IF(verze!$E$1="SK",AE7827,""))</f>
        <v>0</v>
      </c>
    </row>
    <row r="7828" spans="27:32" ht="15">
      <c r="AA7828" s="463" t="s">
        <v>1320</v>
      </c>
      <c r="AB7828" s="462" t="s">
        <v>23323</v>
      </c>
      <c r="AC7828" s="462" t="s">
        <v>23324</v>
      </c>
      <c r="AD7828" s="464">
        <v>1264.96776</v>
      </c>
      <c r="AE7828" s="465">
        <v>60.816760000000002</v>
      </c>
      <c r="AF7828" s="86">
        <f>IF(verze!$E$1="CZK",AD7828,IF(verze!$E$1="SK",AE7828,""))</f>
        <v>60.816760000000002</v>
      </c>
    </row>
    <row r="7829" spans="27:32" ht="15">
      <c r="AA7829" s="463" t="s">
        <v>1320</v>
      </c>
      <c r="AB7829" s="462" t="s">
        <v>23325</v>
      </c>
      <c r="AC7829" s="462" t="s">
        <v>23326</v>
      </c>
      <c r="AD7829" s="464">
        <v>1381.73531</v>
      </c>
      <c r="AE7829" s="465">
        <v>66.433689999999999</v>
      </c>
      <c r="AF7829" s="86">
        <f>IF(verze!$E$1="CZK",AD7829,IF(verze!$E$1="SK",AE7829,""))</f>
        <v>66.433689999999999</v>
      </c>
    </row>
    <row r="7830" spans="27:32" ht="15">
      <c r="AA7830" s="463" t="s">
        <v>1320</v>
      </c>
      <c r="AB7830" s="462" t="s">
        <v>23327</v>
      </c>
      <c r="AC7830" s="462" t="s">
        <v>23328</v>
      </c>
      <c r="AD7830" s="464">
        <v>0</v>
      </c>
      <c r="AE7830" s="465">
        <v>0</v>
      </c>
      <c r="AF7830" s="86">
        <f>IF(verze!$E$1="CZK",AD7830,IF(verze!$E$1="SK",AE7830,""))</f>
        <v>0</v>
      </c>
    </row>
    <row r="7831" spans="27:32" ht="15">
      <c r="AA7831" s="463" t="s">
        <v>1320</v>
      </c>
      <c r="AB7831" s="462" t="s">
        <v>23329</v>
      </c>
      <c r="AC7831" s="462" t="s">
        <v>23330</v>
      </c>
      <c r="AD7831" s="464">
        <v>1412.73189</v>
      </c>
      <c r="AE7831" s="465">
        <v>67.902850000000001</v>
      </c>
      <c r="AF7831" s="86">
        <f>IF(verze!$E$1="CZK",AD7831,IF(verze!$E$1="SK",AE7831,""))</f>
        <v>67.902850000000001</v>
      </c>
    </row>
    <row r="7832" spans="27:32" ht="15">
      <c r="AA7832" s="463" t="s">
        <v>1320</v>
      </c>
      <c r="AB7832" s="462" t="s">
        <v>23331</v>
      </c>
      <c r="AC7832" s="462" t="s">
        <v>23332</v>
      </c>
      <c r="AD7832" s="464">
        <v>1529.49944</v>
      </c>
      <c r="AE7832" s="465">
        <v>73.519779999999997</v>
      </c>
      <c r="AF7832" s="86">
        <f>IF(verze!$E$1="CZK",AD7832,IF(verze!$E$1="SK",AE7832,""))</f>
        <v>73.519779999999997</v>
      </c>
    </row>
    <row r="7833" spans="27:32" ht="15">
      <c r="AA7833" s="463" t="s">
        <v>1320</v>
      </c>
      <c r="AB7833" s="462" t="s">
        <v>23333</v>
      </c>
      <c r="AC7833" s="462" t="s">
        <v>23334</v>
      </c>
      <c r="AD7833" s="464">
        <v>0</v>
      </c>
      <c r="AE7833" s="465">
        <v>0</v>
      </c>
      <c r="AF7833" s="86">
        <f>IF(verze!$E$1="CZK",AD7833,IF(verze!$E$1="SK",AE7833,""))</f>
        <v>0</v>
      </c>
    </row>
    <row r="7834" spans="27:32" ht="15">
      <c r="AA7834" s="463" t="s">
        <v>1320</v>
      </c>
      <c r="AB7834" s="462" t="s">
        <v>23335</v>
      </c>
      <c r="AC7834" s="462" t="s">
        <v>23336</v>
      </c>
      <c r="AD7834" s="464">
        <v>1497.0631000000001</v>
      </c>
      <c r="AE7834" s="465">
        <v>71.915750000000003</v>
      </c>
      <c r="AF7834" s="86">
        <f>IF(verze!$E$1="CZK",AD7834,IF(verze!$E$1="SK",AE7834,""))</f>
        <v>71.915750000000003</v>
      </c>
    </row>
    <row r="7835" spans="27:32" ht="15">
      <c r="AA7835" s="463" t="s">
        <v>1320</v>
      </c>
      <c r="AB7835" s="462" t="s">
        <v>23337</v>
      </c>
      <c r="AC7835" s="462" t="s">
        <v>23338</v>
      </c>
      <c r="AD7835" s="464">
        <v>0</v>
      </c>
      <c r="AE7835" s="465">
        <v>0</v>
      </c>
      <c r="AF7835" s="86">
        <f>IF(verze!$E$1="CZK",AD7835,IF(verze!$E$1="SK",AE7835,""))</f>
        <v>0</v>
      </c>
    </row>
    <row r="7836" spans="27:32" ht="15">
      <c r="AA7836" s="463" t="s">
        <v>1320</v>
      </c>
      <c r="AB7836" s="462" t="s">
        <v>23339</v>
      </c>
      <c r="AC7836" s="462" t="s">
        <v>23340</v>
      </c>
      <c r="AD7836" s="464">
        <v>0</v>
      </c>
      <c r="AE7836" s="465">
        <v>0</v>
      </c>
      <c r="AF7836" s="86">
        <f>IF(verze!$E$1="CZK",AD7836,IF(verze!$E$1="SK",AE7836,""))</f>
        <v>0</v>
      </c>
    </row>
    <row r="7837" spans="27:32" ht="15">
      <c r="AA7837" s="463" t="s">
        <v>1320</v>
      </c>
      <c r="AB7837" s="462" t="s">
        <v>23341</v>
      </c>
      <c r="AC7837" s="462" t="s">
        <v>23342</v>
      </c>
      <c r="AD7837" s="464">
        <v>794.47238000000004</v>
      </c>
      <c r="AE7837" s="465">
        <v>32.669910000000002</v>
      </c>
      <c r="AF7837" s="86">
        <f>IF(verze!$E$1="CZK",AD7837,IF(verze!$E$1="SK",AE7837,""))</f>
        <v>32.669910000000002</v>
      </c>
    </row>
    <row r="7838" spans="27:32" ht="15">
      <c r="AA7838" s="463" t="s">
        <v>1320</v>
      </c>
      <c r="AB7838" s="462" t="s">
        <v>23343</v>
      </c>
      <c r="AC7838" s="462" t="s">
        <v>23344</v>
      </c>
      <c r="AD7838" s="464">
        <v>984.44480999999996</v>
      </c>
      <c r="AE7838" s="465">
        <v>40.481859999999998</v>
      </c>
      <c r="AF7838" s="86">
        <f>IF(verze!$E$1="CZK",AD7838,IF(verze!$E$1="SK",AE7838,""))</f>
        <v>40.481859999999998</v>
      </c>
    </row>
    <row r="7839" spans="27:32" ht="15">
      <c r="AA7839" s="463" t="s">
        <v>1320</v>
      </c>
      <c r="AB7839" s="462" t="s">
        <v>23345</v>
      </c>
      <c r="AC7839" s="462" t="s">
        <v>23346</v>
      </c>
      <c r="AD7839" s="464">
        <v>1010.39928</v>
      </c>
      <c r="AE7839" s="465">
        <v>41.549149999999997</v>
      </c>
      <c r="AF7839" s="86">
        <f>IF(verze!$E$1="CZK",AD7839,IF(verze!$E$1="SK",AE7839,""))</f>
        <v>41.549149999999997</v>
      </c>
    </row>
    <row r="7840" spans="27:32" ht="15">
      <c r="AA7840" s="463" t="s">
        <v>1320</v>
      </c>
      <c r="AB7840" s="462" t="s">
        <v>23347</v>
      </c>
      <c r="AC7840" s="462" t="s">
        <v>23348</v>
      </c>
      <c r="AD7840" s="464">
        <v>794.47238000000004</v>
      </c>
      <c r="AE7840" s="465">
        <v>32.669910000000002</v>
      </c>
      <c r="AF7840" s="86">
        <f>IF(verze!$E$1="CZK",AD7840,IF(verze!$E$1="SK",AE7840,""))</f>
        <v>32.669910000000002</v>
      </c>
    </row>
    <row r="7841" spans="27:32" ht="15">
      <c r="AA7841" s="463" t="s">
        <v>1320</v>
      </c>
      <c r="AB7841" s="462" t="s">
        <v>23349</v>
      </c>
      <c r="AC7841" s="462" t="s">
        <v>23350</v>
      </c>
      <c r="AD7841" s="464">
        <v>984.44480999999996</v>
      </c>
      <c r="AE7841" s="465">
        <v>40.481859999999998</v>
      </c>
      <c r="AF7841" s="86">
        <f>IF(verze!$E$1="CZK",AD7841,IF(verze!$E$1="SK",AE7841,""))</f>
        <v>40.481859999999998</v>
      </c>
    </row>
    <row r="7842" spans="27:32" ht="15">
      <c r="AA7842" s="463" t="s">
        <v>1320</v>
      </c>
      <c r="AB7842" s="462" t="s">
        <v>23351</v>
      </c>
      <c r="AC7842" s="462" t="s">
        <v>23352</v>
      </c>
      <c r="AD7842" s="464">
        <v>1010.39928</v>
      </c>
      <c r="AE7842" s="465">
        <v>41.549149999999997</v>
      </c>
      <c r="AF7842" s="86">
        <f>IF(verze!$E$1="CZK",AD7842,IF(verze!$E$1="SK",AE7842,""))</f>
        <v>41.549149999999997</v>
      </c>
    </row>
    <row r="7843" spans="27:32" ht="15">
      <c r="AA7843" s="463" t="s">
        <v>1320</v>
      </c>
      <c r="AB7843" s="462" t="s">
        <v>23353</v>
      </c>
      <c r="AC7843" s="462" t="s">
        <v>23354</v>
      </c>
      <c r="AD7843" s="464">
        <v>794.47238000000004</v>
      </c>
      <c r="AE7843" s="465">
        <v>32.669910000000002</v>
      </c>
      <c r="AF7843" s="86">
        <f>IF(verze!$E$1="CZK",AD7843,IF(verze!$E$1="SK",AE7843,""))</f>
        <v>32.669910000000002</v>
      </c>
    </row>
    <row r="7844" spans="27:32" ht="15">
      <c r="AA7844" s="463" t="s">
        <v>1320</v>
      </c>
      <c r="AB7844" s="462" t="s">
        <v>23355</v>
      </c>
      <c r="AC7844" s="462" t="s">
        <v>23356</v>
      </c>
      <c r="AD7844" s="464">
        <v>984.44480999999996</v>
      </c>
      <c r="AE7844" s="465">
        <v>40.481859999999998</v>
      </c>
      <c r="AF7844" s="86">
        <f>IF(verze!$E$1="CZK",AD7844,IF(verze!$E$1="SK",AE7844,""))</f>
        <v>40.481859999999998</v>
      </c>
    </row>
    <row r="7845" spans="27:32" ht="15">
      <c r="AA7845" s="463" t="s">
        <v>1320</v>
      </c>
      <c r="AB7845" s="462" t="s">
        <v>23357</v>
      </c>
      <c r="AC7845" s="462" t="s">
        <v>23358</v>
      </c>
      <c r="AD7845" s="464">
        <v>1010.39928</v>
      </c>
      <c r="AE7845" s="465">
        <v>41.549149999999997</v>
      </c>
      <c r="AF7845" s="86">
        <f>IF(verze!$E$1="CZK",AD7845,IF(verze!$E$1="SK",AE7845,""))</f>
        <v>41.549149999999997</v>
      </c>
    </row>
    <row r="7846" spans="27:32" ht="15">
      <c r="AA7846" s="463" t="s">
        <v>1320</v>
      </c>
      <c r="AB7846" s="462" t="s">
        <v>23359</v>
      </c>
      <c r="AC7846" s="462" t="s">
        <v>23360</v>
      </c>
      <c r="AD7846" s="464">
        <v>0</v>
      </c>
      <c r="AE7846" s="465">
        <v>0</v>
      </c>
      <c r="AF7846" s="86">
        <f>IF(verze!$E$1="CZK",AD7846,IF(verze!$E$1="SK",AE7846,""))</f>
        <v>0</v>
      </c>
    </row>
    <row r="7847" spans="27:32" ht="15">
      <c r="AA7847" s="463" t="s">
        <v>1320</v>
      </c>
      <c r="AB7847" s="462" t="s">
        <v>23361</v>
      </c>
      <c r="AC7847" s="462" t="s">
        <v>23360</v>
      </c>
      <c r="AD7847" s="464">
        <v>0</v>
      </c>
      <c r="AE7847" s="465">
        <v>0</v>
      </c>
      <c r="AF7847" s="86">
        <f>IF(verze!$E$1="CZK",AD7847,IF(verze!$E$1="SK",AE7847,""))</f>
        <v>0</v>
      </c>
    </row>
    <row r="7848" spans="27:32" ht="15">
      <c r="AA7848" s="463" t="s">
        <v>1320</v>
      </c>
      <c r="AB7848" s="462" t="s">
        <v>23362</v>
      </c>
      <c r="AC7848" s="462" t="s">
        <v>23363</v>
      </c>
      <c r="AD7848" s="464">
        <v>0</v>
      </c>
      <c r="AE7848" s="465">
        <v>0</v>
      </c>
      <c r="AF7848" s="86">
        <f>IF(verze!$E$1="CZK",AD7848,IF(verze!$E$1="SK",AE7848,""))</f>
        <v>0</v>
      </c>
    </row>
    <row r="7849" spans="27:32" ht="15">
      <c r="AA7849" s="463" t="s">
        <v>1320</v>
      </c>
      <c r="AB7849" s="462" t="s">
        <v>23364</v>
      </c>
      <c r="AC7849" s="462" t="s">
        <v>23365</v>
      </c>
      <c r="AD7849" s="464">
        <v>0</v>
      </c>
      <c r="AE7849" s="465">
        <v>0</v>
      </c>
      <c r="AF7849" s="86">
        <f>IF(verze!$E$1="CZK",AD7849,IF(verze!$E$1="SK",AE7849,""))</f>
        <v>0</v>
      </c>
    </row>
    <row r="7850" spans="27:32" ht="15">
      <c r="AA7850" s="463" t="s">
        <v>1320</v>
      </c>
      <c r="AB7850" s="462" t="s">
        <v>23366</v>
      </c>
      <c r="AC7850" s="462" t="s">
        <v>23367</v>
      </c>
      <c r="AD7850" s="464">
        <v>0</v>
      </c>
      <c r="AE7850" s="465">
        <v>0</v>
      </c>
      <c r="AF7850" s="86">
        <f>IF(verze!$E$1="CZK",AD7850,IF(verze!$E$1="SK",AE7850,""))</f>
        <v>0</v>
      </c>
    </row>
    <row r="7851" spans="27:32" ht="15">
      <c r="AA7851" s="463" t="s">
        <v>1320</v>
      </c>
      <c r="AB7851" s="462" t="s">
        <v>23368</v>
      </c>
      <c r="AC7851" s="462" t="s">
        <v>23369</v>
      </c>
      <c r="AD7851" s="464">
        <v>0</v>
      </c>
      <c r="AE7851" s="465">
        <v>0</v>
      </c>
      <c r="AF7851" s="86">
        <f>IF(verze!$E$1="CZK",AD7851,IF(verze!$E$1="SK",AE7851,""))</f>
        <v>0</v>
      </c>
    </row>
    <row r="7852" spans="27:32" ht="15">
      <c r="AA7852" s="463" t="s">
        <v>1320</v>
      </c>
      <c r="AB7852" s="462" t="s">
        <v>23370</v>
      </c>
      <c r="AC7852" s="462" t="s">
        <v>23371</v>
      </c>
      <c r="AD7852" s="464">
        <v>0</v>
      </c>
      <c r="AE7852" s="465">
        <v>0</v>
      </c>
      <c r="AF7852" s="86">
        <f>IF(verze!$E$1="CZK",AD7852,IF(verze!$E$1="SK",AE7852,""))</f>
        <v>0</v>
      </c>
    </row>
    <row r="7853" spans="27:32" ht="15">
      <c r="AA7853" s="463" t="s">
        <v>1320</v>
      </c>
      <c r="AB7853" s="462" t="s">
        <v>23372</v>
      </c>
      <c r="AC7853" s="462" t="s">
        <v>23371</v>
      </c>
      <c r="AD7853" s="464">
        <v>0</v>
      </c>
      <c r="AE7853" s="465">
        <v>0</v>
      </c>
      <c r="AF7853" s="86">
        <f>IF(verze!$E$1="CZK",AD7853,IF(verze!$E$1="SK",AE7853,""))</f>
        <v>0</v>
      </c>
    </row>
    <row r="7854" spans="27:32" ht="15">
      <c r="AA7854" s="463" t="s">
        <v>1320</v>
      </c>
      <c r="AB7854" s="462" t="s">
        <v>23373</v>
      </c>
      <c r="AC7854" s="462" t="s">
        <v>23374</v>
      </c>
      <c r="AD7854" s="464">
        <v>0</v>
      </c>
      <c r="AE7854" s="465">
        <v>0</v>
      </c>
      <c r="AF7854" s="86">
        <f>IF(verze!$E$1="CZK",AD7854,IF(verze!$E$1="SK",AE7854,""))</f>
        <v>0</v>
      </c>
    </row>
    <row r="7855" spans="27:32" ht="15">
      <c r="AA7855" s="463" t="s">
        <v>1320</v>
      </c>
      <c r="AB7855" s="462" t="s">
        <v>23375</v>
      </c>
      <c r="AC7855" s="462" t="s">
        <v>23376</v>
      </c>
      <c r="AD7855" s="464">
        <v>0</v>
      </c>
      <c r="AE7855" s="465">
        <v>0</v>
      </c>
      <c r="AF7855" s="86">
        <f>IF(verze!$E$1="CZK",AD7855,IF(verze!$E$1="SK",AE7855,""))</f>
        <v>0</v>
      </c>
    </row>
    <row r="7856" spans="27:32" ht="15">
      <c r="AA7856" s="463" t="s">
        <v>1320</v>
      </c>
      <c r="AB7856" s="462" t="s">
        <v>23377</v>
      </c>
      <c r="AC7856" s="462" t="s">
        <v>23378</v>
      </c>
      <c r="AD7856" s="464">
        <v>372.06545999999997</v>
      </c>
      <c r="AE7856" s="465">
        <v>17.897690000000001</v>
      </c>
      <c r="AF7856" s="86">
        <f>IF(verze!$E$1="CZK",AD7856,IF(verze!$E$1="SK",AE7856,""))</f>
        <v>17.897690000000001</v>
      </c>
    </row>
    <row r="7857" spans="27:32" ht="15">
      <c r="AA7857" s="463" t="s">
        <v>1320</v>
      </c>
      <c r="AB7857" s="462" t="s">
        <v>23379</v>
      </c>
      <c r="AC7857" s="462" t="s">
        <v>23380</v>
      </c>
      <c r="AD7857" s="464">
        <v>372.06545999999997</v>
      </c>
      <c r="AE7857" s="465">
        <v>17.897690000000001</v>
      </c>
      <c r="AF7857" s="86">
        <f>IF(verze!$E$1="CZK",AD7857,IF(verze!$E$1="SK",AE7857,""))</f>
        <v>17.897690000000001</v>
      </c>
    </row>
    <row r="7858" spans="27:32" ht="15">
      <c r="AA7858" s="463" t="s">
        <v>1320</v>
      </c>
      <c r="AB7858" s="462" t="s">
        <v>23381</v>
      </c>
      <c r="AC7858" s="462" t="s">
        <v>23382</v>
      </c>
      <c r="AD7858" s="464">
        <v>189.80663999999999</v>
      </c>
      <c r="AE7858" s="465">
        <v>9.1303800000000006</v>
      </c>
      <c r="AF7858" s="86">
        <f>IF(verze!$E$1="CZK",AD7858,IF(verze!$E$1="SK",AE7858,""))</f>
        <v>9.1303800000000006</v>
      </c>
    </row>
    <row r="7859" spans="27:32" ht="15">
      <c r="AA7859" s="463" t="s">
        <v>1320</v>
      </c>
      <c r="AB7859" s="462" t="s">
        <v>23383</v>
      </c>
      <c r="AC7859" s="462" t="s">
        <v>23384</v>
      </c>
      <c r="AD7859" s="464">
        <v>189.80663999999999</v>
      </c>
      <c r="AE7859" s="465">
        <v>9.1303800000000006</v>
      </c>
      <c r="AF7859" s="86">
        <f>IF(verze!$E$1="CZK",AD7859,IF(verze!$E$1="SK",AE7859,""))</f>
        <v>9.1303800000000006</v>
      </c>
    </row>
    <row r="7860" spans="27:32" ht="15">
      <c r="AA7860" s="463" t="s">
        <v>1320</v>
      </c>
      <c r="AB7860" s="462" t="s">
        <v>23385</v>
      </c>
      <c r="AC7860" s="462" t="s">
        <v>23386</v>
      </c>
      <c r="AD7860" s="464">
        <v>189.80663999999999</v>
      </c>
      <c r="AE7860" s="465">
        <v>9.1303800000000006</v>
      </c>
      <c r="AF7860" s="86">
        <f>IF(verze!$E$1="CZK",AD7860,IF(verze!$E$1="SK",AE7860,""))</f>
        <v>9.1303800000000006</v>
      </c>
    </row>
    <row r="7861" spans="27:32" ht="15">
      <c r="AA7861" s="463" t="s">
        <v>1320</v>
      </c>
      <c r="AB7861" s="462" t="s">
        <v>23387</v>
      </c>
      <c r="AC7861" s="462" t="s">
        <v>23388</v>
      </c>
      <c r="AD7861" s="464">
        <v>189.80663999999999</v>
      </c>
      <c r="AE7861" s="465">
        <v>9.1303800000000006</v>
      </c>
      <c r="AF7861" s="86">
        <f>IF(verze!$E$1="CZK",AD7861,IF(verze!$E$1="SK",AE7861,""))</f>
        <v>9.1303800000000006</v>
      </c>
    </row>
    <row r="7862" spans="27:32" ht="15">
      <c r="AA7862" s="463" t="s">
        <v>1320</v>
      </c>
      <c r="AB7862" s="462" t="s">
        <v>23389</v>
      </c>
      <c r="AC7862" s="462" t="s">
        <v>23390</v>
      </c>
      <c r="AD7862" s="464">
        <v>189.80663999999999</v>
      </c>
      <c r="AE7862" s="465">
        <v>9.1303800000000006</v>
      </c>
      <c r="AF7862" s="86">
        <f>IF(verze!$E$1="CZK",AD7862,IF(verze!$E$1="SK",AE7862,""))</f>
        <v>9.1303800000000006</v>
      </c>
    </row>
    <row r="7863" spans="27:32" ht="15">
      <c r="AA7863" s="463" t="s">
        <v>1320</v>
      </c>
      <c r="AB7863" s="462" t="s">
        <v>23391</v>
      </c>
      <c r="AC7863" s="462" t="s">
        <v>23392</v>
      </c>
      <c r="AD7863" s="464">
        <v>189.80663999999999</v>
      </c>
      <c r="AE7863" s="465">
        <v>9.1303800000000006</v>
      </c>
      <c r="AF7863" s="86">
        <f>IF(verze!$E$1="CZK",AD7863,IF(verze!$E$1="SK",AE7863,""))</f>
        <v>9.1303800000000006</v>
      </c>
    </row>
    <row r="7864" spans="27:32" ht="15">
      <c r="AA7864" s="463" t="s">
        <v>1320</v>
      </c>
      <c r="AB7864" s="462" t="s">
        <v>23393</v>
      </c>
      <c r="AC7864" s="462" t="s">
        <v>23394</v>
      </c>
      <c r="AD7864" s="464">
        <v>189.80663999999999</v>
      </c>
      <c r="AE7864" s="465">
        <v>9.1303800000000006</v>
      </c>
      <c r="AF7864" s="86">
        <f>IF(verze!$E$1="CZK",AD7864,IF(verze!$E$1="SK",AE7864,""))</f>
        <v>9.1303800000000006</v>
      </c>
    </row>
    <row r="7865" spans="27:32" ht="15">
      <c r="AA7865" s="463" t="s">
        <v>1320</v>
      </c>
      <c r="AB7865" s="462" t="s">
        <v>23395</v>
      </c>
      <c r="AC7865" s="462" t="s">
        <v>23396</v>
      </c>
      <c r="AD7865" s="464">
        <v>189.80663999999999</v>
      </c>
      <c r="AE7865" s="465">
        <v>9.1303800000000006</v>
      </c>
      <c r="AF7865" s="86">
        <f>IF(verze!$E$1="CZK",AD7865,IF(verze!$E$1="SK",AE7865,""))</f>
        <v>9.1303800000000006</v>
      </c>
    </row>
    <row r="7866" spans="27:32" ht="15">
      <c r="AA7866" s="463" t="s">
        <v>1320</v>
      </c>
      <c r="AB7866" s="462" t="s">
        <v>23397</v>
      </c>
      <c r="AC7866" s="462" t="s">
        <v>23398</v>
      </c>
      <c r="AD7866" s="464">
        <v>199.97499999999999</v>
      </c>
      <c r="AE7866" s="465">
        <v>9.6195199999999996</v>
      </c>
      <c r="AF7866" s="86">
        <f>IF(verze!$E$1="CZK",AD7866,IF(verze!$E$1="SK",AE7866,""))</f>
        <v>9.6195199999999996</v>
      </c>
    </row>
    <row r="7867" spans="27:32" ht="15">
      <c r="AA7867" s="463" t="s">
        <v>1320</v>
      </c>
      <c r="AB7867" s="462" t="s">
        <v>23399</v>
      </c>
      <c r="AC7867" s="462" t="s">
        <v>23400</v>
      </c>
      <c r="AD7867" s="464">
        <v>199.97499999999999</v>
      </c>
      <c r="AE7867" s="465">
        <v>9.6195199999999996</v>
      </c>
      <c r="AF7867" s="86">
        <f>IF(verze!$E$1="CZK",AD7867,IF(verze!$E$1="SK",AE7867,""))</f>
        <v>9.6195199999999996</v>
      </c>
    </row>
    <row r="7868" spans="27:32" ht="15">
      <c r="AA7868" s="463" t="s">
        <v>1320</v>
      </c>
      <c r="AB7868" s="462" t="s">
        <v>23401</v>
      </c>
      <c r="AC7868" s="462" t="s">
        <v>23402</v>
      </c>
      <c r="AD7868" s="464">
        <v>199.97499999999999</v>
      </c>
      <c r="AE7868" s="465">
        <v>9.6195199999999996</v>
      </c>
      <c r="AF7868" s="86">
        <f>IF(verze!$E$1="CZK",AD7868,IF(verze!$E$1="SK",AE7868,""))</f>
        <v>9.6195199999999996</v>
      </c>
    </row>
    <row r="7869" spans="27:32" ht="15">
      <c r="AA7869" s="463" t="s">
        <v>1320</v>
      </c>
      <c r="AB7869" s="462" t="s">
        <v>23403</v>
      </c>
      <c r="AC7869" s="462" t="s">
        <v>23404</v>
      </c>
      <c r="AD7869" s="464">
        <v>201.8536</v>
      </c>
      <c r="AE7869" s="465">
        <v>9.5050799999999995</v>
      </c>
      <c r="AF7869" s="86">
        <f>IF(verze!$E$1="CZK",AD7869,IF(verze!$E$1="SK",AE7869,""))</f>
        <v>9.5050799999999995</v>
      </c>
    </row>
    <row r="7870" spans="27:32" ht="15">
      <c r="AA7870" s="463" t="s">
        <v>1320</v>
      </c>
      <c r="AB7870" s="462" t="s">
        <v>23405</v>
      </c>
      <c r="AC7870" s="462" t="s">
        <v>23406</v>
      </c>
      <c r="AD7870" s="464">
        <v>201.8536</v>
      </c>
      <c r="AE7870" s="465">
        <v>9.5050799999999995</v>
      </c>
      <c r="AF7870" s="86">
        <f>IF(verze!$E$1="CZK",AD7870,IF(verze!$E$1="SK",AE7870,""))</f>
        <v>9.5050799999999995</v>
      </c>
    </row>
    <row r="7871" spans="27:32" ht="15">
      <c r="AA7871" s="463" t="s">
        <v>1320</v>
      </c>
      <c r="AB7871" s="462" t="s">
        <v>23407</v>
      </c>
      <c r="AC7871" s="462" t="s">
        <v>23408</v>
      </c>
      <c r="AD7871" s="464">
        <v>201.8536</v>
      </c>
      <c r="AE7871" s="465">
        <v>9.5050799999999995</v>
      </c>
      <c r="AF7871" s="86">
        <f>IF(verze!$E$1="CZK",AD7871,IF(verze!$E$1="SK",AE7871,""))</f>
        <v>9.5050799999999995</v>
      </c>
    </row>
    <row r="7872" spans="27:32" ht="15">
      <c r="AA7872" s="463" t="s">
        <v>1320</v>
      </c>
      <c r="AB7872" s="462" t="s">
        <v>23409</v>
      </c>
      <c r="AC7872" s="462" t="s">
        <v>23410</v>
      </c>
      <c r="AD7872" s="464">
        <v>208.92526000000001</v>
      </c>
      <c r="AE7872" s="465">
        <v>9.8378800000000002</v>
      </c>
      <c r="AF7872" s="86">
        <f>IF(verze!$E$1="CZK",AD7872,IF(verze!$E$1="SK",AE7872,""))</f>
        <v>9.8378800000000002</v>
      </c>
    </row>
    <row r="7873" spans="27:32" ht="15">
      <c r="AA7873" s="463" t="s">
        <v>1320</v>
      </c>
      <c r="AB7873" s="462" t="s">
        <v>23411</v>
      </c>
      <c r="AC7873" s="462" t="s">
        <v>23412</v>
      </c>
      <c r="AD7873" s="464">
        <v>208.92526000000001</v>
      </c>
      <c r="AE7873" s="465">
        <v>9.8378800000000002</v>
      </c>
      <c r="AF7873" s="86">
        <f>IF(verze!$E$1="CZK",AD7873,IF(verze!$E$1="SK",AE7873,""))</f>
        <v>9.8378800000000002</v>
      </c>
    </row>
    <row r="7874" spans="27:32" ht="15">
      <c r="AA7874" s="463" t="s">
        <v>1320</v>
      </c>
      <c r="AB7874" s="462" t="s">
        <v>23413</v>
      </c>
      <c r="AC7874" s="462" t="s">
        <v>23414</v>
      </c>
      <c r="AD7874" s="464">
        <v>208.92526000000001</v>
      </c>
      <c r="AE7874" s="465">
        <v>9.8378800000000002</v>
      </c>
      <c r="AF7874" s="86">
        <f>IF(verze!$E$1="CZK",AD7874,IF(verze!$E$1="SK",AE7874,""))</f>
        <v>9.8378800000000002</v>
      </c>
    </row>
    <row r="7875" spans="27:32" ht="15">
      <c r="AA7875" s="463" t="s">
        <v>1320</v>
      </c>
      <c r="AB7875" s="462" t="s">
        <v>23415</v>
      </c>
      <c r="AC7875" s="462" t="s">
        <v>23416</v>
      </c>
      <c r="AD7875" s="464">
        <v>229.03471999999999</v>
      </c>
      <c r="AE7875" s="465">
        <v>11.0174</v>
      </c>
      <c r="AF7875" s="86">
        <f>IF(verze!$E$1="CZK",AD7875,IF(verze!$E$1="SK",AE7875,""))</f>
        <v>11.0174</v>
      </c>
    </row>
    <row r="7876" spans="27:32" ht="15">
      <c r="AA7876" s="463" t="s">
        <v>1320</v>
      </c>
      <c r="AB7876" s="462" t="s">
        <v>23417</v>
      </c>
      <c r="AC7876" s="462" t="s">
        <v>23418</v>
      </c>
      <c r="AD7876" s="464">
        <v>229.03471999999999</v>
      </c>
      <c r="AE7876" s="465">
        <v>11.0174</v>
      </c>
      <c r="AF7876" s="86">
        <f>IF(verze!$E$1="CZK",AD7876,IF(verze!$E$1="SK",AE7876,""))</f>
        <v>11.0174</v>
      </c>
    </row>
    <row r="7877" spans="27:32" ht="15">
      <c r="AA7877" s="463" t="s">
        <v>1320</v>
      </c>
      <c r="AB7877" s="462" t="s">
        <v>23419</v>
      </c>
      <c r="AC7877" s="462" t="s">
        <v>23420</v>
      </c>
      <c r="AD7877" s="464">
        <v>229.03471999999999</v>
      </c>
      <c r="AE7877" s="465">
        <v>11.0174</v>
      </c>
      <c r="AF7877" s="86">
        <f>IF(verze!$E$1="CZK",AD7877,IF(verze!$E$1="SK",AE7877,""))</f>
        <v>11.0174</v>
      </c>
    </row>
    <row r="7878" spans="27:32" ht="15">
      <c r="AA7878" s="463" t="s">
        <v>1320</v>
      </c>
      <c r="AB7878" s="462" t="s">
        <v>23421</v>
      </c>
      <c r="AC7878" s="462" t="s">
        <v>23422</v>
      </c>
      <c r="AD7878" s="464">
        <v>213.66908000000001</v>
      </c>
      <c r="AE7878" s="465">
        <v>10.278280000000001</v>
      </c>
      <c r="AF7878" s="86">
        <f>IF(verze!$E$1="CZK",AD7878,IF(verze!$E$1="SK",AE7878,""))</f>
        <v>10.278280000000001</v>
      </c>
    </row>
    <row r="7879" spans="27:32" ht="15">
      <c r="AA7879" s="463" t="s">
        <v>1320</v>
      </c>
      <c r="AB7879" s="462" t="s">
        <v>23423</v>
      </c>
      <c r="AC7879" s="462" t="s">
        <v>23424</v>
      </c>
      <c r="AD7879" s="464">
        <v>213.66908000000001</v>
      </c>
      <c r="AE7879" s="465">
        <v>10.278280000000001</v>
      </c>
      <c r="AF7879" s="86">
        <f>IF(verze!$E$1="CZK",AD7879,IF(verze!$E$1="SK",AE7879,""))</f>
        <v>10.278280000000001</v>
      </c>
    </row>
    <row r="7880" spans="27:32" ht="15">
      <c r="AA7880" s="463" t="s">
        <v>1320</v>
      </c>
      <c r="AB7880" s="462" t="s">
        <v>23425</v>
      </c>
      <c r="AC7880" s="462" t="s">
        <v>23426</v>
      </c>
      <c r="AD7880" s="464">
        <v>213.66908000000001</v>
      </c>
      <c r="AE7880" s="465">
        <v>10.278280000000001</v>
      </c>
      <c r="AF7880" s="86">
        <f>IF(verze!$E$1="CZK",AD7880,IF(verze!$E$1="SK",AE7880,""))</f>
        <v>10.278280000000001</v>
      </c>
    </row>
    <row r="7881" spans="27:32" ht="15">
      <c r="AA7881" s="463" t="s">
        <v>1320</v>
      </c>
      <c r="AB7881" s="462" t="s">
        <v>23427</v>
      </c>
      <c r="AC7881" s="462" t="s">
        <v>23428</v>
      </c>
      <c r="AD7881" s="464">
        <v>221.16473999999999</v>
      </c>
      <c r="AE7881" s="465">
        <v>10.638859999999999</v>
      </c>
      <c r="AF7881" s="86">
        <f>IF(verze!$E$1="CZK",AD7881,IF(verze!$E$1="SK",AE7881,""))</f>
        <v>10.638859999999999</v>
      </c>
    </row>
    <row r="7882" spans="27:32" ht="15">
      <c r="AA7882" s="463" t="s">
        <v>1320</v>
      </c>
      <c r="AB7882" s="462" t="s">
        <v>23429</v>
      </c>
      <c r="AC7882" s="462" t="s">
        <v>23430</v>
      </c>
      <c r="AD7882" s="464">
        <v>221.16473999999999</v>
      </c>
      <c r="AE7882" s="465">
        <v>10.638859999999999</v>
      </c>
      <c r="AF7882" s="86">
        <f>IF(verze!$E$1="CZK",AD7882,IF(verze!$E$1="SK",AE7882,""))</f>
        <v>10.638859999999999</v>
      </c>
    </row>
    <row r="7883" spans="27:32" ht="15">
      <c r="AA7883" s="463" t="s">
        <v>1320</v>
      </c>
      <c r="AB7883" s="462" t="s">
        <v>23431</v>
      </c>
      <c r="AC7883" s="462" t="s">
        <v>23432</v>
      </c>
      <c r="AD7883" s="464">
        <v>221.16473999999999</v>
      </c>
      <c r="AE7883" s="465">
        <v>10.638859999999999</v>
      </c>
      <c r="AF7883" s="86">
        <f>IF(verze!$E$1="CZK",AD7883,IF(verze!$E$1="SK",AE7883,""))</f>
        <v>10.638859999999999</v>
      </c>
    </row>
    <row r="7884" spans="27:32" ht="15">
      <c r="AA7884" s="463" t="s">
        <v>1320</v>
      </c>
      <c r="AB7884" s="462" t="s">
        <v>23433</v>
      </c>
      <c r="AC7884" s="462" t="s">
        <v>23434</v>
      </c>
      <c r="AD7884" s="464">
        <v>1237.0040100000001</v>
      </c>
      <c r="AE7884" s="465">
        <v>59.504339999999999</v>
      </c>
      <c r="AF7884" s="86">
        <f>IF(verze!$E$1="CZK",AD7884,IF(verze!$E$1="SK",AE7884,""))</f>
        <v>59.504339999999999</v>
      </c>
    </row>
    <row r="7885" spans="27:32" ht="15">
      <c r="AA7885" s="463" t="s">
        <v>1320</v>
      </c>
      <c r="AB7885" s="462" t="s">
        <v>23435</v>
      </c>
      <c r="AC7885" s="462" t="s">
        <v>23436</v>
      </c>
      <c r="AD7885" s="464">
        <v>1237.0040100000001</v>
      </c>
      <c r="AE7885" s="465">
        <v>59.504339999999999</v>
      </c>
      <c r="AF7885" s="86">
        <f>IF(verze!$E$1="CZK",AD7885,IF(verze!$E$1="SK",AE7885,""))</f>
        <v>59.504339999999999</v>
      </c>
    </row>
    <row r="7886" spans="27:32" ht="15">
      <c r="AA7886" s="463" t="s">
        <v>1320</v>
      </c>
      <c r="AB7886" s="462" t="s">
        <v>23437</v>
      </c>
      <c r="AC7886" s="462" t="s">
        <v>23438</v>
      </c>
      <c r="AD7886" s="464">
        <v>1237.0040100000001</v>
      </c>
      <c r="AE7886" s="465">
        <v>59.504339999999999</v>
      </c>
      <c r="AF7886" s="86">
        <f>IF(verze!$E$1="CZK",AD7886,IF(verze!$E$1="SK",AE7886,""))</f>
        <v>59.504339999999999</v>
      </c>
    </row>
    <row r="7887" spans="27:32" ht="15">
      <c r="AA7887" s="463" t="s">
        <v>1320</v>
      </c>
      <c r="AB7887" s="462" t="s">
        <v>23439</v>
      </c>
      <c r="AC7887" s="462" t="s">
        <v>23440</v>
      </c>
      <c r="AD7887" s="464">
        <v>1535.6959899999999</v>
      </c>
      <c r="AE7887" s="465">
        <v>73.872529999999998</v>
      </c>
      <c r="AF7887" s="86">
        <f>IF(verze!$E$1="CZK",AD7887,IF(verze!$E$1="SK",AE7887,""))</f>
        <v>73.872529999999998</v>
      </c>
    </row>
    <row r="7888" spans="27:32" ht="15">
      <c r="AA7888" s="463" t="s">
        <v>1320</v>
      </c>
      <c r="AB7888" s="462" t="s">
        <v>23441</v>
      </c>
      <c r="AC7888" s="462" t="s">
        <v>23442</v>
      </c>
      <c r="AD7888" s="464">
        <v>1237.0040100000001</v>
      </c>
      <c r="AE7888" s="465">
        <v>59.504339999999999</v>
      </c>
      <c r="AF7888" s="86">
        <f>IF(verze!$E$1="CZK",AD7888,IF(verze!$E$1="SK",AE7888,""))</f>
        <v>59.504339999999999</v>
      </c>
    </row>
    <row r="7889" spans="27:32" ht="15">
      <c r="AA7889" s="463" t="s">
        <v>1320</v>
      </c>
      <c r="AB7889" s="462" t="s">
        <v>23443</v>
      </c>
      <c r="AC7889" s="462" t="s">
        <v>23444</v>
      </c>
      <c r="AD7889" s="464">
        <v>1179.3436099999999</v>
      </c>
      <c r="AE7889" s="465">
        <v>56.730699999999999</v>
      </c>
      <c r="AF7889" s="86">
        <f>IF(verze!$E$1="CZK",AD7889,IF(verze!$E$1="SK",AE7889,""))</f>
        <v>56.730699999999999</v>
      </c>
    </row>
    <row r="7890" spans="27:32" ht="15">
      <c r="AA7890" s="463" t="s">
        <v>1320</v>
      </c>
      <c r="AB7890" s="462" t="s">
        <v>23445</v>
      </c>
      <c r="AC7890" s="462" t="s">
        <v>23446</v>
      </c>
      <c r="AD7890" s="464">
        <v>1535.6959899999999</v>
      </c>
      <c r="AE7890" s="465">
        <v>73.872529999999998</v>
      </c>
      <c r="AF7890" s="86">
        <f>IF(verze!$E$1="CZK",AD7890,IF(verze!$E$1="SK",AE7890,""))</f>
        <v>73.872529999999998</v>
      </c>
    </row>
    <row r="7891" spans="27:32" ht="15">
      <c r="AA7891" s="463" t="s">
        <v>1320</v>
      </c>
      <c r="AB7891" s="462" t="s">
        <v>23447</v>
      </c>
      <c r="AC7891" s="462" t="s">
        <v>23448</v>
      </c>
      <c r="AD7891" s="464">
        <v>1237.0040100000001</v>
      </c>
      <c r="AE7891" s="465">
        <v>59.504339999999999</v>
      </c>
      <c r="AF7891" s="86">
        <f>IF(verze!$E$1="CZK",AD7891,IF(verze!$E$1="SK",AE7891,""))</f>
        <v>59.504339999999999</v>
      </c>
    </row>
    <row r="7892" spans="27:32" ht="15">
      <c r="AA7892" s="463" t="s">
        <v>1320</v>
      </c>
      <c r="AB7892" s="462" t="s">
        <v>23449</v>
      </c>
      <c r="AC7892" s="462" t="s">
        <v>23450</v>
      </c>
      <c r="AD7892" s="464">
        <v>1179.3436099999999</v>
      </c>
      <c r="AE7892" s="465">
        <v>56.730699999999999</v>
      </c>
      <c r="AF7892" s="86">
        <f>IF(verze!$E$1="CZK",AD7892,IF(verze!$E$1="SK",AE7892,""))</f>
        <v>56.730699999999999</v>
      </c>
    </row>
    <row r="7893" spans="27:32" ht="15">
      <c r="AA7893" s="463" t="s">
        <v>1320</v>
      </c>
      <c r="AB7893" s="462" t="s">
        <v>23451</v>
      </c>
      <c r="AC7893" s="462" t="s">
        <v>23452</v>
      </c>
      <c r="AD7893" s="464">
        <v>1535.6959899999999</v>
      </c>
      <c r="AE7893" s="465">
        <v>73.872529999999998</v>
      </c>
      <c r="AF7893" s="86">
        <f>IF(verze!$E$1="CZK",AD7893,IF(verze!$E$1="SK",AE7893,""))</f>
        <v>73.872529999999998</v>
      </c>
    </row>
    <row r="7894" spans="27:32" ht="15">
      <c r="AA7894" s="463" t="s">
        <v>1320</v>
      </c>
      <c r="AB7894" s="462" t="s">
        <v>23453</v>
      </c>
      <c r="AC7894" s="462" t="s">
        <v>23454</v>
      </c>
      <c r="AD7894" s="464">
        <v>1237.0040100000001</v>
      </c>
      <c r="AE7894" s="465">
        <v>59.504339999999999</v>
      </c>
      <c r="AF7894" s="86">
        <f>IF(verze!$E$1="CZK",AD7894,IF(verze!$E$1="SK",AE7894,""))</f>
        <v>59.504339999999999</v>
      </c>
    </row>
    <row r="7895" spans="27:32" ht="15">
      <c r="AA7895" s="463" t="s">
        <v>1320</v>
      </c>
      <c r="AB7895" s="462" t="s">
        <v>23455</v>
      </c>
      <c r="AC7895" s="462" t="s">
        <v>23456</v>
      </c>
      <c r="AD7895" s="464">
        <v>1179.3436099999999</v>
      </c>
      <c r="AE7895" s="465">
        <v>56.730699999999999</v>
      </c>
      <c r="AF7895" s="86">
        <f>IF(verze!$E$1="CZK",AD7895,IF(verze!$E$1="SK",AE7895,""))</f>
        <v>56.730699999999999</v>
      </c>
    </row>
    <row r="7896" spans="27:32" ht="15">
      <c r="AA7896" s="463" t="s">
        <v>1320</v>
      </c>
      <c r="AB7896" s="462" t="s">
        <v>23457</v>
      </c>
      <c r="AC7896" s="462" t="s">
        <v>23458</v>
      </c>
      <c r="AD7896" s="464">
        <v>0</v>
      </c>
      <c r="AE7896" s="465">
        <v>0</v>
      </c>
      <c r="AF7896" s="86">
        <f>IF(verze!$E$1="CZK",AD7896,IF(verze!$E$1="SK",AE7896,""))</f>
        <v>0</v>
      </c>
    </row>
    <row r="7897" spans="27:32" ht="15">
      <c r="AA7897" s="463" t="s">
        <v>1320</v>
      </c>
      <c r="AB7897" s="462" t="s">
        <v>23459</v>
      </c>
      <c r="AC7897" s="462" t="s">
        <v>23460</v>
      </c>
      <c r="AD7897" s="464">
        <v>1367.5249899999999</v>
      </c>
      <c r="AE7897" s="465">
        <v>65.782920000000004</v>
      </c>
      <c r="AF7897" s="86">
        <f>IF(verze!$E$1="CZK",AD7897,IF(verze!$E$1="SK",AE7897,""))</f>
        <v>65.782920000000004</v>
      </c>
    </row>
    <row r="7898" spans="27:32" ht="15">
      <c r="AA7898" s="463" t="s">
        <v>1320</v>
      </c>
      <c r="AB7898" s="462" t="s">
        <v>23461</v>
      </c>
      <c r="AC7898" s="462" t="s">
        <v>23462</v>
      </c>
      <c r="AD7898" s="464">
        <v>1314.1852899999999</v>
      </c>
      <c r="AE7898" s="465">
        <v>63.217059999999996</v>
      </c>
      <c r="AF7898" s="86">
        <f>IF(verze!$E$1="CZK",AD7898,IF(verze!$E$1="SK",AE7898,""))</f>
        <v>63.217059999999996</v>
      </c>
    </row>
    <row r="7899" spans="27:32" ht="15">
      <c r="AA7899" s="463" t="s">
        <v>1320</v>
      </c>
      <c r="AB7899" s="462" t="s">
        <v>23463</v>
      </c>
      <c r="AC7899" s="462" t="s">
        <v>23464</v>
      </c>
      <c r="AD7899" s="464">
        <v>0</v>
      </c>
      <c r="AE7899" s="465">
        <v>0</v>
      </c>
      <c r="AF7899" s="86">
        <f>IF(verze!$E$1="CZK",AD7899,IF(verze!$E$1="SK",AE7899,""))</f>
        <v>0</v>
      </c>
    </row>
    <row r="7900" spans="27:32" ht="15">
      <c r="AA7900" s="463" t="s">
        <v>1320</v>
      </c>
      <c r="AB7900" s="462" t="s">
        <v>23465</v>
      </c>
      <c r="AC7900" s="462" t="s">
        <v>23466</v>
      </c>
      <c r="AD7900" s="464">
        <v>1367.5249899999999</v>
      </c>
      <c r="AE7900" s="465">
        <v>65.782920000000004</v>
      </c>
      <c r="AF7900" s="86">
        <f>IF(verze!$E$1="CZK",AD7900,IF(verze!$E$1="SK",AE7900,""))</f>
        <v>65.782920000000004</v>
      </c>
    </row>
    <row r="7901" spans="27:32" ht="15">
      <c r="AA7901" s="463" t="s">
        <v>1320</v>
      </c>
      <c r="AB7901" s="462" t="s">
        <v>23467</v>
      </c>
      <c r="AC7901" s="462" t="s">
        <v>23468</v>
      </c>
      <c r="AD7901" s="464">
        <v>1314.1852899999999</v>
      </c>
      <c r="AE7901" s="465">
        <v>63.217059999999996</v>
      </c>
      <c r="AF7901" s="86">
        <f>IF(verze!$E$1="CZK",AD7901,IF(verze!$E$1="SK",AE7901,""))</f>
        <v>63.217059999999996</v>
      </c>
    </row>
    <row r="7902" spans="27:32" ht="15">
      <c r="AA7902" s="463" t="s">
        <v>1320</v>
      </c>
      <c r="AB7902" s="462" t="s">
        <v>23469</v>
      </c>
      <c r="AC7902" s="462" t="s">
        <v>23470</v>
      </c>
      <c r="AD7902" s="464">
        <v>0</v>
      </c>
      <c r="AE7902" s="465">
        <v>0</v>
      </c>
      <c r="AF7902" s="86">
        <f>IF(verze!$E$1="CZK",AD7902,IF(verze!$E$1="SK",AE7902,""))</f>
        <v>0</v>
      </c>
    </row>
    <row r="7903" spans="27:32" ht="15">
      <c r="AA7903" s="463" t="s">
        <v>1320</v>
      </c>
      <c r="AB7903" s="462" t="s">
        <v>23471</v>
      </c>
      <c r="AC7903" s="462" t="s">
        <v>23472</v>
      </c>
      <c r="AD7903" s="464">
        <v>1367.5249899999999</v>
      </c>
      <c r="AE7903" s="465">
        <v>65.782920000000004</v>
      </c>
      <c r="AF7903" s="86">
        <f>IF(verze!$E$1="CZK",AD7903,IF(verze!$E$1="SK",AE7903,""))</f>
        <v>65.782920000000004</v>
      </c>
    </row>
    <row r="7904" spans="27:32" ht="15">
      <c r="AA7904" s="463" t="s">
        <v>1320</v>
      </c>
      <c r="AB7904" s="462" t="s">
        <v>23473</v>
      </c>
      <c r="AC7904" s="462" t="s">
        <v>23474</v>
      </c>
      <c r="AD7904" s="464">
        <v>1314.1852899999999</v>
      </c>
      <c r="AE7904" s="465">
        <v>63.217059999999996</v>
      </c>
      <c r="AF7904" s="86">
        <f>IF(verze!$E$1="CZK",AD7904,IF(verze!$E$1="SK",AE7904,""))</f>
        <v>63.217059999999996</v>
      </c>
    </row>
    <row r="7905" spans="27:32" ht="15">
      <c r="AA7905" s="463" t="s">
        <v>1320</v>
      </c>
      <c r="AB7905" s="462" t="s">
        <v>23475</v>
      </c>
      <c r="AC7905" s="462" t="s">
        <v>23476</v>
      </c>
      <c r="AD7905" s="464">
        <v>1552.39654</v>
      </c>
      <c r="AE7905" s="465">
        <v>74.675910000000002</v>
      </c>
      <c r="AF7905" s="86">
        <f>IF(verze!$E$1="CZK",AD7905,IF(verze!$E$1="SK",AE7905,""))</f>
        <v>74.675910000000002</v>
      </c>
    </row>
    <row r="7906" spans="27:32" ht="15">
      <c r="AA7906" s="463" t="s">
        <v>1320</v>
      </c>
      <c r="AB7906" s="462" t="s">
        <v>23477</v>
      </c>
      <c r="AC7906" s="462" t="s">
        <v>23478</v>
      </c>
      <c r="AD7906" s="464">
        <v>1259.75944</v>
      </c>
      <c r="AE7906" s="465">
        <v>60.599029999999999</v>
      </c>
      <c r="AF7906" s="86">
        <f>IF(verze!$E$1="CZK",AD7906,IF(verze!$E$1="SK",AE7906,""))</f>
        <v>60.599029999999999</v>
      </c>
    </row>
    <row r="7907" spans="27:32" ht="15">
      <c r="AA7907" s="463" t="s">
        <v>1320</v>
      </c>
      <c r="AB7907" s="462" t="s">
        <v>23479</v>
      </c>
      <c r="AC7907" s="462" t="s">
        <v>23480</v>
      </c>
      <c r="AD7907" s="464">
        <v>1202.09492</v>
      </c>
      <c r="AE7907" s="465">
        <v>57.825130000000001</v>
      </c>
      <c r="AF7907" s="86">
        <f>IF(verze!$E$1="CZK",AD7907,IF(verze!$E$1="SK",AE7907,""))</f>
        <v>57.825130000000001</v>
      </c>
    </row>
    <row r="7908" spans="27:32" ht="15">
      <c r="AA7908" s="463" t="s">
        <v>1320</v>
      </c>
      <c r="AB7908" s="462" t="s">
        <v>23481</v>
      </c>
      <c r="AC7908" s="462" t="s">
        <v>23482</v>
      </c>
      <c r="AD7908" s="464">
        <v>1552.39654</v>
      </c>
      <c r="AE7908" s="465">
        <v>74.675910000000002</v>
      </c>
      <c r="AF7908" s="86">
        <f>IF(verze!$E$1="CZK",AD7908,IF(verze!$E$1="SK",AE7908,""))</f>
        <v>74.675910000000002</v>
      </c>
    </row>
    <row r="7909" spans="27:32" ht="15">
      <c r="AA7909" s="463" t="s">
        <v>1320</v>
      </c>
      <c r="AB7909" s="462" t="s">
        <v>23483</v>
      </c>
      <c r="AC7909" s="462" t="s">
        <v>23484</v>
      </c>
      <c r="AD7909" s="464">
        <v>1259.75944</v>
      </c>
      <c r="AE7909" s="465">
        <v>60.599029999999999</v>
      </c>
      <c r="AF7909" s="86">
        <f>IF(verze!$E$1="CZK",AD7909,IF(verze!$E$1="SK",AE7909,""))</f>
        <v>60.599029999999999</v>
      </c>
    </row>
    <row r="7910" spans="27:32" ht="15">
      <c r="AA7910" s="463" t="s">
        <v>1320</v>
      </c>
      <c r="AB7910" s="462" t="s">
        <v>23485</v>
      </c>
      <c r="AC7910" s="462" t="s">
        <v>23486</v>
      </c>
      <c r="AD7910" s="464">
        <v>1202.09492</v>
      </c>
      <c r="AE7910" s="465">
        <v>57.825130000000001</v>
      </c>
      <c r="AF7910" s="86">
        <f>IF(verze!$E$1="CZK",AD7910,IF(verze!$E$1="SK",AE7910,""))</f>
        <v>57.825130000000001</v>
      </c>
    </row>
    <row r="7911" spans="27:32" ht="15">
      <c r="AA7911" s="463" t="s">
        <v>1320</v>
      </c>
      <c r="AB7911" s="462" t="s">
        <v>23487</v>
      </c>
      <c r="AC7911" s="462" t="s">
        <v>23488</v>
      </c>
      <c r="AD7911" s="464">
        <v>1552.39654</v>
      </c>
      <c r="AE7911" s="465">
        <v>74.675910000000002</v>
      </c>
      <c r="AF7911" s="86">
        <f>IF(verze!$E$1="CZK",AD7911,IF(verze!$E$1="SK",AE7911,""))</f>
        <v>74.675910000000002</v>
      </c>
    </row>
    <row r="7912" spans="27:32" ht="15">
      <c r="AA7912" s="463" t="s">
        <v>1320</v>
      </c>
      <c r="AB7912" s="462" t="s">
        <v>23489</v>
      </c>
      <c r="AC7912" s="462" t="s">
        <v>23490</v>
      </c>
      <c r="AD7912" s="464">
        <v>1259.75944</v>
      </c>
      <c r="AE7912" s="465">
        <v>60.599029999999999</v>
      </c>
      <c r="AF7912" s="86">
        <f>IF(verze!$E$1="CZK",AD7912,IF(verze!$E$1="SK",AE7912,""))</f>
        <v>60.599029999999999</v>
      </c>
    </row>
    <row r="7913" spans="27:32" ht="15">
      <c r="AA7913" s="463" t="s">
        <v>1320</v>
      </c>
      <c r="AB7913" s="462" t="s">
        <v>23491</v>
      </c>
      <c r="AC7913" s="462" t="s">
        <v>23492</v>
      </c>
      <c r="AD7913" s="464">
        <v>1202.09492</v>
      </c>
      <c r="AE7913" s="465">
        <v>57.825130000000001</v>
      </c>
      <c r="AF7913" s="86">
        <f>IF(verze!$E$1="CZK",AD7913,IF(verze!$E$1="SK",AE7913,""))</f>
        <v>57.825130000000001</v>
      </c>
    </row>
    <row r="7914" spans="27:32" ht="15">
      <c r="AA7914" s="463" t="s">
        <v>1320</v>
      </c>
      <c r="AB7914" s="462" t="s">
        <v>23493</v>
      </c>
      <c r="AC7914" s="462" t="s">
        <v>23494</v>
      </c>
      <c r="AD7914" s="464">
        <v>1660.05963</v>
      </c>
      <c r="AE7914" s="465">
        <v>79.854889999999997</v>
      </c>
      <c r="AF7914" s="86">
        <f>IF(verze!$E$1="CZK",AD7914,IF(verze!$E$1="SK",AE7914,""))</f>
        <v>79.854889999999997</v>
      </c>
    </row>
    <row r="7915" spans="27:32" ht="15">
      <c r="AA7915" s="463" t="s">
        <v>1320</v>
      </c>
      <c r="AB7915" s="462" t="s">
        <v>23495</v>
      </c>
      <c r="AC7915" s="462" t="s">
        <v>23496</v>
      </c>
      <c r="AD7915" s="464">
        <v>1389.3721800000001</v>
      </c>
      <c r="AE7915" s="465">
        <v>66.833849999999998</v>
      </c>
      <c r="AF7915" s="86">
        <f>IF(verze!$E$1="CZK",AD7915,IF(verze!$E$1="SK",AE7915,""))</f>
        <v>66.833849999999998</v>
      </c>
    </row>
    <row r="7916" spans="27:32" ht="15">
      <c r="AA7916" s="463" t="s">
        <v>1320</v>
      </c>
      <c r="AB7916" s="462" t="s">
        <v>23497</v>
      </c>
      <c r="AC7916" s="462" t="s">
        <v>23498</v>
      </c>
      <c r="AD7916" s="464">
        <v>1461.1090200000001</v>
      </c>
      <c r="AE7916" s="465">
        <v>70.284649999999999</v>
      </c>
      <c r="AF7916" s="86">
        <f>IF(verze!$E$1="CZK",AD7916,IF(verze!$E$1="SK",AE7916,""))</f>
        <v>70.284649999999999</v>
      </c>
    </row>
    <row r="7917" spans="27:32" ht="15">
      <c r="AA7917" s="463" t="s">
        <v>1320</v>
      </c>
      <c r="AB7917" s="462" t="s">
        <v>23499</v>
      </c>
      <c r="AC7917" s="462" t="s">
        <v>23500</v>
      </c>
      <c r="AD7917" s="464">
        <v>1660.05963</v>
      </c>
      <c r="AE7917" s="465">
        <v>79.854889999999997</v>
      </c>
      <c r="AF7917" s="86">
        <f>IF(verze!$E$1="CZK",AD7917,IF(verze!$E$1="SK",AE7917,""))</f>
        <v>79.854889999999997</v>
      </c>
    </row>
    <row r="7918" spans="27:32" ht="15">
      <c r="AA7918" s="463" t="s">
        <v>1320</v>
      </c>
      <c r="AB7918" s="462" t="s">
        <v>23501</v>
      </c>
      <c r="AC7918" s="462" t="s">
        <v>23502</v>
      </c>
      <c r="AD7918" s="464">
        <v>1389.3721800000001</v>
      </c>
      <c r="AE7918" s="465">
        <v>66.833849999999998</v>
      </c>
      <c r="AF7918" s="86">
        <f>IF(verze!$E$1="CZK",AD7918,IF(verze!$E$1="SK",AE7918,""))</f>
        <v>66.833849999999998</v>
      </c>
    </row>
    <row r="7919" spans="27:32" ht="15">
      <c r="AA7919" s="463" t="s">
        <v>1320</v>
      </c>
      <c r="AB7919" s="462" t="s">
        <v>23503</v>
      </c>
      <c r="AC7919" s="462" t="s">
        <v>23504</v>
      </c>
      <c r="AD7919" s="464">
        <v>1461.1090200000001</v>
      </c>
      <c r="AE7919" s="465">
        <v>70.284649999999999</v>
      </c>
      <c r="AF7919" s="86">
        <f>IF(verze!$E$1="CZK",AD7919,IF(verze!$E$1="SK",AE7919,""))</f>
        <v>70.284649999999999</v>
      </c>
    </row>
    <row r="7920" spans="27:32" ht="15">
      <c r="AA7920" s="463" t="s">
        <v>1320</v>
      </c>
      <c r="AB7920" s="462" t="s">
        <v>23505</v>
      </c>
      <c r="AC7920" s="462" t="s">
        <v>23506</v>
      </c>
      <c r="AD7920" s="464">
        <v>1660.05963</v>
      </c>
      <c r="AE7920" s="465">
        <v>79.854889999999997</v>
      </c>
      <c r="AF7920" s="86">
        <f>IF(verze!$E$1="CZK",AD7920,IF(verze!$E$1="SK",AE7920,""))</f>
        <v>79.854889999999997</v>
      </c>
    </row>
    <row r="7921" spans="27:32" ht="15">
      <c r="AA7921" s="463" t="s">
        <v>1320</v>
      </c>
      <c r="AB7921" s="462" t="s">
        <v>23507</v>
      </c>
      <c r="AC7921" s="462" t="s">
        <v>23508</v>
      </c>
      <c r="AD7921" s="464">
        <v>1389.3721800000001</v>
      </c>
      <c r="AE7921" s="465">
        <v>66.833849999999998</v>
      </c>
      <c r="AF7921" s="86">
        <f>IF(verze!$E$1="CZK",AD7921,IF(verze!$E$1="SK",AE7921,""))</f>
        <v>66.833849999999998</v>
      </c>
    </row>
    <row r="7922" spans="27:32" ht="15">
      <c r="AA7922" s="463" t="s">
        <v>1320</v>
      </c>
      <c r="AB7922" s="462" t="s">
        <v>23509</v>
      </c>
      <c r="AC7922" s="462" t="s">
        <v>23510</v>
      </c>
      <c r="AD7922" s="464">
        <v>1461.1090200000001</v>
      </c>
      <c r="AE7922" s="465">
        <v>70.284649999999999</v>
      </c>
      <c r="AF7922" s="86">
        <f>IF(verze!$E$1="CZK",AD7922,IF(verze!$E$1="SK",AE7922,""))</f>
        <v>70.284649999999999</v>
      </c>
    </row>
    <row r="7923" spans="27:32" ht="15">
      <c r="AA7923" s="463" t="s">
        <v>1320</v>
      </c>
      <c r="AB7923" s="462" t="s">
        <v>23511</v>
      </c>
      <c r="AC7923" s="462" t="s">
        <v>23512</v>
      </c>
      <c r="AD7923" s="464">
        <v>1449.0011199999999</v>
      </c>
      <c r="AE7923" s="465">
        <v>69.702200000000005</v>
      </c>
      <c r="AF7923" s="86">
        <f>IF(verze!$E$1="CZK",AD7923,IF(verze!$E$1="SK",AE7923,""))</f>
        <v>69.702200000000005</v>
      </c>
    </row>
    <row r="7924" spans="27:32" ht="15">
      <c r="AA7924" s="463" t="s">
        <v>1320</v>
      </c>
      <c r="AB7924" s="462" t="s">
        <v>23513</v>
      </c>
      <c r="AC7924" s="462" t="s">
        <v>23514</v>
      </c>
      <c r="AD7924" s="464">
        <v>1265.00036</v>
      </c>
      <c r="AE7924" s="465">
        <v>60.43242</v>
      </c>
      <c r="AF7924" s="86">
        <f>IF(verze!$E$1="CZK",AD7924,IF(verze!$E$1="SK",AE7924,""))</f>
        <v>60.43242</v>
      </c>
    </row>
    <row r="7925" spans="27:32" ht="15">
      <c r="AA7925" s="463" t="s">
        <v>1320</v>
      </c>
      <c r="AB7925" s="462" t="s">
        <v>23515</v>
      </c>
      <c r="AC7925" s="462" t="s">
        <v>23516</v>
      </c>
      <c r="AD7925" s="464">
        <v>1211.2239400000001</v>
      </c>
      <c r="AE7925" s="465">
        <v>58.26426</v>
      </c>
      <c r="AF7925" s="86">
        <f>IF(verze!$E$1="CZK",AD7925,IF(verze!$E$1="SK",AE7925,""))</f>
        <v>58.26426</v>
      </c>
    </row>
    <row r="7926" spans="27:32" ht="15">
      <c r="AA7926" s="463" t="s">
        <v>1320</v>
      </c>
      <c r="AB7926" s="462" t="s">
        <v>23517</v>
      </c>
      <c r="AC7926" s="462" t="s">
        <v>23518</v>
      </c>
      <c r="AD7926" s="464">
        <v>1449.0011199999999</v>
      </c>
      <c r="AE7926" s="465">
        <v>69.702200000000005</v>
      </c>
      <c r="AF7926" s="86">
        <f>IF(verze!$E$1="CZK",AD7926,IF(verze!$E$1="SK",AE7926,""))</f>
        <v>69.702200000000005</v>
      </c>
    </row>
    <row r="7927" spans="27:32" ht="15">
      <c r="AA7927" s="463" t="s">
        <v>1320</v>
      </c>
      <c r="AB7927" s="462" t="s">
        <v>23519</v>
      </c>
      <c r="AC7927" s="462" t="s">
        <v>23520</v>
      </c>
      <c r="AD7927" s="464">
        <v>1265.00036</v>
      </c>
      <c r="AE7927" s="465">
        <v>60.43242</v>
      </c>
      <c r="AF7927" s="86">
        <f>IF(verze!$E$1="CZK",AD7927,IF(verze!$E$1="SK",AE7927,""))</f>
        <v>60.43242</v>
      </c>
    </row>
    <row r="7928" spans="27:32" ht="15">
      <c r="AA7928" s="463" t="s">
        <v>1320</v>
      </c>
      <c r="AB7928" s="462" t="s">
        <v>23521</v>
      </c>
      <c r="AC7928" s="462" t="s">
        <v>23522</v>
      </c>
      <c r="AD7928" s="464">
        <v>1211.2239400000001</v>
      </c>
      <c r="AE7928" s="465">
        <v>58.26426</v>
      </c>
      <c r="AF7928" s="86">
        <f>IF(verze!$E$1="CZK",AD7928,IF(verze!$E$1="SK",AE7928,""))</f>
        <v>58.26426</v>
      </c>
    </row>
    <row r="7929" spans="27:32" ht="15">
      <c r="AA7929" s="463" t="s">
        <v>1320</v>
      </c>
      <c r="AB7929" s="462" t="s">
        <v>23523</v>
      </c>
      <c r="AC7929" s="462" t="s">
        <v>23524</v>
      </c>
      <c r="AD7929" s="464">
        <v>1449.0011199999999</v>
      </c>
      <c r="AE7929" s="465">
        <v>69.702200000000005</v>
      </c>
      <c r="AF7929" s="86">
        <f>IF(verze!$E$1="CZK",AD7929,IF(verze!$E$1="SK",AE7929,""))</f>
        <v>69.702200000000005</v>
      </c>
    </row>
    <row r="7930" spans="27:32" ht="15">
      <c r="AA7930" s="463" t="s">
        <v>1320</v>
      </c>
      <c r="AB7930" s="462" t="s">
        <v>23525</v>
      </c>
      <c r="AC7930" s="462" t="s">
        <v>23526</v>
      </c>
      <c r="AD7930" s="464">
        <v>1265.00036</v>
      </c>
      <c r="AE7930" s="465">
        <v>60.43242</v>
      </c>
      <c r="AF7930" s="86">
        <f>IF(verze!$E$1="CZK",AD7930,IF(verze!$E$1="SK",AE7930,""))</f>
        <v>60.43242</v>
      </c>
    </row>
    <row r="7931" spans="27:32" ht="15">
      <c r="AA7931" s="463" t="s">
        <v>1320</v>
      </c>
      <c r="AB7931" s="462" t="s">
        <v>23527</v>
      </c>
      <c r="AC7931" s="462" t="s">
        <v>23528</v>
      </c>
      <c r="AD7931" s="464">
        <v>1211.2239400000001</v>
      </c>
      <c r="AE7931" s="465">
        <v>58.26426</v>
      </c>
      <c r="AF7931" s="86">
        <f>IF(verze!$E$1="CZK",AD7931,IF(verze!$E$1="SK",AE7931,""))</f>
        <v>58.26426</v>
      </c>
    </row>
    <row r="7932" spans="27:32" ht="15">
      <c r="AA7932" s="463" t="s">
        <v>1320</v>
      </c>
      <c r="AB7932" s="462" t="s">
        <v>23529</v>
      </c>
      <c r="AC7932" s="462" t="s">
        <v>23530</v>
      </c>
      <c r="AD7932" s="464">
        <v>1671.66266</v>
      </c>
      <c r="AE7932" s="465">
        <v>80.412999999999997</v>
      </c>
      <c r="AF7932" s="86">
        <f>IF(verze!$E$1="CZK",AD7932,IF(verze!$E$1="SK",AE7932,""))</f>
        <v>80.412999999999997</v>
      </c>
    </row>
    <row r="7933" spans="27:32" ht="15">
      <c r="AA7933" s="463" t="s">
        <v>1320</v>
      </c>
      <c r="AB7933" s="462" t="s">
        <v>23531</v>
      </c>
      <c r="AC7933" s="462" t="s">
        <v>23532</v>
      </c>
      <c r="AD7933" s="464">
        <v>1390.53466</v>
      </c>
      <c r="AE7933" s="465">
        <v>66.34066</v>
      </c>
      <c r="AF7933" s="86">
        <f>IF(verze!$E$1="CZK",AD7933,IF(verze!$E$1="SK",AE7933,""))</f>
        <v>66.34066</v>
      </c>
    </row>
    <row r="7934" spans="27:32" ht="15">
      <c r="AA7934" s="463" t="s">
        <v>1320</v>
      </c>
      <c r="AB7934" s="462" t="s">
        <v>23533</v>
      </c>
      <c r="AC7934" s="462" t="s">
        <v>23534</v>
      </c>
      <c r="AD7934" s="464">
        <v>1351.6359600000001</v>
      </c>
      <c r="AE7934" s="465">
        <v>65.01858</v>
      </c>
      <c r="AF7934" s="86">
        <f>IF(verze!$E$1="CZK",AD7934,IF(verze!$E$1="SK",AE7934,""))</f>
        <v>65.01858</v>
      </c>
    </row>
    <row r="7935" spans="27:32" ht="15">
      <c r="AA7935" s="463" t="s">
        <v>1320</v>
      </c>
      <c r="AB7935" s="462" t="s">
        <v>23535</v>
      </c>
      <c r="AC7935" s="462" t="s">
        <v>23536</v>
      </c>
      <c r="AD7935" s="464">
        <v>1671.66266</v>
      </c>
      <c r="AE7935" s="465">
        <v>80.412999999999997</v>
      </c>
      <c r="AF7935" s="86">
        <f>IF(verze!$E$1="CZK",AD7935,IF(verze!$E$1="SK",AE7935,""))</f>
        <v>80.412999999999997</v>
      </c>
    </row>
    <row r="7936" spans="27:32" ht="15">
      <c r="AA7936" s="463" t="s">
        <v>1320</v>
      </c>
      <c r="AB7936" s="462" t="s">
        <v>23537</v>
      </c>
      <c r="AC7936" s="462" t="s">
        <v>23538</v>
      </c>
      <c r="AD7936" s="464">
        <v>1390.53466</v>
      </c>
      <c r="AE7936" s="465">
        <v>66.34066</v>
      </c>
      <c r="AF7936" s="86">
        <f>IF(verze!$E$1="CZK",AD7936,IF(verze!$E$1="SK",AE7936,""))</f>
        <v>66.34066</v>
      </c>
    </row>
    <row r="7937" spans="27:32" ht="15">
      <c r="AA7937" s="463" t="s">
        <v>1320</v>
      </c>
      <c r="AB7937" s="462" t="s">
        <v>23539</v>
      </c>
      <c r="AC7937" s="462" t="s">
        <v>23540</v>
      </c>
      <c r="AD7937" s="464">
        <v>1351.6359600000001</v>
      </c>
      <c r="AE7937" s="465">
        <v>65.01858</v>
      </c>
      <c r="AF7937" s="86">
        <f>IF(verze!$E$1="CZK",AD7937,IF(verze!$E$1="SK",AE7937,""))</f>
        <v>65.01858</v>
      </c>
    </row>
    <row r="7938" spans="27:32" ht="15">
      <c r="AA7938" s="463" t="s">
        <v>1320</v>
      </c>
      <c r="AB7938" s="462" t="s">
        <v>23541</v>
      </c>
      <c r="AC7938" s="462" t="s">
        <v>23542</v>
      </c>
      <c r="AD7938" s="464">
        <v>1671.66266</v>
      </c>
      <c r="AE7938" s="465">
        <v>80.412999999999997</v>
      </c>
      <c r="AF7938" s="86">
        <f>IF(verze!$E$1="CZK",AD7938,IF(verze!$E$1="SK",AE7938,""))</f>
        <v>80.412999999999997</v>
      </c>
    </row>
    <row r="7939" spans="27:32" ht="15">
      <c r="AA7939" s="463" t="s">
        <v>1320</v>
      </c>
      <c r="AB7939" s="462" t="s">
        <v>23543</v>
      </c>
      <c r="AC7939" s="462" t="s">
        <v>23544</v>
      </c>
      <c r="AD7939" s="464">
        <v>1390.53466</v>
      </c>
      <c r="AE7939" s="465">
        <v>66.34066</v>
      </c>
      <c r="AF7939" s="86">
        <f>IF(verze!$E$1="CZK",AD7939,IF(verze!$E$1="SK",AE7939,""))</f>
        <v>66.34066</v>
      </c>
    </row>
    <row r="7940" spans="27:32" ht="15">
      <c r="AA7940" s="463" t="s">
        <v>1320</v>
      </c>
      <c r="AB7940" s="462" t="s">
        <v>23545</v>
      </c>
      <c r="AC7940" s="462" t="s">
        <v>23546</v>
      </c>
      <c r="AD7940" s="464">
        <v>1351.6359600000001</v>
      </c>
      <c r="AE7940" s="465">
        <v>65.01858</v>
      </c>
      <c r="AF7940" s="86">
        <f>IF(verze!$E$1="CZK",AD7940,IF(verze!$E$1="SK",AE7940,""))</f>
        <v>65.01858</v>
      </c>
    </row>
    <row r="7941" spans="27:32" ht="15">
      <c r="AA7941" s="463" t="s">
        <v>1320</v>
      </c>
      <c r="AB7941" s="462" t="s">
        <v>23547</v>
      </c>
      <c r="AC7941" s="462" t="s">
        <v>23548</v>
      </c>
      <c r="AD7941" s="464">
        <v>1588.9248700000001</v>
      </c>
      <c r="AE7941" s="465">
        <v>76.433049999999994</v>
      </c>
      <c r="AF7941" s="86">
        <f>IF(verze!$E$1="CZK",AD7941,IF(verze!$E$1="SK",AE7941,""))</f>
        <v>76.433049999999994</v>
      </c>
    </row>
    <row r="7942" spans="27:32" ht="15">
      <c r="AA7942" s="463" t="s">
        <v>1320</v>
      </c>
      <c r="AB7942" s="462" t="s">
        <v>23549</v>
      </c>
      <c r="AC7942" s="462" t="s">
        <v>23550</v>
      </c>
      <c r="AD7942" s="464">
        <v>1293.6960799999999</v>
      </c>
      <c r="AE7942" s="465">
        <v>61.804029999999997</v>
      </c>
      <c r="AF7942" s="86">
        <f>IF(verze!$E$1="CZK",AD7942,IF(verze!$E$1="SK",AE7942,""))</f>
        <v>61.804029999999997</v>
      </c>
    </row>
    <row r="7943" spans="27:32" ht="15">
      <c r="AA7943" s="463" t="s">
        <v>1320</v>
      </c>
      <c r="AB7943" s="462" t="s">
        <v>23551</v>
      </c>
      <c r="AC7943" s="462" t="s">
        <v>23552</v>
      </c>
      <c r="AD7943" s="464">
        <v>1237.5691999999999</v>
      </c>
      <c r="AE7943" s="465">
        <v>59.162430000000001</v>
      </c>
      <c r="AF7943" s="86">
        <f>IF(verze!$E$1="CZK",AD7943,IF(verze!$E$1="SK",AE7943,""))</f>
        <v>59.162430000000001</v>
      </c>
    </row>
    <row r="7944" spans="27:32" ht="15">
      <c r="AA7944" s="463" t="s">
        <v>1320</v>
      </c>
      <c r="AB7944" s="462" t="s">
        <v>23553</v>
      </c>
      <c r="AC7944" s="462" t="s">
        <v>23554</v>
      </c>
      <c r="AD7944" s="464">
        <v>1588.9248700000001</v>
      </c>
      <c r="AE7944" s="465">
        <v>76.433049999999994</v>
      </c>
      <c r="AF7944" s="86">
        <f>IF(verze!$E$1="CZK",AD7944,IF(verze!$E$1="SK",AE7944,""))</f>
        <v>76.433049999999994</v>
      </c>
    </row>
    <row r="7945" spans="27:32" ht="15">
      <c r="AA7945" s="463" t="s">
        <v>1320</v>
      </c>
      <c r="AB7945" s="462" t="s">
        <v>23555</v>
      </c>
      <c r="AC7945" s="462" t="s">
        <v>23556</v>
      </c>
      <c r="AD7945" s="464">
        <v>1293.6960799999999</v>
      </c>
      <c r="AE7945" s="465">
        <v>61.804029999999997</v>
      </c>
      <c r="AF7945" s="86">
        <f>IF(verze!$E$1="CZK",AD7945,IF(verze!$E$1="SK",AE7945,""))</f>
        <v>61.804029999999997</v>
      </c>
    </row>
    <row r="7946" spans="27:32" ht="15">
      <c r="AA7946" s="463" t="s">
        <v>1320</v>
      </c>
      <c r="AB7946" s="462" t="s">
        <v>23557</v>
      </c>
      <c r="AC7946" s="462" t="s">
        <v>23558</v>
      </c>
      <c r="AD7946" s="464">
        <v>1237.5691999999999</v>
      </c>
      <c r="AE7946" s="465">
        <v>59.162430000000001</v>
      </c>
      <c r="AF7946" s="86">
        <f>IF(verze!$E$1="CZK",AD7946,IF(verze!$E$1="SK",AE7946,""))</f>
        <v>59.162430000000001</v>
      </c>
    </row>
    <row r="7947" spans="27:32" ht="15">
      <c r="AA7947" s="463" t="s">
        <v>1320</v>
      </c>
      <c r="AB7947" s="462" t="s">
        <v>23559</v>
      </c>
      <c r="AC7947" s="462" t="s">
        <v>23560</v>
      </c>
      <c r="AD7947" s="464">
        <v>1588.9248700000001</v>
      </c>
      <c r="AE7947" s="465">
        <v>76.433049999999994</v>
      </c>
      <c r="AF7947" s="86">
        <f>IF(verze!$E$1="CZK",AD7947,IF(verze!$E$1="SK",AE7947,""))</f>
        <v>76.433049999999994</v>
      </c>
    </row>
    <row r="7948" spans="27:32" ht="15">
      <c r="AA7948" s="463" t="s">
        <v>1320</v>
      </c>
      <c r="AB7948" s="462" t="s">
        <v>23561</v>
      </c>
      <c r="AC7948" s="462" t="s">
        <v>23562</v>
      </c>
      <c r="AD7948" s="464">
        <v>1293.6960799999999</v>
      </c>
      <c r="AE7948" s="465">
        <v>61.804029999999997</v>
      </c>
      <c r="AF7948" s="86">
        <f>IF(verze!$E$1="CZK",AD7948,IF(verze!$E$1="SK",AE7948,""))</f>
        <v>61.804029999999997</v>
      </c>
    </row>
    <row r="7949" spans="27:32" ht="15">
      <c r="AA7949" s="463" t="s">
        <v>1320</v>
      </c>
      <c r="AB7949" s="462" t="s">
        <v>23563</v>
      </c>
      <c r="AC7949" s="462" t="s">
        <v>23564</v>
      </c>
      <c r="AD7949" s="464">
        <v>1237.5691999999999</v>
      </c>
      <c r="AE7949" s="465">
        <v>59.162430000000001</v>
      </c>
      <c r="AF7949" s="86">
        <f>IF(verze!$E$1="CZK",AD7949,IF(verze!$E$1="SK",AE7949,""))</f>
        <v>59.162430000000001</v>
      </c>
    </row>
    <row r="7950" spans="27:32" ht="15">
      <c r="AA7950" s="463" t="s">
        <v>1320</v>
      </c>
      <c r="AB7950" s="462" t="s">
        <v>23565</v>
      </c>
      <c r="AC7950" s="462" t="s">
        <v>23566</v>
      </c>
      <c r="AD7950" s="464">
        <v>1695.93932</v>
      </c>
      <c r="AE7950" s="465">
        <v>81.580820000000003</v>
      </c>
      <c r="AF7950" s="86">
        <f>IF(verze!$E$1="CZK",AD7950,IF(verze!$E$1="SK",AE7950,""))</f>
        <v>81.580820000000003</v>
      </c>
    </row>
    <row r="7951" spans="27:32" ht="15">
      <c r="AA7951" s="463" t="s">
        <v>1320</v>
      </c>
      <c r="AB7951" s="462" t="s">
        <v>23567</v>
      </c>
      <c r="AC7951" s="462" t="s">
        <v>23568</v>
      </c>
      <c r="AD7951" s="464">
        <v>1418.5987</v>
      </c>
      <c r="AE7951" s="465">
        <v>67.682509999999994</v>
      </c>
      <c r="AF7951" s="86">
        <f>IF(verze!$E$1="CZK",AD7951,IF(verze!$E$1="SK",AE7951,""))</f>
        <v>67.682509999999994</v>
      </c>
    </row>
    <row r="7952" spans="27:32" ht="15">
      <c r="AA7952" s="463" t="s">
        <v>1320</v>
      </c>
      <c r="AB7952" s="462" t="s">
        <v>23569</v>
      </c>
      <c r="AC7952" s="462" t="s">
        <v>23570</v>
      </c>
      <c r="AD7952" s="464">
        <v>1379.91272</v>
      </c>
      <c r="AE7952" s="465">
        <v>66.378829999999994</v>
      </c>
      <c r="AF7952" s="86">
        <f>IF(verze!$E$1="CZK",AD7952,IF(verze!$E$1="SK",AE7952,""))</f>
        <v>66.378829999999994</v>
      </c>
    </row>
    <row r="7953" spans="27:32" ht="15">
      <c r="AA7953" s="463" t="s">
        <v>1320</v>
      </c>
      <c r="AB7953" s="462" t="s">
        <v>23571</v>
      </c>
      <c r="AC7953" s="462" t="s">
        <v>23572</v>
      </c>
      <c r="AD7953" s="464">
        <v>1695.93932</v>
      </c>
      <c r="AE7953" s="465">
        <v>81.580820000000003</v>
      </c>
      <c r="AF7953" s="86">
        <f>IF(verze!$E$1="CZK",AD7953,IF(verze!$E$1="SK",AE7953,""))</f>
        <v>81.580820000000003</v>
      </c>
    </row>
    <row r="7954" spans="27:32" ht="15">
      <c r="AA7954" s="463" t="s">
        <v>1320</v>
      </c>
      <c r="AB7954" s="462" t="s">
        <v>23573</v>
      </c>
      <c r="AC7954" s="462" t="s">
        <v>23574</v>
      </c>
      <c r="AD7954" s="464">
        <v>1418.5987</v>
      </c>
      <c r="AE7954" s="465">
        <v>67.682509999999994</v>
      </c>
      <c r="AF7954" s="86">
        <f>IF(verze!$E$1="CZK",AD7954,IF(verze!$E$1="SK",AE7954,""))</f>
        <v>67.682509999999994</v>
      </c>
    </row>
    <row r="7955" spans="27:32" ht="15">
      <c r="AA7955" s="463" t="s">
        <v>1320</v>
      </c>
      <c r="AB7955" s="462" t="s">
        <v>23575</v>
      </c>
      <c r="AC7955" s="462" t="s">
        <v>23576</v>
      </c>
      <c r="AD7955" s="464">
        <v>1379.91272</v>
      </c>
      <c r="AE7955" s="465">
        <v>66.378829999999994</v>
      </c>
      <c r="AF7955" s="86">
        <f>IF(verze!$E$1="CZK",AD7955,IF(verze!$E$1="SK",AE7955,""))</f>
        <v>66.378829999999994</v>
      </c>
    </row>
    <row r="7956" spans="27:32" ht="15">
      <c r="AA7956" s="463" t="s">
        <v>1320</v>
      </c>
      <c r="AB7956" s="462" t="s">
        <v>23577</v>
      </c>
      <c r="AC7956" s="462" t="s">
        <v>23578</v>
      </c>
      <c r="AD7956" s="464">
        <v>1695.93932</v>
      </c>
      <c r="AE7956" s="465">
        <v>81.580820000000003</v>
      </c>
      <c r="AF7956" s="86">
        <f>IF(verze!$E$1="CZK",AD7956,IF(verze!$E$1="SK",AE7956,""))</f>
        <v>81.580820000000003</v>
      </c>
    </row>
    <row r="7957" spans="27:32" ht="15">
      <c r="AA7957" s="463" t="s">
        <v>1320</v>
      </c>
      <c r="AB7957" s="462" t="s">
        <v>23579</v>
      </c>
      <c r="AC7957" s="462" t="s">
        <v>23580</v>
      </c>
      <c r="AD7957" s="464">
        <v>1418.5987</v>
      </c>
      <c r="AE7957" s="465">
        <v>67.682509999999994</v>
      </c>
      <c r="AF7957" s="86">
        <f>IF(verze!$E$1="CZK",AD7957,IF(verze!$E$1="SK",AE7957,""))</f>
        <v>67.682509999999994</v>
      </c>
    </row>
    <row r="7958" spans="27:32" ht="15">
      <c r="AA7958" s="463" t="s">
        <v>1320</v>
      </c>
      <c r="AB7958" s="462" t="s">
        <v>23581</v>
      </c>
      <c r="AC7958" s="462" t="s">
        <v>23582</v>
      </c>
      <c r="AD7958" s="464">
        <v>1379.91272</v>
      </c>
      <c r="AE7958" s="465">
        <v>66.378829999999994</v>
      </c>
      <c r="AF7958" s="86">
        <f>IF(verze!$E$1="CZK",AD7958,IF(verze!$E$1="SK",AE7958,""))</f>
        <v>66.378829999999994</v>
      </c>
    </row>
    <row r="7959" spans="27:32" ht="15">
      <c r="AA7959" s="463" t="s">
        <v>1320</v>
      </c>
      <c r="AB7959" s="462" t="s">
        <v>23583</v>
      </c>
      <c r="AC7959" s="462" t="s">
        <v>23584</v>
      </c>
      <c r="AD7959" s="464">
        <v>1744.49233</v>
      </c>
      <c r="AE7959" s="465">
        <v>83.916420000000002</v>
      </c>
      <c r="AF7959" s="86">
        <f>IF(verze!$E$1="CZK",AD7959,IF(verze!$E$1="SK",AE7959,""))</f>
        <v>83.916420000000002</v>
      </c>
    </row>
    <row r="7960" spans="27:32" ht="15">
      <c r="AA7960" s="463" t="s">
        <v>1320</v>
      </c>
      <c r="AB7960" s="462" t="s">
        <v>23585</v>
      </c>
      <c r="AC7960" s="462" t="s">
        <v>23586</v>
      </c>
      <c r="AD7960" s="464">
        <v>1489.8061399999999</v>
      </c>
      <c r="AE7960" s="465">
        <v>71.665080000000003</v>
      </c>
      <c r="AF7960" s="86">
        <f>IF(verze!$E$1="CZK",AD7960,IF(verze!$E$1="SK",AE7960,""))</f>
        <v>71.665080000000003</v>
      </c>
    </row>
    <row r="7961" spans="27:32" ht="15">
      <c r="AA7961" s="463" t="s">
        <v>1320</v>
      </c>
      <c r="AB7961" s="462" t="s">
        <v>23587</v>
      </c>
      <c r="AC7961" s="462" t="s">
        <v>23588</v>
      </c>
      <c r="AD7961" s="464">
        <v>1436.4664399999999</v>
      </c>
      <c r="AE7961" s="465">
        <v>69.099220000000003</v>
      </c>
      <c r="AF7961" s="86">
        <f>IF(verze!$E$1="CZK",AD7961,IF(verze!$E$1="SK",AE7961,""))</f>
        <v>69.099220000000003</v>
      </c>
    </row>
    <row r="7962" spans="27:32" ht="15">
      <c r="AA7962" s="463" t="s">
        <v>1320</v>
      </c>
      <c r="AB7962" s="462" t="s">
        <v>23589</v>
      </c>
      <c r="AC7962" s="462" t="s">
        <v>23590</v>
      </c>
      <c r="AD7962" s="464">
        <v>1744.49233</v>
      </c>
      <c r="AE7962" s="465">
        <v>83.916420000000002</v>
      </c>
      <c r="AF7962" s="86">
        <f>IF(verze!$E$1="CZK",AD7962,IF(verze!$E$1="SK",AE7962,""))</f>
        <v>83.916420000000002</v>
      </c>
    </row>
    <row r="7963" spans="27:32" ht="15">
      <c r="AA7963" s="463" t="s">
        <v>1320</v>
      </c>
      <c r="AB7963" s="462" t="s">
        <v>23591</v>
      </c>
      <c r="AC7963" s="462" t="s">
        <v>23592</v>
      </c>
      <c r="AD7963" s="464">
        <v>1489.8061399999999</v>
      </c>
      <c r="AE7963" s="465">
        <v>71.665080000000003</v>
      </c>
      <c r="AF7963" s="86">
        <f>IF(verze!$E$1="CZK",AD7963,IF(verze!$E$1="SK",AE7963,""))</f>
        <v>71.665080000000003</v>
      </c>
    </row>
    <row r="7964" spans="27:32" ht="15">
      <c r="AA7964" s="463" t="s">
        <v>1320</v>
      </c>
      <c r="AB7964" s="462" t="s">
        <v>23593</v>
      </c>
      <c r="AC7964" s="462" t="s">
        <v>23594</v>
      </c>
      <c r="AD7964" s="464">
        <v>1436.4664399999999</v>
      </c>
      <c r="AE7964" s="465">
        <v>69.099220000000003</v>
      </c>
      <c r="AF7964" s="86">
        <f>IF(verze!$E$1="CZK",AD7964,IF(verze!$E$1="SK",AE7964,""))</f>
        <v>69.099220000000003</v>
      </c>
    </row>
    <row r="7965" spans="27:32" ht="15">
      <c r="AA7965" s="463" t="s">
        <v>1320</v>
      </c>
      <c r="AB7965" s="462" t="s">
        <v>23595</v>
      </c>
      <c r="AC7965" s="462" t="s">
        <v>23596</v>
      </c>
      <c r="AD7965" s="464">
        <v>1744.49233</v>
      </c>
      <c r="AE7965" s="465">
        <v>83.916420000000002</v>
      </c>
      <c r="AF7965" s="86">
        <f>IF(verze!$E$1="CZK",AD7965,IF(verze!$E$1="SK",AE7965,""))</f>
        <v>83.916420000000002</v>
      </c>
    </row>
    <row r="7966" spans="27:32" ht="15">
      <c r="AA7966" s="463" t="s">
        <v>1320</v>
      </c>
      <c r="AB7966" s="462" t="s">
        <v>23597</v>
      </c>
      <c r="AC7966" s="462" t="s">
        <v>23598</v>
      </c>
      <c r="AD7966" s="464">
        <v>1489.8061399999999</v>
      </c>
      <c r="AE7966" s="465">
        <v>71.665080000000003</v>
      </c>
      <c r="AF7966" s="86">
        <f>IF(verze!$E$1="CZK",AD7966,IF(verze!$E$1="SK",AE7966,""))</f>
        <v>71.665080000000003</v>
      </c>
    </row>
    <row r="7967" spans="27:32" ht="15">
      <c r="AA7967" s="463" t="s">
        <v>1320</v>
      </c>
      <c r="AB7967" s="462" t="s">
        <v>23599</v>
      </c>
      <c r="AC7967" s="462" t="s">
        <v>23600</v>
      </c>
      <c r="AD7967" s="464">
        <v>1436.4664399999999</v>
      </c>
      <c r="AE7967" s="465">
        <v>69.099220000000003</v>
      </c>
      <c r="AF7967" s="86">
        <f>IF(verze!$E$1="CZK",AD7967,IF(verze!$E$1="SK",AE7967,""))</f>
        <v>69.099220000000003</v>
      </c>
    </row>
    <row r="7968" spans="27:32" ht="15">
      <c r="AA7968" s="463" t="s">
        <v>1320</v>
      </c>
      <c r="AB7968" s="462" t="s">
        <v>23601</v>
      </c>
      <c r="AC7968" s="462" t="s">
        <v>23602</v>
      </c>
      <c r="AD7968" s="464">
        <v>864.14855</v>
      </c>
      <c r="AE7968" s="465">
        <v>41.568640000000002</v>
      </c>
      <c r="AF7968" s="86">
        <f>IF(verze!$E$1="CZK",AD7968,IF(verze!$E$1="SK",AE7968,""))</f>
        <v>41.568640000000002</v>
      </c>
    </row>
    <row r="7969" spans="27:32" ht="15">
      <c r="AA7969" s="463" t="s">
        <v>1320</v>
      </c>
      <c r="AB7969" s="462" t="s">
        <v>23603</v>
      </c>
      <c r="AC7969" s="462" t="s">
        <v>23604</v>
      </c>
      <c r="AD7969" s="464">
        <v>864.14855</v>
      </c>
      <c r="AE7969" s="465">
        <v>41.568640000000002</v>
      </c>
      <c r="AF7969" s="86">
        <f>IF(verze!$E$1="CZK",AD7969,IF(verze!$E$1="SK",AE7969,""))</f>
        <v>41.568640000000002</v>
      </c>
    </row>
    <row r="7970" spans="27:32" ht="15">
      <c r="AA7970" s="463" t="s">
        <v>1320</v>
      </c>
      <c r="AB7970" s="462" t="s">
        <v>23605</v>
      </c>
      <c r="AC7970" s="462" t="s">
        <v>23606</v>
      </c>
      <c r="AD7970" s="464">
        <v>864.14855</v>
      </c>
      <c r="AE7970" s="465">
        <v>41.568640000000002</v>
      </c>
      <c r="AF7970" s="86">
        <f>IF(verze!$E$1="CZK",AD7970,IF(verze!$E$1="SK",AE7970,""))</f>
        <v>41.568640000000002</v>
      </c>
    </row>
    <row r="7971" spans="27:32" ht="15">
      <c r="AA7971" s="463" t="s">
        <v>1320</v>
      </c>
      <c r="AB7971" s="462" t="s">
        <v>23607</v>
      </c>
      <c r="AC7971" s="462" t="s">
        <v>23608</v>
      </c>
      <c r="AD7971" s="464">
        <v>1162.8405299999999</v>
      </c>
      <c r="AE7971" s="465">
        <v>55.93683</v>
      </c>
      <c r="AF7971" s="86">
        <f>IF(verze!$E$1="CZK",AD7971,IF(verze!$E$1="SK",AE7971,""))</f>
        <v>55.93683</v>
      </c>
    </row>
    <row r="7972" spans="27:32" ht="15">
      <c r="AA7972" s="463" t="s">
        <v>1320</v>
      </c>
      <c r="AB7972" s="462" t="s">
        <v>23609</v>
      </c>
      <c r="AC7972" s="462" t="s">
        <v>23610</v>
      </c>
      <c r="AD7972" s="464">
        <v>864.14855</v>
      </c>
      <c r="AE7972" s="465">
        <v>41.568640000000002</v>
      </c>
      <c r="AF7972" s="86">
        <f>IF(verze!$E$1="CZK",AD7972,IF(verze!$E$1="SK",AE7972,""))</f>
        <v>41.568640000000002</v>
      </c>
    </row>
    <row r="7973" spans="27:32" ht="15">
      <c r="AA7973" s="463" t="s">
        <v>1320</v>
      </c>
      <c r="AB7973" s="462" t="s">
        <v>23611</v>
      </c>
      <c r="AC7973" s="462" t="s">
        <v>23612</v>
      </c>
      <c r="AD7973" s="464">
        <v>806.48815000000002</v>
      </c>
      <c r="AE7973" s="465">
        <v>38.795000000000002</v>
      </c>
      <c r="AF7973" s="86">
        <f>IF(verze!$E$1="CZK",AD7973,IF(verze!$E$1="SK",AE7973,""))</f>
        <v>38.795000000000002</v>
      </c>
    </row>
    <row r="7974" spans="27:32" ht="15">
      <c r="AA7974" s="463" t="s">
        <v>1320</v>
      </c>
      <c r="AB7974" s="462" t="s">
        <v>23613</v>
      </c>
      <c r="AC7974" s="462" t="s">
        <v>23614</v>
      </c>
      <c r="AD7974" s="464">
        <v>1162.8405299999999</v>
      </c>
      <c r="AE7974" s="465">
        <v>55.93683</v>
      </c>
      <c r="AF7974" s="86">
        <f>IF(verze!$E$1="CZK",AD7974,IF(verze!$E$1="SK",AE7974,""))</f>
        <v>55.93683</v>
      </c>
    </row>
    <row r="7975" spans="27:32" ht="15">
      <c r="AA7975" s="463" t="s">
        <v>1320</v>
      </c>
      <c r="AB7975" s="462" t="s">
        <v>23615</v>
      </c>
      <c r="AC7975" s="462" t="s">
        <v>23616</v>
      </c>
      <c r="AD7975" s="464">
        <v>864.14855</v>
      </c>
      <c r="AE7975" s="465">
        <v>41.568640000000002</v>
      </c>
      <c r="AF7975" s="86">
        <f>IF(verze!$E$1="CZK",AD7975,IF(verze!$E$1="SK",AE7975,""))</f>
        <v>41.568640000000002</v>
      </c>
    </row>
    <row r="7976" spans="27:32" ht="15">
      <c r="AA7976" s="463" t="s">
        <v>1320</v>
      </c>
      <c r="AB7976" s="462" t="s">
        <v>23617</v>
      </c>
      <c r="AC7976" s="462" t="s">
        <v>23618</v>
      </c>
      <c r="AD7976" s="464">
        <v>806.48815000000002</v>
      </c>
      <c r="AE7976" s="465">
        <v>38.795000000000002</v>
      </c>
      <c r="AF7976" s="86">
        <f>IF(verze!$E$1="CZK",AD7976,IF(verze!$E$1="SK",AE7976,""))</f>
        <v>38.795000000000002</v>
      </c>
    </row>
    <row r="7977" spans="27:32" ht="15">
      <c r="AA7977" s="463" t="s">
        <v>1320</v>
      </c>
      <c r="AB7977" s="462" t="s">
        <v>23619</v>
      </c>
      <c r="AC7977" s="462" t="s">
        <v>23620</v>
      </c>
      <c r="AD7977" s="464">
        <v>1162.8405299999999</v>
      </c>
      <c r="AE7977" s="465">
        <v>55.93683</v>
      </c>
      <c r="AF7977" s="86">
        <f>IF(verze!$E$1="CZK",AD7977,IF(verze!$E$1="SK",AE7977,""))</f>
        <v>55.93683</v>
      </c>
    </row>
    <row r="7978" spans="27:32" ht="15">
      <c r="AA7978" s="463" t="s">
        <v>1320</v>
      </c>
      <c r="AB7978" s="462" t="s">
        <v>23621</v>
      </c>
      <c r="AC7978" s="462" t="s">
        <v>23622</v>
      </c>
      <c r="AD7978" s="464">
        <v>864.14855</v>
      </c>
      <c r="AE7978" s="465">
        <v>41.568640000000002</v>
      </c>
      <c r="AF7978" s="86">
        <f>IF(verze!$E$1="CZK",AD7978,IF(verze!$E$1="SK",AE7978,""))</f>
        <v>41.568640000000002</v>
      </c>
    </row>
    <row r="7979" spans="27:32" ht="15">
      <c r="AA7979" s="463" t="s">
        <v>1320</v>
      </c>
      <c r="AB7979" s="462" t="s">
        <v>23623</v>
      </c>
      <c r="AC7979" s="462" t="s">
        <v>23624</v>
      </c>
      <c r="AD7979" s="464">
        <v>806.48815000000002</v>
      </c>
      <c r="AE7979" s="465">
        <v>38.795000000000002</v>
      </c>
      <c r="AF7979" s="86">
        <f>IF(verze!$E$1="CZK",AD7979,IF(verze!$E$1="SK",AE7979,""))</f>
        <v>38.795000000000002</v>
      </c>
    </row>
    <row r="7980" spans="27:32" ht="15">
      <c r="AA7980" s="463" t="s">
        <v>1320</v>
      </c>
      <c r="AB7980" s="462" t="s">
        <v>23625</v>
      </c>
      <c r="AC7980" s="462" t="s">
        <v>23626</v>
      </c>
      <c r="AD7980" s="464">
        <v>864.14855</v>
      </c>
      <c r="AE7980" s="465">
        <v>41.568640000000002</v>
      </c>
      <c r="AF7980" s="86">
        <f>IF(verze!$E$1="CZK",AD7980,IF(verze!$E$1="SK",AE7980,""))</f>
        <v>41.568640000000002</v>
      </c>
    </row>
    <row r="7981" spans="27:32" ht="15">
      <c r="AA7981" s="463" t="s">
        <v>1320</v>
      </c>
      <c r="AB7981" s="462" t="s">
        <v>23627</v>
      </c>
      <c r="AC7981" s="462" t="s">
        <v>23628</v>
      </c>
      <c r="AD7981" s="464">
        <v>864.14855</v>
      </c>
      <c r="AE7981" s="465">
        <v>41.568640000000002</v>
      </c>
      <c r="AF7981" s="86">
        <f>IF(verze!$E$1="CZK",AD7981,IF(verze!$E$1="SK",AE7981,""))</f>
        <v>41.568640000000002</v>
      </c>
    </row>
    <row r="7982" spans="27:32" ht="15">
      <c r="AA7982" s="463" t="s">
        <v>1320</v>
      </c>
      <c r="AB7982" s="462" t="s">
        <v>23629</v>
      </c>
      <c r="AC7982" s="462" t="s">
        <v>23630</v>
      </c>
      <c r="AD7982" s="464">
        <v>864.14855</v>
      </c>
      <c r="AE7982" s="465">
        <v>41.568640000000002</v>
      </c>
      <c r="AF7982" s="86">
        <f>IF(verze!$E$1="CZK",AD7982,IF(verze!$E$1="SK",AE7982,""))</f>
        <v>41.568640000000002</v>
      </c>
    </row>
    <row r="7983" spans="27:32" ht="15">
      <c r="AA7983" s="463" t="s">
        <v>1320</v>
      </c>
      <c r="AB7983" s="462" t="s">
        <v>23631</v>
      </c>
      <c r="AC7983" s="462" t="s">
        <v>23632</v>
      </c>
      <c r="AD7983" s="464">
        <v>1162.8405299999999</v>
      </c>
      <c r="AE7983" s="465">
        <v>55.93683</v>
      </c>
      <c r="AF7983" s="86">
        <f>IF(verze!$E$1="CZK",AD7983,IF(verze!$E$1="SK",AE7983,""))</f>
        <v>55.93683</v>
      </c>
    </row>
    <row r="7984" spans="27:32" ht="15">
      <c r="AA7984" s="463" t="s">
        <v>1320</v>
      </c>
      <c r="AB7984" s="462" t="s">
        <v>23633</v>
      </c>
      <c r="AC7984" s="462" t="s">
        <v>23634</v>
      </c>
      <c r="AD7984" s="464">
        <v>864.14855</v>
      </c>
      <c r="AE7984" s="465">
        <v>41.568640000000002</v>
      </c>
      <c r="AF7984" s="86">
        <f>IF(verze!$E$1="CZK",AD7984,IF(verze!$E$1="SK",AE7984,""))</f>
        <v>41.568640000000002</v>
      </c>
    </row>
    <row r="7985" spans="27:32" ht="15">
      <c r="AA7985" s="463" t="s">
        <v>1320</v>
      </c>
      <c r="AB7985" s="462" t="s">
        <v>23635</v>
      </c>
      <c r="AC7985" s="462" t="s">
        <v>23636</v>
      </c>
      <c r="AD7985" s="464">
        <v>806.48815000000002</v>
      </c>
      <c r="AE7985" s="465">
        <v>38.795000000000002</v>
      </c>
      <c r="AF7985" s="86">
        <f>IF(verze!$E$1="CZK",AD7985,IF(verze!$E$1="SK",AE7985,""))</f>
        <v>38.795000000000002</v>
      </c>
    </row>
    <row r="7986" spans="27:32" ht="15">
      <c r="AA7986" s="463" t="s">
        <v>1320</v>
      </c>
      <c r="AB7986" s="462" t="s">
        <v>23637</v>
      </c>
      <c r="AC7986" s="462" t="s">
        <v>23638</v>
      </c>
      <c r="AD7986" s="464">
        <v>1162.8405299999999</v>
      </c>
      <c r="AE7986" s="465">
        <v>55.93683</v>
      </c>
      <c r="AF7986" s="86">
        <f>IF(verze!$E$1="CZK",AD7986,IF(verze!$E$1="SK",AE7986,""))</f>
        <v>55.93683</v>
      </c>
    </row>
    <row r="7987" spans="27:32" ht="15">
      <c r="AA7987" s="463" t="s">
        <v>1320</v>
      </c>
      <c r="AB7987" s="462" t="s">
        <v>23639</v>
      </c>
      <c r="AC7987" s="462" t="s">
        <v>23640</v>
      </c>
      <c r="AD7987" s="464">
        <v>864.14855</v>
      </c>
      <c r="AE7987" s="465">
        <v>41.568640000000002</v>
      </c>
      <c r="AF7987" s="86">
        <f>IF(verze!$E$1="CZK",AD7987,IF(verze!$E$1="SK",AE7987,""))</f>
        <v>41.568640000000002</v>
      </c>
    </row>
    <row r="7988" spans="27:32" ht="15">
      <c r="AA7988" s="463" t="s">
        <v>1320</v>
      </c>
      <c r="AB7988" s="462" t="s">
        <v>23641</v>
      </c>
      <c r="AC7988" s="462" t="s">
        <v>23642</v>
      </c>
      <c r="AD7988" s="464">
        <v>806.48815000000002</v>
      </c>
      <c r="AE7988" s="465">
        <v>38.795000000000002</v>
      </c>
      <c r="AF7988" s="86">
        <f>IF(verze!$E$1="CZK",AD7988,IF(verze!$E$1="SK",AE7988,""))</f>
        <v>38.795000000000002</v>
      </c>
    </row>
    <row r="7989" spans="27:32" ht="15">
      <c r="AA7989" s="463" t="s">
        <v>1320</v>
      </c>
      <c r="AB7989" s="462" t="s">
        <v>23643</v>
      </c>
      <c r="AC7989" s="462" t="s">
        <v>23644</v>
      </c>
      <c r="AD7989" s="464">
        <v>1162.8405299999999</v>
      </c>
      <c r="AE7989" s="465">
        <v>55.93683</v>
      </c>
      <c r="AF7989" s="86">
        <f>IF(verze!$E$1="CZK",AD7989,IF(verze!$E$1="SK",AE7989,""))</f>
        <v>55.93683</v>
      </c>
    </row>
    <row r="7990" spans="27:32" ht="15">
      <c r="AA7990" s="463" t="s">
        <v>1320</v>
      </c>
      <c r="AB7990" s="462" t="s">
        <v>23645</v>
      </c>
      <c r="AC7990" s="462" t="s">
        <v>23646</v>
      </c>
      <c r="AD7990" s="464">
        <v>864.14855</v>
      </c>
      <c r="AE7990" s="465">
        <v>41.568640000000002</v>
      </c>
      <c r="AF7990" s="86">
        <f>IF(verze!$E$1="CZK",AD7990,IF(verze!$E$1="SK",AE7990,""))</f>
        <v>41.568640000000002</v>
      </c>
    </row>
    <row r="7991" spans="27:32" ht="15">
      <c r="AA7991" s="463" t="s">
        <v>1320</v>
      </c>
      <c r="AB7991" s="462" t="s">
        <v>23647</v>
      </c>
      <c r="AC7991" s="462" t="s">
        <v>23648</v>
      </c>
      <c r="AD7991" s="464">
        <v>806.48815000000002</v>
      </c>
      <c r="AE7991" s="465">
        <v>38.795000000000002</v>
      </c>
      <c r="AF7991" s="86">
        <f>IF(verze!$E$1="CZK",AD7991,IF(verze!$E$1="SK",AE7991,""))</f>
        <v>38.795000000000002</v>
      </c>
    </row>
    <row r="7992" spans="27:32" ht="15">
      <c r="AA7992" s="463" t="s">
        <v>1320</v>
      </c>
      <c r="AB7992" s="462" t="s">
        <v>23649</v>
      </c>
      <c r="AC7992" s="462" t="s">
        <v>23650</v>
      </c>
      <c r="AD7992" s="464">
        <v>1162.8405299999999</v>
      </c>
      <c r="AE7992" s="465">
        <v>55.93683</v>
      </c>
      <c r="AF7992" s="86">
        <f>IF(verze!$E$1="CZK",AD7992,IF(verze!$E$1="SK",AE7992,""))</f>
        <v>55.93683</v>
      </c>
    </row>
    <row r="7993" spans="27:32" ht="15">
      <c r="AA7993" s="463" t="s">
        <v>1320</v>
      </c>
      <c r="AB7993" s="462" t="s">
        <v>23651</v>
      </c>
      <c r="AC7993" s="462" t="s">
        <v>23652</v>
      </c>
      <c r="AD7993" s="464">
        <v>994.66953000000001</v>
      </c>
      <c r="AE7993" s="465">
        <v>47.84722</v>
      </c>
      <c r="AF7993" s="86">
        <f>IF(verze!$E$1="CZK",AD7993,IF(verze!$E$1="SK",AE7993,""))</f>
        <v>47.84722</v>
      </c>
    </row>
    <row r="7994" spans="27:32" ht="15">
      <c r="AA7994" s="463" t="s">
        <v>1320</v>
      </c>
      <c r="AB7994" s="462" t="s">
        <v>23653</v>
      </c>
      <c r="AC7994" s="462" t="s">
        <v>23654</v>
      </c>
      <c r="AD7994" s="464">
        <v>941.32983000000002</v>
      </c>
      <c r="AE7994" s="465">
        <v>45.281359999999999</v>
      </c>
      <c r="AF7994" s="86">
        <f>IF(verze!$E$1="CZK",AD7994,IF(verze!$E$1="SK",AE7994,""))</f>
        <v>45.281359999999999</v>
      </c>
    </row>
    <row r="7995" spans="27:32" ht="15">
      <c r="AA7995" s="463" t="s">
        <v>1320</v>
      </c>
      <c r="AB7995" s="462" t="s">
        <v>23655</v>
      </c>
      <c r="AC7995" s="462" t="s">
        <v>23656</v>
      </c>
      <c r="AD7995" s="464">
        <v>1270.9576400000001</v>
      </c>
      <c r="AE7995" s="465">
        <v>61.137650000000001</v>
      </c>
      <c r="AF7995" s="86">
        <f>IF(verze!$E$1="CZK",AD7995,IF(verze!$E$1="SK",AE7995,""))</f>
        <v>61.137650000000001</v>
      </c>
    </row>
    <row r="7996" spans="27:32" ht="15">
      <c r="AA7996" s="463" t="s">
        <v>1320</v>
      </c>
      <c r="AB7996" s="462" t="s">
        <v>23657</v>
      </c>
      <c r="AC7996" s="462" t="s">
        <v>23658</v>
      </c>
      <c r="AD7996" s="464">
        <v>994.66953000000001</v>
      </c>
      <c r="AE7996" s="465">
        <v>47.84722</v>
      </c>
      <c r="AF7996" s="86">
        <f>IF(verze!$E$1="CZK",AD7996,IF(verze!$E$1="SK",AE7996,""))</f>
        <v>47.84722</v>
      </c>
    </row>
    <row r="7997" spans="27:32" ht="15">
      <c r="AA7997" s="463" t="s">
        <v>1320</v>
      </c>
      <c r="AB7997" s="462" t="s">
        <v>23659</v>
      </c>
      <c r="AC7997" s="462" t="s">
        <v>23660</v>
      </c>
      <c r="AD7997" s="464">
        <v>941.32983000000002</v>
      </c>
      <c r="AE7997" s="465">
        <v>45.281359999999999</v>
      </c>
      <c r="AF7997" s="86">
        <f>IF(verze!$E$1="CZK",AD7997,IF(verze!$E$1="SK",AE7997,""))</f>
        <v>45.281359999999999</v>
      </c>
    </row>
    <row r="7998" spans="27:32" ht="15">
      <c r="AA7998" s="463" t="s">
        <v>1320</v>
      </c>
      <c r="AB7998" s="462" t="s">
        <v>23661</v>
      </c>
      <c r="AC7998" s="462" t="s">
        <v>23662</v>
      </c>
      <c r="AD7998" s="464">
        <v>1270.9576400000001</v>
      </c>
      <c r="AE7998" s="465">
        <v>61.137650000000001</v>
      </c>
      <c r="AF7998" s="86">
        <f>IF(verze!$E$1="CZK",AD7998,IF(verze!$E$1="SK",AE7998,""))</f>
        <v>61.137650000000001</v>
      </c>
    </row>
    <row r="7999" spans="27:32" ht="15">
      <c r="AA7999" s="463" t="s">
        <v>1320</v>
      </c>
      <c r="AB7999" s="462" t="s">
        <v>23663</v>
      </c>
      <c r="AC7999" s="462" t="s">
        <v>23664</v>
      </c>
      <c r="AD7999" s="464">
        <v>994.66953000000001</v>
      </c>
      <c r="AE7999" s="465">
        <v>47.84722</v>
      </c>
      <c r="AF7999" s="86">
        <f>IF(verze!$E$1="CZK",AD7999,IF(verze!$E$1="SK",AE7999,""))</f>
        <v>47.84722</v>
      </c>
    </row>
    <row r="8000" spans="27:32" ht="15">
      <c r="AA8000" s="463" t="s">
        <v>1320</v>
      </c>
      <c r="AB8000" s="462" t="s">
        <v>23665</v>
      </c>
      <c r="AC8000" s="462" t="s">
        <v>23666</v>
      </c>
      <c r="AD8000" s="464">
        <v>941.32983000000002</v>
      </c>
      <c r="AE8000" s="465">
        <v>45.281359999999999</v>
      </c>
      <c r="AF8000" s="86">
        <f>IF(verze!$E$1="CZK",AD8000,IF(verze!$E$1="SK",AE8000,""))</f>
        <v>45.281359999999999</v>
      </c>
    </row>
    <row r="8001" spans="27:32" ht="15">
      <c r="AA8001" s="463" t="s">
        <v>1320</v>
      </c>
      <c r="AB8001" s="462" t="s">
        <v>23667</v>
      </c>
      <c r="AC8001" s="462" t="s">
        <v>23668</v>
      </c>
      <c r="AD8001" s="464">
        <v>864.14855</v>
      </c>
      <c r="AE8001" s="465">
        <v>41.568640000000002</v>
      </c>
      <c r="AF8001" s="86">
        <f>IF(verze!$E$1="CZK",AD8001,IF(verze!$E$1="SK",AE8001,""))</f>
        <v>41.568640000000002</v>
      </c>
    </row>
    <row r="8002" spans="27:32" ht="15">
      <c r="AA8002" s="463" t="s">
        <v>1320</v>
      </c>
      <c r="AB8002" s="462" t="s">
        <v>23669</v>
      </c>
      <c r="AC8002" s="462" t="s">
        <v>23670</v>
      </c>
      <c r="AD8002" s="464">
        <v>864.14855</v>
      </c>
      <c r="AE8002" s="465">
        <v>41.568640000000002</v>
      </c>
      <c r="AF8002" s="86">
        <f>IF(verze!$E$1="CZK",AD8002,IF(verze!$E$1="SK",AE8002,""))</f>
        <v>41.568640000000002</v>
      </c>
    </row>
    <row r="8003" spans="27:32" ht="15">
      <c r="AA8003" s="463" t="s">
        <v>1320</v>
      </c>
      <c r="AB8003" s="462" t="s">
        <v>23671</v>
      </c>
      <c r="AC8003" s="462" t="s">
        <v>23672</v>
      </c>
      <c r="AD8003" s="464">
        <v>864.14855</v>
      </c>
      <c r="AE8003" s="465">
        <v>41.568640000000002</v>
      </c>
      <c r="AF8003" s="86">
        <f>IF(verze!$E$1="CZK",AD8003,IF(verze!$E$1="SK",AE8003,""))</f>
        <v>41.568640000000002</v>
      </c>
    </row>
    <row r="8004" spans="27:32" ht="15">
      <c r="AA8004" s="463" t="s">
        <v>1320</v>
      </c>
      <c r="AB8004" s="462" t="s">
        <v>23673</v>
      </c>
      <c r="AC8004" s="462" t="s">
        <v>23674</v>
      </c>
      <c r="AD8004" s="464">
        <v>1162.8405299999999</v>
      </c>
      <c r="AE8004" s="465">
        <v>55.93683</v>
      </c>
      <c r="AF8004" s="86">
        <f>IF(verze!$E$1="CZK",AD8004,IF(verze!$E$1="SK",AE8004,""))</f>
        <v>55.93683</v>
      </c>
    </row>
    <row r="8005" spans="27:32" ht="15">
      <c r="AA8005" s="463" t="s">
        <v>1320</v>
      </c>
      <c r="AB8005" s="462" t="s">
        <v>23675</v>
      </c>
      <c r="AC8005" s="462" t="s">
        <v>23676</v>
      </c>
      <c r="AD8005" s="464">
        <v>864.14855</v>
      </c>
      <c r="AE8005" s="465">
        <v>41.568640000000002</v>
      </c>
      <c r="AF8005" s="86">
        <f>IF(verze!$E$1="CZK",AD8005,IF(verze!$E$1="SK",AE8005,""))</f>
        <v>41.568640000000002</v>
      </c>
    </row>
    <row r="8006" spans="27:32" ht="15">
      <c r="AA8006" s="463" t="s">
        <v>1320</v>
      </c>
      <c r="AB8006" s="462" t="s">
        <v>23677</v>
      </c>
      <c r="AC8006" s="462" t="s">
        <v>23678</v>
      </c>
      <c r="AD8006" s="464">
        <v>806.48815000000002</v>
      </c>
      <c r="AE8006" s="465">
        <v>38.795000000000002</v>
      </c>
      <c r="AF8006" s="86">
        <f>IF(verze!$E$1="CZK",AD8006,IF(verze!$E$1="SK",AE8006,""))</f>
        <v>38.795000000000002</v>
      </c>
    </row>
    <row r="8007" spans="27:32" ht="15">
      <c r="AA8007" s="463" t="s">
        <v>1320</v>
      </c>
      <c r="AB8007" s="462" t="s">
        <v>23679</v>
      </c>
      <c r="AC8007" s="462" t="s">
        <v>23680</v>
      </c>
      <c r="AD8007" s="464">
        <v>1162.8405299999999</v>
      </c>
      <c r="AE8007" s="465">
        <v>55.93683</v>
      </c>
      <c r="AF8007" s="86">
        <f>IF(verze!$E$1="CZK",AD8007,IF(verze!$E$1="SK",AE8007,""))</f>
        <v>55.93683</v>
      </c>
    </row>
    <row r="8008" spans="27:32" ht="15">
      <c r="AA8008" s="463" t="s">
        <v>1320</v>
      </c>
      <c r="AB8008" s="462" t="s">
        <v>23681</v>
      </c>
      <c r="AC8008" s="462" t="s">
        <v>23682</v>
      </c>
      <c r="AD8008" s="464">
        <v>864.14855</v>
      </c>
      <c r="AE8008" s="465">
        <v>41.568640000000002</v>
      </c>
      <c r="AF8008" s="86">
        <f>IF(verze!$E$1="CZK",AD8008,IF(verze!$E$1="SK",AE8008,""))</f>
        <v>41.568640000000002</v>
      </c>
    </row>
    <row r="8009" spans="27:32" ht="15">
      <c r="AA8009" s="463" t="s">
        <v>1320</v>
      </c>
      <c r="AB8009" s="462" t="s">
        <v>23683</v>
      </c>
      <c r="AC8009" s="462" t="s">
        <v>23684</v>
      </c>
      <c r="AD8009" s="464">
        <v>806.48815000000002</v>
      </c>
      <c r="AE8009" s="465">
        <v>38.795000000000002</v>
      </c>
      <c r="AF8009" s="86">
        <f>IF(verze!$E$1="CZK",AD8009,IF(verze!$E$1="SK",AE8009,""))</f>
        <v>38.795000000000002</v>
      </c>
    </row>
    <row r="8010" spans="27:32" ht="15">
      <c r="AA8010" s="463" t="s">
        <v>1320</v>
      </c>
      <c r="AB8010" s="462" t="s">
        <v>23685</v>
      </c>
      <c r="AC8010" s="462" t="s">
        <v>23686</v>
      </c>
      <c r="AD8010" s="464">
        <v>1162.8405299999999</v>
      </c>
      <c r="AE8010" s="465">
        <v>55.93683</v>
      </c>
      <c r="AF8010" s="86">
        <f>IF(verze!$E$1="CZK",AD8010,IF(verze!$E$1="SK",AE8010,""))</f>
        <v>55.93683</v>
      </c>
    </row>
    <row r="8011" spans="27:32" ht="15">
      <c r="AA8011" s="463" t="s">
        <v>1320</v>
      </c>
      <c r="AB8011" s="462" t="s">
        <v>23687</v>
      </c>
      <c r="AC8011" s="462" t="s">
        <v>23688</v>
      </c>
      <c r="AD8011" s="464">
        <v>864.14855</v>
      </c>
      <c r="AE8011" s="465">
        <v>41.568640000000002</v>
      </c>
      <c r="AF8011" s="86">
        <f>IF(verze!$E$1="CZK",AD8011,IF(verze!$E$1="SK",AE8011,""))</f>
        <v>41.568640000000002</v>
      </c>
    </row>
    <row r="8012" spans="27:32" ht="15">
      <c r="AA8012" s="463" t="s">
        <v>1320</v>
      </c>
      <c r="AB8012" s="462" t="s">
        <v>23689</v>
      </c>
      <c r="AC8012" s="462" t="s">
        <v>23690</v>
      </c>
      <c r="AD8012" s="464">
        <v>806.48815000000002</v>
      </c>
      <c r="AE8012" s="465">
        <v>38.795000000000002</v>
      </c>
      <c r="AF8012" s="86">
        <f>IF(verze!$E$1="CZK",AD8012,IF(verze!$E$1="SK",AE8012,""))</f>
        <v>38.795000000000002</v>
      </c>
    </row>
    <row r="8013" spans="27:32" ht="15">
      <c r="AA8013" s="463" t="s">
        <v>1320</v>
      </c>
      <c r="AB8013" s="462" t="s">
        <v>23691</v>
      </c>
      <c r="AC8013" s="462" t="s">
        <v>23692</v>
      </c>
      <c r="AD8013" s="464">
        <v>0</v>
      </c>
      <c r="AE8013" s="465">
        <v>0</v>
      </c>
      <c r="AF8013" s="86">
        <f>IF(verze!$E$1="CZK",AD8013,IF(verze!$E$1="SK",AE8013,""))</f>
        <v>0</v>
      </c>
    </row>
    <row r="8014" spans="27:32" ht="15">
      <c r="AA8014" s="463" t="s">
        <v>1320</v>
      </c>
      <c r="AB8014" s="462" t="s">
        <v>23693</v>
      </c>
      <c r="AC8014" s="462" t="s">
        <v>23694</v>
      </c>
      <c r="AD8014" s="464">
        <v>994.66953000000001</v>
      </c>
      <c r="AE8014" s="465">
        <v>47.84722</v>
      </c>
      <c r="AF8014" s="86">
        <f>IF(verze!$E$1="CZK",AD8014,IF(verze!$E$1="SK",AE8014,""))</f>
        <v>47.84722</v>
      </c>
    </row>
    <row r="8015" spans="27:32" ht="15">
      <c r="AA8015" s="463" t="s">
        <v>1320</v>
      </c>
      <c r="AB8015" s="462" t="s">
        <v>23695</v>
      </c>
      <c r="AC8015" s="462" t="s">
        <v>23696</v>
      </c>
      <c r="AD8015" s="464">
        <v>941.32983000000002</v>
      </c>
      <c r="AE8015" s="465">
        <v>45.281359999999999</v>
      </c>
      <c r="AF8015" s="86">
        <f>IF(verze!$E$1="CZK",AD8015,IF(verze!$E$1="SK",AE8015,""))</f>
        <v>45.281359999999999</v>
      </c>
    </row>
    <row r="8016" spans="27:32" ht="15">
      <c r="AA8016" s="463" t="s">
        <v>1320</v>
      </c>
      <c r="AB8016" s="462" t="s">
        <v>23697</v>
      </c>
      <c r="AC8016" s="462" t="s">
        <v>23698</v>
      </c>
      <c r="AD8016" s="464">
        <v>0</v>
      </c>
      <c r="AE8016" s="465">
        <v>0</v>
      </c>
      <c r="AF8016" s="86">
        <f>IF(verze!$E$1="CZK",AD8016,IF(verze!$E$1="SK",AE8016,""))</f>
        <v>0</v>
      </c>
    </row>
    <row r="8017" spans="27:32" ht="15">
      <c r="AA8017" s="463" t="s">
        <v>1320</v>
      </c>
      <c r="AB8017" s="462" t="s">
        <v>23699</v>
      </c>
      <c r="AC8017" s="462" t="s">
        <v>23700</v>
      </c>
      <c r="AD8017" s="464">
        <v>994.66953000000001</v>
      </c>
      <c r="AE8017" s="465">
        <v>47.84722</v>
      </c>
      <c r="AF8017" s="86">
        <f>IF(verze!$E$1="CZK",AD8017,IF(verze!$E$1="SK",AE8017,""))</f>
        <v>47.84722</v>
      </c>
    </row>
    <row r="8018" spans="27:32" ht="15">
      <c r="AA8018" s="463" t="s">
        <v>1320</v>
      </c>
      <c r="AB8018" s="462" t="s">
        <v>23701</v>
      </c>
      <c r="AC8018" s="462" t="s">
        <v>23702</v>
      </c>
      <c r="AD8018" s="464">
        <v>941.32983000000002</v>
      </c>
      <c r="AE8018" s="465">
        <v>45.281359999999999</v>
      </c>
      <c r="AF8018" s="86">
        <f>IF(verze!$E$1="CZK",AD8018,IF(verze!$E$1="SK",AE8018,""))</f>
        <v>45.281359999999999</v>
      </c>
    </row>
    <row r="8019" spans="27:32" ht="15">
      <c r="AA8019" s="463" t="s">
        <v>1320</v>
      </c>
      <c r="AB8019" s="462" t="s">
        <v>23703</v>
      </c>
      <c r="AC8019" s="462" t="s">
        <v>23704</v>
      </c>
      <c r="AD8019" s="464">
        <v>0</v>
      </c>
      <c r="AE8019" s="465">
        <v>0</v>
      </c>
      <c r="AF8019" s="86">
        <f>IF(verze!$E$1="CZK",AD8019,IF(verze!$E$1="SK",AE8019,""))</f>
        <v>0</v>
      </c>
    </row>
    <row r="8020" spans="27:32" ht="15">
      <c r="AA8020" s="463" t="s">
        <v>1320</v>
      </c>
      <c r="AB8020" s="462" t="s">
        <v>23705</v>
      </c>
      <c r="AC8020" s="462" t="s">
        <v>23706</v>
      </c>
      <c r="AD8020" s="464">
        <v>994.66953000000001</v>
      </c>
      <c r="AE8020" s="465">
        <v>47.84722</v>
      </c>
      <c r="AF8020" s="86">
        <f>IF(verze!$E$1="CZK",AD8020,IF(verze!$E$1="SK",AE8020,""))</f>
        <v>47.84722</v>
      </c>
    </row>
    <row r="8021" spans="27:32" ht="15">
      <c r="AA8021" s="463" t="s">
        <v>1320</v>
      </c>
      <c r="AB8021" s="462" t="s">
        <v>23707</v>
      </c>
      <c r="AC8021" s="462" t="s">
        <v>23708</v>
      </c>
      <c r="AD8021" s="464">
        <v>941.32983000000002</v>
      </c>
      <c r="AE8021" s="465">
        <v>45.281359999999999</v>
      </c>
      <c r="AF8021" s="86">
        <f>IF(verze!$E$1="CZK",AD8021,IF(verze!$E$1="SK",AE8021,""))</f>
        <v>45.281359999999999</v>
      </c>
    </row>
    <row r="8022" spans="27:32" ht="15">
      <c r="AA8022" s="463" t="s">
        <v>1320</v>
      </c>
      <c r="AB8022" s="462" t="s">
        <v>23709</v>
      </c>
      <c r="AC8022" s="462" t="s">
        <v>23710</v>
      </c>
      <c r="AD8022" s="464">
        <v>1173.8635899999999</v>
      </c>
      <c r="AE8022" s="465">
        <v>56.467080000000003</v>
      </c>
      <c r="AF8022" s="86">
        <f>IF(verze!$E$1="CZK",AD8022,IF(verze!$E$1="SK",AE8022,""))</f>
        <v>56.467080000000003</v>
      </c>
    </row>
    <row r="8023" spans="27:32" ht="15">
      <c r="AA8023" s="463" t="s">
        <v>1320</v>
      </c>
      <c r="AB8023" s="462" t="s">
        <v>23711</v>
      </c>
      <c r="AC8023" s="462" t="s">
        <v>23712</v>
      </c>
      <c r="AD8023" s="464">
        <v>881.22649000000001</v>
      </c>
      <c r="AE8023" s="465">
        <v>42.3902</v>
      </c>
      <c r="AF8023" s="86">
        <f>IF(verze!$E$1="CZK",AD8023,IF(verze!$E$1="SK",AE8023,""))</f>
        <v>42.3902</v>
      </c>
    </row>
    <row r="8024" spans="27:32" ht="15">
      <c r="AA8024" s="463" t="s">
        <v>1320</v>
      </c>
      <c r="AB8024" s="462" t="s">
        <v>23713</v>
      </c>
      <c r="AC8024" s="462" t="s">
        <v>23714</v>
      </c>
      <c r="AD8024" s="464">
        <v>823.56196999999997</v>
      </c>
      <c r="AE8024" s="465">
        <v>39.616300000000003</v>
      </c>
      <c r="AF8024" s="86">
        <f>IF(verze!$E$1="CZK",AD8024,IF(verze!$E$1="SK",AE8024,""))</f>
        <v>39.616300000000003</v>
      </c>
    </row>
    <row r="8025" spans="27:32" ht="15">
      <c r="AA8025" s="463" t="s">
        <v>1320</v>
      </c>
      <c r="AB8025" s="462" t="s">
        <v>23715</v>
      </c>
      <c r="AC8025" s="462" t="s">
        <v>23716</v>
      </c>
      <c r="AD8025" s="464">
        <v>1173.8635899999999</v>
      </c>
      <c r="AE8025" s="465">
        <v>56.467080000000003</v>
      </c>
      <c r="AF8025" s="86">
        <f>IF(verze!$E$1="CZK",AD8025,IF(verze!$E$1="SK",AE8025,""))</f>
        <v>56.467080000000003</v>
      </c>
    </row>
    <row r="8026" spans="27:32" ht="15">
      <c r="AA8026" s="463" t="s">
        <v>1320</v>
      </c>
      <c r="AB8026" s="462" t="s">
        <v>23717</v>
      </c>
      <c r="AC8026" s="462" t="s">
        <v>23718</v>
      </c>
      <c r="AD8026" s="464">
        <v>881.22649000000001</v>
      </c>
      <c r="AE8026" s="465">
        <v>42.3902</v>
      </c>
      <c r="AF8026" s="86">
        <f>IF(verze!$E$1="CZK",AD8026,IF(verze!$E$1="SK",AE8026,""))</f>
        <v>42.3902</v>
      </c>
    </row>
    <row r="8027" spans="27:32" ht="15">
      <c r="AA8027" s="463" t="s">
        <v>1320</v>
      </c>
      <c r="AB8027" s="462" t="s">
        <v>23719</v>
      </c>
      <c r="AC8027" s="462" t="s">
        <v>23720</v>
      </c>
      <c r="AD8027" s="464">
        <v>823.56196999999997</v>
      </c>
      <c r="AE8027" s="465">
        <v>39.616300000000003</v>
      </c>
      <c r="AF8027" s="86">
        <f>IF(verze!$E$1="CZK",AD8027,IF(verze!$E$1="SK",AE8027,""))</f>
        <v>39.616300000000003</v>
      </c>
    </row>
    <row r="8028" spans="27:32" ht="15">
      <c r="AA8028" s="463" t="s">
        <v>1320</v>
      </c>
      <c r="AB8028" s="462" t="s">
        <v>23721</v>
      </c>
      <c r="AC8028" s="462" t="s">
        <v>23722</v>
      </c>
      <c r="AD8028" s="464">
        <v>1173.8635899999999</v>
      </c>
      <c r="AE8028" s="465">
        <v>56.467080000000003</v>
      </c>
      <c r="AF8028" s="86">
        <f>IF(verze!$E$1="CZK",AD8028,IF(verze!$E$1="SK",AE8028,""))</f>
        <v>56.467080000000003</v>
      </c>
    </row>
    <row r="8029" spans="27:32" ht="15">
      <c r="AA8029" s="463" t="s">
        <v>1320</v>
      </c>
      <c r="AB8029" s="462" t="s">
        <v>23723</v>
      </c>
      <c r="AC8029" s="462" t="s">
        <v>23724</v>
      </c>
      <c r="AD8029" s="464">
        <v>881.22649000000001</v>
      </c>
      <c r="AE8029" s="465">
        <v>42.3902</v>
      </c>
      <c r="AF8029" s="86">
        <f>IF(verze!$E$1="CZK",AD8029,IF(verze!$E$1="SK",AE8029,""))</f>
        <v>42.3902</v>
      </c>
    </row>
    <row r="8030" spans="27:32" ht="15">
      <c r="AA8030" s="463" t="s">
        <v>1320</v>
      </c>
      <c r="AB8030" s="462" t="s">
        <v>23725</v>
      </c>
      <c r="AC8030" s="462" t="s">
        <v>23726</v>
      </c>
      <c r="AD8030" s="464">
        <v>823.56196999999997</v>
      </c>
      <c r="AE8030" s="465">
        <v>39.616300000000003</v>
      </c>
      <c r="AF8030" s="86">
        <f>IF(verze!$E$1="CZK",AD8030,IF(verze!$E$1="SK",AE8030,""))</f>
        <v>39.616300000000003</v>
      </c>
    </row>
    <row r="8031" spans="27:32" ht="15">
      <c r="AA8031" s="463" t="s">
        <v>1320</v>
      </c>
      <c r="AB8031" s="462" t="s">
        <v>23727</v>
      </c>
      <c r="AC8031" s="462" t="s">
        <v>23728</v>
      </c>
      <c r="AD8031" s="464">
        <v>1281.5266799999999</v>
      </c>
      <c r="AE8031" s="465">
        <v>61.646059999999999</v>
      </c>
      <c r="AF8031" s="86">
        <f>IF(verze!$E$1="CZK",AD8031,IF(verze!$E$1="SK",AE8031,""))</f>
        <v>61.646059999999999</v>
      </c>
    </row>
    <row r="8032" spans="27:32" ht="15">
      <c r="AA8032" s="463" t="s">
        <v>1320</v>
      </c>
      <c r="AB8032" s="462" t="s">
        <v>23729</v>
      </c>
      <c r="AC8032" s="462" t="s">
        <v>23730</v>
      </c>
      <c r="AD8032" s="464">
        <v>1010.83923</v>
      </c>
      <c r="AE8032" s="465">
        <v>48.625019999999999</v>
      </c>
      <c r="AF8032" s="86">
        <f>IF(verze!$E$1="CZK",AD8032,IF(verze!$E$1="SK",AE8032,""))</f>
        <v>48.625019999999999</v>
      </c>
    </row>
    <row r="8033" spans="27:32" ht="15">
      <c r="AA8033" s="463" t="s">
        <v>1320</v>
      </c>
      <c r="AB8033" s="462" t="s">
        <v>23731</v>
      </c>
      <c r="AC8033" s="462" t="s">
        <v>23732</v>
      </c>
      <c r="AD8033" s="464">
        <v>1082.5760700000001</v>
      </c>
      <c r="AE8033" s="465">
        <v>52.07582</v>
      </c>
      <c r="AF8033" s="86">
        <f>IF(verze!$E$1="CZK",AD8033,IF(verze!$E$1="SK",AE8033,""))</f>
        <v>52.07582</v>
      </c>
    </row>
    <row r="8034" spans="27:32" ht="15">
      <c r="AA8034" s="463" t="s">
        <v>1320</v>
      </c>
      <c r="AB8034" s="462" t="s">
        <v>23733</v>
      </c>
      <c r="AC8034" s="462" t="s">
        <v>23734</v>
      </c>
      <c r="AD8034" s="464">
        <v>1281.5266799999999</v>
      </c>
      <c r="AE8034" s="465">
        <v>61.646059999999999</v>
      </c>
      <c r="AF8034" s="86">
        <f>IF(verze!$E$1="CZK",AD8034,IF(verze!$E$1="SK",AE8034,""))</f>
        <v>61.646059999999999</v>
      </c>
    </row>
    <row r="8035" spans="27:32" ht="15">
      <c r="AA8035" s="463" t="s">
        <v>1320</v>
      </c>
      <c r="AB8035" s="462" t="s">
        <v>23735</v>
      </c>
      <c r="AC8035" s="462" t="s">
        <v>23736</v>
      </c>
      <c r="AD8035" s="464">
        <v>1010.83923</v>
      </c>
      <c r="AE8035" s="465">
        <v>48.625019999999999</v>
      </c>
      <c r="AF8035" s="86">
        <f>IF(verze!$E$1="CZK",AD8035,IF(verze!$E$1="SK",AE8035,""))</f>
        <v>48.625019999999999</v>
      </c>
    </row>
    <row r="8036" spans="27:32" ht="15">
      <c r="AA8036" s="463" t="s">
        <v>1320</v>
      </c>
      <c r="AB8036" s="462" t="s">
        <v>23737</v>
      </c>
      <c r="AC8036" s="462" t="s">
        <v>23738</v>
      </c>
      <c r="AD8036" s="464">
        <v>1082.5760700000001</v>
      </c>
      <c r="AE8036" s="465">
        <v>52.07582</v>
      </c>
      <c r="AF8036" s="86">
        <f>IF(verze!$E$1="CZK",AD8036,IF(verze!$E$1="SK",AE8036,""))</f>
        <v>52.07582</v>
      </c>
    </row>
    <row r="8037" spans="27:32" ht="15">
      <c r="AA8037" s="463" t="s">
        <v>1320</v>
      </c>
      <c r="AB8037" s="462" t="s">
        <v>23739</v>
      </c>
      <c r="AC8037" s="462" t="s">
        <v>23740</v>
      </c>
      <c r="AD8037" s="464">
        <v>1281.5266799999999</v>
      </c>
      <c r="AE8037" s="465">
        <v>61.646059999999999</v>
      </c>
      <c r="AF8037" s="86">
        <f>IF(verze!$E$1="CZK",AD8037,IF(verze!$E$1="SK",AE8037,""))</f>
        <v>61.646059999999999</v>
      </c>
    </row>
    <row r="8038" spans="27:32" ht="15">
      <c r="AA8038" s="463" t="s">
        <v>1320</v>
      </c>
      <c r="AB8038" s="462" t="s">
        <v>23741</v>
      </c>
      <c r="AC8038" s="462" t="s">
        <v>23742</v>
      </c>
      <c r="AD8038" s="464">
        <v>1010.83923</v>
      </c>
      <c r="AE8038" s="465">
        <v>48.625019999999999</v>
      </c>
      <c r="AF8038" s="86">
        <f>IF(verze!$E$1="CZK",AD8038,IF(verze!$E$1="SK",AE8038,""))</f>
        <v>48.625019999999999</v>
      </c>
    </row>
    <row r="8039" spans="27:32" ht="15">
      <c r="AA8039" s="463" t="s">
        <v>1320</v>
      </c>
      <c r="AB8039" s="462" t="s">
        <v>23743</v>
      </c>
      <c r="AC8039" s="462" t="s">
        <v>23744</v>
      </c>
      <c r="AD8039" s="464">
        <v>1082.5760700000001</v>
      </c>
      <c r="AE8039" s="465">
        <v>52.07582</v>
      </c>
      <c r="AF8039" s="86">
        <f>IF(verze!$E$1="CZK",AD8039,IF(verze!$E$1="SK",AE8039,""))</f>
        <v>52.07582</v>
      </c>
    </row>
    <row r="8040" spans="27:32" ht="15">
      <c r="AA8040" s="463" t="s">
        <v>1320</v>
      </c>
      <c r="AB8040" s="462" t="s">
        <v>23745</v>
      </c>
      <c r="AC8040" s="462" t="s">
        <v>23746</v>
      </c>
      <c r="AD8040" s="464">
        <v>1066.4146800000001</v>
      </c>
      <c r="AE8040" s="465">
        <v>51.298389999999998</v>
      </c>
      <c r="AF8040" s="86">
        <f>IF(verze!$E$1="CZK",AD8040,IF(verze!$E$1="SK",AE8040,""))</f>
        <v>51.298389999999998</v>
      </c>
    </row>
    <row r="8041" spans="27:32" ht="15">
      <c r="AA8041" s="463" t="s">
        <v>1320</v>
      </c>
      <c r="AB8041" s="462" t="s">
        <v>23747</v>
      </c>
      <c r="AC8041" s="462" t="s">
        <v>23748</v>
      </c>
      <c r="AD8041" s="464">
        <v>882.41391999999996</v>
      </c>
      <c r="AE8041" s="465">
        <v>42.02861</v>
      </c>
      <c r="AF8041" s="86">
        <f>IF(verze!$E$1="CZK",AD8041,IF(verze!$E$1="SK",AE8041,""))</f>
        <v>42.02861</v>
      </c>
    </row>
    <row r="8042" spans="27:32" ht="15">
      <c r="AA8042" s="463" t="s">
        <v>1320</v>
      </c>
      <c r="AB8042" s="462" t="s">
        <v>23749</v>
      </c>
      <c r="AC8042" s="462" t="s">
        <v>23750</v>
      </c>
      <c r="AD8042" s="464">
        <v>828.63750000000005</v>
      </c>
      <c r="AE8042" s="465">
        <v>39.86045</v>
      </c>
      <c r="AF8042" s="86">
        <f>IF(verze!$E$1="CZK",AD8042,IF(verze!$E$1="SK",AE8042,""))</f>
        <v>39.86045</v>
      </c>
    </row>
    <row r="8043" spans="27:32" ht="15">
      <c r="AA8043" s="463" t="s">
        <v>1320</v>
      </c>
      <c r="AB8043" s="462" t="s">
        <v>23751</v>
      </c>
      <c r="AC8043" s="462" t="s">
        <v>23752</v>
      </c>
      <c r="AD8043" s="464">
        <v>1066.4146800000001</v>
      </c>
      <c r="AE8043" s="465">
        <v>51.298389999999998</v>
      </c>
      <c r="AF8043" s="86">
        <f>IF(verze!$E$1="CZK",AD8043,IF(verze!$E$1="SK",AE8043,""))</f>
        <v>51.298389999999998</v>
      </c>
    </row>
    <row r="8044" spans="27:32" ht="15">
      <c r="AA8044" s="463" t="s">
        <v>1320</v>
      </c>
      <c r="AB8044" s="462" t="s">
        <v>23753</v>
      </c>
      <c r="AC8044" s="462" t="s">
        <v>23754</v>
      </c>
      <c r="AD8044" s="464">
        <v>882.41391999999996</v>
      </c>
      <c r="AE8044" s="465">
        <v>42.02861</v>
      </c>
      <c r="AF8044" s="86">
        <f>IF(verze!$E$1="CZK",AD8044,IF(verze!$E$1="SK",AE8044,""))</f>
        <v>42.02861</v>
      </c>
    </row>
    <row r="8045" spans="27:32" ht="15">
      <c r="AA8045" s="463" t="s">
        <v>1320</v>
      </c>
      <c r="AB8045" s="462" t="s">
        <v>23755</v>
      </c>
      <c r="AC8045" s="462" t="s">
        <v>23756</v>
      </c>
      <c r="AD8045" s="464">
        <v>828.63750000000005</v>
      </c>
      <c r="AE8045" s="465">
        <v>39.86045</v>
      </c>
      <c r="AF8045" s="86">
        <f>IF(verze!$E$1="CZK",AD8045,IF(verze!$E$1="SK",AE8045,""))</f>
        <v>39.86045</v>
      </c>
    </row>
    <row r="8046" spans="27:32" ht="15">
      <c r="AA8046" s="463" t="s">
        <v>1320</v>
      </c>
      <c r="AB8046" s="462" t="s">
        <v>23757</v>
      </c>
      <c r="AC8046" s="462" t="s">
        <v>23758</v>
      </c>
      <c r="AD8046" s="464">
        <v>1066.4146800000001</v>
      </c>
      <c r="AE8046" s="465">
        <v>51.298389999999998</v>
      </c>
      <c r="AF8046" s="86">
        <f>IF(verze!$E$1="CZK",AD8046,IF(verze!$E$1="SK",AE8046,""))</f>
        <v>51.298389999999998</v>
      </c>
    </row>
    <row r="8047" spans="27:32" ht="15">
      <c r="AA8047" s="463" t="s">
        <v>1320</v>
      </c>
      <c r="AB8047" s="462" t="s">
        <v>23759</v>
      </c>
      <c r="AC8047" s="462" t="s">
        <v>23760</v>
      </c>
      <c r="AD8047" s="464">
        <v>882.41391999999996</v>
      </c>
      <c r="AE8047" s="465">
        <v>42.02861</v>
      </c>
      <c r="AF8047" s="86">
        <f>IF(verze!$E$1="CZK",AD8047,IF(verze!$E$1="SK",AE8047,""))</f>
        <v>42.02861</v>
      </c>
    </row>
    <row r="8048" spans="27:32" ht="15">
      <c r="AA8048" s="463" t="s">
        <v>1320</v>
      </c>
      <c r="AB8048" s="462" t="s">
        <v>23761</v>
      </c>
      <c r="AC8048" s="462" t="s">
        <v>23762</v>
      </c>
      <c r="AD8048" s="464">
        <v>828.63750000000005</v>
      </c>
      <c r="AE8048" s="465">
        <v>39.86045</v>
      </c>
      <c r="AF8048" s="86">
        <f>IF(verze!$E$1="CZK",AD8048,IF(verze!$E$1="SK",AE8048,""))</f>
        <v>39.86045</v>
      </c>
    </row>
    <row r="8049" spans="27:32" ht="15">
      <c r="AA8049" s="463" t="s">
        <v>1320</v>
      </c>
      <c r="AB8049" s="462" t="s">
        <v>23763</v>
      </c>
      <c r="AC8049" s="462" t="s">
        <v>23764</v>
      </c>
      <c r="AD8049" s="464">
        <v>1289.0762199999999</v>
      </c>
      <c r="AE8049" s="465">
        <v>62.009189999999997</v>
      </c>
      <c r="AF8049" s="86">
        <f>IF(verze!$E$1="CZK",AD8049,IF(verze!$E$1="SK",AE8049,""))</f>
        <v>62.009189999999997</v>
      </c>
    </row>
    <row r="8050" spans="27:32" ht="15">
      <c r="AA8050" s="463" t="s">
        <v>1320</v>
      </c>
      <c r="AB8050" s="462" t="s">
        <v>23765</v>
      </c>
      <c r="AC8050" s="462" t="s">
        <v>23766</v>
      </c>
      <c r="AD8050" s="464">
        <v>1007.94822</v>
      </c>
      <c r="AE8050" s="465">
        <v>47.93685</v>
      </c>
      <c r="AF8050" s="86">
        <f>IF(verze!$E$1="CZK",AD8050,IF(verze!$E$1="SK",AE8050,""))</f>
        <v>47.93685</v>
      </c>
    </row>
    <row r="8051" spans="27:32" ht="15">
      <c r="AA8051" s="463" t="s">
        <v>1320</v>
      </c>
      <c r="AB8051" s="462" t="s">
        <v>23767</v>
      </c>
      <c r="AC8051" s="462" t="s">
        <v>23768</v>
      </c>
      <c r="AD8051" s="464">
        <v>969.04952000000003</v>
      </c>
      <c r="AE8051" s="465">
        <v>46.61477</v>
      </c>
      <c r="AF8051" s="86">
        <f>IF(verze!$E$1="CZK",AD8051,IF(verze!$E$1="SK",AE8051,""))</f>
        <v>46.61477</v>
      </c>
    </row>
    <row r="8052" spans="27:32" ht="15">
      <c r="AA8052" s="463" t="s">
        <v>1320</v>
      </c>
      <c r="AB8052" s="462" t="s">
        <v>23769</v>
      </c>
      <c r="AC8052" s="462" t="s">
        <v>23770</v>
      </c>
      <c r="AD8052" s="464">
        <v>1289.0762199999999</v>
      </c>
      <c r="AE8052" s="465">
        <v>62.009189999999997</v>
      </c>
      <c r="AF8052" s="86">
        <f>IF(verze!$E$1="CZK",AD8052,IF(verze!$E$1="SK",AE8052,""))</f>
        <v>62.009189999999997</v>
      </c>
    </row>
    <row r="8053" spans="27:32" ht="15">
      <c r="AA8053" s="463" t="s">
        <v>1320</v>
      </c>
      <c r="AB8053" s="462" t="s">
        <v>23771</v>
      </c>
      <c r="AC8053" s="462" t="s">
        <v>23772</v>
      </c>
      <c r="AD8053" s="464">
        <v>1007.94822</v>
      </c>
      <c r="AE8053" s="465">
        <v>47.93685</v>
      </c>
      <c r="AF8053" s="86">
        <f>IF(verze!$E$1="CZK",AD8053,IF(verze!$E$1="SK",AE8053,""))</f>
        <v>47.93685</v>
      </c>
    </row>
    <row r="8054" spans="27:32" ht="15">
      <c r="AA8054" s="463" t="s">
        <v>1320</v>
      </c>
      <c r="AB8054" s="462" t="s">
        <v>23773</v>
      </c>
      <c r="AC8054" s="462" t="s">
        <v>23774</v>
      </c>
      <c r="AD8054" s="464">
        <v>969.04952000000003</v>
      </c>
      <c r="AE8054" s="465">
        <v>46.61477</v>
      </c>
      <c r="AF8054" s="86">
        <f>IF(verze!$E$1="CZK",AD8054,IF(verze!$E$1="SK",AE8054,""))</f>
        <v>46.61477</v>
      </c>
    </row>
    <row r="8055" spans="27:32" ht="15">
      <c r="AA8055" s="463" t="s">
        <v>1320</v>
      </c>
      <c r="AB8055" s="462" t="s">
        <v>23775</v>
      </c>
      <c r="AC8055" s="462" t="s">
        <v>23776</v>
      </c>
      <c r="AD8055" s="464">
        <v>1289.0762199999999</v>
      </c>
      <c r="AE8055" s="465">
        <v>62.009189999999997</v>
      </c>
      <c r="AF8055" s="86">
        <f>IF(verze!$E$1="CZK",AD8055,IF(verze!$E$1="SK",AE8055,""))</f>
        <v>62.009189999999997</v>
      </c>
    </row>
    <row r="8056" spans="27:32" ht="15">
      <c r="AA8056" s="463" t="s">
        <v>1320</v>
      </c>
      <c r="AB8056" s="462" t="s">
        <v>23777</v>
      </c>
      <c r="AC8056" s="462" t="s">
        <v>23778</v>
      </c>
      <c r="AD8056" s="464">
        <v>1007.94822</v>
      </c>
      <c r="AE8056" s="465">
        <v>47.93685</v>
      </c>
      <c r="AF8056" s="86">
        <f>IF(verze!$E$1="CZK",AD8056,IF(verze!$E$1="SK",AE8056,""))</f>
        <v>47.93685</v>
      </c>
    </row>
    <row r="8057" spans="27:32" ht="15">
      <c r="AA8057" s="463" t="s">
        <v>1320</v>
      </c>
      <c r="AB8057" s="462" t="s">
        <v>23779</v>
      </c>
      <c r="AC8057" s="462" t="s">
        <v>23780</v>
      </c>
      <c r="AD8057" s="464">
        <v>969.04952000000003</v>
      </c>
      <c r="AE8057" s="465">
        <v>46.61477</v>
      </c>
      <c r="AF8057" s="86">
        <f>IF(verze!$E$1="CZK",AD8057,IF(verze!$E$1="SK",AE8057,""))</f>
        <v>46.61477</v>
      </c>
    </row>
    <row r="8058" spans="27:32" ht="15">
      <c r="AA8058" s="463" t="s">
        <v>1320</v>
      </c>
      <c r="AB8058" s="462" t="s">
        <v>23781</v>
      </c>
      <c r="AC8058" s="462" t="s">
        <v>23782</v>
      </c>
      <c r="AD8058" s="464">
        <v>1202.2825800000001</v>
      </c>
      <c r="AE8058" s="465">
        <v>57.834130000000002</v>
      </c>
      <c r="AF8058" s="86">
        <f>IF(verze!$E$1="CZK",AD8058,IF(verze!$E$1="SK",AE8058,""))</f>
        <v>57.834130000000002</v>
      </c>
    </row>
    <row r="8059" spans="27:32" ht="15">
      <c r="AA8059" s="463" t="s">
        <v>1320</v>
      </c>
      <c r="AB8059" s="462" t="s">
        <v>23783</v>
      </c>
      <c r="AC8059" s="462" t="s">
        <v>23784</v>
      </c>
      <c r="AD8059" s="464">
        <v>907.05379000000005</v>
      </c>
      <c r="AE8059" s="465">
        <v>43.205109999999998</v>
      </c>
      <c r="AF8059" s="86">
        <f>IF(verze!$E$1="CZK",AD8059,IF(verze!$E$1="SK",AE8059,""))</f>
        <v>43.205109999999998</v>
      </c>
    </row>
    <row r="8060" spans="27:32" ht="15">
      <c r="AA8060" s="463" t="s">
        <v>1320</v>
      </c>
      <c r="AB8060" s="462" t="s">
        <v>23785</v>
      </c>
      <c r="AC8060" s="462" t="s">
        <v>23786</v>
      </c>
      <c r="AD8060" s="464">
        <v>850.92691000000002</v>
      </c>
      <c r="AE8060" s="465">
        <v>40.563510000000001</v>
      </c>
      <c r="AF8060" s="86">
        <f>IF(verze!$E$1="CZK",AD8060,IF(verze!$E$1="SK",AE8060,""))</f>
        <v>40.563510000000001</v>
      </c>
    </row>
    <row r="8061" spans="27:32" ht="15">
      <c r="AA8061" s="463" t="s">
        <v>1320</v>
      </c>
      <c r="AB8061" s="462" t="s">
        <v>23787</v>
      </c>
      <c r="AC8061" s="462" t="s">
        <v>23788</v>
      </c>
      <c r="AD8061" s="464">
        <v>1202.2825800000001</v>
      </c>
      <c r="AE8061" s="465">
        <v>57.834130000000002</v>
      </c>
      <c r="AF8061" s="86">
        <f>IF(verze!$E$1="CZK",AD8061,IF(verze!$E$1="SK",AE8061,""))</f>
        <v>57.834130000000002</v>
      </c>
    </row>
    <row r="8062" spans="27:32" ht="15">
      <c r="AA8062" s="463" t="s">
        <v>1320</v>
      </c>
      <c r="AB8062" s="462" t="s">
        <v>23789</v>
      </c>
      <c r="AC8062" s="462" t="s">
        <v>23790</v>
      </c>
      <c r="AD8062" s="464">
        <v>907.05379000000005</v>
      </c>
      <c r="AE8062" s="465">
        <v>43.205109999999998</v>
      </c>
      <c r="AF8062" s="86">
        <f>IF(verze!$E$1="CZK",AD8062,IF(verze!$E$1="SK",AE8062,""))</f>
        <v>43.205109999999998</v>
      </c>
    </row>
    <row r="8063" spans="27:32" ht="15">
      <c r="AA8063" s="463" t="s">
        <v>1320</v>
      </c>
      <c r="AB8063" s="462" t="s">
        <v>23791</v>
      </c>
      <c r="AC8063" s="462" t="s">
        <v>23792</v>
      </c>
      <c r="AD8063" s="464">
        <v>850.92691000000002</v>
      </c>
      <c r="AE8063" s="465">
        <v>40.563510000000001</v>
      </c>
      <c r="AF8063" s="86">
        <f>IF(verze!$E$1="CZK",AD8063,IF(verze!$E$1="SK",AE8063,""))</f>
        <v>40.563510000000001</v>
      </c>
    </row>
    <row r="8064" spans="27:32" ht="15">
      <c r="AA8064" s="463" t="s">
        <v>1320</v>
      </c>
      <c r="AB8064" s="462" t="s">
        <v>23793</v>
      </c>
      <c r="AC8064" s="462" t="s">
        <v>23794</v>
      </c>
      <c r="AD8064" s="464">
        <v>1202.2825800000001</v>
      </c>
      <c r="AE8064" s="465">
        <v>57.834130000000002</v>
      </c>
      <c r="AF8064" s="86">
        <f>IF(verze!$E$1="CZK",AD8064,IF(verze!$E$1="SK",AE8064,""))</f>
        <v>57.834130000000002</v>
      </c>
    </row>
    <row r="8065" spans="27:32" ht="15">
      <c r="AA8065" s="463" t="s">
        <v>1320</v>
      </c>
      <c r="AB8065" s="462" t="s">
        <v>23795</v>
      </c>
      <c r="AC8065" s="462" t="s">
        <v>23796</v>
      </c>
      <c r="AD8065" s="464">
        <v>907.05379000000005</v>
      </c>
      <c r="AE8065" s="465">
        <v>43.205109999999998</v>
      </c>
      <c r="AF8065" s="86">
        <f>IF(verze!$E$1="CZK",AD8065,IF(verze!$E$1="SK",AE8065,""))</f>
        <v>43.205109999999998</v>
      </c>
    </row>
    <row r="8066" spans="27:32" ht="15">
      <c r="AA8066" s="463" t="s">
        <v>1320</v>
      </c>
      <c r="AB8066" s="462" t="s">
        <v>23797</v>
      </c>
      <c r="AC8066" s="462" t="s">
        <v>23798</v>
      </c>
      <c r="AD8066" s="464">
        <v>850.92691000000002</v>
      </c>
      <c r="AE8066" s="465">
        <v>40.563510000000001</v>
      </c>
      <c r="AF8066" s="86">
        <f>IF(verze!$E$1="CZK",AD8066,IF(verze!$E$1="SK",AE8066,""))</f>
        <v>40.563510000000001</v>
      </c>
    </row>
    <row r="8067" spans="27:32" ht="15">
      <c r="AA8067" s="463" t="s">
        <v>1320</v>
      </c>
      <c r="AB8067" s="462" t="s">
        <v>23799</v>
      </c>
      <c r="AC8067" s="462" t="s">
        <v>23800</v>
      </c>
      <c r="AD8067" s="464">
        <v>1309.2970299999999</v>
      </c>
      <c r="AE8067" s="465">
        <v>62.981900000000003</v>
      </c>
      <c r="AF8067" s="86">
        <f>IF(verze!$E$1="CZK",AD8067,IF(verze!$E$1="SK",AE8067,""))</f>
        <v>62.981900000000003</v>
      </c>
    </row>
    <row r="8068" spans="27:32" ht="15">
      <c r="AA8068" s="463" t="s">
        <v>1320</v>
      </c>
      <c r="AB8068" s="462" t="s">
        <v>23801</v>
      </c>
      <c r="AC8068" s="462" t="s">
        <v>23802</v>
      </c>
      <c r="AD8068" s="464">
        <v>1031.95641</v>
      </c>
      <c r="AE8068" s="465">
        <v>49.083590000000001</v>
      </c>
      <c r="AF8068" s="86">
        <f>IF(verze!$E$1="CZK",AD8068,IF(verze!$E$1="SK",AE8068,""))</f>
        <v>49.083590000000001</v>
      </c>
    </row>
    <row r="8069" spans="27:32" ht="15">
      <c r="AA8069" s="463" t="s">
        <v>1320</v>
      </c>
      <c r="AB8069" s="462" t="s">
        <v>23803</v>
      </c>
      <c r="AC8069" s="462" t="s">
        <v>23804</v>
      </c>
      <c r="AD8069" s="464">
        <v>993.27043000000003</v>
      </c>
      <c r="AE8069" s="465">
        <v>47.779910000000001</v>
      </c>
      <c r="AF8069" s="86">
        <f>IF(verze!$E$1="CZK",AD8069,IF(verze!$E$1="SK",AE8069,""))</f>
        <v>47.779910000000001</v>
      </c>
    </row>
    <row r="8070" spans="27:32" ht="15">
      <c r="AA8070" s="463" t="s">
        <v>1320</v>
      </c>
      <c r="AB8070" s="462" t="s">
        <v>23805</v>
      </c>
      <c r="AC8070" s="462" t="s">
        <v>23806</v>
      </c>
      <c r="AD8070" s="464">
        <v>1309.2970299999999</v>
      </c>
      <c r="AE8070" s="465">
        <v>62.981900000000003</v>
      </c>
      <c r="AF8070" s="86">
        <f>IF(verze!$E$1="CZK",AD8070,IF(verze!$E$1="SK",AE8070,""))</f>
        <v>62.981900000000003</v>
      </c>
    </row>
    <row r="8071" spans="27:32" ht="15">
      <c r="AA8071" s="463" t="s">
        <v>1320</v>
      </c>
      <c r="AB8071" s="462" t="s">
        <v>23807</v>
      </c>
      <c r="AC8071" s="462" t="s">
        <v>23808</v>
      </c>
      <c r="AD8071" s="464">
        <v>1031.95641</v>
      </c>
      <c r="AE8071" s="465">
        <v>49.083590000000001</v>
      </c>
      <c r="AF8071" s="86">
        <f>IF(verze!$E$1="CZK",AD8071,IF(verze!$E$1="SK",AE8071,""))</f>
        <v>49.083590000000001</v>
      </c>
    </row>
    <row r="8072" spans="27:32" ht="15">
      <c r="AA8072" s="463" t="s">
        <v>1320</v>
      </c>
      <c r="AB8072" s="462" t="s">
        <v>23809</v>
      </c>
      <c r="AC8072" s="462" t="s">
        <v>23810</v>
      </c>
      <c r="AD8072" s="464">
        <v>993.27043000000003</v>
      </c>
      <c r="AE8072" s="465">
        <v>47.779910000000001</v>
      </c>
      <c r="AF8072" s="86">
        <f>IF(verze!$E$1="CZK",AD8072,IF(verze!$E$1="SK",AE8072,""))</f>
        <v>47.779910000000001</v>
      </c>
    </row>
    <row r="8073" spans="27:32" ht="15">
      <c r="AA8073" s="463" t="s">
        <v>1320</v>
      </c>
      <c r="AB8073" s="462" t="s">
        <v>23811</v>
      </c>
      <c r="AC8073" s="462" t="s">
        <v>23812</v>
      </c>
      <c r="AD8073" s="464">
        <v>1309.2970299999999</v>
      </c>
      <c r="AE8073" s="465">
        <v>62.981900000000003</v>
      </c>
      <c r="AF8073" s="86">
        <f>IF(verze!$E$1="CZK",AD8073,IF(verze!$E$1="SK",AE8073,""))</f>
        <v>62.981900000000003</v>
      </c>
    </row>
    <row r="8074" spans="27:32" ht="15">
      <c r="AA8074" s="463" t="s">
        <v>1320</v>
      </c>
      <c r="AB8074" s="462" t="s">
        <v>23813</v>
      </c>
      <c r="AC8074" s="462" t="s">
        <v>23814</v>
      </c>
      <c r="AD8074" s="464">
        <v>1031.95641</v>
      </c>
      <c r="AE8074" s="465">
        <v>49.083590000000001</v>
      </c>
      <c r="AF8074" s="86">
        <f>IF(verze!$E$1="CZK",AD8074,IF(verze!$E$1="SK",AE8074,""))</f>
        <v>49.083590000000001</v>
      </c>
    </row>
    <row r="8075" spans="27:32" ht="15">
      <c r="AA8075" s="463" t="s">
        <v>1320</v>
      </c>
      <c r="AB8075" s="462" t="s">
        <v>23815</v>
      </c>
      <c r="AC8075" s="462" t="s">
        <v>23816</v>
      </c>
      <c r="AD8075" s="464">
        <v>993.27043000000003</v>
      </c>
      <c r="AE8075" s="465">
        <v>47.779910000000001</v>
      </c>
      <c r="AF8075" s="86">
        <f>IF(verze!$E$1="CZK",AD8075,IF(verze!$E$1="SK",AE8075,""))</f>
        <v>47.779910000000001</v>
      </c>
    </row>
    <row r="8076" spans="27:32" ht="15">
      <c r="AA8076" s="463" t="s">
        <v>1320</v>
      </c>
      <c r="AB8076" s="462" t="s">
        <v>23817</v>
      </c>
      <c r="AC8076" s="462" t="s">
        <v>23818</v>
      </c>
      <c r="AD8076" s="464">
        <v>1349.7387200000001</v>
      </c>
      <c r="AE8076" s="465">
        <v>64.927340000000001</v>
      </c>
      <c r="AF8076" s="86">
        <f>IF(verze!$E$1="CZK",AD8076,IF(verze!$E$1="SK",AE8076,""))</f>
        <v>64.927340000000001</v>
      </c>
    </row>
    <row r="8077" spans="27:32" ht="15">
      <c r="AA8077" s="463" t="s">
        <v>1320</v>
      </c>
      <c r="AB8077" s="462" t="s">
        <v>23819</v>
      </c>
      <c r="AC8077" s="462" t="s">
        <v>23820</v>
      </c>
      <c r="AD8077" s="464">
        <v>1095.0525299999999</v>
      </c>
      <c r="AE8077" s="465">
        <v>52.676000000000002</v>
      </c>
      <c r="AF8077" s="86">
        <f>IF(verze!$E$1="CZK",AD8077,IF(verze!$E$1="SK",AE8077,""))</f>
        <v>52.676000000000002</v>
      </c>
    </row>
    <row r="8078" spans="27:32" ht="15">
      <c r="AA8078" s="463" t="s">
        <v>1320</v>
      </c>
      <c r="AB8078" s="462" t="s">
        <v>23821</v>
      </c>
      <c r="AC8078" s="462" t="s">
        <v>23822</v>
      </c>
      <c r="AD8078" s="464">
        <v>1041.7128299999999</v>
      </c>
      <c r="AE8078" s="465">
        <v>50.110140000000001</v>
      </c>
      <c r="AF8078" s="86">
        <f>IF(verze!$E$1="CZK",AD8078,IF(verze!$E$1="SK",AE8078,""))</f>
        <v>50.110140000000001</v>
      </c>
    </row>
    <row r="8079" spans="27:32" ht="15">
      <c r="AA8079" s="463" t="s">
        <v>1320</v>
      </c>
      <c r="AB8079" s="462" t="s">
        <v>23823</v>
      </c>
      <c r="AC8079" s="462" t="s">
        <v>23824</v>
      </c>
      <c r="AD8079" s="464">
        <v>1349.7387200000001</v>
      </c>
      <c r="AE8079" s="465">
        <v>64.927340000000001</v>
      </c>
      <c r="AF8079" s="86">
        <f>IF(verze!$E$1="CZK",AD8079,IF(verze!$E$1="SK",AE8079,""))</f>
        <v>64.927340000000001</v>
      </c>
    </row>
    <row r="8080" spans="27:32" ht="15">
      <c r="AA8080" s="463" t="s">
        <v>1320</v>
      </c>
      <c r="AB8080" s="462" t="s">
        <v>23825</v>
      </c>
      <c r="AC8080" s="462" t="s">
        <v>23826</v>
      </c>
      <c r="AD8080" s="464">
        <v>1095.0525299999999</v>
      </c>
      <c r="AE8080" s="465">
        <v>52.676000000000002</v>
      </c>
      <c r="AF8080" s="86">
        <f>IF(verze!$E$1="CZK",AD8080,IF(verze!$E$1="SK",AE8080,""))</f>
        <v>52.676000000000002</v>
      </c>
    </row>
    <row r="8081" spans="27:32" ht="15">
      <c r="AA8081" s="463" t="s">
        <v>1320</v>
      </c>
      <c r="AB8081" s="462" t="s">
        <v>23827</v>
      </c>
      <c r="AC8081" s="462" t="s">
        <v>23828</v>
      </c>
      <c r="AD8081" s="464">
        <v>1041.7128299999999</v>
      </c>
      <c r="AE8081" s="465">
        <v>50.110140000000001</v>
      </c>
      <c r="AF8081" s="86">
        <f>IF(verze!$E$1="CZK",AD8081,IF(verze!$E$1="SK",AE8081,""))</f>
        <v>50.110140000000001</v>
      </c>
    </row>
    <row r="8082" spans="27:32" ht="15">
      <c r="AA8082" s="463" t="s">
        <v>1320</v>
      </c>
      <c r="AB8082" s="462" t="s">
        <v>23829</v>
      </c>
      <c r="AC8082" s="462" t="s">
        <v>23830</v>
      </c>
      <c r="AD8082" s="464">
        <v>1349.7387200000001</v>
      </c>
      <c r="AE8082" s="465">
        <v>64.927340000000001</v>
      </c>
      <c r="AF8082" s="86">
        <f>IF(verze!$E$1="CZK",AD8082,IF(verze!$E$1="SK",AE8082,""))</f>
        <v>64.927340000000001</v>
      </c>
    </row>
    <row r="8083" spans="27:32" ht="15">
      <c r="AA8083" s="463" t="s">
        <v>1320</v>
      </c>
      <c r="AB8083" s="462" t="s">
        <v>23831</v>
      </c>
      <c r="AC8083" s="462" t="s">
        <v>23832</v>
      </c>
      <c r="AD8083" s="464">
        <v>1095.0525299999999</v>
      </c>
      <c r="AE8083" s="465">
        <v>52.676000000000002</v>
      </c>
      <c r="AF8083" s="86">
        <f>IF(verze!$E$1="CZK",AD8083,IF(verze!$E$1="SK",AE8083,""))</f>
        <v>52.676000000000002</v>
      </c>
    </row>
    <row r="8084" spans="27:32" ht="15">
      <c r="AA8084" s="463" t="s">
        <v>1320</v>
      </c>
      <c r="AB8084" s="462" t="s">
        <v>23833</v>
      </c>
      <c r="AC8084" s="462" t="s">
        <v>23834</v>
      </c>
      <c r="AD8084" s="464">
        <v>1041.7128299999999</v>
      </c>
      <c r="AE8084" s="465">
        <v>50.110140000000001</v>
      </c>
      <c r="AF8084" s="86">
        <f>IF(verze!$E$1="CZK",AD8084,IF(verze!$E$1="SK",AE8084,""))</f>
        <v>50.110140000000001</v>
      </c>
    </row>
    <row r="8085" spans="27:32" ht="15">
      <c r="AA8085" s="463" t="s">
        <v>1320</v>
      </c>
      <c r="AB8085" s="462" t="s">
        <v>23835</v>
      </c>
      <c r="AC8085" s="462" t="s">
        <v>23836</v>
      </c>
      <c r="AD8085" s="464">
        <v>1029.4195</v>
      </c>
      <c r="AE8085" s="465">
        <v>49.51876</v>
      </c>
      <c r="AF8085" s="86">
        <f>IF(verze!$E$1="CZK",AD8085,IF(verze!$E$1="SK",AE8085,""))</f>
        <v>49.51876</v>
      </c>
    </row>
    <row r="8086" spans="27:32" ht="15">
      <c r="AA8086" s="463" t="s">
        <v>1320</v>
      </c>
      <c r="AB8086" s="462" t="s">
        <v>23837</v>
      </c>
      <c r="AC8086" s="462" t="s">
        <v>23838</v>
      </c>
      <c r="AD8086" s="464">
        <v>1029.4195</v>
      </c>
      <c r="AE8086" s="465">
        <v>49.51876</v>
      </c>
      <c r="AF8086" s="86">
        <f>IF(verze!$E$1="CZK",AD8086,IF(verze!$E$1="SK",AE8086,""))</f>
        <v>49.51876</v>
      </c>
    </row>
    <row r="8087" spans="27:32" ht="15">
      <c r="AA8087" s="463" t="s">
        <v>1320</v>
      </c>
      <c r="AB8087" s="462" t="s">
        <v>23839</v>
      </c>
      <c r="AC8087" s="462" t="s">
        <v>23840</v>
      </c>
      <c r="AD8087" s="464">
        <v>1029.4195</v>
      </c>
      <c r="AE8087" s="465">
        <v>49.51876</v>
      </c>
      <c r="AF8087" s="86">
        <f>IF(verze!$E$1="CZK",AD8087,IF(verze!$E$1="SK",AE8087,""))</f>
        <v>49.51876</v>
      </c>
    </row>
    <row r="8088" spans="27:32" ht="15">
      <c r="AA8088" s="463" t="s">
        <v>1320</v>
      </c>
      <c r="AB8088" s="462" t="s">
        <v>23841</v>
      </c>
      <c r="AC8088" s="462" t="s">
        <v>23842</v>
      </c>
      <c r="AD8088" s="464">
        <v>1328.11148</v>
      </c>
      <c r="AE8088" s="465">
        <v>63.886949999999999</v>
      </c>
      <c r="AF8088" s="86">
        <f>IF(verze!$E$1="CZK",AD8088,IF(verze!$E$1="SK",AE8088,""))</f>
        <v>63.886949999999999</v>
      </c>
    </row>
    <row r="8089" spans="27:32" ht="15">
      <c r="AA8089" s="463" t="s">
        <v>1320</v>
      </c>
      <c r="AB8089" s="462" t="s">
        <v>23843</v>
      </c>
      <c r="AC8089" s="462" t="s">
        <v>23844</v>
      </c>
      <c r="AD8089" s="464">
        <v>1029.4195</v>
      </c>
      <c r="AE8089" s="465">
        <v>49.51876</v>
      </c>
      <c r="AF8089" s="86">
        <f>IF(verze!$E$1="CZK",AD8089,IF(verze!$E$1="SK",AE8089,""))</f>
        <v>49.51876</v>
      </c>
    </row>
    <row r="8090" spans="27:32" ht="15">
      <c r="AA8090" s="463" t="s">
        <v>1320</v>
      </c>
      <c r="AB8090" s="462" t="s">
        <v>23845</v>
      </c>
      <c r="AC8090" s="462" t="s">
        <v>23846</v>
      </c>
      <c r="AD8090" s="464">
        <v>971.75909999999999</v>
      </c>
      <c r="AE8090" s="465">
        <v>46.74512</v>
      </c>
      <c r="AF8090" s="86">
        <f>IF(verze!$E$1="CZK",AD8090,IF(verze!$E$1="SK",AE8090,""))</f>
        <v>46.74512</v>
      </c>
    </row>
    <row r="8091" spans="27:32" ht="15">
      <c r="AA8091" s="463" t="s">
        <v>1320</v>
      </c>
      <c r="AB8091" s="462" t="s">
        <v>23847</v>
      </c>
      <c r="AC8091" s="462" t="s">
        <v>23848</v>
      </c>
      <c r="AD8091" s="464">
        <v>1328.11148</v>
      </c>
      <c r="AE8091" s="465">
        <v>63.886949999999999</v>
      </c>
      <c r="AF8091" s="86">
        <f>IF(verze!$E$1="CZK",AD8091,IF(verze!$E$1="SK",AE8091,""))</f>
        <v>63.886949999999999</v>
      </c>
    </row>
    <row r="8092" spans="27:32" ht="15">
      <c r="AA8092" s="463" t="s">
        <v>1320</v>
      </c>
      <c r="AB8092" s="462" t="s">
        <v>23849</v>
      </c>
      <c r="AC8092" s="462" t="s">
        <v>23850</v>
      </c>
      <c r="AD8092" s="464">
        <v>1029.4195</v>
      </c>
      <c r="AE8092" s="465">
        <v>49.51876</v>
      </c>
      <c r="AF8092" s="86">
        <f>IF(verze!$E$1="CZK",AD8092,IF(verze!$E$1="SK",AE8092,""))</f>
        <v>49.51876</v>
      </c>
    </row>
    <row r="8093" spans="27:32" ht="15">
      <c r="AA8093" s="463" t="s">
        <v>1320</v>
      </c>
      <c r="AB8093" s="462" t="s">
        <v>23851</v>
      </c>
      <c r="AC8093" s="462" t="s">
        <v>23852</v>
      </c>
      <c r="AD8093" s="464">
        <v>971.75909999999999</v>
      </c>
      <c r="AE8093" s="465">
        <v>46.74512</v>
      </c>
      <c r="AF8093" s="86">
        <f>IF(verze!$E$1="CZK",AD8093,IF(verze!$E$1="SK",AE8093,""))</f>
        <v>46.74512</v>
      </c>
    </row>
    <row r="8094" spans="27:32" ht="15">
      <c r="AA8094" s="463" t="s">
        <v>1320</v>
      </c>
      <c r="AB8094" s="462" t="s">
        <v>23853</v>
      </c>
      <c r="AC8094" s="462" t="s">
        <v>23854</v>
      </c>
      <c r="AD8094" s="464">
        <v>1328.11148</v>
      </c>
      <c r="AE8094" s="465">
        <v>63.886949999999999</v>
      </c>
      <c r="AF8094" s="86">
        <f>IF(verze!$E$1="CZK",AD8094,IF(verze!$E$1="SK",AE8094,""))</f>
        <v>63.886949999999999</v>
      </c>
    </row>
    <row r="8095" spans="27:32" ht="15">
      <c r="AA8095" s="463" t="s">
        <v>1320</v>
      </c>
      <c r="AB8095" s="462" t="s">
        <v>23855</v>
      </c>
      <c r="AC8095" s="462" t="s">
        <v>23856</v>
      </c>
      <c r="AD8095" s="464">
        <v>1029.4195</v>
      </c>
      <c r="AE8095" s="465">
        <v>49.51876</v>
      </c>
      <c r="AF8095" s="86">
        <f>IF(verze!$E$1="CZK",AD8095,IF(verze!$E$1="SK",AE8095,""))</f>
        <v>49.51876</v>
      </c>
    </row>
    <row r="8096" spans="27:32" ht="15">
      <c r="AA8096" s="463" t="s">
        <v>1320</v>
      </c>
      <c r="AB8096" s="462" t="s">
        <v>23857</v>
      </c>
      <c r="AC8096" s="462" t="s">
        <v>23858</v>
      </c>
      <c r="AD8096" s="464">
        <v>971.75909999999999</v>
      </c>
      <c r="AE8096" s="465">
        <v>46.74512</v>
      </c>
      <c r="AF8096" s="86">
        <f>IF(verze!$E$1="CZK",AD8096,IF(verze!$E$1="SK",AE8096,""))</f>
        <v>46.74512</v>
      </c>
    </row>
    <row r="8097" spans="27:32" ht="15">
      <c r="AA8097" s="463" t="s">
        <v>1320</v>
      </c>
      <c r="AB8097" s="462" t="s">
        <v>23859</v>
      </c>
      <c r="AC8097" s="462" t="s">
        <v>23860</v>
      </c>
      <c r="AD8097" s="464">
        <v>1029.4195</v>
      </c>
      <c r="AE8097" s="465">
        <v>49.51876</v>
      </c>
      <c r="AF8097" s="86">
        <f>IF(verze!$E$1="CZK",AD8097,IF(verze!$E$1="SK",AE8097,""))</f>
        <v>49.51876</v>
      </c>
    </row>
    <row r="8098" spans="27:32" ht="15">
      <c r="AA8098" s="463" t="s">
        <v>1320</v>
      </c>
      <c r="AB8098" s="462" t="s">
        <v>23861</v>
      </c>
      <c r="AC8098" s="462" t="s">
        <v>23862</v>
      </c>
      <c r="AD8098" s="464">
        <v>1029.4195</v>
      </c>
      <c r="AE8098" s="465">
        <v>49.51876</v>
      </c>
      <c r="AF8098" s="86">
        <f>IF(verze!$E$1="CZK",AD8098,IF(verze!$E$1="SK",AE8098,""))</f>
        <v>49.51876</v>
      </c>
    </row>
    <row r="8099" spans="27:32" ht="15">
      <c r="AA8099" s="463" t="s">
        <v>1320</v>
      </c>
      <c r="AB8099" s="462" t="s">
        <v>23863</v>
      </c>
      <c r="AC8099" s="462" t="s">
        <v>23864</v>
      </c>
      <c r="AD8099" s="464">
        <v>1029.4195</v>
      </c>
      <c r="AE8099" s="465">
        <v>49.51876</v>
      </c>
      <c r="AF8099" s="86">
        <f>IF(verze!$E$1="CZK",AD8099,IF(verze!$E$1="SK",AE8099,""))</f>
        <v>49.51876</v>
      </c>
    </row>
    <row r="8100" spans="27:32" ht="15">
      <c r="AA8100" s="463" t="s">
        <v>1320</v>
      </c>
      <c r="AB8100" s="462" t="s">
        <v>23865</v>
      </c>
      <c r="AC8100" s="462" t="s">
        <v>23866</v>
      </c>
      <c r="AD8100" s="464">
        <v>1328.11148</v>
      </c>
      <c r="AE8100" s="465">
        <v>63.886949999999999</v>
      </c>
      <c r="AF8100" s="86">
        <f>IF(verze!$E$1="CZK",AD8100,IF(verze!$E$1="SK",AE8100,""))</f>
        <v>63.886949999999999</v>
      </c>
    </row>
    <row r="8101" spans="27:32" ht="15">
      <c r="AA8101" s="463" t="s">
        <v>1320</v>
      </c>
      <c r="AB8101" s="462" t="s">
        <v>23867</v>
      </c>
      <c r="AC8101" s="462" t="s">
        <v>23868</v>
      </c>
      <c r="AD8101" s="464">
        <v>1029.4195</v>
      </c>
      <c r="AE8101" s="465">
        <v>49.51876</v>
      </c>
      <c r="AF8101" s="86">
        <f>IF(verze!$E$1="CZK",AD8101,IF(verze!$E$1="SK",AE8101,""))</f>
        <v>49.51876</v>
      </c>
    </row>
    <row r="8102" spans="27:32" ht="15">
      <c r="AA8102" s="463" t="s">
        <v>1320</v>
      </c>
      <c r="AB8102" s="462" t="s">
        <v>23869</v>
      </c>
      <c r="AC8102" s="462" t="s">
        <v>23870</v>
      </c>
      <c r="AD8102" s="464">
        <v>971.75909999999999</v>
      </c>
      <c r="AE8102" s="465">
        <v>46.74512</v>
      </c>
      <c r="AF8102" s="86">
        <f>IF(verze!$E$1="CZK",AD8102,IF(verze!$E$1="SK",AE8102,""))</f>
        <v>46.74512</v>
      </c>
    </row>
    <row r="8103" spans="27:32" ht="15">
      <c r="AA8103" s="463" t="s">
        <v>1320</v>
      </c>
      <c r="AB8103" s="462" t="s">
        <v>23871</v>
      </c>
      <c r="AC8103" s="462" t="s">
        <v>23872</v>
      </c>
      <c r="AD8103" s="464">
        <v>1328.11148</v>
      </c>
      <c r="AE8103" s="465">
        <v>63.886949999999999</v>
      </c>
      <c r="AF8103" s="86">
        <f>IF(verze!$E$1="CZK",AD8103,IF(verze!$E$1="SK",AE8103,""))</f>
        <v>63.886949999999999</v>
      </c>
    </row>
    <row r="8104" spans="27:32" ht="15">
      <c r="AA8104" s="463" t="s">
        <v>1320</v>
      </c>
      <c r="AB8104" s="462" t="s">
        <v>23873</v>
      </c>
      <c r="AC8104" s="462" t="s">
        <v>23874</v>
      </c>
      <c r="AD8104" s="464">
        <v>1029.4195</v>
      </c>
      <c r="AE8104" s="465">
        <v>49.51876</v>
      </c>
      <c r="AF8104" s="86">
        <f>IF(verze!$E$1="CZK",AD8104,IF(verze!$E$1="SK",AE8104,""))</f>
        <v>49.51876</v>
      </c>
    </row>
    <row r="8105" spans="27:32" ht="15">
      <c r="AA8105" s="463" t="s">
        <v>1320</v>
      </c>
      <c r="AB8105" s="462" t="s">
        <v>23875</v>
      </c>
      <c r="AC8105" s="462" t="s">
        <v>23876</v>
      </c>
      <c r="AD8105" s="464">
        <v>971.75909999999999</v>
      </c>
      <c r="AE8105" s="465">
        <v>46.74512</v>
      </c>
      <c r="AF8105" s="86">
        <f>IF(verze!$E$1="CZK",AD8105,IF(verze!$E$1="SK",AE8105,""))</f>
        <v>46.74512</v>
      </c>
    </row>
    <row r="8106" spans="27:32" ht="15">
      <c r="AA8106" s="463" t="s">
        <v>1320</v>
      </c>
      <c r="AB8106" s="462" t="s">
        <v>23877</v>
      </c>
      <c r="AC8106" s="462" t="s">
        <v>23878</v>
      </c>
      <c r="AD8106" s="464">
        <v>1328.11148</v>
      </c>
      <c r="AE8106" s="465">
        <v>63.886949999999999</v>
      </c>
      <c r="AF8106" s="86">
        <f>IF(verze!$E$1="CZK",AD8106,IF(verze!$E$1="SK",AE8106,""))</f>
        <v>63.886949999999999</v>
      </c>
    </row>
    <row r="8107" spans="27:32" ht="15">
      <c r="AA8107" s="463" t="s">
        <v>1320</v>
      </c>
      <c r="AB8107" s="462" t="s">
        <v>23879</v>
      </c>
      <c r="AC8107" s="462" t="s">
        <v>23880</v>
      </c>
      <c r="AD8107" s="464">
        <v>1029.4195</v>
      </c>
      <c r="AE8107" s="465">
        <v>49.51876</v>
      </c>
      <c r="AF8107" s="86">
        <f>IF(verze!$E$1="CZK",AD8107,IF(verze!$E$1="SK",AE8107,""))</f>
        <v>49.51876</v>
      </c>
    </row>
    <row r="8108" spans="27:32" ht="15">
      <c r="AA8108" s="463" t="s">
        <v>1320</v>
      </c>
      <c r="AB8108" s="462" t="s">
        <v>23881</v>
      </c>
      <c r="AC8108" s="462" t="s">
        <v>23882</v>
      </c>
      <c r="AD8108" s="464">
        <v>971.75909999999999</v>
      </c>
      <c r="AE8108" s="465">
        <v>46.74512</v>
      </c>
      <c r="AF8108" s="86">
        <f>IF(verze!$E$1="CZK",AD8108,IF(verze!$E$1="SK",AE8108,""))</f>
        <v>46.74512</v>
      </c>
    </row>
    <row r="8109" spans="27:32" ht="15">
      <c r="AA8109" s="463" t="s">
        <v>1320</v>
      </c>
      <c r="AB8109" s="462" t="s">
        <v>23883</v>
      </c>
      <c r="AC8109" s="462" t="s">
        <v>23884</v>
      </c>
      <c r="AD8109" s="464">
        <v>1436.2285899999999</v>
      </c>
      <c r="AE8109" s="465">
        <v>69.087770000000006</v>
      </c>
      <c r="AF8109" s="86">
        <f>IF(verze!$E$1="CZK",AD8109,IF(verze!$E$1="SK",AE8109,""))</f>
        <v>69.087770000000006</v>
      </c>
    </row>
    <row r="8110" spans="27:32" ht="15">
      <c r="AA8110" s="463" t="s">
        <v>1320</v>
      </c>
      <c r="AB8110" s="462" t="s">
        <v>23885</v>
      </c>
      <c r="AC8110" s="462" t="s">
        <v>23886</v>
      </c>
      <c r="AD8110" s="464">
        <v>1159.94048</v>
      </c>
      <c r="AE8110" s="465">
        <v>55.797339999999998</v>
      </c>
      <c r="AF8110" s="86">
        <f>IF(verze!$E$1="CZK",AD8110,IF(verze!$E$1="SK",AE8110,""))</f>
        <v>55.797339999999998</v>
      </c>
    </row>
    <row r="8111" spans="27:32" ht="15">
      <c r="AA8111" s="463" t="s">
        <v>1320</v>
      </c>
      <c r="AB8111" s="462" t="s">
        <v>23887</v>
      </c>
      <c r="AC8111" s="462" t="s">
        <v>23888</v>
      </c>
      <c r="AD8111" s="464">
        <v>1106.60078</v>
      </c>
      <c r="AE8111" s="465">
        <v>53.231479999999998</v>
      </c>
      <c r="AF8111" s="86">
        <f>IF(verze!$E$1="CZK",AD8111,IF(verze!$E$1="SK",AE8111,""))</f>
        <v>53.231479999999998</v>
      </c>
    </row>
    <row r="8112" spans="27:32" ht="15">
      <c r="AA8112" s="463" t="s">
        <v>1320</v>
      </c>
      <c r="AB8112" s="462" t="s">
        <v>23889</v>
      </c>
      <c r="AC8112" s="462" t="s">
        <v>23890</v>
      </c>
      <c r="AD8112" s="464">
        <v>1436.2285899999999</v>
      </c>
      <c r="AE8112" s="465">
        <v>69.087770000000006</v>
      </c>
      <c r="AF8112" s="86">
        <f>IF(verze!$E$1="CZK",AD8112,IF(verze!$E$1="SK",AE8112,""))</f>
        <v>69.087770000000006</v>
      </c>
    </row>
    <row r="8113" spans="27:32" ht="15">
      <c r="AA8113" s="463" t="s">
        <v>1320</v>
      </c>
      <c r="AB8113" s="462" t="s">
        <v>23891</v>
      </c>
      <c r="AC8113" s="462" t="s">
        <v>23892</v>
      </c>
      <c r="AD8113" s="464">
        <v>1159.94048</v>
      </c>
      <c r="AE8113" s="465">
        <v>55.797339999999998</v>
      </c>
      <c r="AF8113" s="86">
        <f>IF(verze!$E$1="CZK",AD8113,IF(verze!$E$1="SK",AE8113,""))</f>
        <v>55.797339999999998</v>
      </c>
    </row>
    <row r="8114" spans="27:32" ht="15">
      <c r="AA8114" s="463" t="s">
        <v>1320</v>
      </c>
      <c r="AB8114" s="462" t="s">
        <v>23893</v>
      </c>
      <c r="AC8114" s="462" t="s">
        <v>23894</v>
      </c>
      <c r="AD8114" s="464">
        <v>1106.60078</v>
      </c>
      <c r="AE8114" s="465">
        <v>53.231479999999998</v>
      </c>
      <c r="AF8114" s="86">
        <f>IF(verze!$E$1="CZK",AD8114,IF(verze!$E$1="SK",AE8114,""))</f>
        <v>53.231479999999998</v>
      </c>
    </row>
    <row r="8115" spans="27:32" ht="15">
      <c r="AA8115" s="463" t="s">
        <v>1320</v>
      </c>
      <c r="AB8115" s="462" t="s">
        <v>23895</v>
      </c>
      <c r="AC8115" s="462" t="s">
        <v>23896</v>
      </c>
      <c r="AD8115" s="464">
        <v>1436.2285899999999</v>
      </c>
      <c r="AE8115" s="465">
        <v>69.087770000000006</v>
      </c>
      <c r="AF8115" s="86">
        <f>IF(verze!$E$1="CZK",AD8115,IF(verze!$E$1="SK",AE8115,""))</f>
        <v>69.087770000000006</v>
      </c>
    </row>
    <row r="8116" spans="27:32" ht="15">
      <c r="AA8116" s="463" t="s">
        <v>1320</v>
      </c>
      <c r="AB8116" s="462" t="s">
        <v>23897</v>
      </c>
      <c r="AC8116" s="462" t="s">
        <v>23898</v>
      </c>
      <c r="AD8116" s="464">
        <v>1159.94048</v>
      </c>
      <c r="AE8116" s="465">
        <v>55.797339999999998</v>
      </c>
      <c r="AF8116" s="86">
        <f>IF(verze!$E$1="CZK",AD8116,IF(verze!$E$1="SK",AE8116,""))</f>
        <v>55.797339999999998</v>
      </c>
    </row>
    <row r="8117" spans="27:32" ht="15">
      <c r="AA8117" s="463" t="s">
        <v>1320</v>
      </c>
      <c r="AB8117" s="462" t="s">
        <v>23899</v>
      </c>
      <c r="AC8117" s="462" t="s">
        <v>23900</v>
      </c>
      <c r="AD8117" s="464">
        <v>1106.60078</v>
      </c>
      <c r="AE8117" s="465">
        <v>53.231479999999998</v>
      </c>
      <c r="AF8117" s="86">
        <f>IF(verze!$E$1="CZK",AD8117,IF(verze!$E$1="SK",AE8117,""))</f>
        <v>53.231479999999998</v>
      </c>
    </row>
    <row r="8118" spans="27:32" ht="15">
      <c r="AA8118" s="463" t="s">
        <v>1320</v>
      </c>
      <c r="AB8118" s="462" t="s">
        <v>23901</v>
      </c>
      <c r="AC8118" s="462" t="s">
        <v>23902</v>
      </c>
      <c r="AD8118" s="464">
        <v>1029.4195</v>
      </c>
      <c r="AE8118" s="465">
        <v>49.51876</v>
      </c>
      <c r="AF8118" s="86">
        <f>IF(verze!$E$1="CZK",AD8118,IF(verze!$E$1="SK",AE8118,""))</f>
        <v>49.51876</v>
      </c>
    </row>
    <row r="8119" spans="27:32" ht="15">
      <c r="AA8119" s="463" t="s">
        <v>1320</v>
      </c>
      <c r="AB8119" s="462" t="s">
        <v>23903</v>
      </c>
      <c r="AC8119" s="462" t="s">
        <v>23904</v>
      </c>
      <c r="AD8119" s="464">
        <v>1029.4195</v>
      </c>
      <c r="AE8119" s="465">
        <v>49.51876</v>
      </c>
      <c r="AF8119" s="86">
        <f>IF(verze!$E$1="CZK",AD8119,IF(verze!$E$1="SK",AE8119,""))</f>
        <v>49.51876</v>
      </c>
    </row>
    <row r="8120" spans="27:32" ht="15">
      <c r="AA8120" s="463" t="s">
        <v>1320</v>
      </c>
      <c r="AB8120" s="462" t="s">
        <v>23905</v>
      </c>
      <c r="AC8120" s="462" t="s">
        <v>23906</v>
      </c>
      <c r="AD8120" s="464">
        <v>1029.4195</v>
      </c>
      <c r="AE8120" s="465">
        <v>49.51876</v>
      </c>
      <c r="AF8120" s="86">
        <f>IF(verze!$E$1="CZK",AD8120,IF(verze!$E$1="SK",AE8120,""))</f>
        <v>49.51876</v>
      </c>
    </row>
    <row r="8121" spans="27:32" ht="15">
      <c r="AA8121" s="463" t="s">
        <v>1320</v>
      </c>
      <c r="AB8121" s="462" t="s">
        <v>23907</v>
      </c>
      <c r="AC8121" s="462" t="s">
        <v>23908</v>
      </c>
      <c r="AD8121" s="464">
        <v>1328.11148</v>
      </c>
      <c r="AE8121" s="465">
        <v>63.886949999999999</v>
      </c>
      <c r="AF8121" s="86">
        <f>IF(verze!$E$1="CZK",AD8121,IF(verze!$E$1="SK",AE8121,""))</f>
        <v>63.886949999999999</v>
      </c>
    </row>
    <row r="8122" spans="27:32" ht="15">
      <c r="AA8122" s="463" t="s">
        <v>1320</v>
      </c>
      <c r="AB8122" s="462" t="s">
        <v>23909</v>
      </c>
      <c r="AC8122" s="462" t="s">
        <v>23910</v>
      </c>
      <c r="AD8122" s="464">
        <v>1029.4195</v>
      </c>
      <c r="AE8122" s="465">
        <v>49.51876</v>
      </c>
      <c r="AF8122" s="86">
        <f>IF(verze!$E$1="CZK",AD8122,IF(verze!$E$1="SK",AE8122,""))</f>
        <v>49.51876</v>
      </c>
    </row>
    <row r="8123" spans="27:32" ht="15">
      <c r="AA8123" s="463" t="s">
        <v>1320</v>
      </c>
      <c r="AB8123" s="462" t="s">
        <v>23911</v>
      </c>
      <c r="AC8123" s="462" t="s">
        <v>23912</v>
      </c>
      <c r="AD8123" s="464">
        <v>971.75909999999999</v>
      </c>
      <c r="AE8123" s="465">
        <v>46.74512</v>
      </c>
      <c r="AF8123" s="86">
        <f>IF(verze!$E$1="CZK",AD8123,IF(verze!$E$1="SK",AE8123,""))</f>
        <v>46.74512</v>
      </c>
    </row>
    <row r="8124" spans="27:32" ht="15">
      <c r="AA8124" s="463" t="s">
        <v>1320</v>
      </c>
      <c r="AB8124" s="462" t="s">
        <v>23913</v>
      </c>
      <c r="AC8124" s="462" t="s">
        <v>23914</v>
      </c>
      <c r="AD8124" s="464">
        <v>1328.11148</v>
      </c>
      <c r="AE8124" s="465">
        <v>63.886949999999999</v>
      </c>
      <c r="AF8124" s="86">
        <f>IF(verze!$E$1="CZK",AD8124,IF(verze!$E$1="SK",AE8124,""))</f>
        <v>63.886949999999999</v>
      </c>
    </row>
    <row r="8125" spans="27:32" ht="15">
      <c r="AA8125" s="463" t="s">
        <v>1320</v>
      </c>
      <c r="AB8125" s="462" t="s">
        <v>23915</v>
      </c>
      <c r="AC8125" s="462" t="s">
        <v>23916</v>
      </c>
      <c r="AD8125" s="464">
        <v>1029.4195</v>
      </c>
      <c r="AE8125" s="465">
        <v>49.51876</v>
      </c>
      <c r="AF8125" s="86">
        <f>IF(verze!$E$1="CZK",AD8125,IF(verze!$E$1="SK",AE8125,""))</f>
        <v>49.51876</v>
      </c>
    </row>
    <row r="8126" spans="27:32" ht="15">
      <c r="AA8126" s="463" t="s">
        <v>1320</v>
      </c>
      <c r="AB8126" s="462" t="s">
        <v>23917</v>
      </c>
      <c r="AC8126" s="462" t="s">
        <v>23918</v>
      </c>
      <c r="AD8126" s="464">
        <v>971.75909999999999</v>
      </c>
      <c r="AE8126" s="465">
        <v>46.74512</v>
      </c>
      <c r="AF8126" s="86">
        <f>IF(verze!$E$1="CZK",AD8126,IF(verze!$E$1="SK",AE8126,""))</f>
        <v>46.74512</v>
      </c>
    </row>
    <row r="8127" spans="27:32" ht="15">
      <c r="AA8127" s="463" t="s">
        <v>1320</v>
      </c>
      <c r="AB8127" s="462" t="s">
        <v>23919</v>
      </c>
      <c r="AC8127" s="462" t="s">
        <v>23920</v>
      </c>
      <c r="AD8127" s="464">
        <v>1328.11148</v>
      </c>
      <c r="AE8127" s="465">
        <v>63.886949999999999</v>
      </c>
      <c r="AF8127" s="86">
        <f>IF(verze!$E$1="CZK",AD8127,IF(verze!$E$1="SK",AE8127,""))</f>
        <v>63.886949999999999</v>
      </c>
    </row>
    <row r="8128" spans="27:32" ht="15">
      <c r="AA8128" s="463" t="s">
        <v>1320</v>
      </c>
      <c r="AB8128" s="462" t="s">
        <v>23921</v>
      </c>
      <c r="AC8128" s="462" t="s">
        <v>23922</v>
      </c>
      <c r="AD8128" s="464">
        <v>1029.4195</v>
      </c>
      <c r="AE8128" s="465">
        <v>49.51876</v>
      </c>
      <c r="AF8128" s="86">
        <f>IF(verze!$E$1="CZK",AD8128,IF(verze!$E$1="SK",AE8128,""))</f>
        <v>49.51876</v>
      </c>
    </row>
    <row r="8129" spans="27:32" ht="15">
      <c r="AA8129" s="463" t="s">
        <v>1320</v>
      </c>
      <c r="AB8129" s="462" t="s">
        <v>23923</v>
      </c>
      <c r="AC8129" s="462" t="s">
        <v>23924</v>
      </c>
      <c r="AD8129" s="464">
        <v>971.75909999999999</v>
      </c>
      <c r="AE8129" s="465">
        <v>46.74512</v>
      </c>
      <c r="AF8129" s="86">
        <f>IF(verze!$E$1="CZK",AD8129,IF(verze!$E$1="SK",AE8129,""))</f>
        <v>46.74512</v>
      </c>
    </row>
    <row r="8130" spans="27:32" ht="15">
      <c r="AA8130" s="463" t="s">
        <v>1320</v>
      </c>
      <c r="AB8130" s="462" t="s">
        <v>23925</v>
      </c>
      <c r="AC8130" s="462" t="s">
        <v>23926</v>
      </c>
      <c r="AD8130" s="464">
        <v>0</v>
      </c>
      <c r="AE8130" s="465">
        <v>0</v>
      </c>
      <c r="AF8130" s="86">
        <f>IF(verze!$E$1="CZK",AD8130,IF(verze!$E$1="SK",AE8130,""))</f>
        <v>0</v>
      </c>
    </row>
    <row r="8131" spans="27:32" ht="15">
      <c r="AA8131" s="463" t="s">
        <v>1320</v>
      </c>
      <c r="AB8131" s="462" t="s">
        <v>23927</v>
      </c>
      <c r="AC8131" s="462" t="s">
        <v>23928</v>
      </c>
      <c r="AD8131" s="464">
        <v>1159.94048</v>
      </c>
      <c r="AE8131" s="465">
        <v>55.797339999999998</v>
      </c>
      <c r="AF8131" s="86">
        <f>IF(verze!$E$1="CZK",AD8131,IF(verze!$E$1="SK",AE8131,""))</f>
        <v>55.797339999999998</v>
      </c>
    </row>
    <row r="8132" spans="27:32" ht="15">
      <c r="AA8132" s="463" t="s">
        <v>1320</v>
      </c>
      <c r="AB8132" s="462" t="s">
        <v>23929</v>
      </c>
      <c r="AC8132" s="462" t="s">
        <v>23930</v>
      </c>
      <c r="AD8132" s="464">
        <v>1106.60078</v>
      </c>
      <c r="AE8132" s="465">
        <v>53.231479999999998</v>
      </c>
      <c r="AF8132" s="86">
        <f>IF(verze!$E$1="CZK",AD8132,IF(verze!$E$1="SK",AE8132,""))</f>
        <v>53.231479999999998</v>
      </c>
    </row>
    <row r="8133" spans="27:32" ht="15">
      <c r="AA8133" s="463" t="s">
        <v>1320</v>
      </c>
      <c r="AB8133" s="462" t="s">
        <v>23931</v>
      </c>
      <c r="AC8133" s="462" t="s">
        <v>23932</v>
      </c>
      <c r="AD8133" s="464">
        <v>0</v>
      </c>
      <c r="AE8133" s="465">
        <v>0</v>
      </c>
      <c r="AF8133" s="86">
        <f>IF(verze!$E$1="CZK",AD8133,IF(verze!$E$1="SK",AE8133,""))</f>
        <v>0</v>
      </c>
    </row>
    <row r="8134" spans="27:32" ht="15">
      <c r="AA8134" s="463" t="s">
        <v>1320</v>
      </c>
      <c r="AB8134" s="462" t="s">
        <v>23933</v>
      </c>
      <c r="AC8134" s="462" t="s">
        <v>23934</v>
      </c>
      <c r="AD8134" s="464">
        <v>1159.94048</v>
      </c>
      <c r="AE8134" s="465">
        <v>55.797339999999998</v>
      </c>
      <c r="AF8134" s="86">
        <f>IF(verze!$E$1="CZK",AD8134,IF(verze!$E$1="SK",AE8134,""))</f>
        <v>55.797339999999998</v>
      </c>
    </row>
    <row r="8135" spans="27:32" ht="15">
      <c r="AA8135" s="463" t="s">
        <v>1320</v>
      </c>
      <c r="AB8135" s="462" t="s">
        <v>23935</v>
      </c>
      <c r="AC8135" s="462" t="s">
        <v>23936</v>
      </c>
      <c r="AD8135" s="464">
        <v>1106.60078</v>
      </c>
      <c r="AE8135" s="465">
        <v>53.231479999999998</v>
      </c>
      <c r="AF8135" s="86">
        <f>IF(verze!$E$1="CZK",AD8135,IF(verze!$E$1="SK",AE8135,""))</f>
        <v>53.231479999999998</v>
      </c>
    </row>
    <row r="8136" spans="27:32" ht="15">
      <c r="AA8136" s="463" t="s">
        <v>1320</v>
      </c>
      <c r="AB8136" s="462" t="s">
        <v>23937</v>
      </c>
      <c r="AC8136" s="462" t="s">
        <v>23938</v>
      </c>
      <c r="AD8136" s="464">
        <v>0</v>
      </c>
      <c r="AE8136" s="465">
        <v>0</v>
      </c>
      <c r="AF8136" s="86">
        <f>IF(verze!$E$1="CZK",AD8136,IF(verze!$E$1="SK",AE8136,""))</f>
        <v>0</v>
      </c>
    </row>
    <row r="8137" spans="27:32" ht="15">
      <c r="AA8137" s="463" t="s">
        <v>1320</v>
      </c>
      <c r="AB8137" s="462" t="s">
        <v>23939</v>
      </c>
      <c r="AC8137" s="462" t="s">
        <v>23940</v>
      </c>
      <c r="AD8137" s="464">
        <v>1159.94048</v>
      </c>
      <c r="AE8137" s="465">
        <v>55.797339999999998</v>
      </c>
      <c r="AF8137" s="86">
        <f>IF(verze!$E$1="CZK",AD8137,IF(verze!$E$1="SK",AE8137,""))</f>
        <v>55.797339999999998</v>
      </c>
    </row>
    <row r="8138" spans="27:32" ht="15">
      <c r="AA8138" s="463" t="s">
        <v>1320</v>
      </c>
      <c r="AB8138" s="462" t="s">
        <v>23941</v>
      </c>
      <c r="AC8138" s="462" t="s">
        <v>23942</v>
      </c>
      <c r="AD8138" s="464">
        <v>1106.60078</v>
      </c>
      <c r="AE8138" s="465">
        <v>53.231479999999998</v>
      </c>
      <c r="AF8138" s="86">
        <f>IF(verze!$E$1="CZK",AD8138,IF(verze!$E$1="SK",AE8138,""))</f>
        <v>53.231479999999998</v>
      </c>
    </row>
    <row r="8139" spans="27:32" ht="15">
      <c r="AA8139" s="463" t="s">
        <v>1320</v>
      </c>
      <c r="AB8139" s="462" t="s">
        <v>23943</v>
      </c>
      <c r="AC8139" s="462" t="s">
        <v>23944</v>
      </c>
      <c r="AD8139" s="464">
        <v>1344.81203</v>
      </c>
      <c r="AE8139" s="465">
        <v>64.690330000000003</v>
      </c>
      <c r="AF8139" s="86">
        <f>IF(verze!$E$1="CZK",AD8139,IF(verze!$E$1="SK",AE8139,""))</f>
        <v>64.690330000000003</v>
      </c>
    </row>
    <row r="8140" spans="27:32" ht="15">
      <c r="AA8140" s="463" t="s">
        <v>1320</v>
      </c>
      <c r="AB8140" s="462" t="s">
        <v>23945</v>
      </c>
      <c r="AC8140" s="462" t="s">
        <v>23946</v>
      </c>
      <c r="AD8140" s="464">
        <v>1052.1749299999999</v>
      </c>
      <c r="AE8140" s="465">
        <v>50.61345</v>
      </c>
      <c r="AF8140" s="86">
        <f>IF(verze!$E$1="CZK",AD8140,IF(verze!$E$1="SK",AE8140,""))</f>
        <v>50.61345</v>
      </c>
    </row>
    <row r="8141" spans="27:32" ht="15">
      <c r="AA8141" s="463" t="s">
        <v>1320</v>
      </c>
      <c r="AB8141" s="462" t="s">
        <v>23947</v>
      </c>
      <c r="AC8141" s="462" t="s">
        <v>23948</v>
      </c>
      <c r="AD8141" s="464">
        <v>994.51040999999998</v>
      </c>
      <c r="AE8141" s="465">
        <v>47.839550000000003</v>
      </c>
      <c r="AF8141" s="86">
        <f>IF(verze!$E$1="CZK",AD8141,IF(verze!$E$1="SK",AE8141,""))</f>
        <v>47.839550000000003</v>
      </c>
    </row>
    <row r="8142" spans="27:32" ht="15">
      <c r="AA8142" s="463" t="s">
        <v>1320</v>
      </c>
      <c r="AB8142" s="462" t="s">
        <v>23949</v>
      </c>
      <c r="AC8142" s="462" t="s">
        <v>23950</v>
      </c>
      <c r="AD8142" s="464">
        <v>1344.81203</v>
      </c>
      <c r="AE8142" s="465">
        <v>64.690330000000003</v>
      </c>
      <c r="AF8142" s="86">
        <f>IF(verze!$E$1="CZK",AD8142,IF(verze!$E$1="SK",AE8142,""))</f>
        <v>64.690330000000003</v>
      </c>
    </row>
    <row r="8143" spans="27:32" ht="15">
      <c r="AA8143" s="463" t="s">
        <v>1320</v>
      </c>
      <c r="AB8143" s="462" t="s">
        <v>23951</v>
      </c>
      <c r="AC8143" s="462" t="s">
        <v>23952</v>
      </c>
      <c r="AD8143" s="464">
        <v>1052.1749299999999</v>
      </c>
      <c r="AE8143" s="465">
        <v>50.61345</v>
      </c>
      <c r="AF8143" s="86">
        <f>IF(verze!$E$1="CZK",AD8143,IF(verze!$E$1="SK",AE8143,""))</f>
        <v>50.61345</v>
      </c>
    </row>
    <row r="8144" spans="27:32" ht="15">
      <c r="AA8144" s="463" t="s">
        <v>1320</v>
      </c>
      <c r="AB8144" s="462" t="s">
        <v>23953</v>
      </c>
      <c r="AC8144" s="462" t="s">
        <v>23954</v>
      </c>
      <c r="AD8144" s="464">
        <v>994.51040999999998</v>
      </c>
      <c r="AE8144" s="465">
        <v>47.839550000000003</v>
      </c>
      <c r="AF8144" s="86">
        <f>IF(verze!$E$1="CZK",AD8144,IF(verze!$E$1="SK",AE8144,""))</f>
        <v>47.839550000000003</v>
      </c>
    </row>
    <row r="8145" spans="27:32" ht="15">
      <c r="AA8145" s="463" t="s">
        <v>1320</v>
      </c>
      <c r="AB8145" s="462" t="s">
        <v>23955</v>
      </c>
      <c r="AC8145" s="462" t="s">
        <v>23956</v>
      </c>
      <c r="AD8145" s="464">
        <v>1344.81203</v>
      </c>
      <c r="AE8145" s="465">
        <v>64.690330000000003</v>
      </c>
      <c r="AF8145" s="86">
        <f>IF(verze!$E$1="CZK",AD8145,IF(verze!$E$1="SK",AE8145,""))</f>
        <v>64.690330000000003</v>
      </c>
    </row>
    <row r="8146" spans="27:32" ht="15">
      <c r="AA8146" s="463" t="s">
        <v>1320</v>
      </c>
      <c r="AB8146" s="462" t="s">
        <v>23957</v>
      </c>
      <c r="AC8146" s="462" t="s">
        <v>23958</v>
      </c>
      <c r="AD8146" s="464">
        <v>1052.1749299999999</v>
      </c>
      <c r="AE8146" s="465">
        <v>50.61345</v>
      </c>
      <c r="AF8146" s="86">
        <f>IF(verze!$E$1="CZK",AD8146,IF(verze!$E$1="SK",AE8146,""))</f>
        <v>50.61345</v>
      </c>
    </row>
    <row r="8147" spans="27:32" ht="15">
      <c r="AA8147" s="463" t="s">
        <v>1320</v>
      </c>
      <c r="AB8147" s="462" t="s">
        <v>23959</v>
      </c>
      <c r="AC8147" s="462" t="s">
        <v>23960</v>
      </c>
      <c r="AD8147" s="464">
        <v>994.51040999999998</v>
      </c>
      <c r="AE8147" s="465">
        <v>47.839550000000003</v>
      </c>
      <c r="AF8147" s="86">
        <f>IF(verze!$E$1="CZK",AD8147,IF(verze!$E$1="SK",AE8147,""))</f>
        <v>47.839550000000003</v>
      </c>
    </row>
    <row r="8148" spans="27:32" ht="15">
      <c r="AA8148" s="463" t="s">
        <v>1320</v>
      </c>
      <c r="AB8148" s="462" t="s">
        <v>23961</v>
      </c>
      <c r="AC8148" s="462" t="s">
        <v>23962</v>
      </c>
      <c r="AD8148" s="464">
        <v>1452.4751200000001</v>
      </c>
      <c r="AE8148" s="465">
        <v>69.869309999999999</v>
      </c>
      <c r="AF8148" s="86">
        <f>IF(verze!$E$1="CZK",AD8148,IF(verze!$E$1="SK",AE8148,""))</f>
        <v>69.869309999999999</v>
      </c>
    </row>
    <row r="8149" spans="27:32" ht="15">
      <c r="AA8149" s="463" t="s">
        <v>1320</v>
      </c>
      <c r="AB8149" s="462" t="s">
        <v>23963</v>
      </c>
      <c r="AC8149" s="462" t="s">
        <v>23964</v>
      </c>
      <c r="AD8149" s="464">
        <v>1181.7876699999999</v>
      </c>
      <c r="AE8149" s="465">
        <v>56.848269999999999</v>
      </c>
      <c r="AF8149" s="86">
        <f>IF(verze!$E$1="CZK",AD8149,IF(verze!$E$1="SK",AE8149,""))</f>
        <v>56.848269999999999</v>
      </c>
    </row>
    <row r="8150" spans="27:32" ht="15">
      <c r="AA8150" s="463" t="s">
        <v>1320</v>
      </c>
      <c r="AB8150" s="462" t="s">
        <v>23965</v>
      </c>
      <c r="AC8150" s="462" t="s">
        <v>23966</v>
      </c>
      <c r="AD8150" s="464">
        <v>1253.52451</v>
      </c>
      <c r="AE8150" s="465">
        <v>60.29907</v>
      </c>
      <c r="AF8150" s="86">
        <f>IF(verze!$E$1="CZK",AD8150,IF(verze!$E$1="SK",AE8150,""))</f>
        <v>60.29907</v>
      </c>
    </row>
    <row r="8151" spans="27:32" ht="15">
      <c r="AA8151" s="463" t="s">
        <v>1320</v>
      </c>
      <c r="AB8151" s="462" t="s">
        <v>23967</v>
      </c>
      <c r="AC8151" s="462" t="s">
        <v>23968</v>
      </c>
      <c r="AD8151" s="464">
        <v>1452.4751200000001</v>
      </c>
      <c r="AE8151" s="465">
        <v>69.869309999999999</v>
      </c>
      <c r="AF8151" s="86">
        <f>IF(verze!$E$1="CZK",AD8151,IF(verze!$E$1="SK",AE8151,""))</f>
        <v>69.869309999999999</v>
      </c>
    </row>
    <row r="8152" spans="27:32" ht="15">
      <c r="AA8152" s="463" t="s">
        <v>1320</v>
      </c>
      <c r="AB8152" s="462" t="s">
        <v>23969</v>
      </c>
      <c r="AC8152" s="462" t="s">
        <v>23970</v>
      </c>
      <c r="AD8152" s="464">
        <v>1181.7876699999999</v>
      </c>
      <c r="AE8152" s="465">
        <v>56.848269999999999</v>
      </c>
      <c r="AF8152" s="86">
        <f>IF(verze!$E$1="CZK",AD8152,IF(verze!$E$1="SK",AE8152,""))</f>
        <v>56.848269999999999</v>
      </c>
    </row>
    <row r="8153" spans="27:32" ht="15">
      <c r="AA8153" s="463" t="s">
        <v>1320</v>
      </c>
      <c r="AB8153" s="462" t="s">
        <v>23971</v>
      </c>
      <c r="AC8153" s="462" t="s">
        <v>23972</v>
      </c>
      <c r="AD8153" s="464">
        <v>1253.52451</v>
      </c>
      <c r="AE8153" s="465">
        <v>60.29907</v>
      </c>
      <c r="AF8153" s="86">
        <f>IF(verze!$E$1="CZK",AD8153,IF(verze!$E$1="SK",AE8153,""))</f>
        <v>60.29907</v>
      </c>
    </row>
    <row r="8154" spans="27:32" ht="15">
      <c r="AA8154" s="463" t="s">
        <v>1320</v>
      </c>
      <c r="AB8154" s="462" t="s">
        <v>23973</v>
      </c>
      <c r="AC8154" s="462" t="s">
        <v>23974</v>
      </c>
      <c r="AD8154" s="464">
        <v>1452.4751200000001</v>
      </c>
      <c r="AE8154" s="465">
        <v>69.869309999999999</v>
      </c>
      <c r="AF8154" s="86">
        <f>IF(verze!$E$1="CZK",AD8154,IF(verze!$E$1="SK",AE8154,""))</f>
        <v>69.869309999999999</v>
      </c>
    </row>
    <row r="8155" spans="27:32" ht="15">
      <c r="AA8155" s="463" t="s">
        <v>1320</v>
      </c>
      <c r="AB8155" s="462" t="s">
        <v>23975</v>
      </c>
      <c r="AC8155" s="462" t="s">
        <v>23976</v>
      </c>
      <c r="AD8155" s="464">
        <v>1181.7876699999999</v>
      </c>
      <c r="AE8155" s="465">
        <v>56.848269999999999</v>
      </c>
      <c r="AF8155" s="86">
        <f>IF(verze!$E$1="CZK",AD8155,IF(verze!$E$1="SK",AE8155,""))</f>
        <v>56.848269999999999</v>
      </c>
    </row>
    <row r="8156" spans="27:32" ht="15">
      <c r="AA8156" s="463" t="s">
        <v>1320</v>
      </c>
      <c r="AB8156" s="462" t="s">
        <v>23977</v>
      </c>
      <c r="AC8156" s="462" t="s">
        <v>23978</v>
      </c>
      <c r="AD8156" s="464">
        <v>1253.52451</v>
      </c>
      <c r="AE8156" s="465">
        <v>60.29907</v>
      </c>
      <c r="AF8156" s="86">
        <f>IF(verze!$E$1="CZK",AD8156,IF(verze!$E$1="SK",AE8156,""))</f>
        <v>60.29907</v>
      </c>
    </row>
    <row r="8157" spans="27:32" ht="15">
      <c r="AA8157" s="463" t="s">
        <v>1320</v>
      </c>
      <c r="AB8157" s="462" t="s">
        <v>23979</v>
      </c>
      <c r="AC8157" s="462" t="s">
        <v>23980</v>
      </c>
      <c r="AD8157" s="464">
        <v>1241.41661</v>
      </c>
      <c r="AE8157" s="465">
        <v>59.716619999999999</v>
      </c>
      <c r="AF8157" s="86">
        <f>IF(verze!$E$1="CZK",AD8157,IF(verze!$E$1="SK",AE8157,""))</f>
        <v>59.716619999999999</v>
      </c>
    </row>
    <row r="8158" spans="27:32" ht="15">
      <c r="AA8158" s="463" t="s">
        <v>1320</v>
      </c>
      <c r="AB8158" s="462" t="s">
        <v>23981</v>
      </c>
      <c r="AC8158" s="462" t="s">
        <v>23982</v>
      </c>
      <c r="AD8158" s="464">
        <v>1057.4158500000001</v>
      </c>
      <c r="AE8158" s="465">
        <v>50.446840000000002</v>
      </c>
      <c r="AF8158" s="86">
        <f>IF(verze!$E$1="CZK",AD8158,IF(verze!$E$1="SK",AE8158,""))</f>
        <v>50.446840000000002</v>
      </c>
    </row>
    <row r="8159" spans="27:32" ht="15">
      <c r="AA8159" s="463" t="s">
        <v>1320</v>
      </c>
      <c r="AB8159" s="462" t="s">
        <v>23983</v>
      </c>
      <c r="AC8159" s="462" t="s">
        <v>23984</v>
      </c>
      <c r="AD8159" s="464">
        <v>1003.6394299999999</v>
      </c>
      <c r="AE8159" s="465">
        <v>48.278680000000001</v>
      </c>
      <c r="AF8159" s="86">
        <f>IF(verze!$E$1="CZK",AD8159,IF(verze!$E$1="SK",AE8159,""))</f>
        <v>48.278680000000001</v>
      </c>
    </row>
    <row r="8160" spans="27:32" ht="15">
      <c r="AA8160" s="463" t="s">
        <v>1320</v>
      </c>
      <c r="AB8160" s="462" t="s">
        <v>23985</v>
      </c>
      <c r="AC8160" s="462" t="s">
        <v>23986</v>
      </c>
      <c r="AD8160" s="464">
        <v>1241.41661</v>
      </c>
      <c r="AE8160" s="465">
        <v>59.716619999999999</v>
      </c>
      <c r="AF8160" s="86">
        <f>IF(verze!$E$1="CZK",AD8160,IF(verze!$E$1="SK",AE8160,""))</f>
        <v>59.716619999999999</v>
      </c>
    </row>
    <row r="8161" spans="27:32" ht="15">
      <c r="AA8161" s="463" t="s">
        <v>1320</v>
      </c>
      <c r="AB8161" s="462" t="s">
        <v>23987</v>
      </c>
      <c r="AC8161" s="462" t="s">
        <v>23988</v>
      </c>
      <c r="AD8161" s="464">
        <v>1057.4158500000001</v>
      </c>
      <c r="AE8161" s="465">
        <v>50.446840000000002</v>
      </c>
      <c r="AF8161" s="86">
        <f>IF(verze!$E$1="CZK",AD8161,IF(verze!$E$1="SK",AE8161,""))</f>
        <v>50.446840000000002</v>
      </c>
    </row>
    <row r="8162" spans="27:32" ht="15">
      <c r="AA8162" s="463" t="s">
        <v>1320</v>
      </c>
      <c r="AB8162" s="462" t="s">
        <v>23989</v>
      </c>
      <c r="AC8162" s="462" t="s">
        <v>23990</v>
      </c>
      <c r="AD8162" s="464">
        <v>1003.6394299999999</v>
      </c>
      <c r="AE8162" s="465">
        <v>48.278680000000001</v>
      </c>
      <c r="AF8162" s="86">
        <f>IF(verze!$E$1="CZK",AD8162,IF(verze!$E$1="SK",AE8162,""))</f>
        <v>48.278680000000001</v>
      </c>
    </row>
    <row r="8163" spans="27:32" ht="15">
      <c r="AA8163" s="463" t="s">
        <v>1320</v>
      </c>
      <c r="AB8163" s="462" t="s">
        <v>23991</v>
      </c>
      <c r="AC8163" s="462" t="s">
        <v>23992</v>
      </c>
      <c r="AD8163" s="464">
        <v>1241.41661</v>
      </c>
      <c r="AE8163" s="465">
        <v>59.716619999999999</v>
      </c>
      <c r="AF8163" s="86">
        <f>IF(verze!$E$1="CZK",AD8163,IF(verze!$E$1="SK",AE8163,""))</f>
        <v>59.716619999999999</v>
      </c>
    </row>
    <row r="8164" spans="27:32" ht="15">
      <c r="AA8164" s="463" t="s">
        <v>1320</v>
      </c>
      <c r="AB8164" s="462" t="s">
        <v>23993</v>
      </c>
      <c r="AC8164" s="462" t="s">
        <v>23994</v>
      </c>
      <c r="AD8164" s="464">
        <v>1057.4158500000001</v>
      </c>
      <c r="AE8164" s="465">
        <v>50.446840000000002</v>
      </c>
      <c r="AF8164" s="86">
        <f>IF(verze!$E$1="CZK",AD8164,IF(verze!$E$1="SK",AE8164,""))</f>
        <v>50.446840000000002</v>
      </c>
    </row>
    <row r="8165" spans="27:32" ht="15">
      <c r="AA8165" s="463" t="s">
        <v>1320</v>
      </c>
      <c r="AB8165" s="462" t="s">
        <v>23995</v>
      </c>
      <c r="AC8165" s="462" t="s">
        <v>23996</v>
      </c>
      <c r="AD8165" s="464">
        <v>1003.6394299999999</v>
      </c>
      <c r="AE8165" s="465">
        <v>48.278680000000001</v>
      </c>
      <c r="AF8165" s="86">
        <f>IF(verze!$E$1="CZK",AD8165,IF(verze!$E$1="SK",AE8165,""))</f>
        <v>48.278680000000001</v>
      </c>
    </row>
    <row r="8166" spans="27:32" ht="15">
      <c r="AA8166" s="463" t="s">
        <v>1320</v>
      </c>
      <c r="AB8166" s="462" t="s">
        <v>23997</v>
      </c>
      <c r="AC8166" s="462" t="s">
        <v>23998</v>
      </c>
      <c r="AD8166" s="464">
        <v>1464.0781500000001</v>
      </c>
      <c r="AE8166" s="465">
        <v>70.427419999999998</v>
      </c>
      <c r="AF8166" s="86">
        <f>IF(verze!$E$1="CZK",AD8166,IF(verze!$E$1="SK",AE8166,""))</f>
        <v>70.427419999999998</v>
      </c>
    </row>
    <row r="8167" spans="27:32" ht="15">
      <c r="AA8167" s="463" t="s">
        <v>1320</v>
      </c>
      <c r="AB8167" s="462" t="s">
        <v>23999</v>
      </c>
      <c r="AC8167" s="462" t="s">
        <v>24000</v>
      </c>
      <c r="AD8167" s="464">
        <v>1182.9501499999999</v>
      </c>
      <c r="AE8167" s="465">
        <v>56.355080000000001</v>
      </c>
      <c r="AF8167" s="86">
        <f>IF(verze!$E$1="CZK",AD8167,IF(verze!$E$1="SK",AE8167,""))</f>
        <v>56.355080000000001</v>
      </c>
    </row>
    <row r="8168" spans="27:32" ht="15">
      <c r="AA8168" s="463" t="s">
        <v>1320</v>
      </c>
      <c r="AB8168" s="462" t="s">
        <v>24001</v>
      </c>
      <c r="AC8168" s="462" t="s">
        <v>24002</v>
      </c>
      <c r="AD8168" s="464">
        <v>1144.0514499999999</v>
      </c>
      <c r="AE8168" s="465">
        <v>55.033000000000001</v>
      </c>
      <c r="AF8168" s="86">
        <f>IF(verze!$E$1="CZK",AD8168,IF(verze!$E$1="SK",AE8168,""))</f>
        <v>55.033000000000001</v>
      </c>
    </row>
    <row r="8169" spans="27:32" ht="15">
      <c r="AA8169" s="463" t="s">
        <v>1320</v>
      </c>
      <c r="AB8169" s="462" t="s">
        <v>24003</v>
      </c>
      <c r="AC8169" s="462" t="s">
        <v>24004</v>
      </c>
      <c r="AD8169" s="464">
        <v>1464.0781500000001</v>
      </c>
      <c r="AE8169" s="465">
        <v>70.427419999999998</v>
      </c>
      <c r="AF8169" s="86">
        <f>IF(verze!$E$1="CZK",AD8169,IF(verze!$E$1="SK",AE8169,""))</f>
        <v>70.427419999999998</v>
      </c>
    </row>
    <row r="8170" spans="27:32" ht="15">
      <c r="AA8170" s="463" t="s">
        <v>1320</v>
      </c>
      <c r="AB8170" s="462" t="s">
        <v>24005</v>
      </c>
      <c r="AC8170" s="462" t="s">
        <v>24006</v>
      </c>
      <c r="AD8170" s="464">
        <v>1182.9501499999999</v>
      </c>
      <c r="AE8170" s="465">
        <v>56.355080000000001</v>
      </c>
      <c r="AF8170" s="86">
        <f>IF(verze!$E$1="CZK",AD8170,IF(verze!$E$1="SK",AE8170,""))</f>
        <v>56.355080000000001</v>
      </c>
    </row>
    <row r="8171" spans="27:32" ht="15">
      <c r="AA8171" s="463" t="s">
        <v>1320</v>
      </c>
      <c r="AB8171" s="462" t="s">
        <v>24007</v>
      </c>
      <c r="AC8171" s="462" t="s">
        <v>24008</v>
      </c>
      <c r="AD8171" s="464">
        <v>1144.0514499999999</v>
      </c>
      <c r="AE8171" s="465">
        <v>55.033000000000001</v>
      </c>
      <c r="AF8171" s="86">
        <f>IF(verze!$E$1="CZK",AD8171,IF(verze!$E$1="SK",AE8171,""))</f>
        <v>55.033000000000001</v>
      </c>
    </row>
    <row r="8172" spans="27:32" ht="15">
      <c r="AA8172" s="463" t="s">
        <v>1320</v>
      </c>
      <c r="AB8172" s="462" t="s">
        <v>24009</v>
      </c>
      <c r="AC8172" s="462" t="s">
        <v>24010</v>
      </c>
      <c r="AD8172" s="464">
        <v>1464.0781500000001</v>
      </c>
      <c r="AE8172" s="465">
        <v>70.427419999999998</v>
      </c>
      <c r="AF8172" s="86">
        <f>IF(verze!$E$1="CZK",AD8172,IF(verze!$E$1="SK",AE8172,""))</f>
        <v>70.427419999999998</v>
      </c>
    </row>
    <row r="8173" spans="27:32" ht="15">
      <c r="AA8173" s="463" t="s">
        <v>1320</v>
      </c>
      <c r="AB8173" s="462" t="s">
        <v>24011</v>
      </c>
      <c r="AC8173" s="462" t="s">
        <v>24012</v>
      </c>
      <c r="AD8173" s="464">
        <v>1182.9501499999999</v>
      </c>
      <c r="AE8173" s="465">
        <v>56.355080000000001</v>
      </c>
      <c r="AF8173" s="86">
        <f>IF(verze!$E$1="CZK",AD8173,IF(verze!$E$1="SK",AE8173,""))</f>
        <v>56.355080000000001</v>
      </c>
    </row>
    <row r="8174" spans="27:32" ht="15">
      <c r="AA8174" s="463" t="s">
        <v>1320</v>
      </c>
      <c r="AB8174" s="462" t="s">
        <v>24013</v>
      </c>
      <c r="AC8174" s="462" t="s">
        <v>24014</v>
      </c>
      <c r="AD8174" s="464">
        <v>1144.0514499999999</v>
      </c>
      <c r="AE8174" s="465">
        <v>55.033000000000001</v>
      </c>
      <c r="AF8174" s="86">
        <f>IF(verze!$E$1="CZK",AD8174,IF(verze!$E$1="SK",AE8174,""))</f>
        <v>55.033000000000001</v>
      </c>
    </row>
    <row r="8175" spans="27:32" ht="15">
      <c r="AA8175" s="463" t="s">
        <v>1320</v>
      </c>
      <c r="AB8175" s="462" t="s">
        <v>24015</v>
      </c>
      <c r="AC8175" s="462" t="s">
        <v>24016</v>
      </c>
      <c r="AD8175" s="464">
        <v>1381.3403599999999</v>
      </c>
      <c r="AE8175" s="465">
        <v>66.447469999999996</v>
      </c>
      <c r="AF8175" s="86">
        <f>IF(verze!$E$1="CZK",AD8175,IF(verze!$E$1="SK",AE8175,""))</f>
        <v>66.447469999999996</v>
      </c>
    </row>
    <row r="8176" spans="27:32" ht="15">
      <c r="AA8176" s="463" t="s">
        <v>1320</v>
      </c>
      <c r="AB8176" s="462" t="s">
        <v>24017</v>
      </c>
      <c r="AC8176" s="462" t="s">
        <v>24018</v>
      </c>
      <c r="AD8176" s="464">
        <v>1086.11157</v>
      </c>
      <c r="AE8176" s="465">
        <v>51.818449999999999</v>
      </c>
      <c r="AF8176" s="86">
        <f>IF(verze!$E$1="CZK",AD8176,IF(verze!$E$1="SK",AE8176,""))</f>
        <v>51.818449999999999</v>
      </c>
    </row>
    <row r="8177" spans="27:32" ht="15">
      <c r="AA8177" s="463" t="s">
        <v>1320</v>
      </c>
      <c r="AB8177" s="462" t="s">
        <v>24019</v>
      </c>
      <c r="AC8177" s="462" t="s">
        <v>24020</v>
      </c>
      <c r="AD8177" s="464">
        <v>1029.98469</v>
      </c>
      <c r="AE8177" s="465">
        <v>49.176850000000002</v>
      </c>
      <c r="AF8177" s="86">
        <f>IF(verze!$E$1="CZK",AD8177,IF(verze!$E$1="SK",AE8177,""))</f>
        <v>49.176850000000002</v>
      </c>
    </row>
    <row r="8178" spans="27:32" ht="15">
      <c r="AA8178" s="463" t="s">
        <v>1320</v>
      </c>
      <c r="AB8178" s="462" t="s">
        <v>24021</v>
      </c>
      <c r="AC8178" s="462" t="s">
        <v>24022</v>
      </c>
      <c r="AD8178" s="464">
        <v>1086.11157</v>
      </c>
      <c r="AE8178" s="465">
        <v>51.818449999999999</v>
      </c>
      <c r="AF8178" s="86">
        <f>IF(verze!$E$1="CZK",AD8178,IF(verze!$E$1="SK",AE8178,""))</f>
        <v>51.818449999999999</v>
      </c>
    </row>
    <row r="8179" spans="27:32" ht="15">
      <c r="AA8179" s="463" t="s">
        <v>1320</v>
      </c>
      <c r="AB8179" s="462" t="s">
        <v>24023</v>
      </c>
      <c r="AC8179" s="462" t="s">
        <v>24024</v>
      </c>
      <c r="AD8179" s="464">
        <v>1029.98469</v>
      </c>
      <c r="AE8179" s="465">
        <v>49.176850000000002</v>
      </c>
      <c r="AF8179" s="86">
        <f>IF(verze!$E$1="CZK",AD8179,IF(verze!$E$1="SK",AE8179,""))</f>
        <v>49.176850000000002</v>
      </c>
    </row>
    <row r="8180" spans="27:32" ht="15">
      <c r="AA8180" s="463" t="s">
        <v>1320</v>
      </c>
      <c r="AB8180" s="462" t="s">
        <v>24025</v>
      </c>
      <c r="AC8180" s="462" t="s">
        <v>24026</v>
      </c>
      <c r="AD8180" s="464">
        <v>1381.3403599999999</v>
      </c>
      <c r="AE8180" s="465">
        <v>66.447469999999996</v>
      </c>
      <c r="AF8180" s="86">
        <f>IF(verze!$E$1="CZK",AD8180,IF(verze!$E$1="SK",AE8180,""))</f>
        <v>66.447469999999996</v>
      </c>
    </row>
    <row r="8181" spans="27:32" ht="15">
      <c r="AA8181" s="463" t="s">
        <v>1320</v>
      </c>
      <c r="AB8181" s="462" t="s">
        <v>24027</v>
      </c>
      <c r="AC8181" s="462" t="s">
        <v>24028</v>
      </c>
      <c r="AD8181" s="464">
        <v>1086.11157</v>
      </c>
      <c r="AE8181" s="465">
        <v>51.818449999999999</v>
      </c>
      <c r="AF8181" s="86">
        <f>IF(verze!$E$1="CZK",AD8181,IF(verze!$E$1="SK",AE8181,""))</f>
        <v>51.818449999999999</v>
      </c>
    </row>
    <row r="8182" spans="27:32" ht="15">
      <c r="AA8182" s="463" t="s">
        <v>1320</v>
      </c>
      <c r="AB8182" s="462" t="s">
        <v>24029</v>
      </c>
      <c r="AC8182" s="462" t="s">
        <v>24030</v>
      </c>
      <c r="AD8182" s="464">
        <v>1029.98469</v>
      </c>
      <c r="AE8182" s="465">
        <v>49.176850000000002</v>
      </c>
      <c r="AF8182" s="86">
        <f>IF(verze!$E$1="CZK",AD8182,IF(verze!$E$1="SK",AE8182,""))</f>
        <v>49.176850000000002</v>
      </c>
    </row>
    <row r="8183" spans="27:32" ht="15">
      <c r="AA8183" s="463" t="s">
        <v>1320</v>
      </c>
      <c r="AB8183" s="462" t="s">
        <v>24031</v>
      </c>
      <c r="AC8183" s="462" t="s">
        <v>24032</v>
      </c>
      <c r="AD8183" s="464">
        <v>1488.35481</v>
      </c>
      <c r="AE8183" s="465">
        <v>71.595240000000004</v>
      </c>
      <c r="AF8183" s="86">
        <f>IF(verze!$E$1="CZK",AD8183,IF(verze!$E$1="SK",AE8183,""))</f>
        <v>71.595240000000004</v>
      </c>
    </row>
    <row r="8184" spans="27:32" ht="15">
      <c r="AA8184" s="463" t="s">
        <v>1320</v>
      </c>
      <c r="AB8184" s="462" t="s">
        <v>24033</v>
      </c>
      <c r="AC8184" s="462" t="s">
        <v>24034</v>
      </c>
      <c r="AD8184" s="464">
        <v>1211.0141900000001</v>
      </c>
      <c r="AE8184" s="465">
        <v>57.696930000000002</v>
      </c>
      <c r="AF8184" s="86">
        <f>IF(verze!$E$1="CZK",AD8184,IF(verze!$E$1="SK",AE8184,""))</f>
        <v>57.696930000000002</v>
      </c>
    </row>
    <row r="8185" spans="27:32" ht="15">
      <c r="AA8185" s="463" t="s">
        <v>1320</v>
      </c>
      <c r="AB8185" s="462" t="s">
        <v>24035</v>
      </c>
      <c r="AC8185" s="462" t="s">
        <v>24036</v>
      </c>
      <c r="AD8185" s="464">
        <v>1172.3282099999999</v>
      </c>
      <c r="AE8185" s="465">
        <v>56.393250000000002</v>
      </c>
      <c r="AF8185" s="86">
        <f>IF(verze!$E$1="CZK",AD8185,IF(verze!$E$1="SK",AE8185,""))</f>
        <v>56.393250000000002</v>
      </c>
    </row>
    <row r="8186" spans="27:32" ht="15">
      <c r="AA8186" s="463" t="s">
        <v>1320</v>
      </c>
      <c r="AB8186" s="462" t="s">
        <v>24037</v>
      </c>
      <c r="AC8186" s="462" t="s">
        <v>24038</v>
      </c>
      <c r="AD8186" s="464">
        <v>1488.35481</v>
      </c>
      <c r="AE8186" s="465">
        <v>71.595240000000004</v>
      </c>
      <c r="AF8186" s="86">
        <f>IF(verze!$E$1="CZK",AD8186,IF(verze!$E$1="SK",AE8186,""))</f>
        <v>71.595240000000004</v>
      </c>
    </row>
    <row r="8187" spans="27:32" ht="15">
      <c r="AA8187" s="463" t="s">
        <v>1320</v>
      </c>
      <c r="AB8187" s="462" t="s">
        <v>24039</v>
      </c>
      <c r="AC8187" s="462" t="s">
        <v>24040</v>
      </c>
      <c r="AD8187" s="464">
        <v>1211.0141900000001</v>
      </c>
      <c r="AE8187" s="465">
        <v>57.696930000000002</v>
      </c>
      <c r="AF8187" s="86">
        <f>IF(verze!$E$1="CZK",AD8187,IF(verze!$E$1="SK",AE8187,""))</f>
        <v>57.696930000000002</v>
      </c>
    </row>
    <row r="8188" spans="27:32" ht="15">
      <c r="AA8188" s="463" t="s">
        <v>1320</v>
      </c>
      <c r="AB8188" s="462" t="s">
        <v>24041</v>
      </c>
      <c r="AC8188" s="462" t="s">
        <v>24042</v>
      </c>
      <c r="AD8188" s="464">
        <v>1172.3282099999999</v>
      </c>
      <c r="AE8188" s="465">
        <v>56.393250000000002</v>
      </c>
      <c r="AF8188" s="86">
        <f>IF(verze!$E$1="CZK",AD8188,IF(verze!$E$1="SK",AE8188,""))</f>
        <v>56.393250000000002</v>
      </c>
    </row>
    <row r="8189" spans="27:32" ht="15">
      <c r="AA8189" s="463" t="s">
        <v>1320</v>
      </c>
      <c r="AB8189" s="462" t="s">
        <v>24043</v>
      </c>
      <c r="AC8189" s="462" t="s">
        <v>24044</v>
      </c>
      <c r="AD8189" s="464">
        <v>1488.35481</v>
      </c>
      <c r="AE8189" s="465">
        <v>71.595240000000004</v>
      </c>
      <c r="AF8189" s="86">
        <f>IF(verze!$E$1="CZK",AD8189,IF(verze!$E$1="SK",AE8189,""))</f>
        <v>71.595240000000004</v>
      </c>
    </row>
    <row r="8190" spans="27:32" ht="15">
      <c r="AA8190" s="463" t="s">
        <v>1320</v>
      </c>
      <c r="AB8190" s="462" t="s">
        <v>24045</v>
      </c>
      <c r="AC8190" s="462" t="s">
        <v>24046</v>
      </c>
      <c r="AD8190" s="464">
        <v>1211.0141900000001</v>
      </c>
      <c r="AE8190" s="465">
        <v>57.696930000000002</v>
      </c>
      <c r="AF8190" s="86">
        <f>IF(verze!$E$1="CZK",AD8190,IF(verze!$E$1="SK",AE8190,""))</f>
        <v>57.696930000000002</v>
      </c>
    </row>
    <row r="8191" spans="27:32" ht="15">
      <c r="AA8191" s="463" t="s">
        <v>1320</v>
      </c>
      <c r="AB8191" s="462" t="s">
        <v>24047</v>
      </c>
      <c r="AC8191" s="462" t="s">
        <v>24048</v>
      </c>
      <c r="AD8191" s="464">
        <v>1172.3282099999999</v>
      </c>
      <c r="AE8191" s="465">
        <v>56.393250000000002</v>
      </c>
      <c r="AF8191" s="86">
        <f>IF(verze!$E$1="CZK",AD8191,IF(verze!$E$1="SK",AE8191,""))</f>
        <v>56.393250000000002</v>
      </c>
    </row>
    <row r="8192" spans="27:32" ht="15">
      <c r="AA8192" s="463" t="s">
        <v>1320</v>
      </c>
      <c r="AB8192" s="462" t="s">
        <v>24049</v>
      </c>
      <c r="AC8192" s="462" t="s">
        <v>24050</v>
      </c>
      <c r="AD8192" s="464">
        <v>1536.9078199999999</v>
      </c>
      <c r="AE8192" s="465">
        <v>73.930840000000003</v>
      </c>
      <c r="AF8192" s="86">
        <f>IF(verze!$E$1="CZK",AD8192,IF(verze!$E$1="SK",AE8192,""))</f>
        <v>73.930840000000003</v>
      </c>
    </row>
    <row r="8193" spans="27:32" ht="15">
      <c r="AA8193" s="463" t="s">
        <v>1320</v>
      </c>
      <c r="AB8193" s="462" t="s">
        <v>24051</v>
      </c>
      <c r="AC8193" s="462" t="s">
        <v>24052</v>
      </c>
      <c r="AD8193" s="464">
        <v>1282.22163</v>
      </c>
      <c r="AE8193" s="465">
        <v>61.679499999999997</v>
      </c>
      <c r="AF8193" s="86">
        <f>IF(verze!$E$1="CZK",AD8193,IF(verze!$E$1="SK",AE8193,""))</f>
        <v>61.679499999999997</v>
      </c>
    </row>
    <row r="8194" spans="27:32" ht="15">
      <c r="AA8194" s="463" t="s">
        <v>1320</v>
      </c>
      <c r="AB8194" s="462" t="s">
        <v>24053</v>
      </c>
      <c r="AC8194" s="462" t="s">
        <v>24054</v>
      </c>
      <c r="AD8194" s="464">
        <v>1228.88193</v>
      </c>
      <c r="AE8194" s="465">
        <v>59.113639999999997</v>
      </c>
      <c r="AF8194" s="86">
        <f>IF(verze!$E$1="CZK",AD8194,IF(verze!$E$1="SK",AE8194,""))</f>
        <v>59.113639999999997</v>
      </c>
    </row>
    <row r="8195" spans="27:32" ht="15">
      <c r="AA8195" s="463" t="s">
        <v>1320</v>
      </c>
      <c r="AB8195" s="462" t="s">
        <v>24055</v>
      </c>
      <c r="AC8195" s="462" t="s">
        <v>24056</v>
      </c>
      <c r="AD8195" s="464">
        <v>1536.9078199999999</v>
      </c>
      <c r="AE8195" s="465">
        <v>73.930840000000003</v>
      </c>
      <c r="AF8195" s="86">
        <f>IF(verze!$E$1="CZK",AD8195,IF(verze!$E$1="SK",AE8195,""))</f>
        <v>73.930840000000003</v>
      </c>
    </row>
    <row r="8196" spans="27:32" ht="15">
      <c r="AA8196" s="463" t="s">
        <v>1320</v>
      </c>
      <c r="AB8196" s="462" t="s">
        <v>24057</v>
      </c>
      <c r="AC8196" s="462" t="s">
        <v>24058</v>
      </c>
      <c r="AD8196" s="464">
        <v>1282.22163</v>
      </c>
      <c r="AE8196" s="465">
        <v>61.679499999999997</v>
      </c>
      <c r="AF8196" s="86">
        <f>IF(verze!$E$1="CZK",AD8196,IF(verze!$E$1="SK",AE8196,""))</f>
        <v>61.679499999999997</v>
      </c>
    </row>
    <row r="8197" spans="27:32" ht="15">
      <c r="AA8197" s="463" t="s">
        <v>1320</v>
      </c>
      <c r="AB8197" s="462" t="s">
        <v>24059</v>
      </c>
      <c r="AC8197" s="462" t="s">
        <v>24060</v>
      </c>
      <c r="AD8197" s="464">
        <v>1228.88193</v>
      </c>
      <c r="AE8197" s="465">
        <v>59.113639999999997</v>
      </c>
      <c r="AF8197" s="86">
        <f>IF(verze!$E$1="CZK",AD8197,IF(verze!$E$1="SK",AE8197,""))</f>
        <v>59.113639999999997</v>
      </c>
    </row>
    <row r="8198" spans="27:32" ht="15">
      <c r="AA8198" s="463" t="s">
        <v>1320</v>
      </c>
      <c r="AB8198" s="462" t="s">
        <v>24061</v>
      </c>
      <c r="AC8198" s="462" t="s">
        <v>24062</v>
      </c>
      <c r="AD8198" s="464">
        <v>1536.9078199999999</v>
      </c>
      <c r="AE8198" s="465">
        <v>73.930840000000003</v>
      </c>
      <c r="AF8198" s="86">
        <f>IF(verze!$E$1="CZK",AD8198,IF(verze!$E$1="SK",AE8198,""))</f>
        <v>73.930840000000003</v>
      </c>
    </row>
    <row r="8199" spans="27:32" ht="15">
      <c r="AA8199" s="463" t="s">
        <v>1320</v>
      </c>
      <c r="AB8199" s="462" t="s">
        <v>24063</v>
      </c>
      <c r="AC8199" s="462" t="s">
        <v>24064</v>
      </c>
      <c r="AD8199" s="464">
        <v>1282.22163</v>
      </c>
      <c r="AE8199" s="465">
        <v>61.679499999999997</v>
      </c>
      <c r="AF8199" s="86">
        <f>IF(verze!$E$1="CZK",AD8199,IF(verze!$E$1="SK",AE8199,""))</f>
        <v>61.679499999999997</v>
      </c>
    </row>
    <row r="8200" spans="27:32" ht="15">
      <c r="AA8200" s="463" t="s">
        <v>1320</v>
      </c>
      <c r="AB8200" s="462" t="s">
        <v>24065</v>
      </c>
      <c r="AC8200" s="462" t="s">
        <v>24066</v>
      </c>
      <c r="AD8200" s="464">
        <v>1228.88193</v>
      </c>
      <c r="AE8200" s="465">
        <v>59.113639999999997</v>
      </c>
      <c r="AF8200" s="86">
        <f>IF(verze!$E$1="CZK",AD8200,IF(verze!$E$1="SK",AE8200,""))</f>
        <v>59.113639999999997</v>
      </c>
    </row>
    <row r="8201" spans="27:32" ht="15">
      <c r="AA8201" s="463" t="s">
        <v>1320</v>
      </c>
      <c r="AB8201" s="462" t="s">
        <v>24067</v>
      </c>
      <c r="AC8201" s="462" t="s">
        <v>24068</v>
      </c>
      <c r="AD8201" s="464">
        <v>1072.6184599999999</v>
      </c>
      <c r="AE8201" s="465">
        <v>51.596800000000002</v>
      </c>
      <c r="AF8201" s="86">
        <f>IF(verze!$E$1="CZK",AD8201,IF(verze!$E$1="SK",AE8201,""))</f>
        <v>51.596800000000002</v>
      </c>
    </row>
    <row r="8202" spans="27:32" ht="15">
      <c r="AA8202" s="463" t="s">
        <v>1320</v>
      </c>
      <c r="AB8202" s="462" t="s">
        <v>24069</v>
      </c>
      <c r="AC8202" s="462" t="s">
        <v>24070</v>
      </c>
      <c r="AD8202" s="464">
        <v>1072.6184599999999</v>
      </c>
      <c r="AE8202" s="465">
        <v>51.596800000000002</v>
      </c>
      <c r="AF8202" s="86">
        <f>IF(verze!$E$1="CZK",AD8202,IF(verze!$E$1="SK",AE8202,""))</f>
        <v>51.596800000000002</v>
      </c>
    </row>
    <row r="8203" spans="27:32" ht="15">
      <c r="AA8203" s="463" t="s">
        <v>1320</v>
      </c>
      <c r="AB8203" s="462" t="s">
        <v>24071</v>
      </c>
      <c r="AC8203" s="462" t="s">
        <v>24072</v>
      </c>
      <c r="AD8203" s="464">
        <v>1072.6184599999999</v>
      </c>
      <c r="AE8203" s="465">
        <v>51.596800000000002</v>
      </c>
      <c r="AF8203" s="86">
        <f>IF(verze!$E$1="CZK",AD8203,IF(verze!$E$1="SK",AE8203,""))</f>
        <v>51.596800000000002</v>
      </c>
    </row>
    <row r="8204" spans="27:32" ht="15">
      <c r="AA8204" s="463" t="s">
        <v>1320</v>
      </c>
      <c r="AB8204" s="462" t="s">
        <v>24073</v>
      </c>
      <c r="AC8204" s="462" t="s">
        <v>24074</v>
      </c>
      <c r="AD8204" s="464">
        <v>1371.31044</v>
      </c>
      <c r="AE8204" s="465">
        <v>65.96499</v>
      </c>
      <c r="AF8204" s="86">
        <f>IF(verze!$E$1="CZK",AD8204,IF(verze!$E$1="SK",AE8204,""))</f>
        <v>65.96499</v>
      </c>
    </row>
    <row r="8205" spans="27:32" ht="15">
      <c r="AA8205" s="463" t="s">
        <v>1320</v>
      </c>
      <c r="AB8205" s="462" t="s">
        <v>24075</v>
      </c>
      <c r="AC8205" s="462" t="s">
        <v>24076</v>
      </c>
      <c r="AD8205" s="464">
        <v>1072.6184599999999</v>
      </c>
      <c r="AE8205" s="465">
        <v>51.596800000000002</v>
      </c>
      <c r="AF8205" s="86">
        <f>IF(verze!$E$1="CZK",AD8205,IF(verze!$E$1="SK",AE8205,""))</f>
        <v>51.596800000000002</v>
      </c>
    </row>
    <row r="8206" spans="27:32" ht="15">
      <c r="AA8206" s="463" t="s">
        <v>1320</v>
      </c>
      <c r="AB8206" s="462" t="s">
        <v>24077</v>
      </c>
      <c r="AC8206" s="462" t="s">
        <v>24078</v>
      </c>
      <c r="AD8206" s="464">
        <v>1014.95806</v>
      </c>
      <c r="AE8206" s="465">
        <v>48.823160000000001</v>
      </c>
      <c r="AF8206" s="86">
        <f>IF(verze!$E$1="CZK",AD8206,IF(verze!$E$1="SK",AE8206,""))</f>
        <v>48.823160000000001</v>
      </c>
    </row>
    <row r="8207" spans="27:32" ht="15">
      <c r="AA8207" s="463" t="s">
        <v>1320</v>
      </c>
      <c r="AB8207" s="462" t="s">
        <v>24079</v>
      </c>
      <c r="AC8207" s="462" t="s">
        <v>24080</v>
      </c>
      <c r="AD8207" s="464">
        <v>1371.31044</v>
      </c>
      <c r="AE8207" s="465">
        <v>65.96499</v>
      </c>
      <c r="AF8207" s="86">
        <f>IF(verze!$E$1="CZK",AD8207,IF(verze!$E$1="SK",AE8207,""))</f>
        <v>65.96499</v>
      </c>
    </row>
    <row r="8208" spans="27:32" ht="15">
      <c r="AA8208" s="463" t="s">
        <v>1320</v>
      </c>
      <c r="AB8208" s="462" t="s">
        <v>24081</v>
      </c>
      <c r="AC8208" s="462" t="s">
        <v>24082</v>
      </c>
      <c r="AD8208" s="464">
        <v>1072.6184599999999</v>
      </c>
      <c r="AE8208" s="465">
        <v>51.596800000000002</v>
      </c>
      <c r="AF8208" s="86">
        <f>IF(verze!$E$1="CZK",AD8208,IF(verze!$E$1="SK",AE8208,""))</f>
        <v>51.596800000000002</v>
      </c>
    </row>
    <row r="8209" spans="27:32" ht="15">
      <c r="AA8209" s="463" t="s">
        <v>1320</v>
      </c>
      <c r="AB8209" s="462" t="s">
        <v>24083</v>
      </c>
      <c r="AC8209" s="462" t="s">
        <v>24084</v>
      </c>
      <c r="AD8209" s="464">
        <v>1014.95806</v>
      </c>
      <c r="AE8209" s="465">
        <v>48.823160000000001</v>
      </c>
      <c r="AF8209" s="86">
        <f>IF(verze!$E$1="CZK",AD8209,IF(verze!$E$1="SK",AE8209,""))</f>
        <v>48.823160000000001</v>
      </c>
    </row>
    <row r="8210" spans="27:32" ht="15">
      <c r="AA8210" s="463" t="s">
        <v>1320</v>
      </c>
      <c r="AB8210" s="462" t="s">
        <v>24085</v>
      </c>
      <c r="AC8210" s="462" t="s">
        <v>24086</v>
      </c>
      <c r="AD8210" s="464">
        <v>1371.31044</v>
      </c>
      <c r="AE8210" s="465">
        <v>65.96499</v>
      </c>
      <c r="AF8210" s="86">
        <f>IF(verze!$E$1="CZK",AD8210,IF(verze!$E$1="SK",AE8210,""))</f>
        <v>65.96499</v>
      </c>
    </row>
    <row r="8211" spans="27:32" ht="15">
      <c r="AA8211" s="463" t="s">
        <v>1320</v>
      </c>
      <c r="AB8211" s="462" t="s">
        <v>24087</v>
      </c>
      <c r="AC8211" s="462" t="s">
        <v>24088</v>
      </c>
      <c r="AD8211" s="464">
        <v>1072.6184599999999</v>
      </c>
      <c r="AE8211" s="465">
        <v>51.596800000000002</v>
      </c>
      <c r="AF8211" s="86">
        <f>IF(verze!$E$1="CZK",AD8211,IF(verze!$E$1="SK",AE8211,""))</f>
        <v>51.596800000000002</v>
      </c>
    </row>
    <row r="8212" spans="27:32" ht="15">
      <c r="AA8212" s="463" t="s">
        <v>1320</v>
      </c>
      <c r="AB8212" s="462" t="s">
        <v>24089</v>
      </c>
      <c r="AC8212" s="462" t="s">
        <v>24090</v>
      </c>
      <c r="AD8212" s="464">
        <v>1014.95806</v>
      </c>
      <c r="AE8212" s="465">
        <v>48.823160000000001</v>
      </c>
      <c r="AF8212" s="86">
        <f>IF(verze!$E$1="CZK",AD8212,IF(verze!$E$1="SK",AE8212,""))</f>
        <v>48.823160000000001</v>
      </c>
    </row>
    <row r="8213" spans="27:32" ht="15">
      <c r="AA8213" s="463" t="s">
        <v>1320</v>
      </c>
      <c r="AB8213" s="462" t="s">
        <v>24091</v>
      </c>
      <c r="AC8213" s="462" t="s">
        <v>24092</v>
      </c>
      <c r="AD8213" s="464">
        <v>1085.6868899999999</v>
      </c>
      <c r="AE8213" s="465">
        <v>52.225430000000003</v>
      </c>
      <c r="AF8213" s="86">
        <f>IF(verze!$E$1="CZK",AD8213,IF(verze!$E$1="SK",AE8213,""))</f>
        <v>52.225430000000003</v>
      </c>
    </row>
    <row r="8214" spans="27:32" ht="15">
      <c r="AA8214" s="463" t="s">
        <v>1320</v>
      </c>
      <c r="AB8214" s="462" t="s">
        <v>24093</v>
      </c>
      <c r="AC8214" s="462" t="s">
        <v>24094</v>
      </c>
      <c r="AD8214" s="464">
        <v>1085.6868899999999</v>
      </c>
      <c r="AE8214" s="465">
        <v>52.225430000000003</v>
      </c>
      <c r="AF8214" s="86">
        <f>IF(verze!$E$1="CZK",AD8214,IF(verze!$E$1="SK",AE8214,""))</f>
        <v>52.225430000000003</v>
      </c>
    </row>
    <row r="8215" spans="27:32" ht="15">
      <c r="AA8215" s="463" t="s">
        <v>1320</v>
      </c>
      <c r="AB8215" s="462" t="s">
        <v>24095</v>
      </c>
      <c r="AC8215" s="462" t="s">
        <v>24096</v>
      </c>
      <c r="AD8215" s="464">
        <v>1085.6868899999999</v>
      </c>
      <c r="AE8215" s="465">
        <v>52.225430000000003</v>
      </c>
      <c r="AF8215" s="86">
        <f>IF(verze!$E$1="CZK",AD8215,IF(verze!$E$1="SK",AE8215,""))</f>
        <v>52.225430000000003</v>
      </c>
    </row>
    <row r="8216" spans="27:32" ht="15">
      <c r="AA8216" s="463" t="s">
        <v>1320</v>
      </c>
      <c r="AB8216" s="462" t="s">
        <v>24097</v>
      </c>
      <c r="AC8216" s="462" t="s">
        <v>24098</v>
      </c>
      <c r="AD8216" s="464">
        <v>1384.37887</v>
      </c>
      <c r="AE8216" s="465">
        <v>66.593620000000001</v>
      </c>
      <c r="AF8216" s="86">
        <f>IF(verze!$E$1="CZK",AD8216,IF(verze!$E$1="SK",AE8216,""))</f>
        <v>66.593620000000001</v>
      </c>
    </row>
    <row r="8217" spans="27:32" ht="15">
      <c r="AA8217" s="463" t="s">
        <v>1320</v>
      </c>
      <c r="AB8217" s="462" t="s">
        <v>24099</v>
      </c>
      <c r="AC8217" s="462" t="s">
        <v>24100</v>
      </c>
      <c r="AD8217" s="464">
        <v>1085.6868899999999</v>
      </c>
      <c r="AE8217" s="465">
        <v>52.225430000000003</v>
      </c>
      <c r="AF8217" s="86">
        <f>IF(verze!$E$1="CZK",AD8217,IF(verze!$E$1="SK",AE8217,""))</f>
        <v>52.225430000000003</v>
      </c>
    </row>
    <row r="8218" spans="27:32" ht="15">
      <c r="AA8218" s="463" t="s">
        <v>1320</v>
      </c>
      <c r="AB8218" s="462" t="s">
        <v>24101</v>
      </c>
      <c r="AC8218" s="462" t="s">
        <v>24102</v>
      </c>
      <c r="AD8218" s="464">
        <v>1028.02649</v>
      </c>
      <c r="AE8218" s="465">
        <v>49.451790000000003</v>
      </c>
      <c r="AF8218" s="86">
        <f>IF(verze!$E$1="CZK",AD8218,IF(verze!$E$1="SK",AE8218,""))</f>
        <v>49.451790000000003</v>
      </c>
    </row>
    <row r="8219" spans="27:32" ht="15">
      <c r="AA8219" s="463" t="s">
        <v>1320</v>
      </c>
      <c r="AB8219" s="462" t="s">
        <v>24103</v>
      </c>
      <c r="AC8219" s="462" t="s">
        <v>24104</v>
      </c>
      <c r="AD8219" s="464">
        <v>1384.37887</v>
      </c>
      <c r="AE8219" s="465">
        <v>66.593620000000001</v>
      </c>
      <c r="AF8219" s="86">
        <f>IF(verze!$E$1="CZK",AD8219,IF(verze!$E$1="SK",AE8219,""))</f>
        <v>66.593620000000001</v>
      </c>
    </row>
    <row r="8220" spans="27:32" ht="15">
      <c r="AA8220" s="463" t="s">
        <v>1320</v>
      </c>
      <c r="AB8220" s="462" t="s">
        <v>24105</v>
      </c>
      <c r="AC8220" s="462" t="s">
        <v>24106</v>
      </c>
      <c r="AD8220" s="464">
        <v>1085.6868899999999</v>
      </c>
      <c r="AE8220" s="465">
        <v>52.225430000000003</v>
      </c>
      <c r="AF8220" s="86">
        <f>IF(verze!$E$1="CZK",AD8220,IF(verze!$E$1="SK",AE8220,""))</f>
        <v>52.225430000000003</v>
      </c>
    </row>
    <row r="8221" spans="27:32" ht="15">
      <c r="AA8221" s="463" t="s">
        <v>1320</v>
      </c>
      <c r="AB8221" s="462" t="s">
        <v>24107</v>
      </c>
      <c r="AC8221" s="462" t="s">
        <v>24108</v>
      </c>
      <c r="AD8221" s="464">
        <v>1028.02649</v>
      </c>
      <c r="AE8221" s="465">
        <v>49.451790000000003</v>
      </c>
      <c r="AF8221" s="86">
        <f>IF(verze!$E$1="CZK",AD8221,IF(verze!$E$1="SK",AE8221,""))</f>
        <v>49.451790000000003</v>
      </c>
    </row>
    <row r="8222" spans="27:32" ht="15">
      <c r="AA8222" s="463" t="s">
        <v>1320</v>
      </c>
      <c r="AB8222" s="462" t="s">
        <v>24109</v>
      </c>
      <c r="AC8222" s="462" t="s">
        <v>24110</v>
      </c>
      <c r="AD8222" s="464">
        <v>1384.37887</v>
      </c>
      <c r="AE8222" s="465">
        <v>66.593620000000001</v>
      </c>
      <c r="AF8222" s="86">
        <f>IF(verze!$E$1="CZK",AD8222,IF(verze!$E$1="SK",AE8222,""))</f>
        <v>66.593620000000001</v>
      </c>
    </row>
    <row r="8223" spans="27:32" ht="15">
      <c r="AA8223" s="463" t="s">
        <v>1320</v>
      </c>
      <c r="AB8223" s="462" t="s">
        <v>24111</v>
      </c>
      <c r="AC8223" s="462" t="s">
        <v>24112</v>
      </c>
      <c r="AD8223" s="464">
        <v>1085.6868899999999</v>
      </c>
      <c r="AE8223" s="465">
        <v>52.225430000000003</v>
      </c>
      <c r="AF8223" s="86">
        <f>IF(verze!$E$1="CZK",AD8223,IF(verze!$E$1="SK",AE8223,""))</f>
        <v>52.225430000000003</v>
      </c>
    </row>
    <row r="8224" spans="27:32" ht="15">
      <c r="AA8224" s="463" t="s">
        <v>1320</v>
      </c>
      <c r="AB8224" s="462" t="s">
        <v>24113</v>
      </c>
      <c r="AC8224" s="462" t="s">
        <v>24114</v>
      </c>
      <c r="AD8224" s="464">
        <v>1028.02649</v>
      </c>
      <c r="AE8224" s="465">
        <v>49.451790000000003</v>
      </c>
      <c r="AF8224" s="86">
        <f>IF(verze!$E$1="CZK",AD8224,IF(verze!$E$1="SK",AE8224,""))</f>
        <v>49.451790000000003</v>
      </c>
    </row>
    <row r="8225" spans="27:32" ht="15">
      <c r="AA8225" s="463" t="s">
        <v>1320</v>
      </c>
      <c r="AB8225" s="462" t="s">
        <v>24115</v>
      </c>
      <c r="AC8225" s="462" t="s">
        <v>24116</v>
      </c>
      <c r="AD8225" s="464">
        <v>1492.4959799999999</v>
      </c>
      <c r="AE8225" s="465">
        <v>71.794439999999994</v>
      </c>
      <c r="AF8225" s="86">
        <f>IF(verze!$E$1="CZK",AD8225,IF(verze!$E$1="SK",AE8225,""))</f>
        <v>71.794439999999994</v>
      </c>
    </row>
    <row r="8226" spans="27:32" ht="15">
      <c r="AA8226" s="463" t="s">
        <v>1320</v>
      </c>
      <c r="AB8226" s="462" t="s">
        <v>24117</v>
      </c>
      <c r="AC8226" s="462" t="s">
        <v>24118</v>
      </c>
      <c r="AD8226" s="464">
        <v>1216.20787</v>
      </c>
      <c r="AE8226" s="465">
        <v>58.504010000000001</v>
      </c>
      <c r="AF8226" s="86">
        <f>IF(verze!$E$1="CZK",AD8226,IF(verze!$E$1="SK",AE8226,""))</f>
        <v>58.504010000000001</v>
      </c>
    </row>
    <row r="8227" spans="27:32" ht="15">
      <c r="AA8227" s="463" t="s">
        <v>1320</v>
      </c>
      <c r="AB8227" s="462" t="s">
        <v>24119</v>
      </c>
      <c r="AC8227" s="462" t="s">
        <v>24120</v>
      </c>
      <c r="AD8227" s="464">
        <v>1162.86817</v>
      </c>
      <c r="AE8227" s="465">
        <v>55.93815</v>
      </c>
      <c r="AF8227" s="86">
        <f>IF(verze!$E$1="CZK",AD8227,IF(verze!$E$1="SK",AE8227,""))</f>
        <v>55.93815</v>
      </c>
    </row>
    <row r="8228" spans="27:32" ht="15">
      <c r="AA8228" s="463" t="s">
        <v>1320</v>
      </c>
      <c r="AB8228" s="462" t="s">
        <v>24121</v>
      </c>
      <c r="AC8228" s="462" t="s">
        <v>24122</v>
      </c>
      <c r="AD8228" s="464">
        <v>1492.4959799999999</v>
      </c>
      <c r="AE8228" s="465">
        <v>71.794439999999994</v>
      </c>
      <c r="AF8228" s="86">
        <f>IF(verze!$E$1="CZK",AD8228,IF(verze!$E$1="SK",AE8228,""))</f>
        <v>71.794439999999994</v>
      </c>
    </row>
    <row r="8229" spans="27:32" ht="15">
      <c r="AA8229" s="463" t="s">
        <v>1320</v>
      </c>
      <c r="AB8229" s="462" t="s">
        <v>24123</v>
      </c>
      <c r="AC8229" s="462" t="s">
        <v>24124</v>
      </c>
      <c r="AD8229" s="464">
        <v>1216.20787</v>
      </c>
      <c r="AE8229" s="465">
        <v>58.504010000000001</v>
      </c>
      <c r="AF8229" s="86">
        <f>IF(verze!$E$1="CZK",AD8229,IF(verze!$E$1="SK",AE8229,""))</f>
        <v>58.504010000000001</v>
      </c>
    </row>
    <row r="8230" spans="27:32" ht="15">
      <c r="AA8230" s="463" t="s">
        <v>1320</v>
      </c>
      <c r="AB8230" s="462" t="s">
        <v>24125</v>
      </c>
      <c r="AC8230" s="462" t="s">
        <v>24126</v>
      </c>
      <c r="AD8230" s="464">
        <v>1162.86817</v>
      </c>
      <c r="AE8230" s="465">
        <v>55.93815</v>
      </c>
      <c r="AF8230" s="86">
        <f>IF(verze!$E$1="CZK",AD8230,IF(verze!$E$1="SK",AE8230,""))</f>
        <v>55.93815</v>
      </c>
    </row>
    <row r="8231" spans="27:32" ht="15">
      <c r="AA8231" s="463" t="s">
        <v>1320</v>
      </c>
      <c r="AB8231" s="462" t="s">
        <v>24127</v>
      </c>
      <c r="AC8231" s="462" t="s">
        <v>24128</v>
      </c>
      <c r="AD8231" s="464">
        <v>1492.4959799999999</v>
      </c>
      <c r="AE8231" s="465">
        <v>71.794439999999994</v>
      </c>
      <c r="AF8231" s="86">
        <f>IF(verze!$E$1="CZK",AD8231,IF(verze!$E$1="SK",AE8231,""))</f>
        <v>71.794439999999994</v>
      </c>
    </row>
    <row r="8232" spans="27:32" ht="15">
      <c r="AA8232" s="463" t="s">
        <v>1320</v>
      </c>
      <c r="AB8232" s="462" t="s">
        <v>24129</v>
      </c>
      <c r="AC8232" s="462" t="s">
        <v>24130</v>
      </c>
      <c r="AD8232" s="464">
        <v>1216.20787</v>
      </c>
      <c r="AE8232" s="465">
        <v>58.504010000000001</v>
      </c>
      <c r="AF8232" s="86">
        <f>IF(verze!$E$1="CZK",AD8232,IF(verze!$E$1="SK",AE8232,""))</f>
        <v>58.504010000000001</v>
      </c>
    </row>
    <row r="8233" spans="27:32" ht="15">
      <c r="AA8233" s="463" t="s">
        <v>1320</v>
      </c>
      <c r="AB8233" s="462" t="s">
        <v>24131</v>
      </c>
      <c r="AC8233" s="462" t="s">
        <v>24132</v>
      </c>
      <c r="AD8233" s="464">
        <v>1162.86817</v>
      </c>
      <c r="AE8233" s="465">
        <v>55.93815</v>
      </c>
      <c r="AF8233" s="86">
        <f>IF(verze!$E$1="CZK",AD8233,IF(verze!$E$1="SK",AE8233,""))</f>
        <v>55.93815</v>
      </c>
    </row>
    <row r="8234" spans="27:32" ht="15">
      <c r="AA8234" s="463" t="s">
        <v>1320</v>
      </c>
      <c r="AB8234" s="462" t="s">
        <v>24133</v>
      </c>
      <c r="AC8234" s="462" t="s">
        <v>24134</v>
      </c>
      <c r="AD8234" s="464">
        <v>1085.6868899999999</v>
      </c>
      <c r="AE8234" s="465">
        <v>52.225430000000003</v>
      </c>
      <c r="AF8234" s="86">
        <f>IF(verze!$E$1="CZK",AD8234,IF(verze!$E$1="SK",AE8234,""))</f>
        <v>52.225430000000003</v>
      </c>
    </row>
    <row r="8235" spans="27:32" ht="15">
      <c r="AA8235" s="463" t="s">
        <v>1320</v>
      </c>
      <c r="AB8235" s="462" t="s">
        <v>24135</v>
      </c>
      <c r="AC8235" s="462" t="s">
        <v>24136</v>
      </c>
      <c r="AD8235" s="464">
        <v>1085.6868899999999</v>
      </c>
      <c r="AE8235" s="465">
        <v>52.225430000000003</v>
      </c>
      <c r="AF8235" s="86">
        <f>IF(verze!$E$1="CZK",AD8235,IF(verze!$E$1="SK",AE8235,""))</f>
        <v>52.225430000000003</v>
      </c>
    </row>
    <row r="8236" spans="27:32" ht="15">
      <c r="AA8236" s="463" t="s">
        <v>1320</v>
      </c>
      <c r="AB8236" s="462" t="s">
        <v>24137</v>
      </c>
      <c r="AC8236" s="462" t="s">
        <v>24138</v>
      </c>
      <c r="AD8236" s="464">
        <v>1085.6868899999999</v>
      </c>
      <c r="AE8236" s="465">
        <v>52.225430000000003</v>
      </c>
      <c r="AF8236" s="86">
        <f>IF(verze!$E$1="CZK",AD8236,IF(verze!$E$1="SK",AE8236,""))</f>
        <v>52.225430000000003</v>
      </c>
    </row>
    <row r="8237" spans="27:32" ht="15">
      <c r="AA8237" s="463" t="s">
        <v>1320</v>
      </c>
      <c r="AB8237" s="462" t="s">
        <v>24139</v>
      </c>
      <c r="AC8237" s="462" t="s">
        <v>24140</v>
      </c>
      <c r="AD8237" s="464">
        <v>1384.37887</v>
      </c>
      <c r="AE8237" s="465">
        <v>66.593620000000001</v>
      </c>
      <c r="AF8237" s="86">
        <f>IF(verze!$E$1="CZK",AD8237,IF(verze!$E$1="SK",AE8237,""))</f>
        <v>66.593620000000001</v>
      </c>
    </row>
    <row r="8238" spans="27:32" ht="15">
      <c r="AA8238" s="463" t="s">
        <v>1320</v>
      </c>
      <c r="AB8238" s="462" t="s">
        <v>24141</v>
      </c>
      <c r="AC8238" s="462" t="s">
        <v>24142</v>
      </c>
      <c r="AD8238" s="464">
        <v>1085.6868899999999</v>
      </c>
      <c r="AE8238" s="465">
        <v>52.225430000000003</v>
      </c>
      <c r="AF8238" s="86">
        <f>IF(verze!$E$1="CZK",AD8238,IF(verze!$E$1="SK",AE8238,""))</f>
        <v>52.225430000000003</v>
      </c>
    </row>
    <row r="8239" spans="27:32" ht="15">
      <c r="AA8239" s="463" t="s">
        <v>1320</v>
      </c>
      <c r="AB8239" s="462" t="s">
        <v>24143</v>
      </c>
      <c r="AC8239" s="462" t="s">
        <v>24144</v>
      </c>
      <c r="AD8239" s="464">
        <v>1028.02649</v>
      </c>
      <c r="AE8239" s="465">
        <v>49.451790000000003</v>
      </c>
      <c r="AF8239" s="86">
        <f>IF(verze!$E$1="CZK",AD8239,IF(verze!$E$1="SK",AE8239,""))</f>
        <v>49.451790000000003</v>
      </c>
    </row>
    <row r="8240" spans="27:32" ht="15">
      <c r="AA8240" s="463" t="s">
        <v>1320</v>
      </c>
      <c r="AB8240" s="462" t="s">
        <v>24145</v>
      </c>
      <c r="AC8240" s="462" t="s">
        <v>24146</v>
      </c>
      <c r="AD8240" s="464">
        <v>1384.37887</v>
      </c>
      <c r="AE8240" s="465">
        <v>66.593620000000001</v>
      </c>
      <c r="AF8240" s="86">
        <f>IF(verze!$E$1="CZK",AD8240,IF(verze!$E$1="SK",AE8240,""))</f>
        <v>66.593620000000001</v>
      </c>
    </row>
    <row r="8241" spans="27:32" ht="15">
      <c r="AA8241" s="463" t="s">
        <v>1320</v>
      </c>
      <c r="AB8241" s="462" t="s">
        <v>24147</v>
      </c>
      <c r="AC8241" s="462" t="s">
        <v>24148</v>
      </c>
      <c r="AD8241" s="464">
        <v>1085.6868899999999</v>
      </c>
      <c r="AE8241" s="465">
        <v>52.225430000000003</v>
      </c>
      <c r="AF8241" s="86">
        <f>IF(verze!$E$1="CZK",AD8241,IF(verze!$E$1="SK",AE8241,""))</f>
        <v>52.225430000000003</v>
      </c>
    </row>
    <row r="8242" spans="27:32" ht="15">
      <c r="AA8242" s="463" t="s">
        <v>1320</v>
      </c>
      <c r="AB8242" s="462" t="s">
        <v>24149</v>
      </c>
      <c r="AC8242" s="462" t="s">
        <v>24150</v>
      </c>
      <c r="AD8242" s="464">
        <v>1028.02649</v>
      </c>
      <c r="AE8242" s="465">
        <v>49.451790000000003</v>
      </c>
      <c r="AF8242" s="86">
        <f>IF(verze!$E$1="CZK",AD8242,IF(verze!$E$1="SK",AE8242,""))</f>
        <v>49.451790000000003</v>
      </c>
    </row>
    <row r="8243" spans="27:32" ht="15">
      <c r="AA8243" s="463" t="s">
        <v>1320</v>
      </c>
      <c r="AB8243" s="462" t="s">
        <v>24151</v>
      </c>
      <c r="AC8243" s="462" t="s">
        <v>24152</v>
      </c>
      <c r="AD8243" s="464">
        <v>1384.37887</v>
      </c>
      <c r="AE8243" s="465">
        <v>66.593620000000001</v>
      </c>
      <c r="AF8243" s="86">
        <f>IF(verze!$E$1="CZK",AD8243,IF(verze!$E$1="SK",AE8243,""))</f>
        <v>66.593620000000001</v>
      </c>
    </row>
    <row r="8244" spans="27:32" ht="15">
      <c r="AA8244" s="463" t="s">
        <v>1320</v>
      </c>
      <c r="AB8244" s="462" t="s">
        <v>24153</v>
      </c>
      <c r="AC8244" s="462" t="s">
        <v>24154</v>
      </c>
      <c r="AD8244" s="464">
        <v>1085.6868899999999</v>
      </c>
      <c r="AE8244" s="465">
        <v>52.225430000000003</v>
      </c>
      <c r="AF8244" s="86">
        <f>IF(verze!$E$1="CZK",AD8244,IF(verze!$E$1="SK",AE8244,""))</f>
        <v>52.225430000000003</v>
      </c>
    </row>
    <row r="8245" spans="27:32" ht="15">
      <c r="AA8245" s="463" t="s">
        <v>1320</v>
      </c>
      <c r="AB8245" s="462" t="s">
        <v>24155</v>
      </c>
      <c r="AC8245" s="462" t="s">
        <v>24156</v>
      </c>
      <c r="AD8245" s="464">
        <v>1028.02649</v>
      </c>
      <c r="AE8245" s="465">
        <v>49.451790000000003</v>
      </c>
      <c r="AF8245" s="86">
        <f>IF(verze!$E$1="CZK",AD8245,IF(verze!$E$1="SK",AE8245,""))</f>
        <v>49.451790000000003</v>
      </c>
    </row>
    <row r="8246" spans="27:32" ht="15">
      <c r="AA8246" s="463" t="s">
        <v>1320</v>
      </c>
      <c r="AB8246" s="462" t="s">
        <v>24157</v>
      </c>
      <c r="AC8246" s="462" t="s">
        <v>24158</v>
      </c>
      <c r="AD8246" s="464">
        <v>0</v>
      </c>
      <c r="AE8246" s="465">
        <v>0</v>
      </c>
      <c r="AF8246" s="86">
        <f>IF(verze!$E$1="CZK",AD8246,IF(verze!$E$1="SK",AE8246,""))</f>
        <v>0</v>
      </c>
    </row>
    <row r="8247" spans="27:32" ht="15">
      <c r="AA8247" s="463" t="s">
        <v>1320</v>
      </c>
      <c r="AB8247" s="462" t="s">
        <v>24159</v>
      </c>
      <c r="AC8247" s="462" t="s">
        <v>24160</v>
      </c>
      <c r="AD8247" s="464">
        <v>1216.20787</v>
      </c>
      <c r="AE8247" s="465">
        <v>58.504010000000001</v>
      </c>
      <c r="AF8247" s="86">
        <f>IF(verze!$E$1="CZK",AD8247,IF(verze!$E$1="SK",AE8247,""))</f>
        <v>58.504010000000001</v>
      </c>
    </row>
    <row r="8248" spans="27:32" ht="15">
      <c r="AA8248" s="463" t="s">
        <v>1320</v>
      </c>
      <c r="AB8248" s="462" t="s">
        <v>24161</v>
      </c>
      <c r="AC8248" s="462" t="s">
        <v>24162</v>
      </c>
      <c r="AD8248" s="464">
        <v>1162.86817</v>
      </c>
      <c r="AE8248" s="465">
        <v>55.93815</v>
      </c>
      <c r="AF8248" s="86">
        <f>IF(verze!$E$1="CZK",AD8248,IF(verze!$E$1="SK",AE8248,""))</f>
        <v>55.93815</v>
      </c>
    </row>
    <row r="8249" spans="27:32" ht="15">
      <c r="AA8249" s="463" t="s">
        <v>1320</v>
      </c>
      <c r="AB8249" s="462" t="s">
        <v>24163</v>
      </c>
      <c r="AC8249" s="462" t="s">
        <v>24164</v>
      </c>
      <c r="AD8249" s="464">
        <v>0</v>
      </c>
      <c r="AE8249" s="465">
        <v>0</v>
      </c>
      <c r="AF8249" s="86">
        <f>IF(verze!$E$1="CZK",AD8249,IF(verze!$E$1="SK",AE8249,""))</f>
        <v>0</v>
      </c>
    </row>
    <row r="8250" spans="27:32" ht="15">
      <c r="AA8250" s="463" t="s">
        <v>1320</v>
      </c>
      <c r="AB8250" s="462" t="s">
        <v>24165</v>
      </c>
      <c r="AC8250" s="462" t="s">
        <v>24166</v>
      </c>
      <c r="AD8250" s="464">
        <v>1216.20787</v>
      </c>
      <c r="AE8250" s="465">
        <v>58.504010000000001</v>
      </c>
      <c r="AF8250" s="86">
        <f>IF(verze!$E$1="CZK",AD8250,IF(verze!$E$1="SK",AE8250,""))</f>
        <v>58.504010000000001</v>
      </c>
    </row>
    <row r="8251" spans="27:32" ht="15">
      <c r="AA8251" s="463" t="s">
        <v>1320</v>
      </c>
      <c r="AB8251" s="462" t="s">
        <v>24167</v>
      </c>
      <c r="AC8251" s="462" t="s">
        <v>24168</v>
      </c>
      <c r="AD8251" s="464">
        <v>1162.86817</v>
      </c>
      <c r="AE8251" s="465">
        <v>55.93815</v>
      </c>
      <c r="AF8251" s="86">
        <f>IF(verze!$E$1="CZK",AD8251,IF(verze!$E$1="SK",AE8251,""))</f>
        <v>55.93815</v>
      </c>
    </row>
    <row r="8252" spans="27:32" ht="15">
      <c r="AA8252" s="463" t="s">
        <v>1320</v>
      </c>
      <c r="AB8252" s="462" t="s">
        <v>24169</v>
      </c>
      <c r="AC8252" s="462" t="s">
        <v>24170</v>
      </c>
      <c r="AD8252" s="464">
        <v>0</v>
      </c>
      <c r="AE8252" s="465">
        <v>0</v>
      </c>
      <c r="AF8252" s="86">
        <f>IF(verze!$E$1="CZK",AD8252,IF(verze!$E$1="SK",AE8252,""))</f>
        <v>0</v>
      </c>
    </row>
    <row r="8253" spans="27:32" ht="15">
      <c r="AA8253" s="463" t="s">
        <v>1320</v>
      </c>
      <c r="AB8253" s="462" t="s">
        <v>24171</v>
      </c>
      <c r="AC8253" s="462" t="s">
        <v>24172</v>
      </c>
      <c r="AD8253" s="464">
        <v>1216.20787</v>
      </c>
      <c r="AE8253" s="465">
        <v>58.504010000000001</v>
      </c>
      <c r="AF8253" s="86">
        <f>IF(verze!$E$1="CZK",AD8253,IF(verze!$E$1="SK",AE8253,""))</f>
        <v>58.504010000000001</v>
      </c>
    </row>
    <row r="8254" spans="27:32" ht="15">
      <c r="AA8254" s="463" t="s">
        <v>1320</v>
      </c>
      <c r="AB8254" s="462" t="s">
        <v>24173</v>
      </c>
      <c r="AC8254" s="462" t="s">
        <v>24174</v>
      </c>
      <c r="AD8254" s="464">
        <v>1162.86817</v>
      </c>
      <c r="AE8254" s="465">
        <v>55.93815</v>
      </c>
      <c r="AF8254" s="86">
        <f>IF(verze!$E$1="CZK",AD8254,IF(verze!$E$1="SK",AE8254,""))</f>
        <v>55.93815</v>
      </c>
    </row>
    <row r="8255" spans="27:32" ht="15">
      <c r="AA8255" s="463" t="s">
        <v>1320</v>
      </c>
      <c r="AB8255" s="462" t="s">
        <v>24175</v>
      </c>
      <c r="AC8255" s="462" t="s">
        <v>24176</v>
      </c>
      <c r="AD8255" s="464">
        <v>1401.1545799999999</v>
      </c>
      <c r="AE8255" s="465">
        <v>67.40061</v>
      </c>
      <c r="AF8255" s="86">
        <f>IF(verze!$E$1="CZK",AD8255,IF(verze!$E$1="SK",AE8255,""))</f>
        <v>67.40061</v>
      </c>
    </row>
    <row r="8256" spans="27:32" ht="15">
      <c r="AA8256" s="463" t="s">
        <v>1320</v>
      </c>
      <c r="AB8256" s="462" t="s">
        <v>24177</v>
      </c>
      <c r="AC8256" s="462" t="s">
        <v>24178</v>
      </c>
      <c r="AD8256" s="464">
        <v>1108.51748</v>
      </c>
      <c r="AE8256" s="465">
        <v>53.323729999999998</v>
      </c>
      <c r="AF8256" s="86">
        <f>IF(verze!$E$1="CZK",AD8256,IF(verze!$E$1="SK",AE8256,""))</f>
        <v>53.323729999999998</v>
      </c>
    </row>
    <row r="8257" spans="27:32" ht="15">
      <c r="AA8257" s="463" t="s">
        <v>1320</v>
      </c>
      <c r="AB8257" s="462" t="s">
        <v>24179</v>
      </c>
      <c r="AC8257" s="462" t="s">
        <v>24180</v>
      </c>
      <c r="AD8257" s="464">
        <v>1050.8529599999999</v>
      </c>
      <c r="AE8257" s="465">
        <v>50.54983</v>
      </c>
      <c r="AF8257" s="86">
        <f>IF(verze!$E$1="CZK",AD8257,IF(verze!$E$1="SK",AE8257,""))</f>
        <v>50.54983</v>
      </c>
    </row>
    <row r="8258" spans="27:32" ht="15">
      <c r="AA8258" s="463" t="s">
        <v>1320</v>
      </c>
      <c r="AB8258" s="462" t="s">
        <v>24181</v>
      </c>
      <c r="AC8258" s="462" t="s">
        <v>24182</v>
      </c>
      <c r="AD8258" s="464">
        <v>1401.1545799999999</v>
      </c>
      <c r="AE8258" s="465">
        <v>67.40061</v>
      </c>
      <c r="AF8258" s="86">
        <f>IF(verze!$E$1="CZK",AD8258,IF(verze!$E$1="SK",AE8258,""))</f>
        <v>67.40061</v>
      </c>
    </row>
    <row r="8259" spans="27:32" ht="15">
      <c r="AA8259" s="463" t="s">
        <v>1320</v>
      </c>
      <c r="AB8259" s="462" t="s">
        <v>24183</v>
      </c>
      <c r="AC8259" s="462" t="s">
        <v>24184</v>
      </c>
      <c r="AD8259" s="464">
        <v>1108.51748</v>
      </c>
      <c r="AE8259" s="465">
        <v>53.323729999999998</v>
      </c>
      <c r="AF8259" s="86">
        <f>IF(verze!$E$1="CZK",AD8259,IF(verze!$E$1="SK",AE8259,""))</f>
        <v>53.323729999999998</v>
      </c>
    </row>
    <row r="8260" spans="27:32" ht="15">
      <c r="AA8260" s="463" t="s">
        <v>1320</v>
      </c>
      <c r="AB8260" s="462" t="s">
        <v>24185</v>
      </c>
      <c r="AC8260" s="462" t="s">
        <v>24186</v>
      </c>
      <c r="AD8260" s="464">
        <v>1050.8529599999999</v>
      </c>
      <c r="AE8260" s="465">
        <v>50.54983</v>
      </c>
      <c r="AF8260" s="86">
        <f>IF(verze!$E$1="CZK",AD8260,IF(verze!$E$1="SK",AE8260,""))</f>
        <v>50.54983</v>
      </c>
    </row>
    <row r="8261" spans="27:32" ht="15">
      <c r="AA8261" s="463" t="s">
        <v>1320</v>
      </c>
      <c r="AB8261" s="462" t="s">
        <v>24187</v>
      </c>
      <c r="AC8261" s="462" t="s">
        <v>24188</v>
      </c>
      <c r="AD8261" s="464">
        <v>1401.1545799999999</v>
      </c>
      <c r="AE8261" s="465">
        <v>67.40061</v>
      </c>
      <c r="AF8261" s="86">
        <f>IF(verze!$E$1="CZK",AD8261,IF(verze!$E$1="SK",AE8261,""))</f>
        <v>67.40061</v>
      </c>
    </row>
    <row r="8262" spans="27:32" ht="15">
      <c r="AA8262" s="463" t="s">
        <v>1320</v>
      </c>
      <c r="AB8262" s="462" t="s">
        <v>24189</v>
      </c>
      <c r="AC8262" s="462" t="s">
        <v>24190</v>
      </c>
      <c r="AD8262" s="464">
        <v>1108.51748</v>
      </c>
      <c r="AE8262" s="465">
        <v>53.323729999999998</v>
      </c>
      <c r="AF8262" s="86">
        <f>IF(verze!$E$1="CZK",AD8262,IF(verze!$E$1="SK",AE8262,""))</f>
        <v>53.323729999999998</v>
      </c>
    </row>
    <row r="8263" spans="27:32" ht="15">
      <c r="AA8263" s="463" t="s">
        <v>1320</v>
      </c>
      <c r="AB8263" s="462" t="s">
        <v>24191</v>
      </c>
      <c r="AC8263" s="462" t="s">
        <v>24192</v>
      </c>
      <c r="AD8263" s="464">
        <v>1050.8529599999999</v>
      </c>
      <c r="AE8263" s="465">
        <v>50.54983</v>
      </c>
      <c r="AF8263" s="86">
        <f>IF(verze!$E$1="CZK",AD8263,IF(verze!$E$1="SK",AE8263,""))</f>
        <v>50.54983</v>
      </c>
    </row>
    <row r="8264" spans="27:32" ht="15">
      <c r="AA8264" s="463" t="s">
        <v>1320</v>
      </c>
      <c r="AB8264" s="462" t="s">
        <v>24193</v>
      </c>
      <c r="AC8264" s="462" t="s">
        <v>24194</v>
      </c>
      <c r="AD8264" s="464">
        <v>1508.8176699999999</v>
      </c>
      <c r="AE8264" s="465">
        <v>72.579589999999996</v>
      </c>
      <c r="AF8264" s="86">
        <f>IF(verze!$E$1="CZK",AD8264,IF(verze!$E$1="SK",AE8264,""))</f>
        <v>72.579589999999996</v>
      </c>
    </row>
    <row r="8265" spans="27:32" ht="15">
      <c r="AA8265" s="463" t="s">
        <v>1320</v>
      </c>
      <c r="AB8265" s="462" t="s">
        <v>24195</v>
      </c>
      <c r="AC8265" s="462" t="s">
        <v>24196</v>
      </c>
      <c r="AD8265" s="464">
        <v>1238.13022</v>
      </c>
      <c r="AE8265" s="465">
        <v>59.558549999999997</v>
      </c>
      <c r="AF8265" s="86">
        <f>IF(verze!$E$1="CZK",AD8265,IF(verze!$E$1="SK",AE8265,""))</f>
        <v>59.558549999999997</v>
      </c>
    </row>
    <row r="8266" spans="27:32" ht="15">
      <c r="AA8266" s="463" t="s">
        <v>1320</v>
      </c>
      <c r="AB8266" s="462" t="s">
        <v>24197</v>
      </c>
      <c r="AC8266" s="462" t="s">
        <v>24198</v>
      </c>
      <c r="AD8266" s="464">
        <v>1309.86706</v>
      </c>
      <c r="AE8266" s="465">
        <v>63.009349999999998</v>
      </c>
      <c r="AF8266" s="86">
        <f>IF(verze!$E$1="CZK",AD8266,IF(verze!$E$1="SK",AE8266,""))</f>
        <v>63.009349999999998</v>
      </c>
    </row>
    <row r="8267" spans="27:32" ht="15">
      <c r="AA8267" s="463" t="s">
        <v>1320</v>
      </c>
      <c r="AB8267" s="462" t="s">
        <v>24199</v>
      </c>
      <c r="AC8267" s="462" t="s">
        <v>24200</v>
      </c>
      <c r="AD8267" s="464">
        <v>1508.8176699999999</v>
      </c>
      <c r="AE8267" s="465">
        <v>72.579589999999996</v>
      </c>
      <c r="AF8267" s="86">
        <f>IF(verze!$E$1="CZK",AD8267,IF(verze!$E$1="SK",AE8267,""))</f>
        <v>72.579589999999996</v>
      </c>
    </row>
    <row r="8268" spans="27:32" ht="15">
      <c r="AA8268" s="463" t="s">
        <v>1320</v>
      </c>
      <c r="AB8268" s="462" t="s">
        <v>24201</v>
      </c>
      <c r="AC8268" s="462" t="s">
        <v>24202</v>
      </c>
      <c r="AD8268" s="464">
        <v>1238.13022</v>
      </c>
      <c r="AE8268" s="465">
        <v>59.558549999999997</v>
      </c>
      <c r="AF8268" s="86">
        <f>IF(verze!$E$1="CZK",AD8268,IF(verze!$E$1="SK",AE8268,""))</f>
        <v>59.558549999999997</v>
      </c>
    </row>
    <row r="8269" spans="27:32" ht="15">
      <c r="AA8269" s="463" t="s">
        <v>1320</v>
      </c>
      <c r="AB8269" s="462" t="s">
        <v>24203</v>
      </c>
      <c r="AC8269" s="462" t="s">
        <v>24204</v>
      </c>
      <c r="AD8269" s="464">
        <v>1309.86706</v>
      </c>
      <c r="AE8269" s="465">
        <v>63.009349999999998</v>
      </c>
      <c r="AF8269" s="86">
        <f>IF(verze!$E$1="CZK",AD8269,IF(verze!$E$1="SK",AE8269,""))</f>
        <v>63.009349999999998</v>
      </c>
    </row>
    <row r="8270" spans="27:32" ht="15">
      <c r="AA8270" s="463" t="s">
        <v>1320</v>
      </c>
      <c r="AB8270" s="462" t="s">
        <v>24205</v>
      </c>
      <c r="AC8270" s="462" t="s">
        <v>24206</v>
      </c>
      <c r="AD8270" s="464">
        <v>1508.8176699999999</v>
      </c>
      <c r="AE8270" s="465">
        <v>72.579589999999996</v>
      </c>
      <c r="AF8270" s="86">
        <f>IF(verze!$E$1="CZK",AD8270,IF(verze!$E$1="SK",AE8270,""))</f>
        <v>72.579589999999996</v>
      </c>
    </row>
    <row r="8271" spans="27:32" ht="15">
      <c r="AA8271" s="463" t="s">
        <v>1320</v>
      </c>
      <c r="AB8271" s="462" t="s">
        <v>24207</v>
      </c>
      <c r="AC8271" s="462" t="s">
        <v>24208</v>
      </c>
      <c r="AD8271" s="464">
        <v>1238.13022</v>
      </c>
      <c r="AE8271" s="465">
        <v>59.558549999999997</v>
      </c>
      <c r="AF8271" s="86">
        <f>IF(verze!$E$1="CZK",AD8271,IF(verze!$E$1="SK",AE8271,""))</f>
        <v>59.558549999999997</v>
      </c>
    </row>
    <row r="8272" spans="27:32" ht="15">
      <c r="AA8272" s="463" t="s">
        <v>1320</v>
      </c>
      <c r="AB8272" s="462" t="s">
        <v>24209</v>
      </c>
      <c r="AC8272" s="462" t="s">
        <v>24210</v>
      </c>
      <c r="AD8272" s="464">
        <v>1309.86706</v>
      </c>
      <c r="AE8272" s="465">
        <v>63.009349999999998</v>
      </c>
      <c r="AF8272" s="86">
        <f>IF(verze!$E$1="CZK",AD8272,IF(verze!$E$1="SK",AE8272,""))</f>
        <v>63.009349999999998</v>
      </c>
    </row>
    <row r="8273" spans="27:32" ht="15">
      <c r="AA8273" s="463" t="s">
        <v>1320</v>
      </c>
      <c r="AB8273" s="462" t="s">
        <v>24211</v>
      </c>
      <c r="AC8273" s="462" t="s">
        <v>24212</v>
      </c>
      <c r="AD8273" s="464">
        <v>1297.8126199999999</v>
      </c>
      <c r="AE8273" s="465">
        <v>62.429470000000002</v>
      </c>
      <c r="AF8273" s="86">
        <f>IF(verze!$E$1="CZK",AD8273,IF(verze!$E$1="SK",AE8273,""))</f>
        <v>62.429470000000002</v>
      </c>
    </row>
    <row r="8274" spans="27:32" ht="15">
      <c r="AA8274" s="463" t="s">
        <v>1320</v>
      </c>
      <c r="AB8274" s="462" t="s">
        <v>24213</v>
      </c>
      <c r="AC8274" s="462" t="s">
        <v>24214</v>
      </c>
      <c r="AD8274" s="464">
        <v>1113.81186</v>
      </c>
      <c r="AE8274" s="465">
        <v>53.159689999999998</v>
      </c>
      <c r="AF8274" s="86">
        <f>IF(verze!$E$1="CZK",AD8274,IF(verze!$E$1="SK",AE8274,""))</f>
        <v>53.159689999999998</v>
      </c>
    </row>
    <row r="8275" spans="27:32" ht="15">
      <c r="AA8275" s="463" t="s">
        <v>1320</v>
      </c>
      <c r="AB8275" s="462" t="s">
        <v>24215</v>
      </c>
      <c r="AC8275" s="462" t="s">
        <v>24216</v>
      </c>
      <c r="AD8275" s="464">
        <v>1060.0354400000001</v>
      </c>
      <c r="AE8275" s="465">
        <v>50.991529999999997</v>
      </c>
      <c r="AF8275" s="86">
        <f>IF(verze!$E$1="CZK",AD8275,IF(verze!$E$1="SK",AE8275,""))</f>
        <v>50.991529999999997</v>
      </c>
    </row>
    <row r="8276" spans="27:32" ht="15">
      <c r="AA8276" s="463" t="s">
        <v>1320</v>
      </c>
      <c r="AB8276" s="462" t="s">
        <v>24217</v>
      </c>
      <c r="AC8276" s="462" t="s">
        <v>24218</v>
      </c>
      <c r="AD8276" s="464">
        <v>1283.5964899999999</v>
      </c>
      <c r="AE8276" s="465">
        <v>61.745620000000002</v>
      </c>
      <c r="AF8276" s="86">
        <f>IF(verze!$E$1="CZK",AD8276,IF(verze!$E$1="SK",AE8276,""))</f>
        <v>61.745620000000002</v>
      </c>
    </row>
    <row r="8277" spans="27:32" ht="15">
      <c r="AA8277" s="463" t="s">
        <v>1320</v>
      </c>
      <c r="AB8277" s="462" t="s">
        <v>24219</v>
      </c>
      <c r="AC8277" s="462" t="s">
        <v>24220</v>
      </c>
      <c r="AD8277" s="464">
        <v>1099.59573</v>
      </c>
      <c r="AE8277" s="465">
        <v>52.475839999999998</v>
      </c>
      <c r="AF8277" s="86">
        <f>IF(verze!$E$1="CZK",AD8277,IF(verze!$E$1="SK",AE8277,""))</f>
        <v>52.475839999999998</v>
      </c>
    </row>
    <row r="8278" spans="27:32" ht="15">
      <c r="AA8278" s="463" t="s">
        <v>1320</v>
      </c>
      <c r="AB8278" s="462" t="s">
        <v>24221</v>
      </c>
      <c r="AC8278" s="462" t="s">
        <v>24222</v>
      </c>
      <c r="AD8278" s="464">
        <v>1045.8193100000001</v>
      </c>
      <c r="AE8278" s="465">
        <v>50.307679999999998</v>
      </c>
      <c r="AF8278" s="86">
        <f>IF(verze!$E$1="CZK",AD8278,IF(verze!$E$1="SK",AE8278,""))</f>
        <v>50.307679999999998</v>
      </c>
    </row>
    <row r="8279" spans="27:32" ht="15">
      <c r="AA8279" s="463" t="s">
        <v>1320</v>
      </c>
      <c r="AB8279" s="462" t="s">
        <v>24223</v>
      </c>
      <c r="AC8279" s="462" t="s">
        <v>24224</v>
      </c>
      <c r="AD8279" s="464">
        <v>1297.8126199999999</v>
      </c>
      <c r="AE8279" s="465">
        <v>62.429470000000002</v>
      </c>
      <c r="AF8279" s="86">
        <f>IF(verze!$E$1="CZK",AD8279,IF(verze!$E$1="SK",AE8279,""))</f>
        <v>62.429470000000002</v>
      </c>
    </row>
    <row r="8280" spans="27:32" ht="15">
      <c r="AA8280" s="463" t="s">
        <v>1320</v>
      </c>
      <c r="AB8280" s="462" t="s">
        <v>24225</v>
      </c>
      <c r="AC8280" s="462" t="s">
        <v>24226</v>
      </c>
      <c r="AD8280" s="464">
        <v>1113.81186</v>
      </c>
      <c r="AE8280" s="465">
        <v>53.159689999999998</v>
      </c>
      <c r="AF8280" s="86">
        <f>IF(verze!$E$1="CZK",AD8280,IF(verze!$E$1="SK",AE8280,""))</f>
        <v>53.159689999999998</v>
      </c>
    </row>
    <row r="8281" spans="27:32" ht="15">
      <c r="AA8281" s="463" t="s">
        <v>1320</v>
      </c>
      <c r="AB8281" s="462" t="s">
        <v>24227</v>
      </c>
      <c r="AC8281" s="462" t="s">
        <v>24228</v>
      </c>
      <c r="AD8281" s="464">
        <v>1060.0354400000001</v>
      </c>
      <c r="AE8281" s="465">
        <v>50.991529999999997</v>
      </c>
      <c r="AF8281" s="86">
        <f>IF(verze!$E$1="CZK",AD8281,IF(verze!$E$1="SK",AE8281,""))</f>
        <v>50.991529999999997</v>
      </c>
    </row>
    <row r="8282" spans="27:32" ht="15">
      <c r="AA8282" s="463" t="s">
        <v>1320</v>
      </c>
      <c r="AB8282" s="462" t="s">
        <v>24229</v>
      </c>
      <c r="AC8282" s="462" t="s">
        <v>24230</v>
      </c>
      <c r="AD8282" s="464">
        <v>1520.47416</v>
      </c>
      <c r="AE8282" s="465">
        <v>73.140270000000001</v>
      </c>
      <c r="AF8282" s="86">
        <f>IF(verze!$E$1="CZK",AD8282,IF(verze!$E$1="SK",AE8282,""))</f>
        <v>73.140270000000001</v>
      </c>
    </row>
    <row r="8283" spans="27:32" ht="15">
      <c r="AA8283" s="463" t="s">
        <v>1320</v>
      </c>
      <c r="AB8283" s="462" t="s">
        <v>24231</v>
      </c>
      <c r="AC8283" s="462" t="s">
        <v>24232</v>
      </c>
      <c r="AD8283" s="464">
        <v>1239.3461600000001</v>
      </c>
      <c r="AE8283" s="465">
        <v>59.067929999999997</v>
      </c>
      <c r="AF8283" s="86">
        <f>IF(verze!$E$1="CZK",AD8283,IF(verze!$E$1="SK",AE8283,""))</f>
        <v>59.067929999999997</v>
      </c>
    </row>
    <row r="8284" spans="27:32" ht="15">
      <c r="AA8284" s="463" t="s">
        <v>1320</v>
      </c>
      <c r="AB8284" s="462" t="s">
        <v>24233</v>
      </c>
      <c r="AC8284" s="462" t="s">
        <v>24234</v>
      </c>
      <c r="AD8284" s="464">
        <v>1200.4474600000001</v>
      </c>
      <c r="AE8284" s="465">
        <v>57.745849999999997</v>
      </c>
      <c r="AF8284" s="86">
        <f>IF(verze!$E$1="CZK",AD8284,IF(verze!$E$1="SK",AE8284,""))</f>
        <v>57.745849999999997</v>
      </c>
    </row>
    <row r="8285" spans="27:32" ht="15">
      <c r="AA8285" s="463" t="s">
        <v>1320</v>
      </c>
      <c r="AB8285" s="462" t="s">
        <v>24235</v>
      </c>
      <c r="AC8285" s="462" t="s">
        <v>24236</v>
      </c>
      <c r="AD8285" s="464">
        <v>1506.25803</v>
      </c>
      <c r="AE8285" s="465">
        <v>72.456419999999994</v>
      </c>
      <c r="AF8285" s="86">
        <f>IF(verze!$E$1="CZK",AD8285,IF(verze!$E$1="SK",AE8285,""))</f>
        <v>72.456419999999994</v>
      </c>
    </row>
    <row r="8286" spans="27:32" ht="15">
      <c r="AA8286" s="463" t="s">
        <v>1320</v>
      </c>
      <c r="AB8286" s="462" t="s">
        <v>24237</v>
      </c>
      <c r="AC8286" s="462" t="s">
        <v>24238</v>
      </c>
      <c r="AD8286" s="464">
        <v>1225.13003</v>
      </c>
      <c r="AE8286" s="465">
        <v>58.384079999999997</v>
      </c>
      <c r="AF8286" s="86">
        <f>IF(verze!$E$1="CZK",AD8286,IF(verze!$E$1="SK",AE8286,""))</f>
        <v>58.384079999999997</v>
      </c>
    </row>
    <row r="8287" spans="27:32" ht="15">
      <c r="AA8287" s="463" t="s">
        <v>1320</v>
      </c>
      <c r="AB8287" s="462" t="s">
        <v>24239</v>
      </c>
      <c r="AC8287" s="462" t="s">
        <v>24240</v>
      </c>
      <c r="AD8287" s="464">
        <v>1186.2313300000001</v>
      </c>
      <c r="AE8287" s="465">
        <v>57.061999999999998</v>
      </c>
      <c r="AF8287" s="86">
        <f>IF(verze!$E$1="CZK",AD8287,IF(verze!$E$1="SK",AE8287,""))</f>
        <v>57.061999999999998</v>
      </c>
    </row>
    <row r="8288" spans="27:32" ht="15">
      <c r="AA8288" s="463" t="s">
        <v>1320</v>
      </c>
      <c r="AB8288" s="462" t="s">
        <v>24241</v>
      </c>
      <c r="AC8288" s="462" t="s">
        <v>24242</v>
      </c>
      <c r="AD8288" s="464">
        <v>1520.47416</v>
      </c>
      <c r="AE8288" s="465">
        <v>73.140270000000001</v>
      </c>
      <c r="AF8288" s="86">
        <f>IF(verze!$E$1="CZK",AD8288,IF(verze!$E$1="SK",AE8288,""))</f>
        <v>73.140270000000001</v>
      </c>
    </row>
    <row r="8289" spans="27:32" ht="15">
      <c r="AA8289" s="463" t="s">
        <v>1320</v>
      </c>
      <c r="AB8289" s="462" t="s">
        <v>24243</v>
      </c>
      <c r="AC8289" s="462" t="s">
        <v>24244</v>
      </c>
      <c r="AD8289" s="464">
        <v>1239.3461600000001</v>
      </c>
      <c r="AE8289" s="465">
        <v>59.067929999999997</v>
      </c>
      <c r="AF8289" s="86">
        <f>IF(verze!$E$1="CZK",AD8289,IF(verze!$E$1="SK",AE8289,""))</f>
        <v>59.067929999999997</v>
      </c>
    </row>
    <row r="8290" spans="27:32" ht="15">
      <c r="AA8290" s="463" t="s">
        <v>1320</v>
      </c>
      <c r="AB8290" s="462" t="s">
        <v>24245</v>
      </c>
      <c r="AC8290" s="462" t="s">
        <v>24246</v>
      </c>
      <c r="AD8290" s="464">
        <v>1200.4474600000001</v>
      </c>
      <c r="AE8290" s="465">
        <v>57.745849999999997</v>
      </c>
      <c r="AF8290" s="86">
        <f>IF(verze!$E$1="CZK",AD8290,IF(verze!$E$1="SK",AE8290,""))</f>
        <v>57.745849999999997</v>
      </c>
    </row>
    <row r="8291" spans="27:32" ht="15">
      <c r="AA8291" s="463" t="s">
        <v>1320</v>
      </c>
      <c r="AB8291" s="462" t="s">
        <v>24247</v>
      </c>
      <c r="AC8291" s="462" t="s">
        <v>24248</v>
      </c>
      <c r="AD8291" s="464">
        <v>1437.8793700000001</v>
      </c>
      <c r="AE8291" s="465">
        <v>69.167199999999994</v>
      </c>
      <c r="AF8291" s="86">
        <f>IF(verze!$E$1="CZK",AD8291,IF(verze!$E$1="SK",AE8291,""))</f>
        <v>69.167199999999994</v>
      </c>
    </row>
    <row r="8292" spans="27:32" ht="15">
      <c r="AA8292" s="463" t="s">
        <v>1320</v>
      </c>
      <c r="AB8292" s="462" t="s">
        <v>24249</v>
      </c>
      <c r="AC8292" s="462" t="s">
        <v>24250</v>
      </c>
      <c r="AD8292" s="464">
        <v>1142.65058</v>
      </c>
      <c r="AE8292" s="465">
        <v>54.538179999999997</v>
      </c>
      <c r="AF8292" s="86">
        <f>IF(verze!$E$1="CZK",AD8292,IF(verze!$E$1="SK",AE8292,""))</f>
        <v>54.538179999999997</v>
      </c>
    </row>
    <row r="8293" spans="27:32" ht="15">
      <c r="AA8293" s="463" t="s">
        <v>1320</v>
      </c>
      <c r="AB8293" s="462" t="s">
        <v>24251</v>
      </c>
      <c r="AC8293" s="462" t="s">
        <v>24252</v>
      </c>
      <c r="AD8293" s="464">
        <v>1086.5237</v>
      </c>
      <c r="AE8293" s="465">
        <v>51.89658</v>
      </c>
      <c r="AF8293" s="86">
        <f>IF(verze!$E$1="CZK",AD8293,IF(verze!$E$1="SK",AE8293,""))</f>
        <v>51.89658</v>
      </c>
    </row>
    <row r="8294" spans="27:32" ht="15">
      <c r="AA8294" s="463" t="s">
        <v>1320</v>
      </c>
      <c r="AB8294" s="462" t="s">
        <v>24253</v>
      </c>
      <c r="AC8294" s="462" t="s">
        <v>24254</v>
      </c>
      <c r="AD8294" s="464">
        <v>1086.5237</v>
      </c>
      <c r="AE8294" s="465">
        <v>51.89658</v>
      </c>
      <c r="AF8294" s="86">
        <f>IF(verze!$E$1="CZK",AD8294,IF(verze!$E$1="SK",AE8294,""))</f>
        <v>51.89658</v>
      </c>
    </row>
    <row r="8295" spans="27:32" ht="15">
      <c r="AA8295" s="463" t="s">
        <v>1320</v>
      </c>
      <c r="AB8295" s="462" t="s">
        <v>24255</v>
      </c>
      <c r="AC8295" s="462" t="s">
        <v>24256</v>
      </c>
      <c r="AD8295" s="464">
        <v>1437.8793700000001</v>
      </c>
      <c r="AE8295" s="465">
        <v>69.167199999999994</v>
      </c>
      <c r="AF8295" s="86">
        <f>IF(verze!$E$1="CZK",AD8295,IF(verze!$E$1="SK",AE8295,""))</f>
        <v>69.167199999999994</v>
      </c>
    </row>
    <row r="8296" spans="27:32" ht="15">
      <c r="AA8296" s="463" t="s">
        <v>1320</v>
      </c>
      <c r="AB8296" s="462" t="s">
        <v>24257</v>
      </c>
      <c r="AC8296" s="462" t="s">
        <v>24258</v>
      </c>
      <c r="AD8296" s="464">
        <v>1142.65058</v>
      </c>
      <c r="AE8296" s="465">
        <v>54.538179999999997</v>
      </c>
      <c r="AF8296" s="86">
        <f>IF(verze!$E$1="CZK",AD8296,IF(verze!$E$1="SK",AE8296,""))</f>
        <v>54.538179999999997</v>
      </c>
    </row>
    <row r="8297" spans="27:32" ht="15">
      <c r="AA8297" s="463" t="s">
        <v>1320</v>
      </c>
      <c r="AB8297" s="462" t="s">
        <v>24259</v>
      </c>
      <c r="AC8297" s="462" t="s">
        <v>24260</v>
      </c>
      <c r="AD8297" s="464">
        <v>1086.5237</v>
      </c>
      <c r="AE8297" s="465">
        <v>51.89658</v>
      </c>
      <c r="AF8297" s="86">
        <f>IF(verze!$E$1="CZK",AD8297,IF(verze!$E$1="SK",AE8297,""))</f>
        <v>51.89658</v>
      </c>
    </row>
    <row r="8298" spans="27:32" ht="15">
      <c r="AA8298" s="463" t="s">
        <v>1320</v>
      </c>
      <c r="AB8298" s="462" t="s">
        <v>24261</v>
      </c>
      <c r="AC8298" s="462" t="s">
        <v>24262</v>
      </c>
      <c r="AD8298" s="464">
        <v>1544.89382</v>
      </c>
      <c r="AE8298" s="465">
        <v>74.314970000000002</v>
      </c>
      <c r="AF8298" s="86">
        <f>IF(verze!$E$1="CZK",AD8298,IF(verze!$E$1="SK",AE8298,""))</f>
        <v>74.314970000000002</v>
      </c>
    </row>
    <row r="8299" spans="27:32" ht="15">
      <c r="AA8299" s="463" t="s">
        <v>1320</v>
      </c>
      <c r="AB8299" s="462" t="s">
        <v>24263</v>
      </c>
      <c r="AC8299" s="462" t="s">
        <v>24264</v>
      </c>
      <c r="AD8299" s="464">
        <v>1267.5532000000001</v>
      </c>
      <c r="AE8299" s="465">
        <v>60.41666</v>
      </c>
      <c r="AF8299" s="86">
        <f>IF(verze!$E$1="CZK",AD8299,IF(verze!$E$1="SK",AE8299,""))</f>
        <v>60.41666</v>
      </c>
    </row>
    <row r="8300" spans="27:32" ht="15">
      <c r="AA8300" s="463" t="s">
        <v>1320</v>
      </c>
      <c r="AB8300" s="462" t="s">
        <v>24265</v>
      </c>
      <c r="AC8300" s="462" t="s">
        <v>24266</v>
      </c>
      <c r="AD8300" s="464">
        <v>1228.8672200000001</v>
      </c>
      <c r="AE8300" s="465">
        <v>59.11298</v>
      </c>
      <c r="AF8300" s="86">
        <f>IF(verze!$E$1="CZK",AD8300,IF(verze!$E$1="SK",AE8300,""))</f>
        <v>59.11298</v>
      </c>
    </row>
    <row r="8301" spans="27:32" ht="15">
      <c r="AA8301" s="463" t="s">
        <v>1320</v>
      </c>
      <c r="AB8301" s="462" t="s">
        <v>24267</v>
      </c>
      <c r="AC8301" s="462" t="s">
        <v>24268</v>
      </c>
      <c r="AD8301" s="464">
        <v>1544.89382</v>
      </c>
      <c r="AE8301" s="465">
        <v>74.314970000000002</v>
      </c>
      <c r="AF8301" s="86">
        <f>IF(verze!$E$1="CZK",AD8301,IF(verze!$E$1="SK",AE8301,""))</f>
        <v>74.314970000000002</v>
      </c>
    </row>
    <row r="8302" spans="27:32" ht="15">
      <c r="AA8302" s="463" t="s">
        <v>1320</v>
      </c>
      <c r="AB8302" s="462" t="s">
        <v>24269</v>
      </c>
      <c r="AC8302" s="462" t="s">
        <v>24270</v>
      </c>
      <c r="AD8302" s="464">
        <v>1267.5532000000001</v>
      </c>
      <c r="AE8302" s="465">
        <v>60.41666</v>
      </c>
      <c r="AF8302" s="86">
        <f>IF(verze!$E$1="CZK",AD8302,IF(verze!$E$1="SK",AE8302,""))</f>
        <v>60.41666</v>
      </c>
    </row>
    <row r="8303" spans="27:32" ht="15">
      <c r="AA8303" s="463" t="s">
        <v>1320</v>
      </c>
      <c r="AB8303" s="462" t="s">
        <v>24271</v>
      </c>
      <c r="AC8303" s="462" t="s">
        <v>24272</v>
      </c>
      <c r="AD8303" s="464">
        <v>1228.8672200000001</v>
      </c>
      <c r="AE8303" s="465">
        <v>59.11298</v>
      </c>
      <c r="AF8303" s="86">
        <f>IF(verze!$E$1="CZK",AD8303,IF(verze!$E$1="SK",AE8303,""))</f>
        <v>59.11298</v>
      </c>
    </row>
    <row r="8304" spans="27:32" ht="15">
      <c r="AA8304" s="463" t="s">
        <v>1320</v>
      </c>
      <c r="AB8304" s="462" t="s">
        <v>24273</v>
      </c>
      <c r="AC8304" s="462" t="s">
        <v>24274</v>
      </c>
      <c r="AD8304" s="464">
        <v>1544.89382</v>
      </c>
      <c r="AE8304" s="465">
        <v>74.314970000000002</v>
      </c>
      <c r="AF8304" s="86">
        <f>IF(verze!$E$1="CZK",AD8304,IF(verze!$E$1="SK",AE8304,""))</f>
        <v>74.314970000000002</v>
      </c>
    </row>
    <row r="8305" spans="27:32" ht="15">
      <c r="AA8305" s="463" t="s">
        <v>1320</v>
      </c>
      <c r="AB8305" s="462" t="s">
        <v>24275</v>
      </c>
      <c r="AC8305" s="462" t="s">
        <v>24276</v>
      </c>
      <c r="AD8305" s="464">
        <v>1267.5532000000001</v>
      </c>
      <c r="AE8305" s="465">
        <v>60.41666</v>
      </c>
      <c r="AF8305" s="86">
        <f>IF(verze!$E$1="CZK",AD8305,IF(verze!$E$1="SK",AE8305,""))</f>
        <v>60.41666</v>
      </c>
    </row>
    <row r="8306" spans="27:32" ht="15">
      <c r="AA8306" s="463" t="s">
        <v>1320</v>
      </c>
      <c r="AB8306" s="462" t="s">
        <v>24277</v>
      </c>
      <c r="AC8306" s="462" t="s">
        <v>24278</v>
      </c>
      <c r="AD8306" s="464">
        <v>1228.8672200000001</v>
      </c>
      <c r="AE8306" s="465">
        <v>59.11298</v>
      </c>
      <c r="AF8306" s="86">
        <f>IF(verze!$E$1="CZK",AD8306,IF(verze!$E$1="SK",AE8306,""))</f>
        <v>59.11298</v>
      </c>
    </row>
    <row r="8307" spans="27:32" ht="15">
      <c r="AA8307" s="463" t="s">
        <v>1320</v>
      </c>
      <c r="AB8307" s="462" t="s">
        <v>24279</v>
      </c>
      <c r="AC8307" s="462" t="s">
        <v>24280</v>
      </c>
      <c r="AD8307" s="464">
        <v>1593.7327399999999</v>
      </c>
      <c r="AE8307" s="465">
        <v>76.66431</v>
      </c>
      <c r="AF8307" s="86">
        <f>IF(verze!$E$1="CZK",AD8307,IF(verze!$E$1="SK",AE8307,""))</f>
        <v>76.66431</v>
      </c>
    </row>
    <row r="8308" spans="27:32" ht="15">
      <c r="AA8308" s="463" t="s">
        <v>1320</v>
      </c>
      <c r="AB8308" s="462" t="s">
        <v>24281</v>
      </c>
      <c r="AC8308" s="462" t="s">
        <v>24282</v>
      </c>
      <c r="AD8308" s="464">
        <v>1339.04655</v>
      </c>
      <c r="AE8308" s="465">
        <v>64.412970000000001</v>
      </c>
      <c r="AF8308" s="86">
        <f>IF(verze!$E$1="CZK",AD8308,IF(verze!$E$1="SK",AE8308,""))</f>
        <v>64.412970000000001</v>
      </c>
    </row>
    <row r="8309" spans="27:32" ht="15">
      <c r="AA8309" s="463" t="s">
        <v>1320</v>
      </c>
      <c r="AB8309" s="462" t="s">
        <v>24283</v>
      </c>
      <c r="AC8309" s="462" t="s">
        <v>24284</v>
      </c>
      <c r="AD8309" s="464">
        <v>1285.70685</v>
      </c>
      <c r="AE8309" s="465">
        <v>61.847110000000001</v>
      </c>
      <c r="AF8309" s="86">
        <f>IF(verze!$E$1="CZK",AD8309,IF(verze!$E$1="SK",AE8309,""))</f>
        <v>61.847110000000001</v>
      </c>
    </row>
    <row r="8310" spans="27:32" ht="15">
      <c r="AA8310" s="463" t="s">
        <v>1320</v>
      </c>
      <c r="AB8310" s="462" t="s">
        <v>24285</v>
      </c>
      <c r="AC8310" s="462" t="s">
        <v>24286</v>
      </c>
      <c r="AD8310" s="464">
        <v>1593.7327399999999</v>
      </c>
      <c r="AE8310" s="465">
        <v>76.66431</v>
      </c>
      <c r="AF8310" s="86">
        <f>IF(verze!$E$1="CZK",AD8310,IF(verze!$E$1="SK",AE8310,""))</f>
        <v>76.66431</v>
      </c>
    </row>
    <row r="8311" spans="27:32" ht="15">
      <c r="AA8311" s="463" t="s">
        <v>1320</v>
      </c>
      <c r="AB8311" s="462" t="s">
        <v>24287</v>
      </c>
      <c r="AC8311" s="462" t="s">
        <v>24288</v>
      </c>
      <c r="AD8311" s="464">
        <v>1339.04655</v>
      </c>
      <c r="AE8311" s="465">
        <v>64.412970000000001</v>
      </c>
      <c r="AF8311" s="86">
        <f>IF(verze!$E$1="CZK",AD8311,IF(verze!$E$1="SK",AE8311,""))</f>
        <v>64.412970000000001</v>
      </c>
    </row>
    <row r="8312" spans="27:32" ht="15">
      <c r="AA8312" s="463" t="s">
        <v>1320</v>
      </c>
      <c r="AB8312" s="462" t="s">
        <v>24289</v>
      </c>
      <c r="AC8312" s="462" t="s">
        <v>24290</v>
      </c>
      <c r="AD8312" s="464">
        <v>1285.70685</v>
      </c>
      <c r="AE8312" s="465">
        <v>61.847110000000001</v>
      </c>
      <c r="AF8312" s="86">
        <f>IF(verze!$E$1="CZK",AD8312,IF(verze!$E$1="SK",AE8312,""))</f>
        <v>61.847110000000001</v>
      </c>
    </row>
    <row r="8313" spans="27:32" ht="15">
      <c r="AA8313" s="463" t="s">
        <v>1320</v>
      </c>
      <c r="AB8313" s="462" t="s">
        <v>24291</v>
      </c>
      <c r="AC8313" s="462" t="s">
        <v>24292</v>
      </c>
      <c r="AD8313" s="464">
        <v>1593.7327399999999</v>
      </c>
      <c r="AE8313" s="465">
        <v>76.66431</v>
      </c>
      <c r="AF8313" s="86">
        <f>IF(verze!$E$1="CZK",AD8313,IF(verze!$E$1="SK",AE8313,""))</f>
        <v>76.66431</v>
      </c>
    </row>
    <row r="8314" spans="27:32" ht="15">
      <c r="AA8314" s="463" t="s">
        <v>1320</v>
      </c>
      <c r="AB8314" s="462" t="s">
        <v>24293</v>
      </c>
      <c r="AC8314" s="462" t="s">
        <v>24294</v>
      </c>
      <c r="AD8314" s="464">
        <v>1339.04655</v>
      </c>
      <c r="AE8314" s="465">
        <v>64.412970000000001</v>
      </c>
      <c r="AF8314" s="86">
        <f>IF(verze!$E$1="CZK",AD8314,IF(verze!$E$1="SK",AE8314,""))</f>
        <v>64.412970000000001</v>
      </c>
    </row>
    <row r="8315" spans="27:32" ht="15">
      <c r="AA8315" s="463" t="s">
        <v>1320</v>
      </c>
      <c r="AB8315" s="462" t="s">
        <v>24295</v>
      </c>
      <c r="AC8315" s="462" t="s">
        <v>24296</v>
      </c>
      <c r="AD8315" s="464">
        <v>1285.70685</v>
      </c>
      <c r="AE8315" s="465">
        <v>61.847110000000001</v>
      </c>
      <c r="AF8315" s="86">
        <f>IF(verze!$E$1="CZK",AD8315,IF(verze!$E$1="SK",AE8315,""))</f>
        <v>61.847110000000001</v>
      </c>
    </row>
    <row r="8316" spans="27:32" ht="15">
      <c r="AA8316" s="463" t="s">
        <v>1320</v>
      </c>
      <c r="AB8316" s="462" t="s">
        <v>24297</v>
      </c>
      <c r="AC8316" s="462" t="s">
        <v>24298</v>
      </c>
      <c r="AD8316" s="464">
        <v>1437.8387600000001</v>
      </c>
      <c r="AE8316" s="465">
        <v>69.165239999999997</v>
      </c>
      <c r="AF8316" s="86">
        <f>IF(verze!$E$1="CZK",AD8316,IF(verze!$E$1="SK",AE8316,""))</f>
        <v>69.165239999999997</v>
      </c>
    </row>
    <row r="8317" spans="27:32" ht="15">
      <c r="AA8317" s="463" t="s">
        <v>1320</v>
      </c>
      <c r="AB8317" s="462" t="s">
        <v>24299</v>
      </c>
      <c r="AC8317" s="462" t="s">
        <v>24300</v>
      </c>
      <c r="AD8317" s="464">
        <v>1253.838</v>
      </c>
      <c r="AE8317" s="465">
        <v>59.89546</v>
      </c>
      <c r="AF8317" s="86">
        <f>IF(verze!$E$1="CZK",AD8317,IF(verze!$E$1="SK",AE8317,""))</f>
        <v>59.89546</v>
      </c>
    </row>
    <row r="8318" spans="27:32" ht="15">
      <c r="AA8318" s="463" t="s">
        <v>1320</v>
      </c>
      <c r="AB8318" s="462" t="s">
        <v>24301</v>
      </c>
      <c r="AC8318" s="462" t="s">
        <v>24302</v>
      </c>
      <c r="AD8318" s="464">
        <v>1200.06158</v>
      </c>
      <c r="AE8318" s="465">
        <v>57.7273</v>
      </c>
      <c r="AF8318" s="86">
        <f>IF(verze!$E$1="CZK",AD8318,IF(verze!$E$1="SK",AE8318,""))</f>
        <v>57.7273</v>
      </c>
    </row>
    <row r="8319" spans="27:32" ht="15">
      <c r="AA8319" s="463" t="s">
        <v>1320</v>
      </c>
      <c r="AB8319" s="462" t="s">
        <v>24303</v>
      </c>
      <c r="AC8319" s="462" t="s">
        <v>24304</v>
      </c>
      <c r="AD8319" s="464">
        <v>1437.8387600000001</v>
      </c>
      <c r="AE8319" s="465">
        <v>69.165239999999997</v>
      </c>
      <c r="AF8319" s="86">
        <f>IF(verze!$E$1="CZK",AD8319,IF(verze!$E$1="SK",AE8319,""))</f>
        <v>69.165239999999997</v>
      </c>
    </row>
    <row r="8320" spans="27:32" ht="15">
      <c r="AA8320" s="463" t="s">
        <v>1320</v>
      </c>
      <c r="AB8320" s="462" t="s">
        <v>24305</v>
      </c>
      <c r="AC8320" s="462" t="s">
        <v>24306</v>
      </c>
      <c r="AD8320" s="464">
        <v>1253.838</v>
      </c>
      <c r="AE8320" s="465">
        <v>59.89546</v>
      </c>
      <c r="AF8320" s="86">
        <f>IF(verze!$E$1="CZK",AD8320,IF(verze!$E$1="SK",AE8320,""))</f>
        <v>59.89546</v>
      </c>
    </row>
    <row r="8321" spans="27:32" ht="15">
      <c r="AA8321" s="463" t="s">
        <v>1320</v>
      </c>
      <c r="AB8321" s="462" t="s">
        <v>24307</v>
      </c>
      <c r="AC8321" s="462" t="s">
        <v>24308</v>
      </c>
      <c r="AD8321" s="464">
        <v>1200.06158</v>
      </c>
      <c r="AE8321" s="465">
        <v>57.7273</v>
      </c>
      <c r="AF8321" s="86">
        <f>IF(verze!$E$1="CZK",AD8321,IF(verze!$E$1="SK",AE8321,""))</f>
        <v>57.7273</v>
      </c>
    </row>
    <row r="8322" spans="27:32" ht="15">
      <c r="AA8322" s="463" t="s">
        <v>1320</v>
      </c>
      <c r="AB8322" s="462" t="s">
        <v>24309</v>
      </c>
      <c r="AC8322" s="462" t="s">
        <v>24310</v>
      </c>
      <c r="AD8322" s="464">
        <v>1437.8387600000001</v>
      </c>
      <c r="AE8322" s="465">
        <v>69.165239999999997</v>
      </c>
      <c r="AF8322" s="86">
        <f>IF(verze!$E$1="CZK",AD8322,IF(verze!$E$1="SK",AE8322,""))</f>
        <v>69.165239999999997</v>
      </c>
    </row>
    <row r="8323" spans="27:32" ht="15">
      <c r="AA8323" s="463" t="s">
        <v>1320</v>
      </c>
      <c r="AB8323" s="462" t="s">
        <v>24311</v>
      </c>
      <c r="AC8323" s="462" t="s">
        <v>24312</v>
      </c>
      <c r="AD8323" s="464">
        <v>1253.838</v>
      </c>
      <c r="AE8323" s="465">
        <v>59.89546</v>
      </c>
      <c r="AF8323" s="86">
        <f>IF(verze!$E$1="CZK",AD8323,IF(verze!$E$1="SK",AE8323,""))</f>
        <v>59.89546</v>
      </c>
    </row>
    <row r="8324" spans="27:32" ht="15">
      <c r="AA8324" s="463" t="s">
        <v>1320</v>
      </c>
      <c r="AB8324" s="462" t="s">
        <v>24313</v>
      </c>
      <c r="AC8324" s="462" t="s">
        <v>24314</v>
      </c>
      <c r="AD8324" s="464">
        <v>1200.06158</v>
      </c>
      <c r="AE8324" s="465">
        <v>57.7273</v>
      </c>
      <c r="AF8324" s="86">
        <f>IF(verze!$E$1="CZK",AD8324,IF(verze!$E$1="SK",AE8324,""))</f>
        <v>57.7273</v>
      </c>
    </row>
    <row r="8325" spans="27:32" ht="15">
      <c r="AA8325" s="463" t="s">
        <v>1320</v>
      </c>
      <c r="AB8325" s="462" t="s">
        <v>24315</v>
      </c>
      <c r="AC8325" s="462" t="s">
        <v>24316</v>
      </c>
      <c r="AD8325" s="464">
        <v>760.35522000000003</v>
      </c>
      <c r="AE8325" s="465">
        <v>36.575809999999997</v>
      </c>
      <c r="AF8325" s="86">
        <f>IF(verze!$E$1="CZK",AD8325,IF(verze!$E$1="SK",AE8325,""))</f>
        <v>36.575809999999997</v>
      </c>
    </row>
    <row r="8326" spans="27:32" ht="15">
      <c r="AA8326" s="463" t="s">
        <v>1320</v>
      </c>
      <c r="AB8326" s="462" t="s">
        <v>24317</v>
      </c>
      <c r="AC8326" s="462" t="s">
        <v>24318</v>
      </c>
      <c r="AD8326" s="464">
        <v>760.35522000000003</v>
      </c>
      <c r="AE8326" s="465">
        <v>36.575809999999997</v>
      </c>
      <c r="AF8326" s="86">
        <f>IF(verze!$E$1="CZK",AD8326,IF(verze!$E$1="SK",AE8326,""))</f>
        <v>36.575809999999997</v>
      </c>
    </row>
    <row r="8327" spans="27:32" ht="15">
      <c r="AA8327" s="463" t="s">
        <v>1320</v>
      </c>
      <c r="AB8327" s="462" t="s">
        <v>24319</v>
      </c>
      <c r="AC8327" s="462" t="s">
        <v>24320</v>
      </c>
      <c r="AD8327" s="464">
        <v>760.35522000000003</v>
      </c>
      <c r="AE8327" s="465">
        <v>36.575809999999997</v>
      </c>
      <c r="AF8327" s="86">
        <f>IF(verze!$E$1="CZK",AD8327,IF(verze!$E$1="SK",AE8327,""))</f>
        <v>36.575809999999997</v>
      </c>
    </row>
    <row r="8328" spans="27:32" ht="15">
      <c r="AA8328" s="463" t="s">
        <v>1320</v>
      </c>
      <c r="AB8328" s="462" t="s">
        <v>24321</v>
      </c>
      <c r="AC8328" s="462" t="s">
        <v>24322</v>
      </c>
      <c r="AD8328" s="464">
        <v>1059.0472</v>
      </c>
      <c r="AE8328" s="465">
        <v>50.944000000000003</v>
      </c>
      <c r="AF8328" s="86">
        <f>IF(verze!$E$1="CZK",AD8328,IF(verze!$E$1="SK",AE8328,""))</f>
        <v>50.944000000000003</v>
      </c>
    </row>
    <row r="8329" spans="27:32" ht="15">
      <c r="AA8329" s="463" t="s">
        <v>1320</v>
      </c>
      <c r="AB8329" s="462" t="s">
        <v>24323</v>
      </c>
      <c r="AC8329" s="462" t="s">
        <v>24324</v>
      </c>
      <c r="AD8329" s="464">
        <v>760.35522000000003</v>
      </c>
      <c r="AE8329" s="465">
        <v>36.575809999999997</v>
      </c>
      <c r="AF8329" s="86">
        <f>IF(verze!$E$1="CZK",AD8329,IF(verze!$E$1="SK",AE8329,""))</f>
        <v>36.575809999999997</v>
      </c>
    </row>
    <row r="8330" spans="27:32" ht="15">
      <c r="AA8330" s="463" t="s">
        <v>1320</v>
      </c>
      <c r="AB8330" s="462" t="s">
        <v>24325</v>
      </c>
      <c r="AC8330" s="462" t="s">
        <v>24326</v>
      </c>
      <c r="AD8330" s="464">
        <v>702.69482000000005</v>
      </c>
      <c r="AE8330" s="465">
        <v>33.802169999999997</v>
      </c>
      <c r="AF8330" s="86">
        <f>IF(verze!$E$1="CZK",AD8330,IF(verze!$E$1="SK",AE8330,""))</f>
        <v>33.802169999999997</v>
      </c>
    </row>
    <row r="8331" spans="27:32" ht="15">
      <c r="AA8331" s="463" t="s">
        <v>1320</v>
      </c>
      <c r="AB8331" s="462" t="s">
        <v>24327</v>
      </c>
      <c r="AC8331" s="462" t="s">
        <v>24328</v>
      </c>
      <c r="AD8331" s="464">
        <v>1059.0472</v>
      </c>
      <c r="AE8331" s="465">
        <v>50.944000000000003</v>
      </c>
      <c r="AF8331" s="86">
        <f>IF(verze!$E$1="CZK",AD8331,IF(verze!$E$1="SK",AE8331,""))</f>
        <v>50.944000000000003</v>
      </c>
    </row>
    <row r="8332" spans="27:32" ht="15">
      <c r="AA8332" s="463" t="s">
        <v>1320</v>
      </c>
      <c r="AB8332" s="462" t="s">
        <v>24329</v>
      </c>
      <c r="AC8332" s="462" t="s">
        <v>24330</v>
      </c>
      <c r="AD8332" s="464">
        <v>760.35522000000003</v>
      </c>
      <c r="AE8332" s="465">
        <v>36.575809999999997</v>
      </c>
      <c r="AF8332" s="86">
        <f>IF(verze!$E$1="CZK",AD8332,IF(verze!$E$1="SK",AE8332,""))</f>
        <v>36.575809999999997</v>
      </c>
    </row>
    <row r="8333" spans="27:32" ht="15">
      <c r="AA8333" s="463" t="s">
        <v>1320</v>
      </c>
      <c r="AB8333" s="462" t="s">
        <v>24331</v>
      </c>
      <c r="AC8333" s="462" t="s">
        <v>24332</v>
      </c>
      <c r="AD8333" s="464">
        <v>702.69482000000005</v>
      </c>
      <c r="AE8333" s="465">
        <v>33.802169999999997</v>
      </c>
      <c r="AF8333" s="86">
        <f>IF(verze!$E$1="CZK",AD8333,IF(verze!$E$1="SK",AE8333,""))</f>
        <v>33.802169999999997</v>
      </c>
    </row>
    <row r="8334" spans="27:32" ht="15">
      <c r="AA8334" s="463" t="s">
        <v>1320</v>
      </c>
      <c r="AB8334" s="462" t="s">
        <v>24333</v>
      </c>
      <c r="AC8334" s="462" t="s">
        <v>24334</v>
      </c>
      <c r="AD8334" s="464">
        <v>1059.0472</v>
      </c>
      <c r="AE8334" s="465">
        <v>50.944000000000003</v>
      </c>
      <c r="AF8334" s="86">
        <f>IF(verze!$E$1="CZK",AD8334,IF(verze!$E$1="SK",AE8334,""))</f>
        <v>50.944000000000003</v>
      </c>
    </row>
    <row r="8335" spans="27:32" ht="15">
      <c r="AA8335" s="463" t="s">
        <v>1320</v>
      </c>
      <c r="AB8335" s="462" t="s">
        <v>24335</v>
      </c>
      <c r="AC8335" s="462" t="s">
        <v>24336</v>
      </c>
      <c r="AD8335" s="464">
        <v>760.35522000000003</v>
      </c>
      <c r="AE8335" s="465">
        <v>36.575809999999997</v>
      </c>
      <c r="AF8335" s="86">
        <f>IF(verze!$E$1="CZK",AD8335,IF(verze!$E$1="SK",AE8335,""))</f>
        <v>36.575809999999997</v>
      </c>
    </row>
    <row r="8336" spans="27:32" ht="15">
      <c r="AA8336" s="463" t="s">
        <v>1320</v>
      </c>
      <c r="AB8336" s="462" t="s">
        <v>24337</v>
      </c>
      <c r="AC8336" s="462" t="s">
        <v>24338</v>
      </c>
      <c r="AD8336" s="464">
        <v>702.69482000000005</v>
      </c>
      <c r="AE8336" s="465">
        <v>33.802169999999997</v>
      </c>
      <c r="AF8336" s="86">
        <f>IF(verze!$E$1="CZK",AD8336,IF(verze!$E$1="SK",AE8336,""))</f>
        <v>33.802169999999997</v>
      </c>
    </row>
    <row r="8337" spans="27:32" ht="15">
      <c r="AA8337" s="463" t="s">
        <v>1320</v>
      </c>
      <c r="AB8337" s="462" t="s">
        <v>24339</v>
      </c>
      <c r="AC8337" s="462" t="s">
        <v>24340</v>
      </c>
      <c r="AD8337" s="464">
        <v>760.35522000000003</v>
      </c>
      <c r="AE8337" s="465">
        <v>36.575809999999997</v>
      </c>
      <c r="AF8337" s="86">
        <f>IF(verze!$E$1="CZK",AD8337,IF(verze!$E$1="SK",AE8337,""))</f>
        <v>36.575809999999997</v>
      </c>
    </row>
    <row r="8338" spans="27:32" ht="15">
      <c r="AA8338" s="463" t="s">
        <v>1320</v>
      </c>
      <c r="AB8338" s="462" t="s">
        <v>24341</v>
      </c>
      <c r="AC8338" s="462" t="s">
        <v>24342</v>
      </c>
      <c r="AD8338" s="464">
        <v>760.35522000000003</v>
      </c>
      <c r="AE8338" s="465">
        <v>36.575809999999997</v>
      </c>
      <c r="AF8338" s="86">
        <f>IF(verze!$E$1="CZK",AD8338,IF(verze!$E$1="SK",AE8338,""))</f>
        <v>36.575809999999997</v>
      </c>
    </row>
    <row r="8339" spans="27:32" ht="15">
      <c r="AA8339" s="463" t="s">
        <v>1320</v>
      </c>
      <c r="AB8339" s="462" t="s">
        <v>24343</v>
      </c>
      <c r="AC8339" s="462" t="s">
        <v>24344</v>
      </c>
      <c r="AD8339" s="464">
        <v>760.35522000000003</v>
      </c>
      <c r="AE8339" s="465">
        <v>36.575809999999997</v>
      </c>
      <c r="AF8339" s="86">
        <f>IF(verze!$E$1="CZK",AD8339,IF(verze!$E$1="SK",AE8339,""))</f>
        <v>36.575809999999997</v>
      </c>
    </row>
    <row r="8340" spans="27:32" ht="15">
      <c r="AA8340" s="463" t="s">
        <v>1320</v>
      </c>
      <c r="AB8340" s="462" t="s">
        <v>24345</v>
      </c>
      <c r="AC8340" s="462" t="s">
        <v>24346</v>
      </c>
      <c r="AD8340" s="464">
        <v>1059.0472</v>
      </c>
      <c r="AE8340" s="465">
        <v>50.944000000000003</v>
      </c>
      <c r="AF8340" s="86">
        <f>IF(verze!$E$1="CZK",AD8340,IF(verze!$E$1="SK",AE8340,""))</f>
        <v>50.944000000000003</v>
      </c>
    </row>
    <row r="8341" spans="27:32" ht="15">
      <c r="AA8341" s="463" t="s">
        <v>1320</v>
      </c>
      <c r="AB8341" s="462" t="s">
        <v>24347</v>
      </c>
      <c r="AC8341" s="462" t="s">
        <v>24348</v>
      </c>
      <c r="AD8341" s="464">
        <v>760.35522000000003</v>
      </c>
      <c r="AE8341" s="465">
        <v>36.575809999999997</v>
      </c>
      <c r="AF8341" s="86">
        <f>IF(verze!$E$1="CZK",AD8341,IF(verze!$E$1="SK",AE8341,""))</f>
        <v>36.575809999999997</v>
      </c>
    </row>
    <row r="8342" spans="27:32" ht="15">
      <c r="AA8342" s="463" t="s">
        <v>1320</v>
      </c>
      <c r="AB8342" s="462" t="s">
        <v>24349</v>
      </c>
      <c r="AC8342" s="462" t="s">
        <v>24350</v>
      </c>
      <c r="AD8342" s="464">
        <v>702.69482000000005</v>
      </c>
      <c r="AE8342" s="465">
        <v>33.802169999999997</v>
      </c>
      <c r="AF8342" s="86">
        <f>IF(verze!$E$1="CZK",AD8342,IF(verze!$E$1="SK",AE8342,""))</f>
        <v>33.802169999999997</v>
      </c>
    </row>
    <row r="8343" spans="27:32" ht="15">
      <c r="AA8343" s="463" t="s">
        <v>1320</v>
      </c>
      <c r="AB8343" s="462" t="s">
        <v>24351</v>
      </c>
      <c r="AC8343" s="462" t="s">
        <v>24352</v>
      </c>
      <c r="AD8343" s="464">
        <v>1059.0472</v>
      </c>
      <c r="AE8343" s="465">
        <v>50.944000000000003</v>
      </c>
      <c r="AF8343" s="86">
        <f>IF(verze!$E$1="CZK",AD8343,IF(verze!$E$1="SK",AE8343,""))</f>
        <v>50.944000000000003</v>
      </c>
    </row>
    <row r="8344" spans="27:32" ht="15">
      <c r="AA8344" s="463" t="s">
        <v>1320</v>
      </c>
      <c r="AB8344" s="462" t="s">
        <v>24353</v>
      </c>
      <c r="AC8344" s="462" t="s">
        <v>24354</v>
      </c>
      <c r="AD8344" s="464">
        <v>760.35522000000003</v>
      </c>
      <c r="AE8344" s="465">
        <v>36.575809999999997</v>
      </c>
      <c r="AF8344" s="86">
        <f>IF(verze!$E$1="CZK",AD8344,IF(verze!$E$1="SK",AE8344,""))</f>
        <v>36.575809999999997</v>
      </c>
    </row>
    <row r="8345" spans="27:32" ht="15">
      <c r="AA8345" s="463" t="s">
        <v>1320</v>
      </c>
      <c r="AB8345" s="462" t="s">
        <v>24355</v>
      </c>
      <c r="AC8345" s="462" t="s">
        <v>24356</v>
      </c>
      <c r="AD8345" s="464">
        <v>702.69482000000005</v>
      </c>
      <c r="AE8345" s="465">
        <v>33.802169999999997</v>
      </c>
      <c r="AF8345" s="86">
        <f>IF(verze!$E$1="CZK",AD8345,IF(verze!$E$1="SK",AE8345,""))</f>
        <v>33.802169999999997</v>
      </c>
    </row>
    <row r="8346" spans="27:32" ht="15">
      <c r="AA8346" s="463" t="s">
        <v>1320</v>
      </c>
      <c r="AB8346" s="462" t="s">
        <v>24357</v>
      </c>
      <c r="AC8346" s="462" t="s">
        <v>24358</v>
      </c>
      <c r="AD8346" s="464">
        <v>1059.0472</v>
      </c>
      <c r="AE8346" s="465">
        <v>50.944000000000003</v>
      </c>
      <c r="AF8346" s="86">
        <f>IF(verze!$E$1="CZK",AD8346,IF(verze!$E$1="SK",AE8346,""))</f>
        <v>50.944000000000003</v>
      </c>
    </row>
    <row r="8347" spans="27:32" ht="15">
      <c r="AA8347" s="463" t="s">
        <v>1320</v>
      </c>
      <c r="AB8347" s="462" t="s">
        <v>24359</v>
      </c>
      <c r="AC8347" s="462" t="s">
        <v>24360</v>
      </c>
      <c r="AD8347" s="464">
        <v>760.35522000000003</v>
      </c>
      <c r="AE8347" s="465">
        <v>36.575809999999997</v>
      </c>
      <c r="AF8347" s="86">
        <f>IF(verze!$E$1="CZK",AD8347,IF(verze!$E$1="SK",AE8347,""))</f>
        <v>36.575809999999997</v>
      </c>
    </row>
    <row r="8348" spans="27:32" ht="15">
      <c r="AA8348" s="463" t="s">
        <v>1320</v>
      </c>
      <c r="AB8348" s="462" t="s">
        <v>24361</v>
      </c>
      <c r="AC8348" s="462" t="s">
        <v>24362</v>
      </c>
      <c r="AD8348" s="464">
        <v>702.69482000000005</v>
      </c>
      <c r="AE8348" s="465">
        <v>33.802169999999997</v>
      </c>
      <c r="AF8348" s="86">
        <f>IF(verze!$E$1="CZK",AD8348,IF(verze!$E$1="SK",AE8348,""))</f>
        <v>33.802169999999997</v>
      </c>
    </row>
    <row r="8349" spans="27:32" ht="15">
      <c r="AA8349" s="463" t="s">
        <v>1320</v>
      </c>
      <c r="AB8349" s="462" t="s">
        <v>24363</v>
      </c>
      <c r="AC8349" s="462" t="s">
        <v>24364</v>
      </c>
      <c r="AD8349" s="464">
        <v>1167.1643099999999</v>
      </c>
      <c r="AE8349" s="465">
        <v>56.144820000000003</v>
      </c>
      <c r="AF8349" s="86">
        <f>IF(verze!$E$1="CZK",AD8349,IF(verze!$E$1="SK",AE8349,""))</f>
        <v>56.144820000000003</v>
      </c>
    </row>
    <row r="8350" spans="27:32" ht="15">
      <c r="AA8350" s="463" t="s">
        <v>1320</v>
      </c>
      <c r="AB8350" s="462" t="s">
        <v>24365</v>
      </c>
      <c r="AC8350" s="462" t="s">
        <v>24366</v>
      </c>
      <c r="AD8350" s="464">
        <v>890.87620000000004</v>
      </c>
      <c r="AE8350" s="465">
        <v>42.854390000000002</v>
      </c>
      <c r="AF8350" s="86">
        <f>IF(verze!$E$1="CZK",AD8350,IF(verze!$E$1="SK",AE8350,""))</f>
        <v>42.854390000000002</v>
      </c>
    </row>
    <row r="8351" spans="27:32" ht="15">
      <c r="AA8351" s="463" t="s">
        <v>1320</v>
      </c>
      <c r="AB8351" s="462" t="s">
        <v>24367</v>
      </c>
      <c r="AC8351" s="462" t="s">
        <v>24368</v>
      </c>
      <c r="AD8351" s="464">
        <v>837.53650000000005</v>
      </c>
      <c r="AE8351" s="465">
        <v>40.288530000000002</v>
      </c>
      <c r="AF8351" s="86">
        <f>IF(verze!$E$1="CZK",AD8351,IF(verze!$E$1="SK",AE8351,""))</f>
        <v>40.288530000000002</v>
      </c>
    </row>
    <row r="8352" spans="27:32" ht="15">
      <c r="AA8352" s="463" t="s">
        <v>1320</v>
      </c>
      <c r="AB8352" s="462" t="s">
        <v>24369</v>
      </c>
      <c r="AC8352" s="462" t="s">
        <v>24370</v>
      </c>
      <c r="AD8352" s="464">
        <v>1167.1643099999999</v>
      </c>
      <c r="AE8352" s="465">
        <v>56.144820000000003</v>
      </c>
      <c r="AF8352" s="86">
        <f>IF(verze!$E$1="CZK",AD8352,IF(verze!$E$1="SK",AE8352,""))</f>
        <v>56.144820000000003</v>
      </c>
    </row>
    <row r="8353" spans="27:32" ht="15">
      <c r="AA8353" s="463" t="s">
        <v>1320</v>
      </c>
      <c r="AB8353" s="462" t="s">
        <v>24371</v>
      </c>
      <c r="AC8353" s="462" t="s">
        <v>24372</v>
      </c>
      <c r="AD8353" s="464">
        <v>890.87620000000004</v>
      </c>
      <c r="AE8353" s="465">
        <v>42.854390000000002</v>
      </c>
      <c r="AF8353" s="86">
        <f>IF(verze!$E$1="CZK",AD8353,IF(verze!$E$1="SK",AE8353,""))</f>
        <v>42.854390000000002</v>
      </c>
    </row>
    <row r="8354" spans="27:32" ht="15">
      <c r="AA8354" s="463" t="s">
        <v>1320</v>
      </c>
      <c r="AB8354" s="462" t="s">
        <v>24373</v>
      </c>
      <c r="AC8354" s="462" t="s">
        <v>24374</v>
      </c>
      <c r="AD8354" s="464">
        <v>837.53650000000005</v>
      </c>
      <c r="AE8354" s="465">
        <v>40.288530000000002</v>
      </c>
      <c r="AF8354" s="86">
        <f>IF(verze!$E$1="CZK",AD8354,IF(verze!$E$1="SK",AE8354,""))</f>
        <v>40.288530000000002</v>
      </c>
    </row>
    <row r="8355" spans="27:32" ht="15">
      <c r="AA8355" s="463" t="s">
        <v>1320</v>
      </c>
      <c r="AB8355" s="462" t="s">
        <v>24375</v>
      </c>
      <c r="AC8355" s="462" t="s">
        <v>24376</v>
      </c>
      <c r="AD8355" s="464">
        <v>1167.1643099999999</v>
      </c>
      <c r="AE8355" s="465">
        <v>56.144820000000003</v>
      </c>
      <c r="AF8355" s="86">
        <f>IF(verze!$E$1="CZK",AD8355,IF(verze!$E$1="SK",AE8355,""))</f>
        <v>56.144820000000003</v>
      </c>
    </row>
    <row r="8356" spans="27:32" ht="15">
      <c r="AA8356" s="463" t="s">
        <v>1320</v>
      </c>
      <c r="AB8356" s="462" t="s">
        <v>24377</v>
      </c>
      <c r="AC8356" s="462" t="s">
        <v>24378</v>
      </c>
      <c r="AD8356" s="464">
        <v>890.87620000000004</v>
      </c>
      <c r="AE8356" s="465">
        <v>42.854390000000002</v>
      </c>
      <c r="AF8356" s="86">
        <f>IF(verze!$E$1="CZK",AD8356,IF(verze!$E$1="SK",AE8356,""))</f>
        <v>42.854390000000002</v>
      </c>
    </row>
    <row r="8357" spans="27:32" ht="15">
      <c r="AA8357" s="463" t="s">
        <v>1320</v>
      </c>
      <c r="AB8357" s="462" t="s">
        <v>24379</v>
      </c>
      <c r="AC8357" s="462" t="s">
        <v>24380</v>
      </c>
      <c r="AD8357" s="464">
        <v>837.53650000000005</v>
      </c>
      <c r="AE8357" s="465">
        <v>40.288530000000002</v>
      </c>
      <c r="AF8357" s="86">
        <f>IF(verze!$E$1="CZK",AD8357,IF(verze!$E$1="SK",AE8357,""))</f>
        <v>40.288530000000002</v>
      </c>
    </row>
    <row r="8358" spans="27:32" ht="15">
      <c r="AA8358" s="463" t="s">
        <v>1320</v>
      </c>
      <c r="AB8358" s="462" t="s">
        <v>24381</v>
      </c>
      <c r="AC8358" s="462" t="s">
        <v>24382</v>
      </c>
      <c r="AD8358" s="464">
        <v>760.35522000000003</v>
      </c>
      <c r="AE8358" s="465">
        <v>36.575809999999997</v>
      </c>
      <c r="AF8358" s="86">
        <f>IF(verze!$E$1="CZK",AD8358,IF(verze!$E$1="SK",AE8358,""))</f>
        <v>36.575809999999997</v>
      </c>
    </row>
    <row r="8359" spans="27:32" ht="15">
      <c r="AA8359" s="463" t="s">
        <v>1320</v>
      </c>
      <c r="AB8359" s="462" t="s">
        <v>24383</v>
      </c>
      <c r="AC8359" s="462" t="s">
        <v>24384</v>
      </c>
      <c r="AD8359" s="464">
        <v>760.35522000000003</v>
      </c>
      <c r="AE8359" s="465">
        <v>36.575809999999997</v>
      </c>
      <c r="AF8359" s="86">
        <f>IF(verze!$E$1="CZK",AD8359,IF(verze!$E$1="SK",AE8359,""))</f>
        <v>36.575809999999997</v>
      </c>
    </row>
    <row r="8360" spans="27:32" ht="15">
      <c r="AA8360" s="463" t="s">
        <v>1320</v>
      </c>
      <c r="AB8360" s="462" t="s">
        <v>24385</v>
      </c>
      <c r="AC8360" s="462" t="s">
        <v>24386</v>
      </c>
      <c r="AD8360" s="464">
        <v>760.35522000000003</v>
      </c>
      <c r="AE8360" s="465">
        <v>36.575809999999997</v>
      </c>
      <c r="AF8360" s="86">
        <f>IF(verze!$E$1="CZK",AD8360,IF(verze!$E$1="SK",AE8360,""))</f>
        <v>36.575809999999997</v>
      </c>
    </row>
    <row r="8361" spans="27:32" ht="15">
      <c r="AA8361" s="463" t="s">
        <v>1320</v>
      </c>
      <c r="AB8361" s="462" t="s">
        <v>24387</v>
      </c>
      <c r="AC8361" s="462" t="s">
        <v>24388</v>
      </c>
      <c r="AD8361" s="464">
        <v>1059.0472</v>
      </c>
      <c r="AE8361" s="465">
        <v>50.944000000000003</v>
      </c>
      <c r="AF8361" s="86">
        <f>IF(verze!$E$1="CZK",AD8361,IF(verze!$E$1="SK",AE8361,""))</f>
        <v>50.944000000000003</v>
      </c>
    </row>
    <row r="8362" spans="27:32" ht="15">
      <c r="AA8362" s="463" t="s">
        <v>1320</v>
      </c>
      <c r="AB8362" s="462" t="s">
        <v>24389</v>
      </c>
      <c r="AC8362" s="462" t="s">
        <v>24390</v>
      </c>
      <c r="AD8362" s="464">
        <v>760.35522000000003</v>
      </c>
      <c r="AE8362" s="465">
        <v>36.575809999999997</v>
      </c>
      <c r="AF8362" s="86">
        <f>IF(verze!$E$1="CZK",AD8362,IF(verze!$E$1="SK",AE8362,""))</f>
        <v>36.575809999999997</v>
      </c>
    </row>
    <row r="8363" spans="27:32" ht="15">
      <c r="AA8363" s="463" t="s">
        <v>1320</v>
      </c>
      <c r="AB8363" s="462" t="s">
        <v>24391</v>
      </c>
      <c r="AC8363" s="462" t="s">
        <v>24392</v>
      </c>
      <c r="AD8363" s="464">
        <v>702.69482000000005</v>
      </c>
      <c r="AE8363" s="465">
        <v>33.802169999999997</v>
      </c>
      <c r="AF8363" s="86">
        <f>IF(verze!$E$1="CZK",AD8363,IF(verze!$E$1="SK",AE8363,""))</f>
        <v>33.802169999999997</v>
      </c>
    </row>
    <row r="8364" spans="27:32" ht="15">
      <c r="AA8364" s="463" t="s">
        <v>1320</v>
      </c>
      <c r="AB8364" s="462" t="s">
        <v>24393</v>
      </c>
      <c r="AC8364" s="462" t="s">
        <v>24394</v>
      </c>
      <c r="AD8364" s="464">
        <v>1059.0472</v>
      </c>
      <c r="AE8364" s="465">
        <v>50.944000000000003</v>
      </c>
      <c r="AF8364" s="86">
        <f>IF(verze!$E$1="CZK",AD8364,IF(verze!$E$1="SK",AE8364,""))</f>
        <v>50.944000000000003</v>
      </c>
    </row>
    <row r="8365" spans="27:32" ht="15">
      <c r="AA8365" s="463" t="s">
        <v>1320</v>
      </c>
      <c r="AB8365" s="462" t="s">
        <v>24395</v>
      </c>
      <c r="AC8365" s="462" t="s">
        <v>24396</v>
      </c>
      <c r="AD8365" s="464">
        <v>760.35522000000003</v>
      </c>
      <c r="AE8365" s="465">
        <v>36.575809999999997</v>
      </c>
      <c r="AF8365" s="86">
        <f>IF(verze!$E$1="CZK",AD8365,IF(verze!$E$1="SK",AE8365,""))</f>
        <v>36.575809999999997</v>
      </c>
    </row>
    <row r="8366" spans="27:32" ht="15">
      <c r="AA8366" s="463" t="s">
        <v>1320</v>
      </c>
      <c r="AB8366" s="462" t="s">
        <v>24397</v>
      </c>
      <c r="AC8366" s="462" t="s">
        <v>24398</v>
      </c>
      <c r="AD8366" s="464">
        <v>702.69482000000005</v>
      </c>
      <c r="AE8366" s="465">
        <v>33.802169999999997</v>
      </c>
      <c r="AF8366" s="86">
        <f>IF(verze!$E$1="CZK",AD8366,IF(verze!$E$1="SK",AE8366,""))</f>
        <v>33.802169999999997</v>
      </c>
    </row>
    <row r="8367" spans="27:32" ht="15">
      <c r="AA8367" s="463" t="s">
        <v>1320</v>
      </c>
      <c r="AB8367" s="462" t="s">
        <v>24399</v>
      </c>
      <c r="AC8367" s="462" t="s">
        <v>24400</v>
      </c>
      <c r="AD8367" s="464">
        <v>1059.0472</v>
      </c>
      <c r="AE8367" s="465">
        <v>50.944000000000003</v>
      </c>
      <c r="AF8367" s="86">
        <f>IF(verze!$E$1="CZK",AD8367,IF(verze!$E$1="SK",AE8367,""))</f>
        <v>50.944000000000003</v>
      </c>
    </row>
    <row r="8368" spans="27:32" ht="15">
      <c r="AA8368" s="463" t="s">
        <v>1320</v>
      </c>
      <c r="AB8368" s="462" t="s">
        <v>24401</v>
      </c>
      <c r="AC8368" s="462" t="s">
        <v>24402</v>
      </c>
      <c r="AD8368" s="464">
        <v>760.35522000000003</v>
      </c>
      <c r="AE8368" s="465">
        <v>36.575809999999997</v>
      </c>
      <c r="AF8368" s="86">
        <f>IF(verze!$E$1="CZK",AD8368,IF(verze!$E$1="SK",AE8368,""))</f>
        <v>36.575809999999997</v>
      </c>
    </row>
    <row r="8369" spans="27:32" ht="15">
      <c r="AA8369" s="463" t="s">
        <v>1320</v>
      </c>
      <c r="AB8369" s="462" t="s">
        <v>24403</v>
      </c>
      <c r="AC8369" s="462" t="s">
        <v>24404</v>
      </c>
      <c r="AD8369" s="464">
        <v>702.69482000000005</v>
      </c>
      <c r="AE8369" s="465">
        <v>33.802169999999997</v>
      </c>
      <c r="AF8369" s="86">
        <f>IF(verze!$E$1="CZK",AD8369,IF(verze!$E$1="SK",AE8369,""))</f>
        <v>33.802169999999997</v>
      </c>
    </row>
    <row r="8370" spans="27:32" ht="15">
      <c r="AA8370" s="463" t="s">
        <v>1320</v>
      </c>
      <c r="AB8370" s="462" t="s">
        <v>24405</v>
      </c>
      <c r="AC8370" s="462" t="s">
        <v>24406</v>
      </c>
      <c r="AD8370" s="464">
        <v>0</v>
      </c>
      <c r="AE8370" s="465">
        <v>0</v>
      </c>
      <c r="AF8370" s="86">
        <f>IF(verze!$E$1="CZK",AD8370,IF(verze!$E$1="SK",AE8370,""))</f>
        <v>0</v>
      </c>
    </row>
    <row r="8371" spans="27:32" ht="15">
      <c r="AA8371" s="463" t="s">
        <v>1320</v>
      </c>
      <c r="AB8371" s="462" t="s">
        <v>24407</v>
      </c>
      <c r="AC8371" s="462" t="s">
        <v>24408</v>
      </c>
      <c r="AD8371" s="464">
        <v>890.87620000000004</v>
      </c>
      <c r="AE8371" s="465">
        <v>42.854390000000002</v>
      </c>
      <c r="AF8371" s="86">
        <f>IF(verze!$E$1="CZK",AD8371,IF(verze!$E$1="SK",AE8371,""))</f>
        <v>42.854390000000002</v>
      </c>
    </row>
    <row r="8372" spans="27:32" ht="15">
      <c r="AA8372" s="463" t="s">
        <v>1320</v>
      </c>
      <c r="AB8372" s="462" t="s">
        <v>24409</v>
      </c>
      <c r="AC8372" s="462" t="s">
        <v>24410</v>
      </c>
      <c r="AD8372" s="464">
        <v>837.53650000000005</v>
      </c>
      <c r="AE8372" s="465">
        <v>40.288530000000002</v>
      </c>
      <c r="AF8372" s="86">
        <f>IF(verze!$E$1="CZK",AD8372,IF(verze!$E$1="SK",AE8372,""))</f>
        <v>40.288530000000002</v>
      </c>
    </row>
    <row r="8373" spans="27:32" ht="15">
      <c r="AA8373" s="463" t="s">
        <v>1320</v>
      </c>
      <c r="AB8373" s="462" t="s">
        <v>24411</v>
      </c>
      <c r="AC8373" s="462" t="s">
        <v>24412</v>
      </c>
      <c r="AD8373" s="464">
        <v>0</v>
      </c>
      <c r="AE8373" s="465">
        <v>0</v>
      </c>
      <c r="AF8373" s="86">
        <f>IF(verze!$E$1="CZK",AD8373,IF(verze!$E$1="SK",AE8373,""))</f>
        <v>0</v>
      </c>
    </row>
    <row r="8374" spans="27:32" ht="15">
      <c r="AA8374" s="463" t="s">
        <v>1320</v>
      </c>
      <c r="AB8374" s="462" t="s">
        <v>24413</v>
      </c>
      <c r="AC8374" s="462" t="s">
        <v>24414</v>
      </c>
      <c r="AD8374" s="464">
        <v>890.87620000000004</v>
      </c>
      <c r="AE8374" s="465">
        <v>42.854390000000002</v>
      </c>
      <c r="AF8374" s="86">
        <f>IF(verze!$E$1="CZK",AD8374,IF(verze!$E$1="SK",AE8374,""))</f>
        <v>42.854390000000002</v>
      </c>
    </row>
    <row r="8375" spans="27:32" ht="15">
      <c r="AA8375" s="463" t="s">
        <v>1320</v>
      </c>
      <c r="AB8375" s="462" t="s">
        <v>24415</v>
      </c>
      <c r="AC8375" s="462" t="s">
        <v>24416</v>
      </c>
      <c r="AD8375" s="464">
        <v>837.53650000000005</v>
      </c>
      <c r="AE8375" s="465">
        <v>40.288530000000002</v>
      </c>
      <c r="AF8375" s="86">
        <f>IF(verze!$E$1="CZK",AD8375,IF(verze!$E$1="SK",AE8375,""))</f>
        <v>40.288530000000002</v>
      </c>
    </row>
    <row r="8376" spans="27:32" ht="15">
      <c r="AA8376" s="463" t="s">
        <v>1320</v>
      </c>
      <c r="AB8376" s="462" t="s">
        <v>24417</v>
      </c>
      <c r="AC8376" s="462" t="s">
        <v>24418</v>
      </c>
      <c r="AD8376" s="464">
        <v>0</v>
      </c>
      <c r="AE8376" s="465">
        <v>0</v>
      </c>
      <c r="AF8376" s="86">
        <f>IF(verze!$E$1="CZK",AD8376,IF(verze!$E$1="SK",AE8376,""))</f>
        <v>0</v>
      </c>
    </row>
    <row r="8377" spans="27:32" ht="15">
      <c r="AA8377" s="463" t="s">
        <v>1320</v>
      </c>
      <c r="AB8377" s="462" t="s">
        <v>24419</v>
      </c>
      <c r="AC8377" s="462" t="s">
        <v>24420</v>
      </c>
      <c r="AD8377" s="464">
        <v>890.87620000000004</v>
      </c>
      <c r="AE8377" s="465">
        <v>42.854390000000002</v>
      </c>
      <c r="AF8377" s="86">
        <f>IF(verze!$E$1="CZK",AD8377,IF(verze!$E$1="SK",AE8377,""))</f>
        <v>42.854390000000002</v>
      </c>
    </row>
    <row r="8378" spans="27:32" ht="15">
      <c r="AA8378" s="463" t="s">
        <v>1320</v>
      </c>
      <c r="AB8378" s="462" t="s">
        <v>24421</v>
      </c>
      <c r="AC8378" s="462" t="s">
        <v>24422</v>
      </c>
      <c r="AD8378" s="464">
        <v>837.53650000000005</v>
      </c>
      <c r="AE8378" s="465">
        <v>40.288530000000002</v>
      </c>
      <c r="AF8378" s="86">
        <f>IF(verze!$E$1="CZK",AD8378,IF(verze!$E$1="SK",AE8378,""))</f>
        <v>40.288530000000002</v>
      </c>
    </row>
    <row r="8379" spans="27:32" ht="15">
      <c r="AA8379" s="463" t="s">
        <v>1320</v>
      </c>
      <c r="AB8379" s="462" t="s">
        <v>24423</v>
      </c>
      <c r="AC8379" s="462" t="s">
        <v>24424</v>
      </c>
      <c r="AD8379" s="464">
        <v>1070.07026</v>
      </c>
      <c r="AE8379" s="465">
        <v>51.474249999999998</v>
      </c>
      <c r="AF8379" s="86">
        <f>IF(verze!$E$1="CZK",AD8379,IF(verze!$E$1="SK",AE8379,""))</f>
        <v>51.474249999999998</v>
      </c>
    </row>
    <row r="8380" spans="27:32" ht="15">
      <c r="AA8380" s="463" t="s">
        <v>1320</v>
      </c>
      <c r="AB8380" s="462" t="s">
        <v>24425</v>
      </c>
      <c r="AC8380" s="462" t="s">
        <v>24426</v>
      </c>
      <c r="AD8380" s="464">
        <v>777.43316000000004</v>
      </c>
      <c r="AE8380" s="465">
        <v>37.397370000000002</v>
      </c>
      <c r="AF8380" s="86">
        <f>IF(verze!$E$1="CZK",AD8380,IF(verze!$E$1="SK",AE8380,""))</f>
        <v>37.397370000000002</v>
      </c>
    </row>
    <row r="8381" spans="27:32" ht="15">
      <c r="AA8381" s="463" t="s">
        <v>1320</v>
      </c>
      <c r="AB8381" s="462" t="s">
        <v>24427</v>
      </c>
      <c r="AC8381" s="462" t="s">
        <v>24428</v>
      </c>
      <c r="AD8381" s="464">
        <v>719.76864</v>
      </c>
      <c r="AE8381" s="465">
        <v>34.623469999999998</v>
      </c>
      <c r="AF8381" s="86">
        <f>IF(verze!$E$1="CZK",AD8381,IF(verze!$E$1="SK",AE8381,""))</f>
        <v>34.623469999999998</v>
      </c>
    </row>
    <row r="8382" spans="27:32" ht="15">
      <c r="AA8382" s="463" t="s">
        <v>1320</v>
      </c>
      <c r="AB8382" s="462" t="s">
        <v>24429</v>
      </c>
      <c r="AC8382" s="462" t="s">
        <v>24430</v>
      </c>
      <c r="AD8382" s="464">
        <v>1070.07026</v>
      </c>
      <c r="AE8382" s="465">
        <v>51.474249999999998</v>
      </c>
      <c r="AF8382" s="86">
        <f>IF(verze!$E$1="CZK",AD8382,IF(verze!$E$1="SK",AE8382,""))</f>
        <v>51.474249999999998</v>
      </c>
    </row>
    <row r="8383" spans="27:32" ht="15">
      <c r="AA8383" s="463" t="s">
        <v>1320</v>
      </c>
      <c r="AB8383" s="462" t="s">
        <v>24431</v>
      </c>
      <c r="AC8383" s="462" t="s">
        <v>24432</v>
      </c>
      <c r="AD8383" s="464">
        <v>777.43316000000004</v>
      </c>
      <c r="AE8383" s="465">
        <v>37.397370000000002</v>
      </c>
      <c r="AF8383" s="86">
        <f>IF(verze!$E$1="CZK",AD8383,IF(verze!$E$1="SK",AE8383,""))</f>
        <v>37.397370000000002</v>
      </c>
    </row>
    <row r="8384" spans="27:32" ht="15">
      <c r="AA8384" s="463" t="s">
        <v>1320</v>
      </c>
      <c r="AB8384" s="462" t="s">
        <v>24433</v>
      </c>
      <c r="AC8384" s="462" t="s">
        <v>24434</v>
      </c>
      <c r="AD8384" s="464">
        <v>719.76864</v>
      </c>
      <c r="AE8384" s="465">
        <v>34.623469999999998</v>
      </c>
      <c r="AF8384" s="86">
        <f>IF(verze!$E$1="CZK",AD8384,IF(verze!$E$1="SK",AE8384,""))</f>
        <v>34.623469999999998</v>
      </c>
    </row>
    <row r="8385" spans="27:32" ht="15">
      <c r="AA8385" s="463" t="s">
        <v>1320</v>
      </c>
      <c r="AB8385" s="462" t="s">
        <v>24435</v>
      </c>
      <c r="AC8385" s="462" t="s">
        <v>24436</v>
      </c>
      <c r="AD8385" s="464">
        <v>1070.07026</v>
      </c>
      <c r="AE8385" s="465">
        <v>51.474249999999998</v>
      </c>
      <c r="AF8385" s="86">
        <f>IF(verze!$E$1="CZK",AD8385,IF(verze!$E$1="SK",AE8385,""))</f>
        <v>51.474249999999998</v>
      </c>
    </row>
    <row r="8386" spans="27:32" ht="15">
      <c r="AA8386" s="463" t="s">
        <v>1320</v>
      </c>
      <c r="AB8386" s="462" t="s">
        <v>24437</v>
      </c>
      <c r="AC8386" s="462" t="s">
        <v>24438</v>
      </c>
      <c r="AD8386" s="464">
        <v>777.43316000000004</v>
      </c>
      <c r="AE8386" s="465">
        <v>37.397370000000002</v>
      </c>
      <c r="AF8386" s="86">
        <f>IF(verze!$E$1="CZK",AD8386,IF(verze!$E$1="SK",AE8386,""))</f>
        <v>37.397370000000002</v>
      </c>
    </row>
    <row r="8387" spans="27:32" ht="15">
      <c r="AA8387" s="463"/>
      <c r="AB8387" s="462" t="s">
        <v>24439</v>
      </c>
      <c r="AC8387" s="462" t="s">
        <v>24440</v>
      </c>
      <c r="AD8387" s="464">
        <v>719.76864</v>
      </c>
      <c r="AE8387" s="465">
        <v>34.623469999999998</v>
      </c>
      <c r="AF8387" s="86">
        <f>IF(verze!$E$1="CZK",AD8387,IF(verze!$E$1="SK",AE8387,""))</f>
        <v>34.623469999999998</v>
      </c>
    </row>
    <row r="8388" spans="27:32" ht="15">
      <c r="AA8388" s="463" t="s">
        <v>1320</v>
      </c>
      <c r="AB8388" s="462" t="s">
        <v>24441</v>
      </c>
      <c r="AC8388" s="462" t="s">
        <v>24440</v>
      </c>
      <c r="AD8388" s="464">
        <v>719.76864</v>
      </c>
      <c r="AE8388" s="465">
        <v>34.623469999999998</v>
      </c>
      <c r="AF8388" s="86">
        <f>IF(verze!$E$1="CZK",AD8388,IF(verze!$E$1="SK",AE8388,""))</f>
        <v>34.623469999999998</v>
      </c>
    </row>
    <row r="8389" spans="27:32" ht="15">
      <c r="AA8389" s="463" t="s">
        <v>1320</v>
      </c>
      <c r="AB8389" s="462" t="s">
        <v>24442</v>
      </c>
      <c r="AC8389" s="462" t="s">
        <v>24443</v>
      </c>
      <c r="AD8389" s="464">
        <v>1177.73335</v>
      </c>
      <c r="AE8389" s="465">
        <v>56.653230000000001</v>
      </c>
      <c r="AF8389" s="86">
        <f>IF(verze!$E$1="CZK",AD8389,IF(verze!$E$1="SK",AE8389,""))</f>
        <v>56.653230000000001</v>
      </c>
    </row>
    <row r="8390" spans="27:32" ht="15">
      <c r="AA8390" s="463" t="s">
        <v>1320</v>
      </c>
      <c r="AB8390" s="462" t="s">
        <v>24444</v>
      </c>
      <c r="AC8390" s="462" t="s">
        <v>24445</v>
      </c>
      <c r="AD8390" s="464">
        <v>907.04589999999996</v>
      </c>
      <c r="AE8390" s="465">
        <v>43.632190000000001</v>
      </c>
      <c r="AF8390" s="86">
        <f>IF(verze!$E$1="CZK",AD8390,IF(verze!$E$1="SK",AE8390,""))</f>
        <v>43.632190000000001</v>
      </c>
    </row>
    <row r="8391" spans="27:32" ht="15">
      <c r="AA8391" s="463" t="s">
        <v>1320</v>
      </c>
      <c r="AB8391" s="462" t="s">
        <v>24446</v>
      </c>
      <c r="AC8391" s="462" t="s">
        <v>24447</v>
      </c>
      <c r="AD8391" s="464">
        <v>978.78273999999999</v>
      </c>
      <c r="AE8391" s="465">
        <v>47.082990000000002</v>
      </c>
      <c r="AF8391" s="86">
        <f>IF(verze!$E$1="CZK",AD8391,IF(verze!$E$1="SK",AE8391,""))</f>
        <v>47.082990000000002</v>
      </c>
    </row>
    <row r="8392" spans="27:32" ht="15">
      <c r="AA8392" s="463" t="s">
        <v>1320</v>
      </c>
      <c r="AB8392" s="462" t="s">
        <v>24448</v>
      </c>
      <c r="AC8392" s="462" t="s">
        <v>24449</v>
      </c>
      <c r="AD8392" s="464">
        <v>1177.73335</v>
      </c>
      <c r="AE8392" s="465">
        <v>56.653230000000001</v>
      </c>
      <c r="AF8392" s="86">
        <f>IF(verze!$E$1="CZK",AD8392,IF(verze!$E$1="SK",AE8392,""))</f>
        <v>56.653230000000001</v>
      </c>
    </row>
    <row r="8393" spans="27:32" ht="15">
      <c r="AA8393" s="463" t="s">
        <v>1320</v>
      </c>
      <c r="AB8393" s="462" t="s">
        <v>24450</v>
      </c>
      <c r="AC8393" s="462" t="s">
        <v>24451</v>
      </c>
      <c r="AD8393" s="464">
        <v>907.04589999999996</v>
      </c>
      <c r="AE8393" s="465">
        <v>43.632190000000001</v>
      </c>
      <c r="AF8393" s="86">
        <f>IF(verze!$E$1="CZK",AD8393,IF(verze!$E$1="SK",AE8393,""))</f>
        <v>43.632190000000001</v>
      </c>
    </row>
    <row r="8394" spans="27:32" ht="15">
      <c r="AA8394" s="463" t="s">
        <v>1320</v>
      </c>
      <c r="AB8394" s="462" t="s">
        <v>24452</v>
      </c>
      <c r="AC8394" s="462" t="s">
        <v>24453</v>
      </c>
      <c r="AD8394" s="464">
        <v>978.78273999999999</v>
      </c>
      <c r="AE8394" s="465">
        <v>47.082990000000002</v>
      </c>
      <c r="AF8394" s="86">
        <f>IF(verze!$E$1="CZK",AD8394,IF(verze!$E$1="SK",AE8394,""))</f>
        <v>47.082990000000002</v>
      </c>
    </row>
    <row r="8395" spans="27:32" ht="15">
      <c r="AA8395" s="463" t="s">
        <v>1320</v>
      </c>
      <c r="AB8395" s="462" t="s">
        <v>24454</v>
      </c>
      <c r="AC8395" s="462" t="s">
        <v>24455</v>
      </c>
      <c r="AD8395" s="464">
        <v>1177.73335</v>
      </c>
      <c r="AE8395" s="465">
        <v>56.653230000000001</v>
      </c>
      <c r="AF8395" s="86">
        <f>IF(verze!$E$1="CZK",AD8395,IF(verze!$E$1="SK",AE8395,""))</f>
        <v>56.653230000000001</v>
      </c>
    </row>
    <row r="8396" spans="27:32" ht="15">
      <c r="AA8396" s="463" t="s">
        <v>1320</v>
      </c>
      <c r="AB8396" s="462" t="s">
        <v>24456</v>
      </c>
      <c r="AC8396" s="462" t="s">
        <v>24457</v>
      </c>
      <c r="AD8396" s="464">
        <v>907.04589999999996</v>
      </c>
      <c r="AE8396" s="465">
        <v>43.632190000000001</v>
      </c>
      <c r="AF8396" s="86">
        <f>IF(verze!$E$1="CZK",AD8396,IF(verze!$E$1="SK",AE8396,""))</f>
        <v>43.632190000000001</v>
      </c>
    </row>
    <row r="8397" spans="27:32" ht="15">
      <c r="AA8397" s="463" t="s">
        <v>1320</v>
      </c>
      <c r="AB8397" s="462" t="s">
        <v>24458</v>
      </c>
      <c r="AC8397" s="462" t="s">
        <v>24459</v>
      </c>
      <c r="AD8397" s="464">
        <v>978.78273999999999</v>
      </c>
      <c r="AE8397" s="465">
        <v>47.082990000000002</v>
      </c>
      <c r="AF8397" s="86">
        <f>IF(verze!$E$1="CZK",AD8397,IF(verze!$E$1="SK",AE8397,""))</f>
        <v>47.082990000000002</v>
      </c>
    </row>
    <row r="8398" spans="27:32" ht="15">
      <c r="AA8398" s="463" t="s">
        <v>1320</v>
      </c>
      <c r="AB8398" s="462" t="s">
        <v>24460</v>
      </c>
      <c r="AC8398" s="462" t="s">
        <v>24461</v>
      </c>
      <c r="AD8398" s="464">
        <v>962.62135000000001</v>
      </c>
      <c r="AE8398" s="465">
        <v>46.30556</v>
      </c>
      <c r="AF8398" s="86">
        <f>IF(verze!$E$1="CZK",AD8398,IF(verze!$E$1="SK",AE8398,""))</f>
        <v>46.30556</v>
      </c>
    </row>
    <row r="8399" spans="27:32" ht="15">
      <c r="AA8399" s="463" t="s">
        <v>1320</v>
      </c>
      <c r="AB8399" s="462" t="s">
        <v>24462</v>
      </c>
      <c r="AC8399" s="462" t="s">
        <v>24463</v>
      </c>
      <c r="AD8399" s="464">
        <v>778.62058999999999</v>
      </c>
      <c r="AE8399" s="465">
        <v>37.035780000000003</v>
      </c>
      <c r="AF8399" s="86">
        <f>IF(verze!$E$1="CZK",AD8399,IF(verze!$E$1="SK",AE8399,""))</f>
        <v>37.035780000000003</v>
      </c>
    </row>
    <row r="8400" spans="27:32" ht="15">
      <c r="AA8400" s="463" t="s">
        <v>1320</v>
      </c>
      <c r="AB8400" s="462" t="s">
        <v>24464</v>
      </c>
      <c r="AC8400" s="462" t="s">
        <v>24465</v>
      </c>
      <c r="AD8400" s="464">
        <v>724.84416999999996</v>
      </c>
      <c r="AE8400" s="465">
        <v>34.867620000000002</v>
      </c>
      <c r="AF8400" s="86">
        <f>IF(verze!$E$1="CZK",AD8400,IF(verze!$E$1="SK",AE8400,""))</f>
        <v>34.867620000000002</v>
      </c>
    </row>
    <row r="8401" spans="27:32" ht="15">
      <c r="AA8401" s="463" t="s">
        <v>1320</v>
      </c>
      <c r="AB8401" s="462" t="s">
        <v>24466</v>
      </c>
      <c r="AC8401" s="462" t="s">
        <v>24467</v>
      </c>
      <c r="AD8401" s="464">
        <v>962.62135000000001</v>
      </c>
      <c r="AE8401" s="465">
        <v>46.30556</v>
      </c>
      <c r="AF8401" s="86">
        <f>IF(verze!$E$1="CZK",AD8401,IF(verze!$E$1="SK",AE8401,""))</f>
        <v>46.30556</v>
      </c>
    </row>
    <row r="8402" spans="27:32" ht="15">
      <c r="AA8402" s="463" t="s">
        <v>1320</v>
      </c>
      <c r="AB8402" s="462" t="s">
        <v>24468</v>
      </c>
      <c r="AC8402" s="462" t="s">
        <v>24469</v>
      </c>
      <c r="AD8402" s="464">
        <v>778.62058999999999</v>
      </c>
      <c r="AE8402" s="465">
        <v>37.035780000000003</v>
      </c>
      <c r="AF8402" s="86">
        <f>IF(verze!$E$1="CZK",AD8402,IF(verze!$E$1="SK",AE8402,""))</f>
        <v>37.035780000000003</v>
      </c>
    </row>
    <row r="8403" spans="27:32" ht="15">
      <c r="AA8403" s="463" t="s">
        <v>1320</v>
      </c>
      <c r="AB8403" s="462" t="s">
        <v>24470</v>
      </c>
      <c r="AC8403" s="462" t="s">
        <v>24471</v>
      </c>
      <c r="AD8403" s="464">
        <v>724.84416999999996</v>
      </c>
      <c r="AE8403" s="465">
        <v>34.867620000000002</v>
      </c>
      <c r="AF8403" s="86">
        <f>IF(verze!$E$1="CZK",AD8403,IF(verze!$E$1="SK",AE8403,""))</f>
        <v>34.867620000000002</v>
      </c>
    </row>
    <row r="8404" spans="27:32" ht="15">
      <c r="AA8404" s="463" t="s">
        <v>1320</v>
      </c>
      <c r="AB8404" s="462" t="s">
        <v>24472</v>
      </c>
      <c r="AC8404" s="462" t="s">
        <v>24473</v>
      </c>
      <c r="AD8404" s="464">
        <v>962.62135000000001</v>
      </c>
      <c r="AE8404" s="465">
        <v>46.30556</v>
      </c>
      <c r="AF8404" s="86">
        <f>IF(verze!$E$1="CZK",AD8404,IF(verze!$E$1="SK",AE8404,""))</f>
        <v>46.30556</v>
      </c>
    </row>
    <row r="8405" spans="27:32" ht="15">
      <c r="AA8405" s="463" t="s">
        <v>1320</v>
      </c>
      <c r="AB8405" s="462" t="s">
        <v>24474</v>
      </c>
      <c r="AC8405" s="462" t="s">
        <v>24475</v>
      </c>
      <c r="AD8405" s="464">
        <v>778.62058999999999</v>
      </c>
      <c r="AE8405" s="465">
        <v>37.035780000000003</v>
      </c>
      <c r="AF8405" s="86">
        <f>IF(verze!$E$1="CZK",AD8405,IF(verze!$E$1="SK",AE8405,""))</f>
        <v>37.035780000000003</v>
      </c>
    </row>
    <row r="8406" spans="27:32" ht="15">
      <c r="AA8406" s="463" t="s">
        <v>1320</v>
      </c>
      <c r="AB8406" s="462" t="s">
        <v>24476</v>
      </c>
      <c r="AC8406" s="462" t="s">
        <v>24477</v>
      </c>
      <c r="AD8406" s="464">
        <v>724.84416999999996</v>
      </c>
      <c r="AE8406" s="465">
        <v>34.867620000000002</v>
      </c>
      <c r="AF8406" s="86">
        <f>IF(verze!$E$1="CZK",AD8406,IF(verze!$E$1="SK",AE8406,""))</f>
        <v>34.867620000000002</v>
      </c>
    </row>
    <row r="8407" spans="27:32" ht="15">
      <c r="AA8407" s="463" t="s">
        <v>1320</v>
      </c>
      <c r="AB8407" s="462" t="s">
        <v>24478</v>
      </c>
      <c r="AC8407" s="462" t="s">
        <v>24479</v>
      </c>
      <c r="AD8407" s="464">
        <v>1185.28289</v>
      </c>
      <c r="AE8407" s="465">
        <v>57.016359999999999</v>
      </c>
      <c r="AF8407" s="86">
        <f>IF(verze!$E$1="CZK",AD8407,IF(verze!$E$1="SK",AE8407,""))</f>
        <v>57.016359999999999</v>
      </c>
    </row>
    <row r="8408" spans="27:32" ht="15">
      <c r="AA8408" s="463" t="s">
        <v>1320</v>
      </c>
      <c r="AB8408" s="462" t="s">
        <v>24480</v>
      </c>
      <c r="AC8408" s="462" t="s">
        <v>24481</v>
      </c>
      <c r="AD8408" s="464">
        <v>904.15489000000002</v>
      </c>
      <c r="AE8408" s="465">
        <v>42.944020000000002</v>
      </c>
      <c r="AF8408" s="86">
        <f>IF(verze!$E$1="CZK",AD8408,IF(verze!$E$1="SK",AE8408,""))</f>
        <v>42.944020000000002</v>
      </c>
    </row>
    <row r="8409" spans="27:32" ht="15">
      <c r="AA8409" s="463" t="s">
        <v>1320</v>
      </c>
      <c r="AB8409" s="462" t="s">
        <v>24482</v>
      </c>
      <c r="AC8409" s="462" t="s">
        <v>24483</v>
      </c>
      <c r="AD8409" s="464">
        <v>865.25618999999995</v>
      </c>
      <c r="AE8409" s="465">
        <v>41.621940000000002</v>
      </c>
      <c r="AF8409" s="86">
        <f>IF(verze!$E$1="CZK",AD8409,IF(verze!$E$1="SK",AE8409,""))</f>
        <v>41.621940000000002</v>
      </c>
    </row>
    <row r="8410" spans="27:32" ht="15">
      <c r="AA8410" s="463" t="s">
        <v>1320</v>
      </c>
      <c r="AB8410" s="462" t="s">
        <v>24484</v>
      </c>
      <c r="AC8410" s="462" t="s">
        <v>24485</v>
      </c>
      <c r="AD8410" s="464">
        <v>1185.28289</v>
      </c>
      <c r="AE8410" s="465">
        <v>57.016359999999999</v>
      </c>
      <c r="AF8410" s="86">
        <f>IF(verze!$E$1="CZK",AD8410,IF(verze!$E$1="SK",AE8410,""))</f>
        <v>57.016359999999999</v>
      </c>
    </row>
    <row r="8411" spans="27:32" ht="15">
      <c r="AA8411" s="463" t="s">
        <v>1320</v>
      </c>
      <c r="AB8411" s="462" t="s">
        <v>24486</v>
      </c>
      <c r="AC8411" s="462" t="s">
        <v>24487</v>
      </c>
      <c r="AD8411" s="464">
        <v>904.15489000000002</v>
      </c>
      <c r="AE8411" s="465">
        <v>42.944020000000002</v>
      </c>
      <c r="AF8411" s="86">
        <f>IF(verze!$E$1="CZK",AD8411,IF(verze!$E$1="SK",AE8411,""))</f>
        <v>42.944020000000002</v>
      </c>
    </row>
    <row r="8412" spans="27:32" ht="15">
      <c r="AA8412" s="463" t="s">
        <v>1320</v>
      </c>
      <c r="AB8412" s="462" t="s">
        <v>24488</v>
      </c>
      <c r="AC8412" s="462" t="s">
        <v>24489</v>
      </c>
      <c r="AD8412" s="464">
        <v>865.25618999999995</v>
      </c>
      <c r="AE8412" s="465">
        <v>41.621940000000002</v>
      </c>
      <c r="AF8412" s="86">
        <f>IF(verze!$E$1="CZK",AD8412,IF(verze!$E$1="SK",AE8412,""))</f>
        <v>41.621940000000002</v>
      </c>
    </row>
    <row r="8413" spans="27:32" ht="15">
      <c r="AA8413" s="463" t="s">
        <v>1320</v>
      </c>
      <c r="AB8413" s="462" t="s">
        <v>24490</v>
      </c>
      <c r="AC8413" s="462" t="s">
        <v>24491</v>
      </c>
      <c r="AD8413" s="464">
        <v>1185.28289</v>
      </c>
      <c r="AE8413" s="465">
        <v>57.016359999999999</v>
      </c>
      <c r="AF8413" s="86">
        <f>IF(verze!$E$1="CZK",AD8413,IF(verze!$E$1="SK",AE8413,""))</f>
        <v>57.016359999999999</v>
      </c>
    </row>
    <row r="8414" spans="27:32" ht="15">
      <c r="AA8414" s="463" t="s">
        <v>1320</v>
      </c>
      <c r="AB8414" s="462" t="s">
        <v>24492</v>
      </c>
      <c r="AC8414" s="462" t="s">
        <v>24493</v>
      </c>
      <c r="AD8414" s="464">
        <v>904.15489000000002</v>
      </c>
      <c r="AE8414" s="465">
        <v>42.944020000000002</v>
      </c>
      <c r="AF8414" s="86">
        <f>IF(verze!$E$1="CZK",AD8414,IF(verze!$E$1="SK",AE8414,""))</f>
        <v>42.944020000000002</v>
      </c>
    </row>
    <row r="8415" spans="27:32" ht="15">
      <c r="AA8415" s="463" t="s">
        <v>1320</v>
      </c>
      <c r="AB8415" s="462" t="s">
        <v>24494</v>
      </c>
      <c r="AC8415" s="462" t="s">
        <v>24495</v>
      </c>
      <c r="AD8415" s="464">
        <v>865.25618999999995</v>
      </c>
      <c r="AE8415" s="465">
        <v>41.621940000000002</v>
      </c>
      <c r="AF8415" s="86">
        <f>IF(verze!$E$1="CZK",AD8415,IF(verze!$E$1="SK",AE8415,""))</f>
        <v>41.621940000000002</v>
      </c>
    </row>
    <row r="8416" spans="27:32" ht="15">
      <c r="AA8416" s="463" t="s">
        <v>1320</v>
      </c>
      <c r="AB8416" s="462" t="s">
        <v>24496</v>
      </c>
      <c r="AC8416" s="462" t="s">
        <v>24497</v>
      </c>
      <c r="AD8416" s="464">
        <v>1098.4892500000001</v>
      </c>
      <c r="AE8416" s="465">
        <v>52.841299999999997</v>
      </c>
      <c r="AF8416" s="86">
        <f>IF(verze!$E$1="CZK",AD8416,IF(verze!$E$1="SK",AE8416,""))</f>
        <v>52.841299999999997</v>
      </c>
    </row>
    <row r="8417" spans="27:32" ht="15">
      <c r="AA8417" s="463" t="s">
        <v>1320</v>
      </c>
      <c r="AB8417" s="462" t="s">
        <v>24498</v>
      </c>
      <c r="AC8417" s="462" t="s">
        <v>24499</v>
      </c>
      <c r="AD8417" s="464">
        <v>803.26045999999997</v>
      </c>
      <c r="AE8417" s="465">
        <v>38.21228</v>
      </c>
      <c r="AF8417" s="86">
        <f>IF(verze!$E$1="CZK",AD8417,IF(verze!$E$1="SK",AE8417,""))</f>
        <v>38.21228</v>
      </c>
    </row>
    <row r="8418" spans="27:32" ht="15">
      <c r="AA8418" s="463" t="s">
        <v>1320</v>
      </c>
      <c r="AB8418" s="462" t="s">
        <v>24500</v>
      </c>
      <c r="AC8418" s="462" t="s">
        <v>24501</v>
      </c>
      <c r="AD8418" s="464">
        <v>747.13358000000005</v>
      </c>
      <c r="AE8418" s="465">
        <v>35.570680000000003</v>
      </c>
      <c r="AF8418" s="86">
        <f>IF(verze!$E$1="CZK",AD8418,IF(verze!$E$1="SK",AE8418,""))</f>
        <v>35.570680000000003</v>
      </c>
    </row>
    <row r="8419" spans="27:32" ht="15">
      <c r="AA8419" s="463" t="s">
        <v>1320</v>
      </c>
      <c r="AB8419" s="462" t="s">
        <v>24502</v>
      </c>
      <c r="AC8419" s="462" t="s">
        <v>24503</v>
      </c>
      <c r="AD8419" s="464">
        <v>803.26045999999997</v>
      </c>
      <c r="AE8419" s="465">
        <v>38.21228</v>
      </c>
      <c r="AF8419" s="86">
        <f>IF(verze!$E$1="CZK",AD8419,IF(verze!$E$1="SK",AE8419,""))</f>
        <v>38.21228</v>
      </c>
    </row>
    <row r="8420" spans="27:32" ht="15">
      <c r="AA8420" s="463" t="s">
        <v>1320</v>
      </c>
      <c r="AB8420" s="462" t="s">
        <v>24504</v>
      </c>
      <c r="AC8420" s="462" t="s">
        <v>24505</v>
      </c>
      <c r="AD8420" s="464">
        <v>747.13358000000005</v>
      </c>
      <c r="AE8420" s="465">
        <v>35.570680000000003</v>
      </c>
      <c r="AF8420" s="86">
        <f>IF(verze!$E$1="CZK",AD8420,IF(verze!$E$1="SK",AE8420,""))</f>
        <v>35.570680000000003</v>
      </c>
    </row>
    <row r="8421" spans="27:32" ht="15">
      <c r="AA8421" s="463" t="s">
        <v>1320</v>
      </c>
      <c r="AB8421" s="462" t="s">
        <v>24506</v>
      </c>
      <c r="AC8421" s="462" t="s">
        <v>24507</v>
      </c>
      <c r="AD8421" s="464">
        <v>1098.4892500000001</v>
      </c>
      <c r="AE8421" s="465">
        <v>52.841299999999997</v>
      </c>
      <c r="AF8421" s="86">
        <f>IF(verze!$E$1="CZK",AD8421,IF(verze!$E$1="SK",AE8421,""))</f>
        <v>52.841299999999997</v>
      </c>
    </row>
    <row r="8422" spans="27:32" ht="15">
      <c r="AA8422" s="463" t="s">
        <v>1320</v>
      </c>
      <c r="AB8422" s="462" t="s">
        <v>24508</v>
      </c>
      <c r="AC8422" s="462" t="s">
        <v>24509</v>
      </c>
      <c r="AD8422" s="464">
        <v>803.26045999999997</v>
      </c>
      <c r="AE8422" s="465">
        <v>38.21228</v>
      </c>
      <c r="AF8422" s="86">
        <f>IF(verze!$E$1="CZK",AD8422,IF(verze!$E$1="SK",AE8422,""))</f>
        <v>38.21228</v>
      </c>
    </row>
    <row r="8423" spans="27:32" ht="15">
      <c r="AA8423" s="463" t="s">
        <v>1320</v>
      </c>
      <c r="AB8423" s="462" t="s">
        <v>24510</v>
      </c>
      <c r="AC8423" s="462" t="s">
        <v>24511</v>
      </c>
      <c r="AD8423" s="464">
        <v>747.13358000000005</v>
      </c>
      <c r="AE8423" s="465">
        <v>35.570680000000003</v>
      </c>
      <c r="AF8423" s="86">
        <f>IF(verze!$E$1="CZK",AD8423,IF(verze!$E$1="SK",AE8423,""))</f>
        <v>35.570680000000003</v>
      </c>
    </row>
    <row r="8424" spans="27:32" ht="15">
      <c r="AA8424" s="463" t="s">
        <v>1320</v>
      </c>
      <c r="AB8424" s="462" t="s">
        <v>24512</v>
      </c>
      <c r="AC8424" s="462" t="s">
        <v>24513</v>
      </c>
      <c r="AD8424" s="464">
        <v>1205.5037</v>
      </c>
      <c r="AE8424" s="465">
        <v>57.989069999999998</v>
      </c>
      <c r="AF8424" s="86">
        <f>IF(verze!$E$1="CZK",AD8424,IF(verze!$E$1="SK",AE8424,""))</f>
        <v>57.989069999999998</v>
      </c>
    </row>
    <row r="8425" spans="27:32" ht="15">
      <c r="AA8425" s="463" t="s">
        <v>1320</v>
      </c>
      <c r="AB8425" s="462" t="s">
        <v>24514</v>
      </c>
      <c r="AC8425" s="462" t="s">
        <v>24515</v>
      </c>
      <c r="AD8425" s="464">
        <v>928.16308000000004</v>
      </c>
      <c r="AE8425" s="465">
        <v>44.090760000000003</v>
      </c>
      <c r="AF8425" s="86">
        <f>IF(verze!$E$1="CZK",AD8425,IF(verze!$E$1="SK",AE8425,""))</f>
        <v>44.090760000000003</v>
      </c>
    </row>
    <row r="8426" spans="27:32" ht="15">
      <c r="AA8426" s="463" t="s">
        <v>1320</v>
      </c>
      <c r="AB8426" s="462" t="s">
        <v>24516</v>
      </c>
      <c r="AC8426" s="462" t="s">
        <v>24517</v>
      </c>
      <c r="AD8426" s="464">
        <v>889.47709999999995</v>
      </c>
      <c r="AE8426" s="465">
        <v>42.787080000000003</v>
      </c>
      <c r="AF8426" s="86">
        <f>IF(verze!$E$1="CZK",AD8426,IF(verze!$E$1="SK",AE8426,""))</f>
        <v>42.787080000000003</v>
      </c>
    </row>
    <row r="8427" spans="27:32" ht="15">
      <c r="AA8427" s="463" t="s">
        <v>1320</v>
      </c>
      <c r="AB8427" s="462" t="s">
        <v>24518</v>
      </c>
      <c r="AC8427" s="462" t="s">
        <v>24519</v>
      </c>
      <c r="AD8427" s="464">
        <v>1205.5037</v>
      </c>
      <c r="AE8427" s="465">
        <v>57.989069999999998</v>
      </c>
      <c r="AF8427" s="86">
        <f>IF(verze!$E$1="CZK",AD8427,IF(verze!$E$1="SK",AE8427,""))</f>
        <v>57.989069999999998</v>
      </c>
    </row>
    <row r="8428" spans="27:32" ht="15">
      <c r="AA8428" s="463" t="s">
        <v>1320</v>
      </c>
      <c r="AB8428" s="462" t="s">
        <v>24520</v>
      </c>
      <c r="AC8428" s="462" t="s">
        <v>24521</v>
      </c>
      <c r="AD8428" s="464">
        <v>928.16308000000004</v>
      </c>
      <c r="AE8428" s="465">
        <v>44.090760000000003</v>
      </c>
      <c r="AF8428" s="86">
        <f>IF(verze!$E$1="CZK",AD8428,IF(verze!$E$1="SK",AE8428,""))</f>
        <v>44.090760000000003</v>
      </c>
    </row>
    <row r="8429" spans="27:32" ht="15">
      <c r="AA8429" s="463" t="s">
        <v>1320</v>
      </c>
      <c r="AB8429" s="462" t="s">
        <v>24522</v>
      </c>
      <c r="AC8429" s="462" t="s">
        <v>24523</v>
      </c>
      <c r="AD8429" s="464">
        <v>889.47709999999995</v>
      </c>
      <c r="AE8429" s="465">
        <v>42.787080000000003</v>
      </c>
      <c r="AF8429" s="86">
        <f>IF(verze!$E$1="CZK",AD8429,IF(verze!$E$1="SK",AE8429,""))</f>
        <v>42.787080000000003</v>
      </c>
    </row>
    <row r="8430" spans="27:32" ht="15">
      <c r="AA8430" s="463" t="s">
        <v>1320</v>
      </c>
      <c r="AB8430" s="462" t="s">
        <v>24524</v>
      </c>
      <c r="AC8430" s="462" t="s">
        <v>24525</v>
      </c>
      <c r="AD8430" s="464">
        <v>1205.5037</v>
      </c>
      <c r="AE8430" s="465">
        <v>57.989069999999998</v>
      </c>
      <c r="AF8430" s="86">
        <f>IF(verze!$E$1="CZK",AD8430,IF(verze!$E$1="SK",AE8430,""))</f>
        <v>57.989069999999998</v>
      </c>
    </row>
    <row r="8431" spans="27:32" ht="15">
      <c r="AA8431" s="463" t="s">
        <v>1320</v>
      </c>
      <c r="AB8431" s="462" t="s">
        <v>24526</v>
      </c>
      <c r="AC8431" s="462" t="s">
        <v>24527</v>
      </c>
      <c r="AD8431" s="464">
        <v>928.16308000000004</v>
      </c>
      <c r="AE8431" s="465">
        <v>44.090760000000003</v>
      </c>
      <c r="AF8431" s="86">
        <f>IF(verze!$E$1="CZK",AD8431,IF(verze!$E$1="SK",AE8431,""))</f>
        <v>44.090760000000003</v>
      </c>
    </row>
    <row r="8432" spans="27:32" ht="15">
      <c r="AA8432" s="463" t="s">
        <v>1320</v>
      </c>
      <c r="AB8432" s="462" t="s">
        <v>24528</v>
      </c>
      <c r="AC8432" s="462" t="s">
        <v>24529</v>
      </c>
      <c r="AD8432" s="464">
        <v>889.47709999999995</v>
      </c>
      <c r="AE8432" s="465">
        <v>42.787080000000003</v>
      </c>
      <c r="AF8432" s="86">
        <f>IF(verze!$E$1="CZK",AD8432,IF(verze!$E$1="SK",AE8432,""))</f>
        <v>42.787080000000003</v>
      </c>
    </row>
    <row r="8433" spans="27:32" ht="15">
      <c r="AA8433" s="463" t="s">
        <v>1320</v>
      </c>
      <c r="AB8433" s="462" t="s">
        <v>24530</v>
      </c>
      <c r="AC8433" s="462" t="s">
        <v>24531</v>
      </c>
      <c r="AD8433" s="464">
        <v>1245.9453900000001</v>
      </c>
      <c r="AE8433" s="465">
        <v>59.934510000000003</v>
      </c>
      <c r="AF8433" s="86">
        <f>IF(verze!$E$1="CZK",AD8433,IF(verze!$E$1="SK",AE8433,""))</f>
        <v>59.934510000000003</v>
      </c>
    </row>
    <row r="8434" spans="27:32" ht="15">
      <c r="AA8434" s="463" t="s">
        <v>1320</v>
      </c>
      <c r="AB8434" s="462" t="s">
        <v>24532</v>
      </c>
      <c r="AC8434" s="462" t="s">
        <v>24533</v>
      </c>
      <c r="AD8434" s="464">
        <v>991.25919999999996</v>
      </c>
      <c r="AE8434" s="465">
        <v>47.683169999999997</v>
      </c>
      <c r="AF8434" s="86">
        <f>IF(verze!$E$1="CZK",AD8434,IF(verze!$E$1="SK",AE8434,""))</f>
        <v>47.683169999999997</v>
      </c>
    </row>
    <row r="8435" spans="27:32" ht="15">
      <c r="AA8435" s="463" t="s">
        <v>1320</v>
      </c>
      <c r="AB8435" s="462" t="s">
        <v>24534</v>
      </c>
      <c r="AC8435" s="462" t="s">
        <v>24535</v>
      </c>
      <c r="AD8435" s="464">
        <v>937.91949999999997</v>
      </c>
      <c r="AE8435" s="465">
        <v>45.117310000000003</v>
      </c>
      <c r="AF8435" s="86">
        <f>IF(verze!$E$1="CZK",AD8435,IF(verze!$E$1="SK",AE8435,""))</f>
        <v>45.117310000000003</v>
      </c>
    </row>
    <row r="8436" spans="27:32" ht="15">
      <c r="AA8436" s="463" t="s">
        <v>1320</v>
      </c>
      <c r="AB8436" s="462" t="s">
        <v>24536</v>
      </c>
      <c r="AC8436" s="462" t="s">
        <v>24537</v>
      </c>
      <c r="AD8436" s="464">
        <v>1245.9453900000001</v>
      </c>
      <c r="AE8436" s="465">
        <v>59.934510000000003</v>
      </c>
      <c r="AF8436" s="86">
        <f>IF(verze!$E$1="CZK",AD8436,IF(verze!$E$1="SK",AE8436,""))</f>
        <v>59.934510000000003</v>
      </c>
    </row>
    <row r="8437" spans="27:32" ht="15">
      <c r="AA8437" s="463" t="s">
        <v>1320</v>
      </c>
      <c r="AB8437" s="462" t="s">
        <v>24538</v>
      </c>
      <c r="AC8437" s="462" t="s">
        <v>24539</v>
      </c>
      <c r="AD8437" s="464">
        <v>991.25919999999996</v>
      </c>
      <c r="AE8437" s="465">
        <v>47.683169999999997</v>
      </c>
      <c r="AF8437" s="86">
        <f>IF(verze!$E$1="CZK",AD8437,IF(verze!$E$1="SK",AE8437,""))</f>
        <v>47.683169999999997</v>
      </c>
    </row>
    <row r="8438" spans="27:32" ht="15">
      <c r="AA8438" s="463" t="s">
        <v>1320</v>
      </c>
      <c r="AB8438" s="462" t="s">
        <v>24540</v>
      </c>
      <c r="AC8438" s="462" t="s">
        <v>24541</v>
      </c>
      <c r="AD8438" s="464">
        <v>937.91949999999997</v>
      </c>
      <c r="AE8438" s="465">
        <v>45.117310000000003</v>
      </c>
      <c r="AF8438" s="86">
        <f>IF(verze!$E$1="CZK",AD8438,IF(verze!$E$1="SK",AE8438,""))</f>
        <v>45.117310000000003</v>
      </c>
    </row>
    <row r="8439" spans="27:32" ht="15">
      <c r="AA8439" s="463" t="s">
        <v>1320</v>
      </c>
      <c r="AB8439" s="462" t="s">
        <v>24542</v>
      </c>
      <c r="AC8439" s="462" t="s">
        <v>24543</v>
      </c>
      <c r="AD8439" s="464">
        <v>1245.9453900000001</v>
      </c>
      <c r="AE8439" s="465">
        <v>59.934510000000003</v>
      </c>
      <c r="AF8439" s="86">
        <f>IF(verze!$E$1="CZK",AD8439,IF(verze!$E$1="SK",AE8439,""))</f>
        <v>59.934510000000003</v>
      </c>
    </row>
    <row r="8440" spans="27:32" ht="15">
      <c r="AA8440" s="463" t="s">
        <v>1320</v>
      </c>
      <c r="AB8440" s="462" t="s">
        <v>24544</v>
      </c>
      <c r="AC8440" s="462" t="s">
        <v>24545</v>
      </c>
      <c r="AD8440" s="464">
        <v>991.25919999999996</v>
      </c>
      <c r="AE8440" s="465">
        <v>47.683169999999997</v>
      </c>
      <c r="AF8440" s="86">
        <f>IF(verze!$E$1="CZK",AD8440,IF(verze!$E$1="SK",AE8440,""))</f>
        <v>47.683169999999997</v>
      </c>
    </row>
    <row r="8441" spans="27:32" ht="15">
      <c r="AA8441" s="463" t="s">
        <v>1320</v>
      </c>
      <c r="AB8441" s="462" t="s">
        <v>24546</v>
      </c>
      <c r="AC8441" s="462" t="s">
        <v>24547</v>
      </c>
      <c r="AD8441" s="464">
        <v>937.91949999999997</v>
      </c>
      <c r="AE8441" s="465">
        <v>45.117310000000003</v>
      </c>
      <c r="AF8441" s="86">
        <f>IF(verze!$E$1="CZK",AD8441,IF(verze!$E$1="SK",AE8441,""))</f>
        <v>45.117310000000003</v>
      </c>
    </row>
    <row r="8442" spans="27:32" ht="15">
      <c r="AA8442" s="463" t="s">
        <v>1320</v>
      </c>
      <c r="AB8442" s="462" t="s">
        <v>24548</v>
      </c>
      <c r="AC8442" s="462" t="s">
        <v>24549</v>
      </c>
      <c r="AD8442" s="464">
        <v>0</v>
      </c>
      <c r="AE8442" s="465">
        <v>0</v>
      </c>
      <c r="AF8442" s="86">
        <f>IF(verze!$E$1="CZK",AD8442,IF(verze!$E$1="SK",AE8442,""))</f>
        <v>0</v>
      </c>
    </row>
    <row r="8443" spans="27:32" ht="15">
      <c r="AA8443" s="463" t="s">
        <v>1320</v>
      </c>
      <c r="AB8443" s="462" t="s">
        <v>24550</v>
      </c>
      <c r="AC8443" s="462" t="s">
        <v>24551</v>
      </c>
      <c r="AD8443" s="464">
        <v>0</v>
      </c>
      <c r="AE8443" s="465">
        <v>0</v>
      </c>
      <c r="AF8443" s="86">
        <f>IF(verze!$E$1="CZK",AD8443,IF(verze!$E$1="SK",AE8443,""))</f>
        <v>0</v>
      </c>
    </row>
    <row r="8444" spans="27:32" ht="15">
      <c r="AA8444" s="463" t="s">
        <v>1320</v>
      </c>
      <c r="AB8444" s="462" t="s">
        <v>24552</v>
      </c>
      <c r="AC8444" s="462" t="s">
        <v>24553</v>
      </c>
      <c r="AD8444" s="464">
        <v>0</v>
      </c>
      <c r="AE8444" s="465">
        <v>0</v>
      </c>
      <c r="AF8444" s="86">
        <f>IF(verze!$E$1="CZK",AD8444,IF(verze!$E$1="SK",AE8444,""))</f>
        <v>0</v>
      </c>
    </row>
    <row r="8445" spans="27:32" ht="15">
      <c r="AA8445" s="463" t="s">
        <v>1320</v>
      </c>
      <c r="AB8445" s="462" t="s">
        <v>24554</v>
      </c>
      <c r="AC8445" s="462" t="s">
        <v>24555</v>
      </c>
      <c r="AD8445" s="464">
        <v>0</v>
      </c>
      <c r="AE8445" s="465">
        <v>0</v>
      </c>
      <c r="AF8445" s="86">
        <f>IF(verze!$E$1="CZK",AD8445,IF(verze!$E$1="SK",AE8445,""))</f>
        <v>0</v>
      </c>
    </row>
    <row r="8446" spans="27:32" ht="15">
      <c r="AA8446" s="463" t="s">
        <v>1320</v>
      </c>
      <c r="AB8446" s="462" t="s">
        <v>24556</v>
      </c>
      <c r="AC8446" s="462" t="s">
        <v>24557</v>
      </c>
      <c r="AD8446" s="464">
        <v>0</v>
      </c>
      <c r="AE8446" s="465">
        <v>0</v>
      </c>
      <c r="AF8446" s="86">
        <f>IF(verze!$E$1="CZK",AD8446,IF(verze!$E$1="SK",AE8446,""))</f>
        <v>0</v>
      </c>
    </row>
    <row r="8447" spans="27:32" ht="15">
      <c r="AA8447" s="463" t="s">
        <v>1320</v>
      </c>
      <c r="AB8447" s="462" t="s">
        <v>24558</v>
      </c>
      <c r="AC8447" s="462" t="s">
        <v>24559</v>
      </c>
      <c r="AD8447" s="464">
        <v>0</v>
      </c>
      <c r="AE8447" s="465">
        <v>0</v>
      </c>
      <c r="AF8447" s="86">
        <f>IF(verze!$E$1="CZK",AD8447,IF(verze!$E$1="SK",AE8447,""))</f>
        <v>0</v>
      </c>
    </row>
    <row r="8448" spans="27:32" ht="15">
      <c r="AA8448" s="463" t="s">
        <v>1320</v>
      </c>
      <c r="AB8448" s="462" t="s">
        <v>24560</v>
      </c>
      <c r="AC8448" s="462" t="s">
        <v>24561</v>
      </c>
      <c r="AD8448" s="464">
        <v>0</v>
      </c>
      <c r="AE8448" s="465">
        <v>0</v>
      </c>
      <c r="AF8448" s="86">
        <f>IF(verze!$E$1="CZK",AD8448,IF(verze!$E$1="SK",AE8448,""))</f>
        <v>0</v>
      </c>
    </row>
    <row r="8449" spans="27:32" ht="15">
      <c r="AA8449" s="463" t="s">
        <v>1320</v>
      </c>
      <c r="AB8449" s="462" t="s">
        <v>24562</v>
      </c>
      <c r="AC8449" s="462" t="s">
        <v>24563</v>
      </c>
      <c r="AD8449" s="464">
        <v>0</v>
      </c>
      <c r="AE8449" s="465">
        <v>0</v>
      </c>
      <c r="AF8449" s="86">
        <f>IF(verze!$E$1="CZK",AD8449,IF(verze!$E$1="SK",AE8449,""))</f>
        <v>0</v>
      </c>
    </row>
    <row r="8450" spans="27:32" ht="15">
      <c r="AA8450" s="463" t="s">
        <v>1320</v>
      </c>
      <c r="AB8450" s="462" t="s">
        <v>24564</v>
      </c>
      <c r="AC8450" s="462" t="s">
        <v>24565</v>
      </c>
      <c r="AD8450" s="464">
        <v>0</v>
      </c>
      <c r="AE8450" s="465">
        <v>0</v>
      </c>
      <c r="AF8450" s="86">
        <f>IF(verze!$E$1="CZK",AD8450,IF(verze!$E$1="SK",AE8450,""))</f>
        <v>0</v>
      </c>
    </row>
    <row r="8451" spans="27:32" ht="15">
      <c r="AA8451" s="463" t="s">
        <v>1320</v>
      </c>
      <c r="AB8451" s="462" t="s">
        <v>24566</v>
      </c>
      <c r="AC8451" s="462" t="s">
        <v>24567</v>
      </c>
      <c r="AD8451" s="464">
        <v>0</v>
      </c>
      <c r="AE8451" s="465">
        <v>0</v>
      </c>
      <c r="AF8451" s="86">
        <f>IF(verze!$E$1="CZK",AD8451,IF(verze!$E$1="SK",AE8451,""))</f>
        <v>0</v>
      </c>
    </row>
    <row r="8452" spans="27:32" ht="15">
      <c r="AA8452" s="463" t="s">
        <v>1320</v>
      </c>
      <c r="AB8452" s="462" t="s">
        <v>24568</v>
      </c>
      <c r="AC8452" s="462" t="s">
        <v>24569</v>
      </c>
      <c r="AD8452" s="464">
        <v>0</v>
      </c>
      <c r="AE8452" s="465">
        <v>0</v>
      </c>
      <c r="AF8452" s="86">
        <f>IF(verze!$E$1="CZK",AD8452,IF(verze!$E$1="SK",AE8452,""))</f>
        <v>0</v>
      </c>
    </row>
    <row r="8453" spans="27:32" ht="15">
      <c r="AA8453" s="463" t="s">
        <v>1320</v>
      </c>
      <c r="AB8453" s="462" t="s">
        <v>24570</v>
      </c>
      <c r="AC8453" s="462" t="s">
        <v>24571</v>
      </c>
      <c r="AD8453" s="464">
        <v>0</v>
      </c>
      <c r="AE8453" s="465">
        <v>0</v>
      </c>
      <c r="AF8453" s="86">
        <f>IF(verze!$E$1="CZK",AD8453,IF(verze!$E$1="SK",AE8453,""))</f>
        <v>0</v>
      </c>
    </row>
    <row r="8454" spans="27:32" ht="15">
      <c r="AA8454" s="463" t="s">
        <v>1320</v>
      </c>
      <c r="AB8454" s="462" t="s">
        <v>24572</v>
      </c>
      <c r="AC8454" s="462" t="s">
        <v>24573</v>
      </c>
      <c r="AD8454" s="464">
        <v>0</v>
      </c>
      <c r="AE8454" s="465">
        <v>0</v>
      </c>
      <c r="AF8454" s="86">
        <f>IF(verze!$E$1="CZK",AD8454,IF(verze!$E$1="SK",AE8454,""))</f>
        <v>0</v>
      </c>
    </row>
    <row r="8455" spans="27:32" ht="15">
      <c r="AA8455" s="463" t="s">
        <v>1320</v>
      </c>
      <c r="AB8455" s="462" t="s">
        <v>24574</v>
      </c>
      <c r="AC8455" s="462" t="s">
        <v>24575</v>
      </c>
      <c r="AD8455" s="464">
        <v>0</v>
      </c>
      <c r="AE8455" s="465">
        <v>0</v>
      </c>
      <c r="AF8455" s="86">
        <f>IF(verze!$E$1="CZK",AD8455,IF(verze!$E$1="SK",AE8455,""))</f>
        <v>0</v>
      </c>
    </row>
    <row r="8456" spans="27:32" ht="15">
      <c r="AA8456" s="463" t="s">
        <v>1320</v>
      </c>
      <c r="AB8456" s="462" t="s">
        <v>24576</v>
      </c>
      <c r="AC8456" s="462" t="s">
        <v>24577</v>
      </c>
      <c r="AD8456" s="464">
        <v>0</v>
      </c>
      <c r="AE8456" s="465">
        <v>0</v>
      </c>
      <c r="AF8456" s="86">
        <f>IF(verze!$E$1="CZK",AD8456,IF(verze!$E$1="SK",AE8456,""))</f>
        <v>0</v>
      </c>
    </row>
    <row r="8457" spans="27:32" ht="15">
      <c r="AA8457" s="463" t="s">
        <v>1320</v>
      </c>
      <c r="AB8457" s="462" t="s">
        <v>24578</v>
      </c>
      <c r="AC8457" s="462" t="s">
        <v>24579</v>
      </c>
      <c r="AD8457" s="464">
        <v>0</v>
      </c>
      <c r="AE8457" s="465">
        <v>0</v>
      </c>
      <c r="AF8457" s="86">
        <f>IF(verze!$E$1="CZK",AD8457,IF(verze!$E$1="SK",AE8457,""))</f>
        <v>0</v>
      </c>
    </row>
    <row r="8458" spans="27:32" ht="15">
      <c r="AA8458" s="463" t="s">
        <v>1320</v>
      </c>
      <c r="AB8458" s="462" t="s">
        <v>24580</v>
      </c>
      <c r="AC8458" s="462" t="s">
        <v>24581</v>
      </c>
      <c r="AD8458" s="464">
        <v>0</v>
      </c>
      <c r="AE8458" s="465">
        <v>0</v>
      </c>
      <c r="AF8458" s="86">
        <f>IF(verze!$E$1="CZK",AD8458,IF(verze!$E$1="SK",AE8458,""))</f>
        <v>0</v>
      </c>
    </row>
    <row r="8459" spans="27:32" ht="15">
      <c r="AA8459" s="463" t="s">
        <v>1320</v>
      </c>
      <c r="AB8459" s="462" t="s">
        <v>24582</v>
      </c>
      <c r="AC8459" s="462" t="s">
        <v>24583</v>
      </c>
      <c r="AD8459" s="464">
        <v>0</v>
      </c>
      <c r="AE8459" s="465">
        <v>0</v>
      </c>
      <c r="AF8459" s="86">
        <f>IF(verze!$E$1="CZK",AD8459,IF(verze!$E$1="SK",AE8459,""))</f>
        <v>0</v>
      </c>
    </row>
    <row r="8460" spans="27:32" ht="15">
      <c r="AA8460" s="463" t="s">
        <v>1320</v>
      </c>
      <c r="AB8460" s="462" t="s">
        <v>24584</v>
      </c>
      <c r="AC8460" s="462" t="s">
        <v>24585</v>
      </c>
      <c r="AD8460" s="464">
        <v>0</v>
      </c>
      <c r="AE8460" s="465">
        <v>0</v>
      </c>
      <c r="AF8460" s="86">
        <f>IF(verze!$E$1="CZK",AD8460,IF(verze!$E$1="SK",AE8460,""))</f>
        <v>0</v>
      </c>
    </row>
    <row r="8461" spans="27:32" ht="15">
      <c r="AA8461" s="463" t="s">
        <v>1320</v>
      </c>
      <c r="AB8461" s="462" t="s">
        <v>24586</v>
      </c>
      <c r="AC8461" s="462" t="s">
        <v>24587</v>
      </c>
      <c r="AD8461" s="464">
        <v>0</v>
      </c>
      <c r="AE8461" s="465">
        <v>0</v>
      </c>
      <c r="AF8461" s="86">
        <f>IF(verze!$E$1="CZK",AD8461,IF(verze!$E$1="SK",AE8461,""))</f>
        <v>0</v>
      </c>
    </row>
    <row r="8462" spans="27:32" ht="15">
      <c r="AA8462" s="463" t="s">
        <v>1320</v>
      </c>
      <c r="AB8462" s="462" t="s">
        <v>24588</v>
      </c>
      <c r="AC8462" s="462" t="s">
        <v>24589</v>
      </c>
      <c r="AD8462" s="464">
        <v>0</v>
      </c>
      <c r="AE8462" s="465">
        <v>0</v>
      </c>
      <c r="AF8462" s="86">
        <f>IF(verze!$E$1="CZK",AD8462,IF(verze!$E$1="SK",AE8462,""))</f>
        <v>0</v>
      </c>
    </row>
    <row r="8463" spans="27:32" ht="15">
      <c r="AA8463" s="463" t="s">
        <v>1320</v>
      </c>
      <c r="AB8463" s="462" t="s">
        <v>24590</v>
      </c>
      <c r="AC8463" s="462" t="s">
        <v>24591</v>
      </c>
      <c r="AD8463" s="464">
        <v>0</v>
      </c>
      <c r="AE8463" s="465">
        <v>0</v>
      </c>
      <c r="AF8463" s="86">
        <f>IF(verze!$E$1="CZK",AD8463,IF(verze!$E$1="SK",AE8463,""))</f>
        <v>0</v>
      </c>
    </row>
    <row r="8464" spans="27:32" ht="15">
      <c r="AA8464" s="463" t="s">
        <v>1320</v>
      </c>
      <c r="AB8464" s="462" t="s">
        <v>24592</v>
      </c>
      <c r="AC8464" s="462" t="s">
        <v>24593</v>
      </c>
      <c r="AD8464" s="464">
        <v>0</v>
      </c>
      <c r="AE8464" s="465">
        <v>0</v>
      </c>
      <c r="AF8464" s="86">
        <f>IF(verze!$E$1="CZK",AD8464,IF(verze!$E$1="SK",AE8464,""))</f>
        <v>0</v>
      </c>
    </row>
    <row r="8465" spans="27:32" ht="15">
      <c r="AA8465" s="463" t="s">
        <v>1320</v>
      </c>
      <c r="AB8465" s="462" t="s">
        <v>24594</v>
      </c>
      <c r="AC8465" s="462" t="s">
        <v>24595</v>
      </c>
      <c r="AD8465" s="464">
        <v>0</v>
      </c>
      <c r="AE8465" s="465">
        <v>0</v>
      </c>
      <c r="AF8465" s="86">
        <f>IF(verze!$E$1="CZK",AD8465,IF(verze!$E$1="SK",AE8465,""))</f>
        <v>0</v>
      </c>
    </row>
    <row r="8466" spans="27:32" ht="15">
      <c r="AA8466" s="463" t="s">
        <v>1320</v>
      </c>
      <c r="AB8466" s="462" t="s">
        <v>24596</v>
      </c>
      <c r="AC8466" s="462" t="s">
        <v>24597</v>
      </c>
      <c r="AD8466" s="464">
        <v>0</v>
      </c>
      <c r="AE8466" s="465">
        <v>0</v>
      </c>
      <c r="AF8466" s="86">
        <f>IF(verze!$E$1="CZK",AD8466,IF(verze!$E$1="SK",AE8466,""))</f>
        <v>0</v>
      </c>
    </row>
    <row r="8467" spans="27:32" ht="15">
      <c r="AA8467" s="463" t="s">
        <v>1320</v>
      </c>
      <c r="AB8467" s="462" t="s">
        <v>24598</v>
      </c>
      <c r="AC8467" s="462" t="s">
        <v>24599</v>
      </c>
      <c r="AD8467" s="464">
        <v>0</v>
      </c>
      <c r="AE8467" s="465">
        <v>0</v>
      </c>
      <c r="AF8467" s="86">
        <f>IF(verze!$E$1="CZK",AD8467,IF(verze!$E$1="SK",AE8467,""))</f>
        <v>0</v>
      </c>
    </row>
    <row r="8468" spans="27:32" ht="15">
      <c r="AA8468" s="463" t="s">
        <v>1320</v>
      </c>
      <c r="AB8468" s="462" t="s">
        <v>24600</v>
      </c>
      <c r="AC8468" s="462" t="s">
        <v>24601</v>
      </c>
      <c r="AD8468" s="464">
        <v>0</v>
      </c>
      <c r="AE8468" s="465">
        <v>0</v>
      </c>
      <c r="AF8468" s="86">
        <f>IF(verze!$E$1="CZK",AD8468,IF(verze!$E$1="SK",AE8468,""))</f>
        <v>0</v>
      </c>
    </row>
    <row r="8469" spans="27:32" ht="15">
      <c r="AA8469" s="463" t="s">
        <v>1320</v>
      </c>
      <c r="AB8469" s="462" t="s">
        <v>24602</v>
      </c>
      <c r="AC8469" s="462" t="s">
        <v>24603</v>
      </c>
      <c r="AD8469" s="464">
        <v>0</v>
      </c>
      <c r="AE8469" s="465">
        <v>0</v>
      </c>
      <c r="AF8469" s="86">
        <f>IF(verze!$E$1="CZK",AD8469,IF(verze!$E$1="SK",AE8469,""))</f>
        <v>0</v>
      </c>
    </row>
    <row r="8470" spans="27:32" ht="15">
      <c r="AA8470" s="463" t="s">
        <v>1320</v>
      </c>
      <c r="AB8470" s="462" t="s">
        <v>24604</v>
      </c>
      <c r="AC8470" s="462" t="s">
        <v>24605</v>
      </c>
      <c r="AD8470" s="464">
        <v>0</v>
      </c>
      <c r="AE8470" s="465">
        <v>0</v>
      </c>
      <c r="AF8470" s="86">
        <f>IF(verze!$E$1="CZK",AD8470,IF(verze!$E$1="SK",AE8470,""))</f>
        <v>0</v>
      </c>
    </row>
    <row r="8471" spans="27:32" ht="15">
      <c r="AA8471" s="463" t="s">
        <v>1320</v>
      </c>
      <c r="AB8471" s="462" t="s">
        <v>24606</v>
      </c>
      <c r="AC8471" s="462" t="s">
        <v>24607</v>
      </c>
      <c r="AD8471" s="464">
        <v>0</v>
      </c>
      <c r="AE8471" s="465">
        <v>0</v>
      </c>
      <c r="AF8471" s="86">
        <f>IF(verze!$E$1="CZK",AD8471,IF(verze!$E$1="SK",AE8471,""))</f>
        <v>0</v>
      </c>
    </row>
    <row r="8472" spans="27:32" ht="15">
      <c r="AA8472" s="463" t="s">
        <v>1320</v>
      </c>
      <c r="AB8472" s="462" t="s">
        <v>24608</v>
      </c>
      <c r="AC8472" s="462" t="s">
        <v>24609</v>
      </c>
      <c r="AD8472" s="464">
        <v>0</v>
      </c>
      <c r="AE8472" s="465">
        <v>0</v>
      </c>
      <c r="AF8472" s="86">
        <f>IF(verze!$E$1="CZK",AD8472,IF(verze!$E$1="SK",AE8472,""))</f>
        <v>0</v>
      </c>
    </row>
    <row r="8473" spans="27:32" ht="15">
      <c r="AA8473" s="463" t="s">
        <v>1320</v>
      </c>
      <c r="AB8473" s="462" t="s">
        <v>24610</v>
      </c>
      <c r="AC8473" s="462" t="s">
        <v>24611</v>
      </c>
      <c r="AD8473" s="464">
        <v>0</v>
      </c>
      <c r="AE8473" s="465">
        <v>0</v>
      </c>
      <c r="AF8473" s="86">
        <f>IF(verze!$E$1="CZK",AD8473,IF(verze!$E$1="SK",AE8473,""))</f>
        <v>0</v>
      </c>
    </row>
    <row r="8474" spans="27:32" ht="15">
      <c r="AA8474" s="463" t="s">
        <v>1320</v>
      </c>
      <c r="AB8474" s="462" t="s">
        <v>24612</v>
      </c>
      <c r="AC8474" s="462" t="s">
        <v>24613</v>
      </c>
      <c r="AD8474" s="464">
        <v>0</v>
      </c>
      <c r="AE8474" s="465">
        <v>0</v>
      </c>
      <c r="AF8474" s="86">
        <f>IF(verze!$E$1="CZK",AD8474,IF(verze!$E$1="SK",AE8474,""))</f>
        <v>0</v>
      </c>
    </row>
    <row r="8475" spans="27:32" ht="15">
      <c r="AA8475" s="463" t="s">
        <v>1320</v>
      </c>
      <c r="AB8475" s="462" t="s">
        <v>24614</v>
      </c>
      <c r="AC8475" s="462" t="s">
        <v>24615</v>
      </c>
      <c r="AD8475" s="464">
        <v>0</v>
      </c>
      <c r="AE8475" s="465">
        <v>0</v>
      </c>
      <c r="AF8475" s="86">
        <f>IF(verze!$E$1="CZK",AD8475,IF(verze!$E$1="SK",AE8475,""))</f>
        <v>0</v>
      </c>
    </row>
    <row r="8476" spans="27:32" ht="15">
      <c r="AA8476" s="463" t="s">
        <v>1320</v>
      </c>
      <c r="AB8476" s="462" t="s">
        <v>24616</v>
      </c>
      <c r="AC8476" s="462" t="s">
        <v>24617</v>
      </c>
      <c r="AD8476" s="464">
        <v>0</v>
      </c>
      <c r="AE8476" s="465">
        <v>0</v>
      </c>
      <c r="AF8476" s="86">
        <f>IF(verze!$E$1="CZK",AD8476,IF(verze!$E$1="SK",AE8476,""))</f>
        <v>0</v>
      </c>
    </row>
    <row r="8477" spans="27:32" ht="15">
      <c r="AA8477" s="463" t="s">
        <v>1320</v>
      </c>
      <c r="AB8477" s="462" t="s">
        <v>24618</v>
      </c>
      <c r="AC8477" s="462" t="s">
        <v>24619</v>
      </c>
      <c r="AD8477" s="464">
        <v>0</v>
      </c>
      <c r="AE8477" s="465">
        <v>0</v>
      </c>
      <c r="AF8477" s="86">
        <f>IF(verze!$E$1="CZK",AD8477,IF(verze!$E$1="SK",AE8477,""))</f>
        <v>0</v>
      </c>
    </row>
    <row r="8478" spans="27:32" ht="15">
      <c r="AA8478" s="463" t="s">
        <v>1320</v>
      </c>
      <c r="AB8478" s="462" t="s">
        <v>24620</v>
      </c>
      <c r="AC8478" s="462" t="s">
        <v>24621</v>
      </c>
      <c r="AD8478" s="464">
        <v>0</v>
      </c>
      <c r="AE8478" s="465">
        <v>0</v>
      </c>
      <c r="AF8478" s="86">
        <f>IF(verze!$E$1="CZK",AD8478,IF(verze!$E$1="SK",AE8478,""))</f>
        <v>0</v>
      </c>
    </row>
    <row r="8479" spans="27:32" ht="15">
      <c r="AA8479" s="463" t="s">
        <v>1320</v>
      </c>
      <c r="AB8479" s="462" t="s">
        <v>24622</v>
      </c>
      <c r="AC8479" s="462" t="s">
        <v>24623</v>
      </c>
      <c r="AD8479" s="464">
        <v>0</v>
      </c>
      <c r="AE8479" s="465">
        <v>0</v>
      </c>
      <c r="AF8479" s="86">
        <f>IF(verze!$E$1="CZK",AD8479,IF(verze!$E$1="SK",AE8479,""))</f>
        <v>0</v>
      </c>
    </row>
    <row r="8480" spans="27:32" ht="15">
      <c r="AA8480" s="463" t="s">
        <v>1320</v>
      </c>
      <c r="AB8480" s="462" t="s">
        <v>24624</v>
      </c>
      <c r="AC8480" s="462" t="s">
        <v>24625</v>
      </c>
      <c r="AD8480" s="464">
        <v>0</v>
      </c>
      <c r="AE8480" s="465">
        <v>0</v>
      </c>
      <c r="AF8480" s="86">
        <f>IF(verze!$E$1="CZK",AD8480,IF(verze!$E$1="SK",AE8480,""))</f>
        <v>0</v>
      </c>
    </row>
    <row r="8481" spans="27:32" ht="15">
      <c r="AA8481" s="463" t="s">
        <v>1320</v>
      </c>
      <c r="AB8481" s="462" t="s">
        <v>24626</v>
      </c>
      <c r="AC8481" s="462" t="s">
        <v>24627</v>
      </c>
      <c r="AD8481" s="464">
        <v>0</v>
      </c>
      <c r="AE8481" s="465">
        <v>0</v>
      </c>
      <c r="AF8481" s="86">
        <f>IF(verze!$E$1="CZK",AD8481,IF(verze!$E$1="SK",AE8481,""))</f>
        <v>0</v>
      </c>
    </row>
    <row r="8482" spans="27:32" ht="15">
      <c r="AA8482" s="463" t="s">
        <v>1320</v>
      </c>
      <c r="AB8482" s="462" t="s">
        <v>24628</v>
      </c>
      <c r="AC8482" s="462" t="s">
        <v>24629</v>
      </c>
      <c r="AD8482" s="464">
        <v>0</v>
      </c>
      <c r="AE8482" s="465">
        <v>0</v>
      </c>
      <c r="AF8482" s="86">
        <f>IF(verze!$E$1="CZK",AD8482,IF(verze!$E$1="SK",AE8482,""))</f>
        <v>0</v>
      </c>
    </row>
    <row r="8483" spans="27:32" ht="15">
      <c r="AA8483" s="463" t="s">
        <v>1320</v>
      </c>
      <c r="AB8483" s="462" t="s">
        <v>24630</v>
      </c>
      <c r="AC8483" s="462" t="s">
        <v>24631</v>
      </c>
      <c r="AD8483" s="464">
        <v>0</v>
      </c>
      <c r="AE8483" s="465">
        <v>0</v>
      </c>
      <c r="AF8483" s="86">
        <f>IF(verze!$E$1="CZK",AD8483,IF(verze!$E$1="SK",AE8483,""))</f>
        <v>0</v>
      </c>
    </row>
    <row r="8484" spans="27:32" ht="15">
      <c r="AA8484" s="463" t="s">
        <v>1320</v>
      </c>
      <c r="AB8484" s="462" t="s">
        <v>24632</v>
      </c>
      <c r="AC8484" s="462" t="s">
        <v>24633</v>
      </c>
      <c r="AD8484" s="464">
        <v>0</v>
      </c>
      <c r="AE8484" s="465">
        <v>0</v>
      </c>
      <c r="AF8484" s="86">
        <f>IF(verze!$E$1="CZK",AD8484,IF(verze!$E$1="SK",AE8484,""))</f>
        <v>0</v>
      </c>
    </row>
    <row r="8485" spans="27:32" ht="15">
      <c r="AA8485" s="463" t="s">
        <v>1320</v>
      </c>
      <c r="AB8485" s="462" t="s">
        <v>24634</v>
      </c>
      <c r="AC8485" s="462" t="s">
        <v>24635</v>
      </c>
      <c r="AD8485" s="464">
        <v>0</v>
      </c>
      <c r="AE8485" s="465">
        <v>0</v>
      </c>
      <c r="AF8485" s="86">
        <f>IF(verze!$E$1="CZK",AD8485,IF(verze!$E$1="SK",AE8485,""))</f>
        <v>0</v>
      </c>
    </row>
    <row r="8486" spans="27:32" ht="15">
      <c r="AA8486" s="463" t="s">
        <v>1320</v>
      </c>
      <c r="AB8486" s="462" t="s">
        <v>24636</v>
      </c>
      <c r="AC8486" s="462" t="s">
        <v>24637</v>
      </c>
      <c r="AD8486" s="464">
        <v>0</v>
      </c>
      <c r="AE8486" s="465">
        <v>0</v>
      </c>
      <c r="AF8486" s="86">
        <f>IF(verze!$E$1="CZK",AD8486,IF(verze!$E$1="SK",AE8486,""))</f>
        <v>0</v>
      </c>
    </row>
    <row r="8487" spans="27:32" ht="15">
      <c r="AA8487" s="463" t="s">
        <v>1320</v>
      </c>
      <c r="AB8487" s="462" t="s">
        <v>24638</v>
      </c>
      <c r="AC8487" s="462" t="s">
        <v>24639</v>
      </c>
      <c r="AD8487" s="464">
        <v>0</v>
      </c>
      <c r="AE8487" s="465">
        <v>0</v>
      </c>
      <c r="AF8487" s="86">
        <f>IF(verze!$E$1="CZK",AD8487,IF(verze!$E$1="SK",AE8487,""))</f>
        <v>0</v>
      </c>
    </row>
    <row r="8488" spans="27:32" ht="15">
      <c r="AA8488" s="463" t="s">
        <v>1320</v>
      </c>
      <c r="AB8488" s="462" t="s">
        <v>24640</v>
      </c>
      <c r="AC8488" s="462" t="s">
        <v>24641</v>
      </c>
      <c r="AD8488" s="464">
        <v>0</v>
      </c>
      <c r="AE8488" s="465">
        <v>0</v>
      </c>
      <c r="AF8488" s="86">
        <f>IF(verze!$E$1="CZK",AD8488,IF(verze!$E$1="SK",AE8488,""))</f>
        <v>0</v>
      </c>
    </row>
    <row r="8489" spans="27:32" ht="15">
      <c r="AA8489" s="463" t="s">
        <v>1320</v>
      </c>
      <c r="AB8489" s="462" t="s">
        <v>24642</v>
      </c>
      <c r="AC8489" s="462" t="s">
        <v>24643</v>
      </c>
      <c r="AD8489" s="464">
        <v>0</v>
      </c>
      <c r="AE8489" s="465">
        <v>0</v>
      </c>
      <c r="AF8489" s="86">
        <f>IF(verze!$E$1="CZK",AD8489,IF(verze!$E$1="SK",AE8489,""))</f>
        <v>0</v>
      </c>
    </row>
    <row r="8490" spans="27:32" ht="15">
      <c r="AA8490" s="463" t="s">
        <v>1320</v>
      </c>
      <c r="AB8490" s="462" t="s">
        <v>24644</v>
      </c>
      <c r="AC8490" s="462" t="s">
        <v>24645</v>
      </c>
      <c r="AD8490" s="464">
        <v>0</v>
      </c>
      <c r="AE8490" s="465">
        <v>0</v>
      </c>
      <c r="AF8490" s="86">
        <f>IF(verze!$E$1="CZK",AD8490,IF(verze!$E$1="SK",AE8490,""))</f>
        <v>0</v>
      </c>
    </row>
    <row r="8491" spans="27:32" ht="15">
      <c r="AA8491" s="463" t="s">
        <v>1320</v>
      </c>
      <c r="AB8491" s="462" t="s">
        <v>24646</v>
      </c>
      <c r="AC8491" s="462" t="s">
        <v>24647</v>
      </c>
      <c r="AD8491" s="464">
        <v>0</v>
      </c>
      <c r="AE8491" s="465">
        <v>0</v>
      </c>
      <c r="AF8491" s="86">
        <f>IF(verze!$E$1="CZK",AD8491,IF(verze!$E$1="SK",AE8491,""))</f>
        <v>0</v>
      </c>
    </row>
    <row r="8492" spans="27:32" ht="15">
      <c r="AA8492" s="463" t="s">
        <v>1320</v>
      </c>
      <c r="AB8492" s="462" t="s">
        <v>24648</v>
      </c>
      <c r="AC8492" s="462" t="s">
        <v>24649</v>
      </c>
      <c r="AD8492" s="464">
        <v>0</v>
      </c>
      <c r="AE8492" s="465">
        <v>0</v>
      </c>
      <c r="AF8492" s="86">
        <f>IF(verze!$E$1="CZK",AD8492,IF(verze!$E$1="SK",AE8492,""))</f>
        <v>0</v>
      </c>
    </row>
    <row r="8493" spans="27:32" ht="15">
      <c r="AA8493" s="463" t="s">
        <v>1320</v>
      </c>
      <c r="AB8493" s="462" t="s">
        <v>24650</v>
      </c>
      <c r="AC8493" s="462" t="s">
        <v>24651</v>
      </c>
      <c r="AD8493" s="464">
        <v>0</v>
      </c>
      <c r="AE8493" s="465">
        <v>0</v>
      </c>
      <c r="AF8493" s="86">
        <f>IF(verze!$E$1="CZK",AD8493,IF(verze!$E$1="SK",AE8493,""))</f>
        <v>0</v>
      </c>
    </row>
    <row r="8494" spans="27:32" ht="15">
      <c r="AA8494" s="463" t="s">
        <v>1320</v>
      </c>
      <c r="AB8494" s="462" t="s">
        <v>24652</v>
      </c>
      <c r="AC8494" s="462" t="s">
        <v>24653</v>
      </c>
      <c r="AD8494" s="464">
        <v>0</v>
      </c>
      <c r="AE8494" s="465">
        <v>0</v>
      </c>
      <c r="AF8494" s="86">
        <f>IF(verze!$E$1="CZK",AD8494,IF(verze!$E$1="SK",AE8494,""))</f>
        <v>0</v>
      </c>
    </row>
    <row r="8495" spans="27:32" ht="15">
      <c r="AA8495" s="463" t="s">
        <v>1320</v>
      </c>
      <c r="AB8495" s="462" t="s">
        <v>24654</v>
      </c>
      <c r="AC8495" s="462" t="s">
        <v>24655</v>
      </c>
      <c r="AD8495" s="464">
        <v>0</v>
      </c>
      <c r="AE8495" s="465">
        <v>0</v>
      </c>
      <c r="AF8495" s="86">
        <f>IF(verze!$E$1="CZK",AD8495,IF(verze!$E$1="SK",AE8495,""))</f>
        <v>0</v>
      </c>
    </row>
    <row r="8496" spans="27:32" ht="15">
      <c r="AA8496" s="463" t="s">
        <v>1320</v>
      </c>
      <c r="AB8496" s="462" t="s">
        <v>24656</v>
      </c>
      <c r="AC8496" s="462" t="s">
        <v>24657</v>
      </c>
      <c r="AD8496" s="464">
        <v>0</v>
      </c>
      <c r="AE8496" s="465">
        <v>0</v>
      </c>
      <c r="AF8496" s="86">
        <f>IF(verze!$E$1="CZK",AD8496,IF(verze!$E$1="SK",AE8496,""))</f>
        <v>0</v>
      </c>
    </row>
    <row r="8497" spans="27:32" ht="15">
      <c r="AA8497" s="463" t="s">
        <v>1320</v>
      </c>
      <c r="AB8497" s="462" t="s">
        <v>24658</v>
      </c>
      <c r="AC8497" s="462" t="s">
        <v>24659</v>
      </c>
      <c r="AD8497" s="464">
        <v>0</v>
      </c>
      <c r="AE8497" s="465">
        <v>0</v>
      </c>
      <c r="AF8497" s="86">
        <f>IF(verze!$E$1="CZK",AD8497,IF(verze!$E$1="SK",AE8497,""))</f>
        <v>0</v>
      </c>
    </row>
    <row r="8498" spans="27:32" ht="15">
      <c r="AA8498" s="463" t="s">
        <v>1320</v>
      </c>
      <c r="AB8498" s="462" t="s">
        <v>24660</v>
      </c>
      <c r="AC8498" s="462" t="s">
        <v>24661</v>
      </c>
      <c r="AD8498" s="464">
        <v>0</v>
      </c>
      <c r="AE8498" s="465">
        <v>0</v>
      </c>
      <c r="AF8498" s="86">
        <f>IF(verze!$E$1="CZK",AD8498,IF(verze!$E$1="SK",AE8498,""))</f>
        <v>0</v>
      </c>
    </row>
    <row r="8499" spans="27:32" ht="15">
      <c r="AA8499" s="463" t="s">
        <v>1320</v>
      </c>
      <c r="AB8499" s="462" t="s">
        <v>24662</v>
      </c>
      <c r="AC8499" s="462" t="s">
        <v>24663</v>
      </c>
      <c r="AD8499" s="464">
        <v>0</v>
      </c>
      <c r="AE8499" s="465">
        <v>0</v>
      </c>
      <c r="AF8499" s="86">
        <f>IF(verze!$E$1="CZK",AD8499,IF(verze!$E$1="SK",AE8499,""))</f>
        <v>0</v>
      </c>
    </row>
    <row r="8500" spans="27:32" ht="15">
      <c r="AA8500" s="463" t="s">
        <v>1320</v>
      </c>
      <c r="AB8500" s="462" t="s">
        <v>24664</v>
      </c>
      <c r="AC8500" s="462" t="s">
        <v>24665</v>
      </c>
      <c r="AD8500" s="464">
        <v>0</v>
      </c>
      <c r="AE8500" s="465">
        <v>0</v>
      </c>
      <c r="AF8500" s="86">
        <f>IF(verze!$E$1="CZK",AD8500,IF(verze!$E$1="SK",AE8500,""))</f>
        <v>0</v>
      </c>
    </row>
    <row r="8501" spans="27:32" ht="15">
      <c r="AA8501" s="463" t="s">
        <v>1320</v>
      </c>
      <c r="AB8501" s="462" t="s">
        <v>24666</v>
      </c>
      <c r="AC8501" s="462" t="s">
        <v>24667</v>
      </c>
      <c r="AD8501" s="464">
        <v>0</v>
      </c>
      <c r="AE8501" s="465">
        <v>0</v>
      </c>
      <c r="AF8501" s="86">
        <f>IF(verze!$E$1="CZK",AD8501,IF(verze!$E$1="SK",AE8501,""))</f>
        <v>0</v>
      </c>
    </row>
    <row r="8502" spans="27:32" ht="15">
      <c r="AA8502" s="463" t="s">
        <v>1320</v>
      </c>
      <c r="AB8502" s="462" t="s">
        <v>24668</v>
      </c>
      <c r="AC8502" s="462" t="s">
        <v>24669</v>
      </c>
      <c r="AD8502" s="464">
        <v>0</v>
      </c>
      <c r="AE8502" s="465">
        <v>0</v>
      </c>
      <c r="AF8502" s="86">
        <f>IF(verze!$E$1="CZK",AD8502,IF(verze!$E$1="SK",AE8502,""))</f>
        <v>0</v>
      </c>
    </row>
    <row r="8503" spans="27:32" ht="15">
      <c r="AA8503" s="463" t="s">
        <v>1320</v>
      </c>
      <c r="AB8503" s="462" t="s">
        <v>24670</v>
      </c>
      <c r="AC8503" s="462" t="s">
        <v>24671</v>
      </c>
      <c r="AD8503" s="464">
        <v>0</v>
      </c>
      <c r="AE8503" s="465">
        <v>0</v>
      </c>
      <c r="AF8503" s="86">
        <f>IF(verze!$E$1="CZK",AD8503,IF(verze!$E$1="SK",AE8503,""))</f>
        <v>0</v>
      </c>
    </row>
    <row r="8504" spans="27:32" ht="15">
      <c r="AA8504" s="463" t="s">
        <v>1320</v>
      </c>
      <c r="AB8504" s="462" t="s">
        <v>24672</v>
      </c>
      <c r="AC8504" s="462" t="s">
        <v>24673</v>
      </c>
      <c r="AD8504" s="464">
        <v>0</v>
      </c>
      <c r="AE8504" s="465">
        <v>0</v>
      </c>
      <c r="AF8504" s="86">
        <f>IF(verze!$E$1="CZK",AD8504,IF(verze!$E$1="SK",AE8504,""))</f>
        <v>0</v>
      </c>
    </row>
    <row r="8505" spans="27:32" ht="15">
      <c r="AA8505" s="463" t="s">
        <v>1320</v>
      </c>
      <c r="AB8505" s="462" t="s">
        <v>24674</v>
      </c>
      <c r="AC8505" s="462" t="s">
        <v>24675</v>
      </c>
      <c r="AD8505" s="464">
        <v>367.09730000000002</v>
      </c>
      <c r="AE8505" s="465">
        <v>17.658709999999999</v>
      </c>
      <c r="AF8505" s="86">
        <f>IF(verze!$E$1="CZK",AD8505,IF(verze!$E$1="SK",AE8505,""))</f>
        <v>17.658709999999999</v>
      </c>
    </row>
    <row r="8506" spans="27:32" ht="15">
      <c r="AA8506" s="463" t="s">
        <v>1320</v>
      </c>
      <c r="AB8506" s="462" t="s">
        <v>24676</v>
      </c>
      <c r="AC8506" s="462" t="s">
        <v>24677</v>
      </c>
      <c r="AD8506" s="464">
        <v>367.09730000000002</v>
      </c>
      <c r="AE8506" s="465">
        <v>17.658709999999999</v>
      </c>
      <c r="AF8506" s="86">
        <f>IF(verze!$E$1="CZK",AD8506,IF(verze!$E$1="SK",AE8506,""))</f>
        <v>17.658709999999999</v>
      </c>
    </row>
    <row r="8507" spans="27:32" ht="15">
      <c r="AA8507" s="463" t="s">
        <v>1320</v>
      </c>
      <c r="AB8507" s="462" t="s">
        <v>24678</v>
      </c>
      <c r="AC8507" s="462" t="s">
        <v>24679</v>
      </c>
      <c r="AD8507" s="464">
        <v>367.09730000000002</v>
      </c>
      <c r="AE8507" s="465">
        <v>17.658709999999999</v>
      </c>
      <c r="AF8507" s="86">
        <f>IF(verze!$E$1="CZK",AD8507,IF(verze!$E$1="SK",AE8507,""))</f>
        <v>17.658709999999999</v>
      </c>
    </row>
    <row r="8508" spans="27:32" ht="15">
      <c r="AA8508" s="463" t="s">
        <v>1320</v>
      </c>
      <c r="AB8508" s="462" t="s">
        <v>24680</v>
      </c>
      <c r="AC8508" s="462" t="s">
        <v>24681</v>
      </c>
      <c r="AD8508" s="464">
        <v>367.09730000000002</v>
      </c>
      <c r="AE8508" s="465">
        <v>17.658709999999999</v>
      </c>
      <c r="AF8508" s="86">
        <f>IF(verze!$E$1="CZK",AD8508,IF(verze!$E$1="SK",AE8508,""))</f>
        <v>17.658709999999999</v>
      </c>
    </row>
    <row r="8509" spans="27:32" ht="15">
      <c r="AA8509" s="463" t="s">
        <v>1320</v>
      </c>
      <c r="AB8509" s="462" t="s">
        <v>24682</v>
      </c>
      <c r="AC8509" s="462" t="s">
        <v>24683</v>
      </c>
      <c r="AD8509" s="464">
        <v>375.61477000000002</v>
      </c>
      <c r="AE8509" s="465">
        <v>18.06842</v>
      </c>
      <c r="AF8509" s="86">
        <f>IF(verze!$E$1="CZK",AD8509,IF(verze!$E$1="SK",AE8509,""))</f>
        <v>18.06842</v>
      </c>
    </row>
    <row r="8510" spans="27:32" ht="15">
      <c r="AA8510" s="463" t="s">
        <v>1320</v>
      </c>
      <c r="AB8510" s="462" t="s">
        <v>24684</v>
      </c>
      <c r="AC8510" s="462" t="s">
        <v>24685</v>
      </c>
      <c r="AD8510" s="464">
        <v>375.61477000000002</v>
      </c>
      <c r="AE8510" s="465">
        <v>18.06842</v>
      </c>
      <c r="AF8510" s="86">
        <f>IF(verze!$E$1="CZK",AD8510,IF(verze!$E$1="SK",AE8510,""))</f>
        <v>18.06842</v>
      </c>
    </row>
    <row r="8511" spans="27:32" ht="15">
      <c r="AA8511" s="463" t="s">
        <v>1320</v>
      </c>
      <c r="AB8511" s="462" t="s">
        <v>24686</v>
      </c>
      <c r="AC8511" s="462" t="s">
        <v>24687</v>
      </c>
      <c r="AD8511" s="464">
        <v>391.83524</v>
      </c>
      <c r="AE8511" s="465">
        <v>18.848680000000002</v>
      </c>
      <c r="AF8511" s="86">
        <f>IF(verze!$E$1="CZK",AD8511,IF(verze!$E$1="SK",AE8511,""))</f>
        <v>18.848680000000002</v>
      </c>
    </row>
    <row r="8512" spans="27:32" ht="15">
      <c r="AA8512" s="463" t="s">
        <v>1320</v>
      </c>
      <c r="AB8512" s="462" t="s">
        <v>24688</v>
      </c>
      <c r="AC8512" s="462" t="s">
        <v>24689</v>
      </c>
      <c r="AD8512" s="464">
        <v>391.83524</v>
      </c>
      <c r="AE8512" s="465">
        <v>18.848680000000002</v>
      </c>
      <c r="AF8512" s="86">
        <f>IF(verze!$E$1="CZK",AD8512,IF(verze!$E$1="SK",AE8512,""))</f>
        <v>18.848680000000002</v>
      </c>
    </row>
    <row r="8513" spans="27:32" ht="15">
      <c r="AA8513" s="463" t="s">
        <v>1320</v>
      </c>
      <c r="AB8513" s="462" t="s">
        <v>24690</v>
      </c>
      <c r="AC8513" s="462" t="s">
        <v>24691</v>
      </c>
      <c r="AD8513" s="464">
        <v>189.80663999999999</v>
      </c>
      <c r="AE8513" s="465">
        <v>9.1303800000000006</v>
      </c>
      <c r="AF8513" s="86">
        <f>IF(verze!$E$1="CZK",AD8513,IF(verze!$E$1="SK",AE8513,""))</f>
        <v>9.1303800000000006</v>
      </c>
    </row>
    <row r="8514" spans="27:32" ht="15">
      <c r="AA8514" s="463" t="s">
        <v>1320</v>
      </c>
      <c r="AB8514" s="462" t="s">
        <v>24692</v>
      </c>
      <c r="AC8514" s="462" t="s">
        <v>24693</v>
      </c>
      <c r="AD8514" s="464">
        <v>0</v>
      </c>
      <c r="AE8514" s="465">
        <v>0</v>
      </c>
      <c r="AF8514" s="86">
        <f>IF(verze!$E$1="CZK",AD8514,IF(verze!$E$1="SK",AE8514,""))</f>
        <v>0</v>
      </c>
    </row>
    <row r="8515" spans="27:32" ht="15">
      <c r="AA8515" s="463" t="s">
        <v>1320</v>
      </c>
      <c r="AB8515" s="462" t="s">
        <v>24694</v>
      </c>
      <c r="AC8515" s="462" t="s">
        <v>24695</v>
      </c>
      <c r="AD8515" s="464">
        <v>0</v>
      </c>
      <c r="AE8515" s="465">
        <v>0</v>
      </c>
      <c r="AF8515" s="86">
        <f>IF(verze!$E$1="CZK",AD8515,IF(verze!$E$1="SK",AE8515,""))</f>
        <v>0</v>
      </c>
    </row>
    <row r="8516" spans="27:32" ht="15">
      <c r="AA8516" s="463" t="s">
        <v>1320</v>
      </c>
      <c r="AB8516" s="462" t="s">
        <v>24696</v>
      </c>
      <c r="AC8516" s="462" t="s">
        <v>24697</v>
      </c>
      <c r="AD8516" s="464">
        <v>0</v>
      </c>
      <c r="AE8516" s="465">
        <v>0</v>
      </c>
      <c r="AF8516" s="86">
        <f>IF(verze!$E$1="CZK",AD8516,IF(verze!$E$1="SK",AE8516,""))</f>
        <v>0</v>
      </c>
    </row>
    <row r="8517" spans="27:32" ht="15">
      <c r="AA8517" s="463" t="s">
        <v>1320</v>
      </c>
      <c r="AB8517" s="462" t="s">
        <v>24698</v>
      </c>
      <c r="AC8517" s="462" t="s">
        <v>24699</v>
      </c>
      <c r="AD8517" s="464">
        <v>0</v>
      </c>
      <c r="AE8517" s="465">
        <v>0</v>
      </c>
      <c r="AF8517" s="86">
        <f>IF(verze!$E$1="CZK",AD8517,IF(verze!$E$1="SK",AE8517,""))</f>
        <v>0</v>
      </c>
    </row>
    <row r="8518" spans="27:32" ht="15">
      <c r="AA8518" s="463" t="s">
        <v>1320</v>
      </c>
      <c r="AB8518" s="462" t="s">
        <v>24700</v>
      </c>
      <c r="AC8518" s="462" t="s">
        <v>24701</v>
      </c>
      <c r="AD8518" s="464">
        <v>0</v>
      </c>
      <c r="AE8518" s="465">
        <v>0</v>
      </c>
      <c r="AF8518" s="86">
        <f>IF(verze!$E$1="CZK",AD8518,IF(verze!$E$1="SK",AE8518,""))</f>
        <v>0</v>
      </c>
    </row>
    <row r="8519" spans="27:32" ht="15">
      <c r="AA8519" s="463" t="s">
        <v>1320</v>
      </c>
      <c r="AB8519" s="462" t="s">
        <v>24702</v>
      </c>
      <c r="AC8519" s="462" t="s">
        <v>24703</v>
      </c>
      <c r="AD8519" s="464">
        <v>0</v>
      </c>
      <c r="AE8519" s="465">
        <v>0</v>
      </c>
      <c r="AF8519" s="86">
        <f>IF(verze!$E$1="CZK",AD8519,IF(verze!$E$1="SK",AE8519,""))</f>
        <v>0</v>
      </c>
    </row>
    <row r="8520" spans="27:32" ht="15">
      <c r="AA8520" s="463" t="s">
        <v>1320</v>
      </c>
      <c r="AB8520" s="462" t="s">
        <v>24704</v>
      </c>
      <c r="AC8520" s="462" t="s">
        <v>24705</v>
      </c>
      <c r="AD8520" s="464">
        <v>654.41003000000001</v>
      </c>
      <c r="AE8520" s="465">
        <v>31.479479999999999</v>
      </c>
      <c r="AF8520" s="86">
        <f>IF(verze!$E$1="CZK",AD8520,IF(verze!$E$1="SK",AE8520,""))</f>
        <v>31.479479999999999</v>
      </c>
    </row>
    <row r="8521" spans="27:32" ht="15">
      <c r="AA8521" s="463" t="s">
        <v>1320</v>
      </c>
      <c r="AB8521" s="462" t="s">
        <v>24706</v>
      </c>
      <c r="AC8521" s="462" t="s">
        <v>24707</v>
      </c>
      <c r="AD8521" s="464">
        <v>654.41003000000001</v>
      </c>
      <c r="AE8521" s="465">
        <v>31.479479999999999</v>
      </c>
      <c r="AF8521" s="86">
        <f>IF(verze!$E$1="CZK",AD8521,IF(verze!$E$1="SK",AE8521,""))</f>
        <v>31.479479999999999</v>
      </c>
    </row>
    <row r="8522" spans="27:32" ht="15">
      <c r="AA8522" s="463" t="s">
        <v>1320</v>
      </c>
      <c r="AB8522" s="462" t="s">
        <v>24708</v>
      </c>
      <c r="AC8522" s="462" t="s">
        <v>24709</v>
      </c>
      <c r="AD8522" s="464">
        <v>0</v>
      </c>
      <c r="AE8522" s="465">
        <v>0</v>
      </c>
      <c r="AF8522" s="86">
        <f>IF(verze!$E$1="CZK",AD8522,IF(verze!$E$1="SK",AE8522,""))</f>
        <v>0</v>
      </c>
    </row>
    <row r="8523" spans="27:32" ht="15">
      <c r="AA8523" s="463" t="s">
        <v>1320</v>
      </c>
      <c r="AB8523" s="462" t="s">
        <v>24710</v>
      </c>
      <c r="AC8523" s="462" t="s">
        <v>24711</v>
      </c>
      <c r="AD8523" s="464">
        <v>0</v>
      </c>
      <c r="AE8523" s="465">
        <v>0</v>
      </c>
      <c r="AF8523" s="86">
        <f>IF(verze!$E$1="CZK",AD8523,IF(verze!$E$1="SK",AE8523,""))</f>
        <v>0</v>
      </c>
    </row>
    <row r="8524" spans="27:32" ht="15">
      <c r="AA8524" s="463" t="s">
        <v>1320</v>
      </c>
      <c r="AB8524" s="462" t="s">
        <v>24712</v>
      </c>
      <c r="AC8524" s="462" t="s">
        <v>24713</v>
      </c>
      <c r="AD8524" s="464">
        <v>0</v>
      </c>
      <c r="AE8524" s="465">
        <v>0</v>
      </c>
      <c r="AF8524" s="86">
        <f>IF(verze!$E$1="CZK",AD8524,IF(verze!$E$1="SK",AE8524,""))</f>
        <v>0</v>
      </c>
    </row>
    <row r="8525" spans="27:32" ht="15">
      <c r="AA8525" s="463" t="s">
        <v>1320</v>
      </c>
      <c r="AB8525" s="462" t="s">
        <v>24714</v>
      </c>
      <c r="AC8525" s="462" t="s">
        <v>24715</v>
      </c>
      <c r="AD8525" s="464">
        <v>0</v>
      </c>
      <c r="AE8525" s="465">
        <v>0</v>
      </c>
      <c r="AF8525" s="86">
        <f>IF(verze!$E$1="CZK",AD8525,IF(verze!$E$1="SK",AE8525,""))</f>
        <v>0</v>
      </c>
    </row>
    <row r="8526" spans="27:32" ht="15">
      <c r="AA8526" s="463" t="s">
        <v>1320</v>
      </c>
      <c r="AB8526" s="462" t="s">
        <v>24716</v>
      </c>
      <c r="AC8526" s="462" t="s">
        <v>24717</v>
      </c>
      <c r="AD8526" s="464">
        <v>0</v>
      </c>
      <c r="AE8526" s="465">
        <v>0</v>
      </c>
      <c r="AF8526" s="86">
        <f>IF(verze!$E$1="CZK",AD8526,IF(verze!$E$1="SK",AE8526,""))</f>
        <v>0</v>
      </c>
    </row>
    <row r="8527" spans="27:32" ht="15">
      <c r="AA8527" s="463" t="s">
        <v>1320</v>
      </c>
      <c r="AB8527" s="462" t="s">
        <v>24718</v>
      </c>
      <c r="AC8527" s="462" t="s">
        <v>24719</v>
      </c>
      <c r="AD8527" s="464">
        <v>0</v>
      </c>
      <c r="AE8527" s="465">
        <v>0</v>
      </c>
      <c r="AF8527" s="86">
        <f>IF(verze!$E$1="CZK",AD8527,IF(verze!$E$1="SK",AE8527,""))</f>
        <v>0</v>
      </c>
    </row>
    <row r="8528" spans="27:32" ht="15">
      <c r="AA8528" s="463" t="s">
        <v>1320</v>
      </c>
      <c r="AB8528" s="462" t="s">
        <v>24720</v>
      </c>
      <c r="AC8528" s="462" t="s">
        <v>24721</v>
      </c>
      <c r="AD8528" s="464">
        <v>0</v>
      </c>
      <c r="AE8528" s="465">
        <v>0</v>
      </c>
      <c r="AF8528" s="86">
        <f>IF(verze!$E$1="CZK",AD8528,IF(verze!$E$1="SK",AE8528,""))</f>
        <v>0</v>
      </c>
    </row>
    <row r="8529" spans="27:32" ht="15">
      <c r="AA8529" s="463" t="s">
        <v>1320</v>
      </c>
      <c r="AB8529" s="462" t="s">
        <v>24722</v>
      </c>
      <c r="AC8529" s="462" t="s">
        <v>24723</v>
      </c>
      <c r="AD8529" s="464">
        <v>0</v>
      </c>
      <c r="AE8529" s="465">
        <v>0</v>
      </c>
      <c r="AF8529" s="86">
        <f>IF(verze!$E$1="CZK",AD8529,IF(verze!$E$1="SK",AE8529,""))</f>
        <v>0</v>
      </c>
    </row>
    <row r="8530" spans="27:32" ht="15">
      <c r="AA8530" s="463" t="s">
        <v>1320</v>
      </c>
      <c r="AB8530" s="462" t="s">
        <v>24724</v>
      </c>
      <c r="AC8530" s="462" t="s">
        <v>24725</v>
      </c>
      <c r="AD8530" s="464">
        <v>710.80604000000005</v>
      </c>
      <c r="AE8530" s="465">
        <v>34.192329999999998</v>
      </c>
      <c r="AF8530" s="86">
        <f>IF(verze!$E$1="CZK",AD8530,IF(verze!$E$1="SK",AE8530,""))</f>
        <v>34.192329999999998</v>
      </c>
    </row>
    <row r="8531" spans="27:32" ht="15">
      <c r="AA8531" s="463" t="s">
        <v>1320</v>
      </c>
      <c r="AB8531" s="462" t="s">
        <v>24726</v>
      </c>
      <c r="AC8531" s="462" t="s">
        <v>24727</v>
      </c>
      <c r="AD8531" s="464">
        <v>696.58991000000003</v>
      </c>
      <c r="AE8531" s="465">
        <v>33.508479999999999</v>
      </c>
      <c r="AF8531" s="86">
        <f>IF(verze!$E$1="CZK",AD8531,IF(verze!$E$1="SK",AE8531,""))</f>
        <v>33.508479999999999</v>
      </c>
    </row>
    <row r="8532" spans="27:32" ht="15">
      <c r="AA8532" s="463" t="s">
        <v>1320</v>
      </c>
      <c r="AB8532" s="462" t="s">
        <v>24728</v>
      </c>
      <c r="AC8532" s="462" t="s">
        <v>24729</v>
      </c>
      <c r="AD8532" s="464">
        <v>0</v>
      </c>
      <c r="AE8532" s="465">
        <v>0</v>
      </c>
      <c r="AF8532" s="86">
        <f>IF(verze!$E$1="CZK",AD8532,IF(verze!$E$1="SK",AE8532,""))</f>
        <v>0</v>
      </c>
    </row>
    <row r="8533" spans="27:32" ht="15">
      <c r="AA8533" s="463" t="s">
        <v>1320</v>
      </c>
      <c r="AB8533" s="462" t="s">
        <v>24730</v>
      </c>
      <c r="AC8533" s="462" t="s">
        <v>24731</v>
      </c>
      <c r="AD8533" s="464">
        <v>0</v>
      </c>
      <c r="AE8533" s="465">
        <v>0</v>
      </c>
      <c r="AF8533" s="86">
        <f>IF(verze!$E$1="CZK",AD8533,IF(verze!$E$1="SK",AE8533,""))</f>
        <v>0</v>
      </c>
    </row>
    <row r="8534" spans="27:32" ht="15">
      <c r="AA8534" s="463" t="s">
        <v>1320</v>
      </c>
      <c r="AB8534" s="462" t="s">
        <v>24732</v>
      </c>
      <c r="AC8534" s="462" t="s">
        <v>24733</v>
      </c>
      <c r="AD8534" s="464">
        <v>1381.3403599999999</v>
      </c>
      <c r="AE8534" s="465">
        <v>66.447469999999996</v>
      </c>
      <c r="AF8534" s="86">
        <f>IF(verze!$E$1="CZK",AD8534,IF(verze!$E$1="SK",AE8534,""))</f>
        <v>66.447469999999996</v>
      </c>
    </row>
    <row r="8535" spans="27:32" ht="15">
      <c r="AA8535" s="463" t="s">
        <v>1320</v>
      </c>
      <c r="AB8535" s="462" t="s">
        <v>24734</v>
      </c>
      <c r="AC8535" s="462" t="s">
        <v>24735</v>
      </c>
      <c r="AD8535" s="464">
        <v>1098.4892500000001</v>
      </c>
      <c r="AE8535" s="465">
        <v>52.841299999999997</v>
      </c>
      <c r="AF8535" s="86">
        <f>IF(verze!$E$1="CZK",AD8535,IF(verze!$E$1="SK",AE8535,""))</f>
        <v>52.841299999999997</v>
      </c>
    </row>
    <row r="8536" spans="27:32" ht="15">
      <c r="AA8536" s="463" t="s">
        <v>1320</v>
      </c>
      <c r="AB8536" s="462" t="s">
        <v>24736</v>
      </c>
      <c r="AC8536" s="462" t="s">
        <v>24737</v>
      </c>
      <c r="AD8536" s="464">
        <v>1437.8793700000001</v>
      </c>
      <c r="AE8536" s="465">
        <v>69.167199999999994</v>
      </c>
      <c r="AF8536" s="86">
        <f>IF(verze!$E$1="CZK",AD8536,IF(verze!$E$1="SK",AE8536,""))</f>
        <v>69.167199999999994</v>
      </c>
    </row>
    <row r="8537" spans="27:32" ht="15">
      <c r="AA8537" s="463" t="s">
        <v>1320</v>
      </c>
      <c r="AB8537" s="462" t="s">
        <v>24738</v>
      </c>
      <c r="AC8537" s="462" t="s">
        <v>24739</v>
      </c>
      <c r="AD8537" s="464">
        <v>1142.65058</v>
      </c>
      <c r="AE8537" s="465">
        <v>54.538179999999997</v>
      </c>
      <c r="AF8537" s="86">
        <f>IF(verze!$E$1="CZK",AD8537,IF(verze!$E$1="SK",AE8537,""))</f>
        <v>54.538179999999997</v>
      </c>
    </row>
    <row r="8538" spans="27:32" ht="15">
      <c r="AA8538" s="463" t="s">
        <v>1320</v>
      </c>
      <c r="AB8538" s="462" t="s">
        <v>24740</v>
      </c>
      <c r="AC8538" s="462" t="s">
        <v>24741</v>
      </c>
      <c r="AD8538" s="464">
        <v>0</v>
      </c>
      <c r="AE8538" s="465">
        <v>0</v>
      </c>
      <c r="AF8538" s="86">
        <f>IF(verze!$E$1="CZK",AD8538,IF(verze!$E$1="SK",AE8538,""))</f>
        <v>0</v>
      </c>
    </row>
    <row r="8539" spans="27:32" ht="15">
      <c r="AA8539" s="463" t="s">
        <v>1320</v>
      </c>
      <c r="AB8539" s="462" t="s">
        <v>24742</v>
      </c>
      <c r="AC8539" s="462" t="s">
        <v>24743</v>
      </c>
      <c r="AD8539" s="464">
        <v>0</v>
      </c>
      <c r="AE8539" s="465">
        <v>0</v>
      </c>
      <c r="AF8539" s="86">
        <f>IF(verze!$E$1="CZK",AD8539,IF(verze!$E$1="SK",AE8539,""))</f>
        <v>0</v>
      </c>
    </row>
    <row r="8540" spans="27:32" ht="15">
      <c r="AA8540" s="463" t="s">
        <v>1320</v>
      </c>
      <c r="AB8540" s="462" t="s">
        <v>24744</v>
      </c>
      <c r="AC8540" s="462" t="s">
        <v>24745</v>
      </c>
      <c r="AD8540" s="464">
        <v>367.09730000000002</v>
      </c>
      <c r="AE8540" s="465">
        <v>17.658709999999999</v>
      </c>
      <c r="AF8540" s="86">
        <f>IF(verze!$E$1="CZK",AD8540,IF(verze!$E$1="SK",AE8540,""))</f>
        <v>17.658709999999999</v>
      </c>
    </row>
    <row r="8541" spans="27:32" ht="15">
      <c r="AA8541" s="463" t="s">
        <v>1320</v>
      </c>
      <c r="AB8541" s="462" t="s">
        <v>24746</v>
      </c>
      <c r="AC8541" s="462" t="s">
        <v>24747</v>
      </c>
      <c r="AD8541" s="464">
        <v>0</v>
      </c>
      <c r="AE8541" s="465">
        <v>0</v>
      </c>
      <c r="AF8541" s="86">
        <f>IF(verze!$E$1="CZK",AD8541,IF(verze!$E$1="SK",AE8541,""))</f>
        <v>0</v>
      </c>
    </row>
    <row r="8542" spans="27:32" ht="15">
      <c r="AA8542" s="463" t="s">
        <v>1320</v>
      </c>
      <c r="AB8542" s="462" t="s">
        <v>24748</v>
      </c>
      <c r="AC8542" s="462" t="s">
        <v>24749</v>
      </c>
      <c r="AD8542" s="464">
        <v>0</v>
      </c>
      <c r="AE8542" s="465">
        <v>0</v>
      </c>
      <c r="AF8542" s="86">
        <f>IF(verze!$E$1="CZK",AD8542,IF(verze!$E$1="SK",AE8542,""))</f>
        <v>0</v>
      </c>
    </row>
    <row r="8543" spans="27:32" ht="15">
      <c r="AA8543" s="463" t="s">
        <v>1320</v>
      </c>
      <c r="AB8543" s="462" t="s">
        <v>24750</v>
      </c>
      <c r="AC8543" s="462" t="s">
        <v>24751</v>
      </c>
      <c r="AD8543" s="464">
        <v>367.09730000000002</v>
      </c>
      <c r="AE8543" s="465">
        <v>17.658709999999999</v>
      </c>
      <c r="AF8543" s="86">
        <f>IF(verze!$E$1="CZK",AD8543,IF(verze!$E$1="SK",AE8543,""))</f>
        <v>17.658709999999999</v>
      </c>
    </row>
    <row r="8544" spans="27:32" ht="15">
      <c r="AA8544" s="463" t="s">
        <v>1320</v>
      </c>
      <c r="AB8544" s="462" t="s">
        <v>24752</v>
      </c>
      <c r="AC8544" s="462" t="s">
        <v>24753</v>
      </c>
      <c r="AD8544" s="464">
        <v>0</v>
      </c>
      <c r="AE8544" s="465">
        <v>0</v>
      </c>
      <c r="AF8544" s="86">
        <f>IF(verze!$E$1="CZK",AD8544,IF(verze!$E$1="SK",AE8544,""))</f>
        <v>0</v>
      </c>
    </row>
    <row r="8545" spans="27:32" ht="15">
      <c r="AA8545" s="463" t="s">
        <v>1320</v>
      </c>
      <c r="AB8545" s="462" t="s">
        <v>24754</v>
      </c>
      <c r="AC8545" s="462" t="s">
        <v>24755</v>
      </c>
      <c r="AD8545" s="464">
        <v>0</v>
      </c>
      <c r="AE8545" s="465">
        <v>0</v>
      </c>
      <c r="AF8545" s="86">
        <f>IF(verze!$E$1="CZK",AD8545,IF(verze!$E$1="SK",AE8545,""))</f>
        <v>0</v>
      </c>
    </row>
    <row r="8546" spans="27:32" ht="15">
      <c r="AA8546" s="463" t="s">
        <v>1320</v>
      </c>
      <c r="AB8546" s="462" t="s">
        <v>24756</v>
      </c>
      <c r="AC8546" s="462" t="s">
        <v>24757</v>
      </c>
      <c r="AD8546" s="464">
        <v>372.06545999999997</v>
      </c>
      <c r="AE8546" s="465">
        <v>17.897690000000001</v>
      </c>
      <c r="AF8546" s="86">
        <f>IF(verze!$E$1="CZK",AD8546,IF(verze!$E$1="SK",AE8546,""))</f>
        <v>17.897690000000001</v>
      </c>
    </row>
    <row r="8547" spans="27:32" ht="15">
      <c r="AA8547" s="463" t="s">
        <v>1320</v>
      </c>
      <c r="AB8547" s="462" t="s">
        <v>24758</v>
      </c>
      <c r="AC8547" s="462" t="s">
        <v>24759</v>
      </c>
      <c r="AD8547" s="464">
        <v>0</v>
      </c>
      <c r="AE8547" s="465">
        <v>0</v>
      </c>
      <c r="AF8547" s="86">
        <f>IF(verze!$E$1="CZK",AD8547,IF(verze!$E$1="SK",AE8547,""))</f>
        <v>0</v>
      </c>
    </row>
    <row r="8548" spans="27:32" ht="15">
      <c r="AA8548" s="463" t="s">
        <v>1320</v>
      </c>
      <c r="AB8548" s="462" t="s">
        <v>24760</v>
      </c>
      <c r="AC8548" s="462" t="s">
        <v>24761</v>
      </c>
      <c r="AD8548" s="464">
        <v>0</v>
      </c>
      <c r="AE8548" s="465">
        <v>0</v>
      </c>
      <c r="AF8548" s="86">
        <f>IF(verze!$E$1="CZK",AD8548,IF(verze!$E$1="SK",AE8548,""))</f>
        <v>0</v>
      </c>
    </row>
    <row r="8549" spans="27:32" ht="15">
      <c r="AA8549" s="463" t="s">
        <v>1320</v>
      </c>
      <c r="AB8549" s="462" t="s">
        <v>24762</v>
      </c>
      <c r="AC8549" s="462" t="s">
        <v>24763</v>
      </c>
      <c r="AD8549" s="464">
        <v>0</v>
      </c>
      <c r="AE8549" s="465">
        <v>0</v>
      </c>
      <c r="AF8549" s="86">
        <f>IF(verze!$E$1="CZK",AD8549,IF(verze!$E$1="SK",AE8549,""))</f>
        <v>0</v>
      </c>
    </row>
    <row r="8550" spans="27:32" ht="15">
      <c r="AA8550" s="463" t="s">
        <v>1320</v>
      </c>
      <c r="AB8550" s="462" t="s">
        <v>24764</v>
      </c>
      <c r="AC8550" s="462" t="s">
        <v>24765</v>
      </c>
      <c r="AD8550" s="464">
        <v>0</v>
      </c>
      <c r="AE8550" s="465">
        <v>0</v>
      </c>
      <c r="AF8550" s="86">
        <f>IF(verze!$E$1="CZK",AD8550,IF(verze!$E$1="SK",AE8550,""))</f>
        <v>0</v>
      </c>
    </row>
    <row r="8551" spans="27:32" ht="15">
      <c r="AA8551" s="463" t="s">
        <v>1320</v>
      </c>
      <c r="AB8551" s="462" t="s">
        <v>24766</v>
      </c>
      <c r="AC8551" s="462" t="s">
        <v>24767</v>
      </c>
      <c r="AD8551" s="464">
        <v>375.61477000000002</v>
      </c>
      <c r="AE8551" s="465">
        <v>18.06842</v>
      </c>
      <c r="AF8551" s="86">
        <f>IF(verze!$E$1="CZK",AD8551,IF(verze!$E$1="SK",AE8551,""))</f>
        <v>18.06842</v>
      </c>
    </row>
    <row r="8552" spans="27:32" ht="15">
      <c r="AA8552" s="463" t="s">
        <v>1320</v>
      </c>
      <c r="AB8552" s="462" t="s">
        <v>24768</v>
      </c>
      <c r="AC8552" s="462" t="s">
        <v>24769</v>
      </c>
      <c r="AD8552" s="464">
        <v>0</v>
      </c>
      <c r="AE8552" s="465">
        <v>0</v>
      </c>
      <c r="AF8552" s="86">
        <f>IF(verze!$E$1="CZK",AD8552,IF(verze!$E$1="SK",AE8552,""))</f>
        <v>0</v>
      </c>
    </row>
    <row r="8553" spans="27:32" ht="15">
      <c r="AA8553" s="463" t="s">
        <v>1320</v>
      </c>
      <c r="AB8553" s="462" t="s">
        <v>24770</v>
      </c>
      <c r="AC8553" s="462" t="s">
        <v>24771</v>
      </c>
      <c r="AD8553" s="464">
        <v>0</v>
      </c>
      <c r="AE8553" s="465">
        <v>0</v>
      </c>
      <c r="AF8553" s="86">
        <f>IF(verze!$E$1="CZK",AD8553,IF(verze!$E$1="SK",AE8553,""))</f>
        <v>0</v>
      </c>
    </row>
    <row r="8554" spans="27:32" ht="15">
      <c r="AA8554" s="463" t="s">
        <v>1320</v>
      </c>
      <c r="AB8554" s="462" t="s">
        <v>24772</v>
      </c>
      <c r="AC8554" s="462" t="s">
        <v>24773</v>
      </c>
      <c r="AD8554" s="464">
        <v>391.83524</v>
      </c>
      <c r="AE8554" s="465">
        <v>18.848680000000002</v>
      </c>
      <c r="AF8554" s="86">
        <f>IF(verze!$E$1="CZK",AD8554,IF(verze!$E$1="SK",AE8554,""))</f>
        <v>18.848680000000002</v>
      </c>
    </row>
    <row r="8555" spans="27:32" ht="15">
      <c r="AA8555" s="463" t="s">
        <v>1320</v>
      </c>
      <c r="AB8555" s="462" t="s">
        <v>24774</v>
      </c>
      <c r="AC8555" s="462" t="s">
        <v>24775</v>
      </c>
      <c r="AD8555" s="464">
        <v>1100.8364099999999</v>
      </c>
      <c r="AE8555" s="465">
        <v>52.902889999999999</v>
      </c>
      <c r="AF8555" s="86">
        <f>IF(verze!$E$1="CZK",AD8555,IF(verze!$E$1="SK",AE8555,""))</f>
        <v>52.902889999999999</v>
      </c>
    </row>
    <row r="8556" spans="27:32" ht="15">
      <c r="AA8556" s="463" t="s">
        <v>1320</v>
      </c>
      <c r="AB8556" s="462" t="s">
        <v>24776</v>
      </c>
      <c r="AC8556" s="462" t="s">
        <v>24777</v>
      </c>
      <c r="AD8556" s="464">
        <v>1042.61087</v>
      </c>
      <c r="AE8556" s="465">
        <v>50.102029999999999</v>
      </c>
      <c r="AF8556" s="86">
        <f>IF(verze!$E$1="CZK",AD8556,IF(verze!$E$1="SK",AE8556,""))</f>
        <v>50.102029999999999</v>
      </c>
    </row>
    <row r="8557" spans="27:32" ht="15">
      <c r="AA8557" s="463" t="s">
        <v>1320</v>
      </c>
      <c r="AB8557" s="462" t="s">
        <v>24778</v>
      </c>
      <c r="AC8557" s="462" t="s">
        <v>24779</v>
      </c>
      <c r="AD8557" s="464">
        <v>1192.81549</v>
      </c>
      <c r="AE8557" s="465">
        <v>57.32741</v>
      </c>
      <c r="AF8557" s="86">
        <f>IF(verze!$E$1="CZK",AD8557,IF(verze!$E$1="SK",AE8557,""))</f>
        <v>57.32741</v>
      </c>
    </row>
    <row r="8558" spans="27:32" ht="15">
      <c r="AA8558" s="463" t="s">
        <v>1320</v>
      </c>
      <c r="AB8558" s="462" t="s">
        <v>24780</v>
      </c>
      <c r="AC8558" s="462" t="s">
        <v>24781</v>
      </c>
      <c r="AD8558" s="464">
        <v>1100.8364099999999</v>
      </c>
      <c r="AE8558" s="465">
        <v>52.902889999999999</v>
      </c>
      <c r="AF8558" s="86">
        <f>IF(verze!$E$1="CZK",AD8558,IF(verze!$E$1="SK",AE8558,""))</f>
        <v>52.902889999999999</v>
      </c>
    </row>
    <row r="8559" spans="27:32" ht="15">
      <c r="AA8559" s="463" t="s">
        <v>1320</v>
      </c>
      <c r="AB8559" s="462" t="s">
        <v>24782</v>
      </c>
      <c r="AC8559" s="462" t="s">
        <v>24783</v>
      </c>
      <c r="AD8559" s="464">
        <v>1042.61087</v>
      </c>
      <c r="AE8559" s="465">
        <v>50.102029999999999</v>
      </c>
      <c r="AF8559" s="86">
        <f>IF(verze!$E$1="CZK",AD8559,IF(verze!$E$1="SK",AE8559,""))</f>
        <v>50.102029999999999</v>
      </c>
    </row>
    <row r="8560" spans="27:32" ht="15">
      <c r="AA8560" s="463" t="s">
        <v>1320</v>
      </c>
      <c r="AB8560" s="462" t="s">
        <v>24784</v>
      </c>
      <c r="AC8560" s="462" t="s">
        <v>24785</v>
      </c>
      <c r="AD8560" s="464">
        <v>1192.81549</v>
      </c>
      <c r="AE8560" s="465">
        <v>57.32741</v>
      </c>
      <c r="AF8560" s="86">
        <f>IF(verze!$E$1="CZK",AD8560,IF(verze!$E$1="SK",AE8560,""))</f>
        <v>57.32741</v>
      </c>
    </row>
    <row r="8561" spans="27:32" ht="15">
      <c r="AA8561" s="463" t="s">
        <v>1320</v>
      </c>
      <c r="AB8561" s="462" t="s">
        <v>24786</v>
      </c>
      <c r="AC8561" s="462" t="s">
        <v>24787</v>
      </c>
      <c r="AD8561" s="464">
        <v>1042.61087</v>
      </c>
      <c r="AE8561" s="465">
        <v>50.102029999999999</v>
      </c>
      <c r="AF8561" s="86">
        <f>IF(verze!$E$1="CZK",AD8561,IF(verze!$E$1="SK",AE8561,""))</f>
        <v>50.102029999999999</v>
      </c>
    </row>
    <row r="8562" spans="27:32" ht="15">
      <c r="AA8562" s="463" t="s">
        <v>1320</v>
      </c>
      <c r="AB8562" s="462" t="s">
        <v>24788</v>
      </c>
      <c r="AC8562" s="462" t="s">
        <v>24789</v>
      </c>
      <c r="AD8562" s="464">
        <v>1106.3420799999999</v>
      </c>
      <c r="AE8562" s="465">
        <v>53.167740000000002</v>
      </c>
      <c r="AF8562" s="86">
        <f>IF(verze!$E$1="CZK",AD8562,IF(verze!$E$1="SK",AE8562,""))</f>
        <v>53.167740000000002</v>
      </c>
    </row>
    <row r="8563" spans="27:32" ht="15">
      <c r="AA8563" s="463" t="s">
        <v>1320</v>
      </c>
      <c r="AB8563" s="462" t="s">
        <v>24790</v>
      </c>
      <c r="AC8563" s="462" t="s">
        <v>24791</v>
      </c>
      <c r="AD8563" s="464">
        <v>1048.12664</v>
      </c>
      <c r="AE8563" s="465">
        <v>50.367339999999999</v>
      </c>
      <c r="AF8563" s="86">
        <f>IF(verze!$E$1="CZK",AD8563,IF(verze!$E$1="SK",AE8563,""))</f>
        <v>50.367339999999999</v>
      </c>
    </row>
    <row r="8564" spans="27:32" ht="15">
      <c r="AA8564" s="463" t="s">
        <v>1320</v>
      </c>
      <c r="AB8564" s="462" t="s">
        <v>24792</v>
      </c>
      <c r="AC8564" s="462" t="s">
        <v>24793</v>
      </c>
      <c r="AD8564" s="464">
        <v>1197.3688199999999</v>
      </c>
      <c r="AE8564" s="465">
        <v>57.546439999999997</v>
      </c>
      <c r="AF8564" s="86">
        <f>IF(verze!$E$1="CZK",AD8564,IF(verze!$E$1="SK",AE8564,""))</f>
        <v>57.546439999999997</v>
      </c>
    </row>
    <row r="8565" spans="27:32" ht="15">
      <c r="AA8565" s="463" t="s">
        <v>1320</v>
      </c>
      <c r="AB8565" s="462" t="s">
        <v>24794</v>
      </c>
      <c r="AC8565" s="462" t="s">
        <v>24795</v>
      </c>
      <c r="AD8565" s="464">
        <v>1106.3420799999999</v>
      </c>
      <c r="AE8565" s="465">
        <v>53.167740000000002</v>
      </c>
      <c r="AF8565" s="86">
        <f>IF(verze!$E$1="CZK",AD8565,IF(verze!$E$1="SK",AE8565,""))</f>
        <v>53.167740000000002</v>
      </c>
    </row>
    <row r="8566" spans="27:32" ht="15">
      <c r="AA8566" s="463" t="s">
        <v>1320</v>
      </c>
      <c r="AB8566" s="462" t="s">
        <v>24796</v>
      </c>
      <c r="AC8566" s="462" t="s">
        <v>24797</v>
      </c>
      <c r="AD8566" s="464">
        <v>1048.12664</v>
      </c>
      <c r="AE8566" s="465">
        <v>50.367339999999999</v>
      </c>
      <c r="AF8566" s="86">
        <f>IF(verze!$E$1="CZK",AD8566,IF(verze!$E$1="SK",AE8566,""))</f>
        <v>50.367339999999999</v>
      </c>
    </row>
    <row r="8567" spans="27:32" ht="15">
      <c r="AA8567" s="463" t="s">
        <v>1320</v>
      </c>
      <c r="AB8567" s="462" t="s">
        <v>24798</v>
      </c>
      <c r="AC8567" s="462" t="s">
        <v>24799</v>
      </c>
      <c r="AD8567" s="464">
        <v>1197.3688199999999</v>
      </c>
      <c r="AE8567" s="465">
        <v>57.546439999999997</v>
      </c>
      <c r="AF8567" s="86">
        <f>IF(verze!$E$1="CZK",AD8567,IF(verze!$E$1="SK",AE8567,""))</f>
        <v>57.546439999999997</v>
      </c>
    </row>
    <row r="8568" spans="27:32" ht="15">
      <c r="AA8568" s="463" t="s">
        <v>1320</v>
      </c>
      <c r="AB8568" s="462" t="s">
        <v>24800</v>
      </c>
      <c r="AC8568" s="462" t="s">
        <v>24801</v>
      </c>
      <c r="AD8568" s="464">
        <v>1048.12664</v>
      </c>
      <c r="AE8568" s="465">
        <v>50.367339999999999</v>
      </c>
      <c r="AF8568" s="86">
        <f>IF(verze!$E$1="CZK",AD8568,IF(verze!$E$1="SK",AE8568,""))</f>
        <v>50.367339999999999</v>
      </c>
    </row>
    <row r="8569" spans="27:32" ht="15">
      <c r="AA8569" s="463" t="s">
        <v>1320</v>
      </c>
      <c r="AB8569" s="462" t="s">
        <v>24802</v>
      </c>
      <c r="AC8569" s="462" t="s">
        <v>24803</v>
      </c>
      <c r="AD8569" s="464">
        <v>1123.66552</v>
      </c>
      <c r="AE8569" s="465">
        <v>54.001049999999999</v>
      </c>
      <c r="AF8569" s="86">
        <f>IF(verze!$E$1="CZK",AD8569,IF(verze!$E$1="SK",AE8569,""))</f>
        <v>54.001049999999999</v>
      </c>
    </row>
    <row r="8570" spans="27:32" ht="15">
      <c r="AA8570" s="463" t="s">
        <v>1320</v>
      </c>
      <c r="AB8570" s="462" t="s">
        <v>24804</v>
      </c>
      <c r="AC8570" s="462" t="s">
        <v>24805</v>
      </c>
      <c r="AD8570" s="464">
        <v>1065.44488</v>
      </c>
      <c r="AE8570" s="465">
        <v>51.200409999999998</v>
      </c>
      <c r="AF8570" s="86">
        <f>IF(verze!$E$1="CZK",AD8570,IF(verze!$E$1="SK",AE8570,""))</f>
        <v>51.200409999999998</v>
      </c>
    </row>
    <row r="8571" spans="27:32" ht="15">
      <c r="AA8571" s="463" t="s">
        <v>1320</v>
      </c>
      <c r="AB8571" s="462" t="s">
        <v>24806</v>
      </c>
      <c r="AC8571" s="462" t="s">
        <v>24807</v>
      </c>
      <c r="AD8571" s="464">
        <v>1204.9796799999999</v>
      </c>
      <c r="AE8571" s="465">
        <v>57.912550000000003</v>
      </c>
      <c r="AF8571" s="86">
        <f>IF(verze!$E$1="CZK",AD8571,IF(verze!$E$1="SK",AE8571,""))</f>
        <v>57.912550000000003</v>
      </c>
    </row>
    <row r="8572" spans="27:32" ht="15">
      <c r="AA8572" s="463" t="s">
        <v>1320</v>
      </c>
      <c r="AB8572" s="462" t="s">
        <v>24808</v>
      </c>
      <c r="AC8572" s="462" t="s">
        <v>24809</v>
      </c>
      <c r="AD8572" s="464">
        <v>1123.66552</v>
      </c>
      <c r="AE8572" s="465">
        <v>54.001049999999999</v>
      </c>
      <c r="AF8572" s="86">
        <f>IF(verze!$E$1="CZK",AD8572,IF(verze!$E$1="SK",AE8572,""))</f>
        <v>54.001049999999999</v>
      </c>
    </row>
    <row r="8573" spans="27:32" ht="15">
      <c r="AA8573" s="463" t="s">
        <v>1320</v>
      </c>
      <c r="AB8573" s="462" t="s">
        <v>24810</v>
      </c>
      <c r="AC8573" s="462" t="s">
        <v>24811</v>
      </c>
      <c r="AD8573" s="464">
        <v>1065.44488</v>
      </c>
      <c r="AE8573" s="465">
        <v>51.200409999999998</v>
      </c>
      <c r="AF8573" s="86">
        <f>IF(verze!$E$1="CZK",AD8573,IF(verze!$E$1="SK",AE8573,""))</f>
        <v>51.200409999999998</v>
      </c>
    </row>
    <row r="8574" spans="27:32" ht="15">
      <c r="AA8574" s="463" t="s">
        <v>1320</v>
      </c>
      <c r="AB8574" s="462" t="s">
        <v>24812</v>
      </c>
      <c r="AC8574" s="462" t="s">
        <v>24813</v>
      </c>
      <c r="AD8574" s="464">
        <v>1204.9796799999999</v>
      </c>
      <c r="AE8574" s="465">
        <v>57.912550000000003</v>
      </c>
      <c r="AF8574" s="86">
        <f>IF(verze!$E$1="CZK",AD8574,IF(verze!$E$1="SK",AE8574,""))</f>
        <v>57.912550000000003</v>
      </c>
    </row>
    <row r="8575" spans="27:32" ht="15">
      <c r="AA8575" s="463" t="s">
        <v>1320</v>
      </c>
      <c r="AB8575" s="462" t="s">
        <v>24814</v>
      </c>
      <c r="AC8575" s="462" t="s">
        <v>24815</v>
      </c>
      <c r="AD8575" s="464">
        <v>1065.44488</v>
      </c>
      <c r="AE8575" s="465">
        <v>51.200409999999998</v>
      </c>
      <c r="AF8575" s="86">
        <f>IF(verze!$E$1="CZK",AD8575,IF(verze!$E$1="SK",AE8575,""))</f>
        <v>51.200409999999998</v>
      </c>
    </row>
    <row r="8576" spans="27:32" ht="15">
      <c r="AA8576" s="463" t="s">
        <v>1320</v>
      </c>
      <c r="AB8576" s="462" t="s">
        <v>24816</v>
      </c>
      <c r="AC8576" s="462" t="s">
        <v>24817</v>
      </c>
      <c r="AD8576" s="464">
        <v>1140.9605799999999</v>
      </c>
      <c r="AE8576" s="465">
        <v>54.832970000000003</v>
      </c>
      <c r="AF8576" s="86">
        <f>IF(verze!$E$1="CZK",AD8576,IF(verze!$E$1="SK",AE8576,""))</f>
        <v>54.832970000000003</v>
      </c>
    </row>
    <row r="8577" spans="27:32" ht="15">
      <c r="AA8577" s="463" t="s">
        <v>1320</v>
      </c>
      <c r="AB8577" s="462" t="s">
        <v>24818</v>
      </c>
      <c r="AC8577" s="462" t="s">
        <v>24819</v>
      </c>
      <c r="AD8577" s="464">
        <v>1082.74514</v>
      </c>
      <c r="AE8577" s="465">
        <v>52.032609999999998</v>
      </c>
      <c r="AF8577" s="86">
        <f>IF(verze!$E$1="CZK",AD8577,IF(verze!$E$1="SK",AE8577,""))</f>
        <v>52.032609999999998</v>
      </c>
    </row>
    <row r="8578" spans="27:32" ht="15">
      <c r="AA8578" s="463" t="s">
        <v>1320</v>
      </c>
      <c r="AB8578" s="462" t="s">
        <v>24820</v>
      </c>
      <c r="AC8578" s="462" t="s">
        <v>24821</v>
      </c>
      <c r="AD8578" s="464">
        <v>1221.4202600000001</v>
      </c>
      <c r="AE8578" s="465">
        <v>58.702129999999997</v>
      </c>
      <c r="AF8578" s="86">
        <f>IF(verze!$E$1="CZK",AD8578,IF(verze!$E$1="SK",AE8578,""))</f>
        <v>58.702129999999997</v>
      </c>
    </row>
    <row r="8579" spans="27:32" ht="15">
      <c r="AA8579" s="463" t="s">
        <v>1320</v>
      </c>
      <c r="AB8579" s="462" t="s">
        <v>24822</v>
      </c>
      <c r="AC8579" s="462" t="s">
        <v>24823</v>
      </c>
      <c r="AD8579" s="464">
        <v>1220.2092399999999</v>
      </c>
      <c r="AE8579" s="465">
        <v>58.645130000000002</v>
      </c>
      <c r="AF8579" s="86">
        <f>IF(verze!$E$1="CZK",AD8579,IF(verze!$E$1="SK",AE8579,""))</f>
        <v>58.645130000000002</v>
      </c>
    </row>
    <row r="8580" spans="27:32" ht="15">
      <c r="AA8580" s="463" t="s">
        <v>1320</v>
      </c>
      <c r="AB8580" s="462" t="s">
        <v>24824</v>
      </c>
      <c r="AC8580" s="462" t="s">
        <v>24825</v>
      </c>
      <c r="AD8580" s="464">
        <v>1140.9605799999999</v>
      </c>
      <c r="AE8580" s="465">
        <v>54.832970000000003</v>
      </c>
      <c r="AF8580" s="86">
        <f>IF(verze!$E$1="CZK",AD8580,IF(verze!$E$1="SK",AE8580,""))</f>
        <v>54.832970000000003</v>
      </c>
    </row>
    <row r="8581" spans="27:32" ht="15">
      <c r="AA8581" s="463" t="s">
        <v>1320</v>
      </c>
      <c r="AB8581" s="462" t="s">
        <v>24826</v>
      </c>
      <c r="AC8581" s="462" t="s">
        <v>24827</v>
      </c>
      <c r="AD8581" s="464">
        <v>1082.74514</v>
      </c>
      <c r="AE8581" s="465">
        <v>52.032609999999998</v>
      </c>
      <c r="AF8581" s="86">
        <f>IF(verze!$E$1="CZK",AD8581,IF(verze!$E$1="SK",AE8581,""))</f>
        <v>52.032609999999998</v>
      </c>
    </row>
    <row r="8582" spans="27:32" ht="15">
      <c r="AA8582" s="463" t="s">
        <v>1320</v>
      </c>
      <c r="AB8582" s="462" t="s">
        <v>24828</v>
      </c>
      <c r="AC8582" s="462" t="s">
        <v>24829</v>
      </c>
      <c r="AD8582" s="464">
        <v>1220.2092399999999</v>
      </c>
      <c r="AE8582" s="465">
        <v>58.645130000000002</v>
      </c>
      <c r="AF8582" s="86">
        <f>IF(verze!$E$1="CZK",AD8582,IF(verze!$E$1="SK",AE8582,""))</f>
        <v>58.645130000000002</v>
      </c>
    </row>
    <row r="8583" spans="27:32" ht="15">
      <c r="AA8583" s="463" t="s">
        <v>1320</v>
      </c>
      <c r="AB8583" s="462" t="s">
        <v>24830</v>
      </c>
      <c r="AC8583" s="462" t="s">
        <v>24831</v>
      </c>
      <c r="AD8583" s="464">
        <v>1082.74514</v>
      </c>
      <c r="AE8583" s="465">
        <v>52.032609999999998</v>
      </c>
      <c r="AF8583" s="86">
        <f>IF(verze!$E$1="CZK",AD8583,IF(verze!$E$1="SK",AE8583,""))</f>
        <v>52.032609999999998</v>
      </c>
    </row>
    <row r="8584" spans="27:32" ht="15">
      <c r="AA8584" s="463" t="s">
        <v>1320</v>
      </c>
      <c r="AB8584" s="462" t="s">
        <v>24832</v>
      </c>
      <c r="AC8584" s="462" t="s">
        <v>24833</v>
      </c>
      <c r="AD8584" s="464">
        <v>1143.0244399999999</v>
      </c>
      <c r="AE8584" s="465">
        <v>54.352760000000004</v>
      </c>
      <c r="AF8584" s="86">
        <f>IF(verze!$E$1="CZK",AD8584,IF(verze!$E$1="SK",AE8584,""))</f>
        <v>54.352760000000004</v>
      </c>
    </row>
    <row r="8585" spans="27:32" ht="15">
      <c r="AA8585" s="463" t="s">
        <v>1320</v>
      </c>
      <c r="AB8585" s="462" t="s">
        <v>24834</v>
      </c>
      <c r="AC8585" s="462" t="s">
        <v>24835</v>
      </c>
      <c r="AD8585" s="464">
        <v>1084.80404</v>
      </c>
      <c r="AE8585" s="465">
        <v>51.552199999999999</v>
      </c>
      <c r="AF8585" s="86">
        <f>IF(verze!$E$1="CZK",AD8585,IF(verze!$E$1="SK",AE8585,""))</f>
        <v>51.552199999999999</v>
      </c>
    </row>
    <row r="8586" spans="27:32" ht="15">
      <c r="AA8586" s="463" t="s">
        <v>1320</v>
      </c>
      <c r="AB8586" s="462" t="s">
        <v>24836</v>
      </c>
      <c r="AC8586" s="462" t="s">
        <v>24837</v>
      </c>
      <c r="AD8586" s="464">
        <v>1205.0525</v>
      </c>
      <c r="AE8586" s="465">
        <v>56.715400000000002</v>
      </c>
      <c r="AF8586" s="86">
        <f>IF(verze!$E$1="CZK",AD8586,IF(verze!$E$1="SK",AE8586,""))</f>
        <v>56.715400000000002</v>
      </c>
    </row>
    <row r="8587" spans="27:32" ht="15">
      <c r="AA8587" s="463" t="s">
        <v>1320</v>
      </c>
      <c r="AB8587" s="462" t="s">
        <v>24838</v>
      </c>
      <c r="AC8587" s="462" t="s">
        <v>24839</v>
      </c>
      <c r="AD8587" s="464">
        <v>1203.84148</v>
      </c>
      <c r="AE8587" s="465">
        <v>56.6584</v>
      </c>
      <c r="AF8587" s="86">
        <f>IF(verze!$E$1="CZK",AD8587,IF(verze!$E$1="SK",AE8587,""))</f>
        <v>56.6584</v>
      </c>
    </row>
    <row r="8588" spans="27:32" ht="15">
      <c r="AA8588" s="463" t="s">
        <v>1320</v>
      </c>
      <c r="AB8588" s="462" t="s">
        <v>24840</v>
      </c>
      <c r="AC8588" s="462" t="s">
        <v>24841</v>
      </c>
      <c r="AD8588" s="464">
        <v>1344.42554</v>
      </c>
      <c r="AE8588" s="465">
        <v>63.27496</v>
      </c>
      <c r="AF8588" s="86">
        <f>IF(verze!$E$1="CZK",AD8588,IF(verze!$E$1="SK",AE8588,""))</f>
        <v>63.27496</v>
      </c>
    </row>
    <row r="8589" spans="27:32" ht="15">
      <c r="AA8589" s="463" t="s">
        <v>1320</v>
      </c>
      <c r="AB8589" s="462" t="s">
        <v>24842</v>
      </c>
      <c r="AC8589" s="462" t="s">
        <v>24843</v>
      </c>
      <c r="AD8589" s="464">
        <v>1143.0244399999999</v>
      </c>
      <c r="AE8589" s="465">
        <v>54.352760000000004</v>
      </c>
      <c r="AF8589" s="86">
        <f>IF(verze!$E$1="CZK",AD8589,IF(verze!$E$1="SK",AE8589,""))</f>
        <v>54.352760000000004</v>
      </c>
    </row>
    <row r="8590" spans="27:32" ht="15">
      <c r="AA8590" s="463" t="s">
        <v>1320</v>
      </c>
      <c r="AB8590" s="462" t="s">
        <v>24844</v>
      </c>
      <c r="AC8590" s="462" t="s">
        <v>24845</v>
      </c>
      <c r="AD8590" s="464">
        <v>1084.80404</v>
      </c>
      <c r="AE8590" s="465">
        <v>51.552199999999999</v>
      </c>
      <c r="AF8590" s="86">
        <f>IF(verze!$E$1="CZK",AD8590,IF(verze!$E$1="SK",AE8590,""))</f>
        <v>51.552199999999999</v>
      </c>
    </row>
    <row r="8591" spans="27:32" ht="15">
      <c r="AA8591" s="463" t="s">
        <v>1320</v>
      </c>
      <c r="AB8591" s="462" t="s">
        <v>24846</v>
      </c>
      <c r="AC8591" s="462" t="s">
        <v>24847</v>
      </c>
      <c r="AD8591" s="464">
        <v>1203.84148</v>
      </c>
      <c r="AE8591" s="465">
        <v>56.6584</v>
      </c>
      <c r="AF8591" s="86">
        <f>IF(verze!$E$1="CZK",AD8591,IF(verze!$E$1="SK",AE8591,""))</f>
        <v>56.6584</v>
      </c>
    </row>
    <row r="8592" spans="27:32" ht="15">
      <c r="AA8592" s="463" t="s">
        <v>1320</v>
      </c>
      <c r="AB8592" s="462" t="s">
        <v>24848</v>
      </c>
      <c r="AC8592" s="462" t="s">
        <v>24849</v>
      </c>
      <c r="AD8592" s="464">
        <v>1344.42554</v>
      </c>
      <c r="AE8592" s="465">
        <v>63.27496</v>
      </c>
      <c r="AF8592" s="86">
        <f>IF(verze!$E$1="CZK",AD8592,IF(verze!$E$1="SK",AE8592,""))</f>
        <v>63.27496</v>
      </c>
    </row>
    <row r="8593" spans="27:32" ht="15">
      <c r="AA8593" s="463" t="s">
        <v>1320</v>
      </c>
      <c r="AB8593" s="462" t="s">
        <v>24850</v>
      </c>
      <c r="AC8593" s="462" t="s">
        <v>24851</v>
      </c>
      <c r="AD8593" s="464">
        <v>1084.80404</v>
      </c>
      <c r="AE8593" s="465">
        <v>51.552199999999999</v>
      </c>
      <c r="AF8593" s="86">
        <f>IF(verze!$E$1="CZK",AD8593,IF(verze!$E$1="SK",AE8593,""))</f>
        <v>51.552199999999999</v>
      </c>
    </row>
    <row r="8594" spans="27:32" ht="15">
      <c r="AA8594" s="463" t="s">
        <v>1320</v>
      </c>
      <c r="AB8594" s="462" t="s">
        <v>24852</v>
      </c>
      <c r="AC8594" s="462" t="s">
        <v>24853</v>
      </c>
      <c r="AD8594" s="464">
        <v>1145.6252899999999</v>
      </c>
      <c r="AE8594" s="465">
        <v>53.918460000000003</v>
      </c>
      <c r="AF8594" s="86">
        <f>IF(verze!$E$1="CZK",AD8594,IF(verze!$E$1="SK",AE8594,""))</f>
        <v>53.918460000000003</v>
      </c>
    </row>
    <row r="8595" spans="27:32" ht="15">
      <c r="AA8595" s="463" t="s">
        <v>1320</v>
      </c>
      <c r="AB8595" s="462" t="s">
        <v>24854</v>
      </c>
      <c r="AC8595" s="462" t="s">
        <v>24855</v>
      </c>
      <c r="AD8595" s="464">
        <v>1088.9532899999999</v>
      </c>
      <c r="AE8595" s="465">
        <v>51.251260000000002</v>
      </c>
      <c r="AF8595" s="86">
        <f>IF(verze!$E$1="CZK",AD8595,IF(verze!$E$1="SK",AE8595,""))</f>
        <v>51.251260000000002</v>
      </c>
    </row>
    <row r="8596" spans="27:32" ht="15">
      <c r="AA8596" s="463" t="s">
        <v>1320</v>
      </c>
      <c r="AB8596" s="462" t="s">
        <v>24856</v>
      </c>
      <c r="AC8596" s="462" t="s">
        <v>24857</v>
      </c>
      <c r="AD8596" s="464">
        <v>1207.8068900000001</v>
      </c>
      <c r="AE8596" s="465">
        <v>56.845019999999998</v>
      </c>
      <c r="AF8596" s="86">
        <f>IF(verze!$E$1="CZK",AD8596,IF(verze!$E$1="SK",AE8596,""))</f>
        <v>56.845019999999998</v>
      </c>
    </row>
    <row r="8597" spans="27:32" ht="15">
      <c r="AA8597" s="463" t="s">
        <v>1320</v>
      </c>
      <c r="AB8597" s="462" t="s">
        <v>24858</v>
      </c>
      <c r="AC8597" s="462" t="s">
        <v>24859</v>
      </c>
      <c r="AD8597" s="464">
        <v>1206.5958700000001</v>
      </c>
      <c r="AE8597" s="465">
        <v>56.788020000000003</v>
      </c>
      <c r="AF8597" s="86">
        <f>IF(verze!$E$1="CZK",AD8597,IF(verze!$E$1="SK",AE8597,""))</f>
        <v>56.788020000000003</v>
      </c>
    </row>
    <row r="8598" spans="27:32" ht="15">
      <c r="AA8598" s="463" t="s">
        <v>1320</v>
      </c>
      <c r="AB8598" s="462" t="s">
        <v>24860</v>
      </c>
      <c r="AC8598" s="462" t="s">
        <v>24861</v>
      </c>
      <c r="AD8598" s="464">
        <v>1359.2523100000001</v>
      </c>
      <c r="AE8598" s="465">
        <v>63.97278</v>
      </c>
      <c r="AF8598" s="86">
        <f>IF(verze!$E$1="CZK",AD8598,IF(verze!$E$1="SK",AE8598,""))</f>
        <v>63.97278</v>
      </c>
    </row>
    <row r="8599" spans="27:32" ht="15">
      <c r="AA8599" s="463" t="s">
        <v>1320</v>
      </c>
      <c r="AB8599" s="462" t="s">
        <v>24862</v>
      </c>
      <c r="AC8599" s="462" t="s">
        <v>24863</v>
      </c>
      <c r="AD8599" s="464">
        <v>1145.6252899999999</v>
      </c>
      <c r="AE8599" s="465">
        <v>53.918460000000003</v>
      </c>
      <c r="AF8599" s="86">
        <f>IF(verze!$E$1="CZK",AD8599,IF(verze!$E$1="SK",AE8599,""))</f>
        <v>53.918460000000003</v>
      </c>
    </row>
    <row r="8600" spans="27:32" ht="15">
      <c r="AA8600" s="463" t="s">
        <v>1320</v>
      </c>
      <c r="AB8600" s="462" t="s">
        <v>24864</v>
      </c>
      <c r="AC8600" s="462" t="s">
        <v>24865</v>
      </c>
      <c r="AD8600" s="464">
        <v>1088.9532899999999</v>
      </c>
      <c r="AE8600" s="465">
        <v>51.251260000000002</v>
      </c>
      <c r="AF8600" s="86">
        <f>IF(verze!$E$1="CZK",AD8600,IF(verze!$E$1="SK",AE8600,""))</f>
        <v>51.251260000000002</v>
      </c>
    </row>
    <row r="8601" spans="27:32" ht="15">
      <c r="AA8601" s="463" t="s">
        <v>1320</v>
      </c>
      <c r="AB8601" s="462" t="s">
        <v>24866</v>
      </c>
      <c r="AC8601" s="462" t="s">
        <v>24867</v>
      </c>
      <c r="AD8601" s="464">
        <v>1206.5958700000001</v>
      </c>
      <c r="AE8601" s="465">
        <v>56.788020000000003</v>
      </c>
      <c r="AF8601" s="86">
        <f>IF(verze!$E$1="CZK",AD8601,IF(verze!$E$1="SK",AE8601,""))</f>
        <v>56.788020000000003</v>
      </c>
    </row>
    <row r="8602" spans="27:32" ht="15">
      <c r="AA8602" s="463" t="s">
        <v>1320</v>
      </c>
      <c r="AB8602" s="462" t="s">
        <v>24868</v>
      </c>
      <c r="AC8602" s="462" t="s">
        <v>24869</v>
      </c>
      <c r="AD8602" s="464">
        <v>1359.2523100000001</v>
      </c>
      <c r="AE8602" s="465">
        <v>63.97278</v>
      </c>
      <c r="AF8602" s="86">
        <f>IF(verze!$E$1="CZK",AD8602,IF(verze!$E$1="SK",AE8602,""))</f>
        <v>63.97278</v>
      </c>
    </row>
    <row r="8603" spans="27:32" ht="15">
      <c r="AA8603" s="463" t="s">
        <v>1320</v>
      </c>
      <c r="AB8603" s="462" t="s">
        <v>24870</v>
      </c>
      <c r="AC8603" s="462" t="s">
        <v>24871</v>
      </c>
      <c r="AD8603" s="464">
        <v>1088.9532899999999</v>
      </c>
      <c r="AE8603" s="465">
        <v>51.251260000000002</v>
      </c>
      <c r="AF8603" s="86">
        <f>IF(verze!$E$1="CZK",AD8603,IF(verze!$E$1="SK",AE8603,""))</f>
        <v>51.251260000000002</v>
      </c>
    </row>
    <row r="8604" spans="27:32" ht="15">
      <c r="AA8604" s="463" t="s">
        <v>1320</v>
      </c>
      <c r="AB8604" s="462" t="s">
        <v>24872</v>
      </c>
      <c r="AC8604" s="462" t="s">
        <v>24873</v>
      </c>
      <c r="AD8604" s="464">
        <v>1185.4561699999999</v>
      </c>
      <c r="AE8604" s="465">
        <v>56.692659999999997</v>
      </c>
      <c r="AF8604" s="86">
        <f>IF(verze!$E$1="CZK",AD8604,IF(verze!$E$1="SK",AE8604,""))</f>
        <v>56.692659999999997</v>
      </c>
    </row>
    <row r="8605" spans="27:32" ht="15">
      <c r="AA8605" s="463" t="s">
        <v>1320</v>
      </c>
      <c r="AB8605" s="462" t="s">
        <v>24874</v>
      </c>
      <c r="AC8605" s="462" t="s">
        <v>24875</v>
      </c>
      <c r="AD8605" s="464">
        <v>1128.05387</v>
      </c>
      <c r="AE8605" s="465">
        <v>53.960830000000001</v>
      </c>
      <c r="AF8605" s="86">
        <f>IF(verze!$E$1="CZK",AD8605,IF(verze!$E$1="SK",AE8605,""))</f>
        <v>53.960830000000001</v>
      </c>
    </row>
    <row r="8606" spans="27:32" ht="15">
      <c r="AA8606" s="463" t="s">
        <v>1320</v>
      </c>
      <c r="AB8606" s="462" t="s">
        <v>24876</v>
      </c>
      <c r="AC8606" s="462" t="s">
        <v>24877</v>
      </c>
      <c r="AD8606" s="464">
        <v>1282.5046299999999</v>
      </c>
      <c r="AE8606" s="465">
        <v>60.971800000000002</v>
      </c>
      <c r="AF8606" s="86">
        <f>IF(verze!$E$1="CZK",AD8606,IF(verze!$E$1="SK",AE8606,""))</f>
        <v>60.971800000000002</v>
      </c>
    </row>
    <row r="8607" spans="27:32" ht="15">
      <c r="AA8607" s="463" t="s">
        <v>1320</v>
      </c>
      <c r="AB8607" s="462" t="s">
        <v>24878</v>
      </c>
      <c r="AC8607" s="462" t="s">
        <v>24879</v>
      </c>
      <c r="AD8607" s="464">
        <v>1281.2936099999999</v>
      </c>
      <c r="AE8607" s="465">
        <v>60.9148</v>
      </c>
      <c r="AF8607" s="86">
        <f>IF(verze!$E$1="CZK",AD8607,IF(verze!$E$1="SK",AE8607,""))</f>
        <v>60.9148</v>
      </c>
    </row>
    <row r="8608" spans="27:32" ht="15">
      <c r="AA8608" s="463" t="s">
        <v>1320</v>
      </c>
      <c r="AB8608" s="462" t="s">
        <v>24880</v>
      </c>
      <c r="AC8608" s="462" t="s">
        <v>24881</v>
      </c>
      <c r="AD8608" s="464">
        <v>1421.8632299999999</v>
      </c>
      <c r="AE8608" s="465">
        <v>67.530640000000005</v>
      </c>
      <c r="AF8608" s="86">
        <f>IF(verze!$E$1="CZK",AD8608,IF(verze!$E$1="SK",AE8608,""))</f>
        <v>67.530640000000005</v>
      </c>
    </row>
    <row r="8609" spans="27:32" ht="15">
      <c r="AA8609" s="463" t="s">
        <v>1320</v>
      </c>
      <c r="AB8609" s="462" t="s">
        <v>24882</v>
      </c>
      <c r="AC8609" s="462" t="s">
        <v>24883</v>
      </c>
      <c r="AD8609" s="464">
        <v>1185.4561699999999</v>
      </c>
      <c r="AE8609" s="465">
        <v>56.692659999999997</v>
      </c>
      <c r="AF8609" s="86">
        <f>IF(verze!$E$1="CZK",AD8609,IF(verze!$E$1="SK",AE8609,""))</f>
        <v>56.692659999999997</v>
      </c>
    </row>
    <row r="8610" spans="27:32" ht="15">
      <c r="AA8610" s="463" t="s">
        <v>1320</v>
      </c>
      <c r="AB8610" s="462" t="s">
        <v>24884</v>
      </c>
      <c r="AC8610" s="462" t="s">
        <v>24885</v>
      </c>
      <c r="AD8610" s="464">
        <v>1128.05387</v>
      </c>
      <c r="AE8610" s="465">
        <v>53.960830000000001</v>
      </c>
      <c r="AF8610" s="86">
        <f>IF(verze!$E$1="CZK",AD8610,IF(verze!$E$1="SK",AE8610,""))</f>
        <v>53.960830000000001</v>
      </c>
    </row>
    <row r="8611" spans="27:32" ht="15">
      <c r="AA8611" s="463" t="s">
        <v>1320</v>
      </c>
      <c r="AB8611" s="462" t="s">
        <v>24886</v>
      </c>
      <c r="AC8611" s="462" t="s">
        <v>24887</v>
      </c>
      <c r="AD8611" s="464">
        <v>1281.2936099999999</v>
      </c>
      <c r="AE8611" s="465">
        <v>60.9148</v>
      </c>
      <c r="AF8611" s="86">
        <f>IF(verze!$E$1="CZK",AD8611,IF(verze!$E$1="SK",AE8611,""))</f>
        <v>60.9148</v>
      </c>
    </row>
    <row r="8612" spans="27:32" ht="15">
      <c r="AA8612" s="463" t="s">
        <v>1320</v>
      </c>
      <c r="AB8612" s="462" t="s">
        <v>24888</v>
      </c>
      <c r="AC8612" s="462" t="s">
        <v>24889</v>
      </c>
      <c r="AD8612" s="464">
        <v>1421.8632299999999</v>
      </c>
      <c r="AE8612" s="465">
        <v>67.530640000000005</v>
      </c>
      <c r="AF8612" s="86">
        <f>IF(verze!$E$1="CZK",AD8612,IF(verze!$E$1="SK",AE8612,""))</f>
        <v>67.530640000000005</v>
      </c>
    </row>
    <row r="8613" spans="27:32" ht="15">
      <c r="AA8613" s="463" t="s">
        <v>1320</v>
      </c>
      <c r="AB8613" s="462" t="s">
        <v>24890</v>
      </c>
      <c r="AC8613" s="462" t="s">
        <v>24891</v>
      </c>
      <c r="AD8613" s="464">
        <v>1128.05387</v>
      </c>
      <c r="AE8613" s="465">
        <v>53.960830000000001</v>
      </c>
      <c r="AF8613" s="86">
        <f>IF(verze!$E$1="CZK",AD8613,IF(verze!$E$1="SK",AE8613,""))</f>
        <v>53.960830000000001</v>
      </c>
    </row>
    <row r="8614" spans="27:32" ht="15">
      <c r="AA8614" s="463" t="s">
        <v>1320</v>
      </c>
      <c r="AB8614" s="462" t="s">
        <v>24892</v>
      </c>
      <c r="AC8614" s="462" t="s">
        <v>24893</v>
      </c>
      <c r="AD8614" s="464">
        <v>1214.92293</v>
      </c>
      <c r="AE8614" s="465">
        <v>58.39085</v>
      </c>
      <c r="AF8614" s="86">
        <f>IF(verze!$E$1="CZK",AD8614,IF(verze!$E$1="SK",AE8614,""))</f>
        <v>58.39085</v>
      </c>
    </row>
    <row r="8615" spans="27:32" ht="15">
      <c r="AA8615" s="463" t="s">
        <v>1320</v>
      </c>
      <c r="AB8615" s="462" t="s">
        <v>24894</v>
      </c>
      <c r="AC8615" s="462" t="s">
        <v>24895</v>
      </c>
      <c r="AD8615" s="464">
        <v>1156.75215</v>
      </c>
      <c r="AE8615" s="465">
        <v>55.592649999999999</v>
      </c>
      <c r="AF8615" s="86">
        <f>IF(verze!$E$1="CZK",AD8615,IF(verze!$E$1="SK",AE8615,""))</f>
        <v>55.592649999999999</v>
      </c>
    </row>
    <row r="8616" spans="27:32" ht="15">
      <c r="AA8616" s="463" t="s">
        <v>1320</v>
      </c>
      <c r="AB8616" s="462" t="s">
        <v>24896</v>
      </c>
      <c r="AC8616" s="462" t="s">
        <v>24897</v>
      </c>
      <c r="AD8616" s="464">
        <v>1303.65101</v>
      </c>
      <c r="AE8616" s="465">
        <v>61.979930000000003</v>
      </c>
      <c r="AF8616" s="86">
        <f>IF(verze!$E$1="CZK",AD8616,IF(verze!$E$1="SK",AE8616,""))</f>
        <v>61.979930000000003</v>
      </c>
    </row>
    <row r="8617" spans="27:32" ht="15">
      <c r="AA8617" s="463" t="s">
        <v>1320</v>
      </c>
      <c r="AB8617" s="462" t="s">
        <v>24898</v>
      </c>
      <c r="AC8617" s="462" t="s">
        <v>24899</v>
      </c>
      <c r="AD8617" s="464">
        <v>1302.4399900000001</v>
      </c>
      <c r="AE8617" s="465">
        <v>61.922930000000001</v>
      </c>
      <c r="AF8617" s="86">
        <f>IF(verze!$E$1="CZK",AD8617,IF(verze!$E$1="SK",AE8617,""))</f>
        <v>61.922930000000001</v>
      </c>
    </row>
    <row r="8618" spans="27:32" ht="15">
      <c r="AA8618" s="463" t="s">
        <v>1320</v>
      </c>
      <c r="AB8618" s="462" t="s">
        <v>24900</v>
      </c>
      <c r="AC8618" s="462" t="s">
        <v>24901</v>
      </c>
      <c r="AD8618" s="464">
        <v>1537.7956300000001</v>
      </c>
      <c r="AE8618" s="465">
        <v>73.922210000000007</v>
      </c>
      <c r="AF8618" s="86">
        <f>IF(verze!$E$1="CZK",AD8618,IF(verze!$E$1="SK",AE8618,""))</f>
        <v>73.922210000000007</v>
      </c>
    </row>
    <row r="8619" spans="27:32" ht="15">
      <c r="AA8619" s="463" t="s">
        <v>1320</v>
      </c>
      <c r="AB8619" s="462" t="s">
        <v>24902</v>
      </c>
      <c r="AC8619" s="462" t="s">
        <v>24903</v>
      </c>
      <c r="AD8619" s="464">
        <v>1214.92293</v>
      </c>
      <c r="AE8619" s="465">
        <v>58.39085</v>
      </c>
      <c r="AF8619" s="86">
        <f>IF(verze!$E$1="CZK",AD8619,IF(verze!$E$1="SK",AE8619,""))</f>
        <v>58.39085</v>
      </c>
    </row>
    <row r="8620" spans="27:32" ht="15">
      <c r="AA8620" s="463" t="s">
        <v>1320</v>
      </c>
      <c r="AB8620" s="462" t="s">
        <v>24904</v>
      </c>
      <c r="AC8620" s="462" t="s">
        <v>24905</v>
      </c>
      <c r="AD8620" s="464">
        <v>1156.75215</v>
      </c>
      <c r="AE8620" s="465">
        <v>55.592649999999999</v>
      </c>
      <c r="AF8620" s="86">
        <f>IF(verze!$E$1="CZK",AD8620,IF(verze!$E$1="SK",AE8620,""))</f>
        <v>55.592649999999999</v>
      </c>
    </row>
    <row r="8621" spans="27:32" ht="15">
      <c r="AA8621" s="463" t="s">
        <v>1320</v>
      </c>
      <c r="AB8621" s="462" t="s">
        <v>24906</v>
      </c>
      <c r="AC8621" s="462" t="s">
        <v>24907</v>
      </c>
      <c r="AD8621" s="464">
        <v>1302.4399900000001</v>
      </c>
      <c r="AE8621" s="465">
        <v>61.922930000000001</v>
      </c>
      <c r="AF8621" s="86">
        <f>IF(verze!$E$1="CZK",AD8621,IF(verze!$E$1="SK",AE8621,""))</f>
        <v>61.922930000000001</v>
      </c>
    </row>
    <row r="8622" spans="27:32" ht="15">
      <c r="AA8622" s="463" t="s">
        <v>1320</v>
      </c>
      <c r="AB8622" s="462" t="s">
        <v>24908</v>
      </c>
      <c r="AC8622" s="462" t="s">
        <v>24909</v>
      </c>
      <c r="AD8622" s="464">
        <v>1537.7956300000001</v>
      </c>
      <c r="AE8622" s="465">
        <v>73.922210000000007</v>
      </c>
      <c r="AF8622" s="86">
        <f>IF(verze!$E$1="CZK",AD8622,IF(verze!$E$1="SK",AE8622,""))</f>
        <v>73.922210000000007</v>
      </c>
    </row>
    <row r="8623" spans="27:32" ht="15">
      <c r="AA8623" s="463" t="s">
        <v>1320</v>
      </c>
      <c r="AB8623" s="462" t="s">
        <v>24910</v>
      </c>
      <c r="AC8623" s="462" t="s">
        <v>24911</v>
      </c>
      <c r="AD8623" s="464">
        <v>1156.75215</v>
      </c>
      <c r="AE8623" s="465">
        <v>55.592649999999999</v>
      </c>
      <c r="AF8623" s="86">
        <f>IF(verze!$E$1="CZK",AD8623,IF(verze!$E$1="SK",AE8623,""))</f>
        <v>55.592649999999999</v>
      </c>
    </row>
    <row r="8624" spans="27:32" ht="15">
      <c r="AA8624" s="463" t="s">
        <v>1320</v>
      </c>
      <c r="AB8624" s="462" t="s">
        <v>24912</v>
      </c>
      <c r="AC8624" s="462" t="s">
        <v>24913</v>
      </c>
      <c r="AD8624" s="464">
        <v>1592.86636</v>
      </c>
      <c r="AE8624" s="465">
        <v>76.571299999999994</v>
      </c>
      <c r="AF8624" s="86">
        <f>IF(verze!$E$1="CZK",AD8624,IF(verze!$E$1="SK",AE8624,""))</f>
        <v>76.571299999999994</v>
      </c>
    </row>
    <row r="8625" spans="27:32" ht="15">
      <c r="AA8625" s="463" t="s">
        <v>1320</v>
      </c>
      <c r="AB8625" s="462" t="s">
        <v>24914</v>
      </c>
      <c r="AC8625" s="462" t="s">
        <v>24915</v>
      </c>
      <c r="AD8625" s="464">
        <v>1592.86636</v>
      </c>
      <c r="AE8625" s="465">
        <v>76.571299999999994</v>
      </c>
      <c r="AF8625" s="86">
        <f>IF(verze!$E$1="CZK",AD8625,IF(verze!$E$1="SK",AE8625,""))</f>
        <v>76.571299999999994</v>
      </c>
    </row>
    <row r="8626" spans="27:32" ht="15">
      <c r="AA8626" s="463" t="s">
        <v>1320</v>
      </c>
      <c r="AB8626" s="462" t="s">
        <v>24916</v>
      </c>
      <c r="AC8626" s="462" t="s">
        <v>24917</v>
      </c>
      <c r="AD8626" s="464">
        <v>1592.86636</v>
      </c>
      <c r="AE8626" s="465">
        <v>76.571299999999994</v>
      </c>
      <c r="AF8626" s="86">
        <f>IF(verze!$E$1="CZK",AD8626,IF(verze!$E$1="SK",AE8626,""))</f>
        <v>76.571299999999994</v>
      </c>
    </row>
    <row r="8627" spans="27:32" ht="15">
      <c r="AA8627" s="463" t="s">
        <v>1320</v>
      </c>
      <c r="AB8627" s="462" t="s">
        <v>24918</v>
      </c>
      <c r="AC8627" s="462" t="s">
        <v>24919</v>
      </c>
      <c r="AD8627" s="464">
        <v>1223.10419</v>
      </c>
      <c r="AE8627" s="465">
        <v>58.76737</v>
      </c>
      <c r="AF8627" s="86">
        <f>IF(verze!$E$1="CZK",AD8627,IF(verze!$E$1="SK",AE8627,""))</f>
        <v>58.76737</v>
      </c>
    </row>
    <row r="8628" spans="27:32" ht="15">
      <c r="AA8628" s="463" t="s">
        <v>1320</v>
      </c>
      <c r="AB8628" s="462" t="s">
        <v>24920</v>
      </c>
      <c r="AC8628" s="462" t="s">
        <v>24921</v>
      </c>
      <c r="AD8628" s="464">
        <v>1164.8887500000001</v>
      </c>
      <c r="AE8628" s="465">
        <v>55.966970000000003</v>
      </c>
      <c r="AF8628" s="86">
        <f>IF(verze!$E$1="CZK",AD8628,IF(verze!$E$1="SK",AE8628,""))</f>
        <v>55.966970000000003</v>
      </c>
    </row>
    <row r="8629" spans="27:32" ht="15">
      <c r="AA8629" s="463" t="s">
        <v>1320</v>
      </c>
      <c r="AB8629" s="462" t="s">
        <v>24922</v>
      </c>
      <c r="AC8629" s="462" t="s">
        <v>24923</v>
      </c>
      <c r="AD8629" s="464">
        <v>1314.13093</v>
      </c>
      <c r="AE8629" s="465">
        <v>63.146070000000002</v>
      </c>
      <c r="AF8629" s="86">
        <f>IF(verze!$E$1="CZK",AD8629,IF(verze!$E$1="SK",AE8629,""))</f>
        <v>63.146070000000002</v>
      </c>
    </row>
    <row r="8630" spans="27:32" ht="15">
      <c r="AA8630" s="463" t="s">
        <v>1320</v>
      </c>
      <c r="AB8630" s="462" t="s">
        <v>24924</v>
      </c>
      <c r="AC8630" s="462" t="s">
        <v>24925</v>
      </c>
      <c r="AD8630" s="464">
        <v>1223.10419</v>
      </c>
      <c r="AE8630" s="465">
        <v>58.76737</v>
      </c>
      <c r="AF8630" s="86">
        <f>IF(verze!$E$1="CZK",AD8630,IF(verze!$E$1="SK",AE8630,""))</f>
        <v>58.76737</v>
      </c>
    </row>
    <row r="8631" spans="27:32" ht="15">
      <c r="AA8631" s="463" t="s">
        <v>1320</v>
      </c>
      <c r="AB8631" s="462" t="s">
        <v>24926</v>
      </c>
      <c r="AC8631" s="462" t="s">
        <v>24927</v>
      </c>
      <c r="AD8631" s="464">
        <v>1164.8887500000001</v>
      </c>
      <c r="AE8631" s="465">
        <v>55.966970000000003</v>
      </c>
      <c r="AF8631" s="86">
        <f>IF(verze!$E$1="CZK",AD8631,IF(verze!$E$1="SK",AE8631,""))</f>
        <v>55.966970000000003</v>
      </c>
    </row>
    <row r="8632" spans="27:32" ht="15">
      <c r="AA8632" s="463" t="s">
        <v>1320</v>
      </c>
      <c r="AB8632" s="462" t="s">
        <v>24928</v>
      </c>
      <c r="AC8632" s="462" t="s">
        <v>24929</v>
      </c>
      <c r="AD8632" s="464">
        <v>1314.13093</v>
      </c>
      <c r="AE8632" s="465">
        <v>63.146070000000002</v>
      </c>
      <c r="AF8632" s="86">
        <f>IF(verze!$E$1="CZK",AD8632,IF(verze!$E$1="SK",AE8632,""))</f>
        <v>63.146070000000002</v>
      </c>
    </row>
    <row r="8633" spans="27:32" ht="15">
      <c r="AA8633" s="463" t="s">
        <v>1320</v>
      </c>
      <c r="AB8633" s="462" t="s">
        <v>24930</v>
      </c>
      <c r="AC8633" s="462" t="s">
        <v>24931</v>
      </c>
      <c r="AD8633" s="464">
        <v>1164.8887500000001</v>
      </c>
      <c r="AE8633" s="465">
        <v>55.966970000000003</v>
      </c>
      <c r="AF8633" s="86">
        <f>IF(verze!$E$1="CZK",AD8633,IF(verze!$E$1="SK",AE8633,""))</f>
        <v>55.966970000000003</v>
      </c>
    </row>
    <row r="8634" spans="27:32" ht="15">
      <c r="AA8634" s="463" t="s">
        <v>1320</v>
      </c>
      <c r="AB8634" s="462" t="s">
        <v>24932</v>
      </c>
      <c r="AC8634" s="462" t="s">
        <v>24933</v>
      </c>
      <c r="AD8634" s="464">
        <v>1242.26702</v>
      </c>
      <c r="AE8634" s="465">
        <v>59.689160000000001</v>
      </c>
      <c r="AF8634" s="86">
        <f>IF(verze!$E$1="CZK",AD8634,IF(verze!$E$1="SK",AE8634,""))</f>
        <v>59.689160000000001</v>
      </c>
    </row>
    <row r="8635" spans="27:32" ht="15">
      <c r="AA8635" s="463" t="s">
        <v>1320</v>
      </c>
      <c r="AB8635" s="462" t="s">
        <v>24934</v>
      </c>
      <c r="AC8635" s="462" t="s">
        <v>24935</v>
      </c>
      <c r="AD8635" s="464">
        <v>1184.04638</v>
      </c>
      <c r="AE8635" s="465">
        <v>56.88852</v>
      </c>
      <c r="AF8635" s="86">
        <f>IF(verze!$E$1="CZK",AD8635,IF(verze!$E$1="SK",AE8635,""))</f>
        <v>56.88852</v>
      </c>
    </row>
    <row r="8636" spans="27:32" ht="15">
      <c r="AA8636" s="463" t="s">
        <v>1320</v>
      </c>
      <c r="AB8636" s="462" t="s">
        <v>24936</v>
      </c>
      <c r="AC8636" s="462" t="s">
        <v>24937</v>
      </c>
      <c r="AD8636" s="464">
        <v>1323.5811799999999</v>
      </c>
      <c r="AE8636" s="465">
        <v>63.600659999999998</v>
      </c>
      <c r="AF8636" s="86">
        <f>IF(verze!$E$1="CZK",AD8636,IF(verze!$E$1="SK",AE8636,""))</f>
        <v>63.600659999999998</v>
      </c>
    </row>
    <row r="8637" spans="27:32" ht="15">
      <c r="AA8637" s="463" t="s">
        <v>1320</v>
      </c>
      <c r="AB8637" s="462" t="s">
        <v>24938</v>
      </c>
      <c r="AC8637" s="462" t="s">
        <v>24939</v>
      </c>
      <c r="AD8637" s="464">
        <v>1242.26702</v>
      </c>
      <c r="AE8637" s="465">
        <v>59.689160000000001</v>
      </c>
      <c r="AF8637" s="86">
        <f>IF(verze!$E$1="CZK",AD8637,IF(verze!$E$1="SK",AE8637,""))</f>
        <v>59.689160000000001</v>
      </c>
    </row>
    <row r="8638" spans="27:32" ht="15">
      <c r="AA8638" s="463" t="s">
        <v>1320</v>
      </c>
      <c r="AB8638" s="462" t="s">
        <v>24940</v>
      </c>
      <c r="AC8638" s="462" t="s">
        <v>24941</v>
      </c>
      <c r="AD8638" s="464">
        <v>1184.04638</v>
      </c>
      <c r="AE8638" s="465">
        <v>56.88852</v>
      </c>
      <c r="AF8638" s="86">
        <f>IF(verze!$E$1="CZK",AD8638,IF(verze!$E$1="SK",AE8638,""))</f>
        <v>56.88852</v>
      </c>
    </row>
    <row r="8639" spans="27:32" ht="15">
      <c r="AA8639" s="463" t="s">
        <v>1320</v>
      </c>
      <c r="AB8639" s="462" t="s">
        <v>24942</v>
      </c>
      <c r="AC8639" s="462" t="s">
        <v>24943</v>
      </c>
      <c r="AD8639" s="464">
        <v>1323.5811799999999</v>
      </c>
      <c r="AE8639" s="465">
        <v>63.600659999999998</v>
      </c>
      <c r="AF8639" s="86">
        <f>IF(verze!$E$1="CZK",AD8639,IF(verze!$E$1="SK",AE8639,""))</f>
        <v>63.600659999999998</v>
      </c>
    </row>
    <row r="8640" spans="27:32" ht="15">
      <c r="AA8640" s="463" t="s">
        <v>1320</v>
      </c>
      <c r="AB8640" s="462" t="s">
        <v>24944</v>
      </c>
      <c r="AC8640" s="462" t="s">
        <v>24945</v>
      </c>
      <c r="AD8640" s="464">
        <v>1184.04638</v>
      </c>
      <c r="AE8640" s="465">
        <v>56.88852</v>
      </c>
      <c r="AF8640" s="86">
        <f>IF(verze!$E$1="CZK",AD8640,IF(verze!$E$1="SK",AE8640,""))</f>
        <v>56.88852</v>
      </c>
    </row>
    <row r="8641" spans="27:32" ht="15">
      <c r="AA8641" s="463" t="s">
        <v>1320</v>
      </c>
      <c r="AB8641" s="462" t="s">
        <v>24946</v>
      </c>
      <c r="AC8641" s="462" t="s">
        <v>24947</v>
      </c>
      <c r="AD8641" s="464">
        <v>1261.4103500000001</v>
      </c>
      <c r="AE8641" s="465">
        <v>60.609990000000003</v>
      </c>
      <c r="AF8641" s="86">
        <f>IF(verze!$E$1="CZK",AD8641,IF(verze!$E$1="SK",AE8641,""))</f>
        <v>60.609990000000003</v>
      </c>
    </row>
    <row r="8642" spans="27:32" ht="15">
      <c r="AA8642" s="463" t="s">
        <v>1320</v>
      </c>
      <c r="AB8642" s="462" t="s">
        <v>24948</v>
      </c>
      <c r="AC8642" s="462" t="s">
        <v>24949</v>
      </c>
      <c r="AD8642" s="464">
        <v>1203.1949099999999</v>
      </c>
      <c r="AE8642" s="465">
        <v>57.809629999999999</v>
      </c>
      <c r="AF8642" s="86">
        <f>IF(verze!$E$1="CZK",AD8642,IF(verze!$E$1="SK",AE8642,""))</f>
        <v>57.809629999999999</v>
      </c>
    </row>
    <row r="8643" spans="27:32" ht="15">
      <c r="AA8643" s="463" t="s">
        <v>1320</v>
      </c>
      <c r="AB8643" s="462" t="s">
        <v>24950</v>
      </c>
      <c r="AC8643" s="462" t="s">
        <v>24951</v>
      </c>
      <c r="AD8643" s="464">
        <v>1340.6590100000001</v>
      </c>
      <c r="AE8643" s="465">
        <v>64.422150000000002</v>
      </c>
      <c r="AF8643" s="86">
        <f>IF(verze!$E$1="CZK",AD8643,IF(verze!$E$1="SK",AE8643,""))</f>
        <v>64.422150000000002</v>
      </c>
    </row>
    <row r="8644" spans="27:32" ht="15">
      <c r="AA8644" s="463" t="s">
        <v>1320</v>
      </c>
      <c r="AB8644" s="462" t="s">
        <v>24952</v>
      </c>
      <c r="AC8644" s="462" t="s">
        <v>24953</v>
      </c>
      <c r="AD8644" s="464">
        <v>1261.4103500000001</v>
      </c>
      <c r="AE8644" s="465">
        <v>60.609990000000003</v>
      </c>
      <c r="AF8644" s="86">
        <f>IF(verze!$E$1="CZK",AD8644,IF(verze!$E$1="SK",AE8644,""))</f>
        <v>60.609990000000003</v>
      </c>
    </row>
    <row r="8645" spans="27:32" ht="15">
      <c r="AA8645" s="463" t="s">
        <v>1320</v>
      </c>
      <c r="AB8645" s="462" t="s">
        <v>24954</v>
      </c>
      <c r="AC8645" s="462" t="s">
        <v>24955</v>
      </c>
      <c r="AD8645" s="464">
        <v>1203.1949099999999</v>
      </c>
      <c r="AE8645" s="465">
        <v>57.809629999999999</v>
      </c>
      <c r="AF8645" s="86">
        <f>IF(verze!$E$1="CZK",AD8645,IF(verze!$E$1="SK",AE8645,""))</f>
        <v>57.809629999999999</v>
      </c>
    </row>
    <row r="8646" spans="27:32" ht="15">
      <c r="AA8646" s="463" t="s">
        <v>1320</v>
      </c>
      <c r="AB8646" s="462" t="s">
        <v>24956</v>
      </c>
      <c r="AC8646" s="462" t="s">
        <v>24957</v>
      </c>
      <c r="AD8646" s="464">
        <v>1340.6590100000001</v>
      </c>
      <c r="AE8646" s="465">
        <v>64.422150000000002</v>
      </c>
      <c r="AF8646" s="86">
        <f>IF(verze!$E$1="CZK",AD8646,IF(verze!$E$1="SK",AE8646,""))</f>
        <v>64.422150000000002</v>
      </c>
    </row>
    <row r="8647" spans="27:32" ht="15">
      <c r="AA8647" s="463" t="s">
        <v>1320</v>
      </c>
      <c r="AB8647" s="462" t="s">
        <v>24958</v>
      </c>
      <c r="AC8647" s="462" t="s">
        <v>24959</v>
      </c>
      <c r="AD8647" s="464">
        <v>1203.1949099999999</v>
      </c>
      <c r="AE8647" s="465">
        <v>57.809629999999999</v>
      </c>
      <c r="AF8647" s="86">
        <f>IF(verze!$E$1="CZK",AD8647,IF(verze!$E$1="SK",AE8647,""))</f>
        <v>57.809629999999999</v>
      </c>
    </row>
    <row r="8648" spans="27:32" ht="15">
      <c r="AA8648" s="463" t="s">
        <v>1320</v>
      </c>
      <c r="AB8648" s="462" t="s">
        <v>24960</v>
      </c>
      <c r="AC8648" s="462" t="s">
        <v>24961</v>
      </c>
      <c r="AD8648" s="464">
        <v>1262.5094799999999</v>
      </c>
      <c r="AE8648" s="465">
        <v>59.97634</v>
      </c>
      <c r="AF8648" s="86">
        <f>IF(verze!$E$1="CZK",AD8648,IF(verze!$E$1="SK",AE8648,""))</f>
        <v>59.97634</v>
      </c>
    </row>
    <row r="8649" spans="27:32" ht="15">
      <c r="AA8649" s="463" t="s">
        <v>1320</v>
      </c>
      <c r="AB8649" s="462" t="s">
        <v>24962</v>
      </c>
      <c r="AC8649" s="462" t="s">
        <v>24963</v>
      </c>
      <c r="AD8649" s="464">
        <v>1204.28908</v>
      </c>
      <c r="AE8649" s="465">
        <v>57.175780000000003</v>
      </c>
      <c r="AF8649" s="86">
        <f>IF(verze!$E$1="CZK",AD8649,IF(verze!$E$1="SK",AE8649,""))</f>
        <v>57.175780000000003</v>
      </c>
    </row>
    <row r="8650" spans="27:32" ht="15">
      <c r="AA8650" s="463" t="s">
        <v>1320</v>
      </c>
      <c r="AB8650" s="462" t="s">
        <v>24964</v>
      </c>
      <c r="AC8650" s="462" t="s">
        <v>24965</v>
      </c>
      <c r="AD8650" s="464">
        <v>1323.3265200000001</v>
      </c>
      <c r="AE8650" s="465">
        <v>62.281979999999997</v>
      </c>
      <c r="AF8650" s="86">
        <f>IF(verze!$E$1="CZK",AD8650,IF(verze!$E$1="SK",AE8650,""))</f>
        <v>62.281979999999997</v>
      </c>
    </row>
    <row r="8651" spans="27:32" ht="15">
      <c r="AA8651" s="463" t="s">
        <v>1320</v>
      </c>
      <c r="AB8651" s="462" t="s">
        <v>24966</v>
      </c>
      <c r="AC8651" s="462" t="s">
        <v>24967</v>
      </c>
      <c r="AD8651" s="464">
        <v>1463.91058</v>
      </c>
      <c r="AE8651" s="465">
        <v>68.898539999999997</v>
      </c>
      <c r="AF8651" s="86">
        <f>IF(verze!$E$1="CZK",AD8651,IF(verze!$E$1="SK",AE8651,""))</f>
        <v>68.898539999999997</v>
      </c>
    </row>
    <row r="8652" spans="27:32" ht="15">
      <c r="AA8652" s="463" t="s">
        <v>1320</v>
      </c>
      <c r="AB8652" s="462" t="s">
        <v>24968</v>
      </c>
      <c r="AC8652" s="462" t="s">
        <v>24969</v>
      </c>
      <c r="AD8652" s="464">
        <v>1262.5094799999999</v>
      </c>
      <c r="AE8652" s="465">
        <v>59.97634</v>
      </c>
      <c r="AF8652" s="86">
        <f>IF(verze!$E$1="CZK",AD8652,IF(verze!$E$1="SK",AE8652,""))</f>
        <v>59.97634</v>
      </c>
    </row>
    <row r="8653" spans="27:32" ht="15">
      <c r="AA8653" s="463" t="s">
        <v>1320</v>
      </c>
      <c r="AB8653" s="462" t="s">
        <v>24970</v>
      </c>
      <c r="AC8653" s="462" t="s">
        <v>24971</v>
      </c>
      <c r="AD8653" s="464">
        <v>1204.28908</v>
      </c>
      <c r="AE8653" s="465">
        <v>57.175780000000003</v>
      </c>
      <c r="AF8653" s="86">
        <f>IF(verze!$E$1="CZK",AD8653,IF(verze!$E$1="SK",AE8653,""))</f>
        <v>57.175780000000003</v>
      </c>
    </row>
    <row r="8654" spans="27:32" ht="15">
      <c r="AA8654" s="463" t="s">
        <v>1320</v>
      </c>
      <c r="AB8654" s="462" t="s">
        <v>24972</v>
      </c>
      <c r="AC8654" s="462" t="s">
        <v>24973</v>
      </c>
      <c r="AD8654" s="464">
        <v>1323.3265200000001</v>
      </c>
      <c r="AE8654" s="465">
        <v>62.281979999999997</v>
      </c>
      <c r="AF8654" s="86">
        <f>IF(verze!$E$1="CZK",AD8654,IF(verze!$E$1="SK",AE8654,""))</f>
        <v>62.281979999999997</v>
      </c>
    </row>
    <row r="8655" spans="27:32" ht="15">
      <c r="AA8655" s="463" t="s">
        <v>1320</v>
      </c>
      <c r="AB8655" s="462" t="s">
        <v>24974</v>
      </c>
      <c r="AC8655" s="462" t="s">
        <v>24975</v>
      </c>
      <c r="AD8655" s="464">
        <v>1463.91058</v>
      </c>
      <c r="AE8655" s="465">
        <v>68.898539999999997</v>
      </c>
      <c r="AF8655" s="86">
        <f>IF(verze!$E$1="CZK",AD8655,IF(verze!$E$1="SK",AE8655,""))</f>
        <v>68.898539999999997</v>
      </c>
    </row>
    <row r="8656" spans="27:32" ht="15">
      <c r="AA8656" s="463" t="s">
        <v>1320</v>
      </c>
      <c r="AB8656" s="462" t="s">
        <v>24976</v>
      </c>
      <c r="AC8656" s="462" t="s">
        <v>24977</v>
      </c>
      <c r="AD8656" s="464">
        <v>1204.28908</v>
      </c>
      <c r="AE8656" s="465">
        <v>57.175780000000003</v>
      </c>
      <c r="AF8656" s="86">
        <f>IF(verze!$E$1="CZK",AD8656,IF(verze!$E$1="SK",AE8656,""))</f>
        <v>57.175780000000003</v>
      </c>
    </row>
    <row r="8657" spans="27:32" ht="15">
      <c r="AA8657" s="463" t="s">
        <v>1320</v>
      </c>
      <c r="AB8657" s="462" t="s">
        <v>24978</v>
      </c>
      <c r="AC8657" s="462" t="s">
        <v>24979</v>
      </c>
      <c r="AD8657" s="464">
        <v>1266.90725</v>
      </c>
      <c r="AE8657" s="465">
        <v>59.626600000000003</v>
      </c>
      <c r="AF8657" s="86">
        <f>IF(verze!$E$1="CZK",AD8657,IF(verze!$E$1="SK",AE8657,""))</f>
        <v>59.626600000000003</v>
      </c>
    </row>
    <row r="8658" spans="27:32" ht="15">
      <c r="AA8658" s="463" t="s">
        <v>1320</v>
      </c>
      <c r="AB8658" s="462" t="s">
        <v>24980</v>
      </c>
      <c r="AC8658" s="462" t="s">
        <v>24981</v>
      </c>
      <c r="AD8658" s="464">
        <v>1210.23525</v>
      </c>
      <c r="AE8658" s="465">
        <v>56.959400000000002</v>
      </c>
      <c r="AF8658" s="86">
        <f>IF(verze!$E$1="CZK",AD8658,IF(verze!$E$1="SK",AE8658,""))</f>
        <v>56.959400000000002</v>
      </c>
    </row>
    <row r="8659" spans="27:32" ht="15">
      <c r="AA8659" s="463" t="s">
        <v>1320</v>
      </c>
      <c r="AB8659" s="462" t="s">
        <v>24982</v>
      </c>
      <c r="AC8659" s="462" t="s">
        <v>24983</v>
      </c>
      <c r="AD8659" s="464">
        <v>1327.8778299999999</v>
      </c>
      <c r="AE8659" s="465">
        <v>62.496160000000003</v>
      </c>
      <c r="AF8659" s="86">
        <f>IF(verze!$E$1="CZK",AD8659,IF(verze!$E$1="SK",AE8659,""))</f>
        <v>62.496160000000003</v>
      </c>
    </row>
    <row r="8660" spans="27:32" ht="15">
      <c r="AA8660" s="463" t="s">
        <v>1320</v>
      </c>
      <c r="AB8660" s="462" t="s">
        <v>24984</v>
      </c>
      <c r="AC8660" s="462" t="s">
        <v>24985</v>
      </c>
      <c r="AD8660" s="464">
        <v>1480.5342700000001</v>
      </c>
      <c r="AE8660" s="465">
        <v>69.68092</v>
      </c>
      <c r="AF8660" s="86">
        <f>IF(verze!$E$1="CZK",AD8660,IF(verze!$E$1="SK",AE8660,""))</f>
        <v>69.68092</v>
      </c>
    </row>
    <row r="8661" spans="27:32" ht="15">
      <c r="AA8661" s="463" t="s">
        <v>1320</v>
      </c>
      <c r="AB8661" s="462" t="s">
        <v>24986</v>
      </c>
      <c r="AC8661" s="462" t="s">
        <v>24987</v>
      </c>
      <c r="AD8661" s="464">
        <v>1266.90725</v>
      </c>
      <c r="AE8661" s="465">
        <v>59.626600000000003</v>
      </c>
      <c r="AF8661" s="86">
        <f>IF(verze!$E$1="CZK",AD8661,IF(verze!$E$1="SK",AE8661,""))</f>
        <v>59.626600000000003</v>
      </c>
    </row>
    <row r="8662" spans="27:32" ht="15">
      <c r="AA8662" s="463" t="s">
        <v>1320</v>
      </c>
      <c r="AB8662" s="462" t="s">
        <v>24988</v>
      </c>
      <c r="AC8662" s="462" t="s">
        <v>24989</v>
      </c>
      <c r="AD8662" s="464">
        <v>1210.23525</v>
      </c>
      <c r="AE8662" s="465">
        <v>56.959400000000002</v>
      </c>
      <c r="AF8662" s="86">
        <f>IF(verze!$E$1="CZK",AD8662,IF(verze!$E$1="SK",AE8662,""))</f>
        <v>56.959400000000002</v>
      </c>
    </row>
    <row r="8663" spans="27:32" ht="15">
      <c r="AA8663" s="463" t="s">
        <v>1320</v>
      </c>
      <c r="AB8663" s="462" t="s">
        <v>24990</v>
      </c>
      <c r="AC8663" s="462" t="s">
        <v>24991</v>
      </c>
      <c r="AD8663" s="464">
        <v>1327.8778299999999</v>
      </c>
      <c r="AE8663" s="465">
        <v>62.496160000000003</v>
      </c>
      <c r="AF8663" s="86">
        <f>IF(verze!$E$1="CZK",AD8663,IF(verze!$E$1="SK",AE8663,""))</f>
        <v>62.496160000000003</v>
      </c>
    </row>
    <row r="8664" spans="27:32" ht="15">
      <c r="AA8664" s="463" t="s">
        <v>1320</v>
      </c>
      <c r="AB8664" s="462" t="s">
        <v>24992</v>
      </c>
      <c r="AC8664" s="462" t="s">
        <v>24993</v>
      </c>
      <c r="AD8664" s="464">
        <v>1480.5342700000001</v>
      </c>
      <c r="AE8664" s="465">
        <v>69.68092</v>
      </c>
      <c r="AF8664" s="86">
        <f>IF(verze!$E$1="CZK",AD8664,IF(verze!$E$1="SK",AE8664,""))</f>
        <v>69.68092</v>
      </c>
    </row>
    <row r="8665" spans="27:32" ht="15">
      <c r="AA8665" s="463" t="s">
        <v>1320</v>
      </c>
      <c r="AB8665" s="462" t="s">
        <v>24994</v>
      </c>
      <c r="AC8665" s="462" t="s">
        <v>24995</v>
      </c>
      <c r="AD8665" s="464">
        <v>1210.23525</v>
      </c>
      <c r="AE8665" s="465">
        <v>56.959400000000002</v>
      </c>
      <c r="AF8665" s="86">
        <f>IF(verze!$E$1="CZK",AD8665,IF(verze!$E$1="SK",AE8665,""))</f>
        <v>56.959400000000002</v>
      </c>
    </row>
    <row r="8666" spans="27:32" ht="15">
      <c r="AA8666" s="463" t="s">
        <v>1320</v>
      </c>
      <c r="AB8666" s="462" t="s">
        <v>24996</v>
      </c>
      <c r="AC8666" s="462" t="s">
        <v>24997</v>
      </c>
      <c r="AD8666" s="464">
        <v>1311.4416799999999</v>
      </c>
      <c r="AE8666" s="465">
        <v>62.735959999999999</v>
      </c>
      <c r="AF8666" s="86">
        <f>IF(verze!$E$1="CZK",AD8666,IF(verze!$E$1="SK",AE8666,""))</f>
        <v>62.735959999999999</v>
      </c>
    </row>
    <row r="8667" spans="27:32" ht="15">
      <c r="AA8667" s="463" t="s">
        <v>1320</v>
      </c>
      <c r="AB8667" s="462" t="s">
        <v>24998</v>
      </c>
      <c r="AC8667" s="462" t="s">
        <v>24999</v>
      </c>
      <c r="AD8667" s="464">
        <v>1254.0393799999999</v>
      </c>
      <c r="AE8667" s="465">
        <v>60.004130000000004</v>
      </c>
      <c r="AF8667" s="86">
        <f>IF(verze!$E$1="CZK",AD8667,IF(verze!$E$1="SK",AE8667,""))</f>
        <v>60.004130000000004</v>
      </c>
    </row>
    <row r="8668" spans="27:32" ht="15">
      <c r="AA8668" s="463" t="s">
        <v>1320</v>
      </c>
      <c r="AB8668" s="462" t="s">
        <v>25000</v>
      </c>
      <c r="AC8668" s="462" t="s">
        <v>25001</v>
      </c>
      <c r="AD8668" s="464">
        <v>1407.2791199999999</v>
      </c>
      <c r="AE8668" s="465">
        <v>66.958100000000002</v>
      </c>
      <c r="AF8668" s="86">
        <f>IF(verze!$E$1="CZK",AD8668,IF(verze!$E$1="SK",AE8668,""))</f>
        <v>66.958100000000002</v>
      </c>
    </row>
    <row r="8669" spans="27:32" ht="15">
      <c r="AA8669" s="463" t="s">
        <v>1320</v>
      </c>
      <c r="AB8669" s="462" t="s">
        <v>25002</v>
      </c>
      <c r="AC8669" s="462" t="s">
        <v>25003</v>
      </c>
      <c r="AD8669" s="464">
        <v>1547.8487399999999</v>
      </c>
      <c r="AE8669" s="465">
        <v>73.573939999999993</v>
      </c>
      <c r="AF8669" s="86">
        <f>IF(verze!$E$1="CZK",AD8669,IF(verze!$E$1="SK",AE8669,""))</f>
        <v>73.573939999999993</v>
      </c>
    </row>
    <row r="8670" spans="27:32" ht="15">
      <c r="AA8670" s="463" t="s">
        <v>1320</v>
      </c>
      <c r="AB8670" s="462" t="s">
        <v>25004</v>
      </c>
      <c r="AC8670" s="462" t="s">
        <v>25005</v>
      </c>
      <c r="AD8670" s="464">
        <v>1311.4416799999999</v>
      </c>
      <c r="AE8670" s="465">
        <v>62.735959999999999</v>
      </c>
      <c r="AF8670" s="86">
        <f>IF(verze!$E$1="CZK",AD8670,IF(verze!$E$1="SK",AE8670,""))</f>
        <v>62.735959999999999</v>
      </c>
    </row>
    <row r="8671" spans="27:32" ht="15">
      <c r="AA8671" s="463" t="s">
        <v>1320</v>
      </c>
      <c r="AB8671" s="462" t="s">
        <v>25006</v>
      </c>
      <c r="AC8671" s="462" t="s">
        <v>25007</v>
      </c>
      <c r="AD8671" s="464">
        <v>1254.0393799999999</v>
      </c>
      <c r="AE8671" s="465">
        <v>60.004130000000004</v>
      </c>
      <c r="AF8671" s="86">
        <f>IF(verze!$E$1="CZK",AD8671,IF(verze!$E$1="SK",AE8671,""))</f>
        <v>60.004130000000004</v>
      </c>
    </row>
    <row r="8672" spans="27:32" ht="15">
      <c r="AA8672" s="463" t="s">
        <v>1320</v>
      </c>
      <c r="AB8672" s="462" t="s">
        <v>25008</v>
      </c>
      <c r="AC8672" s="462" t="s">
        <v>25009</v>
      </c>
      <c r="AD8672" s="464">
        <v>1407.2791199999999</v>
      </c>
      <c r="AE8672" s="465">
        <v>66.958100000000002</v>
      </c>
      <c r="AF8672" s="86">
        <f>IF(verze!$E$1="CZK",AD8672,IF(verze!$E$1="SK",AE8672,""))</f>
        <v>66.958100000000002</v>
      </c>
    </row>
    <row r="8673" spans="27:32" ht="15">
      <c r="AA8673" s="463" t="s">
        <v>1320</v>
      </c>
      <c r="AB8673" s="462" t="s">
        <v>25010</v>
      </c>
      <c r="AC8673" s="462" t="s">
        <v>25011</v>
      </c>
      <c r="AD8673" s="464">
        <v>1547.8487399999999</v>
      </c>
      <c r="AE8673" s="465">
        <v>73.573939999999993</v>
      </c>
      <c r="AF8673" s="86">
        <f>IF(verze!$E$1="CZK",AD8673,IF(verze!$E$1="SK",AE8673,""))</f>
        <v>73.573939999999993</v>
      </c>
    </row>
    <row r="8674" spans="27:32" ht="15">
      <c r="AA8674" s="463" t="s">
        <v>1320</v>
      </c>
      <c r="AB8674" s="462" t="s">
        <v>25012</v>
      </c>
      <c r="AC8674" s="462" t="s">
        <v>25013</v>
      </c>
      <c r="AD8674" s="464">
        <v>1254.0393799999999</v>
      </c>
      <c r="AE8674" s="465">
        <v>60.004130000000004</v>
      </c>
      <c r="AF8674" s="86">
        <f>IF(verze!$E$1="CZK",AD8674,IF(verze!$E$1="SK",AE8674,""))</f>
        <v>60.004130000000004</v>
      </c>
    </row>
    <row r="8675" spans="27:32" ht="15">
      <c r="AA8675" s="463" t="s">
        <v>1320</v>
      </c>
      <c r="AB8675" s="462" t="s">
        <v>25014</v>
      </c>
      <c r="AC8675" s="462" t="s">
        <v>25015</v>
      </c>
      <c r="AD8675" s="464">
        <v>1343.6994099999999</v>
      </c>
      <c r="AE8675" s="465">
        <v>64.568399999999997</v>
      </c>
      <c r="AF8675" s="86">
        <f>IF(verze!$E$1="CZK",AD8675,IF(verze!$E$1="SK",AE8675,""))</f>
        <v>64.568399999999997</v>
      </c>
    </row>
    <row r="8676" spans="27:32" ht="15">
      <c r="AA8676" s="463" t="s">
        <v>1320</v>
      </c>
      <c r="AB8676" s="462" t="s">
        <v>25016</v>
      </c>
      <c r="AC8676" s="462" t="s">
        <v>25017</v>
      </c>
      <c r="AD8676" s="464">
        <v>1285.52863</v>
      </c>
      <c r="AE8676" s="465">
        <v>61.770200000000003</v>
      </c>
      <c r="AF8676" s="86">
        <f>IF(verze!$E$1="CZK",AD8676,IF(verze!$E$1="SK",AE8676,""))</f>
        <v>61.770200000000003</v>
      </c>
    </row>
    <row r="8677" spans="27:32" ht="15">
      <c r="AA8677" s="463" t="s">
        <v>1320</v>
      </c>
      <c r="AB8677" s="462" t="s">
        <v>25018</v>
      </c>
      <c r="AC8677" s="462" t="s">
        <v>25019</v>
      </c>
      <c r="AD8677" s="464">
        <v>1431.2164700000001</v>
      </c>
      <c r="AE8677" s="465">
        <v>68.100480000000005</v>
      </c>
      <c r="AF8677" s="86">
        <f>IF(verze!$E$1="CZK",AD8677,IF(verze!$E$1="SK",AE8677,""))</f>
        <v>68.100480000000005</v>
      </c>
    </row>
    <row r="8678" spans="27:32" ht="15">
      <c r="AA8678" s="463" t="s">
        <v>1320</v>
      </c>
      <c r="AB8678" s="462" t="s">
        <v>25020</v>
      </c>
      <c r="AC8678" s="462" t="s">
        <v>25021</v>
      </c>
      <c r="AD8678" s="464">
        <v>1666.5721100000001</v>
      </c>
      <c r="AE8678" s="465">
        <v>80.099760000000003</v>
      </c>
      <c r="AF8678" s="86">
        <f>IF(verze!$E$1="CZK",AD8678,IF(verze!$E$1="SK",AE8678,""))</f>
        <v>80.099760000000003</v>
      </c>
    </row>
    <row r="8679" spans="27:32" ht="15">
      <c r="AA8679" s="463" t="s">
        <v>1320</v>
      </c>
      <c r="AB8679" s="462" t="s">
        <v>25022</v>
      </c>
      <c r="AC8679" s="462" t="s">
        <v>25023</v>
      </c>
      <c r="AD8679" s="464">
        <v>1343.6994099999999</v>
      </c>
      <c r="AE8679" s="465">
        <v>64.568399999999997</v>
      </c>
      <c r="AF8679" s="86">
        <f>IF(verze!$E$1="CZK",AD8679,IF(verze!$E$1="SK",AE8679,""))</f>
        <v>64.568399999999997</v>
      </c>
    </row>
    <row r="8680" spans="27:32" ht="15">
      <c r="AA8680" s="463" t="s">
        <v>1320</v>
      </c>
      <c r="AB8680" s="462" t="s">
        <v>25024</v>
      </c>
      <c r="AC8680" s="462" t="s">
        <v>25025</v>
      </c>
      <c r="AD8680" s="464">
        <v>1285.52863</v>
      </c>
      <c r="AE8680" s="465">
        <v>61.770200000000003</v>
      </c>
      <c r="AF8680" s="86">
        <f>IF(verze!$E$1="CZK",AD8680,IF(verze!$E$1="SK",AE8680,""))</f>
        <v>61.770200000000003</v>
      </c>
    </row>
    <row r="8681" spans="27:32" ht="15">
      <c r="AA8681" s="463" t="s">
        <v>1320</v>
      </c>
      <c r="AB8681" s="462" t="s">
        <v>25026</v>
      </c>
      <c r="AC8681" s="462" t="s">
        <v>25027</v>
      </c>
      <c r="AD8681" s="464">
        <v>1431.2164700000001</v>
      </c>
      <c r="AE8681" s="465">
        <v>68.100480000000005</v>
      </c>
      <c r="AF8681" s="86">
        <f>IF(verze!$E$1="CZK",AD8681,IF(verze!$E$1="SK",AE8681,""))</f>
        <v>68.100480000000005</v>
      </c>
    </row>
    <row r="8682" spans="27:32" ht="15">
      <c r="AA8682" s="463" t="s">
        <v>1320</v>
      </c>
      <c r="AB8682" s="462" t="s">
        <v>25028</v>
      </c>
      <c r="AC8682" s="462" t="s">
        <v>25029</v>
      </c>
      <c r="AD8682" s="464">
        <v>1666.5721100000001</v>
      </c>
      <c r="AE8682" s="465">
        <v>80.099760000000003</v>
      </c>
      <c r="AF8682" s="86">
        <f>IF(verze!$E$1="CZK",AD8682,IF(verze!$E$1="SK",AE8682,""))</f>
        <v>80.099760000000003</v>
      </c>
    </row>
    <row r="8683" spans="27:32" ht="15">
      <c r="AA8683" s="463" t="s">
        <v>1320</v>
      </c>
      <c r="AB8683" s="462" t="s">
        <v>25030</v>
      </c>
      <c r="AC8683" s="462" t="s">
        <v>25031</v>
      </c>
      <c r="AD8683" s="464">
        <v>1285.52863</v>
      </c>
      <c r="AE8683" s="465">
        <v>61.770200000000003</v>
      </c>
      <c r="AF8683" s="86">
        <f>IF(verze!$E$1="CZK",AD8683,IF(verze!$E$1="SK",AE8683,""))</f>
        <v>61.770200000000003</v>
      </c>
    </row>
    <row r="8684" spans="27:32" ht="15">
      <c r="AA8684" s="463" t="s">
        <v>1320</v>
      </c>
      <c r="AB8684" s="462" t="s">
        <v>25032</v>
      </c>
      <c r="AC8684" s="462" t="s">
        <v>25033</v>
      </c>
      <c r="AD8684" s="464">
        <v>1721.6451199999999</v>
      </c>
      <c r="AE8684" s="465">
        <v>82.748980000000003</v>
      </c>
      <c r="AF8684" s="86">
        <f>IF(verze!$E$1="CZK",AD8684,IF(verze!$E$1="SK",AE8684,""))</f>
        <v>82.748980000000003</v>
      </c>
    </row>
    <row r="8685" spans="27:32" ht="15">
      <c r="AA8685" s="463" t="s">
        <v>1320</v>
      </c>
      <c r="AB8685" s="462" t="s">
        <v>25034</v>
      </c>
      <c r="AC8685" s="462" t="s">
        <v>25035</v>
      </c>
      <c r="AD8685" s="464">
        <v>1721.6451199999999</v>
      </c>
      <c r="AE8685" s="465">
        <v>82.748980000000003</v>
      </c>
      <c r="AF8685" s="86">
        <f>IF(verze!$E$1="CZK",AD8685,IF(verze!$E$1="SK",AE8685,""))</f>
        <v>82.748980000000003</v>
      </c>
    </row>
    <row r="8686" spans="27:32" ht="15">
      <c r="AA8686" s="463" t="s">
        <v>1320</v>
      </c>
      <c r="AB8686" s="462" t="s">
        <v>25036</v>
      </c>
      <c r="AC8686" s="462" t="s">
        <v>25037</v>
      </c>
      <c r="AD8686" s="464">
        <v>1721.6451199999999</v>
      </c>
      <c r="AE8686" s="465">
        <v>82.748980000000003</v>
      </c>
      <c r="AF8686" s="86">
        <f>IF(verze!$E$1="CZK",AD8686,IF(verze!$E$1="SK",AE8686,""))</f>
        <v>82.748980000000003</v>
      </c>
    </row>
    <row r="8687" spans="27:32" ht="15">
      <c r="AA8687" s="463" t="s">
        <v>1320</v>
      </c>
      <c r="AB8687" s="462" t="s">
        <v>25038</v>
      </c>
      <c r="AC8687" s="462" t="s">
        <v>25039</v>
      </c>
      <c r="AD8687" s="464">
        <v>1386.32412</v>
      </c>
      <c r="AE8687" s="465">
        <v>66.584609999999998</v>
      </c>
      <c r="AF8687" s="86">
        <f>IF(verze!$E$1="CZK",AD8687,IF(verze!$E$1="SK",AE8687,""))</f>
        <v>66.584609999999998</v>
      </c>
    </row>
    <row r="8688" spans="27:32" ht="15">
      <c r="AA8688" s="463" t="s">
        <v>1320</v>
      </c>
      <c r="AB8688" s="462" t="s">
        <v>25040</v>
      </c>
      <c r="AC8688" s="462" t="s">
        <v>25041</v>
      </c>
      <c r="AD8688" s="464">
        <v>1328.0985800000001</v>
      </c>
      <c r="AE8688" s="465">
        <v>63.783749999999998</v>
      </c>
      <c r="AF8688" s="86">
        <f>IF(verze!$E$1="CZK",AD8688,IF(verze!$E$1="SK",AE8688,""))</f>
        <v>63.783749999999998</v>
      </c>
    </row>
    <row r="8689" spans="27:32" ht="15">
      <c r="AA8689" s="463" t="s">
        <v>1320</v>
      </c>
      <c r="AB8689" s="462" t="s">
        <v>25042</v>
      </c>
      <c r="AC8689" s="462" t="s">
        <v>25043</v>
      </c>
      <c r="AD8689" s="464">
        <v>1478.3032000000001</v>
      </c>
      <c r="AE8689" s="465">
        <v>71.009129999999999</v>
      </c>
      <c r="AF8689" s="86">
        <f>IF(verze!$E$1="CZK",AD8689,IF(verze!$E$1="SK",AE8689,""))</f>
        <v>71.009129999999999</v>
      </c>
    </row>
    <row r="8690" spans="27:32" ht="15">
      <c r="AA8690" s="463" t="s">
        <v>1320</v>
      </c>
      <c r="AB8690" s="462" t="s">
        <v>25044</v>
      </c>
      <c r="AC8690" s="462" t="s">
        <v>25045</v>
      </c>
      <c r="AD8690" s="464">
        <v>1386.32412</v>
      </c>
      <c r="AE8690" s="465">
        <v>66.584609999999998</v>
      </c>
      <c r="AF8690" s="86">
        <f>IF(verze!$E$1="CZK",AD8690,IF(verze!$E$1="SK",AE8690,""))</f>
        <v>66.584609999999998</v>
      </c>
    </row>
    <row r="8691" spans="27:32" ht="15">
      <c r="AA8691" s="463" t="s">
        <v>1320</v>
      </c>
      <c r="AB8691" s="462" t="s">
        <v>25046</v>
      </c>
      <c r="AC8691" s="462" t="s">
        <v>25047</v>
      </c>
      <c r="AD8691" s="464">
        <v>1328.0985800000001</v>
      </c>
      <c r="AE8691" s="465">
        <v>63.783749999999998</v>
      </c>
      <c r="AF8691" s="86">
        <f>IF(verze!$E$1="CZK",AD8691,IF(verze!$E$1="SK",AE8691,""))</f>
        <v>63.783749999999998</v>
      </c>
    </row>
    <row r="8692" spans="27:32" ht="15">
      <c r="AA8692" s="463" t="s">
        <v>1320</v>
      </c>
      <c r="AB8692" s="462" t="s">
        <v>25048</v>
      </c>
      <c r="AC8692" s="462" t="s">
        <v>25049</v>
      </c>
      <c r="AD8692" s="464">
        <v>1478.3032000000001</v>
      </c>
      <c r="AE8692" s="465">
        <v>71.009129999999999</v>
      </c>
      <c r="AF8692" s="86">
        <f>IF(verze!$E$1="CZK",AD8692,IF(verze!$E$1="SK",AE8692,""))</f>
        <v>71.009129999999999</v>
      </c>
    </row>
    <row r="8693" spans="27:32" ht="15">
      <c r="AA8693" s="463" t="s">
        <v>1320</v>
      </c>
      <c r="AB8693" s="462" t="s">
        <v>25050</v>
      </c>
      <c r="AC8693" s="462" t="s">
        <v>25051</v>
      </c>
      <c r="AD8693" s="464">
        <v>1328.0985800000001</v>
      </c>
      <c r="AE8693" s="465">
        <v>63.783749999999998</v>
      </c>
      <c r="AF8693" s="86">
        <f>IF(verze!$E$1="CZK",AD8693,IF(verze!$E$1="SK",AE8693,""))</f>
        <v>63.783749999999998</v>
      </c>
    </row>
    <row r="8694" spans="27:32" ht="15">
      <c r="AA8694" s="463" t="s">
        <v>1320</v>
      </c>
      <c r="AB8694" s="462" t="s">
        <v>25052</v>
      </c>
      <c r="AC8694" s="462" t="s">
        <v>25053</v>
      </c>
      <c r="AD8694" s="464">
        <v>1394.4666</v>
      </c>
      <c r="AE8694" s="465">
        <v>66.976280000000003</v>
      </c>
      <c r="AF8694" s="86">
        <f>IF(verze!$E$1="CZK",AD8694,IF(verze!$E$1="SK",AE8694,""))</f>
        <v>66.976280000000003</v>
      </c>
    </row>
    <row r="8695" spans="27:32" ht="15">
      <c r="AA8695" s="463" t="s">
        <v>1320</v>
      </c>
      <c r="AB8695" s="462" t="s">
        <v>25054</v>
      </c>
      <c r="AC8695" s="462" t="s">
        <v>25055</v>
      </c>
      <c r="AD8695" s="464">
        <v>1336.25116</v>
      </c>
      <c r="AE8695" s="465">
        <v>64.175880000000006</v>
      </c>
      <c r="AF8695" s="86">
        <f>IF(verze!$E$1="CZK",AD8695,IF(verze!$E$1="SK",AE8695,""))</f>
        <v>64.175880000000006</v>
      </c>
    </row>
    <row r="8696" spans="27:32" ht="15">
      <c r="AA8696" s="463" t="s">
        <v>1320</v>
      </c>
      <c r="AB8696" s="462" t="s">
        <v>25056</v>
      </c>
      <c r="AC8696" s="462" t="s">
        <v>25057</v>
      </c>
      <c r="AD8696" s="464">
        <v>1485.49334</v>
      </c>
      <c r="AE8696" s="465">
        <v>71.354979999999998</v>
      </c>
      <c r="AF8696" s="86">
        <f>IF(verze!$E$1="CZK",AD8696,IF(verze!$E$1="SK",AE8696,""))</f>
        <v>71.354979999999998</v>
      </c>
    </row>
    <row r="8697" spans="27:32" ht="15">
      <c r="AA8697" s="463" t="s">
        <v>1320</v>
      </c>
      <c r="AB8697" s="462" t="s">
        <v>25058</v>
      </c>
      <c r="AC8697" s="462" t="s">
        <v>25059</v>
      </c>
      <c r="AD8697" s="464">
        <v>1394.4666</v>
      </c>
      <c r="AE8697" s="465">
        <v>66.976280000000003</v>
      </c>
      <c r="AF8697" s="86">
        <f>IF(verze!$E$1="CZK",AD8697,IF(verze!$E$1="SK",AE8697,""))</f>
        <v>66.976280000000003</v>
      </c>
    </row>
    <row r="8698" spans="27:32" ht="15">
      <c r="AA8698" s="463" t="s">
        <v>1320</v>
      </c>
      <c r="AB8698" s="462" t="s">
        <v>25060</v>
      </c>
      <c r="AC8698" s="462" t="s">
        <v>25061</v>
      </c>
      <c r="AD8698" s="464">
        <v>1336.25116</v>
      </c>
      <c r="AE8698" s="465">
        <v>64.175880000000006</v>
      </c>
      <c r="AF8698" s="86">
        <f>IF(verze!$E$1="CZK",AD8698,IF(verze!$E$1="SK",AE8698,""))</f>
        <v>64.175880000000006</v>
      </c>
    </row>
    <row r="8699" spans="27:32" ht="15">
      <c r="AA8699" s="463" t="s">
        <v>1320</v>
      </c>
      <c r="AB8699" s="462" t="s">
        <v>25062</v>
      </c>
      <c r="AC8699" s="462" t="s">
        <v>25063</v>
      </c>
      <c r="AD8699" s="464">
        <v>1485.49334</v>
      </c>
      <c r="AE8699" s="465">
        <v>71.354979999999998</v>
      </c>
      <c r="AF8699" s="86">
        <f>IF(verze!$E$1="CZK",AD8699,IF(verze!$E$1="SK",AE8699,""))</f>
        <v>71.354979999999998</v>
      </c>
    </row>
    <row r="8700" spans="27:32" ht="15">
      <c r="AA8700" s="463" t="s">
        <v>1320</v>
      </c>
      <c r="AB8700" s="462" t="s">
        <v>25064</v>
      </c>
      <c r="AC8700" s="462" t="s">
        <v>25065</v>
      </c>
      <c r="AD8700" s="464">
        <v>1336.25116</v>
      </c>
      <c r="AE8700" s="465">
        <v>64.175880000000006</v>
      </c>
      <c r="AF8700" s="86">
        <f>IF(verze!$E$1="CZK",AD8700,IF(verze!$E$1="SK",AE8700,""))</f>
        <v>64.175880000000006</v>
      </c>
    </row>
    <row r="8701" spans="27:32" ht="15">
      <c r="AA8701" s="463" t="s">
        <v>1320</v>
      </c>
      <c r="AB8701" s="462" t="s">
        <v>25066</v>
      </c>
      <c r="AC8701" s="462" t="s">
        <v>25067</v>
      </c>
      <c r="AD8701" s="464">
        <v>1416.1759500000001</v>
      </c>
      <c r="AE8701" s="465">
        <v>68.020579999999995</v>
      </c>
      <c r="AF8701" s="86">
        <f>IF(verze!$E$1="CZK",AD8701,IF(verze!$E$1="SK",AE8701,""))</f>
        <v>68.020579999999995</v>
      </c>
    </row>
    <row r="8702" spans="27:32" ht="15">
      <c r="AA8702" s="463" t="s">
        <v>1320</v>
      </c>
      <c r="AB8702" s="462" t="s">
        <v>25068</v>
      </c>
      <c r="AC8702" s="462" t="s">
        <v>25069</v>
      </c>
      <c r="AD8702" s="464">
        <v>1357.9553100000001</v>
      </c>
      <c r="AE8702" s="465">
        <v>65.219939999999994</v>
      </c>
      <c r="AF8702" s="86">
        <f>IF(verze!$E$1="CZK",AD8702,IF(verze!$E$1="SK",AE8702,""))</f>
        <v>65.219939999999994</v>
      </c>
    </row>
    <row r="8703" spans="27:32" ht="15">
      <c r="AA8703" s="463" t="s">
        <v>1320</v>
      </c>
      <c r="AB8703" s="462" t="s">
        <v>25070</v>
      </c>
      <c r="AC8703" s="462" t="s">
        <v>25071</v>
      </c>
      <c r="AD8703" s="464">
        <v>1497.49011</v>
      </c>
      <c r="AE8703" s="465">
        <v>71.932079999999999</v>
      </c>
      <c r="AF8703" s="86">
        <f>IF(verze!$E$1="CZK",AD8703,IF(verze!$E$1="SK",AE8703,""))</f>
        <v>71.932079999999999</v>
      </c>
    </row>
    <row r="8704" spans="27:32" ht="15">
      <c r="AA8704" s="463" t="s">
        <v>1320</v>
      </c>
      <c r="AB8704" s="462" t="s">
        <v>25072</v>
      </c>
      <c r="AC8704" s="462" t="s">
        <v>25073</v>
      </c>
      <c r="AD8704" s="464">
        <v>1416.1759500000001</v>
      </c>
      <c r="AE8704" s="465">
        <v>68.020579999999995</v>
      </c>
      <c r="AF8704" s="86">
        <f>IF(verze!$E$1="CZK",AD8704,IF(verze!$E$1="SK",AE8704,""))</f>
        <v>68.020579999999995</v>
      </c>
    </row>
    <row r="8705" spans="27:32" ht="15">
      <c r="AA8705" s="463" t="s">
        <v>1320</v>
      </c>
      <c r="AB8705" s="462" t="s">
        <v>25074</v>
      </c>
      <c r="AC8705" s="462" t="s">
        <v>25075</v>
      </c>
      <c r="AD8705" s="464">
        <v>1357.9553100000001</v>
      </c>
      <c r="AE8705" s="465">
        <v>65.219939999999994</v>
      </c>
      <c r="AF8705" s="86">
        <f>IF(verze!$E$1="CZK",AD8705,IF(verze!$E$1="SK",AE8705,""))</f>
        <v>65.219939999999994</v>
      </c>
    </row>
    <row r="8706" spans="27:32" ht="15">
      <c r="AA8706" s="463" t="s">
        <v>1320</v>
      </c>
      <c r="AB8706" s="462" t="s">
        <v>25076</v>
      </c>
      <c r="AC8706" s="462" t="s">
        <v>25077</v>
      </c>
      <c r="AD8706" s="464">
        <v>1497.49011</v>
      </c>
      <c r="AE8706" s="465">
        <v>71.932079999999999</v>
      </c>
      <c r="AF8706" s="86">
        <f>IF(verze!$E$1="CZK",AD8706,IF(verze!$E$1="SK",AE8706,""))</f>
        <v>71.932079999999999</v>
      </c>
    </row>
    <row r="8707" spans="27:32" ht="15">
      <c r="AA8707" s="463" t="s">
        <v>1320</v>
      </c>
      <c r="AB8707" s="462" t="s">
        <v>25078</v>
      </c>
      <c r="AC8707" s="462" t="s">
        <v>25079</v>
      </c>
      <c r="AD8707" s="464">
        <v>1357.9553100000001</v>
      </c>
      <c r="AE8707" s="465">
        <v>65.219939999999994</v>
      </c>
      <c r="AF8707" s="86">
        <f>IF(verze!$E$1="CZK",AD8707,IF(verze!$E$1="SK",AE8707,""))</f>
        <v>65.219939999999994</v>
      </c>
    </row>
    <row r="8708" spans="27:32" ht="15">
      <c r="AA8708" s="463" t="s">
        <v>1320</v>
      </c>
      <c r="AB8708" s="462" t="s">
        <v>25080</v>
      </c>
      <c r="AC8708" s="462" t="s">
        <v>25081</v>
      </c>
      <c r="AD8708" s="464">
        <v>1437.87006</v>
      </c>
      <c r="AE8708" s="465">
        <v>69.064120000000003</v>
      </c>
      <c r="AF8708" s="86">
        <f>IF(verze!$E$1="CZK",AD8708,IF(verze!$E$1="SK",AE8708,""))</f>
        <v>69.064120000000003</v>
      </c>
    </row>
    <row r="8709" spans="27:32" ht="15">
      <c r="AA8709" s="463" t="s">
        <v>1320</v>
      </c>
      <c r="AB8709" s="462" t="s">
        <v>25082</v>
      </c>
      <c r="AC8709" s="462" t="s">
        <v>25083</v>
      </c>
      <c r="AD8709" s="464">
        <v>1379.65462</v>
      </c>
      <c r="AE8709" s="465">
        <v>66.263760000000005</v>
      </c>
      <c r="AF8709" s="86">
        <f>IF(verze!$E$1="CZK",AD8709,IF(verze!$E$1="SK",AE8709,""))</f>
        <v>66.263760000000005</v>
      </c>
    </row>
    <row r="8710" spans="27:32" ht="15">
      <c r="AA8710" s="463" t="s">
        <v>1320</v>
      </c>
      <c r="AB8710" s="462" t="s">
        <v>25084</v>
      </c>
      <c r="AC8710" s="462" t="s">
        <v>25085</v>
      </c>
      <c r="AD8710" s="464">
        <v>1518.33394</v>
      </c>
      <c r="AE8710" s="465">
        <v>72.933480000000003</v>
      </c>
      <c r="AF8710" s="86">
        <f>IF(verze!$E$1="CZK",AD8710,IF(verze!$E$1="SK",AE8710,""))</f>
        <v>72.933480000000003</v>
      </c>
    </row>
    <row r="8711" spans="27:32" ht="15">
      <c r="AA8711" s="463" t="s">
        <v>1320</v>
      </c>
      <c r="AB8711" s="462" t="s">
        <v>25086</v>
      </c>
      <c r="AC8711" s="462" t="s">
        <v>25087</v>
      </c>
      <c r="AD8711" s="464">
        <v>1517.1187199999999</v>
      </c>
      <c r="AE8711" s="465">
        <v>72.876279999999994</v>
      </c>
      <c r="AF8711" s="86">
        <f>IF(verze!$E$1="CZK",AD8711,IF(verze!$E$1="SK",AE8711,""))</f>
        <v>72.876279999999994</v>
      </c>
    </row>
    <row r="8712" spans="27:32" ht="15">
      <c r="AA8712" s="463" t="s">
        <v>1320</v>
      </c>
      <c r="AB8712" s="462" t="s">
        <v>25088</v>
      </c>
      <c r="AC8712" s="462" t="s">
        <v>25089</v>
      </c>
      <c r="AD8712" s="464">
        <v>1437.87006</v>
      </c>
      <c r="AE8712" s="465">
        <v>69.064120000000003</v>
      </c>
      <c r="AF8712" s="86">
        <f>IF(verze!$E$1="CZK",AD8712,IF(verze!$E$1="SK",AE8712,""))</f>
        <v>69.064120000000003</v>
      </c>
    </row>
    <row r="8713" spans="27:32" ht="15">
      <c r="AA8713" s="463" t="s">
        <v>1320</v>
      </c>
      <c r="AB8713" s="462" t="s">
        <v>25090</v>
      </c>
      <c r="AC8713" s="462" t="s">
        <v>25091</v>
      </c>
      <c r="AD8713" s="464">
        <v>1379.65462</v>
      </c>
      <c r="AE8713" s="465">
        <v>66.263760000000005</v>
      </c>
      <c r="AF8713" s="86">
        <f>IF(verze!$E$1="CZK",AD8713,IF(verze!$E$1="SK",AE8713,""))</f>
        <v>66.263760000000005</v>
      </c>
    </row>
    <row r="8714" spans="27:32" ht="15">
      <c r="AA8714" s="463" t="s">
        <v>1320</v>
      </c>
      <c r="AB8714" s="462" t="s">
        <v>25092</v>
      </c>
      <c r="AC8714" s="462" t="s">
        <v>25093</v>
      </c>
      <c r="AD8714" s="464">
        <v>1517.1187199999999</v>
      </c>
      <c r="AE8714" s="465">
        <v>72.876279999999994</v>
      </c>
      <c r="AF8714" s="86">
        <f>IF(verze!$E$1="CZK",AD8714,IF(verze!$E$1="SK",AE8714,""))</f>
        <v>72.876279999999994</v>
      </c>
    </row>
    <row r="8715" spans="27:32" ht="15">
      <c r="AA8715" s="463" t="s">
        <v>1320</v>
      </c>
      <c r="AB8715" s="462" t="s">
        <v>25094</v>
      </c>
      <c r="AC8715" s="462" t="s">
        <v>25095</v>
      </c>
      <c r="AD8715" s="464">
        <v>1379.65462</v>
      </c>
      <c r="AE8715" s="465">
        <v>66.263760000000005</v>
      </c>
      <c r="AF8715" s="86">
        <f>IF(verze!$E$1="CZK",AD8715,IF(verze!$E$1="SK",AE8715,""))</f>
        <v>66.263760000000005</v>
      </c>
    </row>
    <row r="8716" spans="27:32" ht="15">
      <c r="AA8716" s="463" t="s">
        <v>1320</v>
      </c>
      <c r="AB8716" s="462" t="s">
        <v>25096</v>
      </c>
      <c r="AC8716" s="462" t="s">
        <v>25097</v>
      </c>
      <c r="AD8716" s="464">
        <v>1437.62851</v>
      </c>
      <c r="AE8716" s="465">
        <v>68.218220000000002</v>
      </c>
      <c r="AF8716" s="86">
        <f>IF(verze!$E$1="CZK",AD8716,IF(verze!$E$1="SK",AE8716,""))</f>
        <v>68.218220000000002</v>
      </c>
    </row>
    <row r="8717" spans="27:32" ht="15">
      <c r="AA8717" s="463" t="s">
        <v>1320</v>
      </c>
      <c r="AB8717" s="462" t="s">
        <v>25098</v>
      </c>
      <c r="AC8717" s="462" t="s">
        <v>25099</v>
      </c>
      <c r="AD8717" s="464">
        <v>1379.4081100000001</v>
      </c>
      <c r="AE8717" s="465">
        <v>65.417659999999998</v>
      </c>
      <c r="AF8717" s="86">
        <f>IF(verze!$E$1="CZK",AD8717,IF(verze!$E$1="SK",AE8717,""))</f>
        <v>65.417659999999998</v>
      </c>
    </row>
    <row r="8718" spans="27:32" ht="15">
      <c r="AA8718" s="463" t="s">
        <v>1320</v>
      </c>
      <c r="AB8718" s="462" t="s">
        <v>25100</v>
      </c>
      <c r="AC8718" s="462" t="s">
        <v>25101</v>
      </c>
      <c r="AD8718" s="464">
        <v>1499.66077</v>
      </c>
      <c r="AE8718" s="465">
        <v>70.581059999999994</v>
      </c>
      <c r="AF8718" s="86">
        <f>IF(verze!$E$1="CZK",AD8718,IF(verze!$E$1="SK",AE8718,""))</f>
        <v>70.581059999999994</v>
      </c>
    </row>
    <row r="8719" spans="27:32" ht="15">
      <c r="AA8719" s="463" t="s">
        <v>1320</v>
      </c>
      <c r="AB8719" s="462" t="s">
        <v>25102</v>
      </c>
      <c r="AC8719" s="462" t="s">
        <v>25103</v>
      </c>
      <c r="AD8719" s="464">
        <v>1498.4455499999999</v>
      </c>
      <c r="AE8719" s="465">
        <v>70.523859999999999</v>
      </c>
      <c r="AF8719" s="86">
        <f>IF(verze!$E$1="CZK",AD8719,IF(verze!$E$1="SK",AE8719,""))</f>
        <v>70.523859999999999</v>
      </c>
    </row>
    <row r="8720" spans="27:32" ht="15">
      <c r="AA8720" s="463" t="s">
        <v>1320</v>
      </c>
      <c r="AB8720" s="462" t="s">
        <v>25104</v>
      </c>
      <c r="AC8720" s="462" t="s">
        <v>25105</v>
      </c>
      <c r="AD8720" s="464">
        <v>1639.02961</v>
      </c>
      <c r="AE8720" s="465">
        <v>77.140420000000006</v>
      </c>
      <c r="AF8720" s="86">
        <f>IF(verze!$E$1="CZK",AD8720,IF(verze!$E$1="SK",AE8720,""))</f>
        <v>77.140420000000006</v>
      </c>
    </row>
    <row r="8721" spans="27:32" ht="15">
      <c r="AA8721" s="463" t="s">
        <v>1320</v>
      </c>
      <c r="AB8721" s="462" t="s">
        <v>25106</v>
      </c>
      <c r="AC8721" s="462" t="s">
        <v>25107</v>
      </c>
      <c r="AD8721" s="464">
        <v>1437.62851</v>
      </c>
      <c r="AE8721" s="465">
        <v>68.218220000000002</v>
      </c>
      <c r="AF8721" s="86">
        <f>IF(verze!$E$1="CZK",AD8721,IF(verze!$E$1="SK",AE8721,""))</f>
        <v>68.218220000000002</v>
      </c>
    </row>
    <row r="8722" spans="27:32" ht="15">
      <c r="AA8722" s="463" t="s">
        <v>1320</v>
      </c>
      <c r="AB8722" s="462" t="s">
        <v>25108</v>
      </c>
      <c r="AC8722" s="462" t="s">
        <v>25109</v>
      </c>
      <c r="AD8722" s="464">
        <v>1379.4081100000001</v>
      </c>
      <c r="AE8722" s="465">
        <v>65.417659999999998</v>
      </c>
      <c r="AF8722" s="86">
        <f>IF(verze!$E$1="CZK",AD8722,IF(verze!$E$1="SK",AE8722,""))</f>
        <v>65.417659999999998</v>
      </c>
    </row>
    <row r="8723" spans="27:32" ht="15">
      <c r="AA8723" s="463" t="s">
        <v>1320</v>
      </c>
      <c r="AB8723" s="462" t="s">
        <v>25110</v>
      </c>
      <c r="AC8723" s="462" t="s">
        <v>25111</v>
      </c>
      <c r="AD8723" s="464">
        <v>1498.4455499999999</v>
      </c>
      <c r="AE8723" s="465">
        <v>70.523859999999999</v>
      </c>
      <c r="AF8723" s="86">
        <f>IF(verze!$E$1="CZK",AD8723,IF(verze!$E$1="SK",AE8723,""))</f>
        <v>70.523859999999999</v>
      </c>
    </row>
    <row r="8724" spans="27:32" ht="15">
      <c r="AA8724" s="463" t="s">
        <v>1320</v>
      </c>
      <c r="AB8724" s="462" t="s">
        <v>25112</v>
      </c>
      <c r="AC8724" s="462" t="s">
        <v>25113</v>
      </c>
      <c r="AD8724" s="464">
        <v>1639.02961</v>
      </c>
      <c r="AE8724" s="465">
        <v>77.140420000000006</v>
      </c>
      <c r="AF8724" s="86">
        <f>IF(verze!$E$1="CZK",AD8724,IF(verze!$E$1="SK",AE8724,""))</f>
        <v>77.140420000000006</v>
      </c>
    </row>
    <row r="8725" spans="27:32" ht="15">
      <c r="AA8725" s="463" t="s">
        <v>1320</v>
      </c>
      <c r="AB8725" s="462" t="s">
        <v>25114</v>
      </c>
      <c r="AC8725" s="462" t="s">
        <v>25115</v>
      </c>
      <c r="AD8725" s="464">
        <v>1379.4081100000001</v>
      </c>
      <c r="AE8725" s="465">
        <v>65.417659999999998</v>
      </c>
      <c r="AF8725" s="86">
        <f>IF(verze!$E$1="CZK",AD8725,IF(verze!$E$1="SK",AE8725,""))</f>
        <v>65.417659999999998</v>
      </c>
    </row>
    <row r="8726" spans="27:32" ht="15">
      <c r="AA8726" s="463" t="s">
        <v>1320</v>
      </c>
      <c r="AB8726" s="462" t="s">
        <v>25116</v>
      </c>
      <c r="AC8726" s="462" t="s">
        <v>25117</v>
      </c>
      <c r="AD8726" s="464">
        <v>1444.5049799999999</v>
      </c>
      <c r="AE8726" s="465">
        <v>67.985159999999993</v>
      </c>
      <c r="AF8726" s="86">
        <f>IF(verze!$E$1="CZK",AD8726,IF(verze!$E$1="SK",AE8726,""))</f>
        <v>67.985159999999993</v>
      </c>
    </row>
    <row r="8727" spans="27:32" ht="15">
      <c r="AA8727" s="463" t="s">
        <v>1320</v>
      </c>
      <c r="AB8727" s="462" t="s">
        <v>25118</v>
      </c>
      <c r="AC8727" s="462" t="s">
        <v>25119</v>
      </c>
      <c r="AD8727" s="464">
        <v>1387.8329799999999</v>
      </c>
      <c r="AE8727" s="465">
        <v>65.317959999999999</v>
      </c>
      <c r="AF8727" s="86">
        <f>IF(verze!$E$1="CZK",AD8727,IF(verze!$E$1="SK",AE8727,""))</f>
        <v>65.317959999999999</v>
      </c>
    </row>
    <row r="8728" spans="27:32" ht="15">
      <c r="AA8728" s="463" t="s">
        <v>1320</v>
      </c>
      <c r="AB8728" s="462" t="s">
        <v>25120</v>
      </c>
      <c r="AC8728" s="462" t="s">
        <v>25121</v>
      </c>
      <c r="AD8728" s="464">
        <v>1506.6907799999999</v>
      </c>
      <c r="AE8728" s="465">
        <v>70.911919999999995</v>
      </c>
      <c r="AF8728" s="86">
        <f>IF(verze!$E$1="CZK",AD8728,IF(verze!$E$1="SK",AE8728,""))</f>
        <v>70.911919999999995</v>
      </c>
    </row>
    <row r="8729" spans="27:32" ht="15">
      <c r="AA8729" s="463" t="s">
        <v>1320</v>
      </c>
      <c r="AB8729" s="462" t="s">
        <v>25122</v>
      </c>
      <c r="AC8729" s="462" t="s">
        <v>25123</v>
      </c>
      <c r="AD8729" s="464">
        <v>1505.4755600000001</v>
      </c>
      <c r="AE8729" s="465">
        <v>70.85472</v>
      </c>
      <c r="AF8729" s="86">
        <f>IF(verze!$E$1="CZK",AD8729,IF(verze!$E$1="SK",AE8729,""))</f>
        <v>70.85472</v>
      </c>
    </row>
    <row r="8730" spans="27:32" ht="15">
      <c r="AA8730" s="463" t="s">
        <v>1320</v>
      </c>
      <c r="AB8730" s="462" t="s">
        <v>25124</v>
      </c>
      <c r="AC8730" s="462" t="s">
        <v>25125</v>
      </c>
      <c r="AD8730" s="464">
        <v>1658.1320000000001</v>
      </c>
      <c r="AE8730" s="465">
        <v>78.039479999999998</v>
      </c>
      <c r="AF8730" s="86">
        <f>IF(verze!$E$1="CZK",AD8730,IF(verze!$E$1="SK",AE8730,""))</f>
        <v>78.039479999999998</v>
      </c>
    </row>
    <row r="8731" spans="27:32" ht="15">
      <c r="AA8731" s="463" t="s">
        <v>1320</v>
      </c>
      <c r="AB8731" s="462" t="s">
        <v>25126</v>
      </c>
      <c r="AC8731" s="462" t="s">
        <v>25127</v>
      </c>
      <c r="AD8731" s="464">
        <v>1444.5049799999999</v>
      </c>
      <c r="AE8731" s="465">
        <v>67.985159999999993</v>
      </c>
      <c r="AF8731" s="86">
        <f>IF(verze!$E$1="CZK",AD8731,IF(verze!$E$1="SK",AE8731,""))</f>
        <v>67.985159999999993</v>
      </c>
    </row>
    <row r="8732" spans="27:32" ht="15">
      <c r="AA8732" s="463" t="s">
        <v>1320</v>
      </c>
      <c r="AB8732" s="462" t="s">
        <v>25128</v>
      </c>
      <c r="AC8732" s="462" t="s">
        <v>25129</v>
      </c>
      <c r="AD8732" s="464">
        <v>1387.8329799999999</v>
      </c>
      <c r="AE8732" s="465">
        <v>65.317959999999999</v>
      </c>
      <c r="AF8732" s="86">
        <f>IF(verze!$E$1="CZK",AD8732,IF(verze!$E$1="SK",AE8732,""))</f>
        <v>65.317959999999999</v>
      </c>
    </row>
    <row r="8733" spans="27:32" ht="15">
      <c r="AA8733" s="463" t="s">
        <v>1320</v>
      </c>
      <c r="AB8733" s="462" t="s">
        <v>25130</v>
      </c>
      <c r="AC8733" s="462" t="s">
        <v>25131</v>
      </c>
      <c r="AD8733" s="464">
        <v>1505.4755600000001</v>
      </c>
      <c r="AE8733" s="465">
        <v>70.85472</v>
      </c>
      <c r="AF8733" s="86">
        <f>IF(verze!$E$1="CZK",AD8733,IF(verze!$E$1="SK",AE8733,""))</f>
        <v>70.85472</v>
      </c>
    </row>
    <row r="8734" spans="27:32" ht="15">
      <c r="AA8734" s="463" t="s">
        <v>1320</v>
      </c>
      <c r="AB8734" s="462" t="s">
        <v>25132</v>
      </c>
      <c r="AC8734" s="462" t="s">
        <v>25133</v>
      </c>
      <c r="AD8734" s="464">
        <v>1658.1320000000001</v>
      </c>
      <c r="AE8734" s="465">
        <v>78.039479999999998</v>
      </c>
      <c r="AF8734" s="86">
        <f>IF(verze!$E$1="CZK",AD8734,IF(verze!$E$1="SK",AE8734,""))</f>
        <v>78.039479999999998</v>
      </c>
    </row>
    <row r="8735" spans="27:32" ht="15">
      <c r="AA8735" s="463" t="s">
        <v>1320</v>
      </c>
      <c r="AB8735" s="462" t="s">
        <v>25134</v>
      </c>
      <c r="AC8735" s="462" t="s">
        <v>25135</v>
      </c>
      <c r="AD8735" s="464">
        <v>1387.8329799999999</v>
      </c>
      <c r="AE8735" s="465">
        <v>65.317959999999999</v>
      </c>
      <c r="AF8735" s="86">
        <f>IF(verze!$E$1="CZK",AD8735,IF(verze!$E$1="SK",AE8735,""))</f>
        <v>65.317959999999999</v>
      </c>
    </row>
    <row r="8736" spans="27:32" ht="15">
      <c r="AA8736" s="463" t="s">
        <v>1320</v>
      </c>
      <c r="AB8736" s="462" t="s">
        <v>25136</v>
      </c>
      <c r="AC8736" s="462" t="s">
        <v>25137</v>
      </c>
      <c r="AD8736" s="464">
        <v>1495.5409</v>
      </c>
      <c r="AE8736" s="465">
        <v>71.557569999999998</v>
      </c>
      <c r="AF8736" s="86">
        <f>IF(verze!$E$1="CZK",AD8736,IF(verze!$E$1="SK",AE8736,""))</f>
        <v>71.557569999999998</v>
      </c>
    </row>
    <row r="8737" spans="27:32" ht="15">
      <c r="AA8737" s="463" t="s">
        <v>1320</v>
      </c>
      <c r="AB8737" s="462" t="s">
        <v>25138</v>
      </c>
      <c r="AC8737" s="462" t="s">
        <v>25139</v>
      </c>
      <c r="AD8737" s="464">
        <v>1438.1386</v>
      </c>
      <c r="AE8737" s="465">
        <v>68.825739999999996</v>
      </c>
      <c r="AF8737" s="86">
        <f>IF(verze!$E$1="CZK",AD8737,IF(verze!$E$1="SK",AE8737,""))</f>
        <v>68.825739999999996</v>
      </c>
    </row>
    <row r="8738" spans="27:32" ht="15">
      <c r="AA8738" s="463" t="s">
        <v>1320</v>
      </c>
      <c r="AB8738" s="462" t="s">
        <v>25140</v>
      </c>
      <c r="AC8738" s="462" t="s">
        <v>25141</v>
      </c>
      <c r="AD8738" s="464">
        <v>1592.59356</v>
      </c>
      <c r="AE8738" s="465">
        <v>75.836910000000003</v>
      </c>
      <c r="AF8738" s="86">
        <f>IF(verze!$E$1="CZK",AD8738,IF(verze!$E$1="SK",AE8738,""))</f>
        <v>75.836910000000003</v>
      </c>
    </row>
    <row r="8739" spans="27:32" ht="15">
      <c r="AA8739" s="463" t="s">
        <v>1320</v>
      </c>
      <c r="AB8739" s="462" t="s">
        <v>25142</v>
      </c>
      <c r="AC8739" s="462" t="s">
        <v>25143</v>
      </c>
      <c r="AD8739" s="464">
        <v>1591.37834</v>
      </c>
      <c r="AE8739" s="465">
        <v>75.779709999999994</v>
      </c>
      <c r="AF8739" s="86">
        <f>IF(verze!$E$1="CZK",AD8739,IF(verze!$E$1="SK",AE8739,""))</f>
        <v>75.779709999999994</v>
      </c>
    </row>
    <row r="8740" spans="27:32" ht="15">
      <c r="AA8740" s="463" t="s">
        <v>1320</v>
      </c>
      <c r="AB8740" s="462" t="s">
        <v>25144</v>
      </c>
      <c r="AC8740" s="462" t="s">
        <v>25145</v>
      </c>
      <c r="AD8740" s="464">
        <v>1731.94796</v>
      </c>
      <c r="AE8740" s="465">
        <v>82.39555</v>
      </c>
      <c r="AF8740" s="86">
        <f>IF(verze!$E$1="CZK",AD8740,IF(verze!$E$1="SK",AE8740,""))</f>
        <v>82.39555</v>
      </c>
    </row>
    <row r="8741" spans="27:32" ht="15">
      <c r="AA8741" s="463" t="s">
        <v>1320</v>
      </c>
      <c r="AB8741" s="462" t="s">
        <v>25146</v>
      </c>
      <c r="AC8741" s="462" t="s">
        <v>25147</v>
      </c>
      <c r="AD8741" s="464">
        <v>1495.5409</v>
      </c>
      <c r="AE8741" s="465">
        <v>71.557569999999998</v>
      </c>
      <c r="AF8741" s="86">
        <f>IF(verze!$E$1="CZK",AD8741,IF(verze!$E$1="SK",AE8741,""))</f>
        <v>71.557569999999998</v>
      </c>
    </row>
    <row r="8742" spans="27:32" ht="15">
      <c r="AA8742" s="463" t="s">
        <v>1320</v>
      </c>
      <c r="AB8742" s="462" t="s">
        <v>25148</v>
      </c>
      <c r="AC8742" s="462" t="s">
        <v>25149</v>
      </c>
      <c r="AD8742" s="464">
        <v>1438.1386</v>
      </c>
      <c r="AE8742" s="465">
        <v>68.825739999999996</v>
      </c>
      <c r="AF8742" s="86">
        <f>IF(verze!$E$1="CZK",AD8742,IF(verze!$E$1="SK",AE8742,""))</f>
        <v>68.825739999999996</v>
      </c>
    </row>
    <row r="8743" spans="27:32" ht="15">
      <c r="AA8743" s="463" t="s">
        <v>1320</v>
      </c>
      <c r="AB8743" s="462" t="s">
        <v>25150</v>
      </c>
      <c r="AC8743" s="462" t="s">
        <v>25151</v>
      </c>
      <c r="AD8743" s="464">
        <v>1591.37834</v>
      </c>
      <c r="AE8743" s="465">
        <v>75.779709999999994</v>
      </c>
      <c r="AF8743" s="86">
        <f>IF(verze!$E$1="CZK",AD8743,IF(verze!$E$1="SK",AE8743,""))</f>
        <v>75.779709999999994</v>
      </c>
    </row>
    <row r="8744" spans="27:32" ht="15">
      <c r="AA8744" s="463" t="s">
        <v>1320</v>
      </c>
      <c r="AB8744" s="462" t="s">
        <v>25152</v>
      </c>
      <c r="AC8744" s="462" t="s">
        <v>25153</v>
      </c>
      <c r="AD8744" s="464">
        <v>1731.94796</v>
      </c>
      <c r="AE8744" s="465">
        <v>82.39555</v>
      </c>
      <c r="AF8744" s="86">
        <f>IF(verze!$E$1="CZK",AD8744,IF(verze!$E$1="SK",AE8744,""))</f>
        <v>82.39555</v>
      </c>
    </row>
    <row r="8745" spans="27:32" ht="15">
      <c r="AA8745" s="463" t="s">
        <v>1320</v>
      </c>
      <c r="AB8745" s="462" t="s">
        <v>25154</v>
      </c>
      <c r="AC8745" s="462" t="s">
        <v>25155</v>
      </c>
      <c r="AD8745" s="464">
        <v>1438.1386</v>
      </c>
      <c r="AE8745" s="465">
        <v>68.825739999999996</v>
      </c>
      <c r="AF8745" s="86">
        <f>IF(verze!$E$1="CZK",AD8745,IF(verze!$E$1="SK",AE8745,""))</f>
        <v>68.825739999999996</v>
      </c>
    </row>
    <row r="8746" spans="27:32" ht="15">
      <c r="AA8746" s="463" t="s">
        <v>1320</v>
      </c>
      <c r="AB8746" s="462" t="s">
        <v>25156</v>
      </c>
      <c r="AC8746" s="462" t="s">
        <v>25157</v>
      </c>
      <c r="AD8746" s="464">
        <v>1531.64273</v>
      </c>
      <c r="AE8746" s="465">
        <v>73.574929999999995</v>
      </c>
      <c r="AF8746" s="86">
        <f>IF(verze!$E$1="CZK",AD8746,IF(verze!$E$1="SK",AE8746,""))</f>
        <v>73.574929999999995</v>
      </c>
    </row>
    <row r="8747" spans="27:32" ht="15">
      <c r="AA8747" s="463" t="s">
        <v>1320</v>
      </c>
      <c r="AB8747" s="462" t="s">
        <v>25158</v>
      </c>
      <c r="AC8747" s="462" t="s">
        <v>25159</v>
      </c>
      <c r="AD8747" s="464">
        <v>1473.4719500000001</v>
      </c>
      <c r="AE8747" s="465">
        <v>70.776730000000001</v>
      </c>
      <c r="AF8747" s="86">
        <f>IF(verze!$E$1="CZK",AD8747,IF(verze!$E$1="SK",AE8747,""))</f>
        <v>70.776730000000001</v>
      </c>
    </row>
    <row r="8748" spans="27:32" ht="15">
      <c r="AA8748" s="463" t="s">
        <v>1320</v>
      </c>
      <c r="AB8748" s="462" t="s">
        <v>25160</v>
      </c>
      <c r="AC8748" s="462" t="s">
        <v>25161</v>
      </c>
      <c r="AD8748" s="464">
        <v>1620.37501</v>
      </c>
      <c r="AE8748" s="465">
        <v>77.164209999999997</v>
      </c>
      <c r="AF8748" s="86">
        <f>IF(verze!$E$1="CZK",AD8748,IF(verze!$E$1="SK",AE8748,""))</f>
        <v>77.164209999999997</v>
      </c>
    </row>
    <row r="8749" spans="27:32" ht="15">
      <c r="AA8749" s="463" t="s">
        <v>1320</v>
      </c>
      <c r="AB8749" s="462" t="s">
        <v>25162</v>
      </c>
      <c r="AC8749" s="462" t="s">
        <v>25163</v>
      </c>
      <c r="AD8749" s="464">
        <v>1619.1597899999999</v>
      </c>
      <c r="AE8749" s="465">
        <v>77.107010000000002</v>
      </c>
      <c r="AF8749" s="86">
        <f>IF(verze!$E$1="CZK",AD8749,IF(verze!$E$1="SK",AE8749,""))</f>
        <v>77.107010000000002</v>
      </c>
    </row>
    <row r="8750" spans="27:32" ht="15">
      <c r="AA8750" s="463" t="s">
        <v>1320</v>
      </c>
      <c r="AB8750" s="462" t="s">
        <v>25164</v>
      </c>
      <c r="AC8750" s="462" t="s">
        <v>25165</v>
      </c>
      <c r="AD8750" s="464">
        <v>1854.5154299999999</v>
      </c>
      <c r="AE8750" s="465">
        <v>89.106290000000001</v>
      </c>
      <c r="AF8750" s="86">
        <f>IF(verze!$E$1="CZK",AD8750,IF(verze!$E$1="SK",AE8750,""))</f>
        <v>89.106290000000001</v>
      </c>
    </row>
    <row r="8751" spans="27:32" ht="15">
      <c r="AA8751" s="463" t="s">
        <v>1320</v>
      </c>
      <c r="AB8751" s="462" t="s">
        <v>25166</v>
      </c>
      <c r="AC8751" s="462" t="s">
        <v>25167</v>
      </c>
      <c r="AD8751" s="464">
        <v>1531.64273</v>
      </c>
      <c r="AE8751" s="465">
        <v>73.574929999999995</v>
      </c>
      <c r="AF8751" s="86">
        <f>IF(verze!$E$1="CZK",AD8751,IF(verze!$E$1="SK",AE8751,""))</f>
        <v>73.574929999999995</v>
      </c>
    </row>
    <row r="8752" spans="27:32" ht="15">
      <c r="AA8752" s="463" t="s">
        <v>1320</v>
      </c>
      <c r="AB8752" s="462" t="s">
        <v>25168</v>
      </c>
      <c r="AC8752" s="462" t="s">
        <v>25169</v>
      </c>
      <c r="AD8752" s="464">
        <v>1473.4719500000001</v>
      </c>
      <c r="AE8752" s="465">
        <v>70.776730000000001</v>
      </c>
      <c r="AF8752" s="86">
        <f>IF(verze!$E$1="CZK",AD8752,IF(verze!$E$1="SK",AE8752,""))</f>
        <v>70.776730000000001</v>
      </c>
    </row>
    <row r="8753" spans="27:32" ht="15">
      <c r="AA8753" s="463" t="s">
        <v>1320</v>
      </c>
      <c r="AB8753" s="462" t="s">
        <v>25170</v>
      </c>
      <c r="AC8753" s="462" t="s">
        <v>25171</v>
      </c>
      <c r="AD8753" s="464">
        <v>1619.1597899999999</v>
      </c>
      <c r="AE8753" s="465">
        <v>77.107010000000002</v>
      </c>
      <c r="AF8753" s="86">
        <f>IF(verze!$E$1="CZK",AD8753,IF(verze!$E$1="SK",AE8753,""))</f>
        <v>77.107010000000002</v>
      </c>
    </row>
    <row r="8754" spans="27:32" ht="15">
      <c r="AA8754" s="463" t="s">
        <v>1320</v>
      </c>
      <c r="AB8754" s="462" t="s">
        <v>25172</v>
      </c>
      <c r="AC8754" s="462" t="s">
        <v>25173</v>
      </c>
      <c r="AD8754" s="464">
        <v>1854.5154299999999</v>
      </c>
      <c r="AE8754" s="465">
        <v>89.106290000000001</v>
      </c>
      <c r="AF8754" s="86">
        <f>IF(verze!$E$1="CZK",AD8754,IF(verze!$E$1="SK",AE8754,""))</f>
        <v>89.106290000000001</v>
      </c>
    </row>
    <row r="8755" spans="27:32" ht="15">
      <c r="AA8755" s="463" t="s">
        <v>1320</v>
      </c>
      <c r="AB8755" s="462" t="s">
        <v>25174</v>
      </c>
      <c r="AC8755" s="462" t="s">
        <v>25175</v>
      </c>
      <c r="AD8755" s="464">
        <v>1500.51199</v>
      </c>
      <c r="AE8755" s="465">
        <v>72.077449999999999</v>
      </c>
      <c r="AF8755" s="86">
        <f>IF(verze!$E$1="CZK",AD8755,IF(verze!$E$1="SK",AE8755,""))</f>
        <v>72.077449999999999</v>
      </c>
    </row>
    <row r="8756" spans="27:32" ht="15">
      <c r="AA8756" s="463" t="s">
        <v>1320</v>
      </c>
      <c r="AB8756" s="462" t="s">
        <v>25176</v>
      </c>
      <c r="AC8756" s="462" t="s">
        <v>25177</v>
      </c>
      <c r="AD8756" s="464">
        <v>1918.59809</v>
      </c>
      <c r="AE8756" s="465">
        <v>92.188890000000001</v>
      </c>
      <c r="AF8756" s="86">
        <f>IF(verze!$E$1="CZK",AD8756,IF(verze!$E$1="SK",AE8756,""))</f>
        <v>92.188890000000001</v>
      </c>
    </row>
    <row r="8757" spans="27:32" ht="15">
      <c r="AA8757" s="463" t="s">
        <v>1320</v>
      </c>
      <c r="AB8757" s="462" t="s">
        <v>25178</v>
      </c>
      <c r="AC8757" s="462" t="s">
        <v>25179</v>
      </c>
      <c r="AD8757" s="464">
        <v>1918.59809</v>
      </c>
      <c r="AE8757" s="465">
        <v>92.188890000000001</v>
      </c>
      <c r="AF8757" s="86">
        <f>IF(verze!$E$1="CZK",AD8757,IF(verze!$E$1="SK",AE8757,""))</f>
        <v>92.188890000000001</v>
      </c>
    </row>
    <row r="8758" spans="27:32" ht="15">
      <c r="AA8758" s="463" t="s">
        <v>1320</v>
      </c>
      <c r="AB8758" s="462" t="s">
        <v>25180</v>
      </c>
      <c r="AC8758" s="462" t="s">
        <v>25181</v>
      </c>
      <c r="AD8758" s="464">
        <v>1918.59809</v>
      </c>
      <c r="AE8758" s="465">
        <v>92.188890000000001</v>
      </c>
      <c r="AF8758" s="86">
        <f>IF(verze!$E$1="CZK",AD8758,IF(verze!$E$1="SK",AE8758,""))</f>
        <v>92.188890000000001</v>
      </c>
    </row>
    <row r="8759" spans="27:32" ht="15">
      <c r="AA8759" s="463" t="s">
        <v>1320</v>
      </c>
      <c r="AB8759" s="462" t="s">
        <v>25182</v>
      </c>
      <c r="AC8759" s="462" t="s">
        <v>25183</v>
      </c>
      <c r="AD8759" s="464">
        <v>1790.50757</v>
      </c>
      <c r="AE8759" s="465">
        <v>86.005250000000004</v>
      </c>
      <c r="AF8759" s="86">
        <f>IF(verze!$E$1="CZK",AD8759,IF(verze!$E$1="SK",AE8759,""))</f>
        <v>86.005250000000004</v>
      </c>
    </row>
    <row r="8760" spans="27:32" ht="15">
      <c r="AA8760" s="463" t="s">
        <v>1320</v>
      </c>
      <c r="AB8760" s="462" t="s">
        <v>25184</v>
      </c>
      <c r="AC8760" s="462" t="s">
        <v>25185</v>
      </c>
      <c r="AD8760" s="464">
        <v>1732.28693</v>
      </c>
      <c r="AE8760" s="465">
        <v>83.204610000000002</v>
      </c>
      <c r="AF8760" s="86">
        <f>IF(verze!$E$1="CZK",AD8760,IF(verze!$E$1="SK",AE8760,""))</f>
        <v>83.204610000000002</v>
      </c>
    </row>
    <row r="8761" spans="27:32" ht="15">
      <c r="AA8761" s="463" t="s">
        <v>1320</v>
      </c>
      <c r="AB8761" s="462" t="s">
        <v>25186</v>
      </c>
      <c r="AC8761" s="462" t="s">
        <v>25187</v>
      </c>
      <c r="AD8761" s="464">
        <v>1871.8217299999999</v>
      </c>
      <c r="AE8761" s="465">
        <v>89.916749999999993</v>
      </c>
      <c r="AF8761" s="86">
        <f>IF(verze!$E$1="CZK",AD8761,IF(verze!$E$1="SK",AE8761,""))</f>
        <v>89.916749999999993</v>
      </c>
    </row>
    <row r="8762" spans="27:32" ht="15">
      <c r="AA8762" s="463" t="s">
        <v>1320</v>
      </c>
      <c r="AB8762" s="462" t="s">
        <v>25188</v>
      </c>
      <c r="AC8762" s="462" t="s">
        <v>25189</v>
      </c>
      <c r="AD8762" s="464">
        <v>1790.50757</v>
      </c>
      <c r="AE8762" s="465">
        <v>86.005250000000004</v>
      </c>
      <c r="AF8762" s="86">
        <f>IF(verze!$E$1="CZK",AD8762,IF(verze!$E$1="SK",AE8762,""))</f>
        <v>86.005250000000004</v>
      </c>
    </row>
    <row r="8763" spans="27:32" ht="15">
      <c r="AA8763" s="463" t="s">
        <v>1320</v>
      </c>
      <c r="AB8763" s="462" t="s">
        <v>25190</v>
      </c>
      <c r="AC8763" s="462" t="s">
        <v>25191</v>
      </c>
      <c r="AD8763" s="464">
        <v>1732.28693</v>
      </c>
      <c r="AE8763" s="465">
        <v>83.204610000000002</v>
      </c>
      <c r="AF8763" s="86">
        <f>IF(verze!$E$1="CZK",AD8763,IF(verze!$E$1="SK",AE8763,""))</f>
        <v>83.204610000000002</v>
      </c>
    </row>
    <row r="8764" spans="27:32" ht="15">
      <c r="AA8764" s="463" t="s">
        <v>1320</v>
      </c>
      <c r="AB8764" s="462" t="s">
        <v>25192</v>
      </c>
      <c r="AC8764" s="462" t="s">
        <v>25193</v>
      </c>
      <c r="AD8764" s="464">
        <v>1871.8217299999999</v>
      </c>
      <c r="AE8764" s="465">
        <v>89.916749999999993</v>
      </c>
      <c r="AF8764" s="86">
        <f>IF(verze!$E$1="CZK",AD8764,IF(verze!$E$1="SK",AE8764,""))</f>
        <v>89.916749999999993</v>
      </c>
    </row>
    <row r="8765" spans="27:32" ht="15">
      <c r="AA8765" s="463" t="s">
        <v>1320</v>
      </c>
      <c r="AB8765" s="462" t="s">
        <v>25194</v>
      </c>
      <c r="AC8765" s="462" t="s">
        <v>25195</v>
      </c>
      <c r="AD8765" s="464">
        <v>1732.28693</v>
      </c>
      <c r="AE8765" s="465">
        <v>83.204610000000002</v>
      </c>
      <c r="AF8765" s="86">
        <f>IF(verze!$E$1="CZK",AD8765,IF(verze!$E$1="SK",AE8765,""))</f>
        <v>83.204610000000002</v>
      </c>
    </row>
    <row r="8766" spans="27:32" ht="15">
      <c r="AA8766" s="463" t="s">
        <v>1320</v>
      </c>
      <c r="AB8766" s="462" t="s">
        <v>25196</v>
      </c>
      <c r="AC8766" s="462" t="s">
        <v>25197</v>
      </c>
      <c r="AD8766" s="464">
        <v>1818.5988400000001</v>
      </c>
      <c r="AE8766" s="465">
        <v>87.356499999999997</v>
      </c>
      <c r="AF8766" s="86">
        <f>IF(verze!$E$1="CZK",AD8766,IF(verze!$E$1="SK",AE8766,""))</f>
        <v>87.356499999999997</v>
      </c>
    </row>
    <row r="8767" spans="27:32" ht="15">
      <c r="AA8767" s="463" t="s">
        <v>1320</v>
      </c>
      <c r="AB8767" s="462" t="s">
        <v>25198</v>
      </c>
      <c r="AC8767" s="462" t="s">
        <v>25199</v>
      </c>
      <c r="AD8767" s="464">
        <v>1760.3833999999999</v>
      </c>
      <c r="AE8767" s="465">
        <v>84.556139999999999</v>
      </c>
      <c r="AF8767" s="86">
        <f>IF(verze!$E$1="CZK",AD8767,IF(verze!$E$1="SK",AE8767,""))</f>
        <v>84.556139999999999</v>
      </c>
    </row>
    <row r="8768" spans="27:32" ht="15">
      <c r="AA8768" s="463" t="s">
        <v>1320</v>
      </c>
      <c r="AB8768" s="462" t="s">
        <v>25200</v>
      </c>
      <c r="AC8768" s="462" t="s">
        <v>25201</v>
      </c>
      <c r="AD8768" s="464">
        <v>1897.8475000000001</v>
      </c>
      <c r="AE8768" s="465">
        <v>91.168660000000003</v>
      </c>
      <c r="AF8768" s="86">
        <f>IF(verze!$E$1="CZK",AD8768,IF(verze!$E$1="SK",AE8768,""))</f>
        <v>91.168660000000003</v>
      </c>
    </row>
    <row r="8769" spans="27:32" ht="15">
      <c r="AA8769" s="463" t="s">
        <v>1320</v>
      </c>
      <c r="AB8769" s="462" t="s">
        <v>25202</v>
      </c>
      <c r="AC8769" s="462" t="s">
        <v>25203</v>
      </c>
      <c r="AD8769" s="464">
        <v>1818.5988400000001</v>
      </c>
      <c r="AE8769" s="465">
        <v>87.356499999999997</v>
      </c>
      <c r="AF8769" s="86">
        <f>IF(verze!$E$1="CZK",AD8769,IF(verze!$E$1="SK",AE8769,""))</f>
        <v>87.356499999999997</v>
      </c>
    </row>
    <row r="8770" spans="27:32" ht="15">
      <c r="AA8770" s="463" t="s">
        <v>1320</v>
      </c>
      <c r="AB8770" s="462" t="s">
        <v>25204</v>
      </c>
      <c r="AC8770" s="462" t="s">
        <v>25205</v>
      </c>
      <c r="AD8770" s="464">
        <v>1760.3833999999999</v>
      </c>
      <c r="AE8770" s="465">
        <v>84.556139999999999</v>
      </c>
      <c r="AF8770" s="86">
        <f>IF(verze!$E$1="CZK",AD8770,IF(verze!$E$1="SK",AE8770,""))</f>
        <v>84.556139999999999</v>
      </c>
    </row>
    <row r="8771" spans="27:32" ht="15">
      <c r="AA8771" s="463" t="s">
        <v>1320</v>
      </c>
      <c r="AB8771" s="462" t="s">
        <v>25206</v>
      </c>
      <c r="AC8771" s="462" t="s">
        <v>25207</v>
      </c>
      <c r="AD8771" s="464">
        <v>1897.8475000000001</v>
      </c>
      <c r="AE8771" s="465">
        <v>91.168660000000003</v>
      </c>
      <c r="AF8771" s="86">
        <f>IF(verze!$E$1="CZK",AD8771,IF(verze!$E$1="SK",AE8771,""))</f>
        <v>91.168660000000003</v>
      </c>
    </row>
    <row r="8772" spans="27:32" ht="15">
      <c r="AA8772" s="463" t="s">
        <v>1320</v>
      </c>
      <c r="AB8772" s="462" t="s">
        <v>25208</v>
      </c>
      <c r="AC8772" s="462" t="s">
        <v>25209</v>
      </c>
      <c r="AD8772" s="464">
        <v>1760.3833999999999</v>
      </c>
      <c r="AE8772" s="465">
        <v>84.556139999999999</v>
      </c>
      <c r="AF8772" s="86">
        <f>IF(verze!$E$1="CZK",AD8772,IF(verze!$E$1="SK",AE8772,""))</f>
        <v>84.556139999999999</v>
      </c>
    </row>
    <row r="8773" spans="27:32" ht="15">
      <c r="AA8773" s="463" t="s">
        <v>1320</v>
      </c>
      <c r="AB8773" s="462" t="s">
        <v>25210</v>
      </c>
      <c r="AC8773" s="462" t="s">
        <v>25211</v>
      </c>
      <c r="AD8773" s="464">
        <v>1815.0081499999999</v>
      </c>
      <c r="AE8773" s="465">
        <v>85.979500000000002</v>
      </c>
      <c r="AF8773" s="86">
        <f>IF(verze!$E$1="CZK",AD8773,IF(verze!$E$1="SK",AE8773,""))</f>
        <v>85.979500000000002</v>
      </c>
    </row>
    <row r="8774" spans="27:32" ht="15">
      <c r="AA8774" s="463" t="s">
        <v>1320</v>
      </c>
      <c r="AB8774" s="462" t="s">
        <v>25212</v>
      </c>
      <c r="AC8774" s="462" t="s">
        <v>25213</v>
      </c>
      <c r="AD8774" s="464">
        <v>1756.78775</v>
      </c>
      <c r="AE8774" s="465">
        <v>83.178939999999997</v>
      </c>
      <c r="AF8774" s="86">
        <f>IF(verze!$E$1="CZK",AD8774,IF(verze!$E$1="SK",AE8774,""))</f>
        <v>83.178939999999997</v>
      </c>
    </row>
    <row r="8775" spans="27:32" ht="15">
      <c r="AA8775" s="463" t="s">
        <v>1320</v>
      </c>
      <c r="AB8775" s="462" t="s">
        <v>25214</v>
      </c>
      <c r="AC8775" s="462" t="s">
        <v>25215</v>
      </c>
      <c r="AD8775" s="464">
        <v>1878.62401</v>
      </c>
      <c r="AE8775" s="465">
        <v>88.416820000000001</v>
      </c>
      <c r="AF8775" s="86">
        <f>IF(verze!$E$1="CZK",AD8775,IF(verze!$E$1="SK",AE8775,""))</f>
        <v>88.416820000000001</v>
      </c>
    </row>
    <row r="8776" spans="27:32" ht="15">
      <c r="AA8776" s="463" t="s">
        <v>1320</v>
      </c>
      <c r="AB8776" s="462" t="s">
        <v>25216</v>
      </c>
      <c r="AC8776" s="462" t="s">
        <v>25217</v>
      </c>
      <c r="AD8776" s="464">
        <v>1875.82519</v>
      </c>
      <c r="AE8776" s="465">
        <v>88.285139999999998</v>
      </c>
      <c r="AF8776" s="86">
        <f>IF(verze!$E$1="CZK",AD8776,IF(verze!$E$1="SK",AE8776,""))</f>
        <v>88.285139999999998</v>
      </c>
    </row>
    <row r="8777" spans="27:32" ht="15">
      <c r="AA8777" s="463" t="s">
        <v>1320</v>
      </c>
      <c r="AB8777" s="462" t="s">
        <v>25218</v>
      </c>
      <c r="AC8777" s="462" t="s">
        <v>25219</v>
      </c>
      <c r="AD8777" s="464">
        <v>2016.4092499999999</v>
      </c>
      <c r="AE8777" s="465">
        <v>94.901700000000005</v>
      </c>
      <c r="AF8777" s="86">
        <f>IF(verze!$E$1="CZK",AD8777,IF(verze!$E$1="SK",AE8777,""))</f>
        <v>94.901700000000005</v>
      </c>
    </row>
    <row r="8778" spans="27:32" ht="15">
      <c r="AA8778" s="463" t="s">
        <v>1320</v>
      </c>
      <c r="AB8778" s="462" t="s">
        <v>25220</v>
      </c>
      <c r="AC8778" s="462" t="s">
        <v>25221</v>
      </c>
      <c r="AD8778" s="464">
        <v>1815.0081499999999</v>
      </c>
      <c r="AE8778" s="465">
        <v>85.979500000000002</v>
      </c>
      <c r="AF8778" s="86">
        <f>IF(verze!$E$1="CZK",AD8778,IF(verze!$E$1="SK",AE8778,""))</f>
        <v>85.979500000000002</v>
      </c>
    </row>
    <row r="8779" spans="27:32" ht="15">
      <c r="AA8779" s="463" t="s">
        <v>1320</v>
      </c>
      <c r="AB8779" s="462" t="s">
        <v>25222</v>
      </c>
      <c r="AC8779" s="462" t="s">
        <v>25223</v>
      </c>
      <c r="AD8779" s="464">
        <v>1756.78775</v>
      </c>
      <c r="AE8779" s="465">
        <v>83.178939999999997</v>
      </c>
      <c r="AF8779" s="86">
        <f>IF(verze!$E$1="CZK",AD8779,IF(verze!$E$1="SK",AE8779,""))</f>
        <v>83.178939999999997</v>
      </c>
    </row>
    <row r="8780" spans="27:32" ht="15">
      <c r="AA8780" s="463" t="s">
        <v>1320</v>
      </c>
      <c r="AB8780" s="462" t="s">
        <v>25224</v>
      </c>
      <c r="AC8780" s="462" t="s">
        <v>25225</v>
      </c>
      <c r="AD8780" s="464">
        <v>1875.82519</v>
      </c>
      <c r="AE8780" s="465">
        <v>88.285139999999998</v>
      </c>
      <c r="AF8780" s="86">
        <f>IF(verze!$E$1="CZK",AD8780,IF(verze!$E$1="SK",AE8780,""))</f>
        <v>88.285139999999998</v>
      </c>
    </row>
    <row r="8781" spans="27:32" ht="15">
      <c r="AA8781" s="463" t="s">
        <v>1320</v>
      </c>
      <c r="AB8781" s="462" t="s">
        <v>25226</v>
      </c>
      <c r="AC8781" s="462" t="s">
        <v>25227</v>
      </c>
      <c r="AD8781" s="464">
        <v>2016.4092499999999</v>
      </c>
      <c r="AE8781" s="465">
        <v>94.901700000000005</v>
      </c>
      <c r="AF8781" s="86">
        <f>IF(verze!$E$1="CZK",AD8781,IF(verze!$E$1="SK",AE8781,""))</f>
        <v>94.901700000000005</v>
      </c>
    </row>
    <row r="8782" spans="27:32" ht="15">
      <c r="AA8782" s="463" t="s">
        <v>1320</v>
      </c>
      <c r="AB8782" s="462" t="s">
        <v>25228</v>
      </c>
      <c r="AC8782" s="462" t="s">
        <v>25229</v>
      </c>
      <c r="AD8782" s="464">
        <v>1756.78775</v>
      </c>
      <c r="AE8782" s="465">
        <v>83.178939999999997</v>
      </c>
      <c r="AF8782" s="86">
        <f>IF(verze!$E$1="CZK",AD8782,IF(verze!$E$1="SK",AE8782,""))</f>
        <v>83.178939999999997</v>
      </c>
    </row>
    <row r="8783" spans="27:32" ht="15">
      <c r="AA8783" s="463" t="s">
        <v>1320</v>
      </c>
      <c r="AB8783" s="462" t="s">
        <v>25230</v>
      </c>
      <c r="AC8783" s="462" t="s">
        <v>25231</v>
      </c>
      <c r="AD8783" s="464">
        <v>1828.1115400000001</v>
      </c>
      <c r="AE8783" s="465">
        <v>86.039500000000004</v>
      </c>
      <c r="AF8783" s="86">
        <f>IF(verze!$E$1="CZK",AD8783,IF(verze!$E$1="SK",AE8783,""))</f>
        <v>86.039500000000004</v>
      </c>
    </row>
    <row r="8784" spans="27:32" ht="15">
      <c r="AA8784" s="463" t="s">
        <v>1320</v>
      </c>
      <c r="AB8784" s="462" t="s">
        <v>25232</v>
      </c>
      <c r="AC8784" s="462" t="s">
        <v>25233</v>
      </c>
      <c r="AD8784" s="464">
        <v>1771.4395400000001</v>
      </c>
      <c r="AE8784" s="465">
        <v>83.372299999999996</v>
      </c>
      <c r="AF8784" s="86">
        <f>IF(verze!$E$1="CZK",AD8784,IF(verze!$E$1="SK",AE8784,""))</f>
        <v>83.372299999999996</v>
      </c>
    </row>
    <row r="8785" spans="27:32" ht="15">
      <c r="AA8785" s="463" t="s">
        <v>1320</v>
      </c>
      <c r="AB8785" s="462" t="s">
        <v>25234</v>
      </c>
      <c r="AC8785" s="462" t="s">
        <v>25235</v>
      </c>
      <c r="AD8785" s="464">
        <v>1891.88094</v>
      </c>
      <c r="AE8785" s="465">
        <v>89.04074</v>
      </c>
      <c r="AF8785" s="86">
        <f>IF(verze!$E$1="CZK",AD8785,IF(verze!$E$1="SK",AE8785,""))</f>
        <v>89.04074</v>
      </c>
    </row>
    <row r="8786" spans="27:32" ht="15">
      <c r="AA8786" s="463" t="s">
        <v>1320</v>
      </c>
      <c r="AB8786" s="462" t="s">
        <v>25236</v>
      </c>
      <c r="AC8786" s="462" t="s">
        <v>25237</v>
      </c>
      <c r="AD8786" s="464">
        <v>1889.08212</v>
      </c>
      <c r="AE8786" s="465">
        <v>88.909059999999997</v>
      </c>
      <c r="AF8786" s="86">
        <f>IF(verze!$E$1="CZK",AD8786,IF(verze!$E$1="SK",AE8786,""))</f>
        <v>88.909059999999997</v>
      </c>
    </row>
    <row r="8787" spans="27:32" ht="15">
      <c r="AA8787" s="463" t="s">
        <v>1320</v>
      </c>
      <c r="AB8787" s="462" t="s">
        <v>25238</v>
      </c>
      <c r="AC8787" s="462" t="s">
        <v>25239</v>
      </c>
      <c r="AD8787" s="464">
        <v>2041.73856</v>
      </c>
      <c r="AE8787" s="465">
        <v>96.093819999999994</v>
      </c>
      <c r="AF8787" s="86">
        <f>IF(verze!$E$1="CZK",AD8787,IF(verze!$E$1="SK",AE8787,""))</f>
        <v>96.093819999999994</v>
      </c>
    </row>
    <row r="8788" spans="27:32" ht="15">
      <c r="AA8788" s="463" t="s">
        <v>1320</v>
      </c>
      <c r="AB8788" s="462" t="s">
        <v>25240</v>
      </c>
      <c r="AC8788" s="462" t="s">
        <v>25241</v>
      </c>
      <c r="AD8788" s="464">
        <v>1828.1115400000001</v>
      </c>
      <c r="AE8788" s="465">
        <v>86.039500000000004</v>
      </c>
      <c r="AF8788" s="86">
        <f>IF(verze!$E$1="CZK",AD8788,IF(verze!$E$1="SK",AE8788,""))</f>
        <v>86.039500000000004</v>
      </c>
    </row>
    <row r="8789" spans="27:32" ht="15">
      <c r="AA8789" s="463" t="s">
        <v>1320</v>
      </c>
      <c r="AB8789" s="462" t="s">
        <v>25242</v>
      </c>
      <c r="AC8789" s="462" t="s">
        <v>25243</v>
      </c>
      <c r="AD8789" s="464">
        <v>1771.4395400000001</v>
      </c>
      <c r="AE8789" s="465">
        <v>83.372299999999996</v>
      </c>
      <c r="AF8789" s="86">
        <f>IF(verze!$E$1="CZK",AD8789,IF(verze!$E$1="SK",AE8789,""))</f>
        <v>83.372299999999996</v>
      </c>
    </row>
    <row r="8790" spans="27:32" ht="15">
      <c r="AA8790" s="463" t="s">
        <v>1320</v>
      </c>
      <c r="AB8790" s="462" t="s">
        <v>25244</v>
      </c>
      <c r="AC8790" s="462" t="s">
        <v>25245</v>
      </c>
      <c r="AD8790" s="464">
        <v>1889.08212</v>
      </c>
      <c r="AE8790" s="465">
        <v>88.909059999999997</v>
      </c>
      <c r="AF8790" s="86">
        <f>IF(verze!$E$1="CZK",AD8790,IF(verze!$E$1="SK",AE8790,""))</f>
        <v>88.909059999999997</v>
      </c>
    </row>
    <row r="8791" spans="27:32" ht="15">
      <c r="AA8791" s="463" t="s">
        <v>1320</v>
      </c>
      <c r="AB8791" s="462" t="s">
        <v>25246</v>
      </c>
      <c r="AC8791" s="462" t="s">
        <v>25247</v>
      </c>
      <c r="AD8791" s="464">
        <v>2041.73856</v>
      </c>
      <c r="AE8791" s="465">
        <v>96.093819999999994</v>
      </c>
      <c r="AF8791" s="86">
        <f>IF(verze!$E$1="CZK",AD8791,IF(verze!$E$1="SK",AE8791,""))</f>
        <v>96.093819999999994</v>
      </c>
    </row>
    <row r="8792" spans="27:32" ht="15">
      <c r="AA8792" s="463" t="s">
        <v>1320</v>
      </c>
      <c r="AB8792" s="462" t="s">
        <v>25248</v>
      </c>
      <c r="AC8792" s="462" t="s">
        <v>25249</v>
      </c>
      <c r="AD8792" s="464">
        <v>1771.4395400000001</v>
      </c>
      <c r="AE8792" s="465">
        <v>83.372299999999996</v>
      </c>
      <c r="AF8792" s="86">
        <f>IF(verze!$E$1="CZK",AD8792,IF(verze!$E$1="SK",AE8792,""))</f>
        <v>83.372299999999996</v>
      </c>
    </row>
    <row r="8793" spans="27:32" ht="15">
      <c r="AA8793" s="463" t="s">
        <v>1320</v>
      </c>
      <c r="AB8793" s="462" t="s">
        <v>25250</v>
      </c>
      <c r="AC8793" s="462" t="s">
        <v>25251</v>
      </c>
      <c r="AD8793" s="464">
        <v>1895.4411600000001</v>
      </c>
      <c r="AE8793" s="465">
        <v>90.772189999999995</v>
      </c>
      <c r="AF8793" s="86">
        <f>IF(verze!$E$1="CZK",AD8793,IF(verze!$E$1="SK",AE8793,""))</f>
        <v>90.772189999999995</v>
      </c>
    </row>
    <row r="8794" spans="27:32" ht="15">
      <c r="AA8794" s="463" t="s">
        <v>1320</v>
      </c>
      <c r="AB8794" s="462" t="s">
        <v>25252</v>
      </c>
      <c r="AC8794" s="462" t="s">
        <v>25253</v>
      </c>
      <c r="AD8794" s="464">
        <v>1838.0388600000001</v>
      </c>
      <c r="AE8794" s="465">
        <v>88.040360000000007</v>
      </c>
      <c r="AF8794" s="86">
        <f>IF(verze!$E$1="CZK",AD8794,IF(verze!$E$1="SK",AE8794,""))</f>
        <v>88.040360000000007</v>
      </c>
    </row>
    <row r="8795" spans="27:32" ht="15">
      <c r="AA8795" s="463" t="s">
        <v>1320</v>
      </c>
      <c r="AB8795" s="462" t="s">
        <v>25254</v>
      </c>
      <c r="AC8795" s="462" t="s">
        <v>25255</v>
      </c>
      <c r="AD8795" s="464">
        <v>1994.0774200000001</v>
      </c>
      <c r="AE8795" s="465">
        <v>95.126009999999994</v>
      </c>
      <c r="AF8795" s="86">
        <f>IF(verze!$E$1="CZK",AD8795,IF(verze!$E$1="SK",AE8795,""))</f>
        <v>95.126009999999994</v>
      </c>
    </row>
    <row r="8796" spans="27:32" ht="15">
      <c r="AA8796" s="463" t="s">
        <v>1320</v>
      </c>
      <c r="AB8796" s="462" t="s">
        <v>25256</v>
      </c>
      <c r="AC8796" s="462" t="s">
        <v>25257</v>
      </c>
      <c r="AD8796" s="464">
        <v>1991.2786000000001</v>
      </c>
      <c r="AE8796" s="465">
        <v>94.994330000000005</v>
      </c>
      <c r="AF8796" s="86">
        <f>IF(verze!$E$1="CZK",AD8796,IF(verze!$E$1="SK",AE8796,""))</f>
        <v>94.994330000000005</v>
      </c>
    </row>
    <row r="8797" spans="27:32" ht="15">
      <c r="AA8797" s="463" t="s">
        <v>1320</v>
      </c>
      <c r="AB8797" s="462" t="s">
        <v>25258</v>
      </c>
      <c r="AC8797" s="462" t="s">
        <v>25259</v>
      </c>
      <c r="AD8797" s="464">
        <v>2131.8482199999999</v>
      </c>
      <c r="AE8797" s="465">
        <v>101.61017</v>
      </c>
      <c r="AF8797" s="86">
        <f>IF(verze!$E$1="CZK",AD8797,IF(verze!$E$1="SK",AE8797,""))</f>
        <v>101.61017</v>
      </c>
    </row>
    <row r="8798" spans="27:32" ht="15">
      <c r="AA8798" s="463" t="s">
        <v>1320</v>
      </c>
      <c r="AB8798" s="462" t="s">
        <v>25260</v>
      </c>
      <c r="AC8798" s="462" t="s">
        <v>25261</v>
      </c>
      <c r="AD8798" s="464">
        <v>1895.4411600000001</v>
      </c>
      <c r="AE8798" s="465">
        <v>90.772189999999995</v>
      </c>
      <c r="AF8798" s="86">
        <f>IF(verze!$E$1="CZK",AD8798,IF(verze!$E$1="SK",AE8798,""))</f>
        <v>90.772189999999995</v>
      </c>
    </row>
    <row r="8799" spans="27:32" ht="15">
      <c r="AA8799" s="463" t="s">
        <v>1320</v>
      </c>
      <c r="AB8799" s="462" t="s">
        <v>25262</v>
      </c>
      <c r="AC8799" s="462" t="s">
        <v>25263</v>
      </c>
      <c r="AD8799" s="464">
        <v>1838.0388600000001</v>
      </c>
      <c r="AE8799" s="465">
        <v>88.040360000000007</v>
      </c>
      <c r="AF8799" s="86">
        <f>IF(verze!$E$1="CZK",AD8799,IF(verze!$E$1="SK",AE8799,""))</f>
        <v>88.040360000000007</v>
      </c>
    </row>
    <row r="8800" spans="27:32" ht="15">
      <c r="AA8800" s="463" t="s">
        <v>1320</v>
      </c>
      <c r="AB8800" s="462" t="s">
        <v>25264</v>
      </c>
      <c r="AC8800" s="462" t="s">
        <v>25265</v>
      </c>
      <c r="AD8800" s="464">
        <v>1991.2786000000001</v>
      </c>
      <c r="AE8800" s="465">
        <v>94.994330000000005</v>
      </c>
      <c r="AF8800" s="86">
        <f>IF(verze!$E$1="CZK",AD8800,IF(verze!$E$1="SK",AE8800,""))</f>
        <v>94.994330000000005</v>
      </c>
    </row>
    <row r="8801" spans="27:32" ht="15">
      <c r="AA8801" s="463" t="s">
        <v>1320</v>
      </c>
      <c r="AB8801" s="462" t="s">
        <v>25266</v>
      </c>
      <c r="AC8801" s="462" t="s">
        <v>25267</v>
      </c>
      <c r="AD8801" s="464">
        <v>2131.8482199999999</v>
      </c>
      <c r="AE8801" s="465">
        <v>101.61017</v>
      </c>
      <c r="AF8801" s="86">
        <f>IF(verze!$E$1="CZK",AD8801,IF(verze!$E$1="SK",AE8801,""))</f>
        <v>101.61017</v>
      </c>
    </row>
    <row r="8802" spans="27:32" ht="15">
      <c r="AA8802" s="463" t="s">
        <v>1320</v>
      </c>
      <c r="AB8802" s="462" t="s">
        <v>25268</v>
      </c>
      <c r="AC8802" s="462" t="s">
        <v>25269</v>
      </c>
      <c r="AD8802" s="464">
        <v>1838.0388600000001</v>
      </c>
      <c r="AE8802" s="465">
        <v>88.040360000000007</v>
      </c>
      <c r="AF8802" s="86">
        <f>IF(verze!$E$1="CZK",AD8802,IF(verze!$E$1="SK",AE8802,""))</f>
        <v>88.040360000000007</v>
      </c>
    </row>
    <row r="8803" spans="27:32" ht="15">
      <c r="AA8803" s="463" t="s">
        <v>1320</v>
      </c>
      <c r="AB8803" s="462" t="s">
        <v>25270</v>
      </c>
      <c r="AC8803" s="462" t="s">
        <v>25271</v>
      </c>
      <c r="AD8803" s="464">
        <v>1939.9908800000001</v>
      </c>
      <c r="AE8803" s="465">
        <v>93.195920000000001</v>
      </c>
      <c r="AF8803" s="86">
        <f>IF(verze!$E$1="CZK",AD8803,IF(verze!$E$1="SK",AE8803,""))</f>
        <v>93.195920000000001</v>
      </c>
    </row>
    <row r="8804" spans="27:32" ht="15">
      <c r="AA8804" s="463" t="s">
        <v>1320</v>
      </c>
      <c r="AB8804" s="462" t="s">
        <v>25272</v>
      </c>
      <c r="AC8804" s="462" t="s">
        <v>25273</v>
      </c>
      <c r="AD8804" s="464">
        <v>1881.8200999999999</v>
      </c>
      <c r="AE8804" s="465">
        <v>90.397720000000007</v>
      </c>
      <c r="AF8804" s="86">
        <f>IF(verze!$E$1="CZK",AD8804,IF(verze!$E$1="SK",AE8804,""))</f>
        <v>90.397720000000007</v>
      </c>
    </row>
    <row r="8805" spans="27:32" ht="15">
      <c r="AA8805" s="463" t="s">
        <v>1320</v>
      </c>
      <c r="AB8805" s="462" t="s">
        <v>25274</v>
      </c>
      <c r="AC8805" s="462" t="s">
        <v>25275</v>
      </c>
      <c r="AD8805" s="464">
        <v>2027.50794</v>
      </c>
      <c r="AE8805" s="465">
        <v>96.727999999999994</v>
      </c>
      <c r="AF8805" s="86">
        <f>IF(verze!$E$1="CZK",AD8805,IF(verze!$E$1="SK",AE8805,""))</f>
        <v>96.727999999999994</v>
      </c>
    </row>
    <row r="8806" spans="27:32" ht="15">
      <c r="AA8806" s="463" t="s">
        <v>1320</v>
      </c>
      <c r="AB8806" s="462" t="s">
        <v>25276</v>
      </c>
      <c r="AC8806" s="462" t="s">
        <v>25277</v>
      </c>
      <c r="AD8806" s="464">
        <v>2262.8635800000002</v>
      </c>
      <c r="AE8806" s="465">
        <v>108.72727999999999</v>
      </c>
      <c r="AF8806" s="86">
        <f>IF(verze!$E$1="CZK",AD8806,IF(verze!$E$1="SK",AE8806,""))</f>
        <v>108.72727999999999</v>
      </c>
    </row>
    <row r="8807" spans="27:32" ht="15">
      <c r="AA8807" s="463" t="s">
        <v>1320</v>
      </c>
      <c r="AB8807" s="462" t="s">
        <v>25278</v>
      </c>
      <c r="AC8807" s="462" t="s">
        <v>25279</v>
      </c>
      <c r="AD8807" s="464">
        <v>1939.9908800000001</v>
      </c>
      <c r="AE8807" s="465">
        <v>93.195920000000001</v>
      </c>
      <c r="AF8807" s="86">
        <f>IF(verze!$E$1="CZK",AD8807,IF(verze!$E$1="SK",AE8807,""))</f>
        <v>93.195920000000001</v>
      </c>
    </row>
    <row r="8808" spans="27:32" ht="15">
      <c r="AA8808" s="463" t="s">
        <v>1320</v>
      </c>
      <c r="AB8808" s="462" t="s">
        <v>25280</v>
      </c>
      <c r="AC8808" s="462" t="s">
        <v>25281</v>
      </c>
      <c r="AD8808" s="464">
        <v>1881.8200999999999</v>
      </c>
      <c r="AE8808" s="465">
        <v>90.397720000000007</v>
      </c>
      <c r="AF8808" s="86">
        <f>IF(verze!$E$1="CZK",AD8808,IF(verze!$E$1="SK",AE8808,""))</f>
        <v>90.397720000000007</v>
      </c>
    </row>
    <row r="8809" spans="27:32" ht="15">
      <c r="AA8809" s="463" t="s">
        <v>1320</v>
      </c>
      <c r="AB8809" s="462" t="s">
        <v>25282</v>
      </c>
      <c r="AC8809" s="462" t="s">
        <v>25283</v>
      </c>
      <c r="AD8809" s="464">
        <v>2027.50794</v>
      </c>
      <c r="AE8809" s="465">
        <v>96.727999999999994</v>
      </c>
      <c r="AF8809" s="86">
        <f>IF(verze!$E$1="CZK",AD8809,IF(verze!$E$1="SK",AE8809,""))</f>
        <v>96.727999999999994</v>
      </c>
    </row>
    <row r="8810" spans="27:32" ht="15">
      <c r="AA8810" s="463" t="s">
        <v>1320</v>
      </c>
      <c r="AB8810" s="462" t="s">
        <v>25284</v>
      </c>
      <c r="AC8810" s="462" t="s">
        <v>25285</v>
      </c>
      <c r="AD8810" s="464">
        <v>2262.8635800000002</v>
      </c>
      <c r="AE8810" s="465">
        <v>108.72727999999999</v>
      </c>
      <c r="AF8810" s="86">
        <f>IF(verze!$E$1="CZK",AD8810,IF(verze!$E$1="SK",AE8810,""))</f>
        <v>108.72727999999999</v>
      </c>
    </row>
    <row r="8811" spans="27:32" ht="15">
      <c r="AA8811" s="463" t="s">
        <v>1320</v>
      </c>
      <c r="AB8811" s="462" t="s">
        <v>25286</v>
      </c>
      <c r="AC8811" s="462" t="s">
        <v>25287</v>
      </c>
      <c r="AD8811" s="464">
        <v>1881.8200999999999</v>
      </c>
      <c r="AE8811" s="465">
        <v>90.397720000000007</v>
      </c>
      <c r="AF8811" s="86">
        <f>IF(verze!$E$1="CZK",AD8811,IF(verze!$E$1="SK",AE8811,""))</f>
        <v>90.397720000000007</v>
      </c>
    </row>
    <row r="8812" spans="27:32" ht="15">
      <c r="AA8812" s="463" t="s">
        <v>1320</v>
      </c>
      <c r="AB8812" s="462" t="s">
        <v>25288</v>
      </c>
      <c r="AC8812" s="462" t="s">
        <v>25289</v>
      </c>
      <c r="AD8812" s="464">
        <v>2338.2600600000001</v>
      </c>
      <c r="AE8812" s="465">
        <v>112.35414</v>
      </c>
      <c r="AF8812" s="86">
        <f>IF(verze!$E$1="CZK",AD8812,IF(verze!$E$1="SK",AE8812,""))</f>
        <v>112.35414</v>
      </c>
    </row>
    <row r="8813" spans="27:32" ht="15">
      <c r="AA8813" s="463" t="s">
        <v>1320</v>
      </c>
      <c r="AB8813" s="462" t="s">
        <v>25290</v>
      </c>
      <c r="AC8813" s="462" t="s">
        <v>25291</v>
      </c>
      <c r="AD8813" s="464">
        <v>2338.2600600000001</v>
      </c>
      <c r="AE8813" s="465">
        <v>112.35414</v>
      </c>
      <c r="AF8813" s="86">
        <f>IF(verze!$E$1="CZK",AD8813,IF(verze!$E$1="SK",AE8813,""))</f>
        <v>112.35414</v>
      </c>
    </row>
    <row r="8814" spans="27:32" ht="15">
      <c r="AA8814" s="463" t="s">
        <v>1320</v>
      </c>
      <c r="AB8814" s="462" t="s">
        <v>25292</v>
      </c>
      <c r="AC8814" s="462" t="s">
        <v>25293</v>
      </c>
      <c r="AD8814" s="464">
        <v>2338.2600600000001</v>
      </c>
      <c r="AE8814" s="465">
        <v>112.35414</v>
      </c>
      <c r="AF8814" s="86">
        <f>IF(verze!$E$1="CZK",AD8814,IF(verze!$E$1="SK",AE8814,""))</f>
        <v>112.35414</v>
      </c>
    </row>
    <row r="8815" spans="27:32" ht="15">
      <c r="AA8815" s="463" t="s">
        <v>1320</v>
      </c>
      <c r="AB8815" s="462" t="s">
        <v>25294</v>
      </c>
      <c r="AC8815" s="462" t="s">
        <v>25295</v>
      </c>
      <c r="AD8815" s="464">
        <v>1067.1811700000001</v>
      </c>
      <c r="AE8815" s="465">
        <v>51.335270000000001</v>
      </c>
      <c r="AF8815" s="86">
        <f>IF(verze!$E$1="CZK",AD8815,IF(verze!$E$1="SK",AE8815,""))</f>
        <v>51.335270000000001</v>
      </c>
    </row>
    <row r="8816" spans="27:32" ht="15">
      <c r="AA8816" s="463" t="s">
        <v>1320</v>
      </c>
      <c r="AB8816" s="462" t="s">
        <v>25296</v>
      </c>
      <c r="AC8816" s="462" t="s">
        <v>25297</v>
      </c>
      <c r="AD8816" s="464">
        <v>1067.1811700000001</v>
      </c>
      <c r="AE8816" s="465">
        <v>51.335270000000001</v>
      </c>
      <c r="AF8816" s="86">
        <f>IF(verze!$E$1="CZK",AD8816,IF(verze!$E$1="SK",AE8816,""))</f>
        <v>51.335270000000001</v>
      </c>
    </row>
    <row r="8817" spans="27:32" ht="15">
      <c r="AA8817" s="463" t="s">
        <v>1320</v>
      </c>
      <c r="AB8817" s="462" t="s">
        <v>25298</v>
      </c>
      <c r="AC8817" s="462" t="s">
        <v>25299</v>
      </c>
      <c r="AD8817" s="464">
        <v>1067.1811700000001</v>
      </c>
      <c r="AE8817" s="465">
        <v>51.335270000000001</v>
      </c>
      <c r="AF8817" s="86">
        <f>IF(verze!$E$1="CZK",AD8817,IF(verze!$E$1="SK",AE8817,""))</f>
        <v>51.335270000000001</v>
      </c>
    </row>
    <row r="8818" spans="27:32" ht="15">
      <c r="AA8818" s="463" t="s">
        <v>1320</v>
      </c>
      <c r="AB8818" s="462" t="s">
        <v>25300</v>
      </c>
      <c r="AC8818" s="462" t="s">
        <v>25301</v>
      </c>
      <c r="AD8818" s="464">
        <v>1069.2444599999999</v>
      </c>
      <c r="AE8818" s="465">
        <v>50.855060000000002</v>
      </c>
      <c r="AF8818" s="86">
        <f>IF(verze!$E$1="CZK",AD8818,IF(verze!$E$1="SK",AE8818,""))</f>
        <v>50.855060000000002</v>
      </c>
    </row>
    <row r="8819" spans="27:32" ht="15">
      <c r="AA8819" s="463" t="s">
        <v>1320</v>
      </c>
      <c r="AB8819" s="462" t="s">
        <v>25302</v>
      </c>
      <c r="AC8819" s="462" t="s">
        <v>25303</v>
      </c>
      <c r="AD8819" s="464">
        <v>1069.2444599999999</v>
      </c>
      <c r="AE8819" s="465">
        <v>50.855060000000002</v>
      </c>
      <c r="AF8819" s="86">
        <f>IF(verze!$E$1="CZK",AD8819,IF(verze!$E$1="SK",AE8819,""))</f>
        <v>50.855060000000002</v>
      </c>
    </row>
    <row r="8820" spans="27:32" ht="15">
      <c r="AA8820" s="463" t="s">
        <v>1320</v>
      </c>
      <c r="AB8820" s="462" t="s">
        <v>25304</v>
      </c>
      <c r="AC8820" s="462" t="s">
        <v>25305</v>
      </c>
      <c r="AD8820" s="464">
        <v>1069.2444599999999</v>
      </c>
      <c r="AE8820" s="465">
        <v>50.855060000000002</v>
      </c>
      <c r="AF8820" s="86">
        <f>IF(verze!$E$1="CZK",AD8820,IF(verze!$E$1="SK",AE8820,""))</f>
        <v>50.855060000000002</v>
      </c>
    </row>
    <row r="8821" spans="27:32" ht="15">
      <c r="AA8821" s="463" t="s">
        <v>1320</v>
      </c>
      <c r="AB8821" s="462" t="s">
        <v>25306</v>
      </c>
      <c r="AC8821" s="462" t="s">
        <v>25307</v>
      </c>
      <c r="AD8821" s="464">
        <v>1073.3893800000001</v>
      </c>
      <c r="AE8821" s="465">
        <v>50.553919999999998</v>
      </c>
      <c r="AF8821" s="86">
        <f>IF(verze!$E$1="CZK",AD8821,IF(verze!$E$1="SK",AE8821,""))</f>
        <v>50.553919999999998</v>
      </c>
    </row>
    <row r="8822" spans="27:32" ht="15">
      <c r="AA8822" s="463" t="s">
        <v>1320</v>
      </c>
      <c r="AB8822" s="462" t="s">
        <v>25308</v>
      </c>
      <c r="AC8822" s="462" t="s">
        <v>25309</v>
      </c>
      <c r="AD8822" s="464">
        <v>1191.03196</v>
      </c>
      <c r="AE8822" s="465">
        <v>56.090679999999999</v>
      </c>
      <c r="AF8822" s="86">
        <f>IF(verze!$E$1="CZK",AD8822,IF(verze!$E$1="SK",AE8822,""))</f>
        <v>56.090679999999999</v>
      </c>
    </row>
    <row r="8823" spans="27:32" ht="15">
      <c r="AA8823" s="463" t="s">
        <v>1320</v>
      </c>
      <c r="AB8823" s="462" t="s">
        <v>25310</v>
      </c>
      <c r="AC8823" s="462" t="s">
        <v>25311</v>
      </c>
      <c r="AD8823" s="464">
        <v>1073.3893800000001</v>
      </c>
      <c r="AE8823" s="465">
        <v>50.553919999999998</v>
      </c>
      <c r="AF8823" s="86">
        <f>IF(verze!$E$1="CZK",AD8823,IF(verze!$E$1="SK",AE8823,""))</f>
        <v>50.553919999999998</v>
      </c>
    </row>
    <row r="8824" spans="27:32" ht="15">
      <c r="AA8824" s="463" t="s">
        <v>1320</v>
      </c>
      <c r="AB8824" s="462" t="s">
        <v>25312</v>
      </c>
      <c r="AC8824" s="462" t="s">
        <v>25313</v>
      </c>
      <c r="AD8824" s="464">
        <v>1191.03196</v>
      </c>
      <c r="AE8824" s="465">
        <v>56.090679999999999</v>
      </c>
      <c r="AF8824" s="86">
        <f>IF(verze!$E$1="CZK",AD8824,IF(verze!$E$1="SK",AE8824,""))</f>
        <v>56.090679999999999</v>
      </c>
    </row>
    <row r="8825" spans="27:32" ht="15">
      <c r="AA8825" s="463" t="s">
        <v>1320</v>
      </c>
      <c r="AB8825" s="462" t="s">
        <v>25314</v>
      </c>
      <c r="AC8825" s="462" t="s">
        <v>25315</v>
      </c>
      <c r="AD8825" s="464">
        <v>1073.3893800000001</v>
      </c>
      <c r="AE8825" s="465">
        <v>50.553919999999998</v>
      </c>
      <c r="AF8825" s="86">
        <f>IF(verze!$E$1="CZK",AD8825,IF(verze!$E$1="SK",AE8825,""))</f>
        <v>50.553919999999998</v>
      </c>
    </row>
    <row r="8826" spans="27:32" ht="15">
      <c r="AA8826" s="463" t="s">
        <v>1320</v>
      </c>
      <c r="AB8826" s="462" t="s">
        <v>25316</v>
      </c>
      <c r="AC8826" s="462" t="s">
        <v>25317</v>
      </c>
      <c r="AD8826" s="464">
        <v>1207.6060199999999</v>
      </c>
      <c r="AE8826" s="465">
        <v>0</v>
      </c>
      <c r="AF8826" s="86">
        <f>IF(verze!$E$1="CZK",AD8826,IF(verze!$E$1="SK",AE8826,""))</f>
        <v>0</v>
      </c>
    </row>
    <row r="8827" spans="27:32" ht="15">
      <c r="AA8827" s="463" t="s">
        <v>1320</v>
      </c>
      <c r="AB8827" s="462" t="s">
        <v>25318</v>
      </c>
      <c r="AC8827" s="462" t="s">
        <v>25319</v>
      </c>
      <c r="AD8827" s="464">
        <v>1112.49217</v>
      </c>
      <c r="AE8827" s="465">
        <v>53.263590000000001</v>
      </c>
      <c r="AF8827" s="86">
        <f>IF(verze!$E$1="CZK",AD8827,IF(verze!$E$1="SK",AE8827,""))</f>
        <v>53.263590000000001</v>
      </c>
    </row>
    <row r="8828" spans="27:32" ht="15">
      <c r="AA8828" s="463" t="s">
        <v>1320</v>
      </c>
      <c r="AB8828" s="462" t="s">
        <v>25320</v>
      </c>
      <c r="AC8828" s="462" t="s">
        <v>25321</v>
      </c>
      <c r="AD8828" s="464">
        <v>0</v>
      </c>
      <c r="AE8828" s="465">
        <v>0</v>
      </c>
      <c r="AF8828" s="86">
        <f>IF(verze!$E$1="CZK",AD8828,IF(verze!$E$1="SK",AE8828,""))</f>
        <v>0</v>
      </c>
    </row>
    <row r="8829" spans="27:32" ht="15">
      <c r="AA8829" s="463" t="s">
        <v>1320</v>
      </c>
      <c r="AB8829" s="462" t="s">
        <v>25322</v>
      </c>
      <c r="AC8829" s="462" t="s">
        <v>25323</v>
      </c>
      <c r="AD8829" s="464">
        <v>1112.49217</v>
      </c>
      <c r="AE8829" s="465">
        <v>53.263590000000001</v>
      </c>
      <c r="AF8829" s="86">
        <f>IF(verze!$E$1="CZK",AD8829,IF(verze!$E$1="SK",AE8829,""))</f>
        <v>53.263590000000001</v>
      </c>
    </row>
    <row r="8830" spans="27:32" ht="15">
      <c r="AA8830" s="463" t="s">
        <v>1320</v>
      </c>
      <c r="AB8830" s="462" t="s">
        <v>25324</v>
      </c>
      <c r="AC8830" s="462" t="s">
        <v>25325</v>
      </c>
      <c r="AD8830" s="464">
        <v>1207.6060199999999</v>
      </c>
      <c r="AE8830" s="465">
        <v>0</v>
      </c>
      <c r="AF8830" s="86">
        <f>IF(verze!$E$1="CZK",AD8830,IF(verze!$E$1="SK",AE8830,""))</f>
        <v>0</v>
      </c>
    </row>
    <row r="8831" spans="27:32" ht="15">
      <c r="AA8831" s="463" t="s">
        <v>1320</v>
      </c>
      <c r="AB8831" s="462" t="s">
        <v>25326</v>
      </c>
      <c r="AC8831" s="462" t="s">
        <v>25327</v>
      </c>
      <c r="AD8831" s="464">
        <v>1112.49217</v>
      </c>
      <c r="AE8831" s="465">
        <v>53.263590000000001</v>
      </c>
      <c r="AF8831" s="86">
        <f>IF(verze!$E$1="CZK",AD8831,IF(verze!$E$1="SK",AE8831,""))</f>
        <v>53.263590000000001</v>
      </c>
    </row>
    <row r="8832" spans="27:32" ht="15">
      <c r="AA8832" s="463" t="s">
        <v>1320</v>
      </c>
      <c r="AB8832" s="462" t="s">
        <v>25328</v>
      </c>
      <c r="AC8832" s="462" t="s">
        <v>25329</v>
      </c>
      <c r="AD8832" s="464">
        <v>0</v>
      </c>
      <c r="AE8832" s="465">
        <v>0</v>
      </c>
      <c r="AF8832" s="86">
        <f>IF(verze!$E$1="CZK",AD8832,IF(verze!$E$1="SK",AE8832,""))</f>
        <v>0</v>
      </c>
    </row>
    <row r="8833" spans="27:32" ht="15">
      <c r="AA8833" s="463" t="s">
        <v>1320</v>
      </c>
      <c r="AB8833" s="462" t="s">
        <v>25330</v>
      </c>
      <c r="AC8833" s="462" t="s">
        <v>25331</v>
      </c>
      <c r="AD8833" s="464">
        <v>0</v>
      </c>
      <c r="AE8833" s="465">
        <v>0</v>
      </c>
      <c r="AF8833" s="86">
        <f>IF(verze!$E$1="CZK",AD8833,IF(verze!$E$1="SK",AE8833,""))</f>
        <v>0</v>
      </c>
    </row>
    <row r="8834" spans="27:32" ht="15">
      <c r="AA8834" s="463" t="s">
        <v>1320</v>
      </c>
      <c r="AB8834" s="462" t="s">
        <v>25332</v>
      </c>
      <c r="AC8834" s="462" t="s">
        <v>25333</v>
      </c>
      <c r="AD8834" s="464">
        <v>0</v>
      </c>
      <c r="AE8834" s="465">
        <v>0</v>
      </c>
      <c r="AF8834" s="86">
        <f>IF(verze!$E$1="CZK",AD8834,IF(verze!$E$1="SK",AE8834,""))</f>
        <v>0</v>
      </c>
    </row>
    <row r="8835" spans="27:32" ht="15">
      <c r="AA8835" s="463" t="s">
        <v>1320</v>
      </c>
      <c r="AB8835" s="462" t="s">
        <v>25334</v>
      </c>
      <c r="AC8835" s="462" t="s">
        <v>25335</v>
      </c>
      <c r="AD8835" s="464">
        <v>0</v>
      </c>
      <c r="AE8835" s="465">
        <v>0</v>
      </c>
      <c r="AF8835" s="86">
        <f>IF(verze!$E$1="CZK",AD8835,IF(verze!$E$1="SK",AE8835,""))</f>
        <v>0</v>
      </c>
    </row>
    <row r="8836" spans="27:32" ht="15">
      <c r="AA8836" s="463" t="s">
        <v>1320</v>
      </c>
      <c r="AB8836" s="462" t="s">
        <v>25336</v>
      </c>
      <c r="AC8836" s="462" t="s">
        <v>25337</v>
      </c>
      <c r="AD8836" s="464">
        <v>0</v>
      </c>
      <c r="AE8836" s="465">
        <v>0</v>
      </c>
      <c r="AF8836" s="86">
        <f>IF(verze!$E$1="CZK",AD8836,IF(verze!$E$1="SK",AE8836,""))</f>
        <v>0</v>
      </c>
    </row>
    <row r="8837" spans="27:32" ht="15">
      <c r="AA8837" s="463" t="s">
        <v>1320</v>
      </c>
      <c r="AB8837" s="462" t="s">
        <v>25338</v>
      </c>
      <c r="AC8837" s="462" t="s">
        <v>25339</v>
      </c>
      <c r="AD8837" s="464">
        <v>0</v>
      </c>
      <c r="AE8837" s="465">
        <v>0</v>
      </c>
      <c r="AF8837" s="86">
        <f>IF(verze!$E$1="CZK",AD8837,IF(verze!$E$1="SK",AE8837,""))</f>
        <v>0</v>
      </c>
    </row>
    <row r="8838" spans="27:32" ht="15">
      <c r="AA8838" s="463" t="s">
        <v>1320</v>
      </c>
      <c r="AB8838" s="462" t="s">
        <v>25340</v>
      </c>
      <c r="AC8838" s="462" t="s">
        <v>25341</v>
      </c>
      <c r="AD8838" s="464">
        <v>261.57492000000002</v>
      </c>
      <c r="AE8838" s="465">
        <v>12.582700000000001</v>
      </c>
      <c r="AF8838" s="86">
        <f>IF(verze!$E$1="CZK",AD8838,IF(verze!$E$1="SK",AE8838,""))</f>
        <v>12.582700000000001</v>
      </c>
    </row>
    <row r="8839" spans="27:32" ht="15">
      <c r="AA8839" s="463" t="s">
        <v>1320</v>
      </c>
      <c r="AB8839" s="462" t="s">
        <v>25342</v>
      </c>
      <c r="AC8839" s="462" t="s">
        <v>25343</v>
      </c>
      <c r="AD8839" s="464">
        <v>270.31058000000002</v>
      </c>
      <c r="AE8839" s="465">
        <v>13.00296</v>
      </c>
      <c r="AF8839" s="86">
        <f>IF(verze!$E$1="CZK",AD8839,IF(verze!$E$1="SK",AE8839,""))</f>
        <v>13.00296</v>
      </c>
    </row>
    <row r="8840" spans="27:32" ht="15">
      <c r="AA8840" s="463" t="s">
        <v>1320</v>
      </c>
      <c r="AB8840" s="462" t="s">
        <v>25344</v>
      </c>
      <c r="AC8840" s="462" t="s">
        <v>25345</v>
      </c>
      <c r="AD8840" s="464">
        <v>279.04622000000001</v>
      </c>
      <c r="AE8840" s="465">
        <v>13.423159999999999</v>
      </c>
      <c r="AF8840" s="86">
        <f>IF(verze!$E$1="CZK",AD8840,IF(verze!$E$1="SK",AE8840,""))</f>
        <v>13.423159999999999</v>
      </c>
    </row>
    <row r="8841" spans="27:32" ht="15">
      <c r="AA8841" s="463" t="s">
        <v>1320</v>
      </c>
      <c r="AB8841" s="462" t="s">
        <v>25346</v>
      </c>
      <c r="AC8841" s="462" t="s">
        <v>25347</v>
      </c>
      <c r="AD8841" s="464">
        <v>287.77170000000001</v>
      </c>
      <c r="AE8841" s="465">
        <v>13.842879999999999</v>
      </c>
      <c r="AF8841" s="86">
        <f>IF(verze!$E$1="CZK",AD8841,IF(verze!$E$1="SK",AE8841,""))</f>
        <v>13.842879999999999</v>
      </c>
    </row>
    <row r="8842" spans="27:32" ht="15">
      <c r="AA8842" s="463" t="s">
        <v>1320</v>
      </c>
      <c r="AB8842" s="462" t="s">
        <v>25348</v>
      </c>
      <c r="AC8842" s="462" t="s">
        <v>25349</v>
      </c>
      <c r="AD8842" s="464">
        <v>296.48707999999999</v>
      </c>
      <c r="AE8842" s="465">
        <v>14.262119999999999</v>
      </c>
      <c r="AF8842" s="86">
        <f>IF(verze!$E$1="CZK",AD8842,IF(verze!$E$1="SK",AE8842,""))</f>
        <v>14.262119999999999</v>
      </c>
    </row>
    <row r="8843" spans="27:32" ht="15">
      <c r="AA8843" s="463" t="s">
        <v>1320</v>
      </c>
      <c r="AB8843" s="462" t="s">
        <v>25350</v>
      </c>
      <c r="AC8843" s="462" t="s">
        <v>25351</v>
      </c>
      <c r="AD8843" s="464">
        <v>790.93142</v>
      </c>
      <c r="AE8843" s="465">
        <v>38.046680000000002</v>
      </c>
      <c r="AF8843" s="86">
        <f>IF(verze!$E$1="CZK",AD8843,IF(verze!$E$1="SK",AE8843,""))</f>
        <v>38.046680000000002</v>
      </c>
    </row>
    <row r="8844" spans="27:32" ht="15">
      <c r="AA8844" s="463" t="s">
        <v>1320</v>
      </c>
      <c r="AB8844" s="462" t="s">
        <v>25352</v>
      </c>
      <c r="AC8844" s="462" t="s">
        <v>25353</v>
      </c>
      <c r="AD8844" s="464">
        <v>734.59384</v>
      </c>
      <c r="AE8844" s="465">
        <v>35.336649999999999</v>
      </c>
      <c r="AF8844" s="86">
        <f>IF(verze!$E$1="CZK",AD8844,IF(verze!$E$1="SK",AE8844,""))</f>
        <v>35.336649999999999</v>
      </c>
    </row>
    <row r="8845" spans="27:32" ht="15">
      <c r="AA8845" s="463" t="s">
        <v>1320</v>
      </c>
      <c r="AB8845" s="462" t="s">
        <v>25354</v>
      </c>
      <c r="AC8845" s="462" t="s">
        <v>25355</v>
      </c>
      <c r="AD8845" s="464">
        <v>51.795960000000001</v>
      </c>
      <c r="AE8845" s="465">
        <v>2.4916</v>
      </c>
      <c r="AF8845" s="86">
        <f>IF(verze!$E$1="CZK",AD8845,IF(verze!$E$1="SK",AE8845,""))</f>
        <v>2.4916</v>
      </c>
    </row>
    <row r="8846" spans="27:32" ht="15">
      <c r="AA8846" s="463" t="s">
        <v>1320</v>
      </c>
      <c r="AB8846" s="462" t="s">
        <v>25356</v>
      </c>
      <c r="AC8846" s="462" t="s">
        <v>25357</v>
      </c>
      <c r="AD8846" s="464">
        <v>734.59384</v>
      </c>
      <c r="AE8846" s="465">
        <v>35.336649999999999</v>
      </c>
      <c r="AF8846" s="86">
        <f>IF(verze!$E$1="CZK",AD8846,IF(verze!$E$1="SK",AE8846,""))</f>
        <v>35.336649999999999</v>
      </c>
    </row>
    <row r="8847" spans="27:32" ht="15">
      <c r="AA8847" s="463" t="s">
        <v>1320</v>
      </c>
      <c r="AB8847" s="462" t="s">
        <v>25358</v>
      </c>
      <c r="AC8847" s="462" t="s">
        <v>25359</v>
      </c>
      <c r="AD8847" s="464">
        <v>791.86751000000004</v>
      </c>
      <c r="AE8847" s="465">
        <v>38.091720000000002</v>
      </c>
      <c r="AF8847" s="86">
        <f>IF(verze!$E$1="CZK",AD8847,IF(verze!$E$1="SK",AE8847,""))</f>
        <v>38.091720000000002</v>
      </c>
    </row>
    <row r="8848" spans="27:32" ht="15">
      <c r="AA8848" s="463" t="s">
        <v>1320</v>
      </c>
      <c r="AB8848" s="462" t="s">
        <v>25360</v>
      </c>
      <c r="AC8848" s="462" t="s">
        <v>25361</v>
      </c>
      <c r="AD8848" s="464">
        <v>657.12253999999996</v>
      </c>
      <c r="AE8848" s="465">
        <v>31.61</v>
      </c>
      <c r="AF8848" s="86">
        <f>IF(verze!$E$1="CZK",AD8848,IF(verze!$E$1="SK",AE8848,""))</f>
        <v>31.61</v>
      </c>
    </row>
    <row r="8849" spans="27:32" ht="15">
      <c r="AA8849" s="463" t="s">
        <v>1320</v>
      </c>
      <c r="AB8849" s="462" t="s">
        <v>25362</v>
      </c>
      <c r="AC8849" s="462" t="s">
        <v>25363</v>
      </c>
      <c r="AD8849" s="464">
        <v>791.86751000000004</v>
      </c>
      <c r="AE8849" s="465">
        <v>38.091720000000002</v>
      </c>
      <c r="AF8849" s="86">
        <f>IF(verze!$E$1="CZK",AD8849,IF(verze!$E$1="SK",AE8849,""))</f>
        <v>38.091720000000002</v>
      </c>
    </row>
    <row r="8850" spans="27:32" ht="15">
      <c r="AA8850" s="463" t="s">
        <v>1320</v>
      </c>
      <c r="AB8850" s="462" t="s">
        <v>25364</v>
      </c>
      <c r="AC8850" s="462" t="s">
        <v>25365</v>
      </c>
      <c r="AD8850" s="464">
        <v>735.52990999999997</v>
      </c>
      <c r="AE8850" s="465">
        <v>35.38167</v>
      </c>
      <c r="AF8850" s="86">
        <f>IF(verze!$E$1="CZK",AD8850,IF(verze!$E$1="SK",AE8850,""))</f>
        <v>35.38167</v>
      </c>
    </row>
    <row r="8851" spans="27:32" ht="15">
      <c r="AA8851" s="463" t="s">
        <v>1320</v>
      </c>
      <c r="AB8851" s="462" t="s">
        <v>25366</v>
      </c>
      <c r="AC8851" s="462" t="s">
        <v>25367</v>
      </c>
      <c r="AD8851" s="464">
        <v>791.86751000000004</v>
      </c>
      <c r="AE8851" s="465">
        <v>38.091720000000002</v>
      </c>
      <c r="AF8851" s="86">
        <f>IF(verze!$E$1="CZK",AD8851,IF(verze!$E$1="SK",AE8851,""))</f>
        <v>38.091720000000002</v>
      </c>
    </row>
    <row r="8852" spans="27:32" ht="15">
      <c r="AA8852" s="463" t="s">
        <v>1320</v>
      </c>
      <c r="AB8852" s="462" t="s">
        <v>25368</v>
      </c>
      <c r="AC8852" s="462" t="s">
        <v>25369</v>
      </c>
      <c r="AD8852" s="464">
        <v>657.12253999999996</v>
      </c>
      <c r="AE8852" s="465">
        <v>31.61</v>
      </c>
      <c r="AF8852" s="86">
        <f>IF(verze!$E$1="CZK",AD8852,IF(verze!$E$1="SK",AE8852,""))</f>
        <v>31.61</v>
      </c>
    </row>
    <row r="8853" spans="27:32" ht="15">
      <c r="AA8853" s="463" t="s">
        <v>1320</v>
      </c>
      <c r="AB8853" s="462" t="s">
        <v>25370</v>
      </c>
      <c r="AC8853" s="462" t="s">
        <v>25371</v>
      </c>
      <c r="AD8853" s="464">
        <v>798.10563000000002</v>
      </c>
      <c r="AE8853" s="465">
        <v>38.39179</v>
      </c>
      <c r="AF8853" s="86">
        <f>IF(verze!$E$1="CZK",AD8853,IF(verze!$E$1="SK",AE8853,""))</f>
        <v>38.39179</v>
      </c>
    </row>
    <row r="8854" spans="27:32" ht="15">
      <c r="AA8854" s="463" t="s">
        <v>1320</v>
      </c>
      <c r="AB8854" s="462" t="s">
        <v>25372</v>
      </c>
      <c r="AC8854" s="462" t="s">
        <v>25373</v>
      </c>
      <c r="AD8854" s="464">
        <v>741.76802999999995</v>
      </c>
      <c r="AE8854" s="465">
        <v>35.681739999999998</v>
      </c>
      <c r="AF8854" s="86">
        <f>IF(verze!$E$1="CZK",AD8854,IF(verze!$E$1="SK",AE8854,""))</f>
        <v>35.681739999999998</v>
      </c>
    </row>
    <row r="8855" spans="27:32" ht="15">
      <c r="AA8855" s="463" t="s">
        <v>1320</v>
      </c>
      <c r="AB8855" s="462" t="s">
        <v>25374</v>
      </c>
      <c r="AC8855" s="462" t="s">
        <v>25375</v>
      </c>
      <c r="AD8855" s="464">
        <v>798.10563000000002</v>
      </c>
      <c r="AE8855" s="465">
        <v>38.39179</v>
      </c>
      <c r="AF8855" s="86">
        <f>IF(verze!$E$1="CZK",AD8855,IF(verze!$E$1="SK",AE8855,""))</f>
        <v>38.39179</v>
      </c>
    </row>
    <row r="8856" spans="27:32" ht="15">
      <c r="AA8856" s="463" t="s">
        <v>1320</v>
      </c>
      <c r="AB8856" s="462" t="s">
        <v>25376</v>
      </c>
      <c r="AC8856" s="462" t="s">
        <v>25377</v>
      </c>
      <c r="AD8856" s="464">
        <v>663.36311999999998</v>
      </c>
      <c r="AE8856" s="465">
        <v>31.910160000000001</v>
      </c>
      <c r="AF8856" s="86">
        <f>IF(verze!$E$1="CZK",AD8856,IF(verze!$E$1="SK",AE8856,""))</f>
        <v>31.910160000000001</v>
      </c>
    </row>
    <row r="8857" spans="27:32" ht="15">
      <c r="AA8857" s="463" t="s">
        <v>1320</v>
      </c>
      <c r="AB8857" s="462" t="s">
        <v>25378</v>
      </c>
      <c r="AC8857" s="462" t="s">
        <v>25379</v>
      </c>
      <c r="AD8857" s="464">
        <v>804.35099000000002</v>
      </c>
      <c r="AE8857" s="465">
        <v>38.6922</v>
      </c>
      <c r="AF8857" s="86">
        <f>IF(verze!$E$1="CZK",AD8857,IF(verze!$E$1="SK",AE8857,""))</f>
        <v>38.6922</v>
      </c>
    </row>
    <row r="8858" spans="27:32" ht="15">
      <c r="AA8858" s="463" t="s">
        <v>1320</v>
      </c>
      <c r="AB8858" s="462" t="s">
        <v>25380</v>
      </c>
      <c r="AC8858" s="462" t="s">
        <v>25381</v>
      </c>
      <c r="AD8858" s="464">
        <v>748.01338999999996</v>
      </c>
      <c r="AE8858" s="465">
        <v>35.982170000000004</v>
      </c>
      <c r="AF8858" s="86">
        <f>IF(verze!$E$1="CZK",AD8858,IF(verze!$E$1="SK",AE8858,""))</f>
        <v>35.982170000000004</v>
      </c>
    </row>
    <row r="8859" spans="27:32" ht="15">
      <c r="AA8859" s="463" t="s">
        <v>1320</v>
      </c>
      <c r="AB8859" s="462" t="s">
        <v>25382</v>
      </c>
      <c r="AC8859" s="462" t="s">
        <v>25383</v>
      </c>
      <c r="AD8859" s="464">
        <v>804.35099000000002</v>
      </c>
      <c r="AE8859" s="465">
        <v>38.6922</v>
      </c>
      <c r="AF8859" s="86">
        <f>IF(verze!$E$1="CZK",AD8859,IF(verze!$E$1="SK",AE8859,""))</f>
        <v>38.6922</v>
      </c>
    </row>
    <row r="8860" spans="27:32" ht="15">
      <c r="AA8860" s="463" t="s">
        <v>1320</v>
      </c>
      <c r="AB8860" s="462" t="s">
        <v>25384</v>
      </c>
      <c r="AC8860" s="462" t="s">
        <v>25385</v>
      </c>
      <c r="AD8860" s="464">
        <v>669.59878000000003</v>
      </c>
      <c r="AE8860" s="465">
        <v>32.210180000000001</v>
      </c>
      <c r="AF8860" s="86">
        <f>IF(verze!$E$1="CZK",AD8860,IF(verze!$E$1="SK",AE8860,""))</f>
        <v>32.210180000000001</v>
      </c>
    </row>
    <row r="8861" spans="27:32" ht="15">
      <c r="AA8861" s="463" t="s">
        <v>1320</v>
      </c>
      <c r="AB8861" s="462" t="s">
        <v>25386</v>
      </c>
      <c r="AC8861" s="462" t="s">
        <v>25387</v>
      </c>
      <c r="AD8861" s="464">
        <v>810.58911000000001</v>
      </c>
      <c r="AE8861" s="465">
        <v>38.992289999999997</v>
      </c>
      <c r="AF8861" s="86">
        <f>IF(verze!$E$1="CZK",AD8861,IF(verze!$E$1="SK",AE8861,""))</f>
        <v>38.992289999999997</v>
      </c>
    </row>
    <row r="8862" spans="27:32" ht="15">
      <c r="AA8862" s="463" t="s">
        <v>1320</v>
      </c>
      <c r="AB8862" s="462" t="s">
        <v>25388</v>
      </c>
      <c r="AC8862" s="462" t="s">
        <v>25389</v>
      </c>
      <c r="AD8862" s="464">
        <v>754.25151000000005</v>
      </c>
      <c r="AE8862" s="465">
        <v>36.282260000000001</v>
      </c>
      <c r="AF8862" s="86">
        <f>IF(verze!$E$1="CZK",AD8862,IF(verze!$E$1="SK",AE8862,""))</f>
        <v>36.282260000000001</v>
      </c>
    </row>
    <row r="8863" spans="27:32" ht="15">
      <c r="AA8863" s="463" t="s">
        <v>1320</v>
      </c>
      <c r="AB8863" s="462" t="s">
        <v>25390</v>
      </c>
      <c r="AC8863" s="462" t="s">
        <v>25391</v>
      </c>
      <c r="AD8863" s="464">
        <v>810.58911000000001</v>
      </c>
      <c r="AE8863" s="465">
        <v>38.992289999999997</v>
      </c>
      <c r="AF8863" s="86">
        <f>IF(verze!$E$1="CZK",AD8863,IF(verze!$E$1="SK",AE8863,""))</f>
        <v>38.992289999999997</v>
      </c>
    </row>
    <row r="8864" spans="27:32" ht="15">
      <c r="AA8864" s="463" t="s">
        <v>1320</v>
      </c>
      <c r="AB8864" s="462" t="s">
        <v>25392</v>
      </c>
      <c r="AC8864" s="462" t="s">
        <v>25393</v>
      </c>
      <c r="AD8864" s="464">
        <v>675.83439999999996</v>
      </c>
      <c r="AE8864" s="465">
        <v>32.510100000000001</v>
      </c>
      <c r="AF8864" s="86">
        <f>IF(verze!$E$1="CZK",AD8864,IF(verze!$E$1="SK",AE8864,""))</f>
        <v>32.510100000000001</v>
      </c>
    </row>
    <row r="8865" spans="27:32" ht="15">
      <c r="AA8865" s="463" t="s">
        <v>1320</v>
      </c>
      <c r="AB8865" s="462" t="s">
        <v>25394</v>
      </c>
      <c r="AC8865" s="462" t="s">
        <v>25395</v>
      </c>
      <c r="AD8865" s="464">
        <v>848.02984000000004</v>
      </c>
      <c r="AE8865" s="465">
        <v>40.793329999999997</v>
      </c>
      <c r="AF8865" s="86">
        <f>IF(verze!$E$1="CZK",AD8865,IF(verze!$E$1="SK",AE8865,""))</f>
        <v>40.793329999999997</v>
      </c>
    </row>
    <row r="8866" spans="27:32" ht="15">
      <c r="AA8866" s="463" t="s">
        <v>1320</v>
      </c>
      <c r="AB8866" s="462" t="s">
        <v>25396</v>
      </c>
      <c r="AC8866" s="462" t="s">
        <v>25397</v>
      </c>
      <c r="AD8866" s="464">
        <v>791.69235000000003</v>
      </c>
      <c r="AE8866" s="465">
        <v>38.083280000000002</v>
      </c>
      <c r="AF8866" s="86">
        <f>IF(verze!$E$1="CZK",AD8866,IF(verze!$E$1="SK",AE8866,""))</f>
        <v>38.083280000000002</v>
      </c>
    </row>
    <row r="8867" spans="27:32" ht="15">
      <c r="AA8867" s="463" t="s">
        <v>1320</v>
      </c>
      <c r="AB8867" s="462" t="s">
        <v>25398</v>
      </c>
      <c r="AC8867" s="462" t="s">
        <v>25399</v>
      </c>
      <c r="AD8867" s="464">
        <v>848.02984000000004</v>
      </c>
      <c r="AE8867" s="465">
        <v>40.793329999999997</v>
      </c>
      <c r="AF8867" s="86">
        <f>IF(verze!$E$1="CZK",AD8867,IF(verze!$E$1="SK",AE8867,""))</f>
        <v>40.793329999999997</v>
      </c>
    </row>
    <row r="8868" spans="27:32" ht="15">
      <c r="AA8868" s="463" t="s">
        <v>1320</v>
      </c>
      <c r="AB8868" s="462" t="s">
        <v>25400</v>
      </c>
      <c r="AC8868" s="462" t="s">
        <v>25401</v>
      </c>
      <c r="AD8868" s="464">
        <v>713.28237999999999</v>
      </c>
      <c r="AE8868" s="465">
        <v>34.311480000000003</v>
      </c>
      <c r="AF8868" s="86">
        <f>IF(verze!$E$1="CZK",AD8868,IF(verze!$E$1="SK",AE8868,""))</f>
        <v>34.311480000000003</v>
      </c>
    </row>
    <row r="8869" spans="27:32" ht="15">
      <c r="AA8869" s="463" t="s">
        <v>1320</v>
      </c>
      <c r="AB8869" s="462" t="s">
        <v>25402</v>
      </c>
      <c r="AC8869" s="462" t="s">
        <v>25403</v>
      </c>
      <c r="AD8869" s="464">
        <v>922.91863000000001</v>
      </c>
      <c r="AE8869" s="465">
        <v>44.395760000000003</v>
      </c>
      <c r="AF8869" s="86">
        <f>IF(verze!$E$1="CZK",AD8869,IF(verze!$E$1="SK",AE8869,""))</f>
        <v>44.395760000000003</v>
      </c>
    </row>
    <row r="8870" spans="27:32" ht="15">
      <c r="AA8870" s="463" t="s">
        <v>1320</v>
      </c>
      <c r="AB8870" s="462" t="s">
        <v>25404</v>
      </c>
      <c r="AC8870" s="462" t="s">
        <v>25405</v>
      </c>
      <c r="AD8870" s="464">
        <v>866.58104000000003</v>
      </c>
      <c r="AE8870" s="465">
        <v>41.68571</v>
      </c>
      <c r="AF8870" s="86">
        <f>IF(verze!$E$1="CZK",AD8870,IF(verze!$E$1="SK",AE8870,""))</f>
        <v>41.68571</v>
      </c>
    </row>
    <row r="8871" spans="27:32" ht="15">
      <c r="AA8871" s="463" t="s">
        <v>1320</v>
      </c>
      <c r="AB8871" s="462" t="s">
        <v>25406</v>
      </c>
      <c r="AC8871" s="462" t="s">
        <v>25407</v>
      </c>
      <c r="AD8871" s="464">
        <v>922.91863000000001</v>
      </c>
      <c r="AE8871" s="465">
        <v>44.395760000000003</v>
      </c>
      <c r="AF8871" s="86">
        <f>IF(verze!$E$1="CZK",AD8871,IF(verze!$E$1="SK",AE8871,""))</f>
        <v>44.395760000000003</v>
      </c>
    </row>
    <row r="8872" spans="27:32" ht="15">
      <c r="AA8872" s="463" t="s">
        <v>1320</v>
      </c>
      <c r="AB8872" s="462" t="s">
        <v>25408</v>
      </c>
      <c r="AC8872" s="462" t="s">
        <v>25409</v>
      </c>
      <c r="AD8872" s="464">
        <v>788.16880000000003</v>
      </c>
      <c r="AE8872" s="465">
        <v>37.913820000000001</v>
      </c>
      <c r="AF8872" s="86">
        <f>IF(verze!$E$1="CZK",AD8872,IF(verze!$E$1="SK",AE8872,""))</f>
        <v>37.913820000000001</v>
      </c>
    </row>
    <row r="8873" spans="27:32" ht="15">
      <c r="AA8873" s="463" t="s">
        <v>1320</v>
      </c>
      <c r="AB8873" s="462" t="s">
        <v>25410</v>
      </c>
      <c r="AC8873" s="462" t="s">
        <v>25411</v>
      </c>
      <c r="AD8873" s="464">
        <v>597.23447999999996</v>
      </c>
      <c r="AE8873" s="465">
        <v>28.729140000000001</v>
      </c>
      <c r="AF8873" s="86">
        <f>IF(verze!$E$1="CZK",AD8873,IF(verze!$E$1="SK",AE8873,""))</f>
        <v>28.729140000000001</v>
      </c>
    </row>
    <row r="8874" spans="27:32" ht="15">
      <c r="AA8874" s="463" t="s">
        <v>1320</v>
      </c>
      <c r="AB8874" s="462" t="s">
        <v>25412</v>
      </c>
      <c r="AC8874" s="462" t="s">
        <v>25413</v>
      </c>
      <c r="AD8874" s="464">
        <v>532.37580000000003</v>
      </c>
      <c r="AE8874" s="465">
        <v>25.609220000000001</v>
      </c>
      <c r="AF8874" s="86">
        <f>IF(verze!$E$1="CZK",AD8874,IF(verze!$E$1="SK",AE8874,""))</f>
        <v>25.609220000000001</v>
      </c>
    </row>
    <row r="8875" spans="27:32" ht="15">
      <c r="AA8875" s="463" t="s">
        <v>1320</v>
      </c>
      <c r="AB8875" s="462" t="s">
        <v>25414</v>
      </c>
      <c r="AC8875" s="462" t="s">
        <v>25415</v>
      </c>
      <c r="AD8875" s="464">
        <v>608.04618000000005</v>
      </c>
      <c r="AE8875" s="465">
        <v>29.24924</v>
      </c>
      <c r="AF8875" s="86">
        <f>IF(verze!$E$1="CZK",AD8875,IF(verze!$E$1="SK",AE8875,""))</f>
        <v>29.24924</v>
      </c>
    </row>
    <row r="8876" spans="27:32" ht="15">
      <c r="AA8876" s="463" t="s">
        <v>1320</v>
      </c>
      <c r="AB8876" s="462" t="s">
        <v>25416</v>
      </c>
      <c r="AC8876" s="462" t="s">
        <v>25417</v>
      </c>
      <c r="AD8876" s="464">
        <v>532.98198000000002</v>
      </c>
      <c r="AE8876" s="465">
        <v>25.638400000000001</v>
      </c>
      <c r="AF8876" s="86">
        <f>IF(verze!$E$1="CZK",AD8876,IF(verze!$E$1="SK",AE8876,""))</f>
        <v>25.638400000000001</v>
      </c>
    </row>
    <row r="8877" spans="27:32" ht="15">
      <c r="AA8877" s="463" t="s">
        <v>1320</v>
      </c>
      <c r="AB8877" s="462" t="s">
        <v>25418</v>
      </c>
      <c r="AC8877" s="462" t="s">
        <v>25419</v>
      </c>
      <c r="AD8877" s="464">
        <v>618.85767999999996</v>
      </c>
      <c r="AE8877" s="465">
        <v>29.76932</v>
      </c>
      <c r="AF8877" s="86">
        <f>IF(verze!$E$1="CZK",AD8877,IF(verze!$E$1="SK",AE8877,""))</f>
        <v>29.76932</v>
      </c>
    </row>
    <row r="8878" spans="27:32" ht="15">
      <c r="AA8878" s="463" t="s">
        <v>1320</v>
      </c>
      <c r="AB8878" s="462" t="s">
        <v>25420</v>
      </c>
      <c r="AC8878" s="462" t="s">
        <v>25421</v>
      </c>
      <c r="AD8878" s="464">
        <v>553.99882000000002</v>
      </c>
      <c r="AE8878" s="465">
        <v>26.649380000000001</v>
      </c>
      <c r="AF8878" s="86">
        <f>IF(verze!$E$1="CZK",AD8878,IF(verze!$E$1="SK",AE8878,""))</f>
        <v>26.649380000000001</v>
      </c>
    </row>
    <row r="8879" spans="27:32" ht="15">
      <c r="AA8879" s="463" t="s">
        <v>1320</v>
      </c>
      <c r="AB8879" s="462" t="s">
        <v>25422</v>
      </c>
      <c r="AC8879" s="462" t="s">
        <v>25423</v>
      </c>
      <c r="AD8879" s="464">
        <v>613.79647999999997</v>
      </c>
      <c r="AE8879" s="465">
        <v>28.9221</v>
      </c>
      <c r="AF8879" s="86">
        <f>IF(verze!$E$1="CZK",AD8879,IF(verze!$E$1="SK",AE8879,""))</f>
        <v>28.9221</v>
      </c>
    </row>
    <row r="8880" spans="27:32" ht="15">
      <c r="AA8880" s="463" t="s">
        <v>1320</v>
      </c>
      <c r="AB8880" s="462" t="s">
        <v>25424</v>
      </c>
      <c r="AC8880" s="462" t="s">
        <v>25425</v>
      </c>
      <c r="AD8880" s="464">
        <v>540.29240000000004</v>
      </c>
      <c r="AE8880" s="465">
        <v>25.46266</v>
      </c>
      <c r="AF8880" s="86">
        <f>IF(verze!$E$1="CZK",AD8880,IF(verze!$E$1="SK",AE8880,""))</f>
        <v>25.46266</v>
      </c>
    </row>
    <row r="8881" spans="27:32" ht="15">
      <c r="AA8881" s="463" t="s">
        <v>1320</v>
      </c>
      <c r="AB8881" s="462" t="s">
        <v>25426</v>
      </c>
      <c r="AC8881" s="462" t="s">
        <v>25427</v>
      </c>
      <c r="AD8881" s="464">
        <v>624.31020000000001</v>
      </c>
      <c r="AE8881" s="465">
        <v>29.416899999999998</v>
      </c>
      <c r="AF8881" s="86">
        <f>IF(verze!$E$1="CZK",AD8881,IF(verze!$E$1="SK",AE8881,""))</f>
        <v>29.416899999999998</v>
      </c>
    </row>
    <row r="8882" spans="27:32" ht="15">
      <c r="AA8882" s="463" t="s">
        <v>1320</v>
      </c>
      <c r="AB8882" s="462" t="s">
        <v>25428</v>
      </c>
      <c r="AC8882" s="462" t="s">
        <v>25429</v>
      </c>
      <c r="AD8882" s="464">
        <v>550.60098000000005</v>
      </c>
      <c r="AE8882" s="465">
        <v>25.94782</v>
      </c>
      <c r="AF8882" s="86">
        <f>IF(verze!$E$1="CZK",AD8882,IF(verze!$E$1="SK",AE8882,""))</f>
        <v>25.94782</v>
      </c>
    </row>
    <row r="8883" spans="27:32" ht="15">
      <c r="AA8883" s="463" t="s">
        <v>1320</v>
      </c>
      <c r="AB8883" s="462" t="s">
        <v>25430</v>
      </c>
      <c r="AC8883" s="462" t="s">
        <v>25431</v>
      </c>
      <c r="AD8883" s="464">
        <v>583.83118000000002</v>
      </c>
      <c r="AE8883" s="465">
        <v>28.084399999999999</v>
      </c>
      <c r="AF8883" s="86">
        <f>IF(verze!$E$1="CZK",AD8883,IF(verze!$E$1="SK",AE8883,""))</f>
        <v>28.084399999999999</v>
      </c>
    </row>
    <row r="8884" spans="27:32" ht="15">
      <c r="AA8884" s="463" t="s">
        <v>1320</v>
      </c>
      <c r="AB8884" s="462" t="s">
        <v>25432</v>
      </c>
      <c r="AC8884" s="462" t="s">
        <v>25433</v>
      </c>
      <c r="AD8884" s="464">
        <v>594.41614000000004</v>
      </c>
      <c r="AE8884" s="465">
        <v>28.59356</v>
      </c>
      <c r="AF8884" s="86">
        <f>IF(verze!$E$1="CZK",AD8884,IF(verze!$E$1="SK",AE8884,""))</f>
        <v>28.59356</v>
      </c>
    </row>
    <row r="8885" spans="27:32" ht="15">
      <c r="AA8885" s="463" t="s">
        <v>1320</v>
      </c>
      <c r="AB8885" s="462" t="s">
        <v>25434</v>
      </c>
      <c r="AC8885" s="462" t="s">
        <v>25435</v>
      </c>
      <c r="AD8885" s="464">
        <v>538.44308000000001</v>
      </c>
      <c r="AE8885" s="465">
        <v>25.90108</v>
      </c>
      <c r="AF8885" s="86">
        <f>IF(verze!$E$1="CZK",AD8885,IF(verze!$E$1="SK",AE8885,""))</f>
        <v>25.90108</v>
      </c>
    </row>
    <row r="8886" spans="27:32" ht="15">
      <c r="AA8886" s="463" t="s">
        <v>1320</v>
      </c>
      <c r="AB8886" s="462" t="s">
        <v>25436</v>
      </c>
      <c r="AC8886" s="462" t="s">
        <v>25437</v>
      </c>
      <c r="AD8886" s="464">
        <v>480.21753999999999</v>
      </c>
      <c r="AE8886" s="465">
        <v>23.10022</v>
      </c>
      <c r="AF8886" s="86">
        <f>IF(verze!$E$1="CZK",AD8886,IF(verze!$E$1="SK",AE8886,""))</f>
        <v>23.10022</v>
      </c>
    </row>
    <row r="8887" spans="27:32" ht="15">
      <c r="AA8887" s="463" t="s">
        <v>1320</v>
      </c>
      <c r="AB8887" s="462" t="s">
        <v>25438</v>
      </c>
      <c r="AC8887" s="462" t="s">
        <v>25439</v>
      </c>
      <c r="AD8887" s="464">
        <v>539.39541999999994</v>
      </c>
      <c r="AE8887" s="465">
        <v>25.946899999999999</v>
      </c>
      <c r="AF8887" s="86">
        <f>IF(verze!$E$1="CZK",AD8887,IF(verze!$E$1="SK",AE8887,""))</f>
        <v>25.946899999999999</v>
      </c>
    </row>
    <row r="8888" spans="27:32" ht="15">
      <c r="AA8888" s="463" t="s">
        <v>1320</v>
      </c>
      <c r="AB8888" s="462" t="s">
        <v>25440</v>
      </c>
      <c r="AC8888" s="462" t="s">
        <v>25441</v>
      </c>
      <c r="AD8888" s="464">
        <v>481.17998</v>
      </c>
      <c r="AE8888" s="465">
        <v>23.1465</v>
      </c>
      <c r="AF8888" s="86">
        <f>IF(verze!$E$1="CZK",AD8888,IF(verze!$E$1="SK",AE8888,""))</f>
        <v>23.1465</v>
      </c>
    </row>
    <row r="8889" spans="27:32" ht="15">
      <c r="AA8889" s="463" t="s">
        <v>1320</v>
      </c>
      <c r="AB8889" s="462" t="s">
        <v>25442</v>
      </c>
      <c r="AC8889" s="462" t="s">
        <v>25443</v>
      </c>
      <c r="AD8889" s="464">
        <v>549.10799999999995</v>
      </c>
      <c r="AE8889" s="465">
        <v>26.414100000000001</v>
      </c>
      <c r="AF8889" s="86">
        <f>IF(verze!$E$1="CZK",AD8889,IF(verze!$E$1="SK",AE8889,""))</f>
        <v>26.414100000000001</v>
      </c>
    </row>
    <row r="8890" spans="27:32" ht="15">
      <c r="AA8890" s="463" t="s">
        <v>1320</v>
      </c>
      <c r="AB8890" s="462" t="s">
        <v>25444</v>
      </c>
      <c r="AC8890" s="462" t="s">
        <v>25445</v>
      </c>
      <c r="AD8890" s="464">
        <v>490.88736</v>
      </c>
      <c r="AE8890" s="465">
        <v>23.61346</v>
      </c>
      <c r="AF8890" s="86">
        <f>IF(verze!$E$1="CZK",AD8890,IF(verze!$E$1="SK",AE8890,""))</f>
        <v>23.61346</v>
      </c>
    </row>
    <row r="8891" spans="27:32" ht="15">
      <c r="AA8891" s="463" t="s">
        <v>1320</v>
      </c>
      <c r="AB8891" s="462" t="s">
        <v>25446</v>
      </c>
      <c r="AC8891" s="462" t="s">
        <v>25447</v>
      </c>
      <c r="AD8891" s="464">
        <v>554.92156</v>
      </c>
      <c r="AE8891" s="465">
        <v>26.693739999999998</v>
      </c>
      <c r="AF8891" s="86">
        <f>IF(verze!$E$1="CZK",AD8891,IF(verze!$E$1="SK",AE8891,""))</f>
        <v>26.693739999999998</v>
      </c>
    </row>
    <row r="8892" spans="27:32" ht="15">
      <c r="AA8892" s="463" t="s">
        <v>1320</v>
      </c>
      <c r="AB8892" s="462" t="s">
        <v>25448</v>
      </c>
      <c r="AC8892" s="462" t="s">
        <v>25449</v>
      </c>
      <c r="AD8892" s="464">
        <v>496.71604000000002</v>
      </c>
      <c r="AE8892" s="465">
        <v>23.89386</v>
      </c>
      <c r="AF8892" s="86">
        <f>IF(verze!$E$1="CZK",AD8892,IF(verze!$E$1="SK",AE8892,""))</f>
        <v>23.89386</v>
      </c>
    </row>
    <row r="8893" spans="27:32" ht="15">
      <c r="AA8893" s="463" t="s">
        <v>1320</v>
      </c>
      <c r="AB8893" s="462" t="s">
        <v>25450</v>
      </c>
      <c r="AC8893" s="462" t="s">
        <v>25451</v>
      </c>
      <c r="AD8893" s="464">
        <v>558.80543999999998</v>
      </c>
      <c r="AE8893" s="465">
        <v>26.880559999999999</v>
      </c>
      <c r="AF8893" s="86">
        <f>IF(verze!$E$1="CZK",AD8893,IF(verze!$E$1="SK",AE8893,""))</f>
        <v>26.880559999999999</v>
      </c>
    </row>
    <row r="8894" spans="27:32" ht="15">
      <c r="AA8894" s="463" t="s">
        <v>1320</v>
      </c>
      <c r="AB8894" s="462" t="s">
        <v>25452</v>
      </c>
      <c r="AC8894" s="462" t="s">
        <v>25453</v>
      </c>
      <c r="AD8894" s="464">
        <v>500.59</v>
      </c>
      <c r="AE8894" s="465">
        <v>24.080200000000001</v>
      </c>
      <c r="AF8894" s="86">
        <f>IF(verze!$E$1="CZK",AD8894,IF(verze!$E$1="SK",AE8894,""))</f>
        <v>24.080200000000001</v>
      </c>
    </row>
    <row r="8895" spans="27:32" ht="15">
      <c r="AA8895" s="463" t="s">
        <v>1320</v>
      </c>
      <c r="AB8895" s="462" t="s">
        <v>25454</v>
      </c>
      <c r="AC8895" s="462" t="s">
        <v>25455</v>
      </c>
      <c r="AD8895" s="464">
        <v>562.68956000000003</v>
      </c>
      <c r="AE8895" s="465">
        <v>27.067419999999998</v>
      </c>
      <c r="AF8895" s="86">
        <f>IF(verze!$E$1="CZK",AD8895,IF(verze!$E$1="SK",AE8895,""))</f>
        <v>27.067419999999998</v>
      </c>
    </row>
    <row r="8896" spans="27:32" ht="15">
      <c r="AA8896" s="463" t="s">
        <v>1320</v>
      </c>
      <c r="AB8896" s="462" t="s">
        <v>25456</v>
      </c>
      <c r="AC8896" s="462" t="s">
        <v>25457</v>
      </c>
      <c r="AD8896" s="464">
        <v>504.46420000000001</v>
      </c>
      <c r="AE8896" s="465">
        <v>24.266559999999998</v>
      </c>
      <c r="AF8896" s="86">
        <f>IF(verze!$E$1="CZK",AD8896,IF(verze!$E$1="SK",AE8896,""))</f>
        <v>24.266559999999998</v>
      </c>
    </row>
    <row r="8897" spans="27:32" ht="15">
      <c r="AA8897" s="463" t="s">
        <v>1320</v>
      </c>
      <c r="AB8897" s="462" t="s">
        <v>25458</v>
      </c>
      <c r="AC8897" s="462" t="s">
        <v>25459</v>
      </c>
      <c r="AD8897" s="464">
        <v>568.50311999999997</v>
      </c>
      <c r="AE8897" s="465">
        <v>27.347059999999999</v>
      </c>
      <c r="AF8897" s="86">
        <f>IF(verze!$E$1="CZK",AD8897,IF(verze!$E$1="SK",AE8897,""))</f>
        <v>27.347059999999999</v>
      </c>
    </row>
    <row r="8898" spans="27:32" ht="15">
      <c r="AA8898" s="463" t="s">
        <v>1320</v>
      </c>
      <c r="AB8898" s="462" t="s">
        <v>25460</v>
      </c>
      <c r="AC8898" s="462" t="s">
        <v>25461</v>
      </c>
      <c r="AD8898" s="464">
        <v>510.28271999999998</v>
      </c>
      <c r="AE8898" s="465">
        <v>24.546500000000002</v>
      </c>
      <c r="AF8898" s="86">
        <f>IF(verze!$E$1="CZK",AD8898,IF(verze!$E$1="SK",AE8898,""))</f>
        <v>24.546500000000002</v>
      </c>
    </row>
    <row r="8899" spans="27:32" ht="15">
      <c r="AA8899" s="463" t="s">
        <v>1320</v>
      </c>
      <c r="AB8899" s="462" t="s">
        <v>25462</v>
      </c>
      <c r="AC8899" s="462" t="s">
        <v>25463</v>
      </c>
      <c r="AD8899" s="464">
        <v>574.33158000000003</v>
      </c>
      <c r="AE8899" s="465">
        <v>27.62744</v>
      </c>
      <c r="AF8899" s="86">
        <f>IF(verze!$E$1="CZK",AD8899,IF(verze!$E$1="SK",AE8899,""))</f>
        <v>27.62744</v>
      </c>
    </row>
    <row r="8900" spans="27:32" ht="15">
      <c r="AA8900" s="463" t="s">
        <v>1320</v>
      </c>
      <c r="AB8900" s="462" t="s">
        <v>25464</v>
      </c>
      <c r="AC8900" s="462" t="s">
        <v>25465</v>
      </c>
      <c r="AD8900" s="464">
        <v>516.10619999999994</v>
      </c>
      <c r="AE8900" s="465">
        <v>24.82658</v>
      </c>
      <c r="AF8900" s="86">
        <f>IF(verze!$E$1="CZK",AD8900,IF(verze!$E$1="SK",AE8900,""))</f>
        <v>24.82658</v>
      </c>
    </row>
    <row r="8901" spans="27:32" ht="15">
      <c r="AA8901" s="463" t="s">
        <v>1320</v>
      </c>
      <c r="AB8901" s="462" t="s">
        <v>25466</v>
      </c>
      <c r="AC8901" s="462" t="s">
        <v>25467</v>
      </c>
      <c r="AD8901" s="464">
        <v>563.70619999999997</v>
      </c>
      <c r="AE8901" s="465">
        <v>26.564579999999999</v>
      </c>
      <c r="AF8901" s="86">
        <f>IF(verze!$E$1="CZK",AD8901,IF(verze!$E$1="SK",AE8901,""))</f>
        <v>26.564579999999999</v>
      </c>
    </row>
    <row r="8902" spans="27:32" ht="15">
      <c r="AA8902" s="463" t="s">
        <v>1320</v>
      </c>
      <c r="AB8902" s="462" t="s">
        <v>25468</v>
      </c>
      <c r="AC8902" s="462" t="s">
        <v>25469</v>
      </c>
      <c r="AD8902" s="464">
        <v>507.0342</v>
      </c>
      <c r="AE8902" s="465">
        <v>23.897379999999998</v>
      </c>
      <c r="AF8902" s="86">
        <f>IF(verze!$E$1="CZK",AD8902,IF(verze!$E$1="SK",AE8902,""))</f>
        <v>23.897379999999998</v>
      </c>
    </row>
    <row r="8903" spans="27:32" ht="15">
      <c r="AA8903" s="463" t="s">
        <v>1320</v>
      </c>
      <c r="AB8903" s="462" t="s">
        <v>25470</v>
      </c>
      <c r="AC8903" s="462" t="s">
        <v>25471</v>
      </c>
      <c r="AD8903" s="464">
        <v>582.09961999999996</v>
      </c>
      <c r="AE8903" s="465">
        <v>28.00112</v>
      </c>
      <c r="AF8903" s="86">
        <f>IF(verze!$E$1="CZK",AD8903,IF(verze!$E$1="SK",AE8903,""))</f>
        <v>28.00112</v>
      </c>
    </row>
    <row r="8904" spans="27:32" ht="15">
      <c r="AA8904" s="463" t="s">
        <v>1320</v>
      </c>
      <c r="AB8904" s="462" t="s">
        <v>25472</v>
      </c>
      <c r="AC8904" s="462" t="s">
        <v>25473</v>
      </c>
      <c r="AD8904" s="464">
        <v>523.87922000000003</v>
      </c>
      <c r="AE8904" s="465">
        <v>25.200520000000001</v>
      </c>
      <c r="AF8904" s="86">
        <f>IF(verze!$E$1="CZK",AD8904,IF(verze!$E$1="SK",AE8904,""))</f>
        <v>25.200520000000001</v>
      </c>
    </row>
    <row r="8905" spans="27:32" ht="15">
      <c r="AA8905" s="463" t="s">
        <v>1320</v>
      </c>
      <c r="AB8905" s="462" t="s">
        <v>25474</v>
      </c>
      <c r="AC8905" s="462" t="s">
        <v>25475</v>
      </c>
      <c r="AD8905" s="464">
        <v>580.49048000000005</v>
      </c>
      <c r="AE8905" s="465">
        <v>27.642959999999999</v>
      </c>
      <c r="AF8905" s="86">
        <f>IF(verze!$E$1="CZK",AD8905,IF(verze!$E$1="SK",AE8905,""))</f>
        <v>27.642959999999999</v>
      </c>
    </row>
    <row r="8906" spans="27:32" ht="15">
      <c r="AA8906" s="463" t="s">
        <v>1320</v>
      </c>
      <c r="AB8906" s="462" t="s">
        <v>25476</v>
      </c>
      <c r="AC8906" s="462" t="s">
        <v>25477</v>
      </c>
      <c r="AD8906" s="464">
        <v>523.08817999999997</v>
      </c>
      <c r="AE8906" s="465">
        <v>24.91113</v>
      </c>
      <c r="AF8906" s="86">
        <f>IF(verze!$E$1="CZK",AD8906,IF(verze!$E$1="SK",AE8906,""))</f>
        <v>24.91113</v>
      </c>
    </row>
    <row r="8907" spans="27:32" ht="15">
      <c r="AA8907" s="463" t="s">
        <v>1320</v>
      </c>
      <c r="AB8907" s="462" t="s">
        <v>25478</v>
      </c>
      <c r="AC8907" s="462" t="s">
        <v>25479</v>
      </c>
      <c r="AD8907" s="464">
        <v>597.56619999999998</v>
      </c>
      <c r="AE8907" s="465">
        <v>28.745100000000001</v>
      </c>
      <c r="AF8907" s="86">
        <f>IF(verze!$E$1="CZK",AD8907,IF(verze!$E$1="SK",AE8907,""))</f>
        <v>28.745100000000001</v>
      </c>
    </row>
    <row r="8908" spans="27:32" ht="15">
      <c r="AA8908" s="463" t="s">
        <v>1320</v>
      </c>
      <c r="AB8908" s="462" t="s">
        <v>25480</v>
      </c>
      <c r="AC8908" s="462" t="s">
        <v>25481</v>
      </c>
      <c r="AD8908" s="464">
        <v>539.39541999999994</v>
      </c>
      <c r="AE8908" s="465">
        <v>25.946899999999999</v>
      </c>
      <c r="AF8908" s="86">
        <f>IF(verze!$E$1="CZK",AD8908,IF(verze!$E$1="SK",AE8908,""))</f>
        <v>25.946899999999999</v>
      </c>
    </row>
    <row r="8909" spans="27:32" ht="15">
      <c r="AA8909" s="463" t="s">
        <v>1320</v>
      </c>
      <c r="AB8909" s="462" t="s">
        <v>25482</v>
      </c>
      <c r="AC8909" s="462" t="s">
        <v>25483</v>
      </c>
      <c r="AD8909" s="464">
        <v>0</v>
      </c>
      <c r="AE8909" s="465">
        <v>0</v>
      </c>
      <c r="AF8909" s="86">
        <f>IF(verze!$E$1="CZK",AD8909,IF(verze!$E$1="SK",AE8909,""))</f>
        <v>0</v>
      </c>
    </row>
    <row r="8910" spans="27:32" ht="15">
      <c r="AA8910" s="463" t="s">
        <v>1320</v>
      </c>
      <c r="AB8910" s="462" t="s">
        <v>25484</v>
      </c>
      <c r="AC8910" s="462" t="s">
        <v>25485</v>
      </c>
      <c r="AD8910" s="464">
        <v>0</v>
      </c>
      <c r="AE8910" s="465">
        <v>0</v>
      </c>
      <c r="AF8910" s="86">
        <f>IF(verze!$E$1="CZK",AD8910,IF(verze!$E$1="SK",AE8910,""))</f>
        <v>0</v>
      </c>
    </row>
    <row r="8911" spans="27:32" ht="15">
      <c r="AA8911" s="463" t="s">
        <v>1320</v>
      </c>
      <c r="AB8911" s="462" t="s">
        <v>25486</v>
      </c>
      <c r="AC8911" s="462" t="s">
        <v>25487</v>
      </c>
      <c r="AD8911" s="464">
        <v>0</v>
      </c>
      <c r="AE8911" s="465">
        <v>0</v>
      </c>
      <c r="AF8911" s="86">
        <f>IF(verze!$E$1="CZK",AD8911,IF(verze!$E$1="SK",AE8911,""))</f>
        <v>0</v>
      </c>
    </row>
    <row r="8912" spans="27:32" ht="15">
      <c r="AA8912" s="463" t="s">
        <v>1320</v>
      </c>
      <c r="AB8912" s="462" t="s">
        <v>25488</v>
      </c>
      <c r="AC8912" s="462" t="s">
        <v>25489</v>
      </c>
      <c r="AD8912" s="464">
        <v>0</v>
      </c>
      <c r="AE8912" s="465">
        <v>0</v>
      </c>
      <c r="AF8912" s="86">
        <f>IF(verze!$E$1="CZK",AD8912,IF(verze!$E$1="SK",AE8912,""))</f>
        <v>0</v>
      </c>
    </row>
    <row r="8913" spans="27:32" ht="15">
      <c r="AA8913" s="463" t="s">
        <v>1320</v>
      </c>
      <c r="AB8913" s="462" t="s">
        <v>25490</v>
      </c>
      <c r="AC8913" s="462" t="s">
        <v>25491</v>
      </c>
      <c r="AD8913" s="464">
        <v>0</v>
      </c>
      <c r="AE8913" s="465">
        <v>0</v>
      </c>
      <c r="AF8913" s="86">
        <f>IF(verze!$E$1="CZK",AD8913,IF(verze!$E$1="SK",AE8913,""))</f>
        <v>0</v>
      </c>
    </row>
    <row r="8914" spans="27:32" ht="15">
      <c r="AA8914" s="463" t="s">
        <v>1320</v>
      </c>
      <c r="AB8914" s="462" t="s">
        <v>25492</v>
      </c>
      <c r="AC8914" s="462" t="s">
        <v>25493</v>
      </c>
      <c r="AD8914" s="464">
        <v>0</v>
      </c>
      <c r="AE8914" s="465">
        <v>0</v>
      </c>
      <c r="AF8914" s="86">
        <f>IF(verze!$E$1="CZK",AD8914,IF(verze!$E$1="SK",AE8914,""))</f>
        <v>0</v>
      </c>
    </row>
    <row r="8915" spans="27:32" ht="15">
      <c r="AA8915" s="463" t="s">
        <v>1320</v>
      </c>
      <c r="AB8915" s="462" t="s">
        <v>25494</v>
      </c>
      <c r="AC8915" s="462" t="s">
        <v>25495</v>
      </c>
      <c r="AD8915" s="464">
        <v>0</v>
      </c>
      <c r="AE8915" s="465">
        <v>0</v>
      </c>
      <c r="AF8915" s="86">
        <f>IF(verze!$E$1="CZK",AD8915,IF(verze!$E$1="SK",AE8915,""))</f>
        <v>0</v>
      </c>
    </row>
    <row r="8916" spans="27:32" ht="15">
      <c r="AA8916" s="463" t="s">
        <v>1320</v>
      </c>
      <c r="AB8916" s="462" t="s">
        <v>25496</v>
      </c>
      <c r="AC8916" s="462" t="s">
        <v>25497</v>
      </c>
      <c r="AD8916" s="464">
        <v>0</v>
      </c>
      <c r="AE8916" s="465">
        <v>0</v>
      </c>
      <c r="AF8916" s="86">
        <f>IF(verze!$E$1="CZK",AD8916,IF(verze!$E$1="SK",AE8916,""))</f>
        <v>0</v>
      </c>
    </row>
    <row r="8917" spans="27:32" ht="15">
      <c r="AA8917" s="463" t="s">
        <v>1320</v>
      </c>
      <c r="AB8917" s="462" t="s">
        <v>25498</v>
      </c>
      <c r="AC8917" s="462" t="s">
        <v>25499</v>
      </c>
      <c r="AD8917" s="464">
        <v>0</v>
      </c>
      <c r="AE8917" s="465">
        <v>0</v>
      </c>
      <c r="AF8917" s="86">
        <f>IF(verze!$E$1="CZK",AD8917,IF(verze!$E$1="SK",AE8917,""))</f>
        <v>0</v>
      </c>
    </row>
    <row r="8918" spans="27:32" ht="15">
      <c r="AA8918" s="463" t="s">
        <v>1320</v>
      </c>
      <c r="AB8918" s="462" t="s">
        <v>25500</v>
      </c>
      <c r="AC8918" s="462" t="s">
        <v>25501</v>
      </c>
      <c r="AD8918" s="464">
        <v>0</v>
      </c>
      <c r="AE8918" s="465">
        <v>0</v>
      </c>
      <c r="AF8918" s="86">
        <f>IF(verze!$E$1="CZK",AD8918,IF(verze!$E$1="SK",AE8918,""))</f>
        <v>0</v>
      </c>
    </row>
    <row r="8919" spans="27:32" ht="15">
      <c r="AA8919" s="463" t="s">
        <v>1320</v>
      </c>
      <c r="AB8919" s="462" t="s">
        <v>25502</v>
      </c>
      <c r="AC8919" s="462" t="s">
        <v>25503</v>
      </c>
      <c r="AD8919" s="464">
        <v>0</v>
      </c>
      <c r="AE8919" s="465">
        <v>0</v>
      </c>
      <c r="AF8919" s="86">
        <f>IF(verze!$E$1="CZK",AD8919,IF(verze!$E$1="SK",AE8919,""))</f>
        <v>0</v>
      </c>
    </row>
    <row r="8920" spans="27:32" ht="15">
      <c r="AA8920" s="463" t="s">
        <v>1320</v>
      </c>
      <c r="AB8920" s="462" t="s">
        <v>25504</v>
      </c>
      <c r="AC8920" s="462" t="s">
        <v>25505</v>
      </c>
      <c r="AD8920" s="464">
        <v>0</v>
      </c>
      <c r="AE8920" s="465">
        <v>0</v>
      </c>
      <c r="AF8920" s="86">
        <f>IF(verze!$E$1="CZK",AD8920,IF(verze!$E$1="SK",AE8920,""))</f>
        <v>0</v>
      </c>
    </row>
    <row r="8921" spans="27:32" ht="15">
      <c r="AA8921" s="463" t="s">
        <v>1320</v>
      </c>
      <c r="AB8921" s="462" t="s">
        <v>25506</v>
      </c>
      <c r="AC8921" s="462" t="s">
        <v>25507</v>
      </c>
      <c r="AD8921" s="464">
        <v>0</v>
      </c>
      <c r="AE8921" s="465">
        <v>0</v>
      </c>
      <c r="AF8921" s="86">
        <f>IF(verze!$E$1="CZK",AD8921,IF(verze!$E$1="SK",AE8921,""))</f>
        <v>0</v>
      </c>
    </row>
    <row r="8922" spans="27:32" ht="15">
      <c r="AA8922" s="463" t="s">
        <v>1320</v>
      </c>
      <c r="AB8922" s="462" t="s">
        <v>25508</v>
      </c>
      <c r="AC8922" s="462" t="s">
        <v>25509</v>
      </c>
      <c r="AD8922" s="464">
        <v>0</v>
      </c>
      <c r="AE8922" s="465">
        <v>0</v>
      </c>
      <c r="AF8922" s="86">
        <f>IF(verze!$E$1="CZK",AD8922,IF(verze!$E$1="SK",AE8922,""))</f>
        <v>0</v>
      </c>
    </row>
    <row r="8923" spans="27:32" ht="15">
      <c r="AA8923" s="463" t="s">
        <v>1320</v>
      </c>
      <c r="AB8923" s="462" t="s">
        <v>25510</v>
      </c>
      <c r="AC8923" s="462" t="s">
        <v>25511</v>
      </c>
      <c r="AD8923" s="464">
        <v>0</v>
      </c>
      <c r="AE8923" s="465">
        <v>0</v>
      </c>
      <c r="AF8923" s="86">
        <f>IF(verze!$E$1="CZK",AD8923,IF(verze!$E$1="SK",AE8923,""))</f>
        <v>0</v>
      </c>
    </row>
    <row r="8924" spans="27:32" ht="15">
      <c r="AA8924" s="463" t="s">
        <v>1320</v>
      </c>
      <c r="AB8924" s="462" t="s">
        <v>25512</v>
      </c>
      <c r="AC8924" s="462" t="s">
        <v>25513</v>
      </c>
      <c r="AD8924" s="464">
        <v>0</v>
      </c>
      <c r="AE8924" s="465">
        <v>0</v>
      </c>
      <c r="AF8924" s="86">
        <f>IF(verze!$E$1="CZK",AD8924,IF(verze!$E$1="SK",AE8924,""))</f>
        <v>0</v>
      </c>
    </row>
    <row r="8925" spans="27:32" ht="15">
      <c r="AA8925" s="463" t="s">
        <v>1320</v>
      </c>
      <c r="AB8925" s="462" t="s">
        <v>25514</v>
      </c>
      <c r="AC8925" s="462" t="s">
        <v>25515</v>
      </c>
      <c r="AD8925" s="464">
        <v>0</v>
      </c>
      <c r="AE8925" s="465">
        <v>0</v>
      </c>
      <c r="AF8925" s="86">
        <f>IF(verze!$E$1="CZK",AD8925,IF(verze!$E$1="SK",AE8925,""))</f>
        <v>0</v>
      </c>
    </row>
    <row r="8926" spans="27:32" ht="15">
      <c r="AA8926" s="463" t="s">
        <v>1320</v>
      </c>
      <c r="AB8926" s="462" t="s">
        <v>25516</v>
      </c>
      <c r="AC8926" s="462" t="s">
        <v>25517</v>
      </c>
      <c r="AD8926" s="464">
        <v>0</v>
      </c>
      <c r="AE8926" s="465">
        <v>0</v>
      </c>
      <c r="AF8926" s="86">
        <f>IF(verze!$E$1="CZK",AD8926,IF(verze!$E$1="SK",AE8926,""))</f>
        <v>0</v>
      </c>
    </row>
    <row r="8927" spans="27:32" ht="15">
      <c r="AA8927" s="463" t="s">
        <v>1320</v>
      </c>
      <c r="AB8927" s="462" t="s">
        <v>25518</v>
      </c>
      <c r="AC8927" s="462" t="s">
        <v>25519</v>
      </c>
      <c r="AD8927" s="464">
        <v>0</v>
      </c>
      <c r="AE8927" s="465">
        <v>0</v>
      </c>
      <c r="AF8927" s="86">
        <f>IF(verze!$E$1="CZK",AD8927,IF(verze!$E$1="SK",AE8927,""))</f>
        <v>0</v>
      </c>
    </row>
    <row r="8928" spans="27:32" ht="15">
      <c r="AA8928" s="463" t="s">
        <v>1320</v>
      </c>
      <c r="AB8928" s="462" t="s">
        <v>25520</v>
      </c>
      <c r="AC8928" s="462" t="s">
        <v>25521</v>
      </c>
      <c r="AD8928" s="464">
        <v>0</v>
      </c>
      <c r="AE8928" s="465">
        <v>0</v>
      </c>
      <c r="AF8928" s="86">
        <f>IF(verze!$E$1="CZK",AD8928,IF(verze!$E$1="SK",AE8928,""))</f>
        <v>0</v>
      </c>
    </row>
    <row r="8929" spans="27:32" ht="15">
      <c r="AA8929" s="463" t="s">
        <v>1320</v>
      </c>
      <c r="AB8929" s="462" t="s">
        <v>25522</v>
      </c>
      <c r="AC8929" s="462" t="s">
        <v>25523</v>
      </c>
      <c r="AD8929" s="464">
        <v>0</v>
      </c>
      <c r="AE8929" s="465">
        <v>0</v>
      </c>
      <c r="AF8929" s="86">
        <f>IF(verze!$E$1="CZK",AD8929,IF(verze!$E$1="SK",AE8929,""))</f>
        <v>0</v>
      </c>
    </row>
    <row r="8930" spans="27:32" ht="15">
      <c r="AA8930" s="463" t="s">
        <v>1320</v>
      </c>
      <c r="AB8930" s="462" t="s">
        <v>25524</v>
      </c>
      <c r="AC8930" s="462" t="s">
        <v>25525</v>
      </c>
      <c r="AD8930" s="464">
        <v>0</v>
      </c>
      <c r="AE8930" s="465">
        <v>0</v>
      </c>
      <c r="AF8930" s="86">
        <f>IF(verze!$E$1="CZK",AD8930,IF(verze!$E$1="SK",AE8930,""))</f>
        <v>0</v>
      </c>
    </row>
    <row r="8931" spans="27:32" ht="15">
      <c r="AA8931" s="463" t="s">
        <v>1320</v>
      </c>
      <c r="AB8931" s="462" t="s">
        <v>25526</v>
      </c>
      <c r="AC8931" s="462" t="s">
        <v>25527</v>
      </c>
      <c r="AD8931" s="464">
        <v>0</v>
      </c>
      <c r="AE8931" s="465">
        <v>0</v>
      </c>
      <c r="AF8931" s="86">
        <f>IF(verze!$E$1="CZK",AD8931,IF(verze!$E$1="SK",AE8931,""))</f>
        <v>0</v>
      </c>
    </row>
    <row r="8932" spans="27:32" ht="15">
      <c r="AA8932" s="463" t="s">
        <v>1320</v>
      </c>
      <c r="AB8932" s="462" t="s">
        <v>25528</v>
      </c>
      <c r="AC8932" s="462" t="s">
        <v>25529</v>
      </c>
      <c r="AD8932" s="464">
        <v>0</v>
      </c>
      <c r="AE8932" s="465">
        <v>0</v>
      </c>
      <c r="AF8932" s="86">
        <f>IF(verze!$E$1="CZK",AD8932,IF(verze!$E$1="SK",AE8932,""))</f>
        <v>0</v>
      </c>
    </row>
    <row r="8933" spans="27:32" ht="15">
      <c r="AA8933" s="463" t="s">
        <v>1320</v>
      </c>
      <c r="AB8933" s="462" t="s">
        <v>25530</v>
      </c>
      <c r="AC8933" s="462" t="s">
        <v>25531</v>
      </c>
      <c r="AD8933" s="464">
        <v>0</v>
      </c>
      <c r="AE8933" s="465">
        <v>0</v>
      </c>
      <c r="AF8933" s="86">
        <f>IF(verze!$E$1="CZK",AD8933,IF(verze!$E$1="SK",AE8933,""))</f>
        <v>0</v>
      </c>
    </row>
    <row r="8934" spans="27:32" ht="15">
      <c r="AA8934" s="463" t="s">
        <v>1320</v>
      </c>
      <c r="AB8934" s="462" t="s">
        <v>25532</v>
      </c>
      <c r="AC8934" s="462" t="s">
        <v>25533</v>
      </c>
      <c r="AD8934" s="464">
        <v>0</v>
      </c>
      <c r="AE8934" s="465">
        <v>0</v>
      </c>
      <c r="AF8934" s="86">
        <f>IF(verze!$E$1="CZK",AD8934,IF(verze!$E$1="SK",AE8934,""))</f>
        <v>0</v>
      </c>
    </row>
    <row r="8935" spans="27:32" ht="15">
      <c r="AA8935" s="463" t="s">
        <v>1320</v>
      </c>
      <c r="AB8935" s="462" t="s">
        <v>25534</v>
      </c>
      <c r="AC8935" s="462" t="s">
        <v>25535</v>
      </c>
      <c r="AD8935" s="464">
        <v>0</v>
      </c>
      <c r="AE8935" s="465">
        <v>0</v>
      </c>
      <c r="AF8935" s="86">
        <f>IF(verze!$E$1="CZK",AD8935,IF(verze!$E$1="SK",AE8935,""))</f>
        <v>0</v>
      </c>
    </row>
    <row r="8936" spans="27:32" ht="15">
      <c r="AA8936" s="463" t="s">
        <v>1320</v>
      </c>
      <c r="AB8936" s="462" t="s">
        <v>25536</v>
      </c>
      <c r="AC8936" s="462" t="s">
        <v>25537</v>
      </c>
      <c r="AD8936" s="464">
        <v>0</v>
      </c>
      <c r="AE8936" s="465">
        <v>0</v>
      </c>
      <c r="AF8936" s="86">
        <f>IF(verze!$E$1="CZK",AD8936,IF(verze!$E$1="SK",AE8936,""))</f>
        <v>0</v>
      </c>
    </row>
    <row r="8937" spans="27:32" ht="15">
      <c r="AA8937" s="463" t="s">
        <v>1320</v>
      </c>
      <c r="AB8937" s="462" t="s">
        <v>25538</v>
      </c>
      <c r="AC8937" s="462" t="s">
        <v>25539</v>
      </c>
      <c r="AD8937" s="464">
        <v>0</v>
      </c>
      <c r="AE8937" s="465">
        <v>0</v>
      </c>
      <c r="AF8937" s="86">
        <f>IF(verze!$E$1="CZK",AD8937,IF(verze!$E$1="SK",AE8937,""))</f>
        <v>0</v>
      </c>
    </row>
    <row r="8938" spans="27:32" ht="15">
      <c r="AA8938" s="463" t="s">
        <v>1320</v>
      </c>
      <c r="AB8938" s="462" t="s">
        <v>25540</v>
      </c>
      <c r="AC8938" s="462" t="s">
        <v>25541</v>
      </c>
      <c r="AD8938" s="464">
        <v>0</v>
      </c>
      <c r="AE8938" s="465">
        <v>0</v>
      </c>
      <c r="AF8938" s="86">
        <f>IF(verze!$E$1="CZK",AD8938,IF(verze!$E$1="SK",AE8938,""))</f>
        <v>0</v>
      </c>
    </row>
    <row r="8939" spans="27:32" ht="15">
      <c r="AA8939" s="463" t="s">
        <v>1320</v>
      </c>
      <c r="AB8939" s="462" t="s">
        <v>25542</v>
      </c>
      <c r="AC8939" s="462" t="s">
        <v>25543</v>
      </c>
      <c r="AD8939" s="464">
        <v>0</v>
      </c>
      <c r="AE8939" s="465">
        <v>0</v>
      </c>
      <c r="AF8939" s="86">
        <f>IF(verze!$E$1="CZK",AD8939,IF(verze!$E$1="SK",AE8939,""))</f>
        <v>0</v>
      </c>
    </row>
    <row r="8940" spans="27:32" ht="15">
      <c r="AA8940" s="463" t="s">
        <v>1320</v>
      </c>
      <c r="AB8940" s="462" t="s">
        <v>25544</v>
      </c>
      <c r="AC8940" s="462" t="s">
        <v>25545</v>
      </c>
      <c r="AD8940" s="464">
        <v>0</v>
      </c>
      <c r="AE8940" s="465">
        <v>0</v>
      </c>
      <c r="AF8940" s="86">
        <f>IF(verze!$E$1="CZK",AD8940,IF(verze!$E$1="SK",AE8940,""))</f>
        <v>0</v>
      </c>
    </row>
    <row r="8941" spans="27:32" ht="15">
      <c r="AA8941" s="463" t="s">
        <v>1320</v>
      </c>
      <c r="AB8941" s="462" t="s">
        <v>25546</v>
      </c>
      <c r="AC8941" s="462" t="s">
        <v>25547</v>
      </c>
      <c r="AD8941" s="464">
        <v>0</v>
      </c>
      <c r="AE8941" s="465">
        <v>0</v>
      </c>
      <c r="AF8941" s="86">
        <f>IF(verze!$E$1="CZK",AD8941,IF(verze!$E$1="SK",AE8941,""))</f>
        <v>0</v>
      </c>
    </row>
    <row r="8942" spans="27:32" ht="15">
      <c r="AA8942" s="463" t="s">
        <v>1320</v>
      </c>
      <c r="AB8942" s="462" t="s">
        <v>25548</v>
      </c>
      <c r="AC8942" s="462" t="s">
        <v>25549</v>
      </c>
      <c r="AD8942" s="464">
        <v>0</v>
      </c>
      <c r="AE8942" s="465">
        <v>0</v>
      </c>
      <c r="AF8942" s="86">
        <f>IF(verze!$E$1="CZK",AD8942,IF(verze!$E$1="SK",AE8942,""))</f>
        <v>0</v>
      </c>
    </row>
    <row r="8943" spans="27:32" ht="15">
      <c r="AA8943" s="463" t="s">
        <v>1320</v>
      </c>
      <c r="AB8943" s="462" t="s">
        <v>25550</v>
      </c>
      <c r="AC8943" s="462" t="s">
        <v>25551</v>
      </c>
      <c r="AD8943" s="464">
        <v>0</v>
      </c>
      <c r="AE8943" s="465">
        <v>0</v>
      </c>
      <c r="AF8943" s="86">
        <f>IF(verze!$E$1="CZK",AD8943,IF(verze!$E$1="SK",AE8943,""))</f>
        <v>0</v>
      </c>
    </row>
    <row r="8944" spans="27:32" ht="15">
      <c r="AA8944" s="463" t="s">
        <v>1320</v>
      </c>
      <c r="AB8944" s="462" t="s">
        <v>25552</v>
      </c>
      <c r="AC8944" s="462" t="s">
        <v>25553</v>
      </c>
      <c r="AD8944" s="464">
        <v>0</v>
      </c>
      <c r="AE8944" s="465">
        <v>0</v>
      </c>
      <c r="AF8944" s="86">
        <f>IF(verze!$E$1="CZK",AD8944,IF(verze!$E$1="SK",AE8944,""))</f>
        <v>0</v>
      </c>
    </row>
    <row r="8945" spans="27:32" ht="15">
      <c r="AA8945" s="463" t="s">
        <v>1320</v>
      </c>
      <c r="AB8945" s="462" t="s">
        <v>25554</v>
      </c>
      <c r="AC8945" s="462" t="s">
        <v>25555</v>
      </c>
      <c r="AD8945" s="464">
        <v>0</v>
      </c>
      <c r="AE8945" s="465">
        <v>0</v>
      </c>
      <c r="AF8945" s="86">
        <f>IF(verze!$E$1="CZK",AD8945,IF(verze!$E$1="SK",AE8945,""))</f>
        <v>0</v>
      </c>
    </row>
    <row r="8946" spans="27:32" ht="15">
      <c r="AA8946" s="463" t="s">
        <v>1320</v>
      </c>
      <c r="AB8946" s="462" t="s">
        <v>25556</v>
      </c>
      <c r="AC8946" s="462" t="s">
        <v>25557</v>
      </c>
      <c r="AD8946" s="464">
        <v>0</v>
      </c>
      <c r="AE8946" s="465">
        <v>0</v>
      </c>
      <c r="AF8946" s="86">
        <f>IF(verze!$E$1="CZK",AD8946,IF(verze!$E$1="SK",AE8946,""))</f>
        <v>0</v>
      </c>
    </row>
    <row r="8947" spans="27:32" ht="15">
      <c r="AA8947" s="463" t="s">
        <v>1320</v>
      </c>
      <c r="AB8947" s="462" t="s">
        <v>25558</v>
      </c>
      <c r="AC8947" s="462" t="s">
        <v>25559</v>
      </c>
      <c r="AD8947" s="464">
        <v>0</v>
      </c>
      <c r="AE8947" s="465">
        <v>0</v>
      </c>
      <c r="AF8947" s="86">
        <f>IF(verze!$E$1="CZK",AD8947,IF(verze!$E$1="SK",AE8947,""))</f>
        <v>0</v>
      </c>
    </row>
    <row r="8948" spans="27:32" ht="15">
      <c r="AA8948" s="463" t="s">
        <v>1320</v>
      </c>
      <c r="AB8948" s="462" t="s">
        <v>25560</v>
      </c>
      <c r="AC8948" s="462" t="s">
        <v>25561</v>
      </c>
      <c r="AD8948" s="464">
        <v>0</v>
      </c>
      <c r="AE8948" s="465">
        <v>0</v>
      </c>
      <c r="AF8948" s="86">
        <f>IF(verze!$E$1="CZK",AD8948,IF(verze!$E$1="SK",AE8948,""))</f>
        <v>0</v>
      </c>
    </row>
    <row r="8949" spans="27:32" ht="15">
      <c r="AA8949" s="463" t="s">
        <v>1320</v>
      </c>
      <c r="AB8949" s="462" t="s">
        <v>25562</v>
      </c>
      <c r="AC8949" s="462" t="s">
        <v>25563</v>
      </c>
      <c r="AD8949" s="464">
        <v>0</v>
      </c>
      <c r="AE8949" s="465">
        <v>0</v>
      </c>
      <c r="AF8949" s="86">
        <f>IF(verze!$E$1="CZK",AD8949,IF(verze!$E$1="SK",AE8949,""))</f>
        <v>0</v>
      </c>
    </row>
    <row r="8950" spans="27:32" ht="15">
      <c r="AA8950" s="463" t="s">
        <v>1320</v>
      </c>
      <c r="AB8950" s="462" t="s">
        <v>25564</v>
      </c>
      <c r="AC8950" s="462" t="s">
        <v>25565</v>
      </c>
      <c r="AD8950" s="464">
        <v>0</v>
      </c>
      <c r="AE8950" s="465">
        <v>0</v>
      </c>
      <c r="AF8950" s="86">
        <f>IF(verze!$E$1="CZK",AD8950,IF(verze!$E$1="SK",AE8950,""))</f>
        <v>0</v>
      </c>
    </row>
    <row r="8951" spans="27:32" ht="15">
      <c r="AA8951" s="463" t="s">
        <v>1320</v>
      </c>
      <c r="AB8951" s="462" t="s">
        <v>25566</v>
      </c>
      <c r="AC8951" s="462" t="s">
        <v>25567</v>
      </c>
      <c r="AD8951" s="464">
        <v>0</v>
      </c>
      <c r="AE8951" s="465">
        <v>0</v>
      </c>
      <c r="AF8951" s="86">
        <f>IF(verze!$E$1="CZK",AD8951,IF(verze!$E$1="SK",AE8951,""))</f>
        <v>0</v>
      </c>
    </row>
    <row r="8952" spans="27:32" ht="15">
      <c r="AA8952" s="463" t="s">
        <v>1320</v>
      </c>
      <c r="AB8952" s="462" t="s">
        <v>25568</v>
      </c>
      <c r="AC8952" s="462" t="s">
        <v>25569</v>
      </c>
      <c r="AD8952" s="464">
        <v>0</v>
      </c>
      <c r="AE8952" s="465">
        <v>0</v>
      </c>
      <c r="AF8952" s="86">
        <f>IF(verze!$E$1="CZK",AD8952,IF(verze!$E$1="SK",AE8952,""))</f>
        <v>0</v>
      </c>
    </row>
    <row r="8953" spans="27:32" ht="15">
      <c r="AA8953" s="463" t="s">
        <v>1320</v>
      </c>
      <c r="AB8953" s="462" t="s">
        <v>25570</v>
      </c>
      <c r="AC8953" s="462" t="s">
        <v>25571</v>
      </c>
      <c r="AD8953" s="464">
        <v>0</v>
      </c>
      <c r="AE8953" s="465">
        <v>0</v>
      </c>
      <c r="AF8953" s="86">
        <f>IF(verze!$E$1="CZK",AD8953,IF(verze!$E$1="SK",AE8953,""))</f>
        <v>0</v>
      </c>
    </row>
    <row r="8954" spans="27:32" ht="15">
      <c r="AA8954" s="463" t="s">
        <v>1320</v>
      </c>
      <c r="AB8954" s="462" t="s">
        <v>25572</v>
      </c>
      <c r="AC8954" s="462" t="s">
        <v>25573</v>
      </c>
      <c r="AD8954" s="464">
        <v>0</v>
      </c>
      <c r="AE8954" s="465">
        <v>0</v>
      </c>
      <c r="AF8954" s="86">
        <f>IF(verze!$E$1="CZK",AD8954,IF(verze!$E$1="SK",AE8954,""))</f>
        <v>0</v>
      </c>
    </row>
    <row r="8955" spans="27:32" ht="15">
      <c r="AA8955" s="463" t="s">
        <v>1320</v>
      </c>
      <c r="AB8955" s="462" t="s">
        <v>25574</v>
      </c>
      <c r="AC8955" s="462" t="s">
        <v>25575</v>
      </c>
      <c r="AD8955" s="464">
        <v>0</v>
      </c>
      <c r="AE8955" s="465">
        <v>0</v>
      </c>
      <c r="AF8955" s="86">
        <f>IF(verze!$E$1="CZK",AD8955,IF(verze!$E$1="SK",AE8955,""))</f>
        <v>0</v>
      </c>
    </row>
    <row r="8956" spans="27:32" ht="15">
      <c r="AA8956" s="463" t="s">
        <v>1320</v>
      </c>
      <c r="AB8956" s="462" t="s">
        <v>25576</v>
      </c>
      <c r="AC8956" s="462" t="s">
        <v>25577</v>
      </c>
      <c r="AD8956" s="464">
        <v>0</v>
      </c>
      <c r="AE8956" s="465">
        <v>0</v>
      </c>
      <c r="AF8956" s="86">
        <f>IF(verze!$E$1="CZK",AD8956,IF(verze!$E$1="SK",AE8956,""))</f>
        <v>0</v>
      </c>
    </row>
    <row r="8957" spans="27:32" ht="15">
      <c r="AA8957" s="463" t="s">
        <v>1320</v>
      </c>
      <c r="AB8957" s="462" t="s">
        <v>25578</v>
      </c>
      <c r="AC8957" s="462" t="s">
        <v>25579</v>
      </c>
      <c r="AD8957" s="464">
        <v>0</v>
      </c>
      <c r="AE8957" s="465">
        <v>0</v>
      </c>
      <c r="AF8957" s="86">
        <f>IF(verze!$E$1="CZK",AD8957,IF(verze!$E$1="SK",AE8957,""))</f>
        <v>0</v>
      </c>
    </row>
    <row r="8958" spans="27:32" ht="15">
      <c r="AA8958" s="463" t="s">
        <v>1320</v>
      </c>
      <c r="AB8958" s="462" t="s">
        <v>25580</v>
      </c>
      <c r="AC8958" s="462" t="s">
        <v>25581</v>
      </c>
      <c r="AD8958" s="464">
        <v>0</v>
      </c>
      <c r="AE8958" s="465">
        <v>0</v>
      </c>
      <c r="AF8958" s="86">
        <f>IF(verze!$E$1="CZK",AD8958,IF(verze!$E$1="SK",AE8958,""))</f>
        <v>0</v>
      </c>
    </row>
    <row r="8959" spans="27:32" ht="15">
      <c r="AA8959" s="463" t="s">
        <v>1320</v>
      </c>
      <c r="AB8959" s="462" t="s">
        <v>25582</v>
      </c>
      <c r="AC8959" s="462" t="s">
        <v>25583</v>
      </c>
      <c r="AD8959" s="464">
        <v>0</v>
      </c>
      <c r="AE8959" s="465">
        <v>0</v>
      </c>
      <c r="AF8959" s="86">
        <f>IF(verze!$E$1="CZK",AD8959,IF(verze!$E$1="SK",AE8959,""))</f>
        <v>0</v>
      </c>
    </row>
    <row r="8960" spans="27:32" ht="15">
      <c r="AA8960" s="463" t="s">
        <v>1320</v>
      </c>
      <c r="AB8960" s="462" t="s">
        <v>25584</v>
      </c>
      <c r="AC8960" s="462" t="s">
        <v>25585</v>
      </c>
      <c r="AD8960" s="464">
        <v>0</v>
      </c>
      <c r="AE8960" s="465">
        <v>0</v>
      </c>
      <c r="AF8960" s="86">
        <f>IF(verze!$E$1="CZK",AD8960,IF(verze!$E$1="SK",AE8960,""))</f>
        <v>0</v>
      </c>
    </row>
    <row r="8961" spans="27:32" ht="15">
      <c r="AA8961" s="463" t="s">
        <v>1320</v>
      </c>
      <c r="AB8961" s="462" t="s">
        <v>25586</v>
      </c>
      <c r="AC8961" s="462" t="s">
        <v>25587</v>
      </c>
      <c r="AD8961" s="464">
        <v>0</v>
      </c>
      <c r="AE8961" s="465">
        <v>0</v>
      </c>
      <c r="AF8961" s="86">
        <f>IF(verze!$E$1="CZK",AD8961,IF(verze!$E$1="SK",AE8961,""))</f>
        <v>0</v>
      </c>
    </row>
    <row r="8962" spans="27:32" ht="15">
      <c r="AA8962" s="463" t="s">
        <v>1320</v>
      </c>
      <c r="AB8962" s="462" t="s">
        <v>25588</v>
      </c>
      <c r="AC8962" s="462" t="s">
        <v>25589</v>
      </c>
      <c r="AD8962" s="464">
        <v>0</v>
      </c>
      <c r="AE8962" s="465">
        <v>0</v>
      </c>
      <c r="AF8962" s="86">
        <f>IF(verze!$E$1="CZK",AD8962,IF(verze!$E$1="SK",AE8962,""))</f>
        <v>0</v>
      </c>
    </row>
    <row r="8963" spans="27:32" ht="15">
      <c r="AA8963" s="463" t="s">
        <v>1320</v>
      </c>
      <c r="AB8963" s="462" t="s">
        <v>25590</v>
      </c>
      <c r="AC8963" s="462" t="s">
        <v>25591</v>
      </c>
      <c r="AD8963" s="464">
        <v>0</v>
      </c>
      <c r="AE8963" s="465">
        <v>0</v>
      </c>
      <c r="AF8963" s="86">
        <f>IF(verze!$E$1="CZK",AD8963,IF(verze!$E$1="SK",AE8963,""))</f>
        <v>0</v>
      </c>
    </row>
    <row r="8964" spans="27:32" ht="15">
      <c r="AA8964" s="463" t="s">
        <v>1320</v>
      </c>
      <c r="AB8964" s="462" t="s">
        <v>25592</v>
      </c>
      <c r="AC8964" s="462" t="s">
        <v>25593</v>
      </c>
      <c r="AD8964" s="464">
        <v>0</v>
      </c>
      <c r="AE8964" s="465">
        <v>0</v>
      </c>
      <c r="AF8964" s="86">
        <f>IF(verze!$E$1="CZK",AD8964,IF(verze!$E$1="SK",AE8964,""))</f>
        <v>0</v>
      </c>
    </row>
    <row r="8965" spans="27:32" ht="15">
      <c r="AA8965" s="463" t="s">
        <v>1320</v>
      </c>
      <c r="AB8965" s="462" t="s">
        <v>25594</v>
      </c>
      <c r="AC8965" s="462" t="s">
        <v>25595</v>
      </c>
      <c r="AD8965" s="464">
        <v>0</v>
      </c>
      <c r="AE8965" s="465">
        <v>0</v>
      </c>
      <c r="AF8965" s="86">
        <f>IF(verze!$E$1="CZK",AD8965,IF(verze!$E$1="SK",AE8965,""))</f>
        <v>0</v>
      </c>
    </row>
    <row r="8966" spans="27:32" ht="15">
      <c r="AA8966" s="463" t="s">
        <v>1320</v>
      </c>
      <c r="AB8966" s="462" t="s">
        <v>25596</v>
      </c>
      <c r="AC8966" s="462" t="s">
        <v>25597</v>
      </c>
      <c r="AD8966" s="464">
        <v>0</v>
      </c>
      <c r="AE8966" s="465">
        <v>0</v>
      </c>
      <c r="AF8966" s="86">
        <f>IF(verze!$E$1="CZK",AD8966,IF(verze!$E$1="SK",AE8966,""))</f>
        <v>0</v>
      </c>
    </row>
    <row r="8967" spans="27:32" ht="15">
      <c r="AA8967" s="463" t="s">
        <v>1320</v>
      </c>
      <c r="AB8967" s="462" t="s">
        <v>25598</v>
      </c>
      <c r="AC8967" s="462" t="s">
        <v>25599</v>
      </c>
      <c r="AD8967" s="464">
        <v>0</v>
      </c>
      <c r="AE8967" s="465">
        <v>0</v>
      </c>
      <c r="AF8967" s="86">
        <f>IF(verze!$E$1="CZK",AD8967,IF(verze!$E$1="SK",AE8967,""))</f>
        <v>0</v>
      </c>
    </row>
    <row r="8968" spans="27:32" ht="15">
      <c r="AA8968" s="463" t="s">
        <v>1320</v>
      </c>
      <c r="AB8968" s="462" t="s">
        <v>25600</v>
      </c>
      <c r="AC8968" s="462" t="s">
        <v>25601</v>
      </c>
      <c r="AD8968" s="464">
        <v>0</v>
      </c>
      <c r="AE8968" s="465">
        <v>0</v>
      </c>
      <c r="AF8968" s="86">
        <f>IF(verze!$E$1="CZK",AD8968,IF(verze!$E$1="SK",AE8968,""))</f>
        <v>0</v>
      </c>
    </row>
    <row r="8969" spans="27:32" ht="15">
      <c r="AA8969" s="463" t="s">
        <v>1320</v>
      </c>
      <c r="AB8969" s="462" t="s">
        <v>25602</v>
      </c>
      <c r="AC8969" s="462" t="s">
        <v>25603</v>
      </c>
      <c r="AD8969" s="464">
        <v>0</v>
      </c>
      <c r="AE8969" s="465">
        <v>0</v>
      </c>
      <c r="AF8969" s="86">
        <f>IF(verze!$E$1="CZK",AD8969,IF(verze!$E$1="SK",AE8969,""))</f>
        <v>0</v>
      </c>
    </row>
    <row r="8970" spans="27:32" ht="15">
      <c r="AA8970" s="463" t="s">
        <v>1320</v>
      </c>
      <c r="AB8970" s="462" t="s">
        <v>25604</v>
      </c>
      <c r="AC8970" s="462" t="s">
        <v>25605</v>
      </c>
      <c r="AD8970" s="464">
        <v>0</v>
      </c>
      <c r="AE8970" s="465">
        <v>0</v>
      </c>
      <c r="AF8970" s="86">
        <f>IF(verze!$E$1="CZK",AD8970,IF(verze!$E$1="SK",AE8970,""))</f>
        <v>0</v>
      </c>
    </row>
    <row r="8971" spans="27:32" ht="15">
      <c r="AA8971" s="463" t="s">
        <v>1320</v>
      </c>
      <c r="AB8971" s="462" t="s">
        <v>25606</v>
      </c>
      <c r="AC8971" s="462" t="s">
        <v>25607</v>
      </c>
      <c r="AD8971" s="464">
        <v>0</v>
      </c>
      <c r="AE8971" s="465">
        <v>0</v>
      </c>
      <c r="AF8971" s="86">
        <f>IF(verze!$E$1="CZK",AD8971,IF(verze!$E$1="SK",AE8971,""))</f>
        <v>0</v>
      </c>
    </row>
    <row r="8972" spans="27:32" ht="15">
      <c r="AA8972" s="463" t="s">
        <v>1320</v>
      </c>
      <c r="AB8972" s="462" t="s">
        <v>25608</v>
      </c>
      <c r="AC8972" s="462" t="s">
        <v>25609</v>
      </c>
      <c r="AD8972" s="464">
        <v>0</v>
      </c>
      <c r="AE8972" s="465">
        <v>0</v>
      </c>
      <c r="AF8972" s="86">
        <f>IF(verze!$E$1="CZK",AD8972,IF(verze!$E$1="SK",AE8972,""))</f>
        <v>0</v>
      </c>
    </row>
    <row r="8973" spans="27:32" ht="15">
      <c r="AA8973" s="463" t="s">
        <v>1320</v>
      </c>
      <c r="AB8973" s="462" t="s">
        <v>25610</v>
      </c>
      <c r="AC8973" s="462" t="s">
        <v>25611</v>
      </c>
      <c r="AD8973" s="464">
        <v>0</v>
      </c>
      <c r="AE8973" s="465">
        <v>0</v>
      </c>
      <c r="AF8973" s="86">
        <f>IF(verze!$E$1="CZK",AD8973,IF(verze!$E$1="SK",AE8973,""))</f>
        <v>0</v>
      </c>
    </row>
    <row r="8974" spans="27:32" ht="15">
      <c r="AA8974" s="463" t="s">
        <v>1320</v>
      </c>
      <c r="AB8974" s="462" t="s">
        <v>25612</v>
      </c>
      <c r="AC8974" s="462" t="s">
        <v>25613</v>
      </c>
      <c r="AD8974" s="464">
        <v>0</v>
      </c>
      <c r="AE8974" s="465">
        <v>0</v>
      </c>
      <c r="AF8974" s="86">
        <f>IF(verze!$E$1="CZK",AD8974,IF(verze!$E$1="SK",AE8974,""))</f>
        <v>0</v>
      </c>
    </row>
    <row r="8975" spans="27:32" ht="15">
      <c r="AA8975" s="463" t="s">
        <v>1320</v>
      </c>
      <c r="AB8975" s="462" t="s">
        <v>25614</v>
      </c>
      <c r="AC8975" s="462" t="s">
        <v>25615</v>
      </c>
      <c r="AD8975" s="464">
        <v>0</v>
      </c>
      <c r="AE8975" s="465">
        <v>0</v>
      </c>
      <c r="AF8975" s="86">
        <f>IF(verze!$E$1="CZK",AD8975,IF(verze!$E$1="SK",AE8975,""))</f>
        <v>0</v>
      </c>
    </row>
    <row r="8976" spans="27:32" ht="15">
      <c r="AA8976" s="463" t="s">
        <v>1320</v>
      </c>
      <c r="AB8976" s="462" t="s">
        <v>25616</v>
      </c>
      <c r="AC8976" s="462" t="s">
        <v>25617</v>
      </c>
      <c r="AD8976" s="464">
        <v>0</v>
      </c>
      <c r="AE8976" s="465">
        <v>0</v>
      </c>
      <c r="AF8976" s="86">
        <f>IF(verze!$E$1="CZK",AD8976,IF(verze!$E$1="SK",AE8976,""))</f>
        <v>0</v>
      </c>
    </row>
    <row r="8977" spans="27:32" ht="15">
      <c r="AA8977" s="463" t="s">
        <v>1320</v>
      </c>
      <c r="AB8977" s="462" t="s">
        <v>25618</v>
      </c>
      <c r="AC8977" s="462" t="s">
        <v>25619</v>
      </c>
      <c r="AD8977" s="464">
        <v>0</v>
      </c>
      <c r="AE8977" s="465">
        <v>0</v>
      </c>
      <c r="AF8977" s="86">
        <f>IF(verze!$E$1="CZK",AD8977,IF(verze!$E$1="SK",AE8977,""))</f>
        <v>0</v>
      </c>
    </row>
    <row r="8978" spans="27:32" ht="15">
      <c r="AA8978" s="463" t="s">
        <v>1320</v>
      </c>
      <c r="AB8978" s="462" t="s">
        <v>25620</v>
      </c>
      <c r="AC8978" s="462" t="s">
        <v>25621</v>
      </c>
      <c r="AD8978" s="464">
        <v>0</v>
      </c>
      <c r="AE8978" s="465">
        <v>0</v>
      </c>
      <c r="AF8978" s="86">
        <f>IF(verze!$E$1="CZK",AD8978,IF(verze!$E$1="SK",AE8978,""))</f>
        <v>0</v>
      </c>
    </row>
    <row r="8979" spans="27:32" ht="15">
      <c r="AA8979" s="463" t="s">
        <v>1320</v>
      </c>
      <c r="AB8979" s="462" t="s">
        <v>25622</v>
      </c>
      <c r="AC8979" s="462" t="s">
        <v>25623</v>
      </c>
      <c r="AD8979" s="464">
        <v>0</v>
      </c>
      <c r="AE8979" s="465">
        <v>0</v>
      </c>
      <c r="AF8979" s="86">
        <f>IF(verze!$E$1="CZK",AD8979,IF(verze!$E$1="SK",AE8979,""))</f>
        <v>0</v>
      </c>
    </row>
    <row r="8980" spans="27:32" ht="15">
      <c r="AA8980" s="463" t="s">
        <v>1320</v>
      </c>
      <c r="AB8980" s="462" t="s">
        <v>25624</v>
      </c>
      <c r="AC8980" s="462" t="s">
        <v>25625</v>
      </c>
      <c r="AD8980" s="464">
        <v>0</v>
      </c>
      <c r="AE8980" s="465">
        <v>0</v>
      </c>
      <c r="AF8980" s="86">
        <f>IF(verze!$E$1="CZK",AD8980,IF(verze!$E$1="SK",AE8980,""))</f>
        <v>0</v>
      </c>
    </row>
    <row r="8981" spans="27:32" ht="15">
      <c r="AA8981" s="463" t="s">
        <v>1320</v>
      </c>
      <c r="AB8981" s="462" t="s">
        <v>25626</v>
      </c>
      <c r="AC8981" s="462" t="s">
        <v>25627</v>
      </c>
      <c r="AD8981" s="464">
        <v>0</v>
      </c>
      <c r="AE8981" s="465">
        <v>0</v>
      </c>
      <c r="AF8981" s="86">
        <f>IF(verze!$E$1="CZK",AD8981,IF(verze!$E$1="SK",AE8981,""))</f>
        <v>0</v>
      </c>
    </row>
    <row r="8982" spans="27:32" ht="15">
      <c r="AA8982" s="463" t="s">
        <v>1320</v>
      </c>
      <c r="AB8982" s="462" t="s">
        <v>25628</v>
      </c>
      <c r="AC8982" s="462" t="s">
        <v>25629</v>
      </c>
      <c r="AD8982" s="464">
        <v>0</v>
      </c>
      <c r="AE8982" s="465">
        <v>0</v>
      </c>
      <c r="AF8982" s="86">
        <f>IF(verze!$E$1="CZK",AD8982,IF(verze!$E$1="SK",AE8982,""))</f>
        <v>0</v>
      </c>
    </row>
    <row r="8983" spans="27:32" ht="15">
      <c r="AA8983" s="463" t="s">
        <v>1320</v>
      </c>
      <c r="AB8983" s="462" t="s">
        <v>25630</v>
      </c>
      <c r="AC8983" s="462" t="s">
        <v>25631</v>
      </c>
      <c r="AD8983" s="464">
        <v>0</v>
      </c>
      <c r="AE8983" s="465">
        <v>0</v>
      </c>
      <c r="AF8983" s="86">
        <f>IF(verze!$E$1="CZK",AD8983,IF(verze!$E$1="SK",AE8983,""))</f>
        <v>0</v>
      </c>
    </row>
    <row r="8984" spans="27:32" ht="15">
      <c r="AA8984" s="463" t="s">
        <v>1320</v>
      </c>
      <c r="AB8984" s="462" t="s">
        <v>25632</v>
      </c>
      <c r="AC8984" s="462" t="s">
        <v>25633</v>
      </c>
      <c r="AD8984" s="464">
        <v>0</v>
      </c>
      <c r="AE8984" s="465">
        <v>0</v>
      </c>
      <c r="AF8984" s="86">
        <f>IF(verze!$E$1="CZK",AD8984,IF(verze!$E$1="SK",AE8984,""))</f>
        <v>0</v>
      </c>
    </row>
    <row r="8985" spans="27:32" ht="15">
      <c r="AA8985" s="463" t="s">
        <v>1320</v>
      </c>
      <c r="AB8985" s="462" t="s">
        <v>25634</v>
      </c>
      <c r="AC8985" s="462" t="s">
        <v>25635</v>
      </c>
      <c r="AD8985" s="464">
        <v>0</v>
      </c>
      <c r="AE8985" s="465">
        <v>0</v>
      </c>
      <c r="AF8985" s="86">
        <f>IF(verze!$E$1="CZK",AD8985,IF(verze!$E$1="SK",AE8985,""))</f>
        <v>0</v>
      </c>
    </row>
    <row r="8986" spans="27:32" ht="15">
      <c r="AA8986" s="463" t="s">
        <v>1320</v>
      </c>
      <c r="AB8986" s="462" t="s">
        <v>25636</v>
      </c>
      <c r="AC8986" s="462" t="s">
        <v>25637</v>
      </c>
      <c r="AD8986" s="464">
        <v>0</v>
      </c>
      <c r="AE8986" s="465">
        <v>0</v>
      </c>
      <c r="AF8986" s="86">
        <f>IF(verze!$E$1="CZK",AD8986,IF(verze!$E$1="SK",AE8986,""))</f>
        <v>0</v>
      </c>
    </row>
    <row r="8987" spans="27:32" ht="15">
      <c r="AA8987" s="463" t="s">
        <v>1320</v>
      </c>
      <c r="AB8987" s="462" t="s">
        <v>25638</v>
      </c>
      <c r="AC8987" s="462" t="s">
        <v>25639</v>
      </c>
      <c r="AD8987" s="464">
        <v>0</v>
      </c>
      <c r="AE8987" s="465">
        <v>0</v>
      </c>
      <c r="AF8987" s="86">
        <f>IF(verze!$E$1="CZK",AD8987,IF(verze!$E$1="SK",AE8987,""))</f>
        <v>0</v>
      </c>
    </row>
    <row r="8988" spans="27:32" ht="15">
      <c r="AA8988" s="463" t="s">
        <v>1320</v>
      </c>
      <c r="AB8988" s="462" t="s">
        <v>25640</v>
      </c>
      <c r="AC8988" s="462" t="s">
        <v>25641</v>
      </c>
      <c r="AD8988" s="464">
        <v>0</v>
      </c>
      <c r="AE8988" s="465">
        <v>0</v>
      </c>
      <c r="AF8988" s="86">
        <f>IF(verze!$E$1="CZK",AD8988,IF(verze!$E$1="SK",AE8988,""))</f>
        <v>0</v>
      </c>
    </row>
    <row r="8989" spans="27:32" ht="15">
      <c r="AA8989" s="463" t="s">
        <v>1320</v>
      </c>
      <c r="AB8989" s="462" t="s">
        <v>25642</v>
      </c>
      <c r="AC8989" s="462" t="s">
        <v>25643</v>
      </c>
      <c r="AD8989" s="464">
        <v>0</v>
      </c>
      <c r="AE8989" s="465">
        <v>0</v>
      </c>
      <c r="AF8989" s="86">
        <f>IF(verze!$E$1="CZK",AD8989,IF(verze!$E$1="SK",AE8989,""))</f>
        <v>0</v>
      </c>
    </row>
    <row r="8990" spans="27:32" ht="15">
      <c r="AA8990" s="463" t="s">
        <v>1320</v>
      </c>
      <c r="AB8990" s="462" t="s">
        <v>25644</v>
      </c>
      <c r="AC8990" s="462" t="s">
        <v>25645</v>
      </c>
      <c r="AD8990" s="464">
        <v>0</v>
      </c>
      <c r="AE8990" s="465">
        <v>0</v>
      </c>
      <c r="AF8990" s="86">
        <f>IF(verze!$E$1="CZK",AD8990,IF(verze!$E$1="SK",AE8990,""))</f>
        <v>0</v>
      </c>
    </row>
    <row r="8991" spans="27:32" ht="15">
      <c r="AA8991" s="463" t="s">
        <v>1320</v>
      </c>
      <c r="AB8991" s="462" t="s">
        <v>25646</v>
      </c>
      <c r="AC8991" s="462" t="s">
        <v>25647</v>
      </c>
      <c r="AD8991" s="464">
        <v>0</v>
      </c>
      <c r="AE8991" s="465">
        <v>0</v>
      </c>
      <c r="AF8991" s="86">
        <f>IF(verze!$E$1="CZK",AD8991,IF(verze!$E$1="SK",AE8991,""))</f>
        <v>0</v>
      </c>
    </row>
    <row r="8992" spans="27:32" ht="15">
      <c r="AA8992" s="463" t="s">
        <v>1320</v>
      </c>
      <c r="AB8992" s="462" t="s">
        <v>25648</v>
      </c>
      <c r="AC8992" s="462" t="s">
        <v>25649</v>
      </c>
      <c r="AD8992" s="464">
        <v>0</v>
      </c>
      <c r="AE8992" s="465">
        <v>0</v>
      </c>
      <c r="AF8992" s="86">
        <f>IF(verze!$E$1="CZK",AD8992,IF(verze!$E$1="SK",AE8992,""))</f>
        <v>0</v>
      </c>
    </row>
    <row r="8993" spans="27:32" ht="15">
      <c r="AA8993" s="463" t="s">
        <v>1320</v>
      </c>
      <c r="AB8993" s="462" t="s">
        <v>25650</v>
      </c>
      <c r="AC8993" s="462" t="s">
        <v>25651</v>
      </c>
      <c r="AD8993" s="464">
        <v>0</v>
      </c>
      <c r="AE8993" s="465">
        <v>0</v>
      </c>
      <c r="AF8993" s="86">
        <f>IF(verze!$E$1="CZK",AD8993,IF(verze!$E$1="SK",AE8993,""))</f>
        <v>0</v>
      </c>
    </row>
    <row r="8994" spans="27:32" ht="15">
      <c r="AA8994" s="463" t="s">
        <v>1320</v>
      </c>
      <c r="AB8994" s="462" t="s">
        <v>25652</v>
      </c>
      <c r="AC8994" s="462" t="s">
        <v>25653</v>
      </c>
      <c r="AD8994" s="464">
        <v>0</v>
      </c>
      <c r="AE8994" s="465">
        <v>0</v>
      </c>
      <c r="AF8994" s="86">
        <f>IF(verze!$E$1="CZK",AD8994,IF(verze!$E$1="SK",AE8994,""))</f>
        <v>0</v>
      </c>
    </row>
    <row r="8995" spans="27:32" ht="15">
      <c r="AA8995" s="463" t="s">
        <v>1320</v>
      </c>
      <c r="AB8995" s="462" t="s">
        <v>25654</v>
      </c>
      <c r="AC8995" s="462" t="s">
        <v>25655</v>
      </c>
      <c r="AD8995" s="464">
        <v>0</v>
      </c>
      <c r="AE8995" s="465">
        <v>0</v>
      </c>
      <c r="AF8995" s="86">
        <f>IF(verze!$E$1="CZK",AD8995,IF(verze!$E$1="SK",AE8995,""))</f>
        <v>0</v>
      </c>
    </row>
    <row r="8996" spans="27:32" ht="15">
      <c r="AA8996" s="463" t="s">
        <v>1320</v>
      </c>
      <c r="AB8996" s="462" t="s">
        <v>25656</v>
      </c>
      <c r="AC8996" s="462" t="s">
        <v>25657</v>
      </c>
      <c r="AD8996" s="464">
        <v>0</v>
      </c>
      <c r="AE8996" s="465">
        <v>0</v>
      </c>
      <c r="AF8996" s="86">
        <f>IF(verze!$E$1="CZK",AD8996,IF(verze!$E$1="SK",AE8996,""))</f>
        <v>0</v>
      </c>
    </row>
    <row r="8997" spans="27:32" ht="15">
      <c r="AA8997" s="463" t="s">
        <v>1320</v>
      </c>
      <c r="AB8997" s="462" t="s">
        <v>25658</v>
      </c>
      <c r="AC8997" s="462" t="s">
        <v>25659</v>
      </c>
      <c r="AD8997" s="464">
        <v>0</v>
      </c>
      <c r="AE8997" s="465">
        <v>0</v>
      </c>
      <c r="AF8997" s="86">
        <f>IF(verze!$E$1="CZK",AD8997,IF(verze!$E$1="SK",AE8997,""))</f>
        <v>0</v>
      </c>
    </row>
    <row r="8998" spans="27:32" ht="15">
      <c r="AA8998" s="463" t="s">
        <v>1320</v>
      </c>
      <c r="AB8998" s="462" t="s">
        <v>25660</v>
      </c>
      <c r="AC8998" s="462" t="s">
        <v>25661</v>
      </c>
      <c r="AD8998" s="464">
        <v>0</v>
      </c>
      <c r="AE8998" s="465">
        <v>0</v>
      </c>
      <c r="AF8998" s="86">
        <f>IF(verze!$E$1="CZK",AD8998,IF(verze!$E$1="SK",AE8998,""))</f>
        <v>0</v>
      </c>
    </row>
    <row r="8999" spans="27:32" ht="15">
      <c r="AA8999" s="463" t="s">
        <v>1320</v>
      </c>
      <c r="AB8999" s="462" t="s">
        <v>25662</v>
      </c>
      <c r="AC8999" s="462" t="s">
        <v>25663</v>
      </c>
      <c r="AD8999" s="464">
        <v>0</v>
      </c>
      <c r="AE8999" s="465">
        <v>0</v>
      </c>
      <c r="AF8999" s="86">
        <f>IF(verze!$E$1="CZK",AD8999,IF(verze!$E$1="SK",AE8999,""))</f>
        <v>0</v>
      </c>
    </row>
    <row r="9000" spans="27:32" ht="15">
      <c r="AA9000" s="463" t="s">
        <v>1320</v>
      </c>
      <c r="AB9000" s="462" t="s">
        <v>25664</v>
      </c>
      <c r="AC9000" s="462" t="s">
        <v>25665</v>
      </c>
      <c r="AD9000" s="464">
        <v>0</v>
      </c>
      <c r="AE9000" s="465">
        <v>0</v>
      </c>
      <c r="AF9000" s="86">
        <f>IF(verze!$E$1="CZK",AD9000,IF(verze!$E$1="SK",AE9000,""))</f>
        <v>0</v>
      </c>
    </row>
    <row r="9001" spans="27:32" ht="15">
      <c r="AA9001" s="463" t="s">
        <v>1320</v>
      </c>
      <c r="AB9001" s="462" t="s">
        <v>25666</v>
      </c>
      <c r="AC9001" s="462" t="s">
        <v>25667</v>
      </c>
      <c r="AD9001" s="464">
        <v>0</v>
      </c>
      <c r="AE9001" s="465">
        <v>0</v>
      </c>
      <c r="AF9001" s="86">
        <f>IF(verze!$E$1="CZK",AD9001,IF(verze!$E$1="SK",AE9001,""))</f>
        <v>0</v>
      </c>
    </row>
    <row r="9002" spans="27:32" ht="15">
      <c r="AA9002" s="463" t="s">
        <v>1320</v>
      </c>
      <c r="AB9002" s="462" t="s">
        <v>25668</v>
      </c>
      <c r="AC9002" s="462" t="s">
        <v>25669</v>
      </c>
      <c r="AD9002" s="464">
        <v>0</v>
      </c>
      <c r="AE9002" s="465">
        <v>0</v>
      </c>
      <c r="AF9002" s="86">
        <f>IF(verze!$E$1="CZK",AD9002,IF(verze!$E$1="SK",AE9002,""))</f>
        <v>0</v>
      </c>
    </row>
    <row r="9003" spans="27:32" ht="15">
      <c r="AA9003" s="463" t="s">
        <v>1320</v>
      </c>
      <c r="AB9003" s="462" t="s">
        <v>25670</v>
      </c>
      <c r="AC9003" s="462" t="s">
        <v>25671</v>
      </c>
      <c r="AD9003" s="464">
        <v>0</v>
      </c>
      <c r="AE9003" s="465">
        <v>0</v>
      </c>
      <c r="AF9003" s="86">
        <f>IF(verze!$E$1="CZK",AD9003,IF(verze!$E$1="SK",AE9003,""))</f>
        <v>0</v>
      </c>
    </row>
    <row r="9004" spans="27:32" ht="15">
      <c r="AA9004" s="463" t="s">
        <v>1320</v>
      </c>
      <c r="AB9004" s="462" t="s">
        <v>25672</v>
      </c>
      <c r="AC9004" s="462" t="s">
        <v>25673</v>
      </c>
      <c r="AD9004" s="464">
        <v>0</v>
      </c>
      <c r="AE9004" s="465">
        <v>0</v>
      </c>
      <c r="AF9004" s="86">
        <f>IF(verze!$E$1="CZK",AD9004,IF(verze!$E$1="SK",AE9004,""))</f>
        <v>0</v>
      </c>
    </row>
    <row r="9005" spans="27:32" ht="15">
      <c r="AA9005" s="463" t="s">
        <v>1320</v>
      </c>
      <c r="AB9005" s="462" t="s">
        <v>25674</v>
      </c>
      <c r="AC9005" s="462" t="s">
        <v>25675</v>
      </c>
      <c r="AD9005" s="464">
        <v>0</v>
      </c>
      <c r="AE9005" s="465">
        <v>0</v>
      </c>
      <c r="AF9005" s="86">
        <f>IF(verze!$E$1="CZK",AD9005,IF(verze!$E$1="SK",AE9005,""))</f>
        <v>0</v>
      </c>
    </row>
    <row r="9006" spans="27:32" ht="15">
      <c r="AA9006" s="463" t="s">
        <v>1320</v>
      </c>
      <c r="AB9006" s="462" t="s">
        <v>25676</v>
      </c>
      <c r="AC9006" s="462" t="s">
        <v>25677</v>
      </c>
      <c r="AD9006" s="464">
        <v>0</v>
      </c>
      <c r="AE9006" s="465">
        <v>0</v>
      </c>
      <c r="AF9006" s="86">
        <f>IF(verze!$E$1="CZK",AD9006,IF(verze!$E$1="SK",AE9006,""))</f>
        <v>0</v>
      </c>
    </row>
    <row r="9007" spans="27:32" ht="15">
      <c r="AA9007" s="463" t="s">
        <v>1320</v>
      </c>
      <c r="AB9007" s="462" t="s">
        <v>25678</v>
      </c>
      <c r="AC9007" s="462" t="s">
        <v>25679</v>
      </c>
      <c r="AD9007" s="464">
        <v>0</v>
      </c>
      <c r="AE9007" s="465">
        <v>0</v>
      </c>
      <c r="AF9007" s="86">
        <f>IF(verze!$E$1="CZK",AD9007,IF(verze!$E$1="SK",AE9007,""))</f>
        <v>0</v>
      </c>
    </row>
    <row r="9008" spans="27:32" ht="15">
      <c r="AA9008" s="463" t="s">
        <v>1320</v>
      </c>
      <c r="AB9008" s="462" t="s">
        <v>25680</v>
      </c>
      <c r="AC9008" s="462" t="s">
        <v>25681</v>
      </c>
      <c r="AD9008" s="464">
        <v>0</v>
      </c>
      <c r="AE9008" s="465">
        <v>0</v>
      </c>
      <c r="AF9008" s="86">
        <f>IF(verze!$E$1="CZK",AD9008,IF(verze!$E$1="SK",AE9008,""))</f>
        <v>0</v>
      </c>
    </row>
    <row r="9009" spans="27:32" ht="15">
      <c r="AA9009" s="463" t="s">
        <v>1320</v>
      </c>
      <c r="AB9009" s="462" t="s">
        <v>25682</v>
      </c>
      <c r="AC9009" s="462" t="s">
        <v>25683</v>
      </c>
      <c r="AD9009" s="464">
        <v>0</v>
      </c>
      <c r="AE9009" s="465">
        <v>0</v>
      </c>
      <c r="AF9009" s="86">
        <f>IF(verze!$E$1="CZK",AD9009,IF(verze!$E$1="SK",AE9009,""))</f>
        <v>0</v>
      </c>
    </row>
    <row r="9010" spans="27:32" ht="15">
      <c r="AA9010" s="463" t="s">
        <v>1320</v>
      </c>
      <c r="AB9010" s="462" t="s">
        <v>25684</v>
      </c>
      <c r="AC9010" s="462" t="s">
        <v>25685</v>
      </c>
      <c r="AD9010" s="464">
        <v>0</v>
      </c>
      <c r="AE9010" s="465">
        <v>0</v>
      </c>
      <c r="AF9010" s="86">
        <f>IF(verze!$E$1="CZK",AD9010,IF(verze!$E$1="SK",AE9010,""))</f>
        <v>0</v>
      </c>
    </row>
    <row r="9011" spans="27:32" ht="15">
      <c r="AA9011" s="463" t="s">
        <v>1320</v>
      </c>
      <c r="AB9011" s="462" t="s">
        <v>25686</v>
      </c>
      <c r="AC9011" s="462" t="s">
        <v>25687</v>
      </c>
      <c r="AD9011" s="464">
        <v>0</v>
      </c>
      <c r="AE9011" s="465">
        <v>0</v>
      </c>
      <c r="AF9011" s="86">
        <f>IF(verze!$E$1="CZK",AD9011,IF(verze!$E$1="SK",AE9011,""))</f>
        <v>0</v>
      </c>
    </row>
    <row r="9012" spans="27:32" ht="15">
      <c r="AA9012" s="463" t="s">
        <v>1320</v>
      </c>
      <c r="AB9012" s="462" t="s">
        <v>25688</v>
      </c>
      <c r="AC9012" s="462" t="s">
        <v>25689</v>
      </c>
      <c r="AD9012" s="464">
        <v>0</v>
      </c>
      <c r="AE9012" s="465">
        <v>0</v>
      </c>
      <c r="AF9012" s="86">
        <f>IF(verze!$E$1="CZK",AD9012,IF(verze!$E$1="SK",AE9012,""))</f>
        <v>0</v>
      </c>
    </row>
    <row r="9013" spans="27:32" ht="15">
      <c r="AA9013" s="463" t="s">
        <v>1320</v>
      </c>
      <c r="AB9013" s="462" t="s">
        <v>25690</v>
      </c>
      <c r="AC9013" s="462" t="s">
        <v>25691</v>
      </c>
      <c r="AD9013" s="464">
        <v>0</v>
      </c>
      <c r="AE9013" s="465">
        <v>0</v>
      </c>
      <c r="AF9013" s="86">
        <f>IF(verze!$E$1="CZK",AD9013,IF(verze!$E$1="SK",AE9013,""))</f>
        <v>0</v>
      </c>
    </row>
    <row r="9014" spans="27:32" ht="15">
      <c r="AA9014" s="463" t="s">
        <v>1320</v>
      </c>
      <c r="AB9014" s="462" t="s">
        <v>25692</v>
      </c>
      <c r="AC9014" s="462" t="s">
        <v>25693</v>
      </c>
      <c r="AD9014" s="464">
        <v>0</v>
      </c>
      <c r="AE9014" s="465">
        <v>0</v>
      </c>
      <c r="AF9014" s="86">
        <f>IF(verze!$E$1="CZK",AD9014,IF(verze!$E$1="SK",AE9014,""))</f>
        <v>0</v>
      </c>
    </row>
    <row r="9015" spans="27:32" ht="15">
      <c r="AA9015" s="463" t="s">
        <v>1320</v>
      </c>
      <c r="AB9015" s="462" t="s">
        <v>25694</v>
      </c>
      <c r="AC9015" s="462" t="s">
        <v>25695</v>
      </c>
      <c r="AD9015" s="464">
        <v>0</v>
      </c>
      <c r="AE9015" s="465">
        <v>0</v>
      </c>
      <c r="AF9015" s="86">
        <f>IF(verze!$E$1="CZK",AD9015,IF(verze!$E$1="SK",AE9015,""))</f>
        <v>0</v>
      </c>
    </row>
    <row r="9016" spans="27:32" ht="15">
      <c r="AA9016" s="463" t="s">
        <v>1320</v>
      </c>
      <c r="AB9016" s="462" t="s">
        <v>25696</v>
      </c>
      <c r="AC9016" s="462" t="s">
        <v>25697</v>
      </c>
      <c r="AD9016" s="464">
        <v>0</v>
      </c>
      <c r="AE9016" s="465">
        <v>0</v>
      </c>
      <c r="AF9016" s="86">
        <f>IF(verze!$E$1="CZK",AD9016,IF(verze!$E$1="SK",AE9016,""))</f>
        <v>0</v>
      </c>
    </row>
    <row r="9017" spans="27:32" ht="15">
      <c r="AA9017" s="463" t="s">
        <v>1320</v>
      </c>
      <c r="AB9017" s="462" t="s">
        <v>25698</v>
      </c>
      <c r="AC9017" s="462" t="s">
        <v>25699</v>
      </c>
      <c r="AD9017" s="464">
        <v>0</v>
      </c>
      <c r="AE9017" s="465">
        <v>0</v>
      </c>
      <c r="AF9017" s="86">
        <f>IF(verze!$E$1="CZK",AD9017,IF(verze!$E$1="SK",AE9017,""))</f>
        <v>0</v>
      </c>
    </row>
    <row r="9018" spans="27:32" ht="15">
      <c r="AA9018" s="463" t="s">
        <v>1320</v>
      </c>
      <c r="AB9018" s="462" t="s">
        <v>25700</v>
      </c>
      <c r="AC9018" s="462" t="s">
        <v>25701</v>
      </c>
      <c r="AD9018" s="464">
        <v>0</v>
      </c>
      <c r="AE9018" s="465">
        <v>0</v>
      </c>
      <c r="AF9018" s="86">
        <f>IF(verze!$E$1="CZK",AD9018,IF(verze!$E$1="SK",AE9018,""))</f>
        <v>0</v>
      </c>
    </row>
    <row r="9019" spans="27:32" ht="15">
      <c r="AA9019" s="463" t="s">
        <v>1320</v>
      </c>
      <c r="AB9019" s="462" t="s">
        <v>25702</v>
      </c>
      <c r="AC9019" s="462" t="s">
        <v>25703</v>
      </c>
      <c r="AD9019" s="464">
        <v>0</v>
      </c>
      <c r="AE9019" s="465">
        <v>0</v>
      </c>
      <c r="AF9019" s="86">
        <f>IF(verze!$E$1="CZK",AD9019,IF(verze!$E$1="SK",AE9019,""))</f>
        <v>0</v>
      </c>
    </row>
    <row r="9020" spans="27:32" ht="15">
      <c r="AA9020" s="463" t="s">
        <v>1320</v>
      </c>
      <c r="AB9020" s="462" t="s">
        <v>25704</v>
      </c>
      <c r="AC9020" s="462" t="s">
        <v>25705</v>
      </c>
      <c r="AD9020" s="464">
        <v>0</v>
      </c>
      <c r="AE9020" s="465">
        <v>0</v>
      </c>
      <c r="AF9020" s="86">
        <f>IF(verze!$E$1="CZK",AD9020,IF(verze!$E$1="SK",AE9020,""))</f>
        <v>0</v>
      </c>
    </row>
    <row r="9021" spans="27:32" ht="15">
      <c r="AA9021" s="463" t="s">
        <v>1320</v>
      </c>
      <c r="AB9021" s="462" t="s">
        <v>25706</v>
      </c>
      <c r="AC9021" s="462" t="s">
        <v>25707</v>
      </c>
      <c r="AD9021" s="464">
        <v>0</v>
      </c>
      <c r="AE9021" s="465">
        <v>0</v>
      </c>
      <c r="AF9021" s="86">
        <f>IF(verze!$E$1="CZK",AD9021,IF(verze!$E$1="SK",AE9021,""))</f>
        <v>0</v>
      </c>
    </row>
    <row r="9022" spans="27:32" ht="15">
      <c r="AA9022" s="463" t="s">
        <v>1320</v>
      </c>
      <c r="AB9022" s="462" t="s">
        <v>25708</v>
      </c>
      <c r="AC9022" s="462" t="s">
        <v>25709</v>
      </c>
      <c r="AD9022" s="464">
        <v>0</v>
      </c>
      <c r="AE9022" s="465">
        <v>0</v>
      </c>
      <c r="AF9022" s="86">
        <f>IF(verze!$E$1="CZK",AD9022,IF(verze!$E$1="SK",AE9022,""))</f>
        <v>0</v>
      </c>
    </row>
    <row r="9023" spans="27:32" ht="15">
      <c r="AA9023" s="463" t="s">
        <v>1320</v>
      </c>
      <c r="AB9023" s="462" t="s">
        <v>25710</v>
      </c>
      <c r="AC9023" s="462" t="s">
        <v>25711</v>
      </c>
      <c r="AD9023" s="464">
        <v>0</v>
      </c>
      <c r="AE9023" s="465">
        <v>0</v>
      </c>
      <c r="AF9023" s="86">
        <f>IF(verze!$E$1="CZK",AD9023,IF(verze!$E$1="SK",AE9023,""))</f>
        <v>0</v>
      </c>
    </row>
    <row r="9024" spans="27:32" ht="15">
      <c r="AA9024" s="463" t="s">
        <v>1320</v>
      </c>
      <c r="AB9024" s="462" t="s">
        <v>25712</v>
      </c>
      <c r="AC9024" s="462" t="s">
        <v>25713</v>
      </c>
      <c r="AD9024" s="464">
        <v>0</v>
      </c>
      <c r="AE9024" s="465">
        <v>0</v>
      </c>
      <c r="AF9024" s="86">
        <f>IF(verze!$E$1="CZK",AD9024,IF(verze!$E$1="SK",AE9024,""))</f>
        <v>0</v>
      </c>
    </row>
    <row r="9025" spans="27:32" ht="15">
      <c r="AA9025" s="463" t="s">
        <v>1320</v>
      </c>
      <c r="AB9025" s="462" t="s">
        <v>25714</v>
      </c>
      <c r="AC9025" s="462" t="s">
        <v>25715</v>
      </c>
      <c r="AD9025" s="464">
        <v>0</v>
      </c>
      <c r="AE9025" s="465">
        <v>0</v>
      </c>
      <c r="AF9025" s="86">
        <f>IF(verze!$E$1="CZK",AD9025,IF(verze!$E$1="SK",AE9025,""))</f>
        <v>0</v>
      </c>
    </row>
    <row r="9026" spans="27:32" ht="15">
      <c r="AA9026" s="463" t="s">
        <v>1320</v>
      </c>
      <c r="AB9026" s="462" t="s">
        <v>25716</v>
      </c>
      <c r="AC9026" s="462" t="s">
        <v>25717</v>
      </c>
      <c r="AD9026" s="464">
        <v>0</v>
      </c>
      <c r="AE9026" s="465">
        <v>0</v>
      </c>
      <c r="AF9026" s="86">
        <f>IF(verze!$E$1="CZK",AD9026,IF(verze!$E$1="SK",AE9026,""))</f>
        <v>0</v>
      </c>
    </row>
    <row r="9027" spans="27:32" ht="15">
      <c r="AA9027" s="463" t="s">
        <v>1320</v>
      </c>
      <c r="AB9027" s="462" t="s">
        <v>25718</v>
      </c>
      <c r="AC9027" s="462" t="s">
        <v>25719</v>
      </c>
      <c r="AD9027" s="464">
        <v>0</v>
      </c>
      <c r="AE9027" s="465">
        <v>0</v>
      </c>
      <c r="AF9027" s="86">
        <f>IF(verze!$E$1="CZK",AD9027,IF(verze!$E$1="SK",AE9027,""))</f>
        <v>0</v>
      </c>
    </row>
    <row r="9028" spans="27:32" ht="15">
      <c r="AA9028" s="463" t="s">
        <v>1320</v>
      </c>
      <c r="AB9028" s="462" t="s">
        <v>25720</v>
      </c>
      <c r="AC9028" s="462" t="s">
        <v>25721</v>
      </c>
      <c r="AD9028" s="464">
        <v>0</v>
      </c>
      <c r="AE9028" s="465">
        <v>0</v>
      </c>
      <c r="AF9028" s="86">
        <f>IF(verze!$E$1="CZK",AD9028,IF(verze!$E$1="SK",AE9028,""))</f>
        <v>0</v>
      </c>
    </row>
    <row r="9029" spans="27:32" ht="15">
      <c r="AA9029" s="463" t="s">
        <v>1320</v>
      </c>
      <c r="AB9029" s="462" t="s">
        <v>25722</v>
      </c>
      <c r="AC9029" s="462" t="s">
        <v>25723</v>
      </c>
      <c r="AD9029" s="464">
        <v>0</v>
      </c>
      <c r="AE9029" s="465">
        <v>0</v>
      </c>
      <c r="AF9029" s="86">
        <f>IF(verze!$E$1="CZK",AD9029,IF(verze!$E$1="SK",AE9029,""))</f>
        <v>0</v>
      </c>
    </row>
    <row r="9030" spans="27:32" ht="15">
      <c r="AA9030" s="463" t="s">
        <v>1320</v>
      </c>
      <c r="AB9030" s="462" t="s">
        <v>25724</v>
      </c>
      <c r="AC9030" s="462" t="s">
        <v>25725</v>
      </c>
      <c r="AD9030" s="464">
        <v>0</v>
      </c>
      <c r="AE9030" s="465">
        <v>0</v>
      </c>
      <c r="AF9030" s="86">
        <f>IF(verze!$E$1="CZK",AD9030,IF(verze!$E$1="SK",AE9030,""))</f>
        <v>0</v>
      </c>
    </row>
    <row r="9031" spans="27:32" ht="15">
      <c r="AA9031" s="463" t="s">
        <v>1320</v>
      </c>
      <c r="AB9031" s="462" t="s">
        <v>25726</v>
      </c>
      <c r="AC9031" s="462" t="s">
        <v>25727</v>
      </c>
      <c r="AD9031" s="464">
        <v>0</v>
      </c>
      <c r="AE9031" s="465">
        <v>0</v>
      </c>
      <c r="AF9031" s="86">
        <f>IF(verze!$E$1="CZK",AD9031,IF(verze!$E$1="SK",AE9031,""))</f>
        <v>0</v>
      </c>
    </row>
    <row r="9032" spans="27:32" ht="15">
      <c r="AA9032" s="463" t="s">
        <v>1320</v>
      </c>
      <c r="AB9032" s="462" t="s">
        <v>25728</v>
      </c>
      <c r="AC9032" s="462" t="s">
        <v>25729</v>
      </c>
      <c r="AD9032" s="464">
        <v>0</v>
      </c>
      <c r="AE9032" s="465">
        <v>0</v>
      </c>
      <c r="AF9032" s="86">
        <f>IF(verze!$E$1="CZK",AD9032,IF(verze!$E$1="SK",AE9032,""))</f>
        <v>0</v>
      </c>
    </row>
    <row r="9033" spans="27:32" ht="15">
      <c r="AA9033" s="463" t="s">
        <v>1320</v>
      </c>
      <c r="AB9033" s="462" t="s">
        <v>25730</v>
      </c>
      <c r="AC9033" s="462" t="s">
        <v>25731</v>
      </c>
      <c r="AD9033" s="464">
        <v>0</v>
      </c>
      <c r="AE9033" s="465">
        <v>0</v>
      </c>
      <c r="AF9033" s="86">
        <f>IF(verze!$E$1="CZK",AD9033,IF(verze!$E$1="SK",AE9033,""))</f>
        <v>0</v>
      </c>
    </row>
    <row r="9034" spans="27:32" ht="15">
      <c r="AA9034" s="463" t="s">
        <v>1320</v>
      </c>
      <c r="AB9034" s="462" t="s">
        <v>25732</v>
      </c>
      <c r="AC9034" s="462" t="s">
        <v>25733</v>
      </c>
      <c r="AD9034" s="464">
        <v>0</v>
      </c>
      <c r="AE9034" s="465">
        <v>0</v>
      </c>
      <c r="AF9034" s="86">
        <f>IF(verze!$E$1="CZK",AD9034,IF(verze!$E$1="SK",AE9034,""))</f>
        <v>0</v>
      </c>
    </row>
    <row r="9035" spans="27:32" ht="15">
      <c r="AA9035" s="463" t="s">
        <v>1320</v>
      </c>
      <c r="AB9035" s="462" t="s">
        <v>25734</v>
      </c>
      <c r="AC9035" s="462" t="s">
        <v>25735</v>
      </c>
      <c r="AD9035" s="464">
        <v>0</v>
      </c>
      <c r="AE9035" s="465">
        <v>0</v>
      </c>
      <c r="AF9035" s="86">
        <f>IF(verze!$E$1="CZK",AD9035,IF(verze!$E$1="SK",AE9035,""))</f>
        <v>0</v>
      </c>
    </row>
    <row r="9036" spans="27:32" ht="15">
      <c r="AA9036" s="463" t="s">
        <v>1320</v>
      </c>
      <c r="AB9036" s="462" t="s">
        <v>25736</v>
      </c>
      <c r="AC9036" s="462" t="s">
        <v>25737</v>
      </c>
      <c r="AD9036" s="464">
        <v>0</v>
      </c>
      <c r="AE9036" s="465">
        <v>0</v>
      </c>
      <c r="AF9036" s="86">
        <f>IF(verze!$E$1="CZK",AD9036,IF(verze!$E$1="SK",AE9036,""))</f>
        <v>0</v>
      </c>
    </row>
    <row r="9037" spans="27:32" ht="15">
      <c r="AA9037" s="463" t="s">
        <v>1320</v>
      </c>
      <c r="AB9037" s="462" t="s">
        <v>25738</v>
      </c>
      <c r="AC9037" s="462" t="s">
        <v>25739</v>
      </c>
      <c r="AD9037" s="464">
        <v>0</v>
      </c>
      <c r="AE9037" s="465">
        <v>0</v>
      </c>
      <c r="AF9037" s="86">
        <f>IF(verze!$E$1="CZK",AD9037,IF(verze!$E$1="SK",AE9037,""))</f>
        <v>0</v>
      </c>
    </row>
    <row r="9038" spans="27:32" ht="15">
      <c r="AA9038" s="463" t="s">
        <v>1320</v>
      </c>
      <c r="AB9038" s="462" t="s">
        <v>25740</v>
      </c>
      <c r="AC9038" s="462" t="s">
        <v>25741</v>
      </c>
      <c r="AD9038" s="464">
        <v>0</v>
      </c>
      <c r="AE9038" s="465">
        <v>0</v>
      </c>
      <c r="AF9038" s="86">
        <f>IF(verze!$E$1="CZK",AD9038,IF(verze!$E$1="SK",AE9038,""))</f>
        <v>0</v>
      </c>
    </row>
    <row r="9039" spans="27:32" ht="15">
      <c r="AA9039" s="463" t="s">
        <v>1320</v>
      </c>
      <c r="AB9039" s="462" t="s">
        <v>25742</v>
      </c>
      <c r="AC9039" s="462" t="s">
        <v>25743</v>
      </c>
      <c r="AD9039" s="464">
        <v>0</v>
      </c>
      <c r="AE9039" s="465">
        <v>0</v>
      </c>
      <c r="AF9039" s="86">
        <f>IF(verze!$E$1="CZK",AD9039,IF(verze!$E$1="SK",AE9039,""))</f>
        <v>0</v>
      </c>
    </row>
    <row r="9040" spans="27:32" ht="15">
      <c r="AA9040" s="463" t="s">
        <v>1320</v>
      </c>
      <c r="AB9040" s="462" t="s">
        <v>25744</v>
      </c>
      <c r="AC9040" s="462" t="s">
        <v>25745</v>
      </c>
      <c r="AD9040" s="464">
        <v>0</v>
      </c>
      <c r="AE9040" s="465">
        <v>0</v>
      </c>
      <c r="AF9040" s="86">
        <f>IF(verze!$E$1="CZK",AD9040,IF(verze!$E$1="SK",AE9040,""))</f>
        <v>0</v>
      </c>
    </row>
    <row r="9041" spans="27:32" ht="15">
      <c r="AA9041" s="463" t="s">
        <v>1320</v>
      </c>
      <c r="AB9041" s="462" t="s">
        <v>25746</v>
      </c>
      <c r="AC9041" s="462" t="s">
        <v>25747</v>
      </c>
      <c r="AD9041" s="464">
        <v>0</v>
      </c>
      <c r="AE9041" s="465">
        <v>0</v>
      </c>
      <c r="AF9041" s="86">
        <f>IF(verze!$E$1="CZK",AD9041,IF(verze!$E$1="SK",AE9041,""))</f>
        <v>0</v>
      </c>
    </row>
    <row r="9042" spans="27:32" ht="15">
      <c r="AA9042" s="463" t="s">
        <v>1320</v>
      </c>
      <c r="AB9042" s="462" t="s">
        <v>25748</v>
      </c>
      <c r="AC9042" s="462" t="s">
        <v>25749</v>
      </c>
      <c r="AD9042" s="464">
        <v>0</v>
      </c>
      <c r="AE9042" s="465">
        <v>0</v>
      </c>
      <c r="AF9042" s="86">
        <f>IF(verze!$E$1="CZK",AD9042,IF(verze!$E$1="SK",AE9042,""))</f>
        <v>0</v>
      </c>
    </row>
    <row r="9043" spans="27:32" ht="15">
      <c r="AA9043" s="463" t="s">
        <v>1320</v>
      </c>
      <c r="AB9043" s="462" t="s">
        <v>25750</v>
      </c>
      <c r="AC9043" s="462" t="s">
        <v>25751</v>
      </c>
      <c r="AD9043" s="464">
        <v>0</v>
      </c>
      <c r="AE9043" s="465">
        <v>0</v>
      </c>
      <c r="AF9043" s="86">
        <f>IF(verze!$E$1="CZK",AD9043,IF(verze!$E$1="SK",AE9043,""))</f>
        <v>0</v>
      </c>
    </row>
    <row r="9044" spans="27:32" ht="15">
      <c r="AA9044" s="463" t="s">
        <v>1320</v>
      </c>
      <c r="AB9044" s="462" t="s">
        <v>25752</v>
      </c>
      <c r="AC9044" s="462" t="s">
        <v>25753</v>
      </c>
      <c r="AD9044" s="464">
        <v>0</v>
      </c>
      <c r="AE9044" s="465">
        <v>0</v>
      </c>
      <c r="AF9044" s="86">
        <f>IF(verze!$E$1="CZK",AD9044,IF(verze!$E$1="SK",AE9044,""))</f>
        <v>0</v>
      </c>
    </row>
    <row r="9045" spans="27:32" ht="15">
      <c r="AA9045" s="463" t="s">
        <v>1320</v>
      </c>
      <c r="AB9045" s="462" t="s">
        <v>25754</v>
      </c>
      <c r="AC9045" s="462" t="s">
        <v>25755</v>
      </c>
      <c r="AD9045" s="464">
        <v>0</v>
      </c>
      <c r="AE9045" s="465">
        <v>0</v>
      </c>
      <c r="AF9045" s="86">
        <f>IF(verze!$E$1="CZK",AD9045,IF(verze!$E$1="SK",AE9045,""))</f>
        <v>0</v>
      </c>
    </row>
    <row r="9046" spans="27:32" ht="15">
      <c r="AA9046" s="463" t="s">
        <v>1320</v>
      </c>
      <c r="AB9046" s="462" t="s">
        <v>25756</v>
      </c>
      <c r="AC9046" s="462" t="s">
        <v>25757</v>
      </c>
      <c r="AD9046" s="464">
        <v>0</v>
      </c>
      <c r="AE9046" s="465">
        <v>0</v>
      </c>
      <c r="AF9046" s="86">
        <f>IF(verze!$E$1="CZK",AD9046,IF(verze!$E$1="SK",AE9046,""))</f>
        <v>0</v>
      </c>
    </row>
    <row r="9047" spans="27:32" ht="15">
      <c r="AA9047" s="463" t="s">
        <v>1320</v>
      </c>
      <c r="AB9047" s="462" t="s">
        <v>25758</v>
      </c>
      <c r="AC9047" s="462" t="s">
        <v>25759</v>
      </c>
      <c r="AD9047" s="464">
        <v>0</v>
      </c>
      <c r="AE9047" s="465">
        <v>0</v>
      </c>
      <c r="AF9047" s="86">
        <f>IF(verze!$E$1="CZK",AD9047,IF(verze!$E$1="SK",AE9047,""))</f>
        <v>0</v>
      </c>
    </row>
    <row r="9048" spans="27:32" ht="15">
      <c r="AA9048" s="463" t="s">
        <v>1320</v>
      </c>
      <c r="AB9048" s="462" t="s">
        <v>25760</v>
      </c>
      <c r="AC9048" s="462" t="s">
        <v>25761</v>
      </c>
      <c r="AD9048" s="464">
        <v>0</v>
      </c>
      <c r="AE9048" s="465">
        <v>0</v>
      </c>
      <c r="AF9048" s="86">
        <f>IF(verze!$E$1="CZK",AD9048,IF(verze!$E$1="SK",AE9048,""))</f>
        <v>0</v>
      </c>
    </row>
    <row r="9049" spans="27:32" ht="15">
      <c r="AA9049" s="463" t="s">
        <v>1320</v>
      </c>
      <c r="AB9049" s="462" t="s">
        <v>25762</v>
      </c>
      <c r="AC9049" s="462" t="s">
        <v>25763</v>
      </c>
      <c r="AD9049" s="464">
        <v>0</v>
      </c>
      <c r="AE9049" s="465">
        <v>0</v>
      </c>
      <c r="AF9049" s="86">
        <f>IF(verze!$E$1="CZK",AD9049,IF(verze!$E$1="SK",AE9049,""))</f>
        <v>0</v>
      </c>
    </row>
    <row r="9050" spans="27:32" ht="15">
      <c r="AA9050" s="463" t="s">
        <v>1320</v>
      </c>
      <c r="AB9050" s="462" t="s">
        <v>25764</v>
      </c>
      <c r="AC9050" s="462" t="s">
        <v>25765</v>
      </c>
      <c r="AD9050" s="464">
        <v>0</v>
      </c>
      <c r="AE9050" s="465">
        <v>0</v>
      </c>
      <c r="AF9050" s="86">
        <f>IF(verze!$E$1="CZK",AD9050,IF(verze!$E$1="SK",AE9050,""))</f>
        <v>0</v>
      </c>
    </row>
    <row r="9051" spans="27:32" ht="15">
      <c r="AA9051" s="463" t="s">
        <v>1320</v>
      </c>
      <c r="AB9051" s="462" t="s">
        <v>25766</v>
      </c>
      <c r="AC9051" s="462" t="s">
        <v>25767</v>
      </c>
      <c r="AD9051" s="464">
        <v>0</v>
      </c>
      <c r="AE9051" s="465">
        <v>0</v>
      </c>
      <c r="AF9051" s="86">
        <f>IF(verze!$E$1="CZK",AD9051,IF(verze!$E$1="SK",AE9051,""))</f>
        <v>0</v>
      </c>
    </row>
    <row r="9052" spans="27:32" ht="15">
      <c r="AA9052" s="463" t="s">
        <v>1320</v>
      </c>
      <c r="AB9052" s="462" t="s">
        <v>25768</v>
      </c>
      <c r="AC9052" s="462" t="s">
        <v>25769</v>
      </c>
      <c r="AD9052" s="464">
        <v>0</v>
      </c>
      <c r="AE9052" s="465">
        <v>0</v>
      </c>
      <c r="AF9052" s="86">
        <f>IF(verze!$E$1="CZK",AD9052,IF(verze!$E$1="SK",AE9052,""))</f>
        <v>0</v>
      </c>
    </row>
    <row r="9053" spans="27:32" ht="15">
      <c r="AA9053" s="463" t="s">
        <v>1320</v>
      </c>
      <c r="AB9053" s="462" t="s">
        <v>25770</v>
      </c>
      <c r="AC9053" s="462" t="s">
        <v>25771</v>
      </c>
      <c r="AD9053" s="464">
        <v>0</v>
      </c>
      <c r="AE9053" s="465">
        <v>0</v>
      </c>
      <c r="AF9053" s="86">
        <f>IF(verze!$E$1="CZK",AD9053,IF(verze!$E$1="SK",AE9053,""))</f>
        <v>0</v>
      </c>
    </row>
    <row r="9054" spans="27:32" ht="15">
      <c r="AA9054" s="463" t="s">
        <v>1320</v>
      </c>
      <c r="AB9054" s="462" t="s">
        <v>25772</v>
      </c>
      <c r="AC9054" s="462" t="s">
        <v>25773</v>
      </c>
      <c r="AD9054" s="464">
        <v>0</v>
      </c>
      <c r="AE9054" s="465">
        <v>0</v>
      </c>
      <c r="AF9054" s="86">
        <f>IF(verze!$E$1="CZK",AD9054,IF(verze!$E$1="SK",AE9054,""))</f>
        <v>0</v>
      </c>
    </row>
    <row r="9055" spans="27:32" ht="15">
      <c r="AA9055" s="463" t="s">
        <v>1320</v>
      </c>
      <c r="AB9055" s="462" t="s">
        <v>25774</v>
      </c>
      <c r="AC9055" s="462" t="s">
        <v>25775</v>
      </c>
      <c r="AD9055" s="464">
        <v>0</v>
      </c>
      <c r="AE9055" s="465">
        <v>0</v>
      </c>
      <c r="AF9055" s="86">
        <f>IF(verze!$E$1="CZK",AD9055,IF(verze!$E$1="SK",AE9055,""))</f>
        <v>0</v>
      </c>
    </row>
    <row r="9056" spans="27:32" ht="15">
      <c r="AA9056" s="463" t="s">
        <v>1320</v>
      </c>
      <c r="AB9056" s="462" t="s">
        <v>25776</v>
      </c>
      <c r="AC9056" s="462" t="s">
        <v>25777</v>
      </c>
      <c r="AD9056" s="464">
        <v>0</v>
      </c>
      <c r="AE9056" s="465">
        <v>0</v>
      </c>
      <c r="AF9056" s="86">
        <f>IF(verze!$E$1="CZK",AD9056,IF(verze!$E$1="SK",AE9056,""))</f>
        <v>0</v>
      </c>
    </row>
    <row r="9057" spans="27:32" ht="15">
      <c r="AA9057" s="463" t="s">
        <v>1320</v>
      </c>
      <c r="AB9057" s="462" t="s">
        <v>25778</v>
      </c>
      <c r="AC9057" s="462" t="s">
        <v>25779</v>
      </c>
      <c r="AD9057" s="464">
        <v>0</v>
      </c>
      <c r="AE9057" s="465">
        <v>0</v>
      </c>
      <c r="AF9057" s="86">
        <f>IF(verze!$E$1="CZK",AD9057,IF(verze!$E$1="SK",AE9057,""))</f>
        <v>0</v>
      </c>
    </row>
    <row r="9058" spans="27:32" ht="15">
      <c r="AA9058" s="463" t="s">
        <v>1320</v>
      </c>
      <c r="AB9058" s="462" t="s">
        <v>25780</v>
      </c>
      <c r="AC9058" s="462" t="s">
        <v>25781</v>
      </c>
      <c r="AD9058" s="464">
        <v>0</v>
      </c>
      <c r="AE9058" s="465">
        <v>0</v>
      </c>
      <c r="AF9058" s="86">
        <f>IF(verze!$E$1="CZK",AD9058,IF(verze!$E$1="SK",AE9058,""))</f>
        <v>0</v>
      </c>
    </row>
    <row r="9059" spans="27:32" ht="15">
      <c r="AA9059" s="463" t="s">
        <v>1320</v>
      </c>
      <c r="AB9059" s="462" t="s">
        <v>25782</v>
      </c>
      <c r="AC9059" s="462" t="s">
        <v>25783</v>
      </c>
      <c r="AD9059" s="464">
        <v>595.07964000000004</v>
      </c>
      <c r="AE9059" s="465">
        <v>28.62548</v>
      </c>
      <c r="AF9059" s="86">
        <f>IF(verze!$E$1="CZK",AD9059,IF(verze!$E$1="SK",AE9059,""))</f>
        <v>28.62548</v>
      </c>
    </row>
    <row r="9060" spans="27:32" ht="15">
      <c r="AA9060" s="463" t="s">
        <v>1320</v>
      </c>
      <c r="AB9060" s="462" t="s">
        <v>25784</v>
      </c>
      <c r="AC9060" s="462" t="s">
        <v>25785</v>
      </c>
      <c r="AD9060" s="464">
        <v>530.21019999999999</v>
      </c>
      <c r="AE9060" s="465">
        <v>25.50506</v>
      </c>
      <c r="AF9060" s="86">
        <f>IF(verze!$E$1="CZK",AD9060,IF(verze!$E$1="SK",AE9060,""))</f>
        <v>25.50506</v>
      </c>
    </row>
    <row r="9061" spans="27:32" ht="15">
      <c r="AA9061" s="463" t="s">
        <v>1320</v>
      </c>
      <c r="AB9061" s="462" t="s">
        <v>25786</v>
      </c>
      <c r="AC9061" s="462" t="s">
        <v>25787</v>
      </c>
      <c r="AD9061" s="464">
        <v>3838.0599499999998</v>
      </c>
      <c r="AE9061" s="465">
        <v>154.99709999999999</v>
      </c>
      <c r="AF9061" s="86">
        <f>IF(verze!$E$1="CZK",AD9061,IF(verze!$E$1="SK",AE9061,""))</f>
        <v>154.99709999999999</v>
      </c>
    </row>
    <row r="9062" spans="27:32" ht="15">
      <c r="AA9062" s="463" t="s">
        <v>1320</v>
      </c>
      <c r="AB9062" s="462" t="s">
        <v>25788</v>
      </c>
      <c r="AC9062" s="462" t="s">
        <v>25789</v>
      </c>
      <c r="AD9062" s="464">
        <v>3838.0599499999998</v>
      </c>
      <c r="AE9062" s="465">
        <v>154.99709999999999</v>
      </c>
      <c r="AF9062" s="86">
        <f>IF(verze!$E$1="CZK",AD9062,IF(verze!$E$1="SK",AE9062,""))</f>
        <v>154.99709999999999</v>
      </c>
    </row>
    <row r="9063" spans="27:32" ht="15">
      <c r="AA9063" s="463" t="s">
        <v>1320</v>
      </c>
      <c r="AB9063" s="462" t="s">
        <v>25790</v>
      </c>
      <c r="AC9063" s="462" t="s">
        <v>25791</v>
      </c>
      <c r="AD9063" s="464">
        <v>3852.9821099999999</v>
      </c>
      <c r="AE9063" s="465">
        <v>155.59791999999999</v>
      </c>
      <c r="AF9063" s="86">
        <f>IF(verze!$E$1="CZK",AD9063,IF(verze!$E$1="SK",AE9063,""))</f>
        <v>155.59791999999999</v>
      </c>
    </row>
    <row r="9064" spans="27:32" ht="15">
      <c r="AA9064" s="463" t="s">
        <v>1320</v>
      </c>
      <c r="AB9064" s="462" t="s">
        <v>25792</v>
      </c>
      <c r="AC9064" s="462" t="s">
        <v>25793</v>
      </c>
      <c r="AD9064" s="464">
        <v>3852.9821099999999</v>
      </c>
      <c r="AE9064" s="465">
        <v>155.59791999999999</v>
      </c>
      <c r="AF9064" s="86">
        <f>IF(verze!$E$1="CZK",AD9064,IF(verze!$E$1="SK",AE9064,""))</f>
        <v>155.59791999999999</v>
      </c>
    </row>
    <row r="9065" spans="27:32" ht="15">
      <c r="AA9065" s="463" t="s">
        <v>1320</v>
      </c>
      <c r="AB9065" s="462" t="s">
        <v>25794</v>
      </c>
      <c r="AC9065" s="462" t="s">
        <v>25795</v>
      </c>
      <c r="AD9065" s="464">
        <v>4747.4885999999997</v>
      </c>
      <c r="AE9065" s="465">
        <v>191.93113</v>
      </c>
      <c r="AF9065" s="86">
        <f>IF(verze!$E$1="CZK",AD9065,IF(verze!$E$1="SK",AE9065,""))</f>
        <v>191.93113</v>
      </c>
    </row>
    <row r="9066" spans="27:32" ht="15">
      <c r="AA9066" s="463" t="s">
        <v>1320</v>
      </c>
      <c r="AB9066" s="462" t="s">
        <v>25796</v>
      </c>
      <c r="AC9066" s="462" t="s">
        <v>25797</v>
      </c>
      <c r="AD9066" s="464">
        <v>4747.4885999999997</v>
      </c>
      <c r="AE9066" s="465">
        <v>191.93113</v>
      </c>
      <c r="AF9066" s="86">
        <f>IF(verze!$E$1="CZK",AD9066,IF(verze!$E$1="SK",AE9066,""))</f>
        <v>191.93113</v>
      </c>
    </row>
    <row r="9067" spans="27:32" ht="15">
      <c r="AA9067" s="463" t="s">
        <v>1320</v>
      </c>
      <c r="AB9067" s="462" t="s">
        <v>25798</v>
      </c>
      <c r="AC9067" s="462" t="s">
        <v>25799</v>
      </c>
      <c r="AD9067" s="464">
        <v>4762.4107599999998</v>
      </c>
      <c r="AE9067" s="465">
        <v>192.53194999999999</v>
      </c>
      <c r="AF9067" s="86">
        <f>IF(verze!$E$1="CZK",AD9067,IF(verze!$E$1="SK",AE9067,""))</f>
        <v>192.53194999999999</v>
      </c>
    </row>
    <row r="9068" spans="27:32" ht="15">
      <c r="AA9068" s="463" t="s">
        <v>1320</v>
      </c>
      <c r="AB9068" s="462" t="s">
        <v>25800</v>
      </c>
      <c r="AC9068" s="462" t="s">
        <v>25801</v>
      </c>
      <c r="AD9068" s="464">
        <v>4762.4107599999998</v>
      </c>
      <c r="AE9068" s="465">
        <v>192.53194999999999</v>
      </c>
      <c r="AF9068" s="86">
        <f>IF(verze!$E$1="CZK",AD9068,IF(verze!$E$1="SK",AE9068,""))</f>
        <v>192.53194999999999</v>
      </c>
    </row>
    <row r="9069" spans="27:32" ht="15">
      <c r="AA9069" s="463" t="s">
        <v>1320</v>
      </c>
      <c r="AB9069" s="462" t="s">
        <v>25802</v>
      </c>
      <c r="AC9069" s="462" t="s">
        <v>25803</v>
      </c>
      <c r="AD9069" s="464">
        <v>4375.5806199999997</v>
      </c>
      <c r="AE9069" s="465">
        <v>176.63962000000001</v>
      </c>
      <c r="AF9069" s="86">
        <f>IF(verze!$E$1="CZK",AD9069,IF(verze!$E$1="SK",AE9069,""))</f>
        <v>176.63962000000001</v>
      </c>
    </row>
    <row r="9070" spans="27:32" ht="15">
      <c r="AA9070" s="463" t="s">
        <v>1320</v>
      </c>
      <c r="AB9070" s="462" t="s">
        <v>25804</v>
      </c>
      <c r="AC9070" s="462" t="s">
        <v>25805</v>
      </c>
      <c r="AD9070" s="464">
        <v>4375.5806199999997</v>
      </c>
      <c r="AE9070" s="465">
        <v>176.63962000000001</v>
      </c>
      <c r="AF9070" s="86">
        <f>IF(verze!$E$1="CZK",AD9070,IF(verze!$E$1="SK",AE9070,""))</f>
        <v>176.63962000000001</v>
      </c>
    </row>
    <row r="9071" spans="27:32" ht="15">
      <c r="AA9071" s="463" t="s">
        <v>1320</v>
      </c>
      <c r="AB9071" s="462" t="s">
        <v>25806</v>
      </c>
      <c r="AC9071" s="462" t="s">
        <v>25807</v>
      </c>
      <c r="AD9071" s="464">
        <v>4390.5027799999998</v>
      </c>
      <c r="AE9071" s="465">
        <v>177.24044000000001</v>
      </c>
      <c r="AF9071" s="86">
        <f>IF(verze!$E$1="CZK",AD9071,IF(verze!$E$1="SK",AE9071,""))</f>
        <v>177.24044000000001</v>
      </c>
    </row>
    <row r="9072" spans="27:32" ht="15">
      <c r="AA9072" s="463" t="s">
        <v>1320</v>
      </c>
      <c r="AB9072" s="462" t="s">
        <v>25808</v>
      </c>
      <c r="AC9072" s="462" t="s">
        <v>25809</v>
      </c>
      <c r="AD9072" s="464">
        <v>4390.5027799999998</v>
      </c>
      <c r="AE9072" s="465">
        <v>177.24044000000001</v>
      </c>
      <c r="AF9072" s="86">
        <f>IF(verze!$E$1="CZK",AD9072,IF(verze!$E$1="SK",AE9072,""))</f>
        <v>177.24044000000001</v>
      </c>
    </row>
    <row r="9073" spans="27:32" ht="15">
      <c r="AA9073" s="463" t="s">
        <v>1320</v>
      </c>
      <c r="AB9073" s="462" t="s">
        <v>25810</v>
      </c>
      <c r="AC9073" s="462" t="s">
        <v>25811</v>
      </c>
      <c r="AD9073" s="464">
        <v>5285.0092699999996</v>
      </c>
      <c r="AE9073" s="465">
        <v>213.57364999999999</v>
      </c>
      <c r="AF9073" s="86">
        <f>IF(verze!$E$1="CZK",AD9073,IF(verze!$E$1="SK",AE9073,""))</f>
        <v>213.57364999999999</v>
      </c>
    </row>
    <row r="9074" spans="27:32" ht="15">
      <c r="AA9074" s="463" t="s">
        <v>1320</v>
      </c>
      <c r="AB9074" s="462" t="s">
        <v>25812</v>
      </c>
      <c r="AC9074" s="462" t="s">
        <v>25813</v>
      </c>
      <c r="AD9074" s="464">
        <v>5285.0092699999996</v>
      </c>
      <c r="AE9074" s="465">
        <v>213.57364999999999</v>
      </c>
      <c r="AF9074" s="86">
        <f>IF(verze!$E$1="CZK",AD9074,IF(verze!$E$1="SK",AE9074,""))</f>
        <v>213.57364999999999</v>
      </c>
    </row>
    <row r="9075" spans="27:32" ht="15">
      <c r="AA9075" s="463" t="s">
        <v>1320</v>
      </c>
      <c r="AB9075" s="462" t="s">
        <v>25814</v>
      </c>
      <c r="AC9075" s="462" t="s">
        <v>25815</v>
      </c>
      <c r="AD9075" s="464">
        <v>5299.9314299999996</v>
      </c>
      <c r="AE9075" s="465">
        <v>214.17447000000001</v>
      </c>
      <c r="AF9075" s="86">
        <f>IF(verze!$E$1="CZK",AD9075,IF(verze!$E$1="SK",AE9075,""))</f>
        <v>214.17447000000001</v>
      </c>
    </row>
    <row r="9076" spans="27:32" ht="15">
      <c r="AA9076" s="463" t="s">
        <v>1320</v>
      </c>
      <c r="AB9076" s="462" t="s">
        <v>25816</v>
      </c>
      <c r="AC9076" s="462" t="s">
        <v>25817</v>
      </c>
      <c r="AD9076" s="464">
        <v>5299.9314299999996</v>
      </c>
      <c r="AE9076" s="465">
        <v>214.17447000000001</v>
      </c>
      <c r="AF9076" s="86">
        <f>IF(verze!$E$1="CZK",AD9076,IF(verze!$E$1="SK",AE9076,""))</f>
        <v>214.17447000000001</v>
      </c>
    </row>
    <row r="9077" spans="27:32" ht="15">
      <c r="AA9077" s="463" t="s">
        <v>1320</v>
      </c>
      <c r="AB9077" s="462" t="s">
        <v>25818</v>
      </c>
      <c r="AC9077" s="462" t="s">
        <v>25819</v>
      </c>
      <c r="AD9077" s="464">
        <v>3838.0599499999998</v>
      </c>
      <c r="AE9077" s="465">
        <v>154.99709999999999</v>
      </c>
      <c r="AF9077" s="86">
        <f>IF(verze!$E$1="CZK",AD9077,IF(verze!$E$1="SK",AE9077,""))</f>
        <v>154.99709999999999</v>
      </c>
    </row>
    <row r="9078" spans="27:32" ht="15">
      <c r="AA9078" s="463" t="s">
        <v>1320</v>
      </c>
      <c r="AB9078" s="462" t="s">
        <v>25820</v>
      </c>
      <c r="AC9078" s="462" t="s">
        <v>25821</v>
      </c>
      <c r="AD9078" s="464">
        <v>3838.0599499999998</v>
      </c>
      <c r="AE9078" s="465">
        <v>154.99709999999999</v>
      </c>
      <c r="AF9078" s="86">
        <f>IF(verze!$E$1="CZK",AD9078,IF(verze!$E$1="SK",AE9078,""))</f>
        <v>154.99709999999999</v>
      </c>
    </row>
    <row r="9079" spans="27:32" ht="15">
      <c r="AA9079" s="463" t="s">
        <v>1320</v>
      </c>
      <c r="AB9079" s="462" t="s">
        <v>25822</v>
      </c>
      <c r="AC9079" s="462" t="s">
        <v>25823</v>
      </c>
      <c r="AD9079" s="464">
        <v>3852.9821099999999</v>
      </c>
      <c r="AE9079" s="465">
        <v>155.59791999999999</v>
      </c>
      <c r="AF9079" s="86">
        <f>IF(verze!$E$1="CZK",AD9079,IF(verze!$E$1="SK",AE9079,""))</f>
        <v>155.59791999999999</v>
      </c>
    </row>
    <row r="9080" spans="27:32" ht="15">
      <c r="AA9080" s="463" t="s">
        <v>1320</v>
      </c>
      <c r="AB9080" s="462" t="s">
        <v>25824</v>
      </c>
      <c r="AC9080" s="462" t="s">
        <v>25825</v>
      </c>
      <c r="AD9080" s="464">
        <v>3852.9821099999999</v>
      </c>
      <c r="AE9080" s="465">
        <v>155.59791999999999</v>
      </c>
      <c r="AF9080" s="86">
        <f>IF(verze!$E$1="CZK",AD9080,IF(verze!$E$1="SK",AE9080,""))</f>
        <v>155.59791999999999</v>
      </c>
    </row>
    <row r="9081" spans="27:32" ht="15">
      <c r="AA9081" s="463" t="s">
        <v>1320</v>
      </c>
      <c r="AB9081" s="462" t="s">
        <v>25826</v>
      </c>
      <c r="AC9081" s="462" t="s">
        <v>25827</v>
      </c>
      <c r="AD9081" s="464">
        <v>4747.4885999999997</v>
      </c>
      <c r="AE9081" s="465">
        <v>191.93113</v>
      </c>
      <c r="AF9081" s="86">
        <f>IF(verze!$E$1="CZK",AD9081,IF(verze!$E$1="SK",AE9081,""))</f>
        <v>191.93113</v>
      </c>
    </row>
    <row r="9082" spans="27:32" ht="15">
      <c r="AA9082" s="463" t="s">
        <v>1320</v>
      </c>
      <c r="AB9082" s="462" t="s">
        <v>25828</v>
      </c>
      <c r="AC9082" s="462" t="s">
        <v>25829</v>
      </c>
      <c r="AD9082" s="464">
        <v>4747.4885999999997</v>
      </c>
      <c r="AE9082" s="465">
        <v>191.93113</v>
      </c>
      <c r="AF9082" s="86">
        <f>IF(verze!$E$1="CZK",AD9082,IF(verze!$E$1="SK",AE9082,""))</f>
        <v>191.93113</v>
      </c>
    </row>
    <row r="9083" spans="27:32" ht="15">
      <c r="AA9083" s="463" t="s">
        <v>1320</v>
      </c>
      <c r="AB9083" s="462" t="s">
        <v>25830</v>
      </c>
      <c r="AC9083" s="462" t="s">
        <v>25831</v>
      </c>
      <c r="AD9083" s="464">
        <v>4762.4107599999998</v>
      </c>
      <c r="AE9083" s="465">
        <v>192.53194999999999</v>
      </c>
      <c r="AF9083" s="86">
        <f>IF(verze!$E$1="CZK",AD9083,IF(verze!$E$1="SK",AE9083,""))</f>
        <v>192.53194999999999</v>
      </c>
    </row>
    <row r="9084" spans="27:32" ht="15">
      <c r="AA9084" s="463" t="s">
        <v>1320</v>
      </c>
      <c r="AB9084" s="462" t="s">
        <v>25832</v>
      </c>
      <c r="AC9084" s="462" t="s">
        <v>25833</v>
      </c>
      <c r="AD9084" s="464">
        <v>4762.4107599999998</v>
      </c>
      <c r="AE9084" s="465">
        <v>192.53194999999999</v>
      </c>
      <c r="AF9084" s="86">
        <f>IF(verze!$E$1="CZK",AD9084,IF(verze!$E$1="SK",AE9084,""))</f>
        <v>192.53194999999999</v>
      </c>
    </row>
    <row r="9085" spans="27:32" ht="15">
      <c r="AA9085" s="463" t="s">
        <v>1320</v>
      </c>
      <c r="AB9085" s="462" t="s">
        <v>25834</v>
      </c>
      <c r="AC9085" s="462" t="s">
        <v>25835</v>
      </c>
      <c r="AD9085" s="464">
        <v>4375.5806199999997</v>
      </c>
      <c r="AE9085" s="465">
        <v>176.63962000000001</v>
      </c>
      <c r="AF9085" s="86">
        <f>IF(verze!$E$1="CZK",AD9085,IF(verze!$E$1="SK",AE9085,""))</f>
        <v>176.63962000000001</v>
      </c>
    </row>
    <row r="9086" spans="27:32" ht="15">
      <c r="AA9086" s="463" t="s">
        <v>1320</v>
      </c>
      <c r="AB9086" s="462" t="s">
        <v>25836</v>
      </c>
      <c r="AC9086" s="462" t="s">
        <v>25837</v>
      </c>
      <c r="AD9086" s="464">
        <v>4375.5806199999997</v>
      </c>
      <c r="AE9086" s="465">
        <v>176.63962000000001</v>
      </c>
      <c r="AF9086" s="86">
        <f>IF(verze!$E$1="CZK",AD9086,IF(verze!$E$1="SK",AE9086,""))</f>
        <v>176.63962000000001</v>
      </c>
    </row>
    <row r="9087" spans="27:32" ht="15">
      <c r="AA9087" s="463" t="s">
        <v>1320</v>
      </c>
      <c r="AB9087" s="462" t="s">
        <v>25838</v>
      </c>
      <c r="AC9087" s="462" t="s">
        <v>25839</v>
      </c>
      <c r="AD9087" s="464">
        <v>4390.5027799999998</v>
      </c>
      <c r="AE9087" s="465">
        <v>177.24044000000001</v>
      </c>
      <c r="AF9087" s="86">
        <f>IF(verze!$E$1="CZK",AD9087,IF(verze!$E$1="SK",AE9087,""))</f>
        <v>177.24044000000001</v>
      </c>
    </row>
    <row r="9088" spans="27:32" ht="15">
      <c r="AA9088" s="463" t="s">
        <v>1320</v>
      </c>
      <c r="AB9088" s="462" t="s">
        <v>25840</v>
      </c>
      <c r="AC9088" s="462" t="s">
        <v>25841</v>
      </c>
      <c r="AD9088" s="464">
        <v>4390.5027799999998</v>
      </c>
      <c r="AE9088" s="465">
        <v>177.24044000000001</v>
      </c>
      <c r="AF9088" s="86">
        <f>IF(verze!$E$1="CZK",AD9088,IF(verze!$E$1="SK",AE9088,""))</f>
        <v>177.24044000000001</v>
      </c>
    </row>
    <row r="9089" spans="27:32" ht="15">
      <c r="AA9089" s="463" t="s">
        <v>1320</v>
      </c>
      <c r="AB9089" s="462" t="s">
        <v>25842</v>
      </c>
      <c r="AC9089" s="462" t="s">
        <v>25843</v>
      </c>
      <c r="AD9089" s="464">
        <v>5285.0092699999996</v>
      </c>
      <c r="AE9089" s="465">
        <v>213.57364999999999</v>
      </c>
      <c r="AF9089" s="86">
        <f>IF(verze!$E$1="CZK",AD9089,IF(verze!$E$1="SK",AE9089,""))</f>
        <v>213.57364999999999</v>
      </c>
    </row>
    <row r="9090" spans="27:32" ht="15">
      <c r="AA9090" s="463" t="s">
        <v>1320</v>
      </c>
      <c r="AB9090" s="462" t="s">
        <v>25844</v>
      </c>
      <c r="AC9090" s="462" t="s">
        <v>25845</v>
      </c>
      <c r="AD9090" s="464">
        <v>5285.0092699999996</v>
      </c>
      <c r="AE9090" s="465">
        <v>213.57364999999999</v>
      </c>
      <c r="AF9090" s="86">
        <f>IF(verze!$E$1="CZK",AD9090,IF(verze!$E$1="SK",AE9090,""))</f>
        <v>213.57364999999999</v>
      </c>
    </row>
    <row r="9091" spans="27:32" ht="15">
      <c r="AA9091" s="463" t="s">
        <v>1320</v>
      </c>
      <c r="AB9091" s="462" t="s">
        <v>25846</v>
      </c>
      <c r="AC9091" s="462" t="s">
        <v>25847</v>
      </c>
      <c r="AD9091" s="464">
        <v>5299.9314299999996</v>
      </c>
      <c r="AE9091" s="465">
        <v>214.17447000000001</v>
      </c>
      <c r="AF9091" s="86">
        <f>IF(verze!$E$1="CZK",AD9091,IF(verze!$E$1="SK",AE9091,""))</f>
        <v>214.17447000000001</v>
      </c>
    </row>
    <row r="9092" spans="27:32" ht="15">
      <c r="AA9092" s="463" t="s">
        <v>1320</v>
      </c>
      <c r="AB9092" s="462" t="s">
        <v>25848</v>
      </c>
      <c r="AC9092" s="462" t="s">
        <v>25849</v>
      </c>
      <c r="AD9092" s="464">
        <v>5299.9314299999996</v>
      </c>
      <c r="AE9092" s="465">
        <v>214.17447000000001</v>
      </c>
      <c r="AF9092" s="86">
        <f>IF(verze!$E$1="CZK",AD9092,IF(verze!$E$1="SK",AE9092,""))</f>
        <v>214.17447000000001</v>
      </c>
    </row>
    <row r="9093" spans="27:32" ht="15">
      <c r="AA9093" s="463" t="s">
        <v>1320</v>
      </c>
      <c r="AB9093" s="462" t="s">
        <v>25850</v>
      </c>
      <c r="AC9093" s="462" t="s">
        <v>25851</v>
      </c>
      <c r="AD9093" s="464">
        <v>5246.7340999999997</v>
      </c>
      <c r="AE9093" s="465">
        <v>211.71565000000001</v>
      </c>
      <c r="AF9093" s="86">
        <f>IF(verze!$E$1="CZK",AD9093,IF(verze!$E$1="SK",AE9093,""))</f>
        <v>211.71565000000001</v>
      </c>
    </row>
    <row r="9094" spans="27:32" ht="15">
      <c r="AA9094" s="463" t="s">
        <v>1320</v>
      </c>
      <c r="AB9094" s="462" t="s">
        <v>25852</v>
      </c>
      <c r="AC9094" s="462" t="s">
        <v>25853</v>
      </c>
      <c r="AD9094" s="464">
        <v>5246.7340999999997</v>
      </c>
      <c r="AE9094" s="465">
        <v>211.71565000000001</v>
      </c>
      <c r="AF9094" s="86">
        <f>IF(verze!$E$1="CZK",AD9094,IF(verze!$E$1="SK",AE9094,""))</f>
        <v>211.71565000000001</v>
      </c>
    </row>
    <row r="9095" spans="27:32" ht="15">
      <c r="AA9095" s="463" t="s">
        <v>1320</v>
      </c>
      <c r="AB9095" s="462" t="s">
        <v>25854</v>
      </c>
      <c r="AC9095" s="462" t="s">
        <v>25855</v>
      </c>
      <c r="AD9095" s="464">
        <v>5261.6610199999996</v>
      </c>
      <c r="AE9095" s="465">
        <v>212.31658999999999</v>
      </c>
      <c r="AF9095" s="86">
        <f>IF(verze!$E$1="CZK",AD9095,IF(verze!$E$1="SK",AE9095,""))</f>
        <v>212.31658999999999</v>
      </c>
    </row>
    <row r="9096" spans="27:32" ht="15">
      <c r="AA9096" s="463" t="s">
        <v>1320</v>
      </c>
      <c r="AB9096" s="462" t="s">
        <v>25856</v>
      </c>
      <c r="AC9096" s="462" t="s">
        <v>25857</v>
      </c>
      <c r="AD9096" s="464">
        <v>5261.6610199999996</v>
      </c>
      <c r="AE9096" s="465">
        <v>212.31658999999999</v>
      </c>
      <c r="AF9096" s="86">
        <f>IF(verze!$E$1="CZK",AD9096,IF(verze!$E$1="SK",AE9096,""))</f>
        <v>212.31658999999999</v>
      </c>
    </row>
    <row r="9097" spans="27:32" ht="15">
      <c r="AA9097" s="463" t="s">
        <v>1320</v>
      </c>
      <c r="AB9097" s="462" t="s">
        <v>25858</v>
      </c>
      <c r="AC9097" s="462" t="s">
        <v>25859</v>
      </c>
      <c r="AD9097" s="464">
        <v>6156.1627500000004</v>
      </c>
      <c r="AE9097" s="465">
        <v>248.64967999999999</v>
      </c>
      <c r="AF9097" s="86">
        <f>IF(verze!$E$1="CZK",AD9097,IF(verze!$E$1="SK",AE9097,""))</f>
        <v>248.64967999999999</v>
      </c>
    </row>
    <row r="9098" spans="27:32" ht="15">
      <c r="AA9098" s="463" t="s">
        <v>1320</v>
      </c>
      <c r="AB9098" s="462" t="s">
        <v>25860</v>
      </c>
      <c r="AC9098" s="462" t="s">
        <v>25861</v>
      </c>
      <c r="AD9098" s="464">
        <v>6156.1627500000004</v>
      </c>
      <c r="AE9098" s="465">
        <v>248.64967999999999</v>
      </c>
      <c r="AF9098" s="86">
        <f>IF(verze!$E$1="CZK",AD9098,IF(verze!$E$1="SK",AE9098,""))</f>
        <v>248.64967999999999</v>
      </c>
    </row>
    <row r="9099" spans="27:32" ht="15">
      <c r="AA9099" s="463" t="s">
        <v>1320</v>
      </c>
      <c r="AB9099" s="462" t="s">
        <v>25862</v>
      </c>
      <c r="AC9099" s="462" t="s">
        <v>25863</v>
      </c>
      <c r="AD9099" s="464">
        <v>6171.0896700000003</v>
      </c>
      <c r="AE9099" s="465">
        <v>249.25062</v>
      </c>
      <c r="AF9099" s="86">
        <f>IF(verze!$E$1="CZK",AD9099,IF(verze!$E$1="SK",AE9099,""))</f>
        <v>249.25062</v>
      </c>
    </row>
    <row r="9100" spans="27:32" ht="15">
      <c r="AA9100" s="463" t="s">
        <v>1320</v>
      </c>
      <c r="AB9100" s="462" t="s">
        <v>25864</v>
      </c>
      <c r="AC9100" s="462" t="s">
        <v>25865</v>
      </c>
      <c r="AD9100" s="464">
        <v>6171.0896700000003</v>
      </c>
      <c r="AE9100" s="465">
        <v>249.25062</v>
      </c>
      <c r="AF9100" s="86">
        <f>IF(verze!$E$1="CZK",AD9100,IF(verze!$E$1="SK",AE9100,""))</f>
        <v>249.25062</v>
      </c>
    </row>
    <row r="9101" spans="27:32" ht="15">
      <c r="AA9101" s="463" t="s">
        <v>1320</v>
      </c>
      <c r="AB9101" s="462" t="s">
        <v>25866</v>
      </c>
      <c r="AC9101" s="462" t="s">
        <v>25867</v>
      </c>
      <c r="AD9101" s="464">
        <v>6317.8735200000001</v>
      </c>
      <c r="AE9101" s="465">
        <v>254.84367</v>
      </c>
      <c r="AF9101" s="86">
        <f>IF(verze!$E$1="CZK",AD9101,IF(verze!$E$1="SK",AE9101,""))</f>
        <v>254.84367</v>
      </c>
    </row>
    <row r="9102" spans="27:32" ht="15">
      <c r="AA9102" s="463" t="s">
        <v>1320</v>
      </c>
      <c r="AB9102" s="462" t="s">
        <v>25868</v>
      </c>
      <c r="AC9102" s="462" t="s">
        <v>25869</v>
      </c>
      <c r="AD9102" s="464">
        <v>6317.8735200000001</v>
      </c>
      <c r="AE9102" s="465">
        <v>254.84367</v>
      </c>
      <c r="AF9102" s="86">
        <f>IF(verze!$E$1="CZK",AD9102,IF(verze!$E$1="SK",AE9102,""))</f>
        <v>254.84367</v>
      </c>
    </row>
    <row r="9103" spans="27:32" ht="15">
      <c r="AA9103" s="463" t="s">
        <v>1320</v>
      </c>
      <c r="AB9103" s="462" t="s">
        <v>25870</v>
      </c>
      <c r="AC9103" s="462" t="s">
        <v>25871</v>
      </c>
      <c r="AD9103" s="464">
        <v>6332.80044</v>
      </c>
      <c r="AE9103" s="465">
        <v>255.44461000000001</v>
      </c>
      <c r="AF9103" s="86">
        <f>IF(verze!$E$1="CZK",AD9103,IF(verze!$E$1="SK",AE9103,""))</f>
        <v>255.44461000000001</v>
      </c>
    </row>
    <row r="9104" spans="27:32" ht="15">
      <c r="AA9104" s="463" t="s">
        <v>1320</v>
      </c>
      <c r="AB9104" s="462" t="s">
        <v>25872</v>
      </c>
      <c r="AC9104" s="462" t="s">
        <v>25873</v>
      </c>
      <c r="AD9104" s="464">
        <v>6332.80044</v>
      </c>
      <c r="AE9104" s="465">
        <v>255.44461000000001</v>
      </c>
      <c r="AF9104" s="86">
        <f>IF(verze!$E$1="CZK",AD9104,IF(verze!$E$1="SK",AE9104,""))</f>
        <v>255.44461000000001</v>
      </c>
    </row>
    <row r="9105" spans="27:32" ht="15">
      <c r="AA9105" s="463" t="s">
        <v>1320</v>
      </c>
      <c r="AB9105" s="462" t="s">
        <v>25874</v>
      </c>
      <c r="AC9105" s="462" t="s">
        <v>25875</v>
      </c>
      <c r="AD9105" s="464">
        <v>7227.3021699999999</v>
      </c>
      <c r="AE9105" s="465">
        <v>291.77769999999998</v>
      </c>
      <c r="AF9105" s="86">
        <f>IF(verze!$E$1="CZK",AD9105,IF(verze!$E$1="SK",AE9105,""))</f>
        <v>291.77769999999998</v>
      </c>
    </row>
    <row r="9106" spans="27:32" ht="15">
      <c r="AA9106" s="463" t="s">
        <v>1320</v>
      </c>
      <c r="AB9106" s="462" t="s">
        <v>25876</v>
      </c>
      <c r="AC9106" s="462" t="s">
        <v>25877</v>
      </c>
      <c r="AD9106" s="464">
        <v>7227.3021699999999</v>
      </c>
      <c r="AE9106" s="465">
        <v>291.77769999999998</v>
      </c>
      <c r="AF9106" s="86">
        <f>IF(verze!$E$1="CZK",AD9106,IF(verze!$E$1="SK",AE9106,""))</f>
        <v>291.77769999999998</v>
      </c>
    </row>
    <row r="9107" spans="27:32" ht="15">
      <c r="AA9107" s="463" t="s">
        <v>1320</v>
      </c>
      <c r="AB9107" s="462" t="s">
        <v>25878</v>
      </c>
      <c r="AC9107" s="462" t="s">
        <v>25879</v>
      </c>
      <c r="AD9107" s="464">
        <v>7242.2290899999998</v>
      </c>
      <c r="AE9107" s="465">
        <v>292.37864000000002</v>
      </c>
      <c r="AF9107" s="86">
        <f>IF(verze!$E$1="CZK",AD9107,IF(verze!$E$1="SK",AE9107,""))</f>
        <v>292.37864000000002</v>
      </c>
    </row>
    <row r="9108" spans="27:32" ht="15">
      <c r="AA9108" s="463" t="s">
        <v>1320</v>
      </c>
      <c r="AB9108" s="462" t="s">
        <v>25880</v>
      </c>
      <c r="AC9108" s="462" t="s">
        <v>25881</v>
      </c>
      <c r="AD9108" s="464">
        <v>7242.2290899999998</v>
      </c>
      <c r="AE9108" s="465">
        <v>292.37864000000002</v>
      </c>
      <c r="AF9108" s="86">
        <f>IF(verze!$E$1="CZK",AD9108,IF(verze!$E$1="SK",AE9108,""))</f>
        <v>292.37864000000002</v>
      </c>
    </row>
    <row r="9109" spans="27:32" ht="15">
      <c r="AA9109" s="463" t="s">
        <v>1320</v>
      </c>
      <c r="AB9109" s="462" t="s">
        <v>25882</v>
      </c>
      <c r="AC9109" s="462" t="s">
        <v>25883</v>
      </c>
      <c r="AD9109" s="464">
        <v>6529.47408</v>
      </c>
      <c r="AE9109" s="465">
        <v>263.36351999999999</v>
      </c>
      <c r="AF9109" s="86">
        <f>IF(verze!$E$1="CZK",AD9109,IF(verze!$E$1="SK",AE9109,""))</f>
        <v>263.36351999999999</v>
      </c>
    </row>
    <row r="9110" spans="27:32" ht="15">
      <c r="AA9110" s="463" t="s">
        <v>1320</v>
      </c>
      <c r="AB9110" s="462" t="s">
        <v>25884</v>
      </c>
      <c r="AC9110" s="462" t="s">
        <v>25885</v>
      </c>
      <c r="AD9110" s="464">
        <v>6529.47408</v>
      </c>
      <c r="AE9110" s="465">
        <v>263.36351999999999</v>
      </c>
      <c r="AF9110" s="86">
        <f>IF(verze!$E$1="CZK",AD9110,IF(verze!$E$1="SK",AE9110,""))</f>
        <v>263.36351999999999</v>
      </c>
    </row>
    <row r="9111" spans="27:32" ht="15">
      <c r="AA9111" s="463" t="s">
        <v>1320</v>
      </c>
      <c r="AB9111" s="462" t="s">
        <v>25886</v>
      </c>
      <c r="AC9111" s="462" t="s">
        <v>25887</v>
      </c>
      <c r="AD9111" s="464">
        <v>6544.4009999999998</v>
      </c>
      <c r="AE9111" s="465">
        <v>263.96445999999997</v>
      </c>
      <c r="AF9111" s="86">
        <f>IF(verze!$E$1="CZK",AD9111,IF(verze!$E$1="SK",AE9111,""))</f>
        <v>263.96445999999997</v>
      </c>
    </row>
    <row r="9112" spans="27:32" ht="15">
      <c r="AA9112" s="463" t="s">
        <v>1320</v>
      </c>
      <c r="AB9112" s="462" t="s">
        <v>25888</v>
      </c>
      <c r="AC9112" s="462" t="s">
        <v>25889</v>
      </c>
      <c r="AD9112" s="464">
        <v>6544.4009999999998</v>
      </c>
      <c r="AE9112" s="465">
        <v>263.96445999999997</v>
      </c>
      <c r="AF9112" s="86">
        <f>IF(verze!$E$1="CZK",AD9112,IF(verze!$E$1="SK",AE9112,""))</f>
        <v>263.96445999999997</v>
      </c>
    </row>
    <row r="9113" spans="27:32" ht="15">
      <c r="AA9113" s="463" t="s">
        <v>1320</v>
      </c>
      <c r="AB9113" s="462" t="s">
        <v>25890</v>
      </c>
      <c r="AC9113" s="462" t="s">
        <v>25891</v>
      </c>
      <c r="AD9113" s="464">
        <v>7438.9027299999998</v>
      </c>
      <c r="AE9113" s="465">
        <v>300.29755</v>
      </c>
      <c r="AF9113" s="86">
        <f>IF(verze!$E$1="CZK",AD9113,IF(verze!$E$1="SK",AE9113,""))</f>
        <v>300.29755</v>
      </c>
    </row>
    <row r="9114" spans="27:32" ht="15">
      <c r="AA9114" s="463" t="s">
        <v>1320</v>
      </c>
      <c r="AB9114" s="462" t="s">
        <v>25892</v>
      </c>
      <c r="AC9114" s="462" t="s">
        <v>25893</v>
      </c>
      <c r="AD9114" s="464">
        <v>7438.9027299999998</v>
      </c>
      <c r="AE9114" s="465">
        <v>300.29755</v>
      </c>
      <c r="AF9114" s="86">
        <f>IF(verze!$E$1="CZK",AD9114,IF(verze!$E$1="SK",AE9114,""))</f>
        <v>300.29755</v>
      </c>
    </row>
    <row r="9115" spans="27:32" ht="15">
      <c r="AA9115" s="463" t="s">
        <v>1320</v>
      </c>
      <c r="AB9115" s="462" t="s">
        <v>25894</v>
      </c>
      <c r="AC9115" s="462" t="s">
        <v>25895</v>
      </c>
      <c r="AD9115" s="464">
        <v>7453.8296499999997</v>
      </c>
      <c r="AE9115" s="465">
        <v>300.89848999999998</v>
      </c>
      <c r="AF9115" s="86">
        <f>IF(verze!$E$1="CZK",AD9115,IF(verze!$E$1="SK",AE9115,""))</f>
        <v>300.89848999999998</v>
      </c>
    </row>
    <row r="9116" spans="27:32" ht="15">
      <c r="AA9116" s="463" t="s">
        <v>1320</v>
      </c>
      <c r="AB9116" s="462" t="s">
        <v>25896</v>
      </c>
      <c r="AC9116" s="462" t="s">
        <v>25897</v>
      </c>
      <c r="AD9116" s="464">
        <v>7453.8296499999997</v>
      </c>
      <c r="AE9116" s="465">
        <v>300.89848999999998</v>
      </c>
      <c r="AF9116" s="86">
        <f>IF(verze!$E$1="CZK",AD9116,IF(verze!$E$1="SK",AE9116,""))</f>
        <v>300.89848999999998</v>
      </c>
    </row>
    <row r="9117" spans="27:32" ht="15">
      <c r="AA9117" s="463" t="s">
        <v>1320</v>
      </c>
      <c r="AB9117" s="462" t="s">
        <v>25898</v>
      </c>
      <c r="AC9117" s="462" t="s">
        <v>25899</v>
      </c>
      <c r="AD9117" s="464">
        <v>6200.24359</v>
      </c>
      <c r="AE9117" s="465">
        <v>249.64482000000001</v>
      </c>
      <c r="AF9117" s="86">
        <f>IF(verze!$E$1="CZK",AD9117,IF(verze!$E$1="SK",AE9117,""))</f>
        <v>249.64482000000001</v>
      </c>
    </row>
    <row r="9118" spans="27:32" ht="15">
      <c r="AA9118" s="463" t="s">
        <v>1320</v>
      </c>
      <c r="AB9118" s="462" t="s">
        <v>25900</v>
      </c>
      <c r="AC9118" s="462" t="s">
        <v>25901</v>
      </c>
      <c r="AD9118" s="464">
        <v>0</v>
      </c>
      <c r="AE9118" s="465">
        <v>0</v>
      </c>
      <c r="AF9118" s="86">
        <f>IF(verze!$E$1="CZK",AD9118,IF(verze!$E$1="SK",AE9118,""))</f>
        <v>0</v>
      </c>
    </row>
    <row r="9119" spans="27:32" ht="15">
      <c r="AA9119" s="463" t="s">
        <v>1320</v>
      </c>
      <c r="AB9119" s="462" t="s">
        <v>25902</v>
      </c>
      <c r="AC9119" s="462" t="s">
        <v>25901</v>
      </c>
      <c r="AD9119" s="464">
        <v>0</v>
      </c>
      <c r="AE9119" s="465">
        <v>0</v>
      </c>
      <c r="AF9119" s="86">
        <f>IF(verze!$E$1="CZK",AD9119,IF(verze!$E$1="SK",AE9119,""))</f>
        <v>0</v>
      </c>
    </row>
    <row r="9120" spans="27:32" ht="15">
      <c r="AA9120" s="463" t="s">
        <v>1320</v>
      </c>
      <c r="AB9120" s="462" t="s">
        <v>25903</v>
      </c>
      <c r="AC9120" s="462" t="s">
        <v>25901</v>
      </c>
      <c r="AD9120" s="464">
        <v>0</v>
      </c>
      <c r="AE9120" s="465">
        <v>0</v>
      </c>
      <c r="AF9120" s="86">
        <f>IF(verze!$E$1="CZK",AD9120,IF(verze!$E$1="SK",AE9120,""))</f>
        <v>0</v>
      </c>
    </row>
    <row r="9121" spans="27:32" ht="15">
      <c r="AA9121" s="463" t="s">
        <v>1320</v>
      </c>
      <c r="AB9121" s="462" t="s">
        <v>25904</v>
      </c>
      <c r="AC9121" s="462" t="s">
        <v>25901</v>
      </c>
      <c r="AD9121" s="464">
        <v>0</v>
      </c>
      <c r="AE9121" s="465">
        <v>0</v>
      </c>
      <c r="AF9121" s="86">
        <f>IF(verze!$E$1="CZK",AD9121,IF(verze!$E$1="SK",AE9121,""))</f>
        <v>0</v>
      </c>
    </row>
    <row r="9122" spans="27:32" ht="15">
      <c r="AA9122" s="463" t="s">
        <v>1320</v>
      </c>
      <c r="AB9122" s="462" t="s">
        <v>25905</v>
      </c>
      <c r="AC9122" s="462" t="s">
        <v>25901</v>
      </c>
      <c r="AD9122" s="464">
        <v>0</v>
      </c>
      <c r="AE9122" s="465">
        <v>0</v>
      </c>
      <c r="AF9122" s="86">
        <f>IF(verze!$E$1="CZK",AD9122,IF(verze!$E$1="SK",AE9122,""))</f>
        <v>0</v>
      </c>
    </row>
    <row r="9123" spans="27:32" ht="15">
      <c r="AA9123" s="463" t="s">
        <v>1320</v>
      </c>
      <c r="AB9123" s="462" t="s">
        <v>25906</v>
      </c>
      <c r="AC9123" s="462" t="s">
        <v>25901</v>
      </c>
      <c r="AD9123" s="464">
        <v>0</v>
      </c>
      <c r="AE9123" s="465">
        <v>0</v>
      </c>
      <c r="AF9123" s="86">
        <f>IF(verze!$E$1="CZK",AD9123,IF(verze!$E$1="SK",AE9123,""))</f>
        <v>0</v>
      </c>
    </row>
    <row r="9124" spans="27:32" ht="15">
      <c r="AA9124" s="463" t="s">
        <v>1320</v>
      </c>
      <c r="AB9124" s="462" t="s">
        <v>25907</v>
      </c>
      <c r="AC9124" s="462" t="s">
        <v>25908</v>
      </c>
      <c r="AD9124" s="464">
        <v>4420.7002599999996</v>
      </c>
      <c r="AE9124" s="465">
        <v>178.54453000000001</v>
      </c>
      <c r="AF9124" s="86">
        <f>IF(verze!$E$1="CZK",AD9124,IF(verze!$E$1="SK",AE9124,""))</f>
        <v>178.54453000000001</v>
      </c>
    </row>
    <row r="9125" spans="27:32" ht="15">
      <c r="AA9125" s="463" t="s">
        <v>1320</v>
      </c>
      <c r="AB9125" s="462" t="s">
        <v>25909</v>
      </c>
      <c r="AC9125" s="462" t="s">
        <v>25910</v>
      </c>
      <c r="AD9125" s="464">
        <v>4420.7002599999996</v>
      </c>
      <c r="AE9125" s="465">
        <v>178.54453000000001</v>
      </c>
      <c r="AF9125" s="86">
        <f>IF(verze!$E$1="CZK",AD9125,IF(verze!$E$1="SK",AE9125,""))</f>
        <v>178.54453000000001</v>
      </c>
    </row>
    <row r="9126" spans="27:32" ht="15">
      <c r="AA9126" s="463" t="s">
        <v>1320</v>
      </c>
      <c r="AB9126" s="462" t="s">
        <v>25911</v>
      </c>
      <c r="AC9126" s="462" t="s">
        <v>25912</v>
      </c>
      <c r="AD9126" s="464">
        <v>3955.5188400000002</v>
      </c>
      <c r="AE9126" s="465">
        <v>159.75655</v>
      </c>
      <c r="AF9126" s="86">
        <f>IF(verze!$E$1="CZK",AD9126,IF(verze!$E$1="SK",AE9126,""))</f>
        <v>159.75655</v>
      </c>
    </row>
    <row r="9127" spans="27:32" ht="15">
      <c r="AA9127" s="463" t="s">
        <v>1320</v>
      </c>
      <c r="AB9127" s="462" t="s">
        <v>25913</v>
      </c>
      <c r="AC9127" s="462" t="s">
        <v>25914</v>
      </c>
      <c r="AD9127" s="464">
        <v>4859.8483399999996</v>
      </c>
      <c r="AE9127" s="465">
        <v>195.74713</v>
      </c>
      <c r="AF9127" s="86">
        <f>IF(verze!$E$1="CZK",AD9127,IF(verze!$E$1="SK",AE9127,""))</f>
        <v>195.74713</v>
      </c>
    </row>
    <row r="9128" spans="27:32" ht="15">
      <c r="AA9128" s="463" t="s">
        <v>1320</v>
      </c>
      <c r="AB9128" s="462" t="s">
        <v>25915</v>
      </c>
      <c r="AC9128" s="462" t="s">
        <v>25916</v>
      </c>
      <c r="AD9128" s="464">
        <v>4859.8483399999996</v>
      </c>
      <c r="AE9128" s="465">
        <v>195.74713</v>
      </c>
      <c r="AF9128" s="86">
        <f>IF(verze!$E$1="CZK",AD9128,IF(verze!$E$1="SK",AE9128,""))</f>
        <v>195.74713</v>
      </c>
    </row>
    <row r="9129" spans="27:32" ht="15">
      <c r="AA9129" s="463" t="s">
        <v>1320</v>
      </c>
      <c r="AB9129" s="462" t="s">
        <v>25917</v>
      </c>
      <c r="AC9129" s="462" t="s">
        <v>25918</v>
      </c>
      <c r="AD9129" s="464">
        <v>4422.7878000000001</v>
      </c>
      <c r="AE9129" s="465">
        <v>178.09496999999999</v>
      </c>
      <c r="AF9129" s="86">
        <f>IF(verze!$E$1="CZK",AD9129,IF(verze!$E$1="SK",AE9129,""))</f>
        <v>178.09496999999999</v>
      </c>
    </row>
    <row r="9130" spans="27:32" ht="15">
      <c r="AA9130" s="463" t="s">
        <v>1320</v>
      </c>
      <c r="AB9130" s="462" t="s">
        <v>25919</v>
      </c>
      <c r="AC9130" s="462" t="s">
        <v>25920</v>
      </c>
      <c r="AD9130" s="464">
        <v>4827.0876799999996</v>
      </c>
      <c r="AE9130" s="465">
        <v>194.44750999999999</v>
      </c>
      <c r="AF9130" s="86">
        <f>IF(verze!$E$1="CZK",AD9130,IF(verze!$E$1="SK",AE9130,""))</f>
        <v>194.44750999999999</v>
      </c>
    </row>
    <row r="9131" spans="27:32" ht="15">
      <c r="AA9131" s="463" t="s">
        <v>1320</v>
      </c>
      <c r="AB9131" s="462" t="s">
        <v>25921</v>
      </c>
      <c r="AC9131" s="462" t="s">
        <v>25922</v>
      </c>
      <c r="AD9131" s="464">
        <v>4827.0876799999996</v>
      </c>
      <c r="AE9131" s="465">
        <v>194.44750999999999</v>
      </c>
      <c r="AF9131" s="86">
        <f>IF(verze!$E$1="CZK",AD9131,IF(verze!$E$1="SK",AE9131,""))</f>
        <v>194.44750999999999</v>
      </c>
    </row>
    <row r="9132" spans="27:32" ht="15">
      <c r="AA9132" s="463" t="s">
        <v>1320</v>
      </c>
      <c r="AB9132" s="462" t="s">
        <v>25923</v>
      </c>
      <c r="AC9132" s="462" t="s">
        <v>25924</v>
      </c>
      <c r="AD9132" s="464">
        <v>4390.0271400000001</v>
      </c>
      <c r="AE9132" s="465">
        <v>176.79535000000001</v>
      </c>
      <c r="AF9132" s="86">
        <f>IF(verze!$E$1="CZK",AD9132,IF(verze!$E$1="SK",AE9132,""))</f>
        <v>176.79535000000001</v>
      </c>
    </row>
    <row r="9133" spans="27:32" ht="15">
      <c r="AA9133" s="463" t="s">
        <v>1320</v>
      </c>
      <c r="AB9133" s="462" t="s">
        <v>25925</v>
      </c>
      <c r="AC9133" s="462" t="s">
        <v>25926</v>
      </c>
      <c r="AD9133" s="464">
        <v>5032.81387</v>
      </c>
      <c r="AE9133" s="465">
        <v>203.26661999999999</v>
      </c>
      <c r="AF9133" s="86">
        <f>IF(verze!$E$1="CZK",AD9133,IF(verze!$E$1="SK",AE9133,""))</f>
        <v>203.26661999999999</v>
      </c>
    </row>
    <row r="9134" spans="27:32" ht="15">
      <c r="AA9134" s="463" t="s">
        <v>1320</v>
      </c>
      <c r="AB9134" s="462" t="s">
        <v>25927</v>
      </c>
      <c r="AC9134" s="462" t="s">
        <v>25928</v>
      </c>
      <c r="AD9134" s="464">
        <v>5032.81387</v>
      </c>
      <c r="AE9134" s="465">
        <v>203.26661999999999</v>
      </c>
      <c r="AF9134" s="86">
        <f>IF(verze!$E$1="CZK",AD9134,IF(verze!$E$1="SK",AE9134,""))</f>
        <v>203.26661999999999</v>
      </c>
    </row>
    <row r="9135" spans="27:32" ht="15">
      <c r="AA9135" s="463" t="s">
        <v>1320</v>
      </c>
      <c r="AB9135" s="462" t="s">
        <v>25929</v>
      </c>
      <c r="AC9135" s="462" t="s">
        <v>25930</v>
      </c>
      <c r="AD9135" s="464">
        <v>4446.81214</v>
      </c>
      <c r="AE9135" s="465">
        <v>179.59896000000001</v>
      </c>
      <c r="AF9135" s="86">
        <f>IF(verze!$E$1="CZK",AD9135,IF(verze!$E$1="SK",AE9135,""))</f>
        <v>179.59896000000001</v>
      </c>
    </row>
    <row r="9136" spans="27:32" ht="15">
      <c r="AA9136" s="463" t="s">
        <v>1320</v>
      </c>
      <c r="AB9136" s="462" t="s">
        <v>25931</v>
      </c>
      <c r="AC9136" s="462" t="s">
        <v>25932</v>
      </c>
      <c r="AD9136" s="464">
        <v>5691.4774500000003</v>
      </c>
      <c r="AE9136" s="465">
        <v>229.0684</v>
      </c>
      <c r="AF9136" s="86">
        <f>IF(verze!$E$1="CZK",AD9136,IF(verze!$E$1="SK",AE9136,""))</f>
        <v>229.0684</v>
      </c>
    </row>
    <row r="9137" spans="27:32" ht="15">
      <c r="AA9137" s="463" t="s">
        <v>1320</v>
      </c>
      <c r="AB9137" s="462" t="s">
        <v>25933</v>
      </c>
      <c r="AC9137" s="462" t="s">
        <v>25934</v>
      </c>
      <c r="AD9137" s="464">
        <v>5691.4774500000003</v>
      </c>
      <c r="AE9137" s="465">
        <v>229.0684</v>
      </c>
      <c r="AF9137" s="86">
        <f>IF(verze!$E$1="CZK",AD9137,IF(verze!$E$1="SK",AE9137,""))</f>
        <v>229.0684</v>
      </c>
    </row>
    <row r="9138" spans="27:32" ht="15">
      <c r="AA9138" s="463" t="s">
        <v>1320</v>
      </c>
      <c r="AB9138" s="462" t="s">
        <v>25935</v>
      </c>
      <c r="AC9138" s="462" t="s">
        <v>25936</v>
      </c>
      <c r="AD9138" s="464">
        <v>5147.6970600000004</v>
      </c>
      <c r="AE9138" s="465">
        <v>207.10597999999999</v>
      </c>
      <c r="AF9138" s="86">
        <f>IF(verze!$E$1="CZK",AD9138,IF(verze!$E$1="SK",AE9138,""))</f>
        <v>207.10597999999999</v>
      </c>
    </row>
    <row r="9139" spans="27:32" ht="15">
      <c r="AA9139" s="463" t="s">
        <v>1320</v>
      </c>
      <c r="AB9139" s="462" t="s">
        <v>25937</v>
      </c>
      <c r="AC9139" s="462" t="s">
        <v>25938</v>
      </c>
      <c r="AD9139" s="464">
        <v>5642.3409300000003</v>
      </c>
      <c r="AE9139" s="465">
        <v>227.11904000000001</v>
      </c>
      <c r="AF9139" s="86">
        <f>IF(verze!$E$1="CZK",AD9139,IF(verze!$E$1="SK",AE9139,""))</f>
        <v>227.11904000000001</v>
      </c>
    </row>
    <row r="9140" spans="27:32" ht="15">
      <c r="AA9140" s="463" t="s">
        <v>1320</v>
      </c>
      <c r="AB9140" s="462" t="s">
        <v>25939</v>
      </c>
      <c r="AC9140" s="462" t="s">
        <v>25940</v>
      </c>
      <c r="AD9140" s="464">
        <v>5642.3409300000003</v>
      </c>
      <c r="AE9140" s="465">
        <v>227.11904000000001</v>
      </c>
      <c r="AF9140" s="86">
        <f>IF(verze!$E$1="CZK",AD9140,IF(verze!$E$1="SK",AE9140,""))</f>
        <v>227.11904000000001</v>
      </c>
    </row>
    <row r="9141" spans="27:32" ht="15">
      <c r="AA9141" s="463" t="s">
        <v>1320</v>
      </c>
      <c r="AB9141" s="462" t="s">
        <v>25941</v>
      </c>
      <c r="AC9141" s="462" t="s">
        <v>25942</v>
      </c>
      <c r="AD9141" s="464">
        <v>5098.5605400000004</v>
      </c>
      <c r="AE9141" s="465">
        <v>205.15662</v>
      </c>
      <c r="AF9141" s="86">
        <f>IF(verze!$E$1="CZK",AD9141,IF(verze!$E$1="SK",AE9141,""))</f>
        <v>205.15662</v>
      </c>
    </row>
    <row r="9142" spans="27:32" ht="15">
      <c r="AA9142" s="463" t="s">
        <v>1320</v>
      </c>
      <c r="AB9142" s="462" t="s">
        <v>25943</v>
      </c>
      <c r="AC9142" s="462" t="s">
        <v>25944</v>
      </c>
      <c r="AD9142" s="464">
        <v>2432.5568899999998</v>
      </c>
      <c r="AE9142" s="465">
        <v>98.246790000000004</v>
      </c>
      <c r="AF9142" s="86">
        <f>IF(verze!$E$1="CZK",AD9142,IF(verze!$E$1="SK",AE9142,""))</f>
        <v>98.246790000000004</v>
      </c>
    </row>
    <row r="9143" spans="27:32" ht="15">
      <c r="AA9143" s="463" t="s">
        <v>1320</v>
      </c>
      <c r="AB9143" s="462" t="s">
        <v>25945</v>
      </c>
      <c r="AC9143" s="462" t="s">
        <v>25946</v>
      </c>
      <c r="AD9143" s="464">
        <v>2432.5568899999998</v>
      </c>
      <c r="AE9143" s="465">
        <v>98.246790000000004</v>
      </c>
      <c r="AF9143" s="86">
        <f>IF(verze!$E$1="CZK",AD9143,IF(verze!$E$1="SK",AE9143,""))</f>
        <v>98.246790000000004</v>
      </c>
    </row>
    <row r="9144" spans="27:32" ht="15">
      <c r="AA9144" s="463" t="s">
        <v>1320</v>
      </c>
      <c r="AB9144" s="462" t="s">
        <v>25947</v>
      </c>
      <c r="AC9144" s="462" t="s">
        <v>25948</v>
      </c>
      <c r="AD9144" s="464">
        <v>2148.1071999999999</v>
      </c>
      <c r="AE9144" s="465">
        <v>86.758319999999998</v>
      </c>
      <c r="AF9144" s="86">
        <f>IF(verze!$E$1="CZK",AD9144,IF(verze!$E$1="SK",AE9144,""))</f>
        <v>86.758319999999998</v>
      </c>
    </row>
    <row r="9145" spans="27:32" ht="15">
      <c r="AA9145" s="463" t="s">
        <v>1320</v>
      </c>
      <c r="AB9145" s="462" t="s">
        <v>25949</v>
      </c>
      <c r="AC9145" s="462" t="s">
        <v>25950</v>
      </c>
      <c r="AD9145" s="464">
        <v>2432.5568899999998</v>
      </c>
      <c r="AE9145" s="465">
        <v>98.246790000000004</v>
      </c>
      <c r="AF9145" s="86">
        <f>IF(verze!$E$1="CZK",AD9145,IF(verze!$E$1="SK",AE9145,""))</f>
        <v>98.246790000000004</v>
      </c>
    </row>
    <row r="9146" spans="27:32" ht="15">
      <c r="AA9146" s="463" t="s">
        <v>1320</v>
      </c>
      <c r="AB9146" s="462" t="s">
        <v>25951</v>
      </c>
      <c r="AC9146" s="462" t="s">
        <v>25952</v>
      </c>
      <c r="AD9146" s="464">
        <v>2432.5568899999998</v>
      </c>
      <c r="AE9146" s="465">
        <v>98.246790000000004</v>
      </c>
      <c r="AF9146" s="86">
        <f>IF(verze!$E$1="CZK",AD9146,IF(verze!$E$1="SK",AE9146,""))</f>
        <v>98.246790000000004</v>
      </c>
    </row>
    <row r="9147" spans="27:32" ht="15">
      <c r="AA9147" s="463" t="s">
        <v>1320</v>
      </c>
      <c r="AB9147" s="462" t="s">
        <v>25953</v>
      </c>
      <c r="AC9147" s="462" t="s">
        <v>25954</v>
      </c>
      <c r="AD9147" s="464">
        <v>2148.1071999999999</v>
      </c>
      <c r="AE9147" s="465">
        <v>86.758319999999998</v>
      </c>
      <c r="AF9147" s="86">
        <f>IF(verze!$E$1="CZK",AD9147,IF(verze!$E$1="SK",AE9147,""))</f>
        <v>86.758319999999998</v>
      </c>
    </row>
    <row r="9148" spans="27:32" ht="15">
      <c r="AA9148" s="463" t="s">
        <v>1320</v>
      </c>
      <c r="AB9148" s="462" t="s">
        <v>25955</v>
      </c>
      <c r="AC9148" s="462" t="s">
        <v>25956</v>
      </c>
      <c r="AD9148" s="464">
        <v>2652.1309299999998</v>
      </c>
      <c r="AE9148" s="465">
        <v>106.84809</v>
      </c>
      <c r="AF9148" s="86">
        <f>IF(verze!$E$1="CZK",AD9148,IF(verze!$E$1="SK",AE9148,""))</f>
        <v>106.84809</v>
      </c>
    </row>
    <row r="9149" spans="27:32" ht="15">
      <c r="AA9149" s="463" t="s">
        <v>1320</v>
      </c>
      <c r="AB9149" s="462" t="s">
        <v>25957</v>
      </c>
      <c r="AC9149" s="462" t="s">
        <v>25958</v>
      </c>
      <c r="AD9149" s="464">
        <v>2652.1309299999998</v>
      </c>
      <c r="AE9149" s="465">
        <v>106.84809</v>
      </c>
      <c r="AF9149" s="86">
        <f>IF(verze!$E$1="CZK",AD9149,IF(verze!$E$1="SK",AE9149,""))</f>
        <v>106.84809</v>
      </c>
    </row>
    <row r="9150" spans="27:32" ht="15">
      <c r="AA9150" s="463" t="s">
        <v>1320</v>
      </c>
      <c r="AB9150" s="462" t="s">
        <v>25959</v>
      </c>
      <c r="AC9150" s="462" t="s">
        <v>25960</v>
      </c>
      <c r="AD9150" s="464">
        <v>2381.7416800000001</v>
      </c>
      <c r="AE9150" s="465">
        <v>95.927530000000004</v>
      </c>
      <c r="AF9150" s="86">
        <f>IF(verze!$E$1="CZK",AD9150,IF(verze!$E$1="SK",AE9150,""))</f>
        <v>95.927530000000004</v>
      </c>
    </row>
    <row r="9151" spans="27:32" ht="15">
      <c r="AA9151" s="463" t="s">
        <v>1320</v>
      </c>
      <c r="AB9151" s="462" t="s">
        <v>25961</v>
      </c>
      <c r="AC9151" s="462" t="s">
        <v>25962</v>
      </c>
      <c r="AD9151" s="464">
        <v>0</v>
      </c>
      <c r="AE9151" s="465">
        <v>0</v>
      </c>
      <c r="AF9151" s="86">
        <f>IF(verze!$E$1="CZK",AD9151,IF(verze!$E$1="SK",AE9151,""))</f>
        <v>0</v>
      </c>
    </row>
    <row r="9152" spans="27:32" ht="15">
      <c r="AA9152" s="463" t="s">
        <v>1320</v>
      </c>
      <c r="AB9152" s="462" t="s">
        <v>25963</v>
      </c>
      <c r="AC9152" s="462" t="s">
        <v>25964</v>
      </c>
      <c r="AD9152" s="464">
        <v>2652.1309299999998</v>
      </c>
      <c r="AE9152" s="465">
        <v>106.84809</v>
      </c>
      <c r="AF9152" s="86">
        <f>IF(verze!$E$1="CZK",AD9152,IF(verze!$E$1="SK",AE9152,""))</f>
        <v>106.84809</v>
      </c>
    </row>
    <row r="9153" spans="27:32" ht="15">
      <c r="AA9153" s="463" t="s">
        <v>1320</v>
      </c>
      <c r="AB9153" s="462" t="s">
        <v>25965</v>
      </c>
      <c r="AC9153" s="462" t="s">
        <v>25966</v>
      </c>
      <c r="AD9153" s="464">
        <v>2381.7416800000001</v>
      </c>
      <c r="AE9153" s="465">
        <v>95.927530000000004</v>
      </c>
      <c r="AF9153" s="86">
        <f>IF(verze!$E$1="CZK",AD9153,IF(verze!$E$1="SK",AE9153,""))</f>
        <v>95.927530000000004</v>
      </c>
    </row>
    <row r="9154" spans="27:32" ht="15">
      <c r="AA9154" s="463" t="s">
        <v>1320</v>
      </c>
      <c r="AB9154" s="462" t="s">
        <v>25967</v>
      </c>
      <c r="AC9154" s="462" t="s">
        <v>25968</v>
      </c>
      <c r="AD9154" s="464">
        <v>2635.7505999999998</v>
      </c>
      <c r="AE9154" s="465">
        <v>106.19828</v>
      </c>
      <c r="AF9154" s="86">
        <f>IF(verze!$E$1="CZK",AD9154,IF(verze!$E$1="SK",AE9154,""))</f>
        <v>106.19828</v>
      </c>
    </row>
    <row r="9155" spans="27:32" ht="15">
      <c r="AA9155" s="463" t="s">
        <v>1320</v>
      </c>
      <c r="AB9155" s="462" t="s">
        <v>25969</v>
      </c>
      <c r="AC9155" s="462" t="s">
        <v>25970</v>
      </c>
      <c r="AD9155" s="464">
        <v>2635.7505999999998</v>
      </c>
      <c r="AE9155" s="465">
        <v>106.19828</v>
      </c>
      <c r="AF9155" s="86">
        <f>IF(verze!$E$1="CZK",AD9155,IF(verze!$E$1="SK",AE9155,""))</f>
        <v>106.19828</v>
      </c>
    </row>
    <row r="9156" spans="27:32" ht="15">
      <c r="AA9156" s="463" t="s">
        <v>1320</v>
      </c>
      <c r="AB9156" s="462" t="s">
        <v>25971</v>
      </c>
      <c r="AC9156" s="462" t="s">
        <v>25972</v>
      </c>
      <c r="AD9156" s="464">
        <v>2365.3613500000001</v>
      </c>
      <c r="AE9156" s="465">
        <v>95.277720000000002</v>
      </c>
      <c r="AF9156" s="86">
        <f>IF(verze!$E$1="CZK",AD9156,IF(verze!$E$1="SK",AE9156,""))</f>
        <v>95.277720000000002</v>
      </c>
    </row>
    <row r="9157" spans="27:32" ht="15">
      <c r="AA9157" s="463" t="s">
        <v>1320</v>
      </c>
      <c r="AB9157" s="462" t="s">
        <v>25973</v>
      </c>
      <c r="AC9157" s="462" t="s">
        <v>25974</v>
      </c>
      <c r="AD9157" s="464">
        <v>2635.7505999999998</v>
      </c>
      <c r="AE9157" s="465">
        <v>106.19828</v>
      </c>
      <c r="AF9157" s="86">
        <f>IF(verze!$E$1="CZK",AD9157,IF(verze!$E$1="SK",AE9157,""))</f>
        <v>106.19828</v>
      </c>
    </row>
    <row r="9158" spans="27:32" ht="15">
      <c r="AA9158" s="463" t="s">
        <v>1320</v>
      </c>
      <c r="AB9158" s="462" t="s">
        <v>25975</v>
      </c>
      <c r="AC9158" s="462" t="s">
        <v>25976</v>
      </c>
      <c r="AD9158" s="464">
        <v>2635.7505999999998</v>
      </c>
      <c r="AE9158" s="465">
        <v>106.19828</v>
      </c>
      <c r="AF9158" s="86">
        <f>IF(verze!$E$1="CZK",AD9158,IF(verze!$E$1="SK",AE9158,""))</f>
        <v>106.19828</v>
      </c>
    </row>
    <row r="9159" spans="27:32" ht="15">
      <c r="AA9159" s="463" t="s">
        <v>1320</v>
      </c>
      <c r="AB9159" s="462" t="s">
        <v>25977</v>
      </c>
      <c r="AC9159" s="462" t="s">
        <v>25978</v>
      </c>
      <c r="AD9159" s="464">
        <v>2365.3613500000001</v>
      </c>
      <c r="AE9159" s="465">
        <v>95.277720000000002</v>
      </c>
      <c r="AF9159" s="86">
        <f>IF(verze!$E$1="CZK",AD9159,IF(verze!$E$1="SK",AE9159,""))</f>
        <v>95.277720000000002</v>
      </c>
    </row>
    <row r="9160" spans="27:32" ht="15">
      <c r="AA9160" s="463" t="s">
        <v>1320</v>
      </c>
      <c r="AB9160" s="462" t="s">
        <v>25979</v>
      </c>
      <c r="AC9160" s="462" t="s">
        <v>25980</v>
      </c>
      <c r="AD9160" s="464">
        <v>4877.9984299999996</v>
      </c>
      <c r="AE9160" s="465">
        <v>197.01401999999999</v>
      </c>
      <c r="AF9160" s="86">
        <f>IF(verze!$E$1="CZK",AD9160,IF(verze!$E$1="SK",AE9160,""))</f>
        <v>197.01401999999999</v>
      </c>
    </row>
    <row r="9161" spans="27:32" ht="15">
      <c r="AA9161" s="463" t="s">
        <v>1320</v>
      </c>
      <c r="AB9161" s="462" t="s">
        <v>25981</v>
      </c>
      <c r="AC9161" s="462" t="s">
        <v>25982</v>
      </c>
      <c r="AD9161" s="464">
        <v>4877.9984299999996</v>
      </c>
      <c r="AE9161" s="465">
        <v>197.01401999999999</v>
      </c>
      <c r="AF9161" s="86">
        <f>IF(verze!$E$1="CZK",AD9161,IF(verze!$E$1="SK",AE9161,""))</f>
        <v>197.01401999999999</v>
      </c>
    </row>
    <row r="9162" spans="27:32" ht="15">
      <c r="AA9162" s="463" t="s">
        <v>1320</v>
      </c>
      <c r="AB9162" s="462" t="s">
        <v>25983</v>
      </c>
      <c r="AC9162" s="462" t="s">
        <v>25984</v>
      </c>
      <c r="AD9162" s="464">
        <v>4306.0971600000003</v>
      </c>
      <c r="AE9162" s="465">
        <v>173.91578000000001</v>
      </c>
      <c r="AF9162" s="86">
        <f>IF(verze!$E$1="CZK",AD9162,IF(verze!$E$1="SK",AE9162,""))</f>
        <v>173.91578000000001</v>
      </c>
    </row>
    <row r="9163" spans="27:32" ht="15">
      <c r="AA9163" s="463" t="s">
        <v>1320</v>
      </c>
      <c r="AB9163" s="462" t="s">
        <v>25985</v>
      </c>
      <c r="AC9163" s="462" t="s">
        <v>25986</v>
      </c>
      <c r="AD9163" s="464">
        <v>5317.1465099999996</v>
      </c>
      <c r="AE9163" s="465">
        <v>214.21662000000001</v>
      </c>
      <c r="AF9163" s="86">
        <f>IF(verze!$E$1="CZK",AD9163,IF(verze!$E$1="SK",AE9163,""))</f>
        <v>214.21662000000001</v>
      </c>
    </row>
    <row r="9164" spans="27:32" ht="15">
      <c r="AA9164" s="463" t="s">
        <v>1320</v>
      </c>
      <c r="AB9164" s="462" t="s">
        <v>25987</v>
      </c>
      <c r="AC9164" s="462" t="s">
        <v>25988</v>
      </c>
      <c r="AD9164" s="464">
        <v>5317.1465099999996</v>
      </c>
      <c r="AE9164" s="465">
        <v>214.21662000000001</v>
      </c>
      <c r="AF9164" s="86">
        <f>IF(verze!$E$1="CZK",AD9164,IF(verze!$E$1="SK",AE9164,""))</f>
        <v>214.21662000000001</v>
      </c>
    </row>
    <row r="9165" spans="27:32" ht="15">
      <c r="AA9165" s="463" t="s">
        <v>1320</v>
      </c>
      <c r="AB9165" s="462" t="s">
        <v>25989</v>
      </c>
      <c r="AC9165" s="462" t="s">
        <v>25990</v>
      </c>
      <c r="AD9165" s="464">
        <v>4773.3661199999997</v>
      </c>
      <c r="AE9165" s="465">
        <v>192.2542</v>
      </c>
      <c r="AF9165" s="86">
        <f>IF(verze!$E$1="CZK",AD9165,IF(verze!$E$1="SK",AE9165,""))</f>
        <v>192.2542</v>
      </c>
    </row>
    <row r="9166" spans="27:32" ht="15">
      <c r="AA9166" s="463" t="s">
        <v>1320</v>
      </c>
      <c r="AB9166" s="462" t="s">
        <v>25991</v>
      </c>
      <c r="AC9166" s="462" t="s">
        <v>25992</v>
      </c>
      <c r="AD9166" s="464">
        <v>5284.3858499999997</v>
      </c>
      <c r="AE9166" s="465">
        <v>212.917</v>
      </c>
      <c r="AF9166" s="86">
        <f>IF(verze!$E$1="CZK",AD9166,IF(verze!$E$1="SK",AE9166,""))</f>
        <v>212.917</v>
      </c>
    </row>
    <row r="9167" spans="27:32" ht="15">
      <c r="AA9167" s="463" t="s">
        <v>1320</v>
      </c>
      <c r="AB9167" s="462" t="s">
        <v>25993</v>
      </c>
      <c r="AC9167" s="462" t="s">
        <v>25994</v>
      </c>
      <c r="AD9167" s="464">
        <v>5284.3858499999997</v>
      </c>
      <c r="AE9167" s="465">
        <v>212.917</v>
      </c>
      <c r="AF9167" s="86">
        <f>IF(verze!$E$1="CZK",AD9167,IF(verze!$E$1="SK",AE9167,""))</f>
        <v>212.917</v>
      </c>
    </row>
    <row r="9168" spans="27:32" ht="15">
      <c r="AA9168" s="463" t="s">
        <v>1320</v>
      </c>
      <c r="AB9168" s="462" t="s">
        <v>25995</v>
      </c>
      <c r="AC9168" s="462" t="s">
        <v>25996</v>
      </c>
      <c r="AD9168" s="464">
        <v>4740.6054599999998</v>
      </c>
      <c r="AE9168" s="465">
        <v>190.95457999999999</v>
      </c>
      <c r="AF9168" s="86">
        <f>IF(verze!$E$1="CZK",AD9168,IF(verze!$E$1="SK",AE9168,""))</f>
        <v>190.95457999999999</v>
      </c>
    </row>
    <row r="9169" spans="27:32" ht="15">
      <c r="AA9169" s="463" t="s">
        <v>1320</v>
      </c>
      <c r="AB9169" s="462" t="s">
        <v>25997</v>
      </c>
      <c r="AC9169" s="462" t="s">
        <v>25998</v>
      </c>
      <c r="AD9169" s="464">
        <v>2509.96461</v>
      </c>
      <c r="AE9169" s="465">
        <v>101.37309</v>
      </c>
      <c r="AF9169" s="86">
        <f>IF(verze!$E$1="CZK",AD9169,IF(verze!$E$1="SK",AE9169,""))</f>
        <v>101.37309</v>
      </c>
    </row>
    <row r="9170" spans="27:32" ht="15">
      <c r="AA9170" s="463" t="s">
        <v>1320</v>
      </c>
      <c r="AB9170" s="462" t="s">
        <v>25999</v>
      </c>
      <c r="AC9170" s="462" t="s">
        <v>26000</v>
      </c>
      <c r="AD9170" s="464">
        <v>2509.96461</v>
      </c>
      <c r="AE9170" s="465">
        <v>101.37309</v>
      </c>
      <c r="AF9170" s="86">
        <f>IF(verze!$E$1="CZK",AD9170,IF(verze!$E$1="SK",AE9170,""))</f>
        <v>101.37309</v>
      </c>
    </row>
    <row r="9171" spans="27:32" ht="15">
      <c r="AA9171" s="463" t="s">
        <v>1320</v>
      </c>
      <c r="AB9171" s="462" t="s">
        <v>26001</v>
      </c>
      <c r="AC9171" s="462" t="s">
        <v>26002</v>
      </c>
      <c r="AD9171" s="464">
        <v>2218.4646899999998</v>
      </c>
      <c r="AE9171" s="465">
        <v>89.599909999999994</v>
      </c>
      <c r="AF9171" s="86">
        <f>IF(verze!$E$1="CZK",AD9171,IF(verze!$E$1="SK",AE9171,""))</f>
        <v>89.599909999999994</v>
      </c>
    </row>
    <row r="9172" spans="27:32" ht="15">
      <c r="AA9172" s="463" t="s">
        <v>1320</v>
      </c>
      <c r="AB9172" s="462" t="s">
        <v>26003</v>
      </c>
      <c r="AC9172" s="462" t="s">
        <v>26004</v>
      </c>
      <c r="AD9172" s="464">
        <v>2509.96461</v>
      </c>
      <c r="AE9172" s="465">
        <v>101.37309</v>
      </c>
      <c r="AF9172" s="86">
        <f>IF(verze!$E$1="CZK",AD9172,IF(verze!$E$1="SK",AE9172,""))</f>
        <v>101.37309</v>
      </c>
    </row>
    <row r="9173" spans="27:32" ht="15">
      <c r="AA9173" s="463" t="s">
        <v>1320</v>
      </c>
      <c r="AB9173" s="462" t="s">
        <v>26005</v>
      </c>
      <c r="AC9173" s="462" t="s">
        <v>26006</v>
      </c>
      <c r="AD9173" s="464">
        <v>2509.96461</v>
      </c>
      <c r="AE9173" s="465">
        <v>101.37309</v>
      </c>
      <c r="AF9173" s="86">
        <f>IF(verze!$E$1="CZK",AD9173,IF(verze!$E$1="SK",AE9173,""))</f>
        <v>101.37309</v>
      </c>
    </row>
    <row r="9174" spans="27:32" ht="15">
      <c r="AA9174" s="463" t="s">
        <v>1320</v>
      </c>
      <c r="AB9174" s="462" t="s">
        <v>26007</v>
      </c>
      <c r="AC9174" s="462" t="s">
        <v>26008</v>
      </c>
      <c r="AD9174" s="464">
        <v>2218.4646899999998</v>
      </c>
      <c r="AE9174" s="465">
        <v>89.599909999999994</v>
      </c>
      <c r="AF9174" s="86">
        <f>IF(verze!$E$1="CZK",AD9174,IF(verze!$E$1="SK",AE9174,""))</f>
        <v>89.599909999999994</v>
      </c>
    </row>
    <row r="9175" spans="27:32" ht="15">
      <c r="AA9175" s="463" t="s">
        <v>1320</v>
      </c>
      <c r="AB9175" s="462" t="s">
        <v>26009</v>
      </c>
      <c r="AC9175" s="462" t="s">
        <v>26010</v>
      </c>
      <c r="AD9175" s="464">
        <v>2839.2964000000002</v>
      </c>
      <c r="AE9175" s="465">
        <v>114.27397999999999</v>
      </c>
      <c r="AF9175" s="86">
        <f>IF(verze!$E$1="CZK",AD9175,IF(verze!$E$1="SK",AE9175,""))</f>
        <v>114.27397999999999</v>
      </c>
    </row>
    <row r="9176" spans="27:32" ht="15">
      <c r="AA9176" s="463" t="s">
        <v>1320</v>
      </c>
      <c r="AB9176" s="462" t="s">
        <v>26011</v>
      </c>
      <c r="AC9176" s="462" t="s">
        <v>26012</v>
      </c>
      <c r="AD9176" s="464">
        <v>2839.2964000000002</v>
      </c>
      <c r="AE9176" s="465">
        <v>114.27397999999999</v>
      </c>
      <c r="AF9176" s="86">
        <f>IF(verze!$E$1="CZK",AD9176,IF(verze!$E$1="SK",AE9176,""))</f>
        <v>114.27397999999999</v>
      </c>
    </row>
    <row r="9177" spans="27:32" ht="15">
      <c r="AA9177" s="463" t="s">
        <v>1320</v>
      </c>
      <c r="AB9177" s="462" t="s">
        <v>26013</v>
      </c>
      <c r="AC9177" s="462" t="s">
        <v>26014</v>
      </c>
      <c r="AD9177" s="464">
        <v>2568.90715</v>
      </c>
      <c r="AE9177" s="465">
        <v>103.35342</v>
      </c>
      <c r="AF9177" s="86">
        <f>IF(verze!$E$1="CZK",AD9177,IF(verze!$E$1="SK",AE9177,""))</f>
        <v>103.35342</v>
      </c>
    </row>
    <row r="9178" spans="27:32" ht="15">
      <c r="AA9178" s="463" t="s">
        <v>1320</v>
      </c>
      <c r="AB9178" s="462" t="s">
        <v>26015</v>
      </c>
      <c r="AC9178" s="462" t="s">
        <v>26016</v>
      </c>
      <c r="AD9178" s="464">
        <v>2839.2964000000002</v>
      </c>
      <c r="AE9178" s="465">
        <v>114.27397999999999</v>
      </c>
      <c r="AF9178" s="86">
        <f>IF(verze!$E$1="CZK",AD9178,IF(verze!$E$1="SK",AE9178,""))</f>
        <v>114.27397999999999</v>
      </c>
    </row>
    <row r="9179" spans="27:32" ht="15">
      <c r="AA9179" s="463" t="s">
        <v>1320</v>
      </c>
      <c r="AB9179" s="462" t="s">
        <v>26017</v>
      </c>
      <c r="AC9179" s="462" t="s">
        <v>26018</v>
      </c>
      <c r="AD9179" s="464">
        <v>2839.2964000000002</v>
      </c>
      <c r="AE9179" s="465">
        <v>114.27397999999999</v>
      </c>
      <c r="AF9179" s="86">
        <f>IF(verze!$E$1="CZK",AD9179,IF(verze!$E$1="SK",AE9179,""))</f>
        <v>114.27397999999999</v>
      </c>
    </row>
    <row r="9180" spans="27:32" ht="15">
      <c r="AA9180" s="463" t="s">
        <v>1320</v>
      </c>
      <c r="AB9180" s="462" t="s">
        <v>26019</v>
      </c>
      <c r="AC9180" s="462" t="s">
        <v>26020</v>
      </c>
      <c r="AD9180" s="464">
        <v>2568.90715</v>
      </c>
      <c r="AE9180" s="465">
        <v>103.35342</v>
      </c>
      <c r="AF9180" s="86">
        <f>IF(verze!$E$1="CZK",AD9180,IF(verze!$E$1="SK",AE9180,""))</f>
        <v>103.35342</v>
      </c>
    </row>
    <row r="9181" spans="27:32" ht="15">
      <c r="AA9181" s="463" t="s">
        <v>1320</v>
      </c>
      <c r="AB9181" s="462" t="s">
        <v>26021</v>
      </c>
      <c r="AC9181" s="462" t="s">
        <v>26022</v>
      </c>
      <c r="AD9181" s="464">
        <v>2814.7281400000002</v>
      </c>
      <c r="AE9181" s="465">
        <v>113.2993</v>
      </c>
      <c r="AF9181" s="86">
        <f>IF(verze!$E$1="CZK",AD9181,IF(verze!$E$1="SK",AE9181,""))</f>
        <v>113.2993</v>
      </c>
    </row>
    <row r="9182" spans="27:32" ht="15">
      <c r="AA9182" s="463" t="s">
        <v>1320</v>
      </c>
      <c r="AB9182" s="462" t="s">
        <v>26023</v>
      </c>
      <c r="AC9182" s="462" t="s">
        <v>26024</v>
      </c>
      <c r="AD9182" s="464">
        <v>2814.7281400000002</v>
      </c>
      <c r="AE9182" s="465">
        <v>113.2993</v>
      </c>
      <c r="AF9182" s="86">
        <f>IF(verze!$E$1="CZK",AD9182,IF(verze!$E$1="SK",AE9182,""))</f>
        <v>113.2993</v>
      </c>
    </row>
    <row r="9183" spans="27:32" ht="15">
      <c r="AA9183" s="463" t="s">
        <v>1320</v>
      </c>
      <c r="AB9183" s="462" t="s">
        <v>26025</v>
      </c>
      <c r="AC9183" s="462" t="s">
        <v>26026</v>
      </c>
      <c r="AD9183" s="464">
        <v>2544.33889</v>
      </c>
      <c r="AE9183" s="465">
        <v>102.37873999999999</v>
      </c>
      <c r="AF9183" s="86">
        <f>IF(verze!$E$1="CZK",AD9183,IF(verze!$E$1="SK",AE9183,""))</f>
        <v>102.37873999999999</v>
      </c>
    </row>
    <row r="9184" spans="27:32" ht="15">
      <c r="AA9184" s="463" t="s">
        <v>1320</v>
      </c>
      <c r="AB9184" s="462" t="s">
        <v>26027</v>
      </c>
      <c r="AC9184" s="462" t="s">
        <v>26028</v>
      </c>
      <c r="AD9184" s="464">
        <v>2814.7281400000002</v>
      </c>
      <c r="AE9184" s="465">
        <v>113.2993</v>
      </c>
      <c r="AF9184" s="86">
        <f>IF(verze!$E$1="CZK",AD9184,IF(verze!$E$1="SK",AE9184,""))</f>
        <v>113.2993</v>
      </c>
    </row>
    <row r="9185" spans="27:32" ht="15">
      <c r="AA9185" s="463" t="s">
        <v>1320</v>
      </c>
      <c r="AB9185" s="462" t="s">
        <v>26029</v>
      </c>
      <c r="AC9185" s="462" t="s">
        <v>26030</v>
      </c>
      <c r="AD9185" s="464">
        <v>2814.7281400000002</v>
      </c>
      <c r="AE9185" s="465">
        <v>113.2993</v>
      </c>
      <c r="AF9185" s="86">
        <f>IF(verze!$E$1="CZK",AD9185,IF(verze!$E$1="SK",AE9185,""))</f>
        <v>113.2993</v>
      </c>
    </row>
    <row r="9186" spans="27:32" ht="15">
      <c r="AA9186" s="463" t="s">
        <v>1320</v>
      </c>
      <c r="AB9186" s="462" t="s">
        <v>26031</v>
      </c>
      <c r="AC9186" s="462" t="s">
        <v>26032</v>
      </c>
      <c r="AD9186" s="464">
        <v>2544.33889</v>
      </c>
      <c r="AE9186" s="465">
        <v>102.37873999999999</v>
      </c>
      <c r="AF9186" s="86">
        <f>IF(verze!$E$1="CZK",AD9186,IF(verze!$E$1="SK",AE9186,""))</f>
        <v>102.37873999999999</v>
      </c>
    </row>
    <row r="9187" spans="27:32" ht="15">
      <c r="AA9187" s="463" t="s">
        <v>1320</v>
      </c>
      <c r="AB9187" s="462" t="s">
        <v>26033</v>
      </c>
      <c r="AC9187" s="462" t="s">
        <v>26034</v>
      </c>
      <c r="AD9187" s="464">
        <v>4705.6731499999996</v>
      </c>
      <c r="AE9187" s="465">
        <v>190.05412000000001</v>
      </c>
      <c r="AF9187" s="86">
        <f>IF(verze!$E$1="CZK",AD9187,IF(verze!$E$1="SK",AE9187,""))</f>
        <v>190.05412000000001</v>
      </c>
    </row>
    <row r="9188" spans="27:32" ht="15">
      <c r="AA9188" s="463" t="s">
        <v>1320</v>
      </c>
      <c r="AB9188" s="462" t="s">
        <v>26035</v>
      </c>
      <c r="AC9188" s="462" t="s">
        <v>26036</v>
      </c>
      <c r="AD9188" s="464">
        <v>4705.6731499999996</v>
      </c>
      <c r="AE9188" s="465">
        <v>190.05412000000001</v>
      </c>
      <c r="AF9188" s="86">
        <f>IF(verze!$E$1="CZK",AD9188,IF(verze!$E$1="SK",AE9188,""))</f>
        <v>190.05412000000001</v>
      </c>
    </row>
    <row r="9189" spans="27:32" ht="15">
      <c r="AA9189" s="463" t="s">
        <v>1320</v>
      </c>
      <c r="AB9189" s="462" t="s">
        <v>26037</v>
      </c>
      <c r="AC9189" s="462" t="s">
        <v>26038</v>
      </c>
      <c r="AD9189" s="464">
        <v>4195.33115</v>
      </c>
      <c r="AE9189" s="465">
        <v>169.44210000000001</v>
      </c>
      <c r="AF9189" s="86">
        <f>IF(verze!$E$1="CZK",AD9189,IF(verze!$E$1="SK",AE9189,""))</f>
        <v>169.44210000000001</v>
      </c>
    </row>
    <row r="9190" spans="27:32" ht="15">
      <c r="AA9190" s="463" t="s">
        <v>1320</v>
      </c>
      <c r="AB9190" s="462" t="s">
        <v>26039</v>
      </c>
      <c r="AC9190" s="462" t="s">
        <v>26040</v>
      </c>
      <c r="AD9190" s="464">
        <v>5144.8212299999996</v>
      </c>
      <c r="AE9190" s="465">
        <v>207.25672</v>
      </c>
      <c r="AF9190" s="86">
        <f>IF(verze!$E$1="CZK",AD9190,IF(verze!$E$1="SK",AE9190,""))</f>
        <v>207.25672</v>
      </c>
    </row>
    <row r="9191" spans="27:32" ht="15">
      <c r="AA9191" s="463" t="s">
        <v>1320</v>
      </c>
      <c r="AB9191" s="462" t="s">
        <v>26041</v>
      </c>
      <c r="AC9191" s="462" t="s">
        <v>26042</v>
      </c>
      <c r="AD9191" s="464">
        <v>5144.8212299999996</v>
      </c>
      <c r="AE9191" s="465">
        <v>207.25672</v>
      </c>
      <c r="AF9191" s="86">
        <f>IF(verze!$E$1="CZK",AD9191,IF(verze!$E$1="SK",AE9191,""))</f>
        <v>207.25672</v>
      </c>
    </row>
    <row r="9192" spans="27:32" ht="15">
      <c r="AA9192" s="463" t="s">
        <v>1320</v>
      </c>
      <c r="AB9192" s="462" t="s">
        <v>26043</v>
      </c>
      <c r="AC9192" s="462" t="s">
        <v>26044</v>
      </c>
      <c r="AD9192" s="464">
        <v>4662.6001100000003</v>
      </c>
      <c r="AE9192" s="465">
        <v>187.78052</v>
      </c>
      <c r="AF9192" s="86">
        <f>IF(verze!$E$1="CZK",AD9192,IF(verze!$E$1="SK",AE9192,""))</f>
        <v>187.78052</v>
      </c>
    </row>
    <row r="9193" spans="27:32" ht="15">
      <c r="AA9193" s="463" t="s">
        <v>1320</v>
      </c>
      <c r="AB9193" s="462" t="s">
        <v>26045</v>
      </c>
      <c r="AC9193" s="462" t="s">
        <v>26046</v>
      </c>
      <c r="AD9193" s="464">
        <v>5112.0605699999996</v>
      </c>
      <c r="AE9193" s="465">
        <v>205.9571</v>
      </c>
      <c r="AF9193" s="86">
        <f>IF(verze!$E$1="CZK",AD9193,IF(verze!$E$1="SK",AE9193,""))</f>
        <v>205.9571</v>
      </c>
    </row>
    <row r="9194" spans="27:32" ht="15">
      <c r="AA9194" s="463" t="s">
        <v>1320</v>
      </c>
      <c r="AB9194" s="462" t="s">
        <v>26047</v>
      </c>
      <c r="AC9194" s="462" t="s">
        <v>26048</v>
      </c>
      <c r="AD9194" s="464">
        <v>5112.0605699999996</v>
      </c>
      <c r="AE9194" s="465">
        <v>205.9571</v>
      </c>
      <c r="AF9194" s="86">
        <f>IF(verze!$E$1="CZK",AD9194,IF(verze!$E$1="SK",AE9194,""))</f>
        <v>205.9571</v>
      </c>
    </row>
    <row r="9195" spans="27:32" ht="15">
      <c r="AA9195" s="463" t="s">
        <v>1320</v>
      </c>
      <c r="AB9195" s="462" t="s">
        <v>26049</v>
      </c>
      <c r="AC9195" s="462" t="s">
        <v>26050</v>
      </c>
      <c r="AD9195" s="464">
        <v>4629.8394500000004</v>
      </c>
      <c r="AE9195" s="465">
        <v>186.48089999999999</v>
      </c>
      <c r="AF9195" s="86">
        <f>IF(verze!$E$1="CZK",AD9195,IF(verze!$E$1="SK",AE9195,""))</f>
        <v>186.48089999999999</v>
      </c>
    </row>
    <row r="9196" spans="27:32" ht="15">
      <c r="AA9196" s="463" t="s">
        <v>1320</v>
      </c>
      <c r="AB9196" s="462" t="s">
        <v>26051</v>
      </c>
      <c r="AC9196" s="462" t="s">
        <v>26052</v>
      </c>
      <c r="AD9196" s="464">
        <v>5548.59141</v>
      </c>
      <c r="AE9196" s="465">
        <v>224.09818000000001</v>
      </c>
      <c r="AF9196" s="86">
        <f>IF(verze!$E$1="CZK",AD9196,IF(verze!$E$1="SK",AE9196,""))</f>
        <v>224.09818000000001</v>
      </c>
    </row>
    <row r="9197" spans="27:32" ht="15">
      <c r="AA9197" s="463" t="s">
        <v>1320</v>
      </c>
      <c r="AB9197" s="462" t="s">
        <v>26053</v>
      </c>
      <c r="AC9197" s="462" t="s">
        <v>26054</v>
      </c>
      <c r="AD9197" s="464">
        <v>5548.59141</v>
      </c>
      <c r="AE9197" s="465">
        <v>224.09818000000001</v>
      </c>
      <c r="AF9197" s="86">
        <f>IF(verze!$E$1="CZK",AD9197,IF(verze!$E$1="SK",AE9197,""))</f>
        <v>224.09818000000001</v>
      </c>
    </row>
    <row r="9198" spans="27:32" ht="15">
      <c r="AA9198" s="463" t="s">
        <v>1320</v>
      </c>
      <c r="AB9198" s="462" t="s">
        <v>26055</v>
      </c>
      <c r="AC9198" s="462" t="s">
        <v>26056</v>
      </c>
      <c r="AD9198" s="464">
        <v>4885.6629700000003</v>
      </c>
      <c r="AE9198" s="465">
        <v>197.32343</v>
      </c>
      <c r="AF9198" s="86">
        <f>IF(verze!$E$1="CZK",AD9198,IF(verze!$E$1="SK",AE9198,""))</f>
        <v>197.32343</v>
      </c>
    </row>
    <row r="9199" spans="27:32" ht="15">
      <c r="AA9199" s="463" t="s">
        <v>1320</v>
      </c>
      <c r="AB9199" s="462" t="s">
        <v>26057</v>
      </c>
      <c r="AC9199" s="462" t="s">
        <v>26058</v>
      </c>
      <c r="AD9199" s="464">
        <v>6426.8875699999999</v>
      </c>
      <c r="AE9199" s="465">
        <v>258.50337999999999</v>
      </c>
      <c r="AF9199" s="86">
        <f>IF(verze!$E$1="CZK",AD9199,IF(verze!$E$1="SK",AE9199,""))</f>
        <v>258.50337999999999</v>
      </c>
    </row>
    <row r="9200" spans="27:32" ht="15">
      <c r="AA9200" s="463" t="s">
        <v>1320</v>
      </c>
      <c r="AB9200" s="462" t="s">
        <v>26059</v>
      </c>
      <c r="AC9200" s="462" t="s">
        <v>26060</v>
      </c>
      <c r="AD9200" s="464">
        <v>6426.8875699999999</v>
      </c>
      <c r="AE9200" s="465">
        <v>258.50337999999999</v>
      </c>
      <c r="AF9200" s="86">
        <f>IF(verze!$E$1="CZK",AD9200,IF(verze!$E$1="SK",AE9200,""))</f>
        <v>258.50337999999999</v>
      </c>
    </row>
    <row r="9201" spans="27:32" ht="15">
      <c r="AA9201" s="463" t="s">
        <v>1320</v>
      </c>
      <c r="AB9201" s="462" t="s">
        <v>26061</v>
      </c>
      <c r="AC9201" s="462" t="s">
        <v>26062</v>
      </c>
      <c r="AD9201" s="464">
        <v>5820.2008900000001</v>
      </c>
      <c r="AE9201" s="465">
        <v>234.00027</v>
      </c>
      <c r="AF9201" s="86">
        <f>IF(verze!$E$1="CZK",AD9201,IF(verze!$E$1="SK",AE9201,""))</f>
        <v>234.00027</v>
      </c>
    </row>
    <row r="9202" spans="27:32" ht="15">
      <c r="AA9202" s="463" t="s">
        <v>1320</v>
      </c>
      <c r="AB9202" s="462" t="s">
        <v>26063</v>
      </c>
      <c r="AC9202" s="462" t="s">
        <v>26064</v>
      </c>
      <c r="AD9202" s="464">
        <v>6361.36625</v>
      </c>
      <c r="AE9202" s="465">
        <v>255.90414000000001</v>
      </c>
      <c r="AF9202" s="86">
        <f>IF(verze!$E$1="CZK",AD9202,IF(verze!$E$1="SK",AE9202,""))</f>
        <v>255.90414000000001</v>
      </c>
    </row>
    <row r="9203" spans="27:32" ht="15">
      <c r="AA9203" s="463" t="s">
        <v>1320</v>
      </c>
      <c r="AB9203" s="462" t="s">
        <v>26065</v>
      </c>
      <c r="AC9203" s="462" t="s">
        <v>26066</v>
      </c>
      <c r="AD9203" s="464">
        <v>6361.36625</v>
      </c>
      <c r="AE9203" s="465">
        <v>255.90414000000001</v>
      </c>
      <c r="AF9203" s="86">
        <f>IF(verze!$E$1="CZK",AD9203,IF(verze!$E$1="SK",AE9203,""))</f>
        <v>255.90414000000001</v>
      </c>
    </row>
    <row r="9204" spans="27:32" ht="15">
      <c r="AA9204" s="463" t="s">
        <v>1320</v>
      </c>
      <c r="AB9204" s="462" t="s">
        <v>26067</v>
      </c>
      <c r="AC9204" s="462" t="s">
        <v>26068</v>
      </c>
      <c r="AD9204" s="464">
        <v>5754.6795700000002</v>
      </c>
      <c r="AE9204" s="465">
        <v>231.40102999999999</v>
      </c>
      <c r="AF9204" s="86">
        <f>IF(verze!$E$1="CZK",AD9204,IF(verze!$E$1="SK",AE9204,""))</f>
        <v>231.40102999999999</v>
      </c>
    </row>
    <row r="9205" spans="27:32" ht="15">
      <c r="AA9205" s="463" t="s">
        <v>1320</v>
      </c>
      <c r="AB9205" s="462" t="s">
        <v>26069</v>
      </c>
      <c r="AC9205" s="462" t="s">
        <v>26070</v>
      </c>
      <c r="AD9205" s="464">
        <v>5393.8204100000003</v>
      </c>
      <c r="AE9205" s="465">
        <v>217.84703999999999</v>
      </c>
      <c r="AF9205" s="86">
        <f>IF(verze!$E$1="CZK",AD9205,IF(verze!$E$1="SK",AE9205,""))</f>
        <v>217.84703999999999</v>
      </c>
    </row>
    <row r="9206" spans="27:32" ht="15">
      <c r="AA9206" s="463" t="s">
        <v>1320</v>
      </c>
      <c r="AB9206" s="462" t="s">
        <v>26071</v>
      </c>
      <c r="AC9206" s="462" t="s">
        <v>26072</v>
      </c>
      <c r="AD9206" s="464">
        <v>5393.8204100000003</v>
      </c>
      <c r="AE9206" s="465">
        <v>217.84703999999999</v>
      </c>
      <c r="AF9206" s="86">
        <f>IF(verze!$E$1="CZK",AD9206,IF(verze!$E$1="SK",AE9206,""))</f>
        <v>217.84703999999999</v>
      </c>
    </row>
    <row r="9207" spans="27:32" ht="15">
      <c r="AA9207" s="463" t="s">
        <v>1320</v>
      </c>
      <c r="AB9207" s="462" t="s">
        <v>26073</v>
      </c>
      <c r="AC9207" s="462" t="s">
        <v>26074</v>
      </c>
      <c r="AD9207" s="464">
        <v>4744.9123900000004</v>
      </c>
      <c r="AE9207" s="465">
        <v>191.63869</v>
      </c>
      <c r="AF9207" s="86">
        <f>IF(verze!$E$1="CZK",AD9207,IF(verze!$E$1="SK",AE9207,""))</f>
        <v>191.63869</v>
      </c>
    </row>
    <row r="9208" spans="27:32" ht="15">
      <c r="AA9208" s="463" t="s">
        <v>1320</v>
      </c>
      <c r="AB9208" s="462" t="s">
        <v>26075</v>
      </c>
      <c r="AC9208" s="462" t="s">
        <v>26076</v>
      </c>
      <c r="AD9208" s="464">
        <v>6052.4839899999997</v>
      </c>
      <c r="AE9208" s="465">
        <v>243.64882</v>
      </c>
      <c r="AF9208" s="86">
        <f>IF(verze!$E$1="CZK",AD9208,IF(verze!$E$1="SK",AE9208,""))</f>
        <v>243.64882</v>
      </c>
    </row>
    <row r="9209" spans="27:32" ht="15">
      <c r="AA9209" s="463" t="s">
        <v>1320</v>
      </c>
      <c r="AB9209" s="462" t="s">
        <v>26077</v>
      </c>
      <c r="AC9209" s="462" t="s">
        <v>26078</v>
      </c>
      <c r="AD9209" s="464">
        <v>6052.4839899999997</v>
      </c>
      <c r="AE9209" s="465">
        <v>243.64882</v>
      </c>
      <c r="AF9209" s="86">
        <f>IF(verze!$E$1="CZK",AD9209,IF(verze!$E$1="SK",AE9209,""))</f>
        <v>243.64882</v>
      </c>
    </row>
    <row r="9210" spans="27:32" ht="15">
      <c r="AA9210" s="463" t="s">
        <v>1320</v>
      </c>
      <c r="AB9210" s="462" t="s">
        <v>26079</v>
      </c>
      <c r="AC9210" s="462" t="s">
        <v>26080</v>
      </c>
      <c r="AD9210" s="464">
        <v>5445.7973099999999</v>
      </c>
      <c r="AE9210" s="465">
        <v>219.14571000000001</v>
      </c>
      <c r="AF9210" s="86">
        <f>IF(verze!$E$1="CZK",AD9210,IF(verze!$E$1="SK",AE9210,""))</f>
        <v>219.14571000000001</v>
      </c>
    </row>
    <row r="9211" spans="27:32" ht="15">
      <c r="AA9211" s="463" t="s">
        <v>1320</v>
      </c>
      <c r="AB9211" s="462" t="s">
        <v>26081</v>
      </c>
      <c r="AC9211" s="462" t="s">
        <v>26082</v>
      </c>
      <c r="AD9211" s="464">
        <v>6003.3474699999997</v>
      </c>
      <c r="AE9211" s="465">
        <v>241.69945999999999</v>
      </c>
      <c r="AF9211" s="86">
        <f>IF(verze!$E$1="CZK",AD9211,IF(verze!$E$1="SK",AE9211,""))</f>
        <v>241.69945999999999</v>
      </c>
    </row>
    <row r="9212" spans="27:32" ht="15">
      <c r="AA9212" s="463" t="s">
        <v>1320</v>
      </c>
      <c r="AB9212" s="462" t="s">
        <v>26083</v>
      </c>
      <c r="AC9212" s="462" t="s">
        <v>26084</v>
      </c>
      <c r="AD9212" s="464">
        <v>6003.3474699999997</v>
      </c>
      <c r="AE9212" s="465">
        <v>241.69945999999999</v>
      </c>
      <c r="AF9212" s="86">
        <f>IF(verze!$E$1="CZK",AD9212,IF(verze!$E$1="SK",AE9212,""))</f>
        <v>241.69945999999999</v>
      </c>
    </row>
    <row r="9213" spans="27:32" ht="15">
      <c r="AA9213" s="463" t="s">
        <v>1320</v>
      </c>
      <c r="AB9213" s="462" t="s">
        <v>26085</v>
      </c>
      <c r="AC9213" s="462" t="s">
        <v>26086</v>
      </c>
      <c r="AD9213" s="464">
        <v>5396.6607899999999</v>
      </c>
      <c r="AE9213" s="465">
        <v>217.19635</v>
      </c>
      <c r="AF9213" s="86">
        <f>IF(verze!$E$1="CZK",AD9213,IF(verze!$E$1="SK",AE9213,""))</f>
        <v>217.19635</v>
      </c>
    </row>
    <row r="9214" spans="27:32" ht="15">
      <c r="AA9214" s="463" t="s">
        <v>1320</v>
      </c>
      <c r="AB9214" s="462" t="s">
        <v>26087</v>
      </c>
      <c r="AC9214" s="462" t="s">
        <v>26088</v>
      </c>
      <c r="AD9214" s="464">
        <v>2642.6941299999999</v>
      </c>
      <c r="AE9214" s="465">
        <v>106.73390999999999</v>
      </c>
      <c r="AF9214" s="86">
        <f>IF(verze!$E$1="CZK",AD9214,IF(verze!$E$1="SK",AE9214,""))</f>
        <v>106.73390999999999</v>
      </c>
    </row>
    <row r="9215" spans="27:32" ht="15">
      <c r="AA9215" s="463" t="s">
        <v>1320</v>
      </c>
      <c r="AB9215" s="462" t="s">
        <v>26089</v>
      </c>
      <c r="AC9215" s="462" t="s">
        <v>26090</v>
      </c>
      <c r="AD9215" s="464">
        <v>2642.6941299999999</v>
      </c>
      <c r="AE9215" s="465">
        <v>106.73390999999999</v>
      </c>
      <c r="AF9215" s="86">
        <f>IF(verze!$E$1="CZK",AD9215,IF(verze!$E$1="SK",AE9215,""))</f>
        <v>106.73390999999999</v>
      </c>
    </row>
    <row r="9216" spans="27:32" ht="15">
      <c r="AA9216" s="463" t="s">
        <v>1320</v>
      </c>
      <c r="AB9216" s="462" t="s">
        <v>26091</v>
      </c>
      <c r="AC9216" s="462" t="s">
        <v>26092</v>
      </c>
      <c r="AD9216" s="464">
        <v>2319.8756899999998</v>
      </c>
      <c r="AE9216" s="465">
        <v>93.695750000000004</v>
      </c>
      <c r="AF9216" s="86">
        <f>IF(verze!$E$1="CZK",AD9216,IF(verze!$E$1="SK",AE9216,""))</f>
        <v>93.695750000000004</v>
      </c>
    </row>
    <row r="9217" spans="27:32" ht="15">
      <c r="AA9217" s="463" t="s">
        <v>1320</v>
      </c>
      <c r="AB9217" s="462" t="s">
        <v>26093</v>
      </c>
      <c r="AC9217" s="462" t="s">
        <v>26094</v>
      </c>
      <c r="AD9217" s="464">
        <v>2642.6941299999999</v>
      </c>
      <c r="AE9217" s="465">
        <v>106.73390999999999</v>
      </c>
      <c r="AF9217" s="86">
        <f>IF(verze!$E$1="CZK",AD9217,IF(verze!$E$1="SK",AE9217,""))</f>
        <v>106.73390999999999</v>
      </c>
    </row>
    <row r="9218" spans="27:32" ht="15">
      <c r="AA9218" s="463" t="s">
        <v>1320</v>
      </c>
      <c r="AB9218" s="462" t="s">
        <v>26095</v>
      </c>
      <c r="AC9218" s="462" t="s">
        <v>26096</v>
      </c>
      <c r="AD9218" s="464">
        <v>2642.6941299999999</v>
      </c>
      <c r="AE9218" s="465">
        <v>106.73390999999999</v>
      </c>
      <c r="AF9218" s="86">
        <f>IF(verze!$E$1="CZK",AD9218,IF(verze!$E$1="SK",AE9218,""))</f>
        <v>106.73390999999999</v>
      </c>
    </row>
    <row r="9219" spans="27:32" ht="15">
      <c r="AA9219" s="463" t="s">
        <v>1320</v>
      </c>
      <c r="AB9219" s="462" t="s">
        <v>26097</v>
      </c>
      <c r="AC9219" s="462" t="s">
        <v>26098</v>
      </c>
      <c r="AD9219" s="464">
        <v>2319.8756899999998</v>
      </c>
      <c r="AE9219" s="465">
        <v>93.695750000000004</v>
      </c>
      <c r="AF9219" s="86">
        <f>IF(verze!$E$1="CZK",AD9219,IF(verze!$E$1="SK",AE9219,""))</f>
        <v>93.695750000000004</v>
      </c>
    </row>
    <row r="9220" spans="27:32" ht="15">
      <c r="AA9220" s="463" t="s">
        <v>1320</v>
      </c>
      <c r="AB9220" s="462" t="s">
        <v>26099</v>
      </c>
      <c r="AC9220" s="462" t="s">
        <v>26100</v>
      </c>
      <c r="AD9220" s="464">
        <v>2862.2681699999998</v>
      </c>
      <c r="AE9220" s="465">
        <v>115.33521</v>
      </c>
      <c r="AF9220" s="86">
        <f>IF(verze!$E$1="CZK",AD9220,IF(verze!$E$1="SK",AE9220,""))</f>
        <v>115.33521</v>
      </c>
    </row>
    <row r="9221" spans="27:32" ht="15">
      <c r="AA9221" s="463" t="s">
        <v>1320</v>
      </c>
      <c r="AB9221" s="462" t="s">
        <v>26101</v>
      </c>
      <c r="AC9221" s="462" t="s">
        <v>26102</v>
      </c>
      <c r="AD9221" s="464">
        <v>2862.2681699999998</v>
      </c>
      <c r="AE9221" s="465">
        <v>115.33521</v>
      </c>
      <c r="AF9221" s="86">
        <f>IF(verze!$E$1="CZK",AD9221,IF(verze!$E$1="SK",AE9221,""))</f>
        <v>115.33521</v>
      </c>
    </row>
    <row r="9222" spans="27:32" ht="15">
      <c r="AA9222" s="463" t="s">
        <v>1320</v>
      </c>
      <c r="AB9222" s="462" t="s">
        <v>26103</v>
      </c>
      <c r="AC9222" s="462" t="s">
        <v>26104</v>
      </c>
      <c r="AD9222" s="464">
        <v>2553.51017</v>
      </c>
      <c r="AE9222" s="465">
        <v>102.86496</v>
      </c>
      <c r="AF9222" s="86">
        <f>IF(verze!$E$1="CZK",AD9222,IF(verze!$E$1="SK",AE9222,""))</f>
        <v>102.86496</v>
      </c>
    </row>
    <row r="9223" spans="27:32" ht="15">
      <c r="AA9223" s="463" t="s">
        <v>1320</v>
      </c>
      <c r="AB9223" s="462" t="s">
        <v>26105</v>
      </c>
      <c r="AC9223" s="462" t="s">
        <v>26106</v>
      </c>
      <c r="AD9223" s="464">
        <v>2862.2681699999998</v>
      </c>
      <c r="AE9223" s="465">
        <v>115.33521</v>
      </c>
      <c r="AF9223" s="86">
        <f>IF(verze!$E$1="CZK",AD9223,IF(verze!$E$1="SK",AE9223,""))</f>
        <v>115.33521</v>
      </c>
    </row>
    <row r="9224" spans="27:32" ht="15">
      <c r="AA9224" s="463" t="s">
        <v>1320</v>
      </c>
      <c r="AB9224" s="462" t="s">
        <v>26107</v>
      </c>
      <c r="AC9224" s="462" t="s">
        <v>26108</v>
      </c>
      <c r="AD9224" s="464">
        <v>2862.2681699999998</v>
      </c>
      <c r="AE9224" s="465">
        <v>115.33521</v>
      </c>
      <c r="AF9224" s="86">
        <f>IF(verze!$E$1="CZK",AD9224,IF(verze!$E$1="SK",AE9224,""))</f>
        <v>115.33521</v>
      </c>
    </row>
    <row r="9225" spans="27:32" ht="15">
      <c r="AA9225" s="463" t="s">
        <v>1320</v>
      </c>
      <c r="AB9225" s="462" t="s">
        <v>26109</v>
      </c>
      <c r="AC9225" s="462" t="s">
        <v>26110</v>
      </c>
      <c r="AD9225" s="464">
        <v>2553.51017</v>
      </c>
      <c r="AE9225" s="465">
        <v>102.86496</v>
      </c>
      <c r="AF9225" s="86">
        <f>IF(verze!$E$1="CZK",AD9225,IF(verze!$E$1="SK",AE9225,""))</f>
        <v>102.86496</v>
      </c>
    </row>
    <row r="9226" spans="27:32" ht="15">
      <c r="AA9226" s="463" t="s">
        <v>1320</v>
      </c>
      <c r="AB9226" s="462" t="s">
        <v>26111</v>
      </c>
      <c r="AC9226" s="462" t="s">
        <v>26112</v>
      </c>
      <c r="AD9226" s="464">
        <v>2845.8878399999999</v>
      </c>
      <c r="AE9226" s="465">
        <v>114.6854</v>
      </c>
      <c r="AF9226" s="86">
        <f>IF(verze!$E$1="CZK",AD9226,IF(verze!$E$1="SK",AE9226,""))</f>
        <v>114.6854</v>
      </c>
    </row>
    <row r="9227" spans="27:32" ht="15">
      <c r="AA9227" s="463" t="s">
        <v>1320</v>
      </c>
      <c r="AB9227" s="462" t="s">
        <v>26113</v>
      </c>
      <c r="AC9227" s="462" t="s">
        <v>26114</v>
      </c>
      <c r="AD9227" s="464">
        <v>2845.8878399999999</v>
      </c>
      <c r="AE9227" s="465">
        <v>114.6854</v>
      </c>
      <c r="AF9227" s="86">
        <f>IF(verze!$E$1="CZK",AD9227,IF(verze!$E$1="SK",AE9227,""))</f>
        <v>114.6854</v>
      </c>
    </row>
    <row r="9228" spans="27:32" ht="15">
      <c r="AA9228" s="463" t="s">
        <v>1320</v>
      </c>
      <c r="AB9228" s="462" t="s">
        <v>26115</v>
      </c>
      <c r="AC9228" s="462" t="s">
        <v>26116</v>
      </c>
      <c r="AD9228" s="464">
        <v>2537.1298400000001</v>
      </c>
      <c r="AE9228" s="465">
        <v>102.21514999999999</v>
      </c>
      <c r="AF9228" s="86">
        <f>IF(verze!$E$1="CZK",AD9228,IF(verze!$E$1="SK",AE9228,""))</f>
        <v>102.21514999999999</v>
      </c>
    </row>
    <row r="9229" spans="27:32" ht="15">
      <c r="AA9229" s="463" t="s">
        <v>1320</v>
      </c>
      <c r="AB9229" s="462" t="s">
        <v>26117</v>
      </c>
      <c r="AC9229" s="462" t="s">
        <v>26118</v>
      </c>
      <c r="AD9229" s="464">
        <v>2845.8878399999999</v>
      </c>
      <c r="AE9229" s="465">
        <v>114.6854</v>
      </c>
      <c r="AF9229" s="86">
        <f>IF(verze!$E$1="CZK",AD9229,IF(verze!$E$1="SK",AE9229,""))</f>
        <v>114.6854</v>
      </c>
    </row>
    <row r="9230" spans="27:32" ht="15">
      <c r="AA9230" s="463" t="s">
        <v>1320</v>
      </c>
      <c r="AB9230" s="462" t="s">
        <v>26119</v>
      </c>
      <c r="AC9230" s="462" t="s">
        <v>26120</v>
      </c>
      <c r="AD9230" s="464">
        <v>2845.8878399999999</v>
      </c>
      <c r="AE9230" s="465">
        <v>114.6854</v>
      </c>
      <c r="AF9230" s="86">
        <f>IF(verze!$E$1="CZK",AD9230,IF(verze!$E$1="SK",AE9230,""))</f>
        <v>114.6854</v>
      </c>
    </row>
    <row r="9231" spans="27:32" ht="15">
      <c r="AA9231" s="463" t="s">
        <v>1320</v>
      </c>
      <c r="AB9231" s="462" t="s">
        <v>26121</v>
      </c>
      <c r="AC9231" s="462" t="s">
        <v>26122</v>
      </c>
      <c r="AD9231" s="464">
        <v>2537.1298400000001</v>
      </c>
      <c r="AE9231" s="465">
        <v>102.21514999999999</v>
      </c>
      <c r="AF9231" s="86">
        <f>IF(verze!$E$1="CZK",AD9231,IF(verze!$E$1="SK",AE9231,""))</f>
        <v>102.21514999999999</v>
      </c>
    </row>
    <row r="9232" spans="27:32" ht="15">
      <c r="AA9232" s="463" t="s">
        <v>1320</v>
      </c>
      <c r="AB9232" s="462" t="s">
        <v>26123</v>
      </c>
      <c r="AC9232" s="462" t="s">
        <v>26124</v>
      </c>
      <c r="AD9232" s="464">
        <v>5239.00497</v>
      </c>
      <c r="AE9232" s="465">
        <v>211.59443999999999</v>
      </c>
      <c r="AF9232" s="86">
        <f>IF(verze!$E$1="CZK",AD9232,IF(verze!$E$1="SK",AE9232,""))</f>
        <v>211.59443999999999</v>
      </c>
    </row>
    <row r="9233" spans="27:32" ht="15">
      <c r="AA9233" s="463" t="s">
        <v>1320</v>
      </c>
      <c r="AB9233" s="462" t="s">
        <v>26125</v>
      </c>
      <c r="AC9233" s="462" t="s">
        <v>26126</v>
      </c>
      <c r="AD9233" s="464">
        <v>5239.00497</v>
      </c>
      <c r="AE9233" s="465">
        <v>211.59443999999999</v>
      </c>
      <c r="AF9233" s="86">
        <f>IF(verze!$E$1="CZK",AD9233,IF(verze!$E$1="SK",AE9233,""))</f>
        <v>211.59443999999999</v>
      </c>
    </row>
    <row r="9234" spans="27:32" ht="15">
      <c r="AA9234" s="463" t="s">
        <v>1320</v>
      </c>
      <c r="AB9234" s="462" t="s">
        <v>26127</v>
      </c>
      <c r="AC9234" s="462" t="s">
        <v>26128</v>
      </c>
      <c r="AD9234" s="464">
        <v>4604.1974099999998</v>
      </c>
      <c r="AE9234" s="465">
        <v>185.95551</v>
      </c>
      <c r="AF9234" s="86">
        <f>IF(verze!$E$1="CZK",AD9234,IF(verze!$E$1="SK",AE9234,""))</f>
        <v>185.95551</v>
      </c>
    </row>
    <row r="9235" spans="27:32" ht="15">
      <c r="AA9235" s="463" t="s">
        <v>1320</v>
      </c>
      <c r="AB9235" s="462" t="s">
        <v>26129</v>
      </c>
      <c r="AC9235" s="462" t="s">
        <v>26130</v>
      </c>
      <c r="AD9235" s="464">
        <v>5678.1530499999999</v>
      </c>
      <c r="AE9235" s="465">
        <v>228.79704000000001</v>
      </c>
      <c r="AF9235" s="86">
        <f>IF(verze!$E$1="CZK",AD9235,IF(verze!$E$1="SK",AE9235,""))</f>
        <v>228.79704000000001</v>
      </c>
    </row>
    <row r="9236" spans="27:32" ht="15">
      <c r="AA9236" s="463" t="s">
        <v>1320</v>
      </c>
      <c r="AB9236" s="462" t="s">
        <v>26131</v>
      </c>
      <c r="AC9236" s="462" t="s">
        <v>26132</v>
      </c>
      <c r="AD9236" s="464">
        <v>5678.1530499999999</v>
      </c>
      <c r="AE9236" s="465">
        <v>228.79704000000001</v>
      </c>
      <c r="AF9236" s="86">
        <f>IF(verze!$E$1="CZK",AD9236,IF(verze!$E$1="SK",AE9236,""))</f>
        <v>228.79704000000001</v>
      </c>
    </row>
    <row r="9237" spans="27:32" ht="15">
      <c r="AA9237" s="463" t="s">
        <v>1320</v>
      </c>
      <c r="AB9237" s="462" t="s">
        <v>26133</v>
      </c>
      <c r="AC9237" s="462" t="s">
        <v>26134</v>
      </c>
      <c r="AD9237" s="464">
        <v>5071.4663700000001</v>
      </c>
      <c r="AE9237" s="465">
        <v>204.29392999999999</v>
      </c>
      <c r="AF9237" s="86">
        <f>IF(verze!$E$1="CZK",AD9237,IF(verze!$E$1="SK",AE9237,""))</f>
        <v>204.29392999999999</v>
      </c>
    </row>
    <row r="9238" spans="27:32" ht="15">
      <c r="AA9238" s="463" t="s">
        <v>1320</v>
      </c>
      <c r="AB9238" s="462" t="s">
        <v>26135</v>
      </c>
      <c r="AC9238" s="462" t="s">
        <v>26136</v>
      </c>
      <c r="AD9238" s="464">
        <v>5645.39239</v>
      </c>
      <c r="AE9238" s="465">
        <v>227.49742000000001</v>
      </c>
      <c r="AF9238" s="86">
        <f>IF(verze!$E$1="CZK",AD9238,IF(verze!$E$1="SK",AE9238,""))</f>
        <v>227.49742000000001</v>
      </c>
    </row>
    <row r="9239" spans="27:32" ht="15">
      <c r="AA9239" s="463" t="s">
        <v>1320</v>
      </c>
      <c r="AB9239" s="462" t="s">
        <v>26137</v>
      </c>
      <c r="AC9239" s="462" t="s">
        <v>26138</v>
      </c>
      <c r="AD9239" s="464">
        <v>5645.39239</v>
      </c>
      <c r="AE9239" s="465">
        <v>227.49742000000001</v>
      </c>
      <c r="AF9239" s="86">
        <f>IF(verze!$E$1="CZK",AD9239,IF(verze!$E$1="SK",AE9239,""))</f>
        <v>227.49742000000001</v>
      </c>
    </row>
    <row r="9240" spans="27:32" ht="15">
      <c r="AA9240" s="463" t="s">
        <v>1320</v>
      </c>
      <c r="AB9240" s="462" t="s">
        <v>26139</v>
      </c>
      <c r="AC9240" s="462" t="s">
        <v>26140</v>
      </c>
      <c r="AD9240" s="464">
        <v>5038.7057100000002</v>
      </c>
      <c r="AE9240" s="465">
        <v>202.99431000000001</v>
      </c>
      <c r="AF9240" s="86">
        <f>IF(verze!$E$1="CZK",AD9240,IF(verze!$E$1="SK",AE9240,""))</f>
        <v>202.99431000000001</v>
      </c>
    </row>
    <row r="9241" spans="27:32" ht="15">
      <c r="AA9241" s="463" t="s">
        <v>1320</v>
      </c>
      <c r="AB9241" s="462" t="s">
        <v>26141</v>
      </c>
      <c r="AC9241" s="462" t="s">
        <v>26142</v>
      </c>
      <c r="AD9241" s="464">
        <v>2720.10185</v>
      </c>
      <c r="AE9241" s="465">
        <v>109.86021</v>
      </c>
      <c r="AF9241" s="86">
        <f>IF(verze!$E$1="CZK",AD9241,IF(verze!$E$1="SK",AE9241,""))</f>
        <v>109.86021</v>
      </c>
    </row>
    <row r="9242" spans="27:32" ht="15">
      <c r="AA9242" s="463" t="s">
        <v>1320</v>
      </c>
      <c r="AB9242" s="462" t="s">
        <v>26143</v>
      </c>
      <c r="AC9242" s="462" t="s">
        <v>26144</v>
      </c>
      <c r="AD9242" s="464">
        <v>2720.10185</v>
      </c>
      <c r="AE9242" s="465">
        <v>109.86021</v>
      </c>
      <c r="AF9242" s="86">
        <f>IF(verze!$E$1="CZK",AD9242,IF(verze!$E$1="SK",AE9242,""))</f>
        <v>109.86021</v>
      </c>
    </row>
    <row r="9243" spans="27:32" ht="15">
      <c r="AA9243" s="463" t="s">
        <v>1320</v>
      </c>
      <c r="AB9243" s="462" t="s">
        <v>26145</v>
      </c>
      <c r="AC9243" s="462" t="s">
        <v>26146</v>
      </c>
      <c r="AD9243" s="464">
        <v>2390.2331800000002</v>
      </c>
      <c r="AE9243" s="465">
        <v>96.53734</v>
      </c>
      <c r="AF9243" s="86">
        <f>IF(verze!$E$1="CZK",AD9243,IF(verze!$E$1="SK",AE9243,""))</f>
        <v>96.53734</v>
      </c>
    </row>
    <row r="9244" spans="27:32" ht="15">
      <c r="AA9244" s="463" t="s">
        <v>1320</v>
      </c>
      <c r="AB9244" s="462" t="s">
        <v>26147</v>
      </c>
      <c r="AC9244" s="462" t="s">
        <v>26148</v>
      </c>
      <c r="AD9244" s="464">
        <v>2720.10185</v>
      </c>
      <c r="AE9244" s="465">
        <v>109.86021</v>
      </c>
      <c r="AF9244" s="86">
        <f>IF(verze!$E$1="CZK",AD9244,IF(verze!$E$1="SK",AE9244,""))</f>
        <v>109.86021</v>
      </c>
    </row>
    <row r="9245" spans="27:32" ht="15">
      <c r="AA9245" s="463" t="s">
        <v>1320</v>
      </c>
      <c r="AB9245" s="462" t="s">
        <v>26149</v>
      </c>
      <c r="AC9245" s="462" t="s">
        <v>26150</v>
      </c>
      <c r="AD9245" s="464">
        <v>2720.10185</v>
      </c>
      <c r="AE9245" s="465">
        <v>109.86021</v>
      </c>
      <c r="AF9245" s="86">
        <f>IF(verze!$E$1="CZK",AD9245,IF(verze!$E$1="SK",AE9245,""))</f>
        <v>109.86021</v>
      </c>
    </row>
    <row r="9246" spans="27:32" ht="15">
      <c r="AA9246" s="463" t="s">
        <v>1320</v>
      </c>
      <c r="AB9246" s="462" t="s">
        <v>26151</v>
      </c>
      <c r="AC9246" s="462" t="s">
        <v>26152</v>
      </c>
      <c r="AD9246" s="464">
        <v>2390.2331800000002</v>
      </c>
      <c r="AE9246" s="465">
        <v>96.53734</v>
      </c>
      <c r="AF9246" s="86">
        <f>IF(verze!$E$1="CZK",AD9246,IF(verze!$E$1="SK",AE9246,""))</f>
        <v>96.53734</v>
      </c>
    </row>
    <row r="9247" spans="27:32" ht="15">
      <c r="AA9247" s="463" t="s">
        <v>1320</v>
      </c>
      <c r="AB9247" s="462" t="s">
        <v>26153</v>
      </c>
      <c r="AC9247" s="462" t="s">
        <v>26154</v>
      </c>
      <c r="AD9247" s="464">
        <v>3049.4336400000002</v>
      </c>
      <c r="AE9247" s="465">
        <v>122.7611</v>
      </c>
      <c r="AF9247" s="86">
        <f>IF(verze!$E$1="CZK",AD9247,IF(verze!$E$1="SK",AE9247,""))</f>
        <v>122.7611</v>
      </c>
    </row>
    <row r="9248" spans="27:32" ht="15">
      <c r="AA9248" s="463" t="s">
        <v>1320</v>
      </c>
      <c r="AB9248" s="462" t="s">
        <v>26155</v>
      </c>
      <c r="AC9248" s="462" t="s">
        <v>26156</v>
      </c>
      <c r="AD9248" s="464">
        <v>3049.4336400000002</v>
      </c>
      <c r="AE9248" s="465">
        <v>122.7611</v>
      </c>
      <c r="AF9248" s="86">
        <f>IF(verze!$E$1="CZK",AD9248,IF(verze!$E$1="SK",AE9248,""))</f>
        <v>122.7611</v>
      </c>
    </row>
    <row r="9249" spans="27:32" ht="15">
      <c r="AA9249" s="463" t="s">
        <v>1320</v>
      </c>
      <c r="AB9249" s="462" t="s">
        <v>26157</v>
      </c>
      <c r="AC9249" s="462" t="s">
        <v>26156</v>
      </c>
      <c r="AD9249" s="464">
        <v>3049.4336400000002</v>
      </c>
      <c r="AE9249" s="465">
        <v>122.7611</v>
      </c>
      <c r="AF9249" s="86">
        <f>IF(verze!$E$1="CZK",AD9249,IF(verze!$E$1="SK",AE9249,""))</f>
        <v>122.7611</v>
      </c>
    </row>
    <row r="9250" spans="27:32" ht="15">
      <c r="AA9250" s="463" t="s">
        <v>1320</v>
      </c>
      <c r="AB9250" s="462" t="s">
        <v>26158</v>
      </c>
      <c r="AC9250" s="462" t="s">
        <v>26159</v>
      </c>
      <c r="AD9250" s="464">
        <v>3049.4336400000002</v>
      </c>
      <c r="AE9250" s="465">
        <v>122.7611</v>
      </c>
      <c r="AF9250" s="86">
        <f>IF(verze!$E$1="CZK",AD9250,IF(verze!$E$1="SK",AE9250,""))</f>
        <v>122.7611</v>
      </c>
    </row>
    <row r="9251" spans="27:32" ht="15">
      <c r="AA9251" s="463" t="s">
        <v>1320</v>
      </c>
      <c r="AB9251" s="462" t="s">
        <v>26160</v>
      </c>
      <c r="AC9251" s="462" t="s">
        <v>26161</v>
      </c>
      <c r="AD9251" s="464">
        <v>2740.6756399999999</v>
      </c>
      <c r="AE9251" s="465">
        <v>110.29085000000001</v>
      </c>
      <c r="AF9251" s="86">
        <f>IF(verze!$E$1="CZK",AD9251,IF(verze!$E$1="SK",AE9251,""))</f>
        <v>110.29085000000001</v>
      </c>
    </row>
    <row r="9252" spans="27:32" ht="15">
      <c r="AA9252" s="463" t="s">
        <v>1320</v>
      </c>
      <c r="AB9252" s="462" t="s">
        <v>26162</v>
      </c>
      <c r="AC9252" s="462" t="s">
        <v>26161</v>
      </c>
      <c r="AD9252" s="464">
        <v>2740.6756399999999</v>
      </c>
      <c r="AE9252" s="465">
        <v>110.29085000000001</v>
      </c>
      <c r="AF9252" s="86">
        <f>IF(verze!$E$1="CZK",AD9252,IF(verze!$E$1="SK",AE9252,""))</f>
        <v>110.29085000000001</v>
      </c>
    </row>
    <row r="9253" spans="27:32" ht="15">
      <c r="AA9253" s="463" t="s">
        <v>1320</v>
      </c>
      <c r="AB9253" s="462" t="s">
        <v>26163</v>
      </c>
      <c r="AC9253" s="462" t="s">
        <v>26164</v>
      </c>
      <c r="AD9253" s="464">
        <v>3024.8653800000002</v>
      </c>
      <c r="AE9253" s="465">
        <v>121.78642000000001</v>
      </c>
      <c r="AF9253" s="86">
        <f>IF(verze!$E$1="CZK",AD9253,IF(verze!$E$1="SK",AE9253,""))</f>
        <v>121.78642000000001</v>
      </c>
    </row>
    <row r="9254" spans="27:32" ht="15">
      <c r="AA9254" s="463" t="s">
        <v>1320</v>
      </c>
      <c r="AB9254" s="462" t="s">
        <v>26165</v>
      </c>
      <c r="AC9254" s="462" t="s">
        <v>26166</v>
      </c>
      <c r="AD9254" s="464">
        <v>3024.8653800000002</v>
      </c>
      <c r="AE9254" s="465">
        <v>121.78642000000001</v>
      </c>
      <c r="AF9254" s="86">
        <f>IF(verze!$E$1="CZK",AD9254,IF(verze!$E$1="SK",AE9254,""))</f>
        <v>121.78642000000001</v>
      </c>
    </row>
    <row r="9255" spans="27:32" ht="15">
      <c r="AA9255" s="463" t="s">
        <v>1320</v>
      </c>
      <c r="AB9255" s="462" t="s">
        <v>26167</v>
      </c>
      <c r="AC9255" s="462" t="s">
        <v>26168</v>
      </c>
      <c r="AD9255" s="464">
        <v>2716.1073799999999</v>
      </c>
      <c r="AE9255" s="465">
        <v>109.31617</v>
      </c>
      <c r="AF9255" s="86">
        <f>IF(verze!$E$1="CZK",AD9255,IF(verze!$E$1="SK",AE9255,""))</f>
        <v>109.31617</v>
      </c>
    </row>
    <row r="9256" spans="27:32" ht="15">
      <c r="AA9256" s="463" t="s">
        <v>1320</v>
      </c>
      <c r="AB9256" s="462" t="s">
        <v>26169</v>
      </c>
      <c r="AC9256" s="462" t="s">
        <v>26170</v>
      </c>
      <c r="AD9256" s="464">
        <v>3024.8653800000002</v>
      </c>
      <c r="AE9256" s="465">
        <v>121.78642000000001</v>
      </c>
      <c r="AF9256" s="86">
        <f>IF(verze!$E$1="CZK",AD9256,IF(verze!$E$1="SK",AE9256,""))</f>
        <v>121.78642000000001</v>
      </c>
    </row>
    <row r="9257" spans="27:32" ht="15">
      <c r="AA9257" s="463" t="s">
        <v>1320</v>
      </c>
      <c r="AB9257" s="462" t="s">
        <v>26171</v>
      </c>
      <c r="AC9257" s="462" t="s">
        <v>26172</v>
      </c>
      <c r="AD9257" s="464">
        <v>3024.8653800000002</v>
      </c>
      <c r="AE9257" s="465">
        <v>121.78642000000001</v>
      </c>
      <c r="AF9257" s="86">
        <f>IF(verze!$E$1="CZK",AD9257,IF(verze!$E$1="SK",AE9257,""))</f>
        <v>121.78642000000001</v>
      </c>
    </row>
    <row r="9258" spans="27:32" ht="15">
      <c r="AA9258" s="463" t="s">
        <v>1320</v>
      </c>
      <c r="AB9258" s="462" t="s">
        <v>26173</v>
      </c>
      <c r="AC9258" s="462" t="s">
        <v>26174</v>
      </c>
      <c r="AD9258" s="464">
        <v>2716.1073799999999</v>
      </c>
      <c r="AE9258" s="465">
        <v>109.31617</v>
      </c>
      <c r="AF9258" s="86">
        <f>IF(verze!$E$1="CZK",AD9258,IF(verze!$E$1="SK",AE9258,""))</f>
        <v>109.31617</v>
      </c>
    </row>
    <row r="9259" spans="27:32" ht="15">
      <c r="AA9259" s="463" t="s">
        <v>1320</v>
      </c>
      <c r="AB9259" s="462" t="s">
        <v>26175</v>
      </c>
      <c r="AC9259" s="462" t="s">
        <v>26176</v>
      </c>
      <c r="AD9259" s="464">
        <v>2797.4873499999999</v>
      </c>
      <c r="AE9259" s="465">
        <v>112.98578000000001</v>
      </c>
      <c r="AF9259" s="86">
        <f>IF(verze!$E$1="CZK",AD9259,IF(verze!$E$1="SK",AE9259,""))</f>
        <v>112.98578000000001</v>
      </c>
    </row>
    <row r="9260" spans="27:32" ht="15">
      <c r="AA9260" s="463" t="s">
        <v>1320</v>
      </c>
      <c r="AB9260" s="462" t="s">
        <v>26177</v>
      </c>
      <c r="AC9260" s="462" t="s">
        <v>26178</v>
      </c>
      <c r="AD9260" s="464">
        <v>2797.4873499999999</v>
      </c>
      <c r="AE9260" s="465">
        <v>112.98578000000001</v>
      </c>
      <c r="AF9260" s="86">
        <f>IF(verze!$E$1="CZK",AD9260,IF(verze!$E$1="SK",AE9260,""))</f>
        <v>112.98578000000001</v>
      </c>
    </row>
    <row r="9261" spans="27:32" ht="15">
      <c r="AA9261" s="463" t="s">
        <v>1320</v>
      </c>
      <c r="AB9261" s="462" t="s">
        <v>26179</v>
      </c>
      <c r="AC9261" s="462" t="s">
        <v>26180</v>
      </c>
      <c r="AD9261" s="464">
        <v>2460.6084700000001</v>
      </c>
      <c r="AE9261" s="465">
        <v>99.379710000000003</v>
      </c>
      <c r="AF9261" s="86">
        <f>IF(verze!$E$1="CZK",AD9261,IF(verze!$E$1="SK",AE9261,""))</f>
        <v>99.379710000000003</v>
      </c>
    </row>
    <row r="9262" spans="27:32" ht="15">
      <c r="AA9262" s="463" t="s">
        <v>1320</v>
      </c>
      <c r="AB9262" s="462" t="s">
        <v>26181</v>
      </c>
      <c r="AC9262" s="462" t="s">
        <v>26182</v>
      </c>
      <c r="AD9262" s="464">
        <v>2797.4873499999999</v>
      </c>
      <c r="AE9262" s="465">
        <v>112.98578000000001</v>
      </c>
      <c r="AF9262" s="86">
        <f>IF(verze!$E$1="CZK",AD9262,IF(verze!$E$1="SK",AE9262,""))</f>
        <v>112.98578000000001</v>
      </c>
    </row>
    <row r="9263" spans="27:32" ht="15">
      <c r="AA9263" s="463" t="s">
        <v>1320</v>
      </c>
      <c r="AB9263" s="462" t="s">
        <v>26183</v>
      </c>
      <c r="AC9263" s="462" t="s">
        <v>26184</v>
      </c>
      <c r="AD9263" s="464">
        <v>2797.4873499999999</v>
      </c>
      <c r="AE9263" s="465">
        <v>112.98578000000001</v>
      </c>
      <c r="AF9263" s="86">
        <f>IF(verze!$E$1="CZK",AD9263,IF(verze!$E$1="SK",AE9263,""))</f>
        <v>112.98578000000001</v>
      </c>
    </row>
    <row r="9264" spans="27:32" ht="15">
      <c r="AA9264" s="463" t="s">
        <v>1320</v>
      </c>
      <c r="AB9264" s="462" t="s">
        <v>26185</v>
      </c>
      <c r="AC9264" s="462" t="s">
        <v>26186</v>
      </c>
      <c r="AD9264" s="464">
        <v>2460.6084700000001</v>
      </c>
      <c r="AE9264" s="465">
        <v>99.379710000000003</v>
      </c>
      <c r="AF9264" s="86">
        <f>IF(verze!$E$1="CZK",AD9264,IF(verze!$E$1="SK",AE9264,""))</f>
        <v>99.379710000000003</v>
      </c>
    </row>
    <row r="9265" spans="27:32" ht="15">
      <c r="AA9265" s="463" t="s">
        <v>1320</v>
      </c>
      <c r="AB9265" s="462" t="s">
        <v>26187</v>
      </c>
      <c r="AC9265" s="462" t="s">
        <v>26188</v>
      </c>
      <c r="AD9265" s="464">
        <v>3236.6354299999998</v>
      </c>
      <c r="AE9265" s="465">
        <v>130.18838</v>
      </c>
      <c r="AF9265" s="86">
        <f>IF(verze!$E$1="CZK",AD9265,IF(verze!$E$1="SK",AE9265,""))</f>
        <v>130.18838</v>
      </c>
    </row>
    <row r="9266" spans="27:32" ht="15">
      <c r="AA9266" s="463" t="s">
        <v>1320</v>
      </c>
      <c r="AB9266" s="462" t="s">
        <v>26189</v>
      </c>
      <c r="AC9266" s="462" t="s">
        <v>26190</v>
      </c>
      <c r="AD9266" s="464">
        <v>3236.6354299999998</v>
      </c>
      <c r="AE9266" s="465">
        <v>130.18838</v>
      </c>
      <c r="AF9266" s="86">
        <f>IF(verze!$E$1="CZK",AD9266,IF(verze!$E$1="SK",AE9266,""))</f>
        <v>130.18838</v>
      </c>
    </row>
    <row r="9267" spans="27:32" ht="15">
      <c r="AA9267" s="463" t="s">
        <v>1320</v>
      </c>
      <c r="AB9267" s="462" t="s">
        <v>26191</v>
      </c>
      <c r="AC9267" s="462" t="s">
        <v>26192</v>
      </c>
      <c r="AD9267" s="464">
        <v>2927.87743</v>
      </c>
      <c r="AE9267" s="465">
        <v>117.71813</v>
      </c>
      <c r="AF9267" s="86">
        <f>IF(verze!$E$1="CZK",AD9267,IF(verze!$E$1="SK",AE9267,""))</f>
        <v>117.71813</v>
      </c>
    </row>
    <row r="9268" spans="27:32" ht="15">
      <c r="AA9268" s="463" t="s">
        <v>1320</v>
      </c>
      <c r="AB9268" s="462" t="s">
        <v>26193</v>
      </c>
      <c r="AC9268" s="462" t="s">
        <v>26194</v>
      </c>
      <c r="AD9268" s="464">
        <v>3236.6354299999998</v>
      </c>
      <c r="AE9268" s="465">
        <v>130.18838</v>
      </c>
      <c r="AF9268" s="86">
        <f>IF(verze!$E$1="CZK",AD9268,IF(verze!$E$1="SK",AE9268,""))</f>
        <v>130.18838</v>
      </c>
    </row>
    <row r="9269" spans="27:32" ht="15">
      <c r="AA9269" s="463" t="s">
        <v>1320</v>
      </c>
      <c r="AB9269" s="462" t="s">
        <v>26195</v>
      </c>
      <c r="AC9269" s="462" t="s">
        <v>26196</v>
      </c>
      <c r="AD9269" s="464">
        <v>3236.6354299999998</v>
      </c>
      <c r="AE9269" s="465">
        <v>130.18838</v>
      </c>
      <c r="AF9269" s="86">
        <f>IF(verze!$E$1="CZK",AD9269,IF(verze!$E$1="SK",AE9269,""))</f>
        <v>130.18838</v>
      </c>
    </row>
    <row r="9270" spans="27:32" ht="15">
      <c r="AA9270" s="463" t="s">
        <v>1320</v>
      </c>
      <c r="AB9270" s="462" t="s">
        <v>26197</v>
      </c>
      <c r="AC9270" s="462" t="s">
        <v>26198</v>
      </c>
      <c r="AD9270" s="464">
        <v>2927.87743</v>
      </c>
      <c r="AE9270" s="465">
        <v>117.71813</v>
      </c>
      <c r="AF9270" s="86">
        <f>IF(verze!$E$1="CZK",AD9270,IF(verze!$E$1="SK",AE9270,""))</f>
        <v>117.71813</v>
      </c>
    </row>
    <row r="9271" spans="27:32" ht="15">
      <c r="AA9271" s="463" t="s">
        <v>1320</v>
      </c>
      <c r="AB9271" s="462" t="s">
        <v>26199</v>
      </c>
      <c r="AC9271" s="462" t="s">
        <v>26200</v>
      </c>
      <c r="AD9271" s="464">
        <v>3203.8747699999999</v>
      </c>
      <c r="AE9271" s="465">
        <v>128.88875999999999</v>
      </c>
      <c r="AF9271" s="86">
        <f>IF(verze!$E$1="CZK",AD9271,IF(verze!$E$1="SK",AE9271,""))</f>
        <v>128.88875999999999</v>
      </c>
    </row>
    <row r="9272" spans="27:32" ht="15">
      <c r="AA9272" s="463" t="s">
        <v>1320</v>
      </c>
      <c r="AB9272" s="462" t="s">
        <v>26201</v>
      </c>
      <c r="AC9272" s="462" t="s">
        <v>26202</v>
      </c>
      <c r="AD9272" s="464">
        <v>3203.8747699999999</v>
      </c>
      <c r="AE9272" s="465">
        <v>128.88875999999999</v>
      </c>
      <c r="AF9272" s="86">
        <f>IF(verze!$E$1="CZK",AD9272,IF(verze!$E$1="SK",AE9272,""))</f>
        <v>128.88875999999999</v>
      </c>
    </row>
    <row r="9273" spans="27:32" ht="15">
      <c r="AA9273" s="463" t="s">
        <v>1320</v>
      </c>
      <c r="AB9273" s="462" t="s">
        <v>26203</v>
      </c>
      <c r="AC9273" s="462" t="s">
        <v>26204</v>
      </c>
      <c r="AD9273" s="464">
        <v>2895.1167700000001</v>
      </c>
      <c r="AE9273" s="465">
        <v>116.41851</v>
      </c>
      <c r="AF9273" s="86">
        <f>IF(verze!$E$1="CZK",AD9273,IF(verze!$E$1="SK",AE9273,""))</f>
        <v>116.41851</v>
      </c>
    </row>
    <row r="9274" spans="27:32" ht="15">
      <c r="AA9274" s="463" t="s">
        <v>1320</v>
      </c>
      <c r="AB9274" s="462" t="s">
        <v>26205</v>
      </c>
      <c r="AC9274" s="462" t="s">
        <v>26206</v>
      </c>
      <c r="AD9274" s="464">
        <v>3203.8747699999999</v>
      </c>
      <c r="AE9274" s="465">
        <v>128.88875999999999</v>
      </c>
      <c r="AF9274" s="86">
        <f>IF(verze!$E$1="CZK",AD9274,IF(verze!$E$1="SK",AE9274,""))</f>
        <v>128.88875999999999</v>
      </c>
    </row>
    <row r="9275" spans="27:32" ht="15">
      <c r="AA9275" s="463" t="s">
        <v>1320</v>
      </c>
      <c r="AB9275" s="462" t="s">
        <v>26207</v>
      </c>
      <c r="AC9275" s="462" t="s">
        <v>26208</v>
      </c>
      <c r="AD9275" s="464">
        <v>3203.8747699999999</v>
      </c>
      <c r="AE9275" s="465">
        <v>128.88875999999999</v>
      </c>
      <c r="AF9275" s="86">
        <f>IF(verze!$E$1="CZK",AD9275,IF(verze!$E$1="SK",AE9275,""))</f>
        <v>128.88875999999999</v>
      </c>
    </row>
    <row r="9276" spans="27:32" ht="15">
      <c r="AA9276" s="463" t="s">
        <v>1320</v>
      </c>
      <c r="AB9276" s="462" t="s">
        <v>26209</v>
      </c>
      <c r="AC9276" s="462" t="s">
        <v>26210</v>
      </c>
      <c r="AD9276" s="464">
        <v>2895.1167700000001</v>
      </c>
      <c r="AE9276" s="465">
        <v>116.41851</v>
      </c>
      <c r="AF9276" s="86">
        <f>IF(verze!$E$1="CZK",AD9276,IF(verze!$E$1="SK",AE9276,""))</f>
        <v>116.41851</v>
      </c>
    </row>
    <row r="9277" spans="27:32" ht="15">
      <c r="AA9277" s="463" t="s">
        <v>1320</v>
      </c>
      <c r="AB9277" s="462" t="s">
        <v>26211</v>
      </c>
      <c r="AC9277" s="462" t="s">
        <v>26212</v>
      </c>
      <c r="AD9277" s="464">
        <v>6093.6366900000003</v>
      </c>
      <c r="AE9277" s="465">
        <v>246.11165</v>
      </c>
      <c r="AF9277" s="86">
        <f>IF(verze!$E$1="CZK",AD9277,IF(verze!$E$1="SK",AE9277,""))</f>
        <v>246.11165</v>
      </c>
    </row>
    <row r="9278" spans="27:32" ht="15">
      <c r="AA9278" s="463" t="s">
        <v>1320</v>
      </c>
      <c r="AB9278" s="462" t="s">
        <v>26213</v>
      </c>
      <c r="AC9278" s="462" t="s">
        <v>26214</v>
      </c>
      <c r="AD9278" s="464">
        <v>7191.5068899999997</v>
      </c>
      <c r="AE9278" s="465">
        <v>289.11815000000001</v>
      </c>
      <c r="AF9278" s="86">
        <f>IF(verze!$E$1="CZK",AD9278,IF(verze!$E$1="SK",AE9278,""))</f>
        <v>289.11815000000001</v>
      </c>
    </row>
    <row r="9279" spans="27:32" ht="15">
      <c r="AA9279" s="463" t="s">
        <v>1320</v>
      </c>
      <c r="AB9279" s="462" t="s">
        <v>26215</v>
      </c>
      <c r="AC9279" s="462" t="s">
        <v>26216</v>
      </c>
      <c r="AD9279" s="464">
        <v>7109.6052399999999</v>
      </c>
      <c r="AE9279" s="465">
        <v>285.8691</v>
      </c>
      <c r="AF9279" s="86">
        <f>IF(verze!$E$1="CZK",AD9279,IF(verze!$E$1="SK",AE9279,""))</f>
        <v>285.8691</v>
      </c>
    </row>
    <row r="9280" spans="27:32" ht="15">
      <c r="AA9280" s="463" t="s">
        <v>1320</v>
      </c>
      <c r="AB9280" s="462" t="s">
        <v>26217</v>
      </c>
      <c r="AC9280" s="462" t="s">
        <v>26218</v>
      </c>
      <c r="AD9280" s="464">
        <v>6248.4743500000004</v>
      </c>
      <c r="AE9280" s="465">
        <v>252.36498</v>
      </c>
      <c r="AF9280" s="86">
        <f>IF(verze!$E$1="CZK",AD9280,IF(verze!$E$1="SK",AE9280,""))</f>
        <v>252.36498</v>
      </c>
    </row>
    <row r="9281" spans="27:32" ht="15">
      <c r="AA9281" s="463" t="s">
        <v>1320</v>
      </c>
      <c r="AB9281" s="462" t="s">
        <v>26219</v>
      </c>
      <c r="AC9281" s="462" t="s">
        <v>26220</v>
      </c>
      <c r="AD9281" s="464">
        <v>6442.7360500000004</v>
      </c>
      <c r="AE9281" s="465">
        <v>259.41041999999999</v>
      </c>
      <c r="AF9281" s="86">
        <f>IF(verze!$E$1="CZK",AD9281,IF(verze!$E$1="SK",AE9281,""))</f>
        <v>259.41041999999999</v>
      </c>
    </row>
    <row r="9282" spans="27:32" ht="15">
      <c r="AA9282" s="463" t="s">
        <v>1320</v>
      </c>
      <c r="AB9282" s="462" t="s">
        <v>26221</v>
      </c>
      <c r="AC9282" s="462" t="s">
        <v>26222</v>
      </c>
      <c r="AD9282" s="464">
        <v>7467.5284700000002</v>
      </c>
      <c r="AE9282" s="465">
        <v>300.06981999999999</v>
      </c>
      <c r="AF9282" s="86">
        <f>IF(verze!$E$1="CZK",AD9282,IF(verze!$E$1="SK",AE9282,""))</f>
        <v>300.06981999999999</v>
      </c>
    </row>
    <row r="9283" spans="27:32" ht="15">
      <c r="AA9283" s="463" t="s">
        <v>1320</v>
      </c>
      <c r="AB9283" s="462" t="s">
        <v>26223</v>
      </c>
      <c r="AC9283" s="462" t="s">
        <v>26224</v>
      </c>
      <c r="AD9283" s="464">
        <v>5784.0724700000001</v>
      </c>
      <c r="AE9283" s="465">
        <v>233.60864000000001</v>
      </c>
      <c r="AF9283" s="86">
        <f>IF(verze!$E$1="CZK",AD9283,IF(verze!$E$1="SK",AE9283,""))</f>
        <v>233.60864000000001</v>
      </c>
    </row>
    <row r="9284" spans="27:32" ht="15">
      <c r="AA9284" s="463" t="s">
        <v>1320</v>
      </c>
      <c r="AB9284" s="462" t="s">
        <v>26225</v>
      </c>
      <c r="AC9284" s="462" t="s">
        <v>26226</v>
      </c>
      <c r="AD9284" s="464">
        <v>6442.7360500000004</v>
      </c>
      <c r="AE9284" s="465">
        <v>259.41041999999999</v>
      </c>
      <c r="AF9284" s="86">
        <f>IF(verze!$E$1="CZK",AD9284,IF(verze!$E$1="SK",AE9284,""))</f>
        <v>259.41041999999999</v>
      </c>
    </row>
    <row r="9285" spans="27:32" ht="15">
      <c r="AA9285" s="463" t="s">
        <v>1320</v>
      </c>
      <c r="AB9285" s="462" t="s">
        <v>26227</v>
      </c>
      <c r="AC9285" s="462" t="s">
        <v>26228</v>
      </c>
      <c r="AD9285" s="464">
        <v>6393.5995300000004</v>
      </c>
      <c r="AE9285" s="465">
        <v>257.46105999999997</v>
      </c>
      <c r="AF9285" s="86">
        <f>IF(verze!$E$1="CZK",AD9285,IF(verze!$E$1="SK",AE9285,""))</f>
        <v>257.46105999999997</v>
      </c>
    </row>
    <row r="9286" spans="27:32" ht="15">
      <c r="AA9286" s="463" t="s">
        <v>1320</v>
      </c>
      <c r="AB9286" s="462" t="s">
        <v>26229</v>
      </c>
      <c r="AC9286" s="462" t="s">
        <v>26230</v>
      </c>
      <c r="AD9286" s="464">
        <v>5938.8434699999998</v>
      </c>
      <c r="AE9286" s="465">
        <v>239.85978</v>
      </c>
      <c r="AF9286" s="86">
        <f>IF(verze!$E$1="CZK",AD9286,IF(verze!$E$1="SK",AE9286,""))</f>
        <v>239.85978</v>
      </c>
    </row>
    <row r="9287" spans="27:32" ht="15">
      <c r="AA9287" s="463" t="s">
        <v>1320</v>
      </c>
      <c r="AB9287" s="462" t="s">
        <v>26231</v>
      </c>
      <c r="AC9287" s="462" t="s">
        <v>26232</v>
      </c>
      <c r="AD9287" s="464">
        <v>6817.1396299999997</v>
      </c>
      <c r="AE9287" s="465">
        <v>274.26497999999998</v>
      </c>
      <c r="AF9287" s="86">
        <f>IF(verze!$E$1="CZK",AD9287,IF(verze!$E$1="SK",AE9287,""))</f>
        <v>274.26497999999998</v>
      </c>
    </row>
    <row r="9288" spans="27:32" ht="15">
      <c r="AA9288" s="463" t="s">
        <v>1320</v>
      </c>
      <c r="AB9288" s="462" t="s">
        <v>26233</v>
      </c>
      <c r="AC9288" s="462" t="s">
        <v>26234</v>
      </c>
      <c r="AD9288" s="464">
        <v>6751.6183099999998</v>
      </c>
      <c r="AE9288" s="465">
        <v>271.66574000000003</v>
      </c>
      <c r="AF9288" s="86">
        <f>IF(verze!$E$1="CZK",AD9288,IF(verze!$E$1="SK",AE9288,""))</f>
        <v>271.66574000000003</v>
      </c>
    </row>
    <row r="9289" spans="27:32" ht="15">
      <c r="AA9289" s="463" t="s">
        <v>1320</v>
      </c>
      <c r="AB9289" s="462" t="s">
        <v>26235</v>
      </c>
      <c r="AC9289" s="462" t="s">
        <v>26236</v>
      </c>
      <c r="AD9289" s="464">
        <v>2915.2278799999999</v>
      </c>
      <c r="AE9289" s="465">
        <v>117.74101</v>
      </c>
      <c r="AF9289" s="86">
        <f>IF(verze!$E$1="CZK",AD9289,IF(verze!$E$1="SK",AE9289,""))</f>
        <v>117.74101</v>
      </c>
    </row>
    <row r="9290" spans="27:32" ht="15">
      <c r="AA9290" s="463" t="s">
        <v>1320</v>
      </c>
      <c r="AB9290" s="462" t="s">
        <v>26237</v>
      </c>
      <c r="AC9290" s="462" t="s">
        <v>26238</v>
      </c>
      <c r="AD9290" s="464">
        <v>2915.2278799999999</v>
      </c>
      <c r="AE9290" s="465">
        <v>117.74101</v>
      </c>
      <c r="AF9290" s="86">
        <f>IF(verze!$E$1="CZK",AD9290,IF(verze!$E$1="SK",AE9290,""))</f>
        <v>117.74101</v>
      </c>
    </row>
    <row r="9291" spans="27:32" ht="15">
      <c r="AA9291" s="463" t="s">
        <v>1320</v>
      </c>
      <c r="AB9291" s="462" t="s">
        <v>26239</v>
      </c>
      <c r="AC9291" s="462" t="s">
        <v>26240</v>
      </c>
      <c r="AD9291" s="464">
        <v>3244.5596700000001</v>
      </c>
      <c r="AE9291" s="465">
        <v>130.64189999999999</v>
      </c>
      <c r="AF9291" s="86">
        <f>IF(verze!$E$1="CZK",AD9291,IF(verze!$E$1="SK",AE9291,""))</f>
        <v>130.64189999999999</v>
      </c>
    </row>
    <row r="9292" spans="27:32" ht="15">
      <c r="AA9292" s="463" t="s">
        <v>1320</v>
      </c>
      <c r="AB9292" s="462" t="s">
        <v>26241</v>
      </c>
      <c r="AC9292" s="462" t="s">
        <v>26242</v>
      </c>
      <c r="AD9292" s="464">
        <v>3244.5596700000001</v>
      </c>
      <c r="AE9292" s="465">
        <v>130.64189999999999</v>
      </c>
      <c r="AF9292" s="86">
        <f>IF(verze!$E$1="CZK",AD9292,IF(verze!$E$1="SK",AE9292,""))</f>
        <v>130.64189999999999</v>
      </c>
    </row>
    <row r="9293" spans="27:32" ht="15">
      <c r="AA9293" s="463" t="s">
        <v>1320</v>
      </c>
      <c r="AB9293" s="462" t="s">
        <v>26243</v>
      </c>
      <c r="AC9293" s="462" t="s">
        <v>26244</v>
      </c>
      <c r="AD9293" s="464">
        <v>3219.9914100000001</v>
      </c>
      <c r="AE9293" s="465">
        <v>129.66721999999999</v>
      </c>
      <c r="AF9293" s="86">
        <f>IF(verze!$E$1="CZK",AD9293,IF(verze!$E$1="SK",AE9293,""))</f>
        <v>129.66721999999999</v>
      </c>
    </row>
    <row r="9294" spans="27:32" ht="15">
      <c r="AA9294" s="463" t="s">
        <v>1320</v>
      </c>
      <c r="AB9294" s="462" t="s">
        <v>26245</v>
      </c>
      <c r="AC9294" s="462" t="s">
        <v>26246</v>
      </c>
      <c r="AD9294" s="464">
        <v>3219.9914100000001</v>
      </c>
      <c r="AE9294" s="465">
        <v>129.66721999999999</v>
      </c>
      <c r="AF9294" s="86">
        <f>IF(verze!$E$1="CZK",AD9294,IF(verze!$E$1="SK",AE9294,""))</f>
        <v>129.66721999999999</v>
      </c>
    </row>
    <row r="9295" spans="27:32" ht="15">
      <c r="AA9295" s="463" t="s">
        <v>1320</v>
      </c>
      <c r="AB9295" s="462" t="s">
        <v>26247</v>
      </c>
      <c r="AC9295" s="462" t="s">
        <v>26248</v>
      </c>
      <c r="AD9295" s="464">
        <v>2992.6133799999998</v>
      </c>
      <c r="AE9295" s="465">
        <v>120.86658</v>
      </c>
      <c r="AF9295" s="86">
        <f>IF(verze!$E$1="CZK",AD9295,IF(verze!$E$1="SK",AE9295,""))</f>
        <v>120.86658</v>
      </c>
    </row>
    <row r="9296" spans="27:32" ht="15">
      <c r="AA9296" s="463" t="s">
        <v>1320</v>
      </c>
      <c r="AB9296" s="462" t="s">
        <v>26249</v>
      </c>
      <c r="AC9296" s="462" t="s">
        <v>26250</v>
      </c>
      <c r="AD9296" s="464">
        <v>2992.6133799999998</v>
      </c>
      <c r="AE9296" s="465">
        <v>120.86658</v>
      </c>
      <c r="AF9296" s="86">
        <f>IF(verze!$E$1="CZK",AD9296,IF(verze!$E$1="SK",AE9296,""))</f>
        <v>120.86658</v>
      </c>
    </row>
    <row r="9297" spans="27:32" ht="15">
      <c r="AA9297" s="463" t="s">
        <v>1320</v>
      </c>
      <c r="AB9297" s="462" t="s">
        <v>26251</v>
      </c>
      <c r="AC9297" s="462" t="s">
        <v>26252</v>
      </c>
      <c r="AD9297" s="464">
        <v>3431.7614600000002</v>
      </c>
      <c r="AE9297" s="465">
        <v>138.06917999999999</v>
      </c>
      <c r="AF9297" s="86">
        <f>IF(verze!$E$1="CZK",AD9297,IF(verze!$E$1="SK",AE9297,""))</f>
        <v>138.06917999999999</v>
      </c>
    </row>
    <row r="9298" spans="27:32" ht="15">
      <c r="AA9298" s="463" t="s">
        <v>1320</v>
      </c>
      <c r="AB9298" s="462" t="s">
        <v>26253</v>
      </c>
      <c r="AC9298" s="462" t="s">
        <v>26254</v>
      </c>
      <c r="AD9298" s="464">
        <v>3431.7614600000002</v>
      </c>
      <c r="AE9298" s="465">
        <v>138.06917999999999</v>
      </c>
      <c r="AF9298" s="86">
        <f>IF(verze!$E$1="CZK",AD9298,IF(verze!$E$1="SK",AE9298,""))</f>
        <v>138.06917999999999</v>
      </c>
    </row>
    <row r="9299" spans="27:32" ht="15">
      <c r="AA9299" s="463" t="s">
        <v>1320</v>
      </c>
      <c r="AB9299" s="462" t="s">
        <v>26255</v>
      </c>
      <c r="AC9299" s="462" t="s">
        <v>26256</v>
      </c>
      <c r="AD9299" s="464">
        <v>3399.0007999999998</v>
      </c>
      <c r="AE9299" s="465">
        <v>136.76956000000001</v>
      </c>
      <c r="AF9299" s="86">
        <f>IF(verze!$E$1="CZK",AD9299,IF(verze!$E$1="SK",AE9299,""))</f>
        <v>136.76956000000001</v>
      </c>
    </row>
    <row r="9300" spans="27:32" ht="15">
      <c r="AA9300" s="463" t="s">
        <v>1320</v>
      </c>
      <c r="AB9300" s="462" t="s">
        <v>26257</v>
      </c>
      <c r="AC9300" s="462" t="s">
        <v>26258</v>
      </c>
      <c r="AD9300" s="464">
        <v>3399.0007999999998</v>
      </c>
      <c r="AE9300" s="465">
        <v>136.76956000000001</v>
      </c>
      <c r="AF9300" s="86">
        <f>IF(verze!$E$1="CZK",AD9300,IF(verze!$E$1="SK",AE9300,""))</f>
        <v>136.76956000000001</v>
      </c>
    </row>
    <row r="9301" spans="27:32" ht="15">
      <c r="AA9301" s="463" t="s">
        <v>1320</v>
      </c>
      <c r="AB9301" s="462" t="s">
        <v>26259</v>
      </c>
      <c r="AC9301" s="462" t="s">
        <v>26260</v>
      </c>
      <c r="AD9301" s="464">
        <v>3070.0210999999999</v>
      </c>
      <c r="AE9301" s="465">
        <v>123.99288</v>
      </c>
      <c r="AF9301" s="86">
        <f>IF(verze!$E$1="CZK",AD9301,IF(verze!$E$1="SK",AE9301,""))</f>
        <v>123.99288</v>
      </c>
    </row>
    <row r="9302" spans="27:32" ht="15">
      <c r="AA9302" s="463" t="s">
        <v>1320</v>
      </c>
      <c r="AB9302" s="462" t="s">
        <v>26261</v>
      </c>
      <c r="AC9302" s="462" t="s">
        <v>26262</v>
      </c>
      <c r="AD9302" s="464">
        <v>3070.0210999999999</v>
      </c>
      <c r="AE9302" s="465">
        <v>123.99288</v>
      </c>
      <c r="AF9302" s="86">
        <f>IF(verze!$E$1="CZK",AD9302,IF(verze!$E$1="SK",AE9302,""))</f>
        <v>123.99288</v>
      </c>
    </row>
    <row r="9303" spans="27:32" ht="15">
      <c r="AA9303" s="463" t="s">
        <v>1320</v>
      </c>
      <c r="AB9303" s="462" t="s">
        <v>26263</v>
      </c>
      <c r="AC9303" s="462" t="s">
        <v>26264</v>
      </c>
      <c r="AD9303" s="464">
        <v>3618.9269300000001</v>
      </c>
      <c r="AE9303" s="465">
        <v>145.49507</v>
      </c>
      <c r="AF9303" s="86">
        <f>IF(verze!$E$1="CZK",AD9303,IF(verze!$E$1="SK",AE9303,""))</f>
        <v>145.49507</v>
      </c>
    </row>
    <row r="9304" spans="27:32" ht="15">
      <c r="AA9304" s="463" t="s">
        <v>1320</v>
      </c>
      <c r="AB9304" s="462" t="s">
        <v>26265</v>
      </c>
      <c r="AC9304" s="462" t="s">
        <v>26266</v>
      </c>
      <c r="AD9304" s="464">
        <v>3618.9269300000001</v>
      </c>
      <c r="AE9304" s="465">
        <v>145.49507</v>
      </c>
      <c r="AF9304" s="86">
        <f>IF(verze!$E$1="CZK",AD9304,IF(verze!$E$1="SK",AE9304,""))</f>
        <v>145.49507</v>
      </c>
    </row>
    <row r="9305" spans="27:32" ht="15">
      <c r="AA9305" s="463" t="s">
        <v>1320</v>
      </c>
      <c r="AB9305" s="462" t="s">
        <v>26267</v>
      </c>
      <c r="AC9305" s="462" t="s">
        <v>26268</v>
      </c>
      <c r="AD9305" s="464">
        <v>3577.9783400000001</v>
      </c>
      <c r="AE9305" s="465">
        <v>143.87057999999999</v>
      </c>
      <c r="AF9305" s="86">
        <f>IF(verze!$E$1="CZK",AD9305,IF(verze!$E$1="SK",AE9305,""))</f>
        <v>143.87057999999999</v>
      </c>
    </row>
    <row r="9306" spans="27:32" ht="15">
      <c r="AA9306" s="463" t="s">
        <v>1320</v>
      </c>
      <c r="AB9306" s="462" t="s">
        <v>26269</v>
      </c>
      <c r="AC9306" s="462" t="s">
        <v>26270</v>
      </c>
      <c r="AD9306" s="464">
        <v>3577.9783400000001</v>
      </c>
      <c r="AE9306" s="465">
        <v>143.87057999999999</v>
      </c>
      <c r="AF9306" s="86">
        <f>IF(verze!$E$1="CZK",AD9306,IF(verze!$E$1="SK",AE9306,""))</f>
        <v>143.87057999999999</v>
      </c>
    </row>
    <row r="9307" spans="27:32" ht="15">
      <c r="AA9307" s="463" t="s">
        <v>1320</v>
      </c>
      <c r="AB9307" s="462" t="s">
        <v>26271</v>
      </c>
      <c r="AC9307" s="462" t="s">
        <v>26272</v>
      </c>
      <c r="AD9307" s="464">
        <v>0</v>
      </c>
      <c r="AE9307" s="465">
        <v>0</v>
      </c>
      <c r="AF9307" s="86">
        <f>IF(verze!$E$1="CZK",AD9307,IF(verze!$E$1="SK",AE9307,""))</f>
        <v>0</v>
      </c>
    </row>
    <row r="9308" spans="27:32" ht="15">
      <c r="AA9308" s="463" t="s">
        <v>1320</v>
      </c>
      <c r="AB9308" s="462" t="s">
        <v>26273</v>
      </c>
      <c r="AC9308" s="462" t="s">
        <v>26274</v>
      </c>
      <c r="AD9308" s="464">
        <v>3147.4288200000001</v>
      </c>
      <c r="AE9308" s="465">
        <v>127.11918</v>
      </c>
      <c r="AF9308" s="86">
        <f>IF(verze!$E$1="CZK",AD9308,IF(verze!$E$1="SK",AE9308,""))</f>
        <v>127.11918</v>
      </c>
    </row>
    <row r="9309" spans="27:32" ht="15">
      <c r="AA9309" s="463" t="s">
        <v>1320</v>
      </c>
      <c r="AB9309" s="462" t="s">
        <v>26275</v>
      </c>
      <c r="AC9309" s="462" t="s">
        <v>26276</v>
      </c>
      <c r="AD9309" s="464">
        <v>3806.0924</v>
      </c>
      <c r="AE9309" s="465">
        <v>152.92096000000001</v>
      </c>
      <c r="AF9309" s="86">
        <f>IF(verze!$E$1="CZK",AD9309,IF(verze!$E$1="SK",AE9309,""))</f>
        <v>152.92096000000001</v>
      </c>
    </row>
    <row r="9310" spans="27:32" ht="15">
      <c r="AA9310" s="463" t="s">
        <v>1320</v>
      </c>
      <c r="AB9310" s="462" t="s">
        <v>26277</v>
      </c>
      <c r="AC9310" s="462" t="s">
        <v>26278</v>
      </c>
      <c r="AD9310" s="464">
        <v>3806.0924</v>
      </c>
      <c r="AE9310" s="465">
        <v>152.92096000000001</v>
      </c>
      <c r="AF9310" s="86">
        <f>IF(verze!$E$1="CZK",AD9310,IF(verze!$E$1="SK",AE9310,""))</f>
        <v>152.92096000000001</v>
      </c>
    </row>
    <row r="9311" spans="27:32" ht="15">
      <c r="AA9311" s="463" t="s">
        <v>1320</v>
      </c>
      <c r="AB9311" s="462" t="s">
        <v>26279</v>
      </c>
      <c r="AC9311" s="462" t="s">
        <v>26280</v>
      </c>
      <c r="AD9311" s="464">
        <v>3756.95588</v>
      </c>
      <c r="AE9311" s="465">
        <v>150.9716</v>
      </c>
      <c r="AF9311" s="86">
        <f>IF(verze!$E$1="CZK",AD9311,IF(verze!$E$1="SK",AE9311,""))</f>
        <v>150.9716</v>
      </c>
    </row>
    <row r="9312" spans="27:32" ht="15">
      <c r="AA9312" s="463" t="s">
        <v>1320</v>
      </c>
      <c r="AB9312" s="462" t="s">
        <v>26281</v>
      </c>
      <c r="AC9312" s="462" t="s">
        <v>26282</v>
      </c>
      <c r="AD9312" s="464">
        <v>3756.95588</v>
      </c>
      <c r="AE9312" s="465">
        <v>150.9716</v>
      </c>
      <c r="AF9312" s="86">
        <f>IF(verze!$E$1="CZK",AD9312,IF(verze!$E$1="SK",AE9312,""))</f>
        <v>150.9716</v>
      </c>
    </row>
    <row r="9313" spans="27:32" ht="15">
      <c r="AA9313" s="463" t="s">
        <v>1320</v>
      </c>
      <c r="AB9313" s="462" t="s">
        <v>26283</v>
      </c>
      <c r="AC9313" s="462" t="s">
        <v>26284</v>
      </c>
      <c r="AD9313" s="464">
        <v>4293.8942200000001</v>
      </c>
      <c r="AE9313" s="465">
        <v>173.42296999999999</v>
      </c>
      <c r="AF9313" s="86">
        <f>IF(verze!$E$1="CZK",AD9313,IF(verze!$E$1="SK",AE9313,""))</f>
        <v>173.42296999999999</v>
      </c>
    </row>
    <row r="9314" spans="27:32" ht="15">
      <c r="AA9314" s="463" t="s">
        <v>1320</v>
      </c>
      <c r="AB9314" s="462" t="s">
        <v>26285</v>
      </c>
      <c r="AC9314" s="462" t="s">
        <v>26286</v>
      </c>
      <c r="AD9314" s="464">
        <v>4293.8942200000001</v>
      </c>
      <c r="AE9314" s="465">
        <v>173.42296999999999</v>
      </c>
      <c r="AF9314" s="86">
        <f>IF(verze!$E$1="CZK",AD9314,IF(verze!$E$1="SK",AE9314,""))</f>
        <v>173.42296999999999</v>
      </c>
    </row>
    <row r="9315" spans="27:32" ht="15">
      <c r="AA9315" s="463" t="s">
        <v>1320</v>
      </c>
      <c r="AB9315" s="462" t="s">
        <v>26287</v>
      </c>
      <c r="AC9315" s="462" t="s">
        <v>26288</v>
      </c>
      <c r="AD9315" s="464">
        <v>3840.2301000000002</v>
      </c>
      <c r="AE9315" s="465">
        <v>155.10037</v>
      </c>
      <c r="AF9315" s="86">
        <f>IF(verze!$E$1="CZK",AD9315,IF(verze!$E$1="SK",AE9315,""))</f>
        <v>155.10037</v>
      </c>
    </row>
    <row r="9316" spans="27:32" ht="15">
      <c r="AA9316" s="463" t="s">
        <v>1320</v>
      </c>
      <c r="AB9316" s="462" t="s">
        <v>26289</v>
      </c>
      <c r="AC9316" s="462" t="s">
        <v>26290</v>
      </c>
      <c r="AD9316" s="464">
        <v>4733.0423000000001</v>
      </c>
      <c r="AE9316" s="465">
        <v>190.62557000000001</v>
      </c>
      <c r="AF9316" s="86">
        <f>IF(verze!$E$1="CZK",AD9316,IF(verze!$E$1="SK",AE9316,""))</f>
        <v>190.62557000000001</v>
      </c>
    </row>
    <row r="9317" spans="27:32" ht="15">
      <c r="AA9317" s="463" t="s">
        <v>1320</v>
      </c>
      <c r="AB9317" s="462" t="s">
        <v>26291</v>
      </c>
      <c r="AC9317" s="462" t="s">
        <v>26292</v>
      </c>
      <c r="AD9317" s="464">
        <v>4733.0423000000001</v>
      </c>
      <c r="AE9317" s="465">
        <v>190.62557000000001</v>
      </c>
      <c r="AF9317" s="86">
        <f>IF(verze!$E$1="CZK",AD9317,IF(verze!$E$1="SK",AE9317,""))</f>
        <v>190.62557000000001</v>
      </c>
    </row>
    <row r="9318" spans="27:32" ht="15">
      <c r="AA9318" s="463" t="s">
        <v>1320</v>
      </c>
      <c r="AB9318" s="462" t="s">
        <v>26293</v>
      </c>
      <c r="AC9318" s="462" t="s">
        <v>26294</v>
      </c>
      <c r="AD9318" s="464">
        <v>4307.4990600000001</v>
      </c>
      <c r="AE9318" s="465">
        <v>173.43879000000001</v>
      </c>
      <c r="AF9318" s="86">
        <f>IF(verze!$E$1="CZK",AD9318,IF(verze!$E$1="SK",AE9318,""))</f>
        <v>173.43879000000001</v>
      </c>
    </row>
    <row r="9319" spans="27:32" ht="15">
      <c r="AA9319" s="463" t="s">
        <v>1320</v>
      </c>
      <c r="AB9319" s="462" t="s">
        <v>26295</v>
      </c>
      <c r="AC9319" s="462" t="s">
        <v>26296</v>
      </c>
      <c r="AD9319" s="464">
        <v>4700.2816400000002</v>
      </c>
      <c r="AE9319" s="465">
        <v>189.32595000000001</v>
      </c>
      <c r="AF9319" s="86">
        <f>IF(verze!$E$1="CZK",AD9319,IF(verze!$E$1="SK",AE9319,""))</f>
        <v>189.32595000000001</v>
      </c>
    </row>
    <row r="9320" spans="27:32" ht="15">
      <c r="AA9320" s="463" t="s">
        <v>1320</v>
      </c>
      <c r="AB9320" s="462" t="s">
        <v>26297</v>
      </c>
      <c r="AC9320" s="462" t="s">
        <v>26298</v>
      </c>
      <c r="AD9320" s="464">
        <v>4700.2816400000002</v>
      </c>
      <c r="AE9320" s="465">
        <v>189.32595000000001</v>
      </c>
      <c r="AF9320" s="86">
        <f>IF(verze!$E$1="CZK",AD9320,IF(verze!$E$1="SK",AE9320,""))</f>
        <v>189.32595000000001</v>
      </c>
    </row>
    <row r="9321" spans="27:32" ht="15">
      <c r="AA9321" s="463" t="s">
        <v>1320</v>
      </c>
      <c r="AB9321" s="462" t="s">
        <v>26299</v>
      </c>
      <c r="AC9321" s="462" t="s">
        <v>26300</v>
      </c>
      <c r="AD9321" s="464">
        <v>4274.7384000000002</v>
      </c>
      <c r="AE9321" s="465">
        <v>172.13917000000001</v>
      </c>
      <c r="AF9321" s="86">
        <f>IF(verze!$E$1="CZK",AD9321,IF(verze!$E$1="SK",AE9321,""))</f>
        <v>172.13917000000001</v>
      </c>
    </row>
    <row r="9322" spans="27:32" ht="15">
      <c r="AA9322" s="463" t="s">
        <v>1320</v>
      </c>
      <c r="AB9322" s="462" t="s">
        <v>26301</v>
      </c>
      <c r="AC9322" s="462" t="s">
        <v>26302</v>
      </c>
      <c r="AD9322" s="464">
        <v>4906.0078299999996</v>
      </c>
      <c r="AE9322" s="465">
        <v>198.14506</v>
      </c>
      <c r="AF9322" s="86">
        <f>IF(verze!$E$1="CZK",AD9322,IF(verze!$E$1="SK",AE9322,""))</f>
        <v>198.14506</v>
      </c>
    </row>
    <row r="9323" spans="27:32" ht="15">
      <c r="AA9323" s="463" t="s">
        <v>1320</v>
      </c>
      <c r="AB9323" s="462" t="s">
        <v>26303</v>
      </c>
      <c r="AC9323" s="462" t="s">
        <v>26304</v>
      </c>
      <c r="AD9323" s="464">
        <v>4906.0078299999996</v>
      </c>
      <c r="AE9323" s="465">
        <v>198.14506</v>
      </c>
      <c r="AF9323" s="86">
        <f>IF(verze!$E$1="CZK",AD9323,IF(verze!$E$1="SK",AE9323,""))</f>
        <v>198.14506</v>
      </c>
    </row>
    <row r="9324" spans="27:32" ht="15">
      <c r="AA9324" s="463" t="s">
        <v>1320</v>
      </c>
      <c r="AB9324" s="462" t="s">
        <v>26305</v>
      </c>
      <c r="AC9324" s="462" t="s">
        <v>26306</v>
      </c>
      <c r="AD9324" s="464">
        <v>4331.5234</v>
      </c>
      <c r="AE9324" s="465">
        <v>174.94278</v>
      </c>
      <c r="AF9324" s="86">
        <f>IF(verze!$E$1="CZK",AD9324,IF(verze!$E$1="SK",AE9324,""))</f>
        <v>174.94278</v>
      </c>
    </row>
    <row r="9325" spans="27:32" ht="15">
      <c r="AA9325" s="463" t="s">
        <v>1320</v>
      </c>
      <c r="AB9325" s="462" t="s">
        <v>26307</v>
      </c>
      <c r="AC9325" s="462" t="s">
        <v>26308</v>
      </c>
      <c r="AD9325" s="464">
        <v>5564.6714099999999</v>
      </c>
      <c r="AE9325" s="465">
        <v>223.94684000000001</v>
      </c>
      <c r="AF9325" s="86">
        <f>IF(verze!$E$1="CZK",AD9325,IF(verze!$E$1="SK",AE9325,""))</f>
        <v>223.94684000000001</v>
      </c>
    </row>
    <row r="9326" spans="27:32" ht="15">
      <c r="AA9326" s="463" t="s">
        <v>1320</v>
      </c>
      <c r="AB9326" s="462" t="s">
        <v>26309</v>
      </c>
      <c r="AC9326" s="462" t="s">
        <v>26310</v>
      </c>
      <c r="AD9326" s="464">
        <v>5564.6714099999999</v>
      </c>
      <c r="AE9326" s="465">
        <v>223.94684000000001</v>
      </c>
      <c r="AF9326" s="86">
        <f>IF(verze!$E$1="CZK",AD9326,IF(verze!$E$1="SK",AE9326,""))</f>
        <v>223.94684000000001</v>
      </c>
    </row>
    <row r="9327" spans="27:32" ht="15">
      <c r="AA9327" s="463" t="s">
        <v>1320</v>
      </c>
      <c r="AB9327" s="462" t="s">
        <v>26311</v>
      </c>
      <c r="AC9327" s="462" t="s">
        <v>26312</v>
      </c>
      <c r="AD9327" s="464">
        <v>5032.4083199999995</v>
      </c>
      <c r="AE9327" s="465">
        <v>202.44980000000001</v>
      </c>
      <c r="AF9327" s="86">
        <f>IF(verze!$E$1="CZK",AD9327,IF(verze!$E$1="SK",AE9327,""))</f>
        <v>202.44980000000001</v>
      </c>
    </row>
    <row r="9328" spans="27:32" ht="15">
      <c r="AA9328" s="463" t="s">
        <v>1320</v>
      </c>
      <c r="AB9328" s="462" t="s">
        <v>26313</v>
      </c>
      <c r="AC9328" s="462" t="s">
        <v>26314</v>
      </c>
      <c r="AD9328" s="464">
        <v>5515.5348899999999</v>
      </c>
      <c r="AE9328" s="465">
        <v>221.99748</v>
      </c>
      <c r="AF9328" s="86">
        <f>IF(verze!$E$1="CZK",AD9328,IF(verze!$E$1="SK",AE9328,""))</f>
        <v>221.99748</v>
      </c>
    </row>
    <row r="9329" spans="27:32" ht="15">
      <c r="AA9329" s="463" t="s">
        <v>1320</v>
      </c>
      <c r="AB9329" s="462" t="s">
        <v>26315</v>
      </c>
      <c r="AC9329" s="462" t="s">
        <v>26316</v>
      </c>
      <c r="AD9329" s="464">
        <v>5515.5348899999999</v>
      </c>
      <c r="AE9329" s="465">
        <v>221.99748</v>
      </c>
      <c r="AF9329" s="86">
        <f>IF(verze!$E$1="CZK",AD9329,IF(verze!$E$1="SK",AE9329,""))</f>
        <v>221.99748</v>
      </c>
    </row>
    <row r="9330" spans="27:32" ht="15">
      <c r="AA9330" s="463" t="s">
        <v>1320</v>
      </c>
      <c r="AB9330" s="462" t="s">
        <v>26317</v>
      </c>
      <c r="AC9330" s="462" t="s">
        <v>26318</v>
      </c>
      <c r="AD9330" s="464">
        <v>4983.2718000000004</v>
      </c>
      <c r="AE9330" s="465">
        <v>200.50044</v>
      </c>
      <c r="AF9330" s="86">
        <f>IF(verze!$E$1="CZK",AD9330,IF(verze!$E$1="SK",AE9330,""))</f>
        <v>200.50044</v>
      </c>
    </row>
    <row r="9331" spans="27:32" ht="15">
      <c r="AA9331" s="463" t="s">
        <v>1320</v>
      </c>
      <c r="AB9331" s="462" t="s">
        <v>26319</v>
      </c>
      <c r="AC9331" s="462" t="s">
        <v>26320</v>
      </c>
      <c r="AD9331" s="464">
        <v>2369.1538700000001</v>
      </c>
      <c r="AE9331" s="465">
        <v>95.686009999999996</v>
      </c>
      <c r="AF9331" s="86">
        <f>IF(verze!$E$1="CZK",AD9331,IF(verze!$E$1="SK",AE9331,""))</f>
        <v>95.686009999999996</v>
      </c>
    </row>
    <row r="9332" spans="27:32" ht="15">
      <c r="AA9332" s="463" t="s">
        <v>1320</v>
      </c>
      <c r="AB9332" s="462" t="s">
        <v>26321</v>
      </c>
      <c r="AC9332" s="462" t="s">
        <v>26322</v>
      </c>
      <c r="AD9332" s="464">
        <v>2369.1538700000001</v>
      </c>
      <c r="AE9332" s="465">
        <v>95.686009999999996</v>
      </c>
      <c r="AF9332" s="86">
        <f>IF(verze!$E$1="CZK",AD9332,IF(verze!$E$1="SK",AE9332,""))</f>
        <v>95.686009999999996</v>
      </c>
    </row>
    <row r="9333" spans="27:32" ht="15">
      <c r="AA9333" s="463" t="s">
        <v>1320</v>
      </c>
      <c r="AB9333" s="462" t="s">
        <v>26323</v>
      </c>
      <c r="AC9333" s="462" t="s">
        <v>26324</v>
      </c>
      <c r="AD9333" s="464">
        <v>2090.4628299999999</v>
      </c>
      <c r="AE9333" s="465">
        <v>84.430229999999995</v>
      </c>
      <c r="AF9333" s="86">
        <f>IF(verze!$E$1="CZK",AD9333,IF(verze!$E$1="SK",AE9333,""))</f>
        <v>84.430229999999995</v>
      </c>
    </row>
    <row r="9334" spans="27:32" ht="15">
      <c r="AA9334" s="463" t="s">
        <v>1320</v>
      </c>
      <c r="AB9334" s="462" t="s">
        <v>26325</v>
      </c>
      <c r="AC9334" s="462" t="s">
        <v>26326</v>
      </c>
      <c r="AD9334" s="464">
        <v>2369.1538700000001</v>
      </c>
      <c r="AE9334" s="465">
        <v>95.686009999999996</v>
      </c>
      <c r="AF9334" s="86">
        <f>IF(verze!$E$1="CZK",AD9334,IF(verze!$E$1="SK",AE9334,""))</f>
        <v>95.686009999999996</v>
      </c>
    </row>
    <row r="9335" spans="27:32" ht="15">
      <c r="AA9335" s="463" t="s">
        <v>1320</v>
      </c>
      <c r="AB9335" s="462" t="s">
        <v>26327</v>
      </c>
      <c r="AC9335" s="462" t="s">
        <v>26328</v>
      </c>
      <c r="AD9335" s="464">
        <v>2369.1538700000001</v>
      </c>
      <c r="AE9335" s="465">
        <v>95.686009999999996</v>
      </c>
      <c r="AF9335" s="86">
        <f>IF(verze!$E$1="CZK",AD9335,IF(verze!$E$1="SK",AE9335,""))</f>
        <v>95.686009999999996</v>
      </c>
    </row>
    <row r="9336" spans="27:32" ht="15">
      <c r="AA9336" s="463" t="s">
        <v>1320</v>
      </c>
      <c r="AB9336" s="462" t="s">
        <v>26329</v>
      </c>
      <c r="AC9336" s="462" t="s">
        <v>26330</v>
      </c>
      <c r="AD9336" s="464">
        <v>2090.4628299999999</v>
      </c>
      <c r="AE9336" s="465">
        <v>84.430229999999995</v>
      </c>
      <c r="AF9336" s="86">
        <f>IF(verze!$E$1="CZK",AD9336,IF(verze!$E$1="SK",AE9336,""))</f>
        <v>84.430229999999995</v>
      </c>
    </row>
    <row r="9337" spans="27:32" ht="15">
      <c r="AA9337" s="463" t="s">
        <v>1320</v>
      </c>
      <c r="AB9337" s="462" t="s">
        <v>26331</v>
      </c>
      <c r="AC9337" s="462" t="s">
        <v>26332</v>
      </c>
      <c r="AD9337" s="464">
        <v>2588.7279100000001</v>
      </c>
      <c r="AE9337" s="465">
        <v>104.28731000000001</v>
      </c>
      <c r="AF9337" s="86">
        <f>IF(verze!$E$1="CZK",AD9337,IF(verze!$E$1="SK",AE9337,""))</f>
        <v>104.28731000000001</v>
      </c>
    </row>
    <row r="9338" spans="27:32" ht="15">
      <c r="AA9338" s="463" t="s">
        <v>1320</v>
      </c>
      <c r="AB9338" s="462" t="s">
        <v>26333</v>
      </c>
      <c r="AC9338" s="462" t="s">
        <v>26334</v>
      </c>
      <c r="AD9338" s="464">
        <v>2588.7279100000001</v>
      </c>
      <c r="AE9338" s="465">
        <v>104.28731000000001</v>
      </c>
      <c r="AF9338" s="86">
        <f>IF(verze!$E$1="CZK",AD9338,IF(verze!$E$1="SK",AE9338,""))</f>
        <v>104.28731000000001</v>
      </c>
    </row>
    <row r="9339" spans="27:32" ht="15">
      <c r="AA9339" s="463" t="s">
        <v>1320</v>
      </c>
      <c r="AB9339" s="462" t="s">
        <v>26335</v>
      </c>
      <c r="AC9339" s="462" t="s">
        <v>26336</v>
      </c>
      <c r="AD9339" s="464">
        <v>2324.0973100000001</v>
      </c>
      <c r="AE9339" s="465">
        <v>93.599440000000001</v>
      </c>
      <c r="AF9339" s="86">
        <f>IF(verze!$E$1="CZK",AD9339,IF(verze!$E$1="SK",AE9339,""))</f>
        <v>93.599440000000001</v>
      </c>
    </row>
    <row r="9340" spans="27:32" ht="15">
      <c r="AA9340" s="463" t="s">
        <v>1320</v>
      </c>
      <c r="AB9340" s="462" t="s">
        <v>26337</v>
      </c>
      <c r="AC9340" s="462" t="s">
        <v>26338</v>
      </c>
      <c r="AD9340" s="464">
        <v>2588.7279100000001</v>
      </c>
      <c r="AE9340" s="465">
        <v>104.28731000000001</v>
      </c>
      <c r="AF9340" s="86">
        <f>IF(verze!$E$1="CZK",AD9340,IF(verze!$E$1="SK",AE9340,""))</f>
        <v>104.28731000000001</v>
      </c>
    </row>
    <row r="9341" spans="27:32" ht="15">
      <c r="AA9341" s="463" t="s">
        <v>1320</v>
      </c>
      <c r="AB9341" s="462" t="s">
        <v>26339</v>
      </c>
      <c r="AC9341" s="462" t="s">
        <v>26340</v>
      </c>
      <c r="AD9341" s="464">
        <v>2588.7279100000001</v>
      </c>
      <c r="AE9341" s="465">
        <v>104.28731000000001</v>
      </c>
      <c r="AF9341" s="86">
        <f>IF(verze!$E$1="CZK",AD9341,IF(verze!$E$1="SK",AE9341,""))</f>
        <v>104.28731000000001</v>
      </c>
    </row>
    <row r="9342" spans="27:32" ht="15">
      <c r="AA9342" s="463" t="s">
        <v>1320</v>
      </c>
      <c r="AB9342" s="462" t="s">
        <v>26341</v>
      </c>
      <c r="AC9342" s="462" t="s">
        <v>26342</v>
      </c>
      <c r="AD9342" s="464">
        <v>2324.0973100000001</v>
      </c>
      <c r="AE9342" s="465">
        <v>93.599440000000001</v>
      </c>
      <c r="AF9342" s="86">
        <f>IF(verze!$E$1="CZK",AD9342,IF(verze!$E$1="SK",AE9342,""))</f>
        <v>93.599440000000001</v>
      </c>
    </row>
    <row r="9343" spans="27:32" ht="15">
      <c r="AA9343" s="463" t="s">
        <v>1320</v>
      </c>
      <c r="AB9343" s="462" t="s">
        <v>26343</v>
      </c>
      <c r="AC9343" s="462" t="s">
        <v>26344</v>
      </c>
      <c r="AD9343" s="464">
        <v>2572.3475800000001</v>
      </c>
      <c r="AE9343" s="465">
        <v>103.6375</v>
      </c>
      <c r="AF9343" s="86">
        <f>IF(verze!$E$1="CZK",AD9343,IF(verze!$E$1="SK",AE9343,""))</f>
        <v>103.6375</v>
      </c>
    </row>
    <row r="9344" spans="27:32" ht="15">
      <c r="AA9344" s="463" t="s">
        <v>1320</v>
      </c>
      <c r="AB9344" s="462" t="s">
        <v>26345</v>
      </c>
      <c r="AC9344" s="462" t="s">
        <v>26346</v>
      </c>
      <c r="AD9344" s="464">
        <v>2572.3475800000001</v>
      </c>
      <c r="AE9344" s="465">
        <v>103.6375</v>
      </c>
      <c r="AF9344" s="86">
        <f>IF(verze!$E$1="CZK",AD9344,IF(verze!$E$1="SK",AE9344,""))</f>
        <v>103.6375</v>
      </c>
    </row>
    <row r="9345" spans="27:32" ht="15">
      <c r="AA9345" s="463" t="s">
        <v>1320</v>
      </c>
      <c r="AB9345" s="462" t="s">
        <v>26347</v>
      </c>
      <c r="AC9345" s="462" t="s">
        <v>26348</v>
      </c>
      <c r="AD9345" s="464">
        <v>2307.7169800000001</v>
      </c>
      <c r="AE9345" s="465">
        <v>92.949629999999999</v>
      </c>
      <c r="AF9345" s="86">
        <f>IF(verze!$E$1="CZK",AD9345,IF(verze!$E$1="SK",AE9345,""))</f>
        <v>92.949629999999999</v>
      </c>
    </row>
    <row r="9346" spans="27:32" ht="15">
      <c r="AA9346" s="463" t="s">
        <v>1320</v>
      </c>
      <c r="AB9346" s="462" t="s">
        <v>26349</v>
      </c>
      <c r="AC9346" s="462" t="s">
        <v>26350</v>
      </c>
      <c r="AD9346" s="464">
        <v>2572.3475800000001</v>
      </c>
      <c r="AE9346" s="465">
        <v>103.6375</v>
      </c>
      <c r="AF9346" s="86">
        <f>IF(verze!$E$1="CZK",AD9346,IF(verze!$E$1="SK",AE9346,""))</f>
        <v>103.6375</v>
      </c>
    </row>
    <row r="9347" spans="27:32" ht="15">
      <c r="AA9347" s="463" t="s">
        <v>1320</v>
      </c>
      <c r="AB9347" s="462" t="s">
        <v>26351</v>
      </c>
      <c r="AC9347" s="462" t="s">
        <v>26352</v>
      </c>
      <c r="AD9347" s="464">
        <v>2572.3475800000001</v>
      </c>
      <c r="AE9347" s="465">
        <v>103.6375</v>
      </c>
      <c r="AF9347" s="86">
        <f>IF(verze!$E$1="CZK",AD9347,IF(verze!$E$1="SK",AE9347,""))</f>
        <v>103.6375</v>
      </c>
    </row>
    <row r="9348" spans="27:32" ht="15">
      <c r="AA9348" s="463" t="s">
        <v>1320</v>
      </c>
      <c r="AB9348" s="462" t="s">
        <v>26353</v>
      </c>
      <c r="AC9348" s="462" t="s">
        <v>26354</v>
      </c>
      <c r="AD9348" s="464">
        <v>2307.7169800000001</v>
      </c>
      <c r="AE9348" s="465">
        <v>92.949629999999999</v>
      </c>
      <c r="AF9348" s="86">
        <f>IF(verze!$E$1="CZK",AD9348,IF(verze!$E$1="SK",AE9348,""))</f>
        <v>92.949629999999999</v>
      </c>
    </row>
    <row r="9349" spans="27:32" ht="15">
      <c r="AA9349" s="463" t="s">
        <v>1320</v>
      </c>
      <c r="AB9349" s="462" t="s">
        <v>26355</v>
      </c>
      <c r="AC9349" s="462" t="s">
        <v>26356</v>
      </c>
      <c r="AD9349" s="464">
        <v>4751.1923900000002</v>
      </c>
      <c r="AE9349" s="465">
        <v>191.89246</v>
      </c>
      <c r="AF9349" s="86">
        <f>IF(verze!$E$1="CZK",AD9349,IF(verze!$E$1="SK",AE9349,""))</f>
        <v>191.89246</v>
      </c>
    </row>
    <row r="9350" spans="27:32" ht="15">
      <c r="AA9350" s="463" t="s">
        <v>1320</v>
      </c>
      <c r="AB9350" s="462" t="s">
        <v>26357</v>
      </c>
      <c r="AC9350" s="462" t="s">
        <v>26358</v>
      </c>
      <c r="AD9350" s="464">
        <v>4751.1923900000002</v>
      </c>
      <c r="AE9350" s="465">
        <v>191.89246</v>
      </c>
      <c r="AF9350" s="86">
        <f>IF(verze!$E$1="CZK",AD9350,IF(verze!$E$1="SK",AE9350,""))</f>
        <v>191.89246</v>
      </c>
    </row>
    <row r="9351" spans="27:32" ht="15">
      <c r="AA9351" s="463" t="s">
        <v>1320</v>
      </c>
      <c r="AB9351" s="462" t="s">
        <v>26359</v>
      </c>
      <c r="AC9351" s="462" t="s">
        <v>26360</v>
      </c>
      <c r="AD9351" s="464">
        <v>4190.8084200000003</v>
      </c>
      <c r="AE9351" s="465">
        <v>169.25960000000001</v>
      </c>
      <c r="AF9351" s="86">
        <f>IF(verze!$E$1="CZK",AD9351,IF(verze!$E$1="SK",AE9351,""))</f>
        <v>169.25960000000001</v>
      </c>
    </row>
    <row r="9352" spans="27:32" ht="15">
      <c r="AA9352" s="463" t="s">
        <v>1320</v>
      </c>
      <c r="AB9352" s="462" t="s">
        <v>26361</v>
      </c>
      <c r="AC9352" s="462" t="s">
        <v>26362</v>
      </c>
      <c r="AD9352" s="464">
        <v>5190.3404700000001</v>
      </c>
      <c r="AE9352" s="465">
        <v>209.09505999999999</v>
      </c>
      <c r="AF9352" s="86">
        <f>IF(verze!$E$1="CZK",AD9352,IF(verze!$E$1="SK",AE9352,""))</f>
        <v>209.09505999999999</v>
      </c>
    </row>
    <row r="9353" spans="27:32" ht="15">
      <c r="AA9353" s="463" t="s">
        <v>1320</v>
      </c>
      <c r="AB9353" s="462" t="s">
        <v>26363</v>
      </c>
      <c r="AC9353" s="462" t="s">
        <v>26364</v>
      </c>
      <c r="AD9353" s="464">
        <v>5190.3404700000001</v>
      </c>
      <c r="AE9353" s="465">
        <v>209.09505999999999</v>
      </c>
      <c r="AF9353" s="86">
        <f>IF(verze!$E$1="CZK",AD9353,IF(verze!$E$1="SK",AE9353,""))</f>
        <v>209.09505999999999</v>
      </c>
    </row>
    <row r="9354" spans="27:32" ht="15">
      <c r="AA9354" s="463" t="s">
        <v>1320</v>
      </c>
      <c r="AB9354" s="462" t="s">
        <v>26365</v>
      </c>
      <c r="AC9354" s="462" t="s">
        <v>26366</v>
      </c>
      <c r="AD9354" s="464">
        <v>4658.0773799999997</v>
      </c>
      <c r="AE9354" s="465">
        <v>187.59801999999999</v>
      </c>
      <c r="AF9354" s="86">
        <f>IF(verze!$E$1="CZK",AD9354,IF(verze!$E$1="SK",AE9354,""))</f>
        <v>187.59801999999999</v>
      </c>
    </row>
    <row r="9355" spans="27:32" ht="15">
      <c r="AA9355" s="463" t="s">
        <v>1320</v>
      </c>
      <c r="AB9355" s="462" t="s">
        <v>26367</v>
      </c>
      <c r="AC9355" s="462" t="s">
        <v>26368</v>
      </c>
      <c r="AD9355" s="464">
        <v>5157.5798100000002</v>
      </c>
      <c r="AE9355" s="465">
        <v>207.79544000000001</v>
      </c>
      <c r="AF9355" s="86">
        <f>IF(verze!$E$1="CZK",AD9355,IF(verze!$E$1="SK",AE9355,""))</f>
        <v>207.79544000000001</v>
      </c>
    </row>
    <row r="9356" spans="27:32" ht="15">
      <c r="AA9356" s="463" t="s">
        <v>1320</v>
      </c>
      <c r="AB9356" s="462" t="s">
        <v>26369</v>
      </c>
      <c r="AC9356" s="462" t="s">
        <v>26370</v>
      </c>
      <c r="AD9356" s="464">
        <v>5157.5798100000002</v>
      </c>
      <c r="AE9356" s="465">
        <v>207.79544000000001</v>
      </c>
      <c r="AF9356" s="86">
        <f>IF(verze!$E$1="CZK",AD9356,IF(verze!$E$1="SK",AE9356,""))</f>
        <v>207.79544000000001</v>
      </c>
    </row>
    <row r="9357" spans="27:32" ht="15">
      <c r="AA9357" s="463" t="s">
        <v>1320</v>
      </c>
      <c r="AB9357" s="462" t="s">
        <v>26371</v>
      </c>
      <c r="AC9357" s="462" t="s">
        <v>26372</v>
      </c>
      <c r="AD9357" s="464">
        <v>4625.3167199999998</v>
      </c>
      <c r="AE9357" s="465">
        <v>186.29839999999999</v>
      </c>
      <c r="AF9357" s="86">
        <f>IF(verze!$E$1="CZK",AD9357,IF(verze!$E$1="SK",AE9357,""))</f>
        <v>186.29839999999999</v>
      </c>
    </row>
    <row r="9358" spans="27:32" ht="15">
      <c r="AA9358" s="463" t="s">
        <v>1320</v>
      </c>
      <c r="AB9358" s="462" t="s">
        <v>26373</v>
      </c>
      <c r="AC9358" s="462" t="s">
        <v>26374</v>
      </c>
      <c r="AD9358" s="464">
        <v>2446.5615899999998</v>
      </c>
      <c r="AE9358" s="465">
        <v>98.812309999999997</v>
      </c>
      <c r="AF9358" s="86">
        <f>IF(verze!$E$1="CZK",AD9358,IF(verze!$E$1="SK",AE9358,""))</f>
        <v>98.812309999999997</v>
      </c>
    </row>
    <row r="9359" spans="27:32" ht="15">
      <c r="AA9359" s="463" t="s">
        <v>1320</v>
      </c>
      <c r="AB9359" s="462" t="s">
        <v>26375</v>
      </c>
      <c r="AC9359" s="462" t="s">
        <v>26376</v>
      </c>
      <c r="AD9359" s="464">
        <v>2446.5615899999998</v>
      </c>
      <c r="AE9359" s="465">
        <v>98.812309999999997</v>
      </c>
      <c r="AF9359" s="86">
        <f>IF(verze!$E$1="CZK",AD9359,IF(verze!$E$1="SK",AE9359,""))</f>
        <v>98.812309999999997</v>
      </c>
    </row>
    <row r="9360" spans="27:32" ht="15">
      <c r="AA9360" s="463" t="s">
        <v>1320</v>
      </c>
      <c r="AB9360" s="462" t="s">
        <v>26377</v>
      </c>
      <c r="AC9360" s="462" t="s">
        <v>26378</v>
      </c>
      <c r="AD9360" s="464">
        <v>2160.8203199999998</v>
      </c>
      <c r="AE9360" s="465">
        <v>87.271820000000005</v>
      </c>
      <c r="AF9360" s="86">
        <f>IF(verze!$E$1="CZK",AD9360,IF(verze!$E$1="SK",AE9360,""))</f>
        <v>87.271820000000005</v>
      </c>
    </row>
    <row r="9361" spans="27:32" ht="15">
      <c r="AA9361" s="463" t="s">
        <v>1320</v>
      </c>
      <c r="AB9361" s="462" t="s">
        <v>26379</v>
      </c>
      <c r="AC9361" s="462" t="s">
        <v>26380</v>
      </c>
      <c r="AD9361" s="464">
        <v>2446.5615899999998</v>
      </c>
      <c r="AE9361" s="465">
        <v>98.812309999999997</v>
      </c>
      <c r="AF9361" s="86">
        <f>IF(verze!$E$1="CZK",AD9361,IF(verze!$E$1="SK",AE9361,""))</f>
        <v>98.812309999999997</v>
      </c>
    </row>
    <row r="9362" spans="27:32" ht="15">
      <c r="AA9362" s="463" t="s">
        <v>1320</v>
      </c>
      <c r="AB9362" s="462" t="s">
        <v>26381</v>
      </c>
      <c r="AC9362" s="462" t="s">
        <v>26382</v>
      </c>
      <c r="AD9362" s="464">
        <v>2446.5615899999998</v>
      </c>
      <c r="AE9362" s="465">
        <v>98.812309999999997</v>
      </c>
      <c r="AF9362" s="86">
        <f>IF(verze!$E$1="CZK",AD9362,IF(verze!$E$1="SK",AE9362,""))</f>
        <v>98.812309999999997</v>
      </c>
    </row>
    <row r="9363" spans="27:32" ht="15">
      <c r="AA9363" s="463" t="s">
        <v>1320</v>
      </c>
      <c r="AB9363" s="462" t="s">
        <v>26383</v>
      </c>
      <c r="AC9363" s="462" t="s">
        <v>26384</v>
      </c>
      <c r="AD9363" s="464">
        <v>2160.8203199999998</v>
      </c>
      <c r="AE9363" s="465">
        <v>87.271820000000005</v>
      </c>
      <c r="AF9363" s="86">
        <f>IF(verze!$E$1="CZK",AD9363,IF(verze!$E$1="SK",AE9363,""))</f>
        <v>87.271820000000005</v>
      </c>
    </row>
    <row r="9364" spans="27:32" ht="15">
      <c r="AA9364" s="463" t="s">
        <v>1320</v>
      </c>
      <c r="AB9364" s="462" t="s">
        <v>26385</v>
      </c>
      <c r="AC9364" s="462" t="s">
        <v>26386</v>
      </c>
      <c r="AD9364" s="464">
        <v>2775.89338</v>
      </c>
      <c r="AE9364" s="465">
        <v>111.7132</v>
      </c>
      <c r="AF9364" s="86">
        <f>IF(verze!$E$1="CZK",AD9364,IF(verze!$E$1="SK",AE9364,""))</f>
        <v>111.7132</v>
      </c>
    </row>
    <row r="9365" spans="27:32" ht="15">
      <c r="AA9365" s="463" t="s">
        <v>1320</v>
      </c>
      <c r="AB9365" s="462" t="s">
        <v>26387</v>
      </c>
      <c r="AC9365" s="462" t="s">
        <v>26388</v>
      </c>
      <c r="AD9365" s="464">
        <v>2775.89338</v>
      </c>
      <c r="AE9365" s="465">
        <v>111.7132</v>
      </c>
      <c r="AF9365" s="86">
        <f>IF(verze!$E$1="CZK",AD9365,IF(verze!$E$1="SK",AE9365,""))</f>
        <v>111.7132</v>
      </c>
    </row>
    <row r="9366" spans="27:32" ht="15">
      <c r="AA9366" s="463" t="s">
        <v>1320</v>
      </c>
      <c r="AB9366" s="462" t="s">
        <v>26389</v>
      </c>
      <c r="AC9366" s="462" t="s">
        <v>26390</v>
      </c>
      <c r="AD9366" s="464">
        <v>2511.26278</v>
      </c>
      <c r="AE9366" s="465">
        <v>101.02533</v>
      </c>
      <c r="AF9366" s="86">
        <f>IF(verze!$E$1="CZK",AD9366,IF(verze!$E$1="SK",AE9366,""))</f>
        <v>101.02533</v>
      </c>
    </row>
    <row r="9367" spans="27:32" ht="15">
      <c r="AA9367" s="463" t="s">
        <v>1320</v>
      </c>
      <c r="AB9367" s="462" t="s">
        <v>26391</v>
      </c>
      <c r="AC9367" s="462" t="s">
        <v>26392</v>
      </c>
      <c r="AD9367" s="464">
        <v>2775.89338</v>
      </c>
      <c r="AE9367" s="465">
        <v>111.7132</v>
      </c>
      <c r="AF9367" s="86">
        <f>IF(verze!$E$1="CZK",AD9367,IF(verze!$E$1="SK",AE9367,""))</f>
        <v>111.7132</v>
      </c>
    </row>
    <row r="9368" spans="27:32" ht="15">
      <c r="AA9368" s="463" t="s">
        <v>1320</v>
      </c>
      <c r="AB9368" s="462" t="s">
        <v>26393</v>
      </c>
      <c r="AC9368" s="462" t="s">
        <v>26394</v>
      </c>
      <c r="AD9368" s="464">
        <v>2775.89338</v>
      </c>
      <c r="AE9368" s="465">
        <v>111.7132</v>
      </c>
      <c r="AF9368" s="86">
        <f>IF(verze!$E$1="CZK",AD9368,IF(verze!$E$1="SK",AE9368,""))</f>
        <v>111.7132</v>
      </c>
    </row>
    <row r="9369" spans="27:32" ht="15">
      <c r="AA9369" s="463" t="s">
        <v>1320</v>
      </c>
      <c r="AB9369" s="462" t="s">
        <v>26395</v>
      </c>
      <c r="AC9369" s="462" t="s">
        <v>26396</v>
      </c>
      <c r="AD9369" s="464">
        <v>2511.26278</v>
      </c>
      <c r="AE9369" s="465">
        <v>101.02533</v>
      </c>
      <c r="AF9369" s="86">
        <f>IF(verze!$E$1="CZK",AD9369,IF(verze!$E$1="SK",AE9369,""))</f>
        <v>101.02533</v>
      </c>
    </row>
    <row r="9370" spans="27:32" ht="15">
      <c r="AA9370" s="463" t="s">
        <v>1320</v>
      </c>
      <c r="AB9370" s="462" t="s">
        <v>26397</v>
      </c>
      <c r="AC9370" s="462" t="s">
        <v>26398</v>
      </c>
      <c r="AD9370" s="464">
        <v>2751.32512</v>
      </c>
      <c r="AE9370" s="465">
        <v>110.73851999999999</v>
      </c>
      <c r="AF9370" s="86">
        <f>IF(verze!$E$1="CZK",AD9370,IF(verze!$E$1="SK",AE9370,""))</f>
        <v>110.73851999999999</v>
      </c>
    </row>
    <row r="9371" spans="27:32" ht="15">
      <c r="AA9371" s="463" t="s">
        <v>1320</v>
      </c>
      <c r="AB9371" s="462" t="s">
        <v>26399</v>
      </c>
      <c r="AC9371" s="462" t="s">
        <v>26400</v>
      </c>
      <c r="AD9371" s="464">
        <v>2751.32512</v>
      </c>
      <c r="AE9371" s="465">
        <v>110.73851999999999</v>
      </c>
      <c r="AF9371" s="86">
        <f>IF(verze!$E$1="CZK",AD9371,IF(verze!$E$1="SK",AE9371,""))</f>
        <v>110.73851999999999</v>
      </c>
    </row>
    <row r="9372" spans="27:32" ht="15">
      <c r="AA9372" s="463" t="s">
        <v>1320</v>
      </c>
      <c r="AB9372" s="462" t="s">
        <v>26401</v>
      </c>
      <c r="AC9372" s="462" t="s">
        <v>26402</v>
      </c>
      <c r="AD9372" s="464">
        <v>2486.69452</v>
      </c>
      <c r="AE9372" s="465">
        <v>100.05065</v>
      </c>
      <c r="AF9372" s="86">
        <f>IF(verze!$E$1="CZK",AD9372,IF(verze!$E$1="SK",AE9372,""))</f>
        <v>100.05065</v>
      </c>
    </row>
    <row r="9373" spans="27:32" ht="15">
      <c r="AA9373" s="463" t="s">
        <v>1320</v>
      </c>
      <c r="AB9373" s="462" t="s">
        <v>26403</v>
      </c>
      <c r="AC9373" s="462" t="s">
        <v>26404</v>
      </c>
      <c r="AD9373" s="464">
        <v>2751.32512</v>
      </c>
      <c r="AE9373" s="465">
        <v>110.73851999999999</v>
      </c>
      <c r="AF9373" s="86">
        <f>IF(verze!$E$1="CZK",AD9373,IF(verze!$E$1="SK",AE9373,""))</f>
        <v>110.73851999999999</v>
      </c>
    </row>
    <row r="9374" spans="27:32" ht="15">
      <c r="AA9374" s="463" t="s">
        <v>1320</v>
      </c>
      <c r="AB9374" s="462" t="s">
        <v>26405</v>
      </c>
      <c r="AC9374" s="462" t="s">
        <v>26406</v>
      </c>
      <c r="AD9374" s="464">
        <v>2751.32512</v>
      </c>
      <c r="AE9374" s="465">
        <v>110.73851999999999</v>
      </c>
      <c r="AF9374" s="86">
        <f>IF(verze!$E$1="CZK",AD9374,IF(verze!$E$1="SK",AE9374,""))</f>
        <v>110.73851999999999</v>
      </c>
    </row>
    <row r="9375" spans="27:32" ht="15">
      <c r="AA9375" s="463" t="s">
        <v>1320</v>
      </c>
      <c r="AB9375" s="462" t="s">
        <v>26407</v>
      </c>
      <c r="AC9375" s="462" t="s">
        <v>26408</v>
      </c>
      <c r="AD9375" s="464">
        <v>2486.69452</v>
      </c>
      <c r="AE9375" s="465">
        <v>100.05065</v>
      </c>
      <c r="AF9375" s="86">
        <f>IF(verze!$E$1="CZK",AD9375,IF(verze!$E$1="SK",AE9375,""))</f>
        <v>100.05065</v>
      </c>
    </row>
    <row r="9376" spans="27:32" ht="15">
      <c r="AA9376" s="463" t="s">
        <v>1320</v>
      </c>
      <c r="AB9376" s="462" t="s">
        <v>26409</v>
      </c>
      <c r="AC9376" s="462" t="s">
        <v>26410</v>
      </c>
      <c r="AD9376" s="464">
        <v>4578.8671100000001</v>
      </c>
      <c r="AE9376" s="465">
        <v>184.93256</v>
      </c>
      <c r="AF9376" s="86">
        <f>IF(verze!$E$1="CZK",AD9376,IF(verze!$E$1="SK",AE9376,""))</f>
        <v>184.93256</v>
      </c>
    </row>
    <row r="9377" spans="27:32" ht="15">
      <c r="AA9377" s="463" t="s">
        <v>1320</v>
      </c>
      <c r="AB9377" s="462" t="s">
        <v>26411</v>
      </c>
      <c r="AC9377" s="462" t="s">
        <v>26412</v>
      </c>
      <c r="AD9377" s="464">
        <v>4578.8671100000001</v>
      </c>
      <c r="AE9377" s="465">
        <v>184.93256</v>
      </c>
      <c r="AF9377" s="86">
        <f>IF(verze!$E$1="CZK",AD9377,IF(verze!$E$1="SK",AE9377,""))</f>
        <v>184.93256</v>
      </c>
    </row>
    <row r="9378" spans="27:32" ht="15">
      <c r="AA9378" s="463" t="s">
        <v>1320</v>
      </c>
      <c r="AB9378" s="462" t="s">
        <v>26413</v>
      </c>
      <c r="AC9378" s="462" t="s">
        <v>26414</v>
      </c>
      <c r="AD9378" s="464">
        <v>4080.04241</v>
      </c>
      <c r="AE9378" s="465">
        <v>164.78592</v>
      </c>
      <c r="AF9378" s="86">
        <f>IF(verze!$E$1="CZK",AD9378,IF(verze!$E$1="SK",AE9378,""))</f>
        <v>164.78592</v>
      </c>
    </row>
    <row r="9379" spans="27:32" ht="15">
      <c r="AA9379" s="463" t="s">
        <v>1320</v>
      </c>
      <c r="AB9379" s="462" t="s">
        <v>26415</v>
      </c>
      <c r="AC9379" s="462" t="s">
        <v>26416</v>
      </c>
      <c r="AD9379" s="464">
        <v>5018.0151900000001</v>
      </c>
      <c r="AE9379" s="465">
        <v>202.13516000000001</v>
      </c>
      <c r="AF9379" s="86">
        <f>IF(verze!$E$1="CZK",AD9379,IF(verze!$E$1="SK",AE9379,""))</f>
        <v>202.13516000000001</v>
      </c>
    </row>
    <row r="9380" spans="27:32" ht="15">
      <c r="AA9380" s="463" t="s">
        <v>1320</v>
      </c>
      <c r="AB9380" s="462" t="s">
        <v>26417</v>
      </c>
      <c r="AC9380" s="462" t="s">
        <v>26418</v>
      </c>
      <c r="AD9380" s="464">
        <v>5018.0151900000001</v>
      </c>
      <c r="AE9380" s="465">
        <v>202.13516000000001</v>
      </c>
      <c r="AF9380" s="86">
        <f>IF(verze!$E$1="CZK",AD9380,IF(verze!$E$1="SK",AE9380,""))</f>
        <v>202.13516000000001</v>
      </c>
    </row>
    <row r="9381" spans="27:32" ht="15">
      <c r="AA9381" s="463" t="s">
        <v>1320</v>
      </c>
      <c r="AB9381" s="462" t="s">
        <v>26419</v>
      </c>
      <c r="AC9381" s="462" t="s">
        <v>26420</v>
      </c>
      <c r="AD9381" s="464">
        <v>4547.3113700000004</v>
      </c>
      <c r="AE9381" s="465">
        <v>183.12433999999999</v>
      </c>
      <c r="AF9381" s="86">
        <f>IF(verze!$E$1="CZK",AD9381,IF(verze!$E$1="SK",AE9381,""))</f>
        <v>183.12433999999999</v>
      </c>
    </row>
    <row r="9382" spans="27:32" ht="15">
      <c r="AA9382" s="463" t="s">
        <v>1320</v>
      </c>
      <c r="AB9382" s="462" t="s">
        <v>26421</v>
      </c>
      <c r="AC9382" s="462" t="s">
        <v>26422</v>
      </c>
      <c r="AD9382" s="464">
        <v>4985.2545300000002</v>
      </c>
      <c r="AE9382" s="465">
        <v>200.83554000000001</v>
      </c>
      <c r="AF9382" s="86">
        <f>IF(verze!$E$1="CZK",AD9382,IF(verze!$E$1="SK",AE9382,""))</f>
        <v>200.83554000000001</v>
      </c>
    </row>
    <row r="9383" spans="27:32" ht="15">
      <c r="AA9383" s="463" t="s">
        <v>1320</v>
      </c>
      <c r="AB9383" s="462" t="s">
        <v>26423</v>
      </c>
      <c r="AC9383" s="462" t="s">
        <v>26424</v>
      </c>
      <c r="AD9383" s="464">
        <v>4985.2545300000002</v>
      </c>
      <c r="AE9383" s="465">
        <v>200.83554000000001</v>
      </c>
      <c r="AF9383" s="86">
        <f>IF(verze!$E$1="CZK",AD9383,IF(verze!$E$1="SK",AE9383,""))</f>
        <v>200.83554000000001</v>
      </c>
    </row>
    <row r="9384" spans="27:32" ht="15">
      <c r="AA9384" s="463" t="s">
        <v>1320</v>
      </c>
      <c r="AB9384" s="462" t="s">
        <v>26425</v>
      </c>
      <c r="AC9384" s="462" t="s">
        <v>26426</v>
      </c>
      <c r="AD9384" s="464">
        <v>4514.5507100000004</v>
      </c>
      <c r="AE9384" s="465">
        <v>181.82472000000001</v>
      </c>
      <c r="AF9384" s="86">
        <f>IF(verze!$E$1="CZK",AD9384,IF(verze!$E$1="SK",AE9384,""))</f>
        <v>181.82472000000001</v>
      </c>
    </row>
    <row r="9385" spans="27:32" ht="15">
      <c r="AA9385" s="463" t="s">
        <v>1320</v>
      </c>
      <c r="AB9385" s="462" t="s">
        <v>26427</v>
      </c>
      <c r="AC9385" s="462" t="s">
        <v>26428</v>
      </c>
      <c r="AD9385" s="464">
        <v>5421.7853699999996</v>
      </c>
      <c r="AE9385" s="465">
        <v>218.97662</v>
      </c>
      <c r="AF9385" s="86">
        <f>IF(verze!$E$1="CZK",AD9385,IF(verze!$E$1="SK",AE9385,""))</f>
        <v>218.97662</v>
      </c>
    </row>
    <row r="9386" spans="27:32" ht="15">
      <c r="AA9386" s="463" t="s">
        <v>1320</v>
      </c>
      <c r="AB9386" s="462" t="s">
        <v>26429</v>
      </c>
      <c r="AC9386" s="462" t="s">
        <v>26430</v>
      </c>
      <c r="AD9386" s="464">
        <v>5421.7853699999996</v>
      </c>
      <c r="AE9386" s="465">
        <v>218.97662</v>
      </c>
      <c r="AF9386" s="86">
        <f>IF(verze!$E$1="CZK",AD9386,IF(verze!$E$1="SK",AE9386,""))</f>
        <v>218.97662</v>
      </c>
    </row>
    <row r="9387" spans="27:32" ht="15">
      <c r="AA9387" s="463" t="s">
        <v>1320</v>
      </c>
      <c r="AB9387" s="462" t="s">
        <v>26431</v>
      </c>
      <c r="AC9387" s="462" t="s">
        <v>26432</v>
      </c>
      <c r="AD9387" s="464">
        <v>4770.3742300000004</v>
      </c>
      <c r="AE9387" s="465">
        <v>192.66725</v>
      </c>
      <c r="AF9387" s="86">
        <f>IF(verze!$E$1="CZK",AD9387,IF(verze!$E$1="SK",AE9387,""))</f>
        <v>192.66725</v>
      </c>
    </row>
    <row r="9388" spans="27:32" ht="15">
      <c r="AA9388" s="463" t="s">
        <v>1320</v>
      </c>
      <c r="AB9388" s="462" t="s">
        <v>26433</v>
      </c>
      <c r="AC9388" s="462" t="s">
        <v>26434</v>
      </c>
      <c r="AD9388" s="464">
        <v>6300.0815300000004</v>
      </c>
      <c r="AE9388" s="465">
        <v>253.38182</v>
      </c>
      <c r="AF9388" s="86">
        <f>IF(verze!$E$1="CZK",AD9388,IF(verze!$E$1="SK",AE9388,""))</f>
        <v>253.38182</v>
      </c>
    </row>
    <row r="9389" spans="27:32" ht="15">
      <c r="AA9389" s="463" t="s">
        <v>1320</v>
      </c>
      <c r="AB9389" s="462" t="s">
        <v>26435</v>
      </c>
      <c r="AC9389" s="462" t="s">
        <v>26436</v>
      </c>
      <c r="AD9389" s="464">
        <v>6300.0815300000004</v>
      </c>
      <c r="AE9389" s="465">
        <v>253.38182</v>
      </c>
      <c r="AF9389" s="86">
        <f>IF(verze!$E$1="CZK",AD9389,IF(verze!$E$1="SK",AE9389,""))</f>
        <v>253.38182</v>
      </c>
    </row>
    <row r="9390" spans="27:32" ht="15">
      <c r="AA9390" s="463" t="s">
        <v>1320</v>
      </c>
      <c r="AB9390" s="462" t="s">
        <v>26437</v>
      </c>
      <c r="AC9390" s="462" t="s">
        <v>26438</v>
      </c>
      <c r="AD9390" s="464">
        <v>5704.9121500000001</v>
      </c>
      <c r="AE9390" s="465">
        <v>229.34408999999999</v>
      </c>
      <c r="AF9390" s="86">
        <f>IF(verze!$E$1="CZK",AD9390,IF(verze!$E$1="SK",AE9390,""))</f>
        <v>229.34408999999999</v>
      </c>
    </row>
    <row r="9391" spans="27:32" ht="15">
      <c r="AA9391" s="463" t="s">
        <v>1320</v>
      </c>
      <c r="AB9391" s="462" t="s">
        <v>26439</v>
      </c>
      <c r="AC9391" s="462" t="s">
        <v>26440</v>
      </c>
      <c r="AD9391" s="464">
        <v>6234.5602099999996</v>
      </c>
      <c r="AE9391" s="465">
        <v>250.78258</v>
      </c>
      <c r="AF9391" s="86">
        <f>IF(verze!$E$1="CZK",AD9391,IF(verze!$E$1="SK",AE9391,""))</f>
        <v>250.78258</v>
      </c>
    </row>
    <row r="9392" spans="27:32" ht="15">
      <c r="AA9392" s="463" t="s">
        <v>1320</v>
      </c>
      <c r="AB9392" s="462" t="s">
        <v>26441</v>
      </c>
      <c r="AC9392" s="462" t="s">
        <v>26442</v>
      </c>
      <c r="AD9392" s="464">
        <v>6234.5602099999996</v>
      </c>
      <c r="AE9392" s="465">
        <v>250.78258</v>
      </c>
      <c r="AF9392" s="86">
        <f>IF(verze!$E$1="CZK",AD9392,IF(verze!$E$1="SK",AE9392,""))</f>
        <v>250.78258</v>
      </c>
    </row>
    <row r="9393" spans="27:32" ht="15">
      <c r="AA9393" s="463" t="s">
        <v>1320</v>
      </c>
      <c r="AB9393" s="462" t="s">
        <v>26443</v>
      </c>
      <c r="AC9393" s="462" t="s">
        <v>26444</v>
      </c>
      <c r="AD9393" s="464">
        <v>5639.3908300000003</v>
      </c>
      <c r="AE9393" s="465">
        <v>226.74485000000001</v>
      </c>
      <c r="AF9393" s="86">
        <f>IF(verze!$E$1="CZK",AD9393,IF(verze!$E$1="SK",AE9393,""))</f>
        <v>226.74485000000001</v>
      </c>
    </row>
    <row r="9394" spans="27:32" ht="15">
      <c r="AA9394" s="463" t="s">
        <v>1320</v>
      </c>
      <c r="AB9394" s="462" t="s">
        <v>26445</v>
      </c>
      <c r="AC9394" s="462" t="s">
        <v>26446</v>
      </c>
      <c r="AD9394" s="464">
        <v>5267.0143699999999</v>
      </c>
      <c r="AE9394" s="465">
        <v>212.72548</v>
      </c>
      <c r="AF9394" s="86">
        <f>IF(verze!$E$1="CZK",AD9394,IF(verze!$E$1="SK",AE9394,""))</f>
        <v>212.72548</v>
      </c>
    </row>
    <row r="9395" spans="27:32" ht="15">
      <c r="AA9395" s="463" t="s">
        <v>1320</v>
      </c>
      <c r="AB9395" s="462" t="s">
        <v>26447</v>
      </c>
      <c r="AC9395" s="462" t="s">
        <v>26448</v>
      </c>
      <c r="AD9395" s="464">
        <v>5267.0143699999999</v>
      </c>
      <c r="AE9395" s="465">
        <v>212.72548</v>
      </c>
      <c r="AF9395" s="86">
        <f>IF(verze!$E$1="CZK",AD9395,IF(verze!$E$1="SK",AE9395,""))</f>
        <v>212.72548</v>
      </c>
    </row>
    <row r="9396" spans="27:32" ht="15">
      <c r="AA9396" s="463" t="s">
        <v>1320</v>
      </c>
      <c r="AB9396" s="462" t="s">
        <v>26449</v>
      </c>
      <c r="AC9396" s="462" t="s">
        <v>26450</v>
      </c>
      <c r="AD9396" s="464">
        <v>4629.6236500000005</v>
      </c>
      <c r="AE9396" s="465">
        <v>186.98250999999999</v>
      </c>
      <c r="AF9396" s="86">
        <f>IF(verze!$E$1="CZK",AD9396,IF(verze!$E$1="SK",AE9396,""))</f>
        <v>186.98250999999999</v>
      </c>
    </row>
    <row r="9397" spans="27:32" ht="15">
      <c r="AA9397" s="463" t="s">
        <v>1320</v>
      </c>
      <c r="AB9397" s="462" t="s">
        <v>26451</v>
      </c>
      <c r="AC9397" s="462" t="s">
        <v>26452</v>
      </c>
      <c r="AD9397" s="464">
        <v>5925.6779500000002</v>
      </c>
      <c r="AE9397" s="465">
        <v>238.52726000000001</v>
      </c>
      <c r="AF9397" s="86">
        <f>IF(verze!$E$1="CZK",AD9397,IF(verze!$E$1="SK",AE9397,""))</f>
        <v>238.52726000000001</v>
      </c>
    </row>
    <row r="9398" spans="27:32" ht="15">
      <c r="AA9398" s="463" t="s">
        <v>1320</v>
      </c>
      <c r="AB9398" s="462" t="s">
        <v>26453</v>
      </c>
      <c r="AC9398" s="462" t="s">
        <v>26454</v>
      </c>
      <c r="AD9398" s="464">
        <v>5925.6779500000002</v>
      </c>
      <c r="AE9398" s="465">
        <v>238.52726000000001</v>
      </c>
      <c r="AF9398" s="86">
        <f>IF(verze!$E$1="CZK",AD9398,IF(verze!$E$1="SK",AE9398,""))</f>
        <v>238.52726000000001</v>
      </c>
    </row>
    <row r="9399" spans="27:32" ht="15">
      <c r="AA9399" s="463" t="s">
        <v>1320</v>
      </c>
      <c r="AB9399" s="462" t="s">
        <v>26455</v>
      </c>
      <c r="AC9399" s="462" t="s">
        <v>26456</v>
      </c>
      <c r="AD9399" s="464">
        <v>5330.50857</v>
      </c>
      <c r="AE9399" s="465">
        <v>214.48953</v>
      </c>
      <c r="AF9399" s="86">
        <f>IF(verze!$E$1="CZK",AD9399,IF(verze!$E$1="SK",AE9399,""))</f>
        <v>214.48953</v>
      </c>
    </row>
    <row r="9400" spans="27:32" ht="15">
      <c r="AA9400" s="463" t="s">
        <v>1320</v>
      </c>
      <c r="AB9400" s="462" t="s">
        <v>26457</v>
      </c>
      <c r="AC9400" s="462" t="s">
        <v>26458</v>
      </c>
      <c r="AD9400" s="464">
        <v>5876.5414300000002</v>
      </c>
      <c r="AE9400" s="465">
        <v>236.5779</v>
      </c>
      <c r="AF9400" s="86">
        <f>IF(verze!$E$1="CZK",AD9400,IF(verze!$E$1="SK",AE9400,""))</f>
        <v>236.5779</v>
      </c>
    </row>
    <row r="9401" spans="27:32" ht="15">
      <c r="AA9401" s="463" t="s">
        <v>1320</v>
      </c>
      <c r="AB9401" s="462" t="s">
        <v>26459</v>
      </c>
      <c r="AC9401" s="462" t="s">
        <v>26460</v>
      </c>
      <c r="AD9401" s="464">
        <v>5876.5414300000002</v>
      </c>
      <c r="AE9401" s="465">
        <v>236.5779</v>
      </c>
      <c r="AF9401" s="86">
        <f>IF(verze!$E$1="CZK",AD9401,IF(verze!$E$1="SK",AE9401,""))</f>
        <v>236.5779</v>
      </c>
    </row>
    <row r="9402" spans="27:32" ht="15">
      <c r="AA9402" s="463" t="s">
        <v>1320</v>
      </c>
      <c r="AB9402" s="462" t="s">
        <v>26461</v>
      </c>
      <c r="AC9402" s="462" t="s">
        <v>26462</v>
      </c>
      <c r="AD9402" s="464">
        <v>5281.3720499999999</v>
      </c>
      <c r="AE9402" s="465">
        <v>212.54016999999999</v>
      </c>
      <c r="AF9402" s="86">
        <f>IF(verze!$E$1="CZK",AD9402,IF(verze!$E$1="SK",AE9402,""))</f>
        <v>212.54016999999999</v>
      </c>
    </row>
    <row r="9403" spans="27:32" ht="15">
      <c r="AA9403" s="463" t="s">
        <v>1320</v>
      </c>
      <c r="AB9403" s="462" t="s">
        <v>26463</v>
      </c>
      <c r="AC9403" s="462" t="s">
        <v>26464</v>
      </c>
      <c r="AD9403" s="464">
        <v>2579.2911100000001</v>
      </c>
      <c r="AE9403" s="465">
        <v>104.17313</v>
      </c>
      <c r="AF9403" s="86">
        <f>IF(verze!$E$1="CZK",AD9403,IF(verze!$E$1="SK",AE9403,""))</f>
        <v>104.17313</v>
      </c>
    </row>
    <row r="9404" spans="27:32" ht="15">
      <c r="AA9404" s="463" t="s">
        <v>1320</v>
      </c>
      <c r="AB9404" s="462" t="s">
        <v>26465</v>
      </c>
      <c r="AC9404" s="462" t="s">
        <v>26466</v>
      </c>
      <c r="AD9404" s="464">
        <v>2579.2911100000001</v>
      </c>
      <c r="AE9404" s="465">
        <v>104.17313</v>
      </c>
      <c r="AF9404" s="86">
        <f>IF(verze!$E$1="CZK",AD9404,IF(verze!$E$1="SK",AE9404,""))</f>
        <v>104.17313</v>
      </c>
    </row>
    <row r="9405" spans="27:32" ht="15">
      <c r="AA9405" s="463" t="s">
        <v>1320</v>
      </c>
      <c r="AB9405" s="462" t="s">
        <v>26467</v>
      </c>
      <c r="AC9405" s="462" t="s">
        <v>26468</v>
      </c>
      <c r="AD9405" s="464">
        <v>2262.2313199999999</v>
      </c>
      <c r="AE9405" s="465">
        <v>91.367660000000001</v>
      </c>
      <c r="AF9405" s="86">
        <f>IF(verze!$E$1="CZK",AD9405,IF(verze!$E$1="SK",AE9405,""))</f>
        <v>91.367660000000001</v>
      </c>
    </row>
    <row r="9406" spans="27:32" ht="15">
      <c r="AA9406" s="463" t="s">
        <v>1320</v>
      </c>
      <c r="AB9406" s="462" t="s">
        <v>26469</v>
      </c>
      <c r="AC9406" s="462" t="s">
        <v>26470</v>
      </c>
      <c r="AD9406" s="464">
        <v>2579.2911100000001</v>
      </c>
      <c r="AE9406" s="465">
        <v>104.17313</v>
      </c>
      <c r="AF9406" s="86">
        <f>IF(verze!$E$1="CZK",AD9406,IF(verze!$E$1="SK",AE9406,""))</f>
        <v>104.17313</v>
      </c>
    </row>
    <row r="9407" spans="27:32" ht="15">
      <c r="AA9407" s="463" t="s">
        <v>1320</v>
      </c>
      <c r="AB9407" s="462" t="s">
        <v>26471</v>
      </c>
      <c r="AC9407" s="462" t="s">
        <v>26472</v>
      </c>
      <c r="AD9407" s="464">
        <v>2579.2911100000001</v>
      </c>
      <c r="AE9407" s="465">
        <v>104.17313</v>
      </c>
      <c r="AF9407" s="86">
        <f>IF(verze!$E$1="CZK",AD9407,IF(verze!$E$1="SK",AE9407,""))</f>
        <v>104.17313</v>
      </c>
    </row>
    <row r="9408" spans="27:32" ht="15">
      <c r="AA9408" s="463" t="s">
        <v>1320</v>
      </c>
      <c r="AB9408" s="462" t="s">
        <v>26473</v>
      </c>
      <c r="AC9408" s="462" t="s">
        <v>26474</v>
      </c>
      <c r="AD9408" s="464">
        <v>2262.2313199999999</v>
      </c>
      <c r="AE9408" s="465">
        <v>91.367660000000001</v>
      </c>
      <c r="AF9408" s="86">
        <f>IF(verze!$E$1="CZK",AD9408,IF(verze!$E$1="SK",AE9408,""))</f>
        <v>91.367660000000001</v>
      </c>
    </row>
    <row r="9409" spans="27:32" ht="15">
      <c r="AA9409" s="463" t="s">
        <v>1320</v>
      </c>
      <c r="AB9409" s="462" t="s">
        <v>26475</v>
      </c>
      <c r="AC9409" s="462" t="s">
        <v>26476</v>
      </c>
      <c r="AD9409" s="464">
        <v>2798.8651500000001</v>
      </c>
      <c r="AE9409" s="465">
        <v>112.77443</v>
      </c>
      <c r="AF9409" s="86">
        <f>IF(verze!$E$1="CZK",AD9409,IF(verze!$E$1="SK",AE9409,""))</f>
        <v>112.77443</v>
      </c>
    </row>
    <row r="9410" spans="27:32" ht="15">
      <c r="AA9410" s="463" t="s">
        <v>1320</v>
      </c>
      <c r="AB9410" s="462" t="s">
        <v>26477</v>
      </c>
      <c r="AC9410" s="462" t="s">
        <v>26478</v>
      </c>
      <c r="AD9410" s="464">
        <v>2798.8651500000001</v>
      </c>
      <c r="AE9410" s="465">
        <v>112.77443</v>
      </c>
      <c r="AF9410" s="86">
        <f>IF(verze!$E$1="CZK",AD9410,IF(verze!$E$1="SK",AE9410,""))</f>
        <v>112.77443</v>
      </c>
    </row>
    <row r="9411" spans="27:32" ht="15">
      <c r="AA9411" s="463" t="s">
        <v>1320</v>
      </c>
      <c r="AB9411" s="462" t="s">
        <v>26479</v>
      </c>
      <c r="AC9411" s="462" t="s">
        <v>26480</v>
      </c>
      <c r="AD9411" s="464">
        <v>2495.8658</v>
      </c>
      <c r="AE9411" s="465">
        <v>100.53686999999999</v>
      </c>
      <c r="AF9411" s="86">
        <f>IF(verze!$E$1="CZK",AD9411,IF(verze!$E$1="SK",AE9411,""))</f>
        <v>100.53686999999999</v>
      </c>
    </row>
    <row r="9412" spans="27:32" ht="15">
      <c r="AA9412" s="463" t="s">
        <v>1320</v>
      </c>
      <c r="AB9412" s="462" t="s">
        <v>26481</v>
      </c>
      <c r="AC9412" s="462" t="s">
        <v>26482</v>
      </c>
      <c r="AD9412" s="464">
        <v>2798.8651500000001</v>
      </c>
      <c r="AE9412" s="465">
        <v>112.77443</v>
      </c>
      <c r="AF9412" s="86">
        <f>IF(verze!$E$1="CZK",AD9412,IF(verze!$E$1="SK",AE9412,""))</f>
        <v>112.77443</v>
      </c>
    </row>
    <row r="9413" spans="27:32" ht="15">
      <c r="AA9413" s="463" t="s">
        <v>1320</v>
      </c>
      <c r="AB9413" s="462" t="s">
        <v>26483</v>
      </c>
      <c r="AC9413" s="462" t="s">
        <v>26484</v>
      </c>
      <c r="AD9413" s="464">
        <v>2798.8651500000001</v>
      </c>
      <c r="AE9413" s="465">
        <v>112.77443</v>
      </c>
      <c r="AF9413" s="86">
        <f>IF(verze!$E$1="CZK",AD9413,IF(verze!$E$1="SK",AE9413,""))</f>
        <v>112.77443</v>
      </c>
    </row>
    <row r="9414" spans="27:32" ht="15">
      <c r="AA9414" s="463" t="s">
        <v>1320</v>
      </c>
      <c r="AB9414" s="462" t="s">
        <v>26485</v>
      </c>
      <c r="AC9414" s="462" t="s">
        <v>26486</v>
      </c>
      <c r="AD9414" s="464">
        <v>2495.8658</v>
      </c>
      <c r="AE9414" s="465">
        <v>100.53686999999999</v>
      </c>
      <c r="AF9414" s="86">
        <f>IF(verze!$E$1="CZK",AD9414,IF(verze!$E$1="SK",AE9414,""))</f>
        <v>100.53686999999999</v>
      </c>
    </row>
    <row r="9415" spans="27:32" ht="15">
      <c r="AA9415" s="463" t="s">
        <v>1320</v>
      </c>
      <c r="AB9415" s="462" t="s">
        <v>26487</v>
      </c>
      <c r="AC9415" s="462" t="s">
        <v>26488</v>
      </c>
      <c r="AD9415" s="464">
        <v>2782.4848200000001</v>
      </c>
      <c r="AE9415" s="465">
        <v>112.12461999999999</v>
      </c>
      <c r="AF9415" s="86">
        <f>IF(verze!$E$1="CZK",AD9415,IF(verze!$E$1="SK",AE9415,""))</f>
        <v>112.12461999999999</v>
      </c>
    </row>
    <row r="9416" spans="27:32" ht="15">
      <c r="AA9416" s="463" t="s">
        <v>1320</v>
      </c>
      <c r="AB9416" s="462" t="s">
        <v>26489</v>
      </c>
      <c r="AC9416" s="462" t="s">
        <v>26490</v>
      </c>
      <c r="AD9416" s="464">
        <v>2782.4848200000001</v>
      </c>
      <c r="AE9416" s="465">
        <v>112.12461999999999</v>
      </c>
      <c r="AF9416" s="86">
        <f>IF(verze!$E$1="CZK",AD9416,IF(verze!$E$1="SK",AE9416,""))</f>
        <v>112.12461999999999</v>
      </c>
    </row>
    <row r="9417" spans="27:32" ht="15">
      <c r="AA9417" s="463" t="s">
        <v>1320</v>
      </c>
      <c r="AB9417" s="462" t="s">
        <v>26491</v>
      </c>
      <c r="AC9417" s="462" t="s">
        <v>26492</v>
      </c>
      <c r="AD9417" s="464">
        <v>2479.4854700000001</v>
      </c>
      <c r="AE9417" s="465">
        <v>99.887060000000005</v>
      </c>
      <c r="AF9417" s="86">
        <f>IF(verze!$E$1="CZK",AD9417,IF(verze!$E$1="SK",AE9417,""))</f>
        <v>99.887060000000005</v>
      </c>
    </row>
    <row r="9418" spans="27:32" ht="15">
      <c r="AA9418" s="463" t="s">
        <v>1320</v>
      </c>
      <c r="AB9418" s="462" t="s">
        <v>26493</v>
      </c>
      <c r="AC9418" s="462" t="s">
        <v>26494</v>
      </c>
      <c r="AD9418" s="464">
        <v>2782.4848200000001</v>
      </c>
      <c r="AE9418" s="465">
        <v>112.12461999999999</v>
      </c>
      <c r="AF9418" s="86">
        <f>IF(verze!$E$1="CZK",AD9418,IF(verze!$E$1="SK",AE9418,""))</f>
        <v>112.12461999999999</v>
      </c>
    </row>
    <row r="9419" spans="27:32" ht="15">
      <c r="AA9419" s="463" t="s">
        <v>1320</v>
      </c>
      <c r="AB9419" s="462" t="s">
        <v>26495</v>
      </c>
      <c r="AC9419" s="462" t="s">
        <v>26496</v>
      </c>
      <c r="AD9419" s="464">
        <v>2782.4848200000001</v>
      </c>
      <c r="AE9419" s="465">
        <v>112.12461999999999</v>
      </c>
      <c r="AF9419" s="86">
        <f>IF(verze!$E$1="CZK",AD9419,IF(verze!$E$1="SK",AE9419,""))</f>
        <v>112.12461999999999</v>
      </c>
    </row>
    <row r="9420" spans="27:32" ht="15">
      <c r="AA9420" s="463" t="s">
        <v>1320</v>
      </c>
      <c r="AB9420" s="462" t="s">
        <v>26497</v>
      </c>
      <c r="AC9420" s="462" t="s">
        <v>26498</v>
      </c>
      <c r="AD9420" s="464">
        <v>2479.4854700000001</v>
      </c>
      <c r="AE9420" s="465">
        <v>99.887060000000005</v>
      </c>
      <c r="AF9420" s="86">
        <f>IF(verze!$E$1="CZK",AD9420,IF(verze!$E$1="SK",AE9420,""))</f>
        <v>99.887060000000005</v>
      </c>
    </row>
    <row r="9421" spans="27:32" ht="15">
      <c r="AA9421" s="463" t="s">
        <v>1320</v>
      </c>
      <c r="AB9421" s="462" t="s">
        <v>26499</v>
      </c>
      <c r="AC9421" s="462" t="s">
        <v>26500</v>
      </c>
      <c r="AD9421" s="464">
        <v>5112.1989299999996</v>
      </c>
      <c r="AE9421" s="465">
        <v>206.47288</v>
      </c>
      <c r="AF9421" s="86">
        <f>IF(verze!$E$1="CZK",AD9421,IF(verze!$E$1="SK",AE9421,""))</f>
        <v>206.47288</v>
      </c>
    </row>
    <row r="9422" spans="27:32" ht="15">
      <c r="AA9422" s="463" t="s">
        <v>1320</v>
      </c>
      <c r="AB9422" s="462" t="s">
        <v>26501</v>
      </c>
      <c r="AC9422" s="462" t="s">
        <v>26502</v>
      </c>
      <c r="AD9422" s="464">
        <v>5112.1989299999996</v>
      </c>
      <c r="AE9422" s="465">
        <v>206.47288</v>
      </c>
      <c r="AF9422" s="86">
        <f>IF(verze!$E$1="CZK",AD9422,IF(verze!$E$1="SK",AE9422,""))</f>
        <v>206.47288</v>
      </c>
    </row>
    <row r="9423" spans="27:32" ht="15">
      <c r="AA9423" s="463" t="s">
        <v>1320</v>
      </c>
      <c r="AB9423" s="462" t="s">
        <v>26503</v>
      </c>
      <c r="AC9423" s="462" t="s">
        <v>26504</v>
      </c>
      <c r="AD9423" s="464">
        <v>4488.9086699999998</v>
      </c>
      <c r="AE9423" s="465">
        <v>181.29933</v>
      </c>
      <c r="AF9423" s="86">
        <f>IF(verze!$E$1="CZK",AD9423,IF(verze!$E$1="SK",AE9423,""))</f>
        <v>181.29933</v>
      </c>
    </row>
    <row r="9424" spans="27:32" ht="15">
      <c r="AA9424" s="463" t="s">
        <v>1320</v>
      </c>
      <c r="AB9424" s="462" t="s">
        <v>26505</v>
      </c>
      <c r="AC9424" s="462" t="s">
        <v>26506</v>
      </c>
      <c r="AD9424" s="464">
        <v>5551.3470100000004</v>
      </c>
      <c r="AE9424" s="465">
        <v>223.67547999999999</v>
      </c>
      <c r="AF9424" s="86">
        <f>IF(verze!$E$1="CZK",AD9424,IF(verze!$E$1="SK",AE9424,""))</f>
        <v>223.67547999999999</v>
      </c>
    </row>
    <row r="9425" spans="27:32" ht="15">
      <c r="AA9425" s="463" t="s">
        <v>1320</v>
      </c>
      <c r="AB9425" s="462" t="s">
        <v>26507</v>
      </c>
      <c r="AC9425" s="462" t="s">
        <v>26508</v>
      </c>
      <c r="AD9425" s="464">
        <v>5551.3470100000004</v>
      </c>
      <c r="AE9425" s="465">
        <v>223.67547999999999</v>
      </c>
      <c r="AF9425" s="86">
        <f>IF(verze!$E$1="CZK",AD9425,IF(verze!$E$1="SK",AE9425,""))</f>
        <v>223.67547999999999</v>
      </c>
    </row>
    <row r="9426" spans="27:32" ht="15">
      <c r="AA9426" s="463" t="s">
        <v>1320</v>
      </c>
      <c r="AB9426" s="462" t="s">
        <v>26509</v>
      </c>
      <c r="AC9426" s="462" t="s">
        <v>26510</v>
      </c>
      <c r="AD9426" s="464">
        <v>4956.1776300000001</v>
      </c>
      <c r="AE9426" s="465">
        <v>199.63775000000001</v>
      </c>
      <c r="AF9426" s="86">
        <f>IF(verze!$E$1="CZK",AD9426,IF(verze!$E$1="SK",AE9426,""))</f>
        <v>199.63775000000001</v>
      </c>
    </row>
    <row r="9427" spans="27:32" ht="15">
      <c r="AA9427" s="463" t="s">
        <v>1320</v>
      </c>
      <c r="AB9427" s="462" t="s">
        <v>26511</v>
      </c>
      <c r="AC9427" s="462" t="s">
        <v>26512</v>
      </c>
      <c r="AD9427" s="464">
        <v>5518.5863499999996</v>
      </c>
      <c r="AE9427" s="465">
        <v>222.37585999999999</v>
      </c>
      <c r="AF9427" s="86">
        <f>IF(verze!$E$1="CZK",AD9427,IF(verze!$E$1="SK",AE9427,""))</f>
        <v>222.37585999999999</v>
      </c>
    </row>
    <row r="9428" spans="27:32" ht="15">
      <c r="AA9428" s="463" t="s">
        <v>1320</v>
      </c>
      <c r="AB9428" s="462" t="s">
        <v>26513</v>
      </c>
      <c r="AC9428" s="462" t="s">
        <v>26514</v>
      </c>
      <c r="AD9428" s="464">
        <v>5518.5863499999996</v>
      </c>
      <c r="AE9428" s="465">
        <v>222.37585999999999</v>
      </c>
      <c r="AF9428" s="86">
        <f>IF(verze!$E$1="CZK",AD9428,IF(verze!$E$1="SK",AE9428,""))</f>
        <v>222.37585999999999</v>
      </c>
    </row>
    <row r="9429" spans="27:32" ht="15">
      <c r="AA9429" s="463" t="s">
        <v>1320</v>
      </c>
      <c r="AB9429" s="462" t="s">
        <v>26515</v>
      </c>
      <c r="AC9429" s="462" t="s">
        <v>26516</v>
      </c>
      <c r="AD9429" s="464">
        <v>4923.4169700000002</v>
      </c>
      <c r="AE9429" s="465">
        <v>198.33813000000001</v>
      </c>
      <c r="AF9429" s="86">
        <f>IF(verze!$E$1="CZK",AD9429,IF(verze!$E$1="SK",AE9429,""))</f>
        <v>198.33813000000001</v>
      </c>
    </row>
    <row r="9430" spans="27:32" ht="15">
      <c r="AA9430" s="463" t="s">
        <v>1320</v>
      </c>
      <c r="AB9430" s="462" t="s">
        <v>26517</v>
      </c>
      <c r="AC9430" s="462" t="s">
        <v>26518</v>
      </c>
      <c r="AD9430" s="464">
        <v>2656.6988299999998</v>
      </c>
      <c r="AE9430" s="465">
        <v>107.29943</v>
      </c>
      <c r="AF9430" s="86">
        <f>IF(verze!$E$1="CZK",AD9430,IF(verze!$E$1="SK",AE9430,""))</f>
        <v>107.29943</v>
      </c>
    </row>
    <row r="9431" spans="27:32" ht="15">
      <c r="AA9431" s="463" t="s">
        <v>1320</v>
      </c>
      <c r="AB9431" s="462" t="s">
        <v>26519</v>
      </c>
      <c r="AC9431" s="462" t="s">
        <v>26520</v>
      </c>
      <c r="AD9431" s="464">
        <v>2656.6988299999998</v>
      </c>
      <c r="AE9431" s="465">
        <v>107.29943</v>
      </c>
      <c r="AF9431" s="86">
        <f>IF(verze!$E$1="CZK",AD9431,IF(verze!$E$1="SK",AE9431,""))</f>
        <v>107.29943</v>
      </c>
    </row>
    <row r="9432" spans="27:32" ht="15">
      <c r="AA9432" s="463" t="s">
        <v>1320</v>
      </c>
      <c r="AB9432" s="462" t="s">
        <v>26521</v>
      </c>
      <c r="AC9432" s="462" t="s">
        <v>26522</v>
      </c>
      <c r="AD9432" s="464">
        <v>2332.5888100000002</v>
      </c>
      <c r="AE9432" s="465">
        <v>94.209249999999997</v>
      </c>
      <c r="AF9432" s="86">
        <f>IF(verze!$E$1="CZK",AD9432,IF(verze!$E$1="SK",AE9432,""))</f>
        <v>94.209249999999997</v>
      </c>
    </row>
    <row r="9433" spans="27:32" ht="15">
      <c r="AA9433" s="463" t="s">
        <v>1320</v>
      </c>
      <c r="AB9433" s="462" t="s">
        <v>26523</v>
      </c>
      <c r="AC9433" s="462" t="s">
        <v>26524</v>
      </c>
      <c r="AD9433" s="464">
        <v>2656.6988299999998</v>
      </c>
      <c r="AE9433" s="465">
        <v>107.29943</v>
      </c>
      <c r="AF9433" s="86">
        <f>IF(verze!$E$1="CZK",AD9433,IF(verze!$E$1="SK",AE9433,""))</f>
        <v>107.29943</v>
      </c>
    </row>
    <row r="9434" spans="27:32" ht="15">
      <c r="AA9434" s="463" t="s">
        <v>1320</v>
      </c>
      <c r="AB9434" s="462" t="s">
        <v>26525</v>
      </c>
      <c r="AC9434" s="462" t="s">
        <v>26526</v>
      </c>
      <c r="AD9434" s="464">
        <v>2656.6988299999998</v>
      </c>
      <c r="AE9434" s="465">
        <v>107.29943</v>
      </c>
      <c r="AF9434" s="86">
        <f>IF(verze!$E$1="CZK",AD9434,IF(verze!$E$1="SK",AE9434,""))</f>
        <v>107.29943</v>
      </c>
    </row>
    <row r="9435" spans="27:32" ht="15">
      <c r="AA9435" s="463" t="s">
        <v>1320</v>
      </c>
      <c r="AB9435" s="462" t="s">
        <v>26527</v>
      </c>
      <c r="AC9435" s="462" t="s">
        <v>26528</v>
      </c>
      <c r="AD9435" s="464">
        <v>2332.5888100000002</v>
      </c>
      <c r="AE9435" s="465">
        <v>94.209249999999997</v>
      </c>
      <c r="AF9435" s="86">
        <f>IF(verze!$E$1="CZK",AD9435,IF(verze!$E$1="SK",AE9435,""))</f>
        <v>94.209249999999997</v>
      </c>
    </row>
    <row r="9436" spans="27:32" ht="15">
      <c r="AA9436" s="463" t="s">
        <v>1320</v>
      </c>
      <c r="AB9436" s="462" t="s">
        <v>26529</v>
      </c>
      <c r="AC9436" s="462" t="s">
        <v>26530</v>
      </c>
      <c r="AD9436" s="464">
        <v>2986.03062</v>
      </c>
      <c r="AE9436" s="465">
        <v>120.20032</v>
      </c>
      <c r="AF9436" s="86">
        <f>IF(verze!$E$1="CZK",AD9436,IF(verze!$E$1="SK",AE9436,""))</f>
        <v>120.20032</v>
      </c>
    </row>
    <row r="9437" spans="27:32" ht="15">
      <c r="AA9437" s="463" t="s">
        <v>1320</v>
      </c>
      <c r="AB9437" s="462" t="s">
        <v>26531</v>
      </c>
      <c r="AC9437" s="462" t="s">
        <v>26532</v>
      </c>
      <c r="AD9437" s="464">
        <v>2683.0312699999999</v>
      </c>
      <c r="AE9437" s="465">
        <v>107.96276</v>
      </c>
      <c r="AF9437" s="86">
        <f>IF(verze!$E$1="CZK",AD9437,IF(verze!$E$1="SK",AE9437,""))</f>
        <v>107.96276</v>
      </c>
    </row>
    <row r="9438" spans="27:32" ht="15">
      <c r="AA9438" s="463" t="s">
        <v>1320</v>
      </c>
      <c r="AB9438" s="462" t="s">
        <v>26533</v>
      </c>
      <c r="AC9438" s="462" t="s">
        <v>26534</v>
      </c>
      <c r="AD9438" s="464">
        <v>2986.03062</v>
      </c>
      <c r="AE9438" s="465">
        <v>120.20032</v>
      </c>
      <c r="AF9438" s="86">
        <f>IF(verze!$E$1="CZK",AD9438,IF(verze!$E$1="SK",AE9438,""))</f>
        <v>120.20032</v>
      </c>
    </row>
    <row r="9439" spans="27:32" ht="15">
      <c r="AA9439" s="463" t="s">
        <v>1320</v>
      </c>
      <c r="AB9439" s="462" t="s">
        <v>26535</v>
      </c>
      <c r="AC9439" s="462" t="s">
        <v>26536</v>
      </c>
      <c r="AD9439" s="464">
        <v>0</v>
      </c>
      <c r="AE9439" s="465">
        <v>0</v>
      </c>
      <c r="AF9439" s="86">
        <f>IF(verze!$E$1="CZK",AD9439,IF(verze!$E$1="SK",AE9439,""))</f>
        <v>0</v>
      </c>
    </row>
    <row r="9440" spans="27:32" ht="15">
      <c r="AA9440" s="463" t="s">
        <v>1320</v>
      </c>
      <c r="AB9440" s="462" t="s">
        <v>26537</v>
      </c>
      <c r="AC9440" s="462" t="s">
        <v>26536</v>
      </c>
      <c r="AD9440" s="464">
        <v>2986.03062</v>
      </c>
      <c r="AE9440" s="465">
        <v>120.20032</v>
      </c>
      <c r="AF9440" s="86">
        <f>IF(verze!$E$1="CZK",AD9440,IF(verze!$E$1="SK",AE9440,""))</f>
        <v>120.20032</v>
      </c>
    </row>
    <row r="9441" spans="27:32" ht="15">
      <c r="AA9441" s="463" t="s">
        <v>1320</v>
      </c>
      <c r="AB9441" s="462" t="s">
        <v>26538</v>
      </c>
      <c r="AC9441" s="462" t="s">
        <v>26539</v>
      </c>
      <c r="AD9441" s="464">
        <v>2683.0312699999999</v>
      </c>
      <c r="AE9441" s="465">
        <v>107.96276</v>
      </c>
      <c r="AF9441" s="86">
        <f>IF(verze!$E$1="CZK",AD9441,IF(verze!$E$1="SK",AE9441,""))</f>
        <v>107.96276</v>
      </c>
    </row>
    <row r="9442" spans="27:32" ht="15">
      <c r="AA9442" s="463" t="s">
        <v>1320</v>
      </c>
      <c r="AB9442" s="462" t="s">
        <v>26540</v>
      </c>
      <c r="AC9442" s="462" t="s">
        <v>26541</v>
      </c>
      <c r="AD9442" s="464">
        <v>2961.46236</v>
      </c>
      <c r="AE9442" s="465">
        <v>119.22564</v>
      </c>
      <c r="AF9442" s="86">
        <f>IF(verze!$E$1="CZK",AD9442,IF(verze!$E$1="SK",AE9442,""))</f>
        <v>119.22564</v>
      </c>
    </row>
    <row r="9443" spans="27:32" ht="15">
      <c r="AA9443" s="463" t="s">
        <v>1320</v>
      </c>
      <c r="AB9443" s="462" t="s">
        <v>26542</v>
      </c>
      <c r="AC9443" s="462" t="s">
        <v>26543</v>
      </c>
      <c r="AD9443" s="464">
        <v>2961.46236</v>
      </c>
      <c r="AE9443" s="465">
        <v>119.22564</v>
      </c>
      <c r="AF9443" s="86">
        <f>IF(verze!$E$1="CZK",AD9443,IF(verze!$E$1="SK",AE9443,""))</f>
        <v>119.22564</v>
      </c>
    </row>
    <row r="9444" spans="27:32" ht="15">
      <c r="AA9444" s="463" t="s">
        <v>1320</v>
      </c>
      <c r="AB9444" s="462" t="s">
        <v>26544</v>
      </c>
      <c r="AC9444" s="462" t="s">
        <v>26545</v>
      </c>
      <c r="AD9444" s="464">
        <v>2658.4630099999999</v>
      </c>
      <c r="AE9444" s="465">
        <v>106.98808</v>
      </c>
      <c r="AF9444" s="86">
        <f>IF(verze!$E$1="CZK",AD9444,IF(verze!$E$1="SK",AE9444,""))</f>
        <v>106.98808</v>
      </c>
    </row>
    <row r="9445" spans="27:32" ht="15">
      <c r="AA9445" s="463" t="s">
        <v>1320</v>
      </c>
      <c r="AB9445" s="462" t="s">
        <v>26546</v>
      </c>
      <c r="AC9445" s="462" t="s">
        <v>26547</v>
      </c>
      <c r="AD9445" s="464">
        <v>2961.46236</v>
      </c>
      <c r="AE9445" s="465">
        <v>119.22564</v>
      </c>
      <c r="AF9445" s="86">
        <f>IF(verze!$E$1="CZK",AD9445,IF(verze!$E$1="SK",AE9445,""))</f>
        <v>119.22564</v>
      </c>
    </row>
    <row r="9446" spans="27:32" ht="15">
      <c r="AA9446" s="463" t="s">
        <v>1320</v>
      </c>
      <c r="AB9446" s="462" t="s">
        <v>26548</v>
      </c>
      <c r="AC9446" s="462" t="s">
        <v>26549</v>
      </c>
      <c r="AD9446" s="464">
        <v>2961.46236</v>
      </c>
      <c r="AE9446" s="465">
        <v>119.22564</v>
      </c>
      <c r="AF9446" s="86">
        <f>IF(verze!$E$1="CZK",AD9446,IF(verze!$E$1="SK",AE9446,""))</f>
        <v>119.22564</v>
      </c>
    </row>
    <row r="9447" spans="27:32" ht="15">
      <c r="AA9447" s="463" t="s">
        <v>1320</v>
      </c>
      <c r="AB9447" s="462" t="s">
        <v>26550</v>
      </c>
      <c r="AC9447" s="462" t="s">
        <v>26551</v>
      </c>
      <c r="AD9447" s="464">
        <v>2658.4630099999999</v>
      </c>
      <c r="AE9447" s="465">
        <v>106.98808</v>
      </c>
      <c r="AF9447" s="86">
        <f>IF(verze!$E$1="CZK",AD9447,IF(verze!$E$1="SK",AE9447,""))</f>
        <v>106.98808</v>
      </c>
    </row>
    <row r="9448" spans="27:32" ht="15">
      <c r="AA9448" s="463" t="s">
        <v>1320</v>
      </c>
      <c r="AB9448" s="462" t="s">
        <v>26552</v>
      </c>
      <c r="AC9448" s="462" t="s">
        <v>26553</v>
      </c>
      <c r="AD9448" s="464">
        <v>2734.0843300000001</v>
      </c>
      <c r="AE9448" s="465">
        <v>110.425</v>
      </c>
      <c r="AF9448" s="86">
        <f>IF(verze!$E$1="CZK",AD9448,IF(verze!$E$1="SK",AE9448,""))</f>
        <v>110.425</v>
      </c>
    </row>
    <row r="9449" spans="27:32" ht="15">
      <c r="AA9449" s="463" t="s">
        <v>1320</v>
      </c>
      <c r="AB9449" s="462" t="s">
        <v>26554</v>
      </c>
      <c r="AC9449" s="462" t="s">
        <v>26555</v>
      </c>
      <c r="AD9449" s="464">
        <v>2734.0843300000001</v>
      </c>
      <c r="AE9449" s="465">
        <v>110.425</v>
      </c>
      <c r="AF9449" s="86">
        <f>IF(verze!$E$1="CZK",AD9449,IF(verze!$E$1="SK",AE9449,""))</f>
        <v>110.425</v>
      </c>
    </row>
    <row r="9450" spans="27:32" ht="15">
      <c r="AA9450" s="463" t="s">
        <v>1320</v>
      </c>
      <c r="AB9450" s="462" t="s">
        <v>26556</v>
      </c>
      <c r="AC9450" s="462" t="s">
        <v>26557</v>
      </c>
      <c r="AD9450" s="464">
        <v>2402.9641000000001</v>
      </c>
      <c r="AE9450" s="465">
        <v>97.05162</v>
      </c>
      <c r="AF9450" s="86">
        <f>IF(verze!$E$1="CZK",AD9450,IF(verze!$E$1="SK",AE9450,""))</f>
        <v>97.05162</v>
      </c>
    </row>
    <row r="9451" spans="27:32" ht="15">
      <c r="AA9451" s="463" t="s">
        <v>1320</v>
      </c>
      <c r="AB9451" s="462" t="s">
        <v>26558</v>
      </c>
      <c r="AC9451" s="462" t="s">
        <v>26559</v>
      </c>
      <c r="AD9451" s="464">
        <v>2734.0843300000001</v>
      </c>
      <c r="AE9451" s="465">
        <v>110.425</v>
      </c>
      <c r="AF9451" s="86">
        <f>IF(verze!$E$1="CZK",AD9451,IF(verze!$E$1="SK",AE9451,""))</f>
        <v>110.425</v>
      </c>
    </row>
    <row r="9452" spans="27:32" ht="15">
      <c r="AA9452" s="463" t="s">
        <v>1320</v>
      </c>
      <c r="AB9452" s="462" t="s">
        <v>26560</v>
      </c>
      <c r="AC9452" s="462" t="s">
        <v>26561</v>
      </c>
      <c r="AD9452" s="464">
        <v>2734.0843300000001</v>
      </c>
      <c r="AE9452" s="465">
        <v>110.425</v>
      </c>
      <c r="AF9452" s="86">
        <f>IF(verze!$E$1="CZK",AD9452,IF(verze!$E$1="SK",AE9452,""))</f>
        <v>110.425</v>
      </c>
    </row>
    <row r="9453" spans="27:32" ht="15">
      <c r="AA9453" s="463" t="s">
        <v>1320</v>
      </c>
      <c r="AB9453" s="462" t="s">
        <v>26562</v>
      </c>
      <c r="AC9453" s="462" t="s">
        <v>26563</v>
      </c>
      <c r="AD9453" s="464">
        <v>2402.9641000000001</v>
      </c>
      <c r="AE9453" s="465">
        <v>97.05162</v>
      </c>
      <c r="AF9453" s="86">
        <f>IF(verze!$E$1="CZK",AD9453,IF(verze!$E$1="SK",AE9453,""))</f>
        <v>97.05162</v>
      </c>
    </row>
    <row r="9454" spans="27:32" ht="15">
      <c r="AA9454" s="463" t="s">
        <v>1320</v>
      </c>
      <c r="AB9454" s="462" t="s">
        <v>26564</v>
      </c>
      <c r="AC9454" s="462" t="s">
        <v>26565</v>
      </c>
      <c r="AD9454" s="464">
        <v>3173.2324100000001</v>
      </c>
      <c r="AE9454" s="465">
        <v>127.6276</v>
      </c>
      <c r="AF9454" s="86">
        <f>IF(verze!$E$1="CZK",AD9454,IF(verze!$E$1="SK",AE9454,""))</f>
        <v>127.6276</v>
      </c>
    </row>
    <row r="9455" spans="27:32" ht="15">
      <c r="AA9455" s="463" t="s">
        <v>1320</v>
      </c>
      <c r="AB9455" s="462" t="s">
        <v>26566</v>
      </c>
      <c r="AC9455" s="462" t="s">
        <v>26567</v>
      </c>
      <c r="AD9455" s="464">
        <v>3173.2324100000001</v>
      </c>
      <c r="AE9455" s="465">
        <v>127.6276</v>
      </c>
      <c r="AF9455" s="86">
        <f>IF(verze!$E$1="CZK",AD9455,IF(verze!$E$1="SK",AE9455,""))</f>
        <v>127.6276</v>
      </c>
    </row>
    <row r="9456" spans="27:32" ht="15">
      <c r="AA9456" s="463" t="s">
        <v>1320</v>
      </c>
      <c r="AB9456" s="462" t="s">
        <v>26568</v>
      </c>
      <c r="AC9456" s="462" t="s">
        <v>26569</v>
      </c>
      <c r="AD9456" s="464">
        <v>2870.23306</v>
      </c>
      <c r="AE9456" s="465">
        <v>115.39004</v>
      </c>
      <c r="AF9456" s="86">
        <f>IF(verze!$E$1="CZK",AD9456,IF(verze!$E$1="SK",AE9456,""))</f>
        <v>115.39004</v>
      </c>
    </row>
    <row r="9457" spans="27:32" ht="15">
      <c r="AA9457" s="463" t="s">
        <v>1320</v>
      </c>
      <c r="AB9457" s="462" t="s">
        <v>26570</v>
      </c>
      <c r="AC9457" s="462" t="s">
        <v>26571</v>
      </c>
      <c r="AD9457" s="464">
        <v>3173.2324100000001</v>
      </c>
      <c r="AE9457" s="465">
        <v>127.6276</v>
      </c>
      <c r="AF9457" s="86">
        <f>IF(verze!$E$1="CZK",AD9457,IF(verze!$E$1="SK",AE9457,""))</f>
        <v>127.6276</v>
      </c>
    </row>
    <row r="9458" spans="27:32" ht="15">
      <c r="AA9458" s="463" t="s">
        <v>1320</v>
      </c>
      <c r="AB9458" s="462" t="s">
        <v>26572</v>
      </c>
      <c r="AC9458" s="462" t="s">
        <v>26573</v>
      </c>
      <c r="AD9458" s="464">
        <v>3173.2324100000001</v>
      </c>
      <c r="AE9458" s="465">
        <v>127.6276</v>
      </c>
      <c r="AF9458" s="86">
        <f>IF(verze!$E$1="CZK",AD9458,IF(verze!$E$1="SK",AE9458,""))</f>
        <v>127.6276</v>
      </c>
    </row>
    <row r="9459" spans="27:32" ht="15">
      <c r="AA9459" s="463" t="s">
        <v>1320</v>
      </c>
      <c r="AB9459" s="462" t="s">
        <v>26574</v>
      </c>
      <c r="AC9459" s="462" t="s">
        <v>26575</v>
      </c>
      <c r="AD9459" s="464">
        <v>2870.23306</v>
      </c>
      <c r="AE9459" s="465">
        <v>115.39004</v>
      </c>
      <c r="AF9459" s="86">
        <f>IF(verze!$E$1="CZK",AD9459,IF(verze!$E$1="SK",AE9459,""))</f>
        <v>115.39004</v>
      </c>
    </row>
    <row r="9460" spans="27:32" ht="15">
      <c r="AA9460" s="463" t="s">
        <v>1320</v>
      </c>
      <c r="AB9460" s="462" t="s">
        <v>26576</v>
      </c>
      <c r="AC9460" s="462" t="s">
        <v>26577</v>
      </c>
      <c r="AD9460" s="464">
        <v>3140.4717500000002</v>
      </c>
      <c r="AE9460" s="465">
        <v>126.32798</v>
      </c>
      <c r="AF9460" s="86">
        <f>IF(verze!$E$1="CZK",AD9460,IF(verze!$E$1="SK",AE9460,""))</f>
        <v>126.32798</v>
      </c>
    </row>
    <row r="9461" spans="27:32" ht="15">
      <c r="AA9461" s="463" t="s">
        <v>1320</v>
      </c>
      <c r="AB9461" s="462" t="s">
        <v>26578</v>
      </c>
      <c r="AC9461" s="462" t="s">
        <v>26579</v>
      </c>
      <c r="AD9461" s="464">
        <v>3140.4717500000002</v>
      </c>
      <c r="AE9461" s="465">
        <v>126.32798</v>
      </c>
      <c r="AF9461" s="86">
        <f>IF(verze!$E$1="CZK",AD9461,IF(verze!$E$1="SK",AE9461,""))</f>
        <v>126.32798</v>
      </c>
    </row>
    <row r="9462" spans="27:32" ht="15">
      <c r="AA9462" s="463" t="s">
        <v>1320</v>
      </c>
      <c r="AB9462" s="462" t="s">
        <v>26580</v>
      </c>
      <c r="AC9462" s="462" t="s">
        <v>26581</v>
      </c>
      <c r="AD9462" s="464">
        <v>2837.4724000000001</v>
      </c>
      <c r="AE9462" s="465">
        <v>114.09041999999999</v>
      </c>
      <c r="AF9462" s="86">
        <f>IF(verze!$E$1="CZK",AD9462,IF(verze!$E$1="SK",AE9462,""))</f>
        <v>114.09041999999999</v>
      </c>
    </row>
    <row r="9463" spans="27:32" ht="15">
      <c r="AA9463" s="463" t="s">
        <v>1320</v>
      </c>
      <c r="AB9463" s="462" t="s">
        <v>26582</v>
      </c>
      <c r="AC9463" s="462" t="s">
        <v>26583</v>
      </c>
      <c r="AD9463" s="464">
        <v>3140.4717500000002</v>
      </c>
      <c r="AE9463" s="465">
        <v>126.32798</v>
      </c>
      <c r="AF9463" s="86">
        <f>IF(verze!$E$1="CZK",AD9463,IF(verze!$E$1="SK",AE9463,""))</f>
        <v>126.32798</v>
      </c>
    </row>
    <row r="9464" spans="27:32" ht="15">
      <c r="AA9464" s="463" t="s">
        <v>1320</v>
      </c>
      <c r="AB9464" s="462" t="s">
        <v>26584</v>
      </c>
      <c r="AC9464" s="462" t="s">
        <v>26585</v>
      </c>
      <c r="AD9464" s="464">
        <v>3140.4717500000002</v>
      </c>
      <c r="AE9464" s="465">
        <v>126.32798</v>
      </c>
      <c r="AF9464" s="86">
        <f>IF(verze!$E$1="CZK",AD9464,IF(verze!$E$1="SK",AE9464,""))</f>
        <v>126.32798</v>
      </c>
    </row>
    <row r="9465" spans="27:32" ht="15">
      <c r="AA9465" s="463" t="s">
        <v>1320</v>
      </c>
      <c r="AB9465" s="462" t="s">
        <v>26586</v>
      </c>
      <c r="AC9465" s="462" t="s">
        <v>26587</v>
      </c>
      <c r="AD9465" s="464">
        <v>2837.4724000000001</v>
      </c>
      <c r="AE9465" s="465">
        <v>114.09041999999999</v>
      </c>
      <c r="AF9465" s="86">
        <f>IF(verze!$E$1="CZK",AD9465,IF(verze!$E$1="SK",AE9465,""))</f>
        <v>114.09041999999999</v>
      </c>
    </row>
    <row r="9466" spans="27:32" ht="15">
      <c r="AA9466" s="463" t="s">
        <v>1320</v>
      </c>
      <c r="AB9466" s="462" t="s">
        <v>26588</v>
      </c>
      <c r="AC9466" s="462" t="s">
        <v>26589</v>
      </c>
      <c r="AD9466" s="464">
        <v>6093.6366900000003</v>
      </c>
      <c r="AE9466" s="465">
        <v>246.11165</v>
      </c>
      <c r="AF9466" s="86">
        <f>IF(verze!$E$1="CZK",AD9466,IF(verze!$E$1="SK",AE9466,""))</f>
        <v>246.11165</v>
      </c>
    </row>
    <row r="9467" spans="27:32" ht="15">
      <c r="AA9467" s="463" t="s">
        <v>1320</v>
      </c>
      <c r="AB9467" s="462" t="s">
        <v>26590</v>
      </c>
      <c r="AC9467" s="462" t="s">
        <v>26591</v>
      </c>
      <c r="AD9467" s="464">
        <v>5381.1605099999997</v>
      </c>
      <c r="AE9467" s="465">
        <v>217.33597</v>
      </c>
      <c r="AF9467" s="86">
        <f>IF(verze!$E$1="CZK",AD9467,IF(verze!$E$1="SK",AE9467,""))</f>
        <v>217.33597</v>
      </c>
    </row>
    <row r="9468" spans="27:32" ht="15">
      <c r="AA9468" s="463" t="s">
        <v>1320</v>
      </c>
      <c r="AB9468" s="462" t="s">
        <v>26592</v>
      </c>
      <c r="AC9468" s="462" t="s">
        <v>26593</v>
      </c>
      <c r="AD9468" s="464">
        <v>7191.5068899999997</v>
      </c>
      <c r="AE9468" s="465">
        <v>289.11815000000001</v>
      </c>
      <c r="AF9468" s="86">
        <f>IF(verze!$E$1="CZK",AD9468,IF(verze!$E$1="SK",AE9468,""))</f>
        <v>289.11815000000001</v>
      </c>
    </row>
    <row r="9469" spans="27:32" ht="15">
      <c r="AA9469" s="463" t="s">
        <v>1320</v>
      </c>
      <c r="AB9469" s="462" t="s">
        <v>26594</v>
      </c>
      <c r="AC9469" s="462" t="s">
        <v>26595</v>
      </c>
      <c r="AD9469" s="464">
        <v>6549.3329100000001</v>
      </c>
      <c r="AE9469" s="465">
        <v>263.18202000000002</v>
      </c>
      <c r="AF9469" s="86">
        <f>IF(verze!$E$1="CZK",AD9469,IF(verze!$E$1="SK",AE9469,""))</f>
        <v>263.18202000000002</v>
      </c>
    </row>
    <row r="9470" spans="27:32" ht="15">
      <c r="AA9470" s="463" t="s">
        <v>1320</v>
      </c>
      <c r="AB9470" s="462" t="s">
        <v>26596</v>
      </c>
      <c r="AC9470" s="462" t="s">
        <v>26597</v>
      </c>
      <c r="AD9470" s="464">
        <v>7109.6052399999999</v>
      </c>
      <c r="AE9470" s="465">
        <v>285.8691</v>
      </c>
      <c r="AF9470" s="86">
        <f>IF(verze!$E$1="CZK",AD9470,IF(verze!$E$1="SK",AE9470,""))</f>
        <v>285.8691</v>
      </c>
    </row>
    <row r="9471" spans="27:32" ht="15">
      <c r="AA9471" s="463" t="s">
        <v>1320</v>
      </c>
      <c r="AB9471" s="462" t="s">
        <v>26598</v>
      </c>
      <c r="AC9471" s="462" t="s">
        <v>26599</v>
      </c>
      <c r="AD9471" s="464">
        <v>6467.4312600000003</v>
      </c>
      <c r="AE9471" s="465">
        <v>259.93297000000001</v>
      </c>
      <c r="AF9471" s="86">
        <f>IF(verze!$E$1="CZK",AD9471,IF(verze!$E$1="SK",AE9471,""))</f>
        <v>259.93297000000001</v>
      </c>
    </row>
    <row r="9472" spans="27:32" ht="15">
      <c r="AA9472" s="463" t="s">
        <v>1320</v>
      </c>
      <c r="AB9472" s="462" t="s">
        <v>26600</v>
      </c>
      <c r="AC9472" s="462" t="s">
        <v>26601</v>
      </c>
      <c r="AD9472" s="464">
        <v>6248.4743500000004</v>
      </c>
      <c r="AE9472" s="465">
        <v>252.36498</v>
      </c>
      <c r="AF9472" s="86">
        <f>IF(verze!$E$1="CZK",AD9472,IF(verze!$E$1="SK",AE9472,""))</f>
        <v>252.36498</v>
      </c>
    </row>
    <row r="9473" spans="27:32" ht="15">
      <c r="AA9473" s="463" t="s">
        <v>1320</v>
      </c>
      <c r="AB9473" s="462" t="s">
        <v>26602</v>
      </c>
      <c r="AC9473" s="462" t="s">
        <v>26603</v>
      </c>
      <c r="AD9473" s="464">
        <v>5521.8576899999998</v>
      </c>
      <c r="AE9473" s="465">
        <v>223.01837</v>
      </c>
      <c r="AF9473" s="86">
        <f>IF(verze!$E$1="CZK",AD9473,IF(verze!$E$1="SK",AE9473,""))</f>
        <v>223.01837</v>
      </c>
    </row>
    <row r="9474" spans="27:32" ht="15">
      <c r="AA9474" s="463" t="s">
        <v>1320</v>
      </c>
      <c r="AB9474" s="462" t="s">
        <v>26604</v>
      </c>
      <c r="AC9474" s="462" t="s">
        <v>26605</v>
      </c>
      <c r="AD9474" s="464">
        <v>6442.7360500000004</v>
      </c>
      <c r="AE9474" s="465">
        <v>259.41041999999999</v>
      </c>
      <c r="AF9474" s="86">
        <f>IF(verze!$E$1="CZK",AD9474,IF(verze!$E$1="SK",AE9474,""))</f>
        <v>259.41041999999999</v>
      </c>
    </row>
    <row r="9475" spans="27:32" ht="15">
      <c r="AA9475" s="463" t="s">
        <v>1320</v>
      </c>
      <c r="AB9475" s="462" t="s">
        <v>26606</v>
      </c>
      <c r="AC9475" s="462" t="s">
        <v>26607</v>
      </c>
      <c r="AD9475" s="464">
        <v>5800.5620699999999</v>
      </c>
      <c r="AE9475" s="465">
        <v>233.47429</v>
      </c>
      <c r="AF9475" s="86">
        <f>IF(verze!$E$1="CZK",AD9475,IF(verze!$E$1="SK",AE9475,""))</f>
        <v>233.47429</v>
      </c>
    </row>
    <row r="9476" spans="27:32" ht="15">
      <c r="AA9476" s="463" t="s">
        <v>1320</v>
      </c>
      <c r="AB9476" s="462" t="s">
        <v>26608</v>
      </c>
      <c r="AC9476" s="462" t="s">
        <v>26609</v>
      </c>
      <c r="AD9476" s="464">
        <v>7467.5284700000002</v>
      </c>
      <c r="AE9476" s="465">
        <v>300.06981999999999</v>
      </c>
      <c r="AF9476" s="86">
        <f>IF(verze!$E$1="CZK",AD9476,IF(verze!$E$1="SK",AE9476,""))</f>
        <v>300.06981999999999</v>
      </c>
    </row>
    <row r="9477" spans="27:32" ht="15">
      <c r="AA9477" s="463" t="s">
        <v>1320</v>
      </c>
      <c r="AB9477" s="462" t="s">
        <v>26610</v>
      </c>
      <c r="AC9477" s="462" t="s">
        <v>26611</v>
      </c>
      <c r="AD9477" s="464">
        <v>6825.3544899999997</v>
      </c>
      <c r="AE9477" s="465">
        <v>274.13369</v>
      </c>
      <c r="AF9477" s="86">
        <f>IF(verze!$E$1="CZK",AD9477,IF(verze!$E$1="SK",AE9477,""))</f>
        <v>274.13369</v>
      </c>
    </row>
    <row r="9478" spans="27:32" ht="15">
      <c r="AA9478" s="463" t="s">
        <v>1320</v>
      </c>
      <c r="AB9478" s="462" t="s">
        <v>26612</v>
      </c>
      <c r="AC9478" s="462" t="s">
        <v>26613</v>
      </c>
      <c r="AD9478" s="464">
        <v>5784.0724700000001</v>
      </c>
      <c r="AE9478" s="465">
        <v>233.60864000000001</v>
      </c>
      <c r="AF9478" s="86">
        <f>IF(verze!$E$1="CZK",AD9478,IF(verze!$E$1="SK",AE9478,""))</f>
        <v>233.60864000000001</v>
      </c>
    </row>
    <row r="9479" spans="27:32" ht="15">
      <c r="AA9479" s="463" t="s">
        <v>1320</v>
      </c>
      <c r="AB9479" s="462" t="s">
        <v>26614</v>
      </c>
      <c r="AC9479" s="462" t="s">
        <v>26615</v>
      </c>
      <c r="AD9479" s="464">
        <v>5099.6771500000004</v>
      </c>
      <c r="AE9479" s="465">
        <v>205.96727000000001</v>
      </c>
      <c r="AF9479" s="86">
        <f>IF(verze!$E$1="CZK",AD9479,IF(verze!$E$1="SK",AE9479,""))</f>
        <v>205.96727000000001</v>
      </c>
    </row>
    <row r="9480" spans="27:32" ht="15">
      <c r="AA9480" s="463" t="s">
        <v>1320</v>
      </c>
      <c r="AB9480" s="462" t="s">
        <v>26616</v>
      </c>
      <c r="AC9480" s="462" t="s">
        <v>26617</v>
      </c>
      <c r="AD9480" s="464">
        <v>6442.7360500000004</v>
      </c>
      <c r="AE9480" s="465">
        <v>259.41041999999999</v>
      </c>
      <c r="AF9480" s="86">
        <f>IF(verze!$E$1="CZK",AD9480,IF(verze!$E$1="SK",AE9480,""))</f>
        <v>259.41041999999999</v>
      </c>
    </row>
    <row r="9481" spans="27:32" ht="15">
      <c r="AA9481" s="463" t="s">
        <v>1320</v>
      </c>
      <c r="AB9481" s="462" t="s">
        <v>26618</v>
      </c>
      <c r="AC9481" s="462" t="s">
        <v>26619</v>
      </c>
      <c r="AD9481" s="464">
        <v>5800.5620699999999</v>
      </c>
      <c r="AE9481" s="465">
        <v>233.47429</v>
      </c>
      <c r="AF9481" s="86">
        <f>IF(verze!$E$1="CZK",AD9481,IF(verze!$E$1="SK",AE9481,""))</f>
        <v>233.47429</v>
      </c>
    </row>
    <row r="9482" spans="27:32" ht="15">
      <c r="AA9482" s="463" t="s">
        <v>1320</v>
      </c>
      <c r="AB9482" s="462" t="s">
        <v>26620</v>
      </c>
      <c r="AC9482" s="462" t="s">
        <v>26621</v>
      </c>
      <c r="AD9482" s="464">
        <v>6393.5995300000004</v>
      </c>
      <c r="AE9482" s="465">
        <v>257.46105999999997</v>
      </c>
      <c r="AF9482" s="86">
        <f>IF(verze!$E$1="CZK",AD9482,IF(verze!$E$1="SK",AE9482,""))</f>
        <v>257.46105999999997</v>
      </c>
    </row>
    <row r="9483" spans="27:32" ht="15">
      <c r="AA9483" s="463" t="s">
        <v>1320</v>
      </c>
      <c r="AB9483" s="462" t="s">
        <v>26622</v>
      </c>
      <c r="AC9483" s="462" t="s">
        <v>26623</v>
      </c>
      <c r="AD9483" s="464">
        <v>5751.4255499999999</v>
      </c>
      <c r="AE9483" s="465">
        <v>231.52493000000001</v>
      </c>
      <c r="AF9483" s="86">
        <f>IF(verze!$E$1="CZK",AD9483,IF(verze!$E$1="SK",AE9483,""))</f>
        <v>231.52493000000001</v>
      </c>
    </row>
    <row r="9484" spans="27:32" ht="15">
      <c r="AA9484" s="463" t="s">
        <v>1320</v>
      </c>
      <c r="AB9484" s="462" t="s">
        <v>26624</v>
      </c>
      <c r="AC9484" s="462" t="s">
        <v>26625</v>
      </c>
      <c r="AD9484" s="464">
        <v>5938.8434699999998</v>
      </c>
      <c r="AE9484" s="465">
        <v>239.85978</v>
      </c>
      <c r="AF9484" s="86">
        <f>IF(verze!$E$1="CZK",AD9484,IF(verze!$E$1="SK",AE9484,""))</f>
        <v>239.85978</v>
      </c>
    </row>
    <row r="9485" spans="27:32" ht="15">
      <c r="AA9485" s="463" t="s">
        <v>1320</v>
      </c>
      <c r="AB9485" s="462" t="s">
        <v>26626</v>
      </c>
      <c r="AC9485" s="462" t="s">
        <v>26627</v>
      </c>
      <c r="AD9485" s="464">
        <v>5240.4277300000003</v>
      </c>
      <c r="AE9485" s="465">
        <v>211.65200999999999</v>
      </c>
      <c r="AF9485" s="86">
        <f>IF(verze!$E$1="CZK",AD9485,IF(verze!$E$1="SK",AE9485,""))</f>
        <v>211.65200999999999</v>
      </c>
    </row>
    <row r="9486" spans="27:32" ht="15">
      <c r="AA9486" s="463" t="s">
        <v>1320</v>
      </c>
      <c r="AB9486" s="462" t="s">
        <v>26628</v>
      </c>
      <c r="AC9486" s="462" t="s">
        <v>26629</v>
      </c>
      <c r="AD9486" s="464">
        <v>6817.1396299999997</v>
      </c>
      <c r="AE9486" s="465">
        <v>274.26497999999998</v>
      </c>
      <c r="AF9486" s="86">
        <f>IF(verze!$E$1="CZK",AD9486,IF(verze!$E$1="SK",AE9486,""))</f>
        <v>274.26497999999998</v>
      </c>
    </row>
    <row r="9487" spans="27:32" ht="15">
      <c r="AA9487" s="463" t="s">
        <v>1320</v>
      </c>
      <c r="AB9487" s="462" t="s">
        <v>26630</v>
      </c>
      <c r="AC9487" s="462" t="s">
        <v>26631</v>
      </c>
      <c r="AD9487" s="464">
        <v>6174.9656500000001</v>
      </c>
      <c r="AE9487" s="465">
        <v>248.32884999999999</v>
      </c>
      <c r="AF9487" s="86">
        <f>IF(verze!$E$1="CZK",AD9487,IF(verze!$E$1="SK",AE9487,""))</f>
        <v>248.32884999999999</v>
      </c>
    </row>
    <row r="9488" spans="27:32" ht="15">
      <c r="AA9488" s="463" t="s">
        <v>1320</v>
      </c>
      <c r="AB9488" s="462" t="s">
        <v>26632</v>
      </c>
      <c r="AC9488" s="462" t="s">
        <v>26633</v>
      </c>
      <c r="AD9488" s="464">
        <v>6751.6183099999998</v>
      </c>
      <c r="AE9488" s="465">
        <v>271.66574000000003</v>
      </c>
      <c r="AF9488" s="86">
        <f>IF(verze!$E$1="CZK",AD9488,IF(verze!$E$1="SK",AE9488,""))</f>
        <v>271.66574000000003</v>
      </c>
    </row>
    <row r="9489" spans="27:32" ht="15">
      <c r="AA9489" s="463" t="s">
        <v>1320</v>
      </c>
      <c r="AB9489" s="462" t="s">
        <v>26634</v>
      </c>
      <c r="AC9489" s="462" t="s">
        <v>26635</v>
      </c>
      <c r="AD9489" s="464">
        <v>6109.4443300000003</v>
      </c>
      <c r="AE9489" s="465">
        <v>245.72961000000001</v>
      </c>
      <c r="AF9489" s="86">
        <f>IF(verze!$E$1="CZK",AD9489,IF(verze!$E$1="SK",AE9489,""))</f>
        <v>245.72961000000001</v>
      </c>
    </row>
    <row r="9490" spans="27:32" ht="15">
      <c r="AA9490" s="463" t="s">
        <v>1320</v>
      </c>
      <c r="AB9490" s="462" t="s">
        <v>26636</v>
      </c>
      <c r="AC9490" s="462" t="s">
        <v>26637</v>
      </c>
      <c r="AD9490" s="464">
        <v>2915.2278799999999</v>
      </c>
      <c r="AE9490" s="465">
        <v>117.74101</v>
      </c>
      <c r="AF9490" s="86">
        <f>IF(verze!$E$1="CZK",AD9490,IF(verze!$E$1="SK",AE9490,""))</f>
        <v>117.74101</v>
      </c>
    </row>
    <row r="9491" spans="27:32" ht="15">
      <c r="AA9491" s="463" t="s">
        <v>1320</v>
      </c>
      <c r="AB9491" s="462" t="s">
        <v>26638</v>
      </c>
      <c r="AC9491" s="462" t="s">
        <v>26639</v>
      </c>
      <c r="AD9491" s="464">
        <v>2567.6155600000002</v>
      </c>
      <c r="AE9491" s="465">
        <v>103.70162999999999</v>
      </c>
      <c r="AF9491" s="86">
        <f>IF(verze!$E$1="CZK",AD9491,IF(verze!$E$1="SK",AE9491,""))</f>
        <v>103.70162999999999</v>
      </c>
    </row>
    <row r="9492" spans="27:32" ht="15">
      <c r="AA9492" s="463" t="s">
        <v>1320</v>
      </c>
      <c r="AB9492" s="462" t="s">
        <v>26640</v>
      </c>
      <c r="AC9492" s="462" t="s">
        <v>26641</v>
      </c>
      <c r="AD9492" s="464">
        <v>2915.2278799999999</v>
      </c>
      <c r="AE9492" s="465">
        <v>117.74101</v>
      </c>
      <c r="AF9492" s="86">
        <f>IF(verze!$E$1="CZK",AD9492,IF(verze!$E$1="SK",AE9492,""))</f>
        <v>117.74101</v>
      </c>
    </row>
    <row r="9493" spans="27:32" ht="15">
      <c r="AA9493" s="463" t="s">
        <v>1320</v>
      </c>
      <c r="AB9493" s="462" t="s">
        <v>26642</v>
      </c>
      <c r="AC9493" s="462" t="s">
        <v>26643</v>
      </c>
      <c r="AD9493" s="464">
        <v>2567.6155600000002</v>
      </c>
      <c r="AE9493" s="465">
        <v>103.70162999999999</v>
      </c>
      <c r="AF9493" s="86">
        <f>IF(verze!$E$1="CZK",AD9493,IF(verze!$E$1="SK",AE9493,""))</f>
        <v>103.70162999999999</v>
      </c>
    </row>
    <row r="9494" spans="27:32" ht="15">
      <c r="AA9494" s="463" t="s">
        <v>1320</v>
      </c>
      <c r="AB9494" s="462" t="s">
        <v>26644</v>
      </c>
      <c r="AC9494" s="462" t="s">
        <v>26645</v>
      </c>
      <c r="AD9494" s="464">
        <v>3244.5596700000001</v>
      </c>
      <c r="AE9494" s="465">
        <v>130.64189999999999</v>
      </c>
      <c r="AF9494" s="86">
        <f>IF(verze!$E$1="CZK",AD9494,IF(verze!$E$1="SK",AE9494,""))</f>
        <v>130.64189999999999</v>
      </c>
    </row>
    <row r="9495" spans="27:32" ht="15">
      <c r="AA9495" s="463" t="s">
        <v>1320</v>
      </c>
      <c r="AB9495" s="462" t="s">
        <v>26646</v>
      </c>
      <c r="AC9495" s="462" t="s">
        <v>26647</v>
      </c>
      <c r="AD9495" s="464">
        <v>2918.0580199999999</v>
      </c>
      <c r="AE9495" s="465">
        <v>117.45514</v>
      </c>
      <c r="AF9495" s="86">
        <f>IF(verze!$E$1="CZK",AD9495,IF(verze!$E$1="SK",AE9495,""))</f>
        <v>117.45514</v>
      </c>
    </row>
    <row r="9496" spans="27:32" ht="15">
      <c r="AA9496" s="463" t="s">
        <v>1320</v>
      </c>
      <c r="AB9496" s="462" t="s">
        <v>26648</v>
      </c>
      <c r="AC9496" s="462" t="s">
        <v>26649</v>
      </c>
      <c r="AD9496" s="464">
        <v>3244.5596700000001</v>
      </c>
      <c r="AE9496" s="465">
        <v>130.64189999999999</v>
      </c>
      <c r="AF9496" s="86">
        <f>IF(verze!$E$1="CZK",AD9496,IF(verze!$E$1="SK",AE9496,""))</f>
        <v>130.64189999999999</v>
      </c>
    </row>
    <row r="9497" spans="27:32" ht="15">
      <c r="AA9497" s="463" t="s">
        <v>1320</v>
      </c>
      <c r="AB9497" s="462" t="s">
        <v>26650</v>
      </c>
      <c r="AC9497" s="462" t="s">
        <v>26651</v>
      </c>
      <c r="AD9497" s="464">
        <v>2918.0580199999999</v>
      </c>
      <c r="AE9497" s="465">
        <v>117.45514</v>
      </c>
      <c r="AF9497" s="86">
        <f>IF(verze!$E$1="CZK",AD9497,IF(verze!$E$1="SK",AE9497,""))</f>
        <v>117.45514</v>
      </c>
    </row>
    <row r="9498" spans="27:32" ht="15">
      <c r="AA9498" s="463" t="s">
        <v>1320</v>
      </c>
      <c r="AB9498" s="462" t="s">
        <v>26652</v>
      </c>
      <c r="AC9498" s="462" t="s">
        <v>26653</v>
      </c>
      <c r="AD9498" s="464">
        <v>3219.9914100000001</v>
      </c>
      <c r="AE9498" s="465">
        <v>129.66721999999999</v>
      </c>
      <c r="AF9498" s="86">
        <f>IF(verze!$E$1="CZK",AD9498,IF(verze!$E$1="SK",AE9498,""))</f>
        <v>129.66721999999999</v>
      </c>
    </row>
    <row r="9499" spans="27:32" ht="15">
      <c r="AA9499" s="463" t="s">
        <v>1320</v>
      </c>
      <c r="AB9499" s="462" t="s">
        <v>26654</v>
      </c>
      <c r="AC9499" s="462" t="s">
        <v>26655</v>
      </c>
      <c r="AD9499" s="464">
        <v>2893.4897599999999</v>
      </c>
      <c r="AE9499" s="465">
        <v>116.48045999999999</v>
      </c>
      <c r="AF9499" s="86">
        <f>IF(verze!$E$1="CZK",AD9499,IF(verze!$E$1="SK",AE9499,""))</f>
        <v>116.48045999999999</v>
      </c>
    </row>
    <row r="9500" spans="27:32" ht="15">
      <c r="AA9500" s="463" t="s">
        <v>1320</v>
      </c>
      <c r="AB9500" s="462" t="s">
        <v>26656</v>
      </c>
      <c r="AC9500" s="462" t="s">
        <v>26657</v>
      </c>
      <c r="AD9500" s="464">
        <v>3219.9914100000001</v>
      </c>
      <c r="AE9500" s="465">
        <v>129.66721999999999</v>
      </c>
      <c r="AF9500" s="86">
        <f>IF(verze!$E$1="CZK",AD9500,IF(verze!$E$1="SK",AE9500,""))</f>
        <v>129.66721999999999</v>
      </c>
    </row>
    <row r="9501" spans="27:32" ht="15">
      <c r="AA9501" s="463" t="s">
        <v>1320</v>
      </c>
      <c r="AB9501" s="462" t="s">
        <v>26658</v>
      </c>
      <c r="AC9501" s="462" t="s">
        <v>26659</v>
      </c>
      <c r="AD9501" s="464">
        <v>2893.4897599999999</v>
      </c>
      <c r="AE9501" s="465">
        <v>116.48045999999999</v>
      </c>
      <c r="AF9501" s="86">
        <f>IF(verze!$E$1="CZK",AD9501,IF(verze!$E$1="SK",AE9501,""))</f>
        <v>116.48045999999999</v>
      </c>
    </row>
    <row r="9502" spans="27:32" ht="15">
      <c r="AA9502" s="463" t="s">
        <v>1320</v>
      </c>
      <c r="AB9502" s="462" t="s">
        <v>26660</v>
      </c>
      <c r="AC9502" s="462" t="s">
        <v>26661</v>
      </c>
      <c r="AD9502" s="464">
        <v>2992.6133799999998</v>
      </c>
      <c r="AE9502" s="465">
        <v>120.86658</v>
      </c>
      <c r="AF9502" s="86">
        <f>IF(verze!$E$1="CZK",AD9502,IF(verze!$E$1="SK",AE9502,""))</f>
        <v>120.86658</v>
      </c>
    </row>
    <row r="9503" spans="27:32" ht="15">
      <c r="AA9503" s="463" t="s">
        <v>1320</v>
      </c>
      <c r="AB9503" s="462" t="s">
        <v>26662</v>
      </c>
      <c r="AC9503" s="462" t="s">
        <v>26663</v>
      </c>
      <c r="AD9503" s="464">
        <v>2637.9908500000001</v>
      </c>
      <c r="AE9503" s="465">
        <v>106.544</v>
      </c>
      <c r="AF9503" s="86">
        <f>IF(verze!$E$1="CZK",AD9503,IF(verze!$E$1="SK",AE9503,""))</f>
        <v>106.544</v>
      </c>
    </row>
    <row r="9504" spans="27:32" ht="15">
      <c r="AA9504" s="463" t="s">
        <v>1320</v>
      </c>
      <c r="AB9504" s="462" t="s">
        <v>26664</v>
      </c>
      <c r="AC9504" s="462" t="s">
        <v>26665</v>
      </c>
      <c r="AD9504" s="464">
        <v>2992.6133799999998</v>
      </c>
      <c r="AE9504" s="465">
        <v>120.86658</v>
      </c>
      <c r="AF9504" s="86">
        <f>IF(verze!$E$1="CZK",AD9504,IF(verze!$E$1="SK",AE9504,""))</f>
        <v>120.86658</v>
      </c>
    </row>
    <row r="9505" spans="27:32" ht="15">
      <c r="AA9505" s="463" t="s">
        <v>1320</v>
      </c>
      <c r="AB9505" s="462" t="s">
        <v>26666</v>
      </c>
      <c r="AC9505" s="462" t="s">
        <v>26667</v>
      </c>
      <c r="AD9505" s="464">
        <v>2637.9908500000001</v>
      </c>
      <c r="AE9505" s="465">
        <v>106.544</v>
      </c>
      <c r="AF9505" s="86">
        <f>IF(verze!$E$1="CZK",AD9505,IF(verze!$E$1="SK",AE9505,""))</f>
        <v>106.544</v>
      </c>
    </row>
    <row r="9506" spans="27:32" ht="15">
      <c r="AA9506" s="463" t="s">
        <v>1320</v>
      </c>
      <c r="AB9506" s="462" t="s">
        <v>26668</v>
      </c>
      <c r="AC9506" s="462" t="s">
        <v>26669</v>
      </c>
      <c r="AD9506" s="464">
        <v>3431.7614600000002</v>
      </c>
      <c r="AE9506" s="465">
        <v>138.06917999999999</v>
      </c>
      <c r="AF9506" s="86">
        <f>IF(verze!$E$1="CZK",AD9506,IF(verze!$E$1="SK",AE9506,""))</f>
        <v>138.06917999999999</v>
      </c>
    </row>
    <row r="9507" spans="27:32" ht="15">
      <c r="AA9507" s="463" t="s">
        <v>1320</v>
      </c>
      <c r="AB9507" s="462" t="s">
        <v>26670</v>
      </c>
      <c r="AC9507" s="462" t="s">
        <v>26671</v>
      </c>
      <c r="AD9507" s="464">
        <v>3105.25981</v>
      </c>
      <c r="AE9507" s="465">
        <v>124.88242</v>
      </c>
      <c r="AF9507" s="86">
        <f>IF(verze!$E$1="CZK",AD9507,IF(verze!$E$1="SK",AE9507,""))</f>
        <v>124.88242</v>
      </c>
    </row>
    <row r="9508" spans="27:32" ht="15">
      <c r="AA9508" s="463" t="s">
        <v>1320</v>
      </c>
      <c r="AB9508" s="462" t="s">
        <v>26672</v>
      </c>
      <c r="AC9508" s="462" t="s">
        <v>26673</v>
      </c>
      <c r="AD9508" s="464">
        <v>3431.7614600000002</v>
      </c>
      <c r="AE9508" s="465">
        <v>138.06917999999999</v>
      </c>
      <c r="AF9508" s="86">
        <f>IF(verze!$E$1="CZK",AD9508,IF(verze!$E$1="SK",AE9508,""))</f>
        <v>138.06917999999999</v>
      </c>
    </row>
    <row r="9509" spans="27:32" ht="15">
      <c r="AA9509" s="463" t="s">
        <v>1320</v>
      </c>
      <c r="AB9509" s="462" t="s">
        <v>26674</v>
      </c>
      <c r="AC9509" s="462" t="s">
        <v>26675</v>
      </c>
      <c r="AD9509" s="464">
        <v>3105.25981</v>
      </c>
      <c r="AE9509" s="465">
        <v>124.88242</v>
      </c>
      <c r="AF9509" s="86">
        <f>IF(verze!$E$1="CZK",AD9509,IF(verze!$E$1="SK",AE9509,""))</f>
        <v>124.88242</v>
      </c>
    </row>
    <row r="9510" spans="27:32" ht="15">
      <c r="AA9510" s="463" t="s">
        <v>1320</v>
      </c>
      <c r="AB9510" s="462" t="s">
        <v>26676</v>
      </c>
      <c r="AC9510" s="462" t="s">
        <v>26677</v>
      </c>
      <c r="AD9510" s="464">
        <v>3399.0007999999998</v>
      </c>
      <c r="AE9510" s="465">
        <v>136.76956000000001</v>
      </c>
      <c r="AF9510" s="86">
        <f>IF(verze!$E$1="CZK",AD9510,IF(verze!$E$1="SK",AE9510,""))</f>
        <v>136.76956000000001</v>
      </c>
    </row>
    <row r="9511" spans="27:32" ht="15">
      <c r="AA9511" s="463" t="s">
        <v>1320</v>
      </c>
      <c r="AB9511" s="462" t="s">
        <v>26678</v>
      </c>
      <c r="AC9511" s="462" t="s">
        <v>26679</v>
      </c>
      <c r="AD9511" s="464">
        <v>3072.4991500000001</v>
      </c>
      <c r="AE9511" s="465">
        <v>123.58280000000001</v>
      </c>
      <c r="AF9511" s="86">
        <f>IF(verze!$E$1="CZK",AD9511,IF(verze!$E$1="SK",AE9511,""))</f>
        <v>123.58280000000001</v>
      </c>
    </row>
    <row r="9512" spans="27:32" ht="15">
      <c r="AA9512" s="463" t="s">
        <v>1320</v>
      </c>
      <c r="AB9512" s="462" t="s">
        <v>26680</v>
      </c>
      <c r="AC9512" s="462" t="s">
        <v>26681</v>
      </c>
      <c r="AD9512" s="464">
        <v>3399.0007999999998</v>
      </c>
      <c r="AE9512" s="465">
        <v>136.76956000000001</v>
      </c>
      <c r="AF9512" s="86">
        <f>IF(verze!$E$1="CZK",AD9512,IF(verze!$E$1="SK",AE9512,""))</f>
        <v>136.76956000000001</v>
      </c>
    </row>
    <row r="9513" spans="27:32" ht="15">
      <c r="AA9513" s="463" t="s">
        <v>1320</v>
      </c>
      <c r="AB9513" s="462" t="s">
        <v>26682</v>
      </c>
      <c r="AC9513" s="462" t="s">
        <v>26683</v>
      </c>
      <c r="AD9513" s="464">
        <v>3072.4991500000001</v>
      </c>
      <c r="AE9513" s="465">
        <v>123.58280000000001</v>
      </c>
      <c r="AF9513" s="86">
        <f>IF(verze!$E$1="CZK",AD9513,IF(verze!$E$1="SK",AE9513,""))</f>
        <v>123.58280000000001</v>
      </c>
    </row>
    <row r="9514" spans="27:32" ht="15">
      <c r="AA9514" s="463" t="s">
        <v>1320</v>
      </c>
      <c r="AB9514" s="462" t="s">
        <v>26684</v>
      </c>
      <c r="AC9514" s="462" t="s">
        <v>26685</v>
      </c>
      <c r="AD9514" s="464">
        <v>3070.0210999999999</v>
      </c>
      <c r="AE9514" s="465">
        <v>123.99288</v>
      </c>
      <c r="AF9514" s="86">
        <f>IF(verze!$E$1="CZK",AD9514,IF(verze!$E$1="SK",AE9514,""))</f>
        <v>123.99288</v>
      </c>
    </row>
    <row r="9515" spans="27:32" ht="15">
      <c r="AA9515" s="463" t="s">
        <v>1320</v>
      </c>
      <c r="AB9515" s="462" t="s">
        <v>26686</v>
      </c>
      <c r="AC9515" s="462" t="s">
        <v>26687</v>
      </c>
      <c r="AD9515" s="464">
        <v>2708.34834</v>
      </c>
      <c r="AE9515" s="465">
        <v>109.38558999999999</v>
      </c>
      <c r="AF9515" s="86">
        <f>IF(verze!$E$1="CZK",AD9515,IF(verze!$E$1="SK",AE9515,""))</f>
        <v>109.38558999999999</v>
      </c>
    </row>
    <row r="9516" spans="27:32" ht="15">
      <c r="AA9516" s="463" t="s">
        <v>1320</v>
      </c>
      <c r="AB9516" s="462" t="s">
        <v>26688</v>
      </c>
      <c r="AC9516" s="462" t="s">
        <v>26689</v>
      </c>
      <c r="AD9516" s="464">
        <v>3070.0210999999999</v>
      </c>
      <c r="AE9516" s="465">
        <v>123.99288</v>
      </c>
      <c r="AF9516" s="86">
        <f>IF(verze!$E$1="CZK",AD9516,IF(verze!$E$1="SK",AE9516,""))</f>
        <v>123.99288</v>
      </c>
    </row>
    <row r="9517" spans="27:32" ht="15">
      <c r="AA9517" s="463" t="s">
        <v>1320</v>
      </c>
      <c r="AB9517" s="462" t="s">
        <v>26690</v>
      </c>
      <c r="AC9517" s="462" t="s">
        <v>26691</v>
      </c>
      <c r="AD9517" s="464">
        <v>2708.34834</v>
      </c>
      <c r="AE9517" s="465">
        <v>109.38558999999999</v>
      </c>
      <c r="AF9517" s="86">
        <f>IF(verze!$E$1="CZK",AD9517,IF(verze!$E$1="SK",AE9517,""))</f>
        <v>109.38558999999999</v>
      </c>
    </row>
    <row r="9518" spans="27:32" ht="15">
      <c r="AA9518" s="463" t="s">
        <v>1320</v>
      </c>
      <c r="AB9518" s="462" t="s">
        <v>26692</v>
      </c>
      <c r="AC9518" s="462" t="s">
        <v>26693</v>
      </c>
      <c r="AD9518" s="464">
        <v>3618.9269300000001</v>
      </c>
      <c r="AE9518" s="465">
        <v>145.49507</v>
      </c>
      <c r="AF9518" s="86">
        <f>IF(verze!$E$1="CZK",AD9518,IF(verze!$E$1="SK",AE9518,""))</f>
        <v>145.49507</v>
      </c>
    </row>
    <row r="9519" spans="27:32" ht="15">
      <c r="AA9519" s="463" t="s">
        <v>1320</v>
      </c>
      <c r="AB9519" s="462" t="s">
        <v>26694</v>
      </c>
      <c r="AC9519" s="462" t="s">
        <v>26695</v>
      </c>
      <c r="AD9519" s="464">
        <v>3292.4252799999999</v>
      </c>
      <c r="AE9519" s="465">
        <v>132.30831000000001</v>
      </c>
      <c r="AF9519" s="86">
        <f>IF(verze!$E$1="CZK",AD9519,IF(verze!$E$1="SK",AE9519,""))</f>
        <v>132.30831000000001</v>
      </c>
    </row>
    <row r="9520" spans="27:32" ht="15">
      <c r="AA9520" s="463" t="s">
        <v>1320</v>
      </c>
      <c r="AB9520" s="462" t="s">
        <v>26696</v>
      </c>
      <c r="AC9520" s="462" t="s">
        <v>26697</v>
      </c>
      <c r="AD9520" s="464">
        <v>3618.9269300000001</v>
      </c>
      <c r="AE9520" s="465">
        <v>145.49507</v>
      </c>
      <c r="AF9520" s="86">
        <f>IF(verze!$E$1="CZK",AD9520,IF(verze!$E$1="SK",AE9520,""))</f>
        <v>145.49507</v>
      </c>
    </row>
    <row r="9521" spans="27:32" ht="15">
      <c r="AA9521" s="463" t="s">
        <v>1320</v>
      </c>
      <c r="AB9521" s="462" t="s">
        <v>26698</v>
      </c>
      <c r="AC9521" s="462" t="s">
        <v>26699</v>
      </c>
      <c r="AD9521" s="464">
        <v>3292.4252799999999</v>
      </c>
      <c r="AE9521" s="465">
        <v>132.30831000000001</v>
      </c>
      <c r="AF9521" s="86">
        <f>IF(verze!$E$1="CZK",AD9521,IF(verze!$E$1="SK",AE9521,""))</f>
        <v>132.30831000000001</v>
      </c>
    </row>
    <row r="9522" spans="27:32" ht="15">
      <c r="AA9522" s="463" t="s">
        <v>1320</v>
      </c>
      <c r="AB9522" s="462" t="s">
        <v>26700</v>
      </c>
      <c r="AC9522" s="462" t="s">
        <v>26701</v>
      </c>
      <c r="AD9522" s="464">
        <v>3577.9783400000001</v>
      </c>
      <c r="AE9522" s="465">
        <v>143.87057999999999</v>
      </c>
      <c r="AF9522" s="86">
        <f>IF(verze!$E$1="CZK",AD9522,IF(verze!$E$1="SK",AE9522,""))</f>
        <v>143.87057999999999</v>
      </c>
    </row>
    <row r="9523" spans="27:32" ht="15">
      <c r="AA9523" s="463" t="s">
        <v>1320</v>
      </c>
      <c r="AB9523" s="462" t="s">
        <v>26702</v>
      </c>
      <c r="AC9523" s="462" t="s">
        <v>26703</v>
      </c>
      <c r="AD9523" s="464">
        <v>3251.47669</v>
      </c>
      <c r="AE9523" s="465">
        <v>130.68382</v>
      </c>
      <c r="AF9523" s="86">
        <f>IF(verze!$E$1="CZK",AD9523,IF(verze!$E$1="SK",AE9523,""))</f>
        <v>130.68382</v>
      </c>
    </row>
    <row r="9524" spans="27:32" ht="15">
      <c r="AA9524" s="463" t="s">
        <v>1320</v>
      </c>
      <c r="AB9524" s="462" t="s">
        <v>26704</v>
      </c>
      <c r="AC9524" s="462" t="s">
        <v>26705</v>
      </c>
      <c r="AD9524" s="464">
        <v>3577.9783400000001</v>
      </c>
      <c r="AE9524" s="465">
        <v>143.87057999999999</v>
      </c>
      <c r="AF9524" s="86">
        <f>IF(verze!$E$1="CZK",AD9524,IF(verze!$E$1="SK",AE9524,""))</f>
        <v>143.87057999999999</v>
      </c>
    </row>
    <row r="9525" spans="27:32" ht="15">
      <c r="AA9525" s="463" t="s">
        <v>1320</v>
      </c>
      <c r="AB9525" s="462" t="s">
        <v>26706</v>
      </c>
      <c r="AC9525" s="462" t="s">
        <v>26707</v>
      </c>
      <c r="AD9525" s="464">
        <v>3251.47669</v>
      </c>
      <c r="AE9525" s="465">
        <v>130.68382</v>
      </c>
      <c r="AF9525" s="86">
        <f>IF(verze!$E$1="CZK",AD9525,IF(verze!$E$1="SK",AE9525,""))</f>
        <v>130.68382</v>
      </c>
    </row>
    <row r="9526" spans="27:32" ht="15">
      <c r="AA9526" s="463" t="s">
        <v>1320</v>
      </c>
      <c r="AB9526" s="462" t="s">
        <v>26708</v>
      </c>
      <c r="AC9526" s="462" t="s">
        <v>26709</v>
      </c>
      <c r="AD9526" s="464">
        <v>3147.4288200000001</v>
      </c>
      <c r="AE9526" s="465">
        <v>127.11918</v>
      </c>
      <c r="AF9526" s="86">
        <f>IF(verze!$E$1="CZK",AD9526,IF(verze!$E$1="SK",AE9526,""))</f>
        <v>127.11918</v>
      </c>
    </row>
    <row r="9527" spans="27:32" ht="15">
      <c r="AA9527" s="463" t="s">
        <v>1320</v>
      </c>
      <c r="AB9527" s="462" t="s">
        <v>26710</v>
      </c>
      <c r="AC9527" s="462" t="s">
        <v>26711</v>
      </c>
      <c r="AD9527" s="464">
        <v>2778.7058299999999</v>
      </c>
      <c r="AE9527" s="465">
        <v>112.22718</v>
      </c>
      <c r="AF9527" s="86">
        <f>IF(verze!$E$1="CZK",AD9527,IF(verze!$E$1="SK",AE9527,""))</f>
        <v>112.22718</v>
      </c>
    </row>
    <row r="9528" spans="27:32" ht="15">
      <c r="AA9528" s="463" t="s">
        <v>1320</v>
      </c>
      <c r="AB9528" s="462" t="s">
        <v>26712</v>
      </c>
      <c r="AC9528" s="462" t="s">
        <v>26713</v>
      </c>
      <c r="AD9528" s="464">
        <v>3147.4288200000001</v>
      </c>
      <c r="AE9528" s="465">
        <v>127.11918</v>
      </c>
      <c r="AF9528" s="86">
        <f>IF(verze!$E$1="CZK",AD9528,IF(verze!$E$1="SK",AE9528,""))</f>
        <v>127.11918</v>
      </c>
    </row>
    <row r="9529" spans="27:32" ht="15">
      <c r="AA9529" s="463" t="s">
        <v>1320</v>
      </c>
      <c r="AB9529" s="462" t="s">
        <v>26714</v>
      </c>
      <c r="AC9529" s="462" t="s">
        <v>26715</v>
      </c>
      <c r="AD9529" s="464">
        <v>2778.7058299999999</v>
      </c>
      <c r="AE9529" s="465">
        <v>112.22718</v>
      </c>
      <c r="AF9529" s="86">
        <f>IF(verze!$E$1="CZK",AD9529,IF(verze!$E$1="SK",AE9529,""))</f>
        <v>112.22718</v>
      </c>
    </row>
    <row r="9530" spans="27:32" ht="15">
      <c r="AA9530" s="463" t="s">
        <v>1320</v>
      </c>
      <c r="AB9530" s="462" t="s">
        <v>26716</v>
      </c>
      <c r="AC9530" s="462" t="s">
        <v>26717</v>
      </c>
      <c r="AD9530" s="464">
        <v>3806.0924</v>
      </c>
      <c r="AE9530" s="465">
        <v>152.92096000000001</v>
      </c>
      <c r="AF9530" s="86">
        <f>IF(verze!$E$1="CZK",AD9530,IF(verze!$E$1="SK",AE9530,""))</f>
        <v>152.92096000000001</v>
      </c>
    </row>
    <row r="9531" spans="27:32" ht="15">
      <c r="AA9531" s="463" t="s">
        <v>1320</v>
      </c>
      <c r="AB9531" s="462" t="s">
        <v>26718</v>
      </c>
      <c r="AC9531" s="462" t="s">
        <v>26719</v>
      </c>
      <c r="AD9531" s="464">
        <v>3479.5907499999998</v>
      </c>
      <c r="AE9531" s="465">
        <v>139.73419999999999</v>
      </c>
      <c r="AF9531" s="86">
        <f>IF(verze!$E$1="CZK",AD9531,IF(verze!$E$1="SK",AE9531,""))</f>
        <v>139.73419999999999</v>
      </c>
    </row>
    <row r="9532" spans="27:32" ht="15">
      <c r="AA9532" s="463" t="s">
        <v>1320</v>
      </c>
      <c r="AB9532" s="462" t="s">
        <v>26720</v>
      </c>
      <c r="AC9532" s="462" t="s">
        <v>26721</v>
      </c>
      <c r="AD9532" s="464">
        <v>3806.0924</v>
      </c>
      <c r="AE9532" s="465">
        <v>152.92096000000001</v>
      </c>
      <c r="AF9532" s="86">
        <f>IF(verze!$E$1="CZK",AD9532,IF(verze!$E$1="SK",AE9532,""))</f>
        <v>152.92096000000001</v>
      </c>
    </row>
    <row r="9533" spans="27:32" ht="15">
      <c r="AA9533" s="463" t="s">
        <v>1320</v>
      </c>
      <c r="AB9533" s="462" t="s">
        <v>26722</v>
      </c>
      <c r="AC9533" s="462" t="s">
        <v>26723</v>
      </c>
      <c r="AD9533" s="464">
        <v>3479.5907499999998</v>
      </c>
      <c r="AE9533" s="465">
        <v>139.73419999999999</v>
      </c>
      <c r="AF9533" s="86">
        <f>IF(verze!$E$1="CZK",AD9533,IF(verze!$E$1="SK",AE9533,""))</f>
        <v>139.73419999999999</v>
      </c>
    </row>
    <row r="9534" spans="27:32" ht="15">
      <c r="AA9534" s="463" t="s">
        <v>1320</v>
      </c>
      <c r="AB9534" s="462" t="s">
        <v>26724</v>
      </c>
      <c r="AC9534" s="462" t="s">
        <v>26725</v>
      </c>
      <c r="AD9534" s="464">
        <v>3756.95588</v>
      </c>
      <c r="AE9534" s="465">
        <v>150.9716</v>
      </c>
      <c r="AF9534" s="86">
        <f>IF(verze!$E$1="CZK",AD9534,IF(verze!$E$1="SK",AE9534,""))</f>
        <v>150.9716</v>
      </c>
    </row>
    <row r="9535" spans="27:32" ht="15">
      <c r="AA9535" s="463" t="s">
        <v>1320</v>
      </c>
      <c r="AB9535" s="462" t="s">
        <v>26726</v>
      </c>
      <c r="AC9535" s="462" t="s">
        <v>26727</v>
      </c>
      <c r="AD9535" s="464">
        <v>3430.4542299999998</v>
      </c>
      <c r="AE9535" s="465">
        <v>137.78484</v>
      </c>
      <c r="AF9535" s="86">
        <f>IF(verze!$E$1="CZK",AD9535,IF(verze!$E$1="SK",AE9535,""))</f>
        <v>137.78484</v>
      </c>
    </row>
    <row r="9536" spans="27:32" ht="15">
      <c r="AA9536" s="463" t="s">
        <v>1320</v>
      </c>
      <c r="AB9536" s="462" t="s">
        <v>26728</v>
      </c>
      <c r="AC9536" s="462" t="s">
        <v>26729</v>
      </c>
      <c r="AD9536" s="464">
        <v>3756.95588</v>
      </c>
      <c r="AE9536" s="465">
        <v>150.9716</v>
      </c>
      <c r="AF9536" s="86">
        <f>IF(verze!$E$1="CZK",AD9536,IF(verze!$E$1="SK",AE9536,""))</f>
        <v>150.9716</v>
      </c>
    </row>
    <row r="9537" spans="27:32" ht="15">
      <c r="AA9537" s="463" t="s">
        <v>1320</v>
      </c>
      <c r="AB9537" s="462" t="s">
        <v>26730</v>
      </c>
      <c r="AC9537" s="462" t="s">
        <v>26731</v>
      </c>
      <c r="AD9537" s="464">
        <v>3430.4542299999998</v>
      </c>
      <c r="AE9537" s="465">
        <v>137.78484</v>
      </c>
      <c r="AF9537" s="86">
        <f>IF(verze!$E$1="CZK",AD9537,IF(verze!$E$1="SK",AE9537,""))</f>
        <v>137.78484</v>
      </c>
    </row>
    <row r="9538" spans="27:32" ht="15">
      <c r="AA9538" s="463" t="s">
        <v>1320</v>
      </c>
      <c r="AB9538" s="462" t="s">
        <v>26732</v>
      </c>
      <c r="AC9538" s="462" t="s">
        <v>26733</v>
      </c>
      <c r="AD9538" s="464">
        <v>6220.4472699999997</v>
      </c>
      <c r="AE9538" s="465">
        <v>251.23317</v>
      </c>
      <c r="AF9538" s="86">
        <f>IF(verze!$E$1="CZK",AD9538,IF(verze!$E$1="SK",AE9538,""))</f>
        <v>251.23317</v>
      </c>
    </row>
    <row r="9539" spans="27:32" ht="15">
      <c r="AA9539" s="463" t="s">
        <v>1320</v>
      </c>
      <c r="AB9539" s="462" t="s">
        <v>26734</v>
      </c>
      <c r="AC9539" s="462" t="s">
        <v>26735</v>
      </c>
      <c r="AD9539" s="464">
        <v>6220.4472699999997</v>
      </c>
      <c r="AE9539" s="465">
        <v>251.23317</v>
      </c>
      <c r="AF9539" s="86">
        <f>IF(verze!$E$1="CZK",AD9539,IF(verze!$E$1="SK",AE9539,""))</f>
        <v>251.23317</v>
      </c>
    </row>
    <row r="9540" spans="27:32" ht="15">
      <c r="AA9540" s="463" t="s">
        <v>1320</v>
      </c>
      <c r="AB9540" s="462" t="s">
        <v>26736</v>
      </c>
      <c r="AC9540" s="462" t="s">
        <v>26737</v>
      </c>
      <c r="AD9540" s="464">
        <v>5496.4403499999999</v>
      </c>
      <c r="AE9540" s="465">
        <v>221.99189000000001</v>
      </c>
      <c r="AF9540" s="86">
        <f>IF(verze!$E$1="CZK",AD9540,IF(verze!$E$1="SK",AE9540,""))</f>
        <v>221.99189000000001</v>
      </c>
    </row>
    <row r="9541" spans="27:32" ht="15">
      <c r="AA9541" s="463" t="s">
        <v>1320</v>
      </c>
      <c r="AB9541" s="462" t="s">
        <v>26738</v>
      </c>
      <c r="AC9541" s="462" t="s">
        <v>26739</v>
      </c>
      <c r="AD9541" s="464">
        <v>7318.31747</v>
      </c>
      <c r="AE9541" s="465">
        <v>294.23966999999999</v>
      </c>
      <c r="AF9541" s="86">
        <f>IF(verze!$E$1="CZK",AD9541,IF(verze!$E$1="SK",AE9541,""))</f>
        <v>294.23966999999999</v>
      </c>
    </row>
    <row r="9542" spans="27:32" ht="15">
      <c r="AA9542" s="463" t="s">
        <v>1320</v>
      </c>
      <c r="AB9542" s="462" t="s">
        <v>26740</v>
      </c>
      <c r="AC9542" s="462" t="s">
        <v>26741</v>
      </c>
      <c r="AD9542" s="464">
        <v>7318.31747</v>
      </c>
      <c r="AE9542" s="465">
        <v>294.23966999999999</v>
      </c>
      <c r="AF9542" s="86">
        <f>IF(verze!$E$1="CZK",AD9542,IF(verze!$E$1="SK",AE9542,""))</f>
        <v>294.23966999999999</v>
      </c>
    </row>
    <row r="9543" spans="27:32" ht="15">
      <c r="AA9543" s="463" t="s">
        <v>1320</v>
      </c>
      <c r="AB9543" s="462" t="s">
        <v>26742</v>
      </c>
      <c r="AC9543" s="462" t="s">
        <v>26743</v>
      </c>
      <c r="AD9543" s="464">
        <v>6664.6127500000002</v>
      </c>
      <c r="AE9543" s="465">
        <v>267.83794</v>
      </c>
      <c r="AF9543" s="86">
        <f>IF(verze!$E$1="CZK",AD9543,IF(verze!$E$1="SK",AE9543,""))</f>
        <v>267.83794</v>
      </c>
    </row>
    <row r="9544" spans="27:32" ht="15">
      <c r="AA9544" s="463" t="s">
        <v>1320</v>
      </c>
      <c r="AB9544" s="462" t="s">
        <v>26744</v>
      </c>
      <c r="AC9544" s="462" t="s">
        <v>26745</v>
      </c>
      <c r="AD9544" s="464">
        <v>7236.4158200000002</v>
      </c>
      <c r="AE9544" s="465">
        <v>290.99061999999998</v>
      </c>
      <c r="AF9544" s="86">
        <f>IF(verze!$E$1="CZK",AD9544,IF(verze!$E$1="SK",AE9544,""))</f>
        <v>290.99061999999998</v>
      </c>
    </row>
    <row r="9545" spans="27:32" ht="15">
      <c r="AA9545" s="463" t="s">
        <v>1320</v>
      </c>
      <c r="AB9545" s="462" t="s">
        <v>26746</v>
      </c>
      <c r="AC9545" s="462" t="s">
        <v>26747</v>
      </c>
      <c r="AD9545" s="464">
        <v>7236.4158200000002</v>
      </c>
      <c r="AE9545" s="465">
        <v>290.99061999999998</v>
      </c>
      <c r="AF9545" s="86">
        <f>IF(verze!$E$1="CZK",AD9545,IF(verze!$E$1="SK",AE9545,""))</f>
        <v>290.99061999999998</v>
      </c>
    </row>
    <row r="9546" spans="27:32" ht="15">
      <c r="AA9546" s="463" t="s">
        <v>1320</v>
      </c>
      <c r="AB9546" s="462" t="s">
        <v>26748</v>
      </c>
      <c r="AC9546" s="462" t="s">
        <v>26749</v>
      </c>
      <c r="AD9546" s="464">
        <v>6582.7111000000004</v>
      </c>
      <c r="AE9546" s="465">
        <v>264.58888999999999</v>
      </c>
      <c r="AF9546" s="86">
        <f>IF(verze!$E$1="CZK",AD9546,IF(verze!$E$1="SK",AE9546,""))</f>
        <v>264.58888999999999</v>
      </c>
    </row>
    <row r="9547" spans="27:32" ht="15">
      <c r="AA9547" s="463" t="s">
        <v>1320</v>
      </c>
      <c r="AB9547" s="462" t="s">
        <v>26750</v>
      </c>
      <c r="AC9547" s="462" t="s">
        <v>26751</v>
      </c>
      <c r="AD9547" s="464">
        <v>5637.13753</v>
      </c>
      <c r="AE9547" s="465">
        <v>227.67429000000001</v>
      </c>
      <c r="AF9547" s="86">
        <f>IF(verze!$E$1="CZK",AD9547,IF(verze!$E$1="SK",AE9547,""))</f>
        <v>227.67429000000001</v>
      </c>
    </row>
    <row r="9548" spans="27:32" ht="15">
      <c r="AA9548" s="463" t="s">
        <v>1320</v>
      </c>
      <c r="AB9548" s="462" t="s">
        <v>26752</v>
      </c>
      <c r="AC9548" s="462" t="s">
        <v>26753</v>
      </c>
      <c r="AD9548" s="464">
        <v>6375.2849299999998</v>
      </c>
      <c r="AE9548" s="465">
        <v>257.48649999999998</v>
      </c>
      <c r="AF9548" s="86">
        <f>IF(verze!$E$1="CZK",AD9548,IF(verze!$E$1="SK",AE9548,""))</f>
        <v>257.48649999999998</v>
      </c>
    </row>
    <row r="9549" spans="27:32" ht="15">
      <c r="AA9549" s="463" t="s">
        <v>1320</v>
      </c>
      <c r="AB9549" s="462" t="s">
        <v>26754</v>
      </c>
      <c r="AC9549" s="462" t="s">
        <v>26753</v>
      </c>
      <c r="AD9549" s="464">
        <v>6569.5466299999998</v>
      </c>
      <c r="AE9549" s="465">
        <v>264.53194000000002</v>
      </c>
      <c r="AF9549" s="86">
        <f>IF(verze!$E$1="CZK",AD9549,IF(verze!$E$1="SK",AE9549,""))</f>
        <v>264.53194000000002</v>
      </c>
    </row>
    <row r="9550" spans="27:32" ht="15">
      <c r="AA9550" s="463" t="s">
        <v>1320</v>
      </c>
      <c r="AB9550" s="462" t="s">
        <v>26755</v>
      </c>
      <c r="AC9550" s="462" t="s">
        <v>26756</v>
      </c>
      <c r="AD9550" s="464">
        <v>6375.2849299999998</v>
      </c>
      <c r="AE9550" s="465">
        <v>257.48649999999998</v>
      </c>
      <c r="AF9550" s="86">
        <f>IF(verze!$E$1="CZK",AD9550,IF(verze!$E$1="SK",AE9550,""))</f>
        <v>257.48649999999998</v>
      </c>
    </row>
    <row r="9551" spans="27:32" ht="15">
      <c r="AA9551" s="463" t="s">
        <v>1320</v>
      </c>
      <c r="AB9551" s="462" t="s">
        <v>26757</v>
      </c>
      <c r="AC9551" s="462" t="s">
        <v>26756</v>
      </c>
      <c r="AD9551" s="464">
        <v>6569.5466299999998</v>
      </c>
      <c r="AE9551" s="465">
        <v>264.53194000000002</v>
      </c>
      <c r="AF9551" s="86">
        <f>IF(verze!$E$1="CZK",AD9551,IF(verze!$E$1="SK",AE9551,""))</f>
        <v>264.53194000000002</v>
      </c>
    </row>
    <row r="9552" spans="27:32" ht="15">
      <c r="AA9552" s="463" t="s">
        <v>1320</v>
      </c>
      <c r="AB9552" s="462" t="s">
        <v>26758</v>
      </c>
      <c r="AC9552" s="462" t="s">
        <v>26759</v>
      </c>
      <c r="AD9552" s="464">
        <v>7038.9073699999999</v>
      </c>
      <c r="AE9552" s="465">
        <v>282.68833000000001</v>
      </c>
      <c r="AF9552" s="86">
        <f>IF(verze!$E$1="CZK",AD9552,IF(verze!$E$1="SK",AE9552,""))</f>
        <v>282.68833000000001</v>
      </c>
    </row>
    <row r="9553" spans="27:32" ht="15">
      <c r="AA9553" s="463" t="s">
        <v>1320</v>
      </c>
      <c r="AB9553" s="462" t="s">
        <v>26760</v>
      </c>
      <c r="AC9553" s="462" t="s">
        <v>26761</v>
      </c>
      <c r="AD9553" s="464">
        <v>7594.3390499999996</v>
      </c>
      <c r="AE9553" s="465">
        <v>305.19134000000003</v>
      </c>
      <c r="AF9553" s="86">
        <f>IF(verze!$E$1="CZK",AD9553,IF(verze!$E$1="SK",AE9553,""))</f>
        <v>305.19134000000003</v>
      </c>
    </row>
    <row r="9554" spans="27:32" ht="15">
      <c r="AA9554" s="463" t="s">
        <v>1320</v>
      </c>
      <c r="AB9554" s="462" t="s">
        <v>26762</v>
      </c>
      <c r="AC9554" s="462" t="s">
        <v>26763</v>
      </c>
      <c r="AD9554" s="464">
        <v>7594.3390499999996</v>
      </c>
      <c r="AE9554" s="465">
        <v>305.19134000000003</v>
      </c>
      <c r="AF9554" s="86">
        <f>IF(verze!$E$1="CZK",AD9554,IF(verze!$E$1="SK",AE9554,""))</f>
        <v>305.19134000000003</v>
      </c>
    </row>
    <row r="9555" spans="27:32" ht="15">
      <c r="AA9555" s="463" t="s">
        <v>1320</v>
      </c>
      <c r="AB9555" s="462" t="s">
        <v>26764</v>
      </c>
      <c r="AC9555" s="462" t="s">
        <v>26765</v>
      </c>
      <c r="AD9555" s="464">
        <v>6940.6343299999999</v>
      </c>
      <c r="AE9555" s="465">
        <v>278.78960999999998</v>
      </c>
      <c r="AF9555" s="86">
        <f>IF(verze!$E$1="CZK",AD9555,IF(verze!$E$1="SK",AE9555,""))</f>
        <v>278.78960999999998</v>
      </c>
    </row>
    <row r="9556" spans="27:32" ht="15">
      <c r="AA9556" s="463" t="s">
        <v>1320</v>
      </c>
      <c r="AB9556" s="462" t="s">
        <v>26766</v>
      </c>
      <c r="AC9556" s="462" t="s">
        <v>26767</v>
      </c>
      <c r="AD9556" s="464">
        <v>5910.8830500000004</v>
      </c>
      <c r="AE9556" s="465">
        <v>238.73016000000001</v>
      </c>
      <c r="AF9556" s="86">
        <f>IF(verze!$E$1="CZK",AD9556,IF(verze!$E$1="SK",AE9556,""))</f>
        <v>238.73016000000001</v>
      </c>
    </row>
    <row r="9557" spans="27:32" ht="15">
      <c r="AA9557" s="463" t="s">
        <v>1320</v>
      </c>
      <c r="AB9557" s="462" t="s">
        <v>26768</v>
      </c>
      <c r="AC9557" s="462" t="s">
        <v>26769</v>
      </c>
      <c r="AD9557" s="464">
        <v>5910.8830500000004</v>
      </c>
      <c r="AE9557" s="465">
        <v>238.73016000000001</v>
      </c>
      <c r="AF9557" s="86">
        <f>IF(verze!$E$1="CZK",AD9557,IF(verze!$E$1="SK",AE9557,""))</f>
        <v>238.73016000000001</v>
      </c>
    </row>
    <row r="9558" spans="27:32" ht="15">
      <c r="AA9558" s="463" t="s">
        <v>1320</v>
      </c>
      <c r="AB9558" s="462" t="s">
        <v>26770</v>
      </c>
      <c r="AC9558" s="462" t="s">
        <v>26771</v>
      </c>
      <c r="AD9558" s="464">
        <v>5214.9569899999997</v>
      </c>
      <c r="AE9558" s="465">
        <v>210.62318999999999</v>
      </c>
      <c r="AF9558" s="86">
        <f>IF(verze!$E$1="CZK",AD9558,IF(verze!$E$1="SK",AE9558,""))</f>
        <v>210.62318999999999</v>
      </c>
    </row>
    <row r="9559" spans="27:32" ht="15">
      <c r="AA9559" s="463" t="s">
        <v>1320</v>
      </c>
      <c r="AB9559" s="462" t="s">
        <v>26772</v>
      </c>
      <c r="AC9559" s="462" t="s">
        <v>26773</v>
      </c>
      <c r="AD9559" s="464">
        <v>6569.5466299999998</v>
      </c>
      <c r="AE9559" s="465">
        <v>264.53194000000002</v>
      </c>
      <c r="AF9559" s="86">
        <f>IF(verze!$E$1="CZK",AD9559,IF(verze!$E$1="SK",AE9559,""))</f>
        <v>264.53194000000002</v>
      </c>
    </row>
    <row r="9560" spans="27:32" ht="15">
      <c r="AA9560" s="463" t="s">
        <v>1320</v>
      </c>
      <c r="AB9560" s="462" t="s">
        <v>26774</v>
      </c>
      <c r="AC9560" s="462" t="s">
        <v>26775</v>
      </c>
      <c r="AD9560" s="464">
        <v>6569.5466299999998</v>
      </c>
      <c r="AE9560" s="465">
        <v>264.53194000000002</v>
      </c>
      <c r="AF9560" s="86">
        <f>IF(verze!$E$1="CZK",AD9560,IF(verze!$E$1="SK",AE9560,""))</f>
        <v>264.53194000000002</v>
      </c>
    </row>
    <row r="9561" spans="27:32" ht="15">
      <c r="AA9561" s="463" t="s">
        <v>1320</v>
      </c>
      <c r="AB9561" s="462" t="s">
        <v>26776</v>
      </c>
      <c r="AC9561" s="462" t="s">
        <v>26777</v>
      </c>
      <c r="AD9561" s="464">
        <v>5915.8419100000001</v>
      </c>
      <c r="AE9561" s="465">
        <v>238.13021000000001</v>
      </c>
      <c r="AF9561" s="86">
        <f>IF(verze!$E$1="CZK",AD9561,IF(verze!$E$1="SK",AE9561,""))</f>
        <v>238.13021000000001</v>
      </c>
    </row>
    <row r="9562" spans="27:32" ht="15">
      <c r="AA9562" s="463" t="s">
        <v>1320</v>
      </c>
      <c r="AB9562" s="462" t="s">
        <v>26778</v>
      </c>
      <c r="AC9562" s="462" t="s">
        <v>26779</v>
      </c>
      <c r="AD9562" s="464">
        <v>6520.4101099999998</v>
      </c>
      <c r="AE9562" s="465">
        <v>262.58258000000001</v>
      </c>
      <c r="AF9562" s="86">
        <f>IF(verze!$E$1="CZK",AD9562,IF(verze!$E$1="SK",AE9562,""))</f>
        <v>262.58258000000001</v>
      </c>
    </row>
    <row r="9563" spans="27:32" ht="15">
      <c r="AA9563" s="463" t="s">
        <v>1320</v>
      </c>
      <c r="AB9563" s="462" t="s">
        <v>26780</v>
      </c>
      <c r="AC9563" s="462" t="s">
        <v>26781</v>
      </c>
      <c r="AD9563" s="464">
        <v>6520.4101099999998</v>
      </c>
      <c r="AE9563" s="465">
        <v>262.58258000000001</v>
      </c>
      <c r="AF9563" s="86">
        <f>IF(verze!$E$1="CZK",AD9563,IF(verze!$E$1="SK",AE9563,""))</f>
        <v>262.58258000000001</v>
      </c>
    </row>
    <row r="9564" spans="27:32" ht="15">
      <c r="AA9564" s="463" t="s">
        <v>1320</v>
      </c>
      <c r="AB9564" s="462" t="s">
        <v>26782</v>
      </c>
      <c r="AC9564" s="462" t="s">
        <v>26783</v>
      </c>
      <c r="AD9564" s="464">
        <v>5866.7053900000001</v>
      </c>
      <c r="AE9564" s="465">
        <v>236.18084999999999</v>
      </c>
      <c r="AF9564" s="86">
        <f>IF(verze!$E$1="CZK",AD9564,IF(verze!$E$1="SK",AE9564,""))</f>
        <v>236.18084999999999</v>
      </c>
    </row>
    <row r="9565" spans="27:32" ht="15">
      <c r="AA9565" s="463" t="s">
        <v>1320</v>
      </c>
      <c r="AB9565" s="462" t="s">
        <v>26784</v>
      </c>
      <c r="AC9565" s="462" t="s">
        <v>26785</v>
      </c>
      <c r="AD9565" s="464">
        <v>6065.6540500000001</v>
      </c>
      <c r="AE9565" s="465">
        <v>244.9813</v>
      </c>
      <c r="AF9565" s="86">
        <f>IF(verze!$E$1="CZK",AD9565,IF(verze!$E$1="SK",AE9565,""))</f>
        <v>244.9813</v>
      </c>
    </row>
    <row r="9566" spans="27:32" ht="15">
      <c r="AA9566" s="463" t="s">
        <v>1320</v>
      </c>
      <c r="AB9566" s="462" t="s">
        <v>26786</v>
      </c>
      <c r="AC9566" s="462" t="s">
        <v>26787</v>
      </c>
      <c r="AD9566" s="464">
        <v>6065.6540500000001</v>
      </c>
      <c r="AE9566" s="465">
        <v>244.9813</v>
      </c>
      <c r="AF9566" s="86">
        <f>IF(verze!$E$1="CZK",AD9566,IF(verze!$E$1="SK",AE9566,""))</f>
        <v>244.9813</v>
      </c>
    </row>
    <row r="9567" spans="27:32" ht="15">
      <c r="AA9567" s="463" t="s">
        <v>1320</v>
      </c>
      <c r="AB9567" s="462" t="s">
        <v>26788</v>
      </c>
      <c r="AC9567" s="462" t="s">
        <v>26789</v>
      </c>
      <c r="AD9567" s="464">
        <v>5355.7075699999996</v>
      </c>
      <c r="AE9567" s="465">
        <v>216.30793</v>
      </c>
      <c r="AF9567" s="86">
        <f>IF(verze!$E$1="CZK",AD9567,IF(verze!$E$1="SK",AE9567,""))</f>
        <v>216.30793</v>
      </c>
    </row>
    <row r="9568" spans="27:32" ht="15">
      <c r="AA9568" s="463" t="s">
        <v>1320</v>
      </c>
      <c r="AB9568" s="462" t="s">
        <v>26790</v>
      </c>
      <c r="AC9568" s="462" t="s">
        <v>26791</v>
      </c>
      <c r="AD9568" s="464">
        <v>6943.95021</v>
      </c>
      <c r="AE9568" s="465">
        <v>279.38650000000001</v>
      </c>
      <c r="AF9568" s="86">
        <f>IF(verze!$E$1="CZK",AD9568,IF(verze!$E$1="SK",AE9568,""))</f>
        <v>279.38650000000001</v>
      </c>
    </row>
    <row r="9569" spans="27:32" ht="15">
      <c r="AA9569" s="463" t="s">
        <v>1320</v>
      </c>
      <c r="AB9569" s="462" t="s">
        <v>26792</v>
      </c>
      <c r="AC9569" s="462" t="s">
        <v>26793</v>
      </c>
      <c r="AD9569" s="464">
        <v>6943.95021</v>
      </c>
      <c r="AE9569" s="465">
        <v>279.38650000000001</v>
      </c>
      <c r="AF9569" s="86">
        <f>IF(verze!$E$1="CZK",AD9569,IF(verze!$E$1="SK",AE9569,""))</f>
        <v>279.38650000000001</v>
      </c>
    </row>
    <row r="9570" spans="27:32" ht="15">
      <c r="AA9570" s="463" t="s">
        <v>1320</v>
      </c>
      <c r="AB9570" s="462" t="s">
        <v>26794</v>
      </c>
      <c r="AC9570" s="462" t="s">
        <v>26795</v>
      </c>
      <c r="AD9570" s="464">
        <v>6290.2454900000002</v>
      </c>
      <c r="AE9570" s="465">
        <v>252.98477</v>
      </c>
      <c r="AF9570" s="86">
        <f>IF(verze!$E$1="CZK",AD9570,IF(verze!$E$1="SK",AE9570,""))</f>
        <v>252.98477</v>
      </c>
    </row>
    <row r="9571" spans="27:32" ht="15">
      <c r="AA9571" s="463" t="s">
        <v>1320</v>
      </c>
      <c r="AB9571" s="462" t="s">
        <v>26796</v>
      </c>
      <c r="AC9571" s="462" t="s">
        <v>26797</v>
      </c>
      <c r="AD9571" s="464">
        <v>6878.4288900000001</v>
      </c>
      <c r="AE9571" s="465">
        <v>276.78726</v>
      </c>
      <c r="AF9571" s="86">
        <f>IF(verze!$E$1="CZK",AD9571,IF(verze!$E$1="SK",AE9571,""))</f>
        <v>276.78726</v>
      </c>
    </row>
    <row r="9572" spans="27:32" ht="15">
      <c r="AA9572" s="463" t="s">
        <v>1320</v>
      </c>
      <c r="AB9572" s="462" t="s">
        <v>26798</v>
      </c>
      <c r="AC9572" s="462" t="s">
        <v>26799</v>
      </c>
      <c r="AD9572" s="464">
        <v>6878.4288900000001</v>
      </c>
      <c r="AE9572" s="465">
        <v>276.78726</v>
      </c>
      <c r="AF9572" s="86">
        <f>IF(verze!$E$1="CZK",AD9572,IF(verze!$E$1="SK",AE9572,""))</f>
        <v>276.78726</v>
      </c>
    </row>
    <row r="9573" spans="27:32" ht="15">
      <c r="AA9573" s="463" t="s">
        <v>1320</v>
      </c>
      <c r="AB9573" s="462" t="s">
        <v>26800</v>
      </c>
      <c r="AC9573" s="462" t="s">
        <v>26801</v>
      </c>
      <c r="AD9573" s="464">
        <v>6224.7241700000004</v>
      </c>
      <c r="AE9573" s="465">
        <v>250.38552999999999</v>
      </c>
      <c r="AF9573" s="86">
        <f>IF(verze!$E$1="CZK",AD9573,IF(verze!$E$1="SK",AE9573,""))</f>
        <v>250.38552999999999</v>
      </c>
    </row>
    <row r="9574" spans="27:32" ht="15">
      <c r="AA9574" s="463" t="s">
        <v>1320</v>
      </c>
      <c r="AB9574" s="462" t="s">
        <v>26802</v>
      </c>
      <c r="AC9574" s="462" t="s">
        <v>26803</v>
      </c>
      <c r="AD9574" s="464">
        <v>2978.6331700000001</v>
      </c>
      <c r="AE9574" s="465">
        <v>120.30177</v>
      </c>
      <c r="AF9574" s="86">
        <f>IF(verze!$E$1="CZK",AD9574,IF(verze!$E$1="SK",AE9574,""))</f>
        <v>120.30177</v>
      </c>
    </row>
    <row r="9575" spans="27:32" ht="15">
      <c r="AA9575" s="463" t="s">
        <v>1320</v>
      </c>
      <c r="AB9575" s="462" t="s">
        <v>26804</v>
      </c>
      <c r="AC9575" s="462" t="s">
        <v>26805</v>
      </c>
      <c r="AD9575" s="464">
        <v>2978.6331700000001</v>
      </c>
      <c r="AE9575" s="465">
        <v>120.30177</v>
      </c>
      <c r="AF9575" s="86">
        <f>IF(verze!$E$1="CZK",AD9575,IF(verze!$E$1="SK",AE9575,""))</f>
        <v>120.30177</v>
      </c>
    </row>
    <row r="9576" spans="27:32" ht="15">
      <c r="AA9576" s="463" t="s">
        <v>1320</v>
      </c>
      <c r="AB9576" s="462" t="s">
        <v>26806</v>
      </c>
      <c r="AC9576" s="462" t="s">
        <v>26807</v>
      </c>
      <c r="AD9576" s="464">
        <v>2625.2554799999998</v>
      </c>
      <c r="AE9576" s="465">
        <v>106.02959</v>
      </c>
      <c r="AF9576" s="86">
        <f>IF(verze!$E$1="CZK",AD9576,IF(verze!$E$1="SK",AE9576,""))</f>
        <v>106.02959</v>
      </c>
    </row>
    <row r="9577" spans="27:32" ht="15">
      <c r="AA9577" s="463" t="s">
        <v>1320</v>
      </c>
      <c r="AB9577" s="462" t="s">
        <v>26808</v>
      </c>
      <c r="AC9577" s="462" t="s">
        <v>26809</v>
      </c>
      <c r="AD9577" s="464">
        <v>2978.6331700000001</v>
      </c>
      <c r="AE9577" s="465">
        <v>120.30177</v>
      </c>
      <c r="AF9577" s="86">
        <f>IF(verze!$E$1="CZK",AD9577,IF(verze!$E$1="SK",AE9577,""))</f>
        <v>120.30177</v>
      </c>
    </row>
    <row r="9578" spans="27:32" ht="15">
      <c r="AA9578" s="463" t="s">
        <v>1320</v>
      </c>
      <c r="AB9578" s="462" t="s">
        <v>26810</v>
      </c>
      <c r="AC9578" s="462" t="s">
        <v>26811</v>
      </c>
      <c r="AD9578" s="464">
        <v>2978.6331700000001</v>
      </c>
      <c r="AE9578" s="465">
        <v>120.30177</v>
      </c>
      <c r="AF9578" s="86">
        <f>IF(verze!$E$1="CZK",AD9578,IF(verze!$E$1="SK",AE9578,""))</f>
        <v>120.30177</v>
      </c>
    </row>
    <row r="9579" spans="27:32" ht="15">
      <c r="AA9579" s="463" t="s">
        <v>1320</v>
      </c>
      <c r="AB9579" s="462" t="s">
        <v>26812</v>
      </c>
      <c r="AC9579" s="462" t="s">
        <v>26813</v>
      </c>
      <c r="AD9579" s="464">
        <v>2625.2554799999998</v>
      </c>
      <c r="AE9579" s="465">
        <v>106.02959</v>
      </c>
      <c r="AF9579" s="86">
        <f>IF(verze!$E$1="CZK",AD9579,IF(verze!$E$1="SK",AE9579,""))</f>
        <v>106.02959</v>
      </c>
    </row>
    <row r="9580" spans="27:32" ht="15">
      <c r="AA9580" s="463" t="s">
        <v>1320</v>
      </c>
      <c r="AB9580" s="462" t="s">
        <v>26814</v>
      </c>
      <c r="AC9580" s="462" t="s">
        <v>26815</v>
      </c>
      <c r="AD9580" s="464">
        <v>3307.9649599999998</v>
      </c>
      <c r="AE9580" s="465">
        <v>133.20266000000001</v>
      </c>
      <c r="AF9580" s="86">
        <f>IF(verze!$E$1="CZK",AD9580,IF(verze!$E$1="SK",AE9580,""))</f>
        <v>133.20266000000001</v>
      </c>
    </row>
    <row r="9581" spans="27:32" ht="15">
      <c r="AA9581" s="463" t="s">
        <v>1320</v>
      </c>
      <c r="AB9581" s="462" t="s">
        <v>26816</v>
      </c>
      <c r="AC9581" s="462" t="s">
        <v>26817</v>
      </c>
      <c r="AD9581" s="464">
        <v>3307.9649599999998</v>
      </c>
      <c r="AE9581" s="465">
        <v>133.20266000000001</v>
      </c>
      <c r="AF9581" s="86">
        <f>IF(verze!$E$1="CZK",AD9581,IF(verze!$E$1="SK",AE9581,""))</f>
        <v>133.20266000000001</v>
      </c>
    </row>
    <row r="9582" spans="27:32" ht="15">
      <c r="AA9582" s="463" t="s">
        <v>1320</v>
      </c>
      <c r="AB9582" s="462" t="s">
        <v>26818</v>
      </c>
      <c r="AC9582" s="462" t="s">
        <v>26819</v>
      </c>
      <c r="AD9582" s="464">
        <v>2975.69794</v>
      </c>
      <c r="AE9582" s="465">
        <v>119.7831</v>
      </c>
      <c r="AF9582" s="86">
        <f>IF(verze!$E$1="CZK",AD9582,IF(verze!$E$1="SK",AE9582,""))</f>
        <v>119.7831</v>
      </c>
    </row>
    <row r="9583" spans="27:32" ht="15">
      <c r="AA9583" s="463" t="s">
        <v>1320</v>
      </c>
      <c r="AB9583" s="462" t="s">
        <v>26820</v>
      </c>
      <c r="AC9583" s="462" t="s">
        <v>26821</v>
      </c>
      <c r="AD9583" s="464">
        <v>3307.9649599999998</v>
      </c>
      <c r="AE9583" s="465">
        <v>133.20266000000001</v>
      </c>
      <c r="AF9583" s="86">
        <f>IF(verze!$E$1="CZK",AD9583,IF(verze!$E$1="SK",AE9583,""))</f>
        <v>133.20266000000001</v>
      </c>
    </row>
    <row r="9584" spans="27:32" ht="15">
      <c r="AA9584" s="463" t="s">
        <v>1320</v>
      </c>
      <c r="AB9584" s="462" t="s">
        <v>26822</v>
      </c>
      <c r="AC9584" s="462" t="s">
        <v>26823</v>
      </c>
      <c r="AD9584" s="464">
        <v>3307.9649599999998</v>
      </c>
      <c r="AE9584" s="465">
        <v>133.20266000000001</v>
      </c>
      <c r="AF9584" s="86">
        <f>IF(verze!$E$1="CZK",AD9584,IF(verze!$E$1="SK",AE9584,""))</f>
        <v>133.20266000000001</v>
      </c>
    </row>
    <row r="9585" spans="27:32" ht="15">
      <c r="AA9585" s="463" t="s">
        <v>1320</v>
      </c>
      <c r="AB9585" s="462" t="s">
        <v>26824</v>
      </c>
      <c r="AC9585" s="462" t="s">
        <v>26825</v>
      </c>
      <c r="AD9585" s="464">
        <v>2975.69794</v>
      </c>
      <c r="AE9585" s="465">
        <v>119.7831</v>
      </c>
      <c r="AF9585" s="86">
        <f>IF(verze!$E$1="CZK",AD9585,IF(verze!$E$1="SK",AE9585,""))</f>
        <v>119.7831</v>
      </c>
    </row>
    <row r="9586" spans="27:32" ht="15">
      <c r="AA9586" s="463" t="s">
        <v>1320</v>
      </c>
      <c r="AB9586" s="462" t="s">
        <v>26826</v>
      </c>
      <c r="AC9586" s="462" t="s">
        <v>26827</v>
      </c>
      <c r="AD9586" s="464">
        <v>3283.3966999999998</v>
      </c>
      <c r="AE9586" s="465">
        <v>132.22798</v>
      </c>
      <c r="AF9586" s="86">
        <f>IF(verze!$E$1="CZK",AD9586,IF(verze!$E$1="SK",AE9586,""))</f>
        <v>132.22798</v>
      </c>
    </row>
    <row r="9587" spans="27:32" ht="15">
      <c r="AA9587" s="463" t="s">
        <v>1320</v>
      </c>
      <c r="AB9587" s="462" t="s">
        <v>26828</v>
      </c>
      <c r="AC9587" s="462" t="s">
        <v>26829</v>
      </c>
      <c r="AD9587" s="464">
        <v>3283.3966999999998</v>
      </c>
      <c r="AE9587" s="465">
        <v>132.22798</v>
      </c>
      <c r="AF9587" s="86">
        <f>IF(verze!$E$1="CZK",AD9587,IF(verze!$E$1="SK",AE9587,""))</f>
        <v>132.22798</v>
      </c>
    </row>
    <row r="9588" spans="27:32" ht="15">
      <c r="AA9588" s="463" t="s">
        <v>1320</v>
      </c>
      <c r="AB9588" s="462" t="s">
        <v>26830</v>
      </c>
      <c r="AC9588" s="462" t="s">
        <v>26831</v>
      </c>
      <c r="AD9588" s="464">
        <v>2951.12968</v>
      </c>
      <c r="AE9588" s="465">
        <v>118.80842</v>
      </c>
      <c r="AF9588" s="86">
        <f>IF(verze!$E$1="CZK",AD9588,IF(verze!$E$1="SK",AE9588,""))</f>
        <v>118.80842</v>
      </c>
    </row>
    <row r="9589" spans="27:32" ht="15">
      <c r="AA9589" s="463" t="s">
        <v>1320</v>
      </c>
      <c r="AB9589" s="462" t="s">
        <v>26832</v>
      </c>
      <c r="AC9589" s="462" t="s">
        <v>26833</v>
      </c>
      <c r="AD9589" s="464">
        <v>3283.3966999999998</v>
      </c>
      <c r="AE9589" s="465">
        <v>132.22798</v>
      </c>
      <c r="AF9589" s="86">
        <f>IF(verze!$E$1="CZK",AD9589,IF(verze!$E$1="SK",AE9589,""))</f>
        <v>132.22798</v>
      </c>
    </row>
    <row r="9590" spans="27:32" ht="15">
      <c r="AA9590" s="463" t="s">
        <v>1320</v>
      </c>
      <c r="AB9590" s="462" t="s">
        <v>26834</v>
      </c>
      <c r="AC9590" s="462" t="s">
        <v>26835</v>
      </c>
      <c r="AD9590" s="464">
        <v>3283.3966999999998</v>
      </c>
      <c r="AE9590" s="465">
        <v>132.22798</v>
      </c>
      <c r="AF9590" s="86">
        <f>IF(verze!$E$1="CZK",AD9590,IF(verze!$E$1="SK",AE9590,""))</f>
        <v>132.22798</v>
      </c>
    </row>
    <row r="9591" spans="27:32" ht="15">
      <c r="AA9591" s="463" t="s">
        <v>1320</v>
      </c>
      <c r="AB9591" s="462" t="s">
        <v>26836</v>
      </c>
      <c r="AC9591" s="462" t="s">
        <v>26837</v>
      </c>
      <c r="AD9591" s="464">
        <v>2951.12968</v>
      </c>
      <c r="AE9591" s="465">
        <v>118.80842</v>
      </c>
      <c r="AF9591" s="86">
        <f>IF(verze!$E$1="CZK",AD9591,IF(verze!$E$1="SK",AE9591,""))</f>
        <v>118.80842</v>
      </c>
    </row>
    <row r="9592" spans="27:32" ht="15">
      <c r="AA9592" s="463" t="s">
        <v>1320</v>
      </c>
      <c r="AB9592" s="462" t="s">
        <v>26838</v>
      </c>
      <c r="AC9592" s="462" t="s">
        <v>26839</v>
      </c>
      <c r="AD9592" s="464">
        <v>3056.0186699999999</v>
      </c>
      <c r="AE9592" s="465">
        <v>123.42734</v>
      </c>
      <c r="AF9592" s="86">
        <f>IF(verze!$E$1="CZK",AD9592,IF(verze!$E$1="SK",AE9592,""))</f>
        <v>123.42734</v>
      </c>
    </row>
    <row r="9593" spans="27:32" ht="15">
      <c r="AA9593" s="463" t="s">
        <v>1320</v>
      </c>
      <c r="AB9593" s="462" t="s">
        <v>26840</v>
      </c>
      <c r="AC9593" s="462" t="s">
        <v>26841</v>
      </c>
      <c r="AD9593" s="464">
        <v>3056.0186699999999</v>
      </c>
      <c r="AE9593" s="465">
        <v>123.42734</v>
      </c>
      <c r="AF9593" s="86">
        <f>IF(verze!$E$1="CZK",AD9593,IF(verze!$E$1="SK",AE9593,""))</f>
        <v>123.42734</v>
      </c>
    </row>
    <row r="9594" spans="27:32" ht="15">
      <c r="AA9594" s="463" t="s">
        <v>1320</v>
      </c>
      <c r="AB9594" s="462" t="s">
        <v>26842</v>
      </c>
      <c r="AC9594" s="462" t="s">
        <v>26843</v>
      </c>
      <c r="AD9594" s="464">
        <v>2695.6307700000002</v>
      </c>
      <c r="AE9594" s="465">
        <v>108.87196</v>
      </c>
      <c r="AF9594" s="86">
        <f>IF(verze!$E$1="CZK",AD9594,IF(verze!$E$1="SK",AE9594,""))</f>
        <v>108.87196</v>
      </c>
    </row>
    <row r="9595" spans="27:32" ht="15">
      <c r="AA9595" s="463" t="s">
        <v>1320</v>
      </c>
      <c r="AB9595" s="462" t="s">
        <v>26844</v>
      </c>
      <c r="AC9595" s="462" t="s">
        <v>26845</v>
      </c>
      <c r="AD9595" s="464">
        <v>3056.0186699999999</v>
      </c>
      <c r="AE9595" s="465">
        <v>123.42734</v>
      </c>
      <c r="AF9595" s="86">
        <f>IF(verze!$E$1="CZK",AD9595,IF(verze!$E$1="SK",AE9595,""))</f>
        <v>123.42734</v>
      </c>
    </row>
    <row r="9596" spans="27:32" ht="15">
      <c r="AA9596" s="463" t="s">
        <v>1320</v>
      </c>
      <c r="AB9596" s="462" t="s">
        <v>26846</v>
      </c>
      <c r="AC9596" s="462" t="s">
        <v>26847</v>
      </c>
      <c r="AD9596" s="464">
        <v>3056.0186699999999</v>
      </c>
      <c r="AE9596" s="465">
        <v>123.42734</v>
      </c>
      <c r="AF9596" s="86">
        <f>IF(verze!$E$1="CZK",AD9596,IF(verze!$E$1="SK",AE9596,""))</f>
        <v>123.42734</v>
      </c>
    </row>
    <row r="9597" spans="27:32" ht="15">
      <c r="AA9597" s="463" t="s">
        <v>1320</v>
      </c>
      <c r="AB9597" s="462" t="s">
        <v>26848</v>
      </c>
      <c r="AC9597" s="462" t="s">
        <v>26849</v>
      </c>
      <c r="AD9597" s="464">
        <v>2695.6307700000002</v>
      </c>
      <c r="AE9597" s="465">
        <v>108.87196</v>
      </c>
      <c r="AF9597" s="86">
        <f>IF(verze!$E$1="CZK",AD9597,IF(verze!$E$1="SK",AE9597,""))</f>
        <v>108.87196</v>
      </c>
    </row>
    <row r="9598" spans="27:32" ht="15">
      <c r="AA9598" s="463" t="s">
        <v>1320</v>
      </c>
      <c r="AB9598" s="462" t="s">
        <v>26850</v>
      </c>
      <c r="AC9598" s="462" t="s">
        <v>26851</v>
      </c>
      <c r="AD9598" s="464">
        <v>3495.1667499999999</v>
      </c>
      <c r="AE9598" s="465">
        <v>140.62994</v>
      </c>
      <c r="AF9598" s="86">
        <f>IF(verze!$E$1="CZK",AD9598,IF(verze!$E$1="SK",AE9598,""))</f>
        <v>140.62994</v>
      </c>
    </row>
    <row r="9599" spans="27:32" ht="15">
      <c r="AA9599" s="463" t="s">
        <v>1320</v>
      </c>
      <c r="AB9599" s="462" t="s">
        <v>26852</v>
      </c>
      <c r="AC9599" s="462" t="s">
        <v>26853</v>
      </c>
      <c r="AD9599" s="464">
        <v>3495.1667499999999</v>
      </c>
      <c r="AE9599" s="465">
        <v>140.62994</v>
      </c>
      <c r="AF9599" s="86">
        <f>IF(verze!$E$1="CZK",AD9599,IF(verze!$E$1="SK",AE9599,""))</f>
        <v>140.62994</v>
      </c>
    </row>
    <row r="9600" spans="27:32" ht="15">
      <c r="AA9600" s="463" t="s">
        <v>1320</v>
      </c>
      <c r="AB9600" s="462" t="s">
        <v>26854</v>
      </c>
      <c r="AC9600" s="462" t="s">
        <v>26855</v>
      </c>
      <c r="AD9600" s="464">
        <v>3162.8997300000001</v>
      </c>
      <c r="AE9600" s="465">
        <v>127.21038</v>
      </c>
      <c r="AF9600" s="86">
        <f>IF(verze!$E$1="CZK",AD9600,IF(verze!$E$1="SK",AE9600,""))</f>
        <v>127.21038</v>
      </c>
    </row>
    <row r="9601" spans="27:32" ht="15">
      <c r="AA9601" s="463" t="s">
        <v>1320</v>
      </c>
      <c r="AB9601" s="462" t="s">
        <v>26856</v>
      </c>
      <c r="AC9601" s="462" t="s">
        <v>26857</v>
      </c>
      <c r="AD9601" s="464">
        <v>3495.1667499999999</v>
      </c>
      <c r="AE9601" s="465">
        <v>140.62994</v>
      </c>
      <c r="AF9601" s="86">
        <f>IF(verze!$E$1="CZK",AD9601,IF(verze!$E$1="SK",AE9601,""))</f>
        <v>140.62994</v>
      </c>
    </row>
    <row r="9602" spans="27:32" ht="15">
      <c r="AA9602" s="463" t="s">
        <v>1320</v>
      </c>
      <c r="AB9602" s="462" t="s">
        <v>26858</v>
      </c>
      <c r="AC9602" s="462" t="s">
        <v>26859</v>
      </c>
      <c r="AD9602" s="464">
        <v>3495.1667499999999</v>
      </c>
      <c r="AE9602" s="465">
        <v>140.62994</v>
      </c>
      <c r="AF9602" s="86">
        <f>IF(verze!$E$1="CZK",AD9602,IF(verze!$E$1="SK",AE9602,""))</f>
        <v>140.62994</v>
      </c>
    </row>
    <row r="9603" spans="27:32" ht="15">
      <c r="AA9603" s="463" t="s">
        <v>1320</v>
      </c>
      <c r="AB9603" s="462" t="s">
        <v>26860</v>
      </c>
      <c r="AC9603" s="462" t="s">
        <v>26861</v>
      </c>
      <c r="AD9603" s="464">
        <v>3162.8997300000001</v>
      </c>
      <c r="AE9603" s="465">
        <v>127.21038</v>
      </c>
      <c r="AF9603" s="86">
        <f>IF(verze!$E$1="CZK",AD9603,IF(verze!$E$1="SK",AE9603,""))</f>
        <v>127.21038</v>
      </c>
    </row>
    <row r="9604" spans="27:32" ht="15">
      <c r="AA9604" s="463" t="s">
        <v>1320</v>
      </c>
      <c r="AB9604" s="462" t="s">
        <v>26862</v>
      </c>
      <c r="AC9604" s="462" t="s">
        <v>26863</v>
      </c>
      <c r="AD9604" s="464">
        <v>3462.4060899999999</v>
      </c>
      <c r="AE9604" s="465">
        <v>139.33032</v>
      </c>
      <c r="AF9604" s="86">
        <f>IF(verze!$E$1="CZK",AD9604,IF(verze!$E$1="SK",AE9604,""))</f>
        <v>139.33032</v>
      </c>
    </row>
    <row r="9605" spans="27:32" ht="15">
      <c r="AA9605" s="463" t="s">
        <v>1320</v>
      </c>
      <c r="AB9605" s="462" t="s">
        <v>26864</v>
      </c>
      <c r="AC9605" s="462" t="s">
        <v>26865</v>
      </c>
      <c r="AD9605" s="464">
        <v>3462.4060899999999</v>
      </c>
      <c r="AE9605" s="465">
        <v>139.33032</v>
      </c>
      <c r="AF9605" s="86">
        <f>IF(verze!$E$1="CZK",AD9605,IF(verze!$E$1="SK",AE9605,""))</f>
        <v>139.33032</v>
      </c>
    </row>
    <row r="9606" spans="27:32" ht="15">
      <c r="AA9606" s="463" t="s">
        <v>1320</v>
      </c>
      <c r="AB9606" s="462" t="s">
        <v>26866</v>
      </c>
      <c r="AC9606" s="462" t="s">
        <v>26867</v>
      </c>
      <c r="AD9606" s="464">
        <v>3130.1390700000002</v>
      </c>
      <c r="AE9606" s="465">
        <v>125.91076</v>
      </c>
      <c r="AF9606" s="86">
        <f>IF(verze!$E$1="CZK",AD9606,IF(verze!$E$1="SK",AE9606,""))</f>
        <v>125.91076</v>
      </c>
    </row>
    <row r="9607" spans="27:32" ht="15">
      <c r="AA9607" s="463" t="s">
        <v>1320</v>
      </c>
      <c r="AB9607" s="462" t="s">
        <v>26868</v>
      </c>
      <c r="AC9607" s="462" t="s">
        <v>26869</v>
      </c>
      <c r="AD9607" s="464">
        <v>3462.4060899999999</v>
      </c>
      <c r="AE9607" s="465">
        <v>139.33032</v>
      </c>
      <c r="AF9607" s="86">
        <f>IF(verze!$E$1="CZK",AD9607,IF(verze!$E$1="SK",AE9607,""))</f>
        <v>139.33032</v>
      </c>
    </row>
    <row r="9608" spans="27:32" ht="15">
      <c r="AA9608" s="463" t="s">
        <v>1320</v>
      </c>
      <c r="AB9608" s="462" t="s">
        <v>26870</v>
      </c>
      <c r="AC9608" s="462" t="s">
        <v>26871</v>
      </c>
      <c r="AD9608" s="464">
        <v>3462.4060899999999</v>
      </c>
      <c r="AE9608" s="465">
        <v>139.33032</v>
      </c>
      <c r="AF9608" s="86">
        <f>IF(verze!$E$1="CZK",AD9608,IF(verze!$E$1="SK",AE9608,""))</f>
        <v>139.33032</v>
      </c>
    </row>
    <row r="9609" spans="27:32" ht="15">
      <c r="AA9609" s="463" t="s">
        <v>1320</v>
      </c>
      <c r="AB9609" s="462" t="s">
        <v>26872</v>
      </c>
      <c r="AC9609" s="462" t="s">
        <v>26873</v>
      </c>
      <c r="AD9609" s="464">
        <v>3130.1390700000002</v>
      </c>
      <c r="AE9609" s="465">
        <v>125.91076</v>
      </c>
      <c r="AF9609" s="86">
        <f>IF(verze!$E$1="CZK",AD9609,IF(verze!$E$1="SK",AE9609,""))</f>
        <v>125.91076</v>
      </c>
    </row>
    <row r="9610" spans="27:32" ht="15">
      <c r="AA9610" s="463" t="s">
        <v>1320</v>
      </c>
      <c r="AB9610" s="462" t="s">
        <v>26874</v>
      </c>
      <c r="AC9610" s="462" t="s">
        <v>26875</v>
      </c>
      <c r="AD9610" s="464">
        <v>3133.4263900000001</v>
      </c>
      <c r="AE9610" s="465">
        <v>126.55364</v>
      </c>
      <c r="AF9610" s="86">
        <f>IF(verze!$E$1="CZK",AD9610,IF(verze!$E$1="SK",AE9610,""))</f>
        <v>126.55364</v>
      </c>
    </row>
    <row r="9611" spans="27:32" ht="15">
      <c r="AA9611" s="463" t="s">
        <v>1320</v>
      </c>
      <c r="AB9611" s="462" t="s">
        <v>26876</v>
      </c>
      <c r="AC9611" s="462" t="s">
        <v>26877</v>
      </c>
      <c r="AD9611" s="464">
        <v>3133.4263900000001</v>
      </c>
      <c r="AE9611" s="465">
        <v>126.55364</v>
      </c>
      <c r="AF9611" s="86">
        <f>IF(verze!$E$1="CZK",AD9611,IF(verze!$E$1="SK",AE9611,""))</f>
        <v>126.55364</v>
      </c>
    </row>
    <row r="9612" spans="27:32" ht="15">
      <c r="AA9612" s="463" t="s">
        <v>1320</v>
      </c>
      <c r="AB9612" s="462" t="s">
        <v>26878</v>
      </c>
      <c r="AC9612" s="462" t="s">
        <v>26879</v>
      </c>
      <c r="AD9612" s="464">
        <v>2765.9882600000001</v>
      </c>
      <c r="AE9612" s="465">
        <v>111.71355</v>
      </c>
      <c r="AF9612" s="86">
        <f>IF(verze!$E$1="CZK",AD9612,IF(verze!$E$1="SK",AE9612,""))</f>
        <v>111.71355</v>
      </c>
    </row>
    <row r="9613" spans="27:32" ht="15">
      <c r="AA9613" s="463" t="s">
        <v>1320</v>
      </c>
      <c r="AB9613" s="462" t="s">
        <v>26880</v>
      </c>
      <c r="AC9613" s="462" t="s">
        <v>26881</v>
      </c>
      <c r="AD9613" s="464">
        <v>3133.4263900000001</v>
      </c>
      <c r="AE9613" s="465">
        <v>126.55364</v>
      </c>
      <c r="AF9613" s="86">
        <f>IF(verze!$E$1="CZK",AD9613,IF(verze!$E$1="SK",AE9613,""))</f>
        <v>126.55364</v>
      </c>
    </row>
    <row r="9614" spans="27:32" ht="15">
      <c r="AA9614" s="463" t="s">
        <v>1320</v>
      </c>
      <c r="AB9614" s="462" t="s">
        <v>26882</v>
      </c>
      <c r="AC9614" s="462" t="s">
        <v>26883</v>
      </c>
      <c r="AD9614" s="464">
        <v>3133.4263900000001</v>
      </c>
      <c r="AE9614" s="465">
        <v>126.55364</v>
      </c>
      <c r="AF9614" s="86">
        <f>IF(verze!$E$1="CZK",AD9614,IF(verze!$E$1="SK",AE9614,""))</f>
        <v>126.55364</v>
      </c>
    </row>
    <row r="9615" spans="27:32" ht="15">
      <c r="AA9615" s="463" t="s">
        <v>1320</v>
      </c>
      <c r="AB9615" s="462" t="s">
        <v>26884</v>
      </c>
      <c r="AC9615" s="462" t="s">
        <v>26885</v>
      </c>
      <c r="AD9615" s="464">
        <v>2765.9882600000001</v>
      </c>
      <c r="AE9615" s="465">
        <v>111.71355</v>
      </c>
      <c r="AF9615" s="86">
        <f>IF(verze!$E$1="CZK",AD9615,IF(verze!$E$1="SK",AE9615,""))</f>
        <v>111.71355</v>
      </c>
    </row>
    <row r="9616" spans="27:32" ht="15">
      <c r="AA9616" s="463" t="s">
        <v>1320</v>
      </c>
      <c r="AB9616" s="462" t="s">
        <v>26886</v>
      </c>
      <c r="AC9616" s="462" t="s">
        <v>26887</v>
      </c>
      <c r="AD9616" s="464">
        <v>3682.3322199999998</v>
      </c>
      <c r="AE9616" s="465">
        <v>148.05582999999999</v>
      </c>
      <c r="AF9616" s="86">
        <f>IF(verze!$E$1="CZK",AD9616,IF(verze!$E$1="SK",AE9616,""))</f>
        <v>148.05582999999999</v>
      </c>
    </row>
    <row r="9617" spans="27:32" ht="15">
      <c r="AA9617" s="463" t="s">
        <v>1320</v>
      </c>
      <c r="AB9617" s="462" t="s">
        <v>26888</v>
      </c>
      <c r="AC9617" s="462" t="s">
        <v>26889</v>
      </c>
      <c r="AD9617" s="464">
        <v>3682.3322199999998</v>
      </c>
      <c r="AE9617" s="465">
        <v>148.05582999999999</v>
      </c>
      <c r="AF9617" s="86">
        <f>IF(verze!$E$1="CZK",AD9617,IF(verze!$E$1="SK",AE9617,""))</f>
        <v>148.05582999999999</v>
      </c>
    </row>
    <row r="9618" spans="27:32" ht="15">
      <c r="AA9618" s="463" t="s">
        <v>1320</v>
      </c>
      <c r="AB9618" s="462" t="s">
        <v>26890</v>
      </c>
      <c r="AC9618" s="462" t="s">
        <v>26891</v>
      </c>
      <c r="AD9618" s="464">
        <v>3350.0652</v>
      </c>
      <c r="AE9618" s="465">
        <v>134.63627</v>
      </c>
      <c r="AF9618" s="86">
        <f>IF(verze!$E$1="CZK",AD9618,IF(verze!$E$1="SK",AE9618,""))</f>
        <v>134.63627</v>
      </c>
    </row>
    <row r="9619" spans="27:32" ht="15">
      <c r="AA9619" s="463" t="s">
        <v>1320</v>
      </c>
      <c r="AB9619" s="462" t="s">
        <v>26892</v>
      </c>
      <c r="AC9619" s="462" t="s">
        <v>26893</v>
      </c>
      <c r="AD9619" s="464">
        <v>3682.3322199999998</v>
      </c>
      <c r="AE9619" s="465">
        <v>148.05582999999999</v>
      </c>
      <c r="AF9619" s="86">
        <f>IF(verze!$E$1="CZK",AD9619,IF(verze!$E$1="SK",AE9619,""))</f>
        <v>148.05582999999999</v>
      </c>
    </row>
    <row r="9620" spans="27:32" ht="15">
      <c r="AA9620" s="463" t="s">
        <v>1320</v>
      </c>
      <c r="AB9620" s="462" t="s">
        <v>26894</v>
      </c>
      <c r="AC9620" s="462" t="s">
        <v>26895</v>
      </c>
      <c r="AD9620" s="464">
        <v>3682.3322199999998</v>
      </c>
      <c r="AE9620" s="465">
        <v>148.05582999999999</v>
      </c>
      <c r="AF9620" s="86">
        <f>IF(verze!$E$1="CZK",AD9620,IF(verze!$E$1="SK",AE9620,""))</f>
        <v>148.05582999999999</v>
      </c>
    </row>
    <row r="9621" spans="27:32" ht="15">
      <c r="AA9621" s="463" t="s">
        <v>1320</v>
      </c>
      <c r="AB9621" s="462" t="s">
        <v>26896</v>
      </c>
      <c r="AC9621" s="462" t="s">
        <v>26897</v>
      </c>
      <c r="AD9621" s="464">
        <v>3350.0652</v>
      </c>
      <c r="AE9621" s="465">
        <v>134.63627</v>
      </c>
      <c r="AF9621" s="86">
        <f>IF(verze!$E$1="CZK",AD9621,IF(verze!$E$1="SK",AE9621,""))</f>
        <v>134.63627</v>
      </c>
    </row>
    <row r="9622" spans="27:32" ht="15">
      <c r="AA9622" s="463" t="s">
        <v>1320</v>
      </c>
      <c r="AB9622" s="462" t="s">
        <v>26898</v>
      </c>
      <c r="AC9622" s="462" t="s">
        <v>26899</v>
      </c>
      <c r="AD9622" s="464">
        <v>3641.3836299999998</v>
      </c>
      <c r="AE9622" s="465">
        <v>146.43134000000001</v>
      </c>
      <c r="AF9622" s="86">
        <f>IF(verze!$E$1="CZK",AD9622,IF(verze!$E$1="SK",AE9622,""))</f>
        <v>146.43134000000001</v>
      </c>
    </row>
    <row r="9623" spans="27:32" ht="15">
      <c r="AA9623" s="463" t="s">
        <v>1320</v>
      </c>
      <c r="AB9623" s="462" t="s">
        <v>26900</v>
      </c>
      <c r="AC9623" s="462" t="s">
        <v>26901</v>
      </c>
      <c r="AD9623" s="464">
        <v>3641.3836299999998</v>
      </c>
      <c r="AE9623" s="465">
        <v>146.43134000000001</v>
      </c>
      <c r="AF9623" s="86">
        <f>IF(verze!$E$1="CZK",AD9623,IF(verze!$E$1="SK",AE9623,""))</f>
        <v>146.43134000000001</v>
      </c>
    </row>
    <row r="9624" spans="27:32" ht="15">
      <c r="AA9624" s="463" t="s">
        <v>1320</v>
      </c>
      <c r="AB9624" s="462" t="s">
        <v>26902</v>
      </c>
      <c r="AC9624" s="462" t="s">
        <v>26903</v>
      </c>
      <c r="AD9624" s="464">
        <v>3309.11661</v>
      </c>
      <c r="AE9624" s="465">
        <v>133.01177999999999</v>
      </c>
      <c r="AF9624" s="86">
        <f>IF(verze!$E$1="CZK",AD9624,IF(verze!$E$1="SK",AE9624,""))</f>
        <v>133.01177999999999</v>
      </c>
    </row>
    <row r="9625" spans="27:32" ht="15">
      <c r="AA9625" s="463" t="s">
        <v>1320</v>
      </c>
      <c r="AB9625" s="462" t="s">
        <v>26904</v>
      </c>
      <c r="AC9625" s="462" t="s">
        <v>26905</v>
      </c>
      <c r="AD9625" s="464">
        <v>3641.3836299999998</v>
      </c>
      <c r="AE9625" s="465">
        <v>146.43134000000001</v>
      </c>
      <c r="AF9625" s="86">
        <f>IF(verze!$E$1="CZK",AD9625,IF(verze!$E$1="SK",AE9625,""))</f>
        <v>146.43134000000001</v>
      </c>
    </row>
    <row r="9626" spans="27:32" ht="15">
      <c r="AA9626" s="463" t="s">
        <v>1320</v>
      </c>
      <c r="AB9626" s="462" t="s">
        <v>26906</v>
      </c>
      <c r="AC9626" s="462" t="s">
        <v>26907</v>
      </c>
      <c r="AD9626" s="464">
        <v>3641.3836299999998</v>
      </c>
      <c r="AE9626" s="465">
        <v>146.43134000000001</v>
      </c>
      <c r="AF9626" s="86">
        <f>IF(verze!$E$1="CZK",AD9626,IF(verze!$E$1="SK",AE9626,""))</f>
        <v>146.43134000000001</v>
      </c>
    </row>
    <row r="9627" spans="27:32" ht="15">
      <c r="AA9627" s="463" t="s">
        <v>1320</v>
      </c>
      <c r="AB9627" s="462" t="s">
        <v>26908</v>
      </c>
      <c r="AC9627" s="462" t="s">
        <v>26909</v>
      </c>
      <c r="AD9627" s="464">
        <v>3309.11661</v>
      </c>
      <c r="AE9627" s="465">
        <v>133.01177999999999</v>
      </c>
      <c r="AF9627" s="86">
        <f>IF(verze!$E$1="CZK",AD9627,IF(verze!$E$1="SK",AE9627,""))</f>
        <v>133.01177999999999</v>
      </c>
    </row>
    <row r="9628" spans="27:32" ht="15">
      <c r="AA9628" s="463" t="s">
        <v>1320</v>
      </c>
      <c r="AB9628" s="462" t="s">
        <v>26910</v>
      </c>
      <c r="AC9628" s="462" t="s">
        <v>26911</v>
      </c>
      <c r="AD9628" s="464">
        <v>3210.8341099999998</v>
      </c>
      <c r="AE9628" s="465">
        <v>129.67993999999999</v>
      </c>
      <c r="AF9628" s="86">
        <f>IF(verze!$E$1="CZK",AD9628,IF(verze!$E$1="SK",AE9628,""))</f>
        <v>129.67993999999999</v>
      </c>
    </row>
    <row r="9629" spans="27:32" ht="15">
      <c r="AA9629" s="463" t="s">
        <v>1320</v>
      </c>
      <c r="AB9629" s="462" t="s">
        <v>26912</v>
      </c>
      <c r="AC9629" s="462" t="s">
        <v>26913</v>
      </c>
      <c r="AD9629" s="464">
        <v>3210.8341099999998</v>
      </c>
      <c r="AE9629" s="465">
        <v>129.67993999999999</v>
      </c>
      <c r="AF9629" s="86">
        <f>IF(verze!$E$1="CZK",AD9629,IF(verze!$E$1="SK",AE9629,""))</f>
        <v>129.67993999999999</v>
      </c>
    </row>
    <row r="9630" spans="27:32" ht="15">
      <c r="AA9630" s="463" t="s">
        <v>1320</v>
      </c>
      <c r="AB9630" s="462" t="s">
        <v>26914</v>
      </c>
      <c r="AC9630" s="462" t="s">
        <v>26915</v>
      </c>
      <c r="AD9630" s="464">
        <v>2836.34575</v>
      </c>
      <c r="AE9630" s="465">
        <v>114.55513999999999</v>
      </c>
      <c r="AF9630" s="86">
        <f>IF(verze!$E$1="CZK",AD9630,IF(verze!$E$1="SK",AE9630,""))</f>
        <v>114.55513999999999</v>
      </c>
    </row>
    <row r="9631" spans="27:32" ht="15">
      <c r="AA9631" s="463" t="s">
        <v>1320</v>
      </c>
      <c r="AB9631" s="462" t="s">
        <v>26916</v>
      </c>
      <c r="AC9631" s="462" t="s">
        <v>26917</v>
      </c>
      <c r="AD9631" s="464">
        <v>3210.8341099999998</v>
      </c>
      <c r="AE9631" s="465">
        <v>129.67993999999999</v>
      </c>
      <c r="AF9631" s="86">
        <f>IF(verze!$E$1="CZK",AD9631,IF(verze!$E$1="SK",AE9631,""))</f>
        <v>129.67993999999999</v>
      </c>
    </row>
    <row r="9632" spans="27:32" ht="15">
      <c r="AA9632" s="463" t="s">
        <v>1320</v>
      </c>
      <c r="AB9632" s="462" t="s">
        <v>26918</v>
      </c>
      <c r="AC9632" s="462" t="s">
        <v>26919</v>
      </c>
      <c r="AD9632" s="464">
        <v>3210.8341099999998</v>
      </c>
      <c r="AE9632" s="465">
        <v>129.67993999999999</v>
      </c>
      <c r="AF9632" s="86">
        <f>IF(verze!$E$1="CZK",AD9632,IF(verze!$E$1="SK",AE9632,""))</f>
        <v>129.67993999999999</v>
      </c>
    </row>
    <row r="9633" spans="27:32" ht="15">
      <c r="AA9633" s="463" t="s">
        <v>1320</v>
      </c>
      <c r="AB9633" s="462" t="s">
        <v>26920</v>
      </c>
      <c r="AC9633" s="462" t="s">
        <v>26921</v>
      </c>
      <c r="AD9633" s="464">
        <v>2836.34575</v>
      </c>
      <c r="AE9633" s="465">
        <v>114.55513999999999</v>
      </c>
      <c r="AF9633" s="86">
        <f>IF(verze!$E$1="CZK",AD9633,IF(verze!$E$1="SK",AE9633,""))</f>
        <v>114.55513999999999</v>
      </c>
    </row>
    <row r="9634" spans="27:32" ht="15">
      <c r="AA9634" s="463" t="s">
        <v>1320</v>
      </c>
      <c r="AB9634" s="462" t="s">
        <v>26922</v>
      </c>
      <c r="AC9634" s="462" t="s">
        <v>26923</v>
      </c>
      <c r="AD9634" s="464">
        <v>3869.4976900000001</v>
      </c>
      <c r="AE9634" s="465">
        <v>155.48172</v>
      </c>
      <c r="AF9634" s="86">
        <f>IF(verze!$E$1="CZK",AD9634,IF(verze!$E$1="SK",AE9634,""))</f>
        <v>155.48172</v>
      </c>
    </row>
    <row r="9635" spans="27:32" ht="15">
      <c r="AA9635" s="463" t="s">
        <v>1320</v>
      </c>
      <c r="AB9635" s="462" t="s">
        <v>26924</v>
      </c>
      <c r="AC9635" s="462" t="s">
        <v>26925</v>
      </c>
      <c r="AD9635" s="464">
        <v>3869.4976900000001</v>
      </c>
      <c r="AE9635" s="465">
        <v>155.48172</v>
      </c>
      <c r="AF9635" s="86">
        <f>IF(verze!$E$1="CZK",AD9635,IF(verze!$E$1="SK",AE9635,""))</f>
        <v>155.48172</v>
      </c>
    </row>
    <row r="9636" spans="27:32" ht="15">
      <c r="AA9636" s="463" t="s">
        <v>1320</v>
      </c>
      <c r="AB9636" s="462" t="s">
        <v>26926</v>
      </c>
      <c r="AC9636" s="462" t="s">
        <v>26927</v>
      </c>
      <c r="AD9636" s="464">
        <v>3537.2306699999999</v>
      </c>
      <c r="AE9636" s="465">
        <v>142.06216000000001</v>
      </c>
      <c r="AF9636" s="86">
        <f>IF(verze!$E$1="CZK",AD9636,IF(verze!$E$1="SK",AE9636,""))</f>
        <v>142.06216000000001</v>
      </c>
    </row>
    <row r="9637" spans="27:32" ht="15">
      <c r="AA9637" s="463" t="s">
        <v>1320</v>
      </c>
      <c r="AB9637" s="462" t="s">
        <v>26928</v>
      </c>
      <c r="AC9637" s="462" t="s">
        <v>26929</v>
      </c>
      <c r="AD9637" s="464">
        <v>3869.4976900000001</v>
      </c>
      <c r="AE9637" s="465">
        <v>155.48172</v>
      </c>
      <c r="AF9637" s="86">
        <f>IF(verze!$E$1="CZK",AD9637,IF(verze!$E$1="SK",AE9637,""))</f>
        <v>155.48172</v>
      </c>
    </row>
    <row r="9638" spans="27:32" ht="15">
      <c r="AA9638" s="463" t="s">
        <v>1320</v>
      </c>
      <c r="AB9638" s="462" t="s">
        <v>26930</v>
      </c>
      <c r="AC9638" s="462" t="s">
        <v>26931</v>
      </c>
      <c r="AD9638" s="464">
        <v>3869.4976900000001</v>
      </c>
      <c r="AE9638" s="465">
        <v>155.48172</v>
      </c>
      <c r="AF9638" s="86">
        <f>IF(verze!$E$1="CZK",AD9638,IF(verze!$E$1="SK",AE9638,""))</f>
        <v>155.48172</v>
      </c>
    </row>
    <row r="9639" spans="27:32" ht="15">
      <c r="AA9639" s="463" t="s">
        <v>1320</v>
      </c>
      <c r="AB9639" s="462" t="s">
        <v>26932</v>
      </c>
      <c r="AC9639" s="462" t="s">
        <v>26933</v>
      </c>
      <c r="AD9639" s="464">
        <v>3537.2306699999999</v>
      </c>
      <c r="AE9639" s="465">
        <v>142.06216000000001</v>
      </c>
      <c r="AF9639" s="86">
        <f>IF(verze!$E$1="CZK",AD9639,IF(verze!$E$1="SK",AE9639,""))</f>
        <v>142.06216000000001</v>
      </c>
    </row>
    <row r="9640" spans="27:32" ht="15">
      <c r="AA9640" s="463" t="s">
        <v>1320</v>
      </c>
      <c r="AB9640" s="462" t="s">
        <v>26934</v>
      </c>
      <c r="AC9640" s="462" t="s">
        <v>26935</v>
      </c>
      <c r="AD9640" s="464">
        <v>3820.3611700000001</v>
      </c>
      <c r="AE9640" s="465">
        <v>153.53236000000001</v>
      </c>
      <c r="AF9640" s="86">
        <f>IF(verze!$E$1="CZK",AD9640,IF(verze!$E$1="SK",AE9640,""))</f>
        <v>153.53236000000001</v>
      </c>
    </row>
    <row r="9641" spans="27:32" ht="15">
      <c r="AA9641" s="463" t="s">
        <v>1320</v>
      </c>
      <c r="AB9641" s="462" t="s">
        <v>26936</v>
      </c>
      <c r="AC9641" s="462" t="s">
        <v>26937</v>
      </c>
      <c r="AD9641" s="464">
        <v>3820.3611700000001</v>
      </c>
      <c r="AE9641" s="465">
        <v>153.53236000000001</v>
      </c>
      <c r="AF9641" s="86">
        <f>IF(verze!$E$1="CZK",AD9641,IF(verze!$E$1="SK",AE9641,""))</f>
        <v>153.53236000000001</v>
      </c>
    </row>
    <row r="9642" spans="27:32" ht="15">
      <c r="AA9642" s="463" t="s">
        <v>1320</v>
      </c>
      <c r="AB9642" s="462" t="s">
        <v>26938</v>
      </c>
      <c r="AC9642" s="462" t="s">
        <v>26939</v>
      </c>
      <c r="AD9642" s="464">
        <v>3488.0941499999999</v>
      </c>
      <c r="AE9642" s="465">
        <v>140.11279999999999</v>
      </c>
      <c r="AF9642" s="86">
        <f>IF(verze!$E$1="CZK",AD9642,IF(verze!$E$1="SK",AE9642,""))</f>
        <v>140.11279999999999</v>
      </c>
    </row>
    <row r="9643" spans="27:32" ht="15">
      <c r="AA9643" s="463" t="s">
        <v>1320</v>
      </c>
      <c r="AB9643" s="462" t="s">
        <v>26940</v>
      </c>
      <c r="AC9643" s="462" t="s">
        <v>26941</v>
      </c>
      <c r="AD9643" s="464">
        <v>3820.3611700000001</v>
      </c>
      <c r="AE9643" s="465">
        <v>153.53236000000001</v>
      </c>
      <c r="AF9643" s="86">
        <f>IF(verze!$E$1="CZK",AD9643,IF(verze!$E$1="SK",AE9643,""))</f>
        <v>153.53236000000001</v>
      </c>
    </row>
    <row r="9644" spans="27:32" ht="15">
      <c r="AA9644" s="463" t="s">
        <v>1320</v>
      </c>
      <c r="AB9644" s="462" t="s">
        <v>26942</v>
      </c>
      <c r="AC9644" s="462" t="s">
        <v>26943</v>
      </c>
      <c r="AD9644" s="464">
        <v>3820.3611700000001</v>
      </c>
      <c r="AE9644" s="465">
        <v>153.53236000000001</v>
      </c>
      <c r="AF9644" s="86">
        <f>IF(verze!$E$1="CZK",AD9644,IF(verze!$E$1="SK",AE9644,""))</f>
        <v>153.53236000000001</v>
      </c>
    </row>
    <row r="9645" spans="27:32" ht="15">
      <c r="AA9645" s="463" t="s">
        <v>1320</v>
      </c>
      <c r="AB9645" s="462" t="s">
        <v>26944</v>
      </c>
      <c r="AC9645" s="462" t="s">
        <v>26945</v>
      </c>
      <c r="AD9645" s="464">
        <v>3488.0941499999999</v>
      </c>
      <c r="AE9645" s="465">
        <v>140.11279999999999</v>
      </c>
      <c r="AF9645" s="86">
        <f>IF(verze!$E$1="CZK",AD9645,IF(verze!$E$1="SK",AE9645,""))</f>
        <v>140.11279999999999</v>
      </c>
    </row>
    <row r="9646" spans="27:32" ht="15">
      <c r="AA9646" s="463" t="s">
        <v>1320</v>
      </c>
      <c r="AB9646" s="462" t="s">
        <v>26946</v>
      </c>
      <c r="AC9646" s="462" t="s">
        <v>26947</v>
      </c>
      <c r="AD9646" s="464">
        <v>0</v>
      </c>
      <c r="AE9646" s="465">
        <v>0</v>
      </c>
      <c r="AF9646" s="86">
        <f>IF(verze!$E$1="CZK",AD9646,IF(verze!$E$1="SK",AE9646,""))</f>
        <v>0</v>
      </c>
    </row>
    <row r="9647" spans="27:32" ht="15">
      <c r="AA9647" s="463" t="s">
        <v>1320</v>
      </c>
      <c r="AB9647" s="462" t="s">
        <v>26948</v>
      </c>
      <c r="AC9647" s="462" t="s">
        <v>26949</v>
      </c>
      <c r="AD9647" s="464">
        <v>4238.3239800000001</v>
      </c>
      <c r="AE9647" s="465">
        <v>170.64493999999999</v>
      </c>
      <c r="AF9647" s="86">
        <f>IF(verze!$E$1="CZK",AD9647,IF(verze!$E$1="SK",AE9647,""))</f>
        <v>170.64493999999999</v>
      </c>
    </row>
    <row r="9648" spans="27:32" ht="15">
      <c r="AA9648" s="463" t="s">
        <v>1320</v>
      </c>
      <c r="AB9648" s="462" t="s">
        <v>26950</v>
      </c>
      <c r="AC9648" s="462" t="s">
        <v>26951</v>
      </c>
      <c r="AD9648" s="464">
        <v>3872.7946299999999</v>
      </c>
      <c r="AE9648" s="465">
        <v>155.88184000000001</v>
      </c>
      <c r="AF9648" s="86">
        <f>IF(verze!$E$1="CZK",AD9648,IF(verze!$E$1="SK",AE9648,""))</f>
        <v>155.88184000000001</v>
      </c>
    </row>
    <row r="9649" spans="27:32" ht="15">
      <c r="AA9649" s="463" t="s">
        <v>1320</v>
      </c>
      <c r="AB9649" s="462" t="s">
        <v>26952</v>
      </c>
      <c r="AC9649" s="462" t="s">
        <v>26953</v>
      </c>
      <c r="AD9649" s="464">
        <v>0</v>
      </c>
      <c r="AE9649" s="465">
        <v>0</v>
      </c>
      <c r="AF9649" s="86">
        <f>IF(verze!$E$1="CZK",AD9649,IF(verze!$E$1="SK",AE9649,""))</f>
        <v>0</v>
      </c>
    </row>
    <row r="9650" spans="27:32" ht="15">
      <c r="AA9650" s="463" t="s">
        <v>1320</v>
      </c>
      <c r="AB9650" s="462" t="s">
        <v>26954</v>
      </c>
      <c r="AC9650" s="462" t="s">
        <v>26955</v>
      </c>
      <c r="AD9650" s="464">
        <v>4205.5633200000002</v>
      </c>
      <c r="AE9650" s="465">
        <v>169.34531999999999</v>
      </c>
      <c r="AF9650" s="86">
        <f>IF(verze!$E$1="CZK",AD9650,IF(verze!$E$1="SK",AE9650,""))</f>
        <v>169.34531999999999</v>
      </c>
    </row>
    <row r="9651" spans="27:32" ht="15">
      <c r="AA9651" s="463" t="s">
        <v>1320</v>
      </c>
      <c r="AB9651" s="462" t="s">
        <v>26956</v>
      </c>
      <c r="AC9651" s="462" t="s">
        <v>26957</v>
      </c>
      <c r="AD9651" s="464">
        <v>3840.03397</v>
      </c>
      <c r="AE9651" s="465">
        <v>154.58222000000001</v>
      </c>
      <c r="AF9651" s="86">
        <f>IF(verze!$E$1="CZK",AD9651,IF(verze!$E$1="SK",AE9651,""))</f>
        <v>154.58222000000001</v>
      </c>
    </row>
    <row r="9652" spans="27:32" ht="15">
      <c r="AA9652" s="463" t="s">
        <v>1320</v>
      </c>
      <c r="AB9652" s="462" t="s">
        <v>26958</v>
      </c>
      <c r="AC9652" s="462" t="s">
        <v>26959</v>
      </c>
      <c r="AD9652" s="464">
        <v>0</v>
      </c>
      <c r="AE9652" s="465">
        <v>0</v>
      </c>
      <c r="AF9652" s="86">
        <f>IF(verze!$E$1="CZK",AD9652,IF(verze!$E$1="SK",AE9652,""))</f>
        <v>0</v>
      </c>
    </row>
    <row r="9653" spans="27:32" ht="15">
      <c r="AA9653" s="463" t="s">
        <v>1320</v>
      </c>
      <c r="AB9653" s="462" t="s">
        <v>26960</v>
      </c>
      <c r="AC9653" s="462" t="s">
        <v>26961</v>
      </c>
      <c r="AD9653" s="464">
        <v>4612.6549199999999</v>
      </c>
      <c r="AE9653" s="465">
        <v>185.49672000000001</v>
      </c>
      <c r="AF9653" s="86">
        <f>IF(verze!$E$1="CZK",AD9653,IF(verze!$E$1="SK",AE9653,""))</f>
        <v>185.49672000000001</v>
      </c>
    </row>
    <row r="9654" spans="27:32" ht="15">
      <c r="AA9654" s="463" t="s">
        <v>1320</v>
      </c>
      <c r="AB9654" s="462" t="s">
        <v>26962</v>
      </c>
      <c r="AC9654" s="462" t="s">
        <v>26963</v>
      </c>
      <c r="AD9654" s="464">
        <v>4247.1255700000002</v>
      </c>
      <c r="AE9654" s="465">
        <v>170.73362</v>
      </c>
      <c r="AF9654" s="86">
        <f>IF(verze!$E$1="CZK",AD9654,IF(verze!$E$1="SK",AE9654,""))</f>
        <v>170.73362</v>
      </c>
    </row>
    <row r="9655" spans="27:32" ht="15">
      <c r="AA9655" s="463" t="s">
        <v>1320</v>
      </c>
      <c r="AB9655" s="462" t="s">
        <v>26964</v>
      </c>
      <c r="AC9655" s="462" t="s">
        <v>26965</v>
      </c>
      <c r="AD9655" s="464">
        <v>0</v>
      </c>
      <c r="AE9655" s="465">
        <v>0</v>
      </c>
      <c r="AF9655" s="86">
        <f>IF(verze!$E$1="CZK",AD9655,IF(verze!$E$1="SK",AE9655,""))</f>
        <v>0</v>
      </c>
    </row>
    <row r="9656" spans="27:32" ht="15">
      <c r="AA9656" s="463" t="s">
        <v>1320</v>
      </c>
      <c r="AB9656" s="462" t="s">
        <v>26966</v>
      </c>
      <c r="AC9656" s="462" t="s">
        <v>26967</v>
      </c>
      <c r="AD9656" s="464">
        <v>4563.5183999999999</v>
      </c>
      <c r="AE9656" s="465">
        <v>183.54736</v>
      </c>
      <c r="AF9656" s="86">
        <f>IF(verze!$E$1="CZK",AD9656,IF(verze!$E$1="SK",AE9656,""))</f>
        <v>183.54736</v>
      </c>
    </row>
    <row r="9657" spans="27:32" ht="15">
      <c r="AA9657" s="463" t="s">
        <v>1320</v>
      </c>
      <c r="AB9657" s="462" t="s">
        <v>26968</v>
      </c>
      <c r="AC9657" s="462" t="s">
        <v>26969</v>
      </c>
      <c r="AD9657" s="464">
        <v>4197.9890500000001</v>
      </c>
      <c r="AE9657" s="465">
        <v>168.78425999999999</v>
      </c>
      <c r="AF9657" s="86">
        <f>IF(verze!$E$1="CZK",AD9657,IF(verze!$E$1="SK",AE9657,""))</f>
        <v>168.78425999999999</v>
      </c>
    </row>
    <row r="9658" spans="27:32" ht="15">
      <c r="AA9658" s="463" t="s">
        <v>1320</v>
      </c>
      <c r="AB9658" s="462" t="s">
        <v>26970</v>
      </c>
      <c r="AC9658" s="462" t="s">
        <v>26971</v>
      </c>
      <c r="AD9658" s="464">
        <v>0</v>
      </c>
      <c r="AE9658" s="465">
        <v>0</v>
      </c>
      <c r="AF9658" s="86">
        <f>IF(verze!$E$1="CZK",AD9658,IF(verze!$E$1="SK",AE9658,""))</f>
        <v>0</v>
      </c>
    </row>
    <row r="9659" spans="27:32" ht="15">
      <c r="AA9659" s="463" t="s">
        <v>1320</v>
      </c>
      <c r="AB9659" s="462" t="s">
        <v>26972</v>
      </c>
      <c r="AC9659" s="462" t="s">
        <v>26973</v>
      </c>
      <c r="AD9659" s="464">
        <v>4800.9300899999998</v>
      </c>
      <c r="AE9659" s="465">
        <v>193.36760000000001</v>
      </c>
      <c r="AF9659" s="86">
        <f>IF(verze!$E$1="CZK",AD9659,IF(verze!$E$1="SK",AE9659,""))</f>
        <v>193.36760000000001</v>
      </c>
    </row>
    <row r="9660" spans="27:32" ht="15">
      <c r="AA9660" s="463" t="s">
        <v>1320</v>
      </c>
      <c r="AB9660" s="462" t="s">
        <v>26974</v>
      </c>
      <c r="AC9660" s="462" t="s">
        <v>26975</v>
      </c>
      <c r="AD9660" s="464">
        <v>4093.1775600000001</v>
      </c>
      <c r="AE9660" s="465">
        <v>164.78265999999999</v>
      </c>
      <c r="AF9660" s="86">
        <f>IF(verze!$E$1="CZK",AD9660,IF(verze!$E$1="SK",AE9660,""))</f>
        <v>164.78265999999999</v>
      </c>
    </row>
    <row r="9661" spans="27:32" ht="15">
      <c r="AA9661" s="463" t="s">
        <v>1320</v>
      </c>
      <c r="AB9661" s="462" t="s">
        <v>26976</v>
      </c>
      <c r="AC9661" s="462" t="s">
        <v>26977</v>
      </c>
      <c r="AD9661" s="464">
        <v>0</v>
      </c>
      <c r="AE9661" s="465">
        <v>0</v>
      </c>
      <c r="AF9661" s="86">
        <f>IF(verze!$E$1="CZK",AD9661,IF(verze!$E$1="SK",AE9661,""))</f>
        <v>0</v>
      </c>
    </row>
    <row r="9662" spans="27:32" ht="15">
      <c r="AA9662" s="463" t="s">
        <v>1320</v>
      </c>
      <c r="AB9662" s="462" t="s">
        <v>26978</v>
      </c>
      <c r="AC9662" s="462" t="s">
        <v>26979</v>
      </c>
      <c r="AD9662" s="464">
        <v>4768.1694299999999</v>
      </c>
      <c r="AE9662" s="465">
        <v>192.06798000000001</v>
      </c>
      <c r="AF9662" s="86">
        <f>IF(verze!$E$1="CZK",AD9662,IF(verze!$E$1="SK",AE9662,""))</f>
        <v>192.06798000000001</v>
      </c>
    </row>
    <row r="9663" spans="27:32" ht="15">
      <c r="AA9663" s="463" t="s">
        <v>1320</v>
      </c>
      <c r="AB9663" s="462" t="s">
        <v>26980</v>
      </c>
      <c r="AC9663" s="462" t="s">
        <v>26981</v>
      </c>
      <c r="AD9663" s="464">
        <v>4060.4169000000002</v>
      </c>
      <c r="AE9663" s="465">
        <v>163.48303999999999</v>
      </c>
      <c r="AF9663" s="86">
        <f>IF(verze!$E$1="CZK",AD9663,IF(verze!$E$1="SK",AE9663,""))</f>
        <v>163.48303999999999</v>
      </c>
    </row>
    <row r="9664" spans="27:32" ht="15">
      <c r="AA9664" s="463" t="s">
        <v>1320</v>
      </c>
      <c r="AB9664" s="462" t="s">
        <v>26982</v>
      </c>
      <c r="AC9664" s="462" t="s">
        <v>26983</v>
      </c>
      <c r="AD9664" s="464">
        <v>0</v>
      </c>
      <c r="AE9664" s="465">
        <v>0</v>
      </c>
      <c r="AF9664" s="86">
        <f>IF(verze!$E$1="CZK",AD9664,IF(verze!$E$1="SK",AE9664,""))</f>
        <v>0</v>
      </c>
    </row>
    <row r="9665" spans="27:32" ht="15">
      <c r="AA9665" s="463" t="s">
        <v>1320</v>
      </c>
      <c r="AB9665" s="462" t="s">
        <v>26984</v>
      </c>
      <c r="AC9665" s="462" t="s">
        <v>26985</v>
      </c>
      <c r="AD9665" s="464">
        <v>5175.2610299999997</v>
      </c>
      <c r="AE9665" s="465">
        <v>208.21938</v>
      </c>
      <c r="AF9665" s="86">
        <f>IF(verze!$E$1="CZK",AD9665,IF(verze!$E$1="SK",AE9665,""))</f>
        <v>208.21938</v>
      </c>
    </row>
    <row r="9666" spans="27:32" ht="15">
      <c r="AA9666" s="463" t="s">
        <v>1320</v>
      </c>
      <c r="AB9666" s="462" t="s">
        <v>26986</v>
      </c>
      <c r="AC9666" s="462" t="s">
        <v>26987</v>
      </c>
      <c r="AD9666" s="464">
        <v>4467.5084999999999</v>
      </c>
      <c r="AE9666" s="465">
        <v>179.63444000000001</v>
      </c>
      <c r="AF9666" s="86">
        <f>IF(verze!$E$1="CZK",AD9666,IF(verze!$E$1="SK",AE9666,""))</f>
        <v>179.63444000000001</v>
      </c>
    </row>
    <row r="9667" spans="27:32" ht="15">
      <c r="AA9667" s="463" t="s">
        <v>1320</v>
      </c>
      <c r="AB9667" s="462" t="s">
        <v>26988</v>
      </c>
      <c r="AC9667" s="462" t="s">
        <v>26989</v>
      </c>
      <c r="AD9667" s="464">
        <v>0</v>
      </c>
      <c r="AE9667" s="465">
        <v>0</v>
      </c>
      <c r="AF9667" s="86">
        <f>IF(verze!$E$1="CZK",AD9667,IF(verze!$E$1="SK",AE9667,""))</f>
        <v>0</v>
      </c>
    </row>
    <row r="9668" spans="27:32" ht="15">
      <c r="AA9668" s="463" t="s">
        <v>1320</v>
      </c>
      <c r="AB9668" s="462" t="s">
        <v>26990</v>
      </c>
      <c r="AC9668" s="462" t="s">
        <v>26991</v>
      </c>
      <c r="AD9668" s="464">
        <v>5126.1245099999996</v>
      </c>
      <c r="AE9668" s="465">
        <v>206.27001999999999</v>
      </c>
      <c r="AF9668" s="86">
        <f>IF(verze!$E$1="CZK",AD9668,IF(verze!$E$1="SK",AE9668,""))</f>
        <v>206.27001999999999</v>
      </c>
    </row>
    <row r="9669" spans="27:32" ht="15">
      <c r="AA9669" s="463" t="s">
        <v>1320</v>
      </c>
      <c r="AB9669" s="462" t="s">
        <v>26992</v>
      </c>
      <c r="AC9669" s="462" t="s">
        <v>26993</v>
      </c>
      <c r="AD9669" s="464">
        <v>6776.51404</v>
      </c>
      <c r="AE9669" s="465">
        <v>272.92642000000001</v>
      </c>
      <c r="AF9669" s="86">
        <f>IF(verze!$E$1="CZK",AD9669,IF(verze!$E$1="SK",AE9669,""))</f>
        <v>272.92642000000001</v>
      </c>
    </row>
    <row r="9670" spans="27:32" ht="15">
      <c r="AA9670" s="463" t="s">
        <v>1320</v>
      </c>
      <c r="AB9670" s="462" t="s">
        <v>26994</v>
      </c>
      <c r="AC9670" s="462" t="s">
        <v>26995</v>
      </c>
      <c r="AD9670" s="464">
        <v>0</v>
      </c>
      <c r="AE9670" s="465">
        <v>0</v>
      </c>
      <c r="AF9670" s="86">
        <f>IF(verze!$E$1="CZK",AD9670,IF(verze!$E$1="SK",AE9670,""))</f>
        <v>0</v>
      </c>
    </row>
    <row r="9671" spans="27:32" ht="15">
      <c r="AA9671" s="463" t="s">
        <v>1320</v>
      </c>
      <c r="AB9671" s="462" t="s">
        <v>26996</v>
      </c>
      <c r="AC9671" s="462" t="s">
        <v>26997</v>
      </c>
      <c r="AD9671" s="464">
        <v>2288.7147799999998</v>
      </c>
      <c r="AE9671" s="465">
        <v>92.170410000000004</v>
      </c>
      <c r="AF9671" s="86">
        <f>IF(verze!$E$1="CZK",AD9671,IF(verze!$E$1="SK",AE9671,""))</f>
        <v>92.170410000000004</v>
      </c>
    </row>
    <row r="9672" spans="27:32" ht="15">
      <c r="AA9672" s="463" t="s">
        <v>1320</v>
      </c>
      <c r="AB9672" s="462" t="s">
        <v>26998</v>
      </c>
      <c r="AC9672" s="462" t="s">
        <v>26999</v>
      </c>
      <c r="AD9672" s="464">
        <v>2066.3766500000002</v>
      </c>
      <c r="AE9672" s="465">
        <v>83.190579999999997</v>
      </c>
      <c r="AF9672" s="86">
        <f>IF(verze!$E$1="CZK",AD9672,IF(verze!$E$1="SK",AE9672,""))</f>
        <v>83.190579999999997</v>
      </c>
    </row>
    <row r="9673" spans="27:32" ht="15">
      <c r="AA9673" s="463" t="s">
        <v>1320</v>
      </c>
      <c r="AB9673" s="462" t="s">
        <v>27000</v>
      </c>
      <c r="AC9673" s="462" t="s">
        <v>27001</v>
      </c>
      <c r="AD9673" s="464">
        <v>0</v>
      </c>
      <c r="AE9673" s="465">
        <v>0</v>
      </c>
      <c r="AF9673" s="86">
        <f>IF(verze!$E$1="CZK",AD9673,IF(verze!$E$1="SK",AE9673,""))</f>
        <v>0</v>
      </c>
    </row>
    <row r="9674" spans="27:32" ht="15">
      <c r="AA9674" s="463" t="s">
        <v>1320</v>
      </c>
      <c r="AB9674" s="462" t="s">
        <v>27002</v>
      </c>
      <c r="AC9674" s="462" t="s">
        <v>27003</v>
      </c>
      <c r="AD9674" s="464">
        <v>2288.7147799999998</v>
      </c>
      <c r="AE9674" s="465">
        <v>92.170410000000004</v>
      </c>
      <c r="AF9674" s="86">
        <f>IF(verze!$E$1="CZK",AD9674,IF(verze!$E$1="SK",AE9674,""))</f>
        <v>92.170410000000004</v>
      </c>
    </row>
    <row r="9675" spans="27:32" ht="15">
      <c r="AA9675" s="463" t="s">
        <v>1320</v>
      </c>
      <c r="AB9675" s="462" t="s">
        <v>27004</v>
      </c>
      <c r="AC9675" s="462" t="s">
        <v>27005</v>
      </c>
      <c r="AD9675" s="464">
        <v>2066.3766500000002</v>
      </c>
      <c r="AE9675" s="465">
        <v>83.190579999999997</v>
      </c>
      <c r="AF9675" s="86">
        <f>IF(verze!$E$1="CZK",AD9675,IF(verze!$E$1="SK",AE9675,""))</f>
        <v>83.190579999999997</v>
      </c>
    </row>
    <row r="9676" spans="27:32" ht="15">
      <c r="AA9676" s="463" t="s">
        <v>1320</v>
      </c>
      <c r="AB9676" s="462" t="s">
        <v>27006</v>
      </c>
      <c r="AC9676" s="462" t="s">
        <v>27007</v>
      </c>
      <c r="AD9676" s="464">
        <v>0</v>
      </c>
      <c r="AE9676" s="465">
        <v>0</v>
      </c>
      <c r="AF9676" s="86">
        <f>IF(verze!$E$1="CZK",AD9676,IF(verze!$E$1="SK",AE9676,""))</f>
        <v>0</v>
      </c>
    </row>
    <row r="9677" spans="27:32" ht="15">
      <c r="AA9677" s="463" t="s">
        <v>1320</v>
      </c>
      <c r="AB9677" s="462" t="s">
        <v>27008</v>
      </c>
      <c r="AC9677" s="462" t="s">
        <v>27009</v>
      </c>
      <c r="AD9677" s="464">
        <v>2272.3344499999998</v>
      </c>
      <c r="AE9677" s="465">
        <v>91.520600000000002</v>
      </c>
      <c r="AF9677" s="86">
        <f>IF(verze!$E$1="CZK",AD9677,IF(verze!$E$1="SK",AE9677,""))</f>
        <v>91.520600000000002</v>
      </c>
    </row>
    <row r="9678" spans="27:32" ht="15">
      <c r="AA9678" s="463" t="s">
        <v>1320</v>
      </c>
      <c r="AB9678" s="462" t="s">
        <v>27010</v>
      </c>
      <c r="AC9678" s="462" t="s">
        <v>27011</v>
      </c>
      <c r="AD9678" s="464">
        <v>2049.9963200000002</v>
      </c>
      <c r="AE9678" s="465">
        <v>82.540769999999995</v>
      </c>
      <c r="AF9678" s="86">
        <f>IF(verze!$E$1="CZK",AD9678,IF(verze!$E$1="SK",AE9678,""))</f>
        <v>82.540769999999995</v>
      </c>
    </row>
    <row r="9679" spans="27:32" ht="15">
      <c r="AA9679" s="463" t="s">
        <v>1320</v>
      </c>
      <c r="AB9679" s="462" t="s">
        <v>27012</v>
      </c>
      <c r="AC9679" s="462" t="s">
        <v>27013</v>
      </c>
      <c r="AD9679" s="464">
        <v>0</v>
      </c>
      <c r="AE9679" s="465">
        <v>0</v>
      </c>
      <c r="AF9679" s="86">
        <f>IF(verze!$E$1="CZK",AD9679,IF(verze!$E$1="SK",AE9679,""))</f>
        <v>0</v>
      </c>
    </row>
    <row r="9680" spans="27:32" ht="15">
      <c r="AA9680" s="463" t="s">
        <v>1320</v>
      </c>
      <c r="AB9680" s="462" t="s">
        <v>27014</v>
      </c>
      <c r="AC9680" s="462" t="s">
        <v>27015</v>
      </c>
      <c r="AD9680" s="464">
        <v>2272.3344499999998</v>
      </c>
      <c r="AE9680" s="465">
        <v>91.520600000000002</v>
      </c>
      <c r="AF9680" s="86">
        <f>IF(verze!$E$1="CZK",AD9680,IF(verze!$E$1="SK",AE9680,""))</f>
        <v>91.520600000000002</v>
      </c>
    </row>
    <row r="9681" spans="27:32" ht="15">
      <c r="AA9681" s="463" t="s">
        <v>1320</v>
      </c>
      <c r="AB9681" s="462" t="s">
        <v>27016</v>
      </c>
      <c r="AC9681" s="462" t="s">
        <v>27017</v>
      </c>
      <c r="AD9681" s="464">
        <v>2049.9963200000002</v>
      </c>
      <c r="AE9681" s="465">
        <v>82.540769999999995</v>
      </c>
      <c r="AF9681" s="86">
        <f>IF(verze!$E$1="CZK",AD9681,IF(verze!$E$1="SK",AE9681,""))</f>
        <v>82.540769999999995</v>
      </c>
    </row>
    <row r="9682" spans="27:32" ht="15">
      <c r="AA9682" s="463" t="s">
        <v>1320</v>
      </c>
      <c r="AB9682" s="462" t="s">
        <v>27018</v>
      </c>
      <c r="AC9682" s="462" t="s">
        <v>27019</v>
      </c>
      <c r="AD9682" s="464">
        <v>0</v>
      </c>
      <c r="AE9682" s="465">
        <v>0</v>
      </c>
      <c r="AF9682" s="86">
        <f>IF(verze!$E$1="CZK",AD9682,IF(verze!$E$1="SK",AE9682,""))</f>
        <v>0</v>
      </c>
    </row>
    <row r="9683" spans="27:32" ht="15">
      <c r="AA9683" s="463" t="s">
        <v>1320</v>
      </c>
      <c r="AB9683" s="462" t="s">
        <v>27020</v>
      </c>
      <c r="AC9683" s="462" t="s">
        <v>27021</v>
      </c>
      <c r="AD9683" s="464">
        <v>2475.8802500000002</v>
      </c>
      <c r="AE9683" s="465">
        <v>99.596299999999999</v>
      </c>
      <c r="AF9683" s="86">
        <f>IF(verze!$E$1="CZK",AD9683,IF(verze!$E$1="SK",AE9683,""))</f>
        <v>99.596299999999999</v>
      </c>
    </row>
    <row r="9684" spans="27:32" ht="15">
      <c r="AA9684" s="463" t="s">
        <v>1320</v>
      </c>
      <c r="AB9684" s="462" t="s">
        <v>27022</v>
      </c>
      <c r="AC9684" s="462" t="s">
        <v>27023</v>
      </c>
      <c r="AD9684" s="464">
        <v>2253.5421200000001</v>
      </c>
      <c r="AE9684" s="465">
        <v>90.616470000000007</v>
      </c>
      <c r="AF9684" s="86">
        <f>IF(verze!$E$1="CZK",AD9684,IF(verze!$E$1="SK",AE9684,""))</f>
        <v>90.616470000000007</v>
      </c>
    </row>
    <row r="9685" spans="27:32" ht="15">
      <c r="AA9685" s="463" t="s">
        <v>1320</v>
      </c>
      <c r="AB9685" s="462" t="s">
        <v>27024</v>
      </c>
      <c r="AC9685" s="462" t="s">
        <v>27025</v>
      </c>
      <c r="AD9685" s="464">
        <v>0</v>
      </c>
      <c r="AE9685" s="465">
        <v>0</v>
      </c>
      <c r="AF9685" s="86">
        <f>IF(verze!$E$1="CZK",AD9685,IF(verze!$E$1="SK",AE9685,""))</f>
        <v>0</v>
      </c>
    </row>
    <row r="9686" spans="27:32" ht="15">
      <c r="AA9686" s="463" t="s">
        <v>1320</v>
      </c>
      <c r="AB9686" s="462" t="s">
        <v>27026</v>
      </c>
      <c r="AC9686" s="462" t="s">
        <v>27027</v>
      </c>
      <c r="AD9686" s="464">
        <v>2475.8802500000002</v>
      </c>
      <c r="AE9686" s="465">
        <v>99.596299999999999</v>
      </c>
      <c r="AF9686" s="86">
        <f>IF(verze!$E$1="CZK",AD9686,IF(verze!$E$1="SK",AE9686,""))</f>
        <v>99.596299999999999</v>
      </c>
    </row>
    <row r="9687" spans="27:32" ht="15">
      <c r="AA9687" s="463" t="s">
        <v>1320</v>
      </c>
      <c r="AB9687" s="462" t="s">
        <v>27028</v>
      </c>
      <c r="AC9687" s="462" t="s">
        <v>27029</v>
      </c>
      <c r="AD9687" s="464">
        <v>2253.5421200000001</v>
      </c>
      <c r="AE9687" s="465">
        <v>90.616470000000007</v>
      </c>
      <c r="AF9687" s="86">
        <f>IF(verze!$E$1="CZK",AD9687,IF(verze!$E$1="SK",AE9687,""))</f>
        <v>90.616470000000007</v>
      </c>
    </row>
    <row r="9688" spans="27:32" ht="15">
      <c r="AA9688" s="463" t="s">
        <v>1320</v>
      </c>
      <c r="AB9688" s="462" t="s">
        <v>27030</v>
      </c>
      <c r="AC9688" s="462" t="s">
        <v>27031</v>
      </c>
      <c r="AD9688" s="464">
        <v>0</v>
      </c>
      <c r="AE9688" s="465">
        <v>0</v>
      </c>
      <c r="AF9688" s="86">
        <f>IF(verze!$E$1="CZK",AD9688,IF(verze!$E$1="SK",AE9688,""))</f>
        <v>0</v>
      </c>
    </row>
    <row r="9689" spans="27:32" ht="15">
      <c r="AA9689" s="463" t="s">
        <v>1320</v>
      </c>
      <c r="AB9689" s="462" t="s">
        <v>27032</v>
      </c>
      <c r="AC9689" s="462" t="s">
        <v>27033</v>
      </c>
      <c r="AD9689" s="464">
        <v>2451.3119900000002</v>
      </c>
      <c r="AE9689" s="465">
        <v>98.621619999999993</v>
      </c>
      <c r="AF9689" s="86">
        <f>IF(verze!$E$1="CZK",AD9689,IF(verze!$E$1="SK",AE9689,""))</f>
        <v>98.621619999999993</v>
      </c>
    </row>
    <row r="9690" spans="27:32" ht="15">
      <c r="AA9690" s="463" t="s">
        <v>1320</v>
      </c>
      <c r="AB9690" s="462" t="s">
        <v>27034</v>
      </c>
      <c r="AC9690" s="462" t="s">
        <v>27035</v>
      </c>
      <c r="AD9690" s="464">
        <v>2228.9738600000001</v>
      </c>
      <c r="AE9690" s="465">
        <v>89.64179</v>
      </c>
      <c r="AF9690" s="86">
        <f>IF(verze!$E$1="CZK",AD9690,IF(verze!$E$1="SK",AE9690,""))</f>
        <v>89.64179</v>
      </c>
    </row>
    <row r="9691" spans="27:32" ht="15">
      <c r="AA9691" s="463" t="s">
        <v>1320</v>
      </c>
      <c r="AB9691" s="462" t="s">
        <v>27036</v>
      </c>
      <c r="AC9691" s="462" t="s">
        <v>27037</v>
      </c>
      <c r="AD9691" s="464">
        <v>0</v>
      </c>
      <c r="AE9691" s="465">
        <v>0</v>
      </c>
      <c r="AF9691" s="86">
        <f>IF(verze!$E$1="CZK",AD9691,IF(verze!$E$1="SK",AE9691,""))</f>
        <v>0</v>
      </c>
    </row>
    <row r="9692" spans="27:32" ht="15">
      <c r="AA9692" s="463" t="s">
        <v>1320</v>
      </c>
      <c r="AB9692" s="462" t="s">
        <v>27038</v>
      </c>
      <c r="AC9692" s="462" t="s">
        <v>27039</v>
      </c>
      <c r="AD9692" s="464">
        <v>2451.3119900000002</v>
      </c>
      <c r="AE9692" s="465">
        <v>98.621619999999993</v>
      </c>
      <c r="AF9692" s="86">
        <f>IF(verze!$E$1="CZK",AD9692,IF(verze!$E$1="SK",AE9692,""))</f>
        <v>98.621619999999993</v>
      </c>
    </row>
    <row r="9693" spans="27:32" ht="15">
      <c r="AA9693" s="463" t="s">
        <v>1320</v>
      </c>
      <c r="AB9693" s="462" t="s">
        <v>27040</v>
      </c>
      <c r="AC9693" s="462" t="s">
        <v>27041</v>
      </c>
      <c r="AD9693" s="464">
        <v>2228.9738600000001</v>
      </c>
      <c r="AE9693" s="465">
        <v>89.64179</v>
      </c>
      <c r="AF9693" s="86">
        <f>IF(verze!$E$1="CZK",AD9693,IF(verze!$E$1="SK",AE9693,""))</f>
        <v>89.64179</v>
      </c>
    </row>
    <row r="9694" spans="27:32" ht="15">
      <c r="AA9694" s="463" t="s">
        <v>1320</v>
      </c>
      <c r="AB9694" s="462" t="s">
        <v>27042</v>
      </c>
      <c r="AC9694" s="462" t="s">
        <v>27043</v>
      </c>
      <c r="AD9694" s="464">
        <v>0</v>
      </c>
      <c r="AE9694" s="465">
        <v>0</v>
      </c>
      <c r="AF9694" s="86">
        <f>IF(verze!$E$1="CZK",AD9694,IF(verze!$E$1="SK",AE9694,""))</f>
        <v>0</v>
      </c>
    </row>
    <row r="9695" spans="27:32" ht="15">
      <c r="AA9695" s="463" t="s">
        <v>1320</v>
      </c>
      <c r="AB9695" s="462" t="s">
        <v>27044</v>
      </c>
      <c r="AC9695" s="462" t="s">
        <v>27045</v>
      </c>
      <c r="AD9695" s="464">
        <v>4111.5179399999997</v>
      </c>
      <c r="AE9695" s="465">
        <v>165.52338</v>
      </c>
      <c r="AF9695" s="86">
        <f>IF(verze!$E$1="CZK",AD9695,IF(verze!$E$1="SK",AE9695,""))</f>
        <v>165.52338</v>
      </c>
    </row>
    <row r="9696" spans="27:32" ht="15">
      <c r="AA9696" s="463" t="s">
        <v>1320</v>
      </c>
      <c r="AB9696" s="462" t="s">
        <v>27046</v>
      </c>
      <c r="AC9696" s="462" t="s">
        <v>27047</v>
      </c>
      <c r="AD9696" s="464">
        <v>3757.5058899999999</v>
      </c>
      <c r="AE9696" s="465">
        <v>151.22566</v>
      </c>
      <c r="AF9696" s="86">
        <f>IF(verze!$E$1="CZK",AD9696,IF(verze!$E$1="SK",AE9696,""))</f>
        <v>151.22566</v>
      </c>
    </row>
    <row r="9697" spans="27:32" ht="15">
      <c r="AA9697" s="463" t="s">
        <v>1320</v>
      </c>
      <c r="AB9697" s="462" t="s">
        <v>27048</v>
      </c>
      <c r="AC9697" s="462" t="s">
        <v>27049</v>
      </c>
      <c r="AD9697" s="464">
        <v>0</v>
      </c>
      <c r="AE9697" s="465">
        <v>0</v>
      </c>
      <c r="AF9697" s="86">
        <f>IF(verze!$E$1="CZK",AD9697,IF(verze!$E$1="SK",AE9697,""))</f>
        <v>0</v>
      </c>
    </row>
    <row r="9698" spans="27:32" ht="15">
      <c r="AA9698" s="463" t="s">
        <v>1320</v>
      </c>
      <c r="AB9698" s="462" t="s">
        <v>27050</v>
      </c>
      <c r="AC9698" s="462" t="s">
        <v>27051</v>
      </c>
      <c r="AD9698" s="464">
        <v>4078.7572799999998</v>
      </c>
      <c r="AE9698" s="465">
        <v>164.22376</v>
      </c>
      <c r="AF9698" s="86">
        <f>IF(verze!$E$1="CZK",AD9698,IF(verze!$E$1="SK",AE9698,""))</f>
        <v>164.22376</v>
      </c>
    </row>
    <row r="9699" spans="27:32" ht="15">
      <c r="AA9699" s="463" t="s">
        <v>1320</v>
      </c>
      <c r="AB9699" s="462" t="s">
        <v>27052</v>
      </c>
      <c r="AC9699" s="462" t="s">
        <v>27053</v>
      </c>
      <c r="AD9699" s="464">
        <v>3724.74523</v>
      </c>
      <c r="AE9699" s="465">
        <v>149.92604</v>
      </c>
      <c r="AF9699" s="86">
        <f>IF(verze!$E$1="CZK",AD9699,IF(verze!$E$1="SK",AE9699,""))</f>
        <v>149.92604</v>
      </c>
    </row>
    <row r="9700" spans="27:32" ht="15">
      <c r="AA9700" s="463" t="s">
        <v>1320</v>
      </c>
      <c r="AB9700" s="462" t="s">
        <v>27054</v>
      </c>
      <c r="AC9700" s="462" t="s">
        <v>27055</v>
      </c>
      <c r="AD9700" s="464">
        <v>0</v>
      </c>
      <c r="AE9700" s="465">
        <v>0</v>
      </c>
      <c r="AF9700" s="86">
        <f>IF(verze!$E$1="CZK",AD9700,IF(verze!$E$1="SK",AE9700,""))</f>
        <v>0</v>
      </c>
    </row>
    <row r="9701" spans="27:32" ht="15">
      <c r="AA9701" s="463" t="s">
        <v>1320</v>
      </c>
      <c r="AB9701" s="462" t="s">
        <v>27056</v>
      </c>
      <c r="AC9701" s="462" t="s">
        <v>27057</v>
      </c>
      <c r="AD9701" s="464">
        <v>4485.8488799999996</v>
      </c>
      <c r="AE9701" s="465">
        <v>180.37515999999999</v>
      </c>
      <c r="AF9701" s="86">
        <f>IF(verze!$E$1="CZK",AD9701,IF(verze!$E$1="SK",AE9701,""))</f>
        <v>180.37515999999999</v>
      </c>
    </row>
    <row r="9702" spans="27:32" ht="15">
      <c r="AA9702" s="463" t="s">
        <v>1320</v>
      </c>
      <c r="AB9702" s="462" t="s">
        <v>27058</v>
      </c>
      <c r="AC9702" s="462" t="s">
        <v>27059</v>
      </c>
      <c r="AD9702" s="464">
        <v>4131.8368300000002</v>
      </c>
      <c r="AE9702" s="465">
        <v>166.07744</v>
      </c>
      <c r="AF9702" s="86">
        <f>IF(verze!$E$1="CZK",AD9702,IF(verze!$E$1="SK",AE9702,""))</f>
        <v>166.07744</v>
      </c>
    </row>
    <row r="9703" spans="27:32" ht="15">
      <c r="AA9703" s="463" t="s">
        <v>1320</v>
      </c>
      <c r="AB9703" s="462" t="s">
        <v>27060</v>
      </c>
      <c r="AC9703" s="462" t="s">
        <v>27061</v>
      </c>
      <c r="AD9703" s="464">
        <v>0</v>
      </c>
      <c r="AE9703" s="465">
        <v>0</v>
      </c>
      <c r="AF9703" s="86">
        <f>IF(verze!$E$1="CZK",AD9703,IF(verze!$E$1="SK",AE9703,""))</f>
        <v>0</v>
      </c>
    </row>
    <row r="9704" spans="27:32" ht="15">
      <c r="AA9704" s="463" t="s">
        <v>1320</v>
      </c>
      <c r="AB9704" s="462" t="s">
        <v>27062</v>
      </c>
      <c r="AC9704" s="462" t="s">
        <v>27063</v>
      </c>
      <c r="AD9704" s="464">
        <v>4436.7123600000004</v>
      </c>
      <c r="AE9704" s="465">
        <v>178.42580000000001</v>
      </c>
      <c r="AF9704" s="86">
        <f>IF(verze!$E$1="CZK",AD9704,IF(verze!$E$1="SK",AE9704,""))</f>
        <v>178.42580000000001</v>
      </c>
    </row>
    <row r="9705" spans="27:32" ht="15">
      <c r="AA9705" s="463" t="s">
        <v>1320</v>
      </c>
      <c r="AB9705" s="462" t="s">
        <v>27064</v>
      </c>
      <c r="AC9705" s="462" t="s">
        <v>27065</v>
      </c>
      <c r="AD9705" s="464">
        <v>4082.7003100000002</v>
      </c>
      <c r="AE9705" s="465">
        <v>164.12808000000001</v>
      </c>
      <c r="AF9705" s="86">
        <f>IF(verze!$E$1="CZK",AD9705,IF(verze!$E$1="SK",AE9705,""))</f>
        <v>164.12808000000001</v>
      </c>
    </row>
    <row r="9706" spans="27:32" ht="15">
      <c r="AA9706" s="463" t="s">
        <v>1320</v>
      </c>
      <c r="AB9706" s="462" t="s">
        <v>27066</v>
      </c>
      <c r="AC9706" s="462" t="s">
        <v>27067</v>
      </c>
      <c r="AD9706" s="464">
        <v>0</v>
      </c>
      <c r="AE9706" s="465">
        <v>0</v>
      </c>
      <c r="AF9706" s="86">
        <f>IF(verze!$E$1="CZK",AD9706,IF(verze!$E$1="SK",AE9706,""))</f>
        <v>0</v>
      </c>
    </row>
    <row r="9707" spans="27:32" ht="15">
      <c r="AA9707" s="463" t="s">
        <v>1320</v>
      </c>
      <c r="AB9707" s="462" t="s">
        <v>27068</v>
      </c>
      <c r="AC9707" s="462" t="s">
        <v>27069</v>
      </c>
      <c r="AD9707" s="464">
        <v>4674.1240500000004</v>
      </c>
      <c r="AE9707" s="465">
        <v>188.24603999999999</v>
      </c>
      <c r="AF9707" s="86">
        <f>IF(verze!$E$1="CZK",AD9707,IF(verze!$E$1="SK",AE9707,""))</f>
        <v>188.24603999999999</v>
      </c>
    </row>
    <row r="9708" spans="27:32" ht="15">
      <c r="AA9708" s="463" t="s">
        <v>1320</v>
      </c>
      <c r="AB9708" s="462" t="s">
        <v>27070</v>
      </c>
      <c r="AC9708" s="462" t="s">
        <v>27071</v>
      </c>
      <c r="AD9708" s="464">
        <v>3977.8888200000001</v>
      </c>
      <c r="AE9708" s="465">
        <v>160.12647999999999</v>
      </c>
      <c r="AF9708" s="86">
        <f>IF(verze!$E$1="CZK",AD9708,IF(verze!$E$1="SK",AE9708,""))</f>
        <v>160.12647999999999</v>
      </c>
    </row>
    <row r="9709" spans="27:32" ht="15">
      <c r="AA9709" s="463" t="s">
        <v>1320</v>
      </c>
      <c r="AB9709" s="462" t="s">
        <v>27072</v>
      </c>
      <c r="AC9709" s="462" t="s">
        <v>27073</v>
      </c>
      <c r="AD9709" s="464">
        <v>0</v>
      </c>
      <c r="AE9709" s="465">
        <v>0</v>
      </c>
      <c r="AF9709" s="86">
        <f>IF(verze!$E$1="CZK",AD9709,IF(verze!$E$1="SK",AE9709,""))</f>
        <v>0</v>
      </c>
    </row>
    <row r="9710" spans="27:32" ht="15">
      <c r="AA9710" s="463" t="s">
        <v>1320</v>
      </c>
      <c r="AB9710" s="462" t="s">
        <v>27074</v>
      </c>
      <c r="AC9710" s="462" t="s">
        <v>27075</v>
      </c>
      <c r="AD9710" s="464">
        <v>4641.3633900000004</v>
      </c>
      <c r="AE9710" s="465">
        <v>186.94641999999999</v>
      </c>
      <c r="AF9710" s="86">
        <f>IF(verze!$E$1="CZK",AD9710,IF(verze!$E$1="SK",AE9710,""))</f>
        <v>186.94641999999999</v>
      </c>
    </row>
    <row r="9711" spans="27:32" ht="15">
      <c r="AA9711" s="463" t="s">
        <v>1320</v>
      </c>
      <c r="AB9711" s="462" t="s">
        <v>27076</v>
      </c>
      <c r="AC9711" s="462" t="s">
        <v>27077</v>
      </c>
      <c r="AD9711" s="464">
        <v>3945.1281600000002</v>
      </c>
      <c r="AE9711" s="465">
        <v>158.82686000000001</v>
      </c>
      <c r="AF9711" s="86">
        <f>IF(verze!$E$1="CZK",AD9711,IF(verze!$E$1="SK",AE9711,""))</f>
        <v>158.82686000000001</v>
      </c>
    </row>
    <row r="9712" spans="27:32" ht="15">
      <c r="AA9712" s="463" t="s">
        <v>1320</v>
      </c>
      <c r="AB9712" s="462" t="s">
        <v>27078</v>
      </c>
      <c r="AC9712" s="462" t="s">
        <v>27079</v>
      </c>
      <c r="AD9712" s="464">
        <v>0</v>
      </c>
      <c r="AE9712" s="465">
        <v>0</v>
      </c>
      <c r="AF9712" s="86">
        <f>IF(verze!$E$1="CZK",AD9712,IF(verze!$E$1="SK",AE9712,""))</f>
        <v>0</v>
      </c>
    </row>
    <row r="9713" spans="27:32" ht="15">
      <c r="AA9713" s="463" t="s">
        <v>1320</v>
      </c>
      <c r="AB9713" s="462" t="s">
        <v>27080</v>
      </c>
      <c r="AC9713" s="462" t="s">
        <v>27081</v>
      </c>
      <c r="AD9713" s="464">
        <v>5048.4549900000002</v>
      </c>
      <c r="AE9713" s="465">
        <v>203.09782000000001</v>
      </c>
      <c r="AF9713" s="86">
        <f>IF(verze!$E$1="CZK",AD9713,IF(verze!$E$1="SK",AE9713,""))</f>
        <v>203.09782000000001</v>
      </c>
    </row>
    <row r="9714" spans="27:32" ht="15">
      <c r="AA9714" s="463" t="s">
        <v>1320</v>
      </c>
      <c r="AB9714" s="462" t="s">
        <v>27082</v>
      </c>
      <c r="AC9714" s="462" t="s">
        <v>27083</v>
      </c>
      <c r="AD9714" s="464">
        <v>4352.21976</v>
      </c>
      <c r="AE9714" s="465">
        <v>174.97826000000001</v>
      </c>
      <c r="AF9714" s="86">
        <f>IF(verze!$E$1="CZK",AD9714,IF(verze!$E$1="SK",AE9714,""))</f>
        <v>174.97826000000001</v>
      </c>
    </row>
    <row r="9715" spans="27:32" ht="15">
      <c r="AA9715" s="463" t="s">
        <v>1320</v>
      </c>
      <c r="AB9715" s="462" t="s">
        <v>27084</v>
      </c>
      <c r="AC9715" s="462" t="s">
        <v>27085</v>
      </c>
      <c r="AD9715" s="464">
        <v>0</v>
      </c>
      <c r="AE9715" s="465">
        <v>0</v>
      </c>
      <c r="AF9715" s="86">
        <f>IF(verze!$E$1="CZK",AD9715,IF(verze!$E$1="SK",AE9715,""))</f>
        <v>0</v>
      </c>
    </row>
    <row r="9716" spans="27:32" ht="15">
      <c r="AA9716" s="463" t="s">
        <v>1320</v>
      </c>
      <c r="AB9716" s="462" t="s">
        <v>27086</v>
      </c>
      <c r="AC9716" s="462" t="s">
        <v>27087</v>
      </c>
      <c r="AD9716" s="464">
        <v>0</v>
      </c>
      <c r="AE9716" s="465">
        <v>0</v>
      </c>
      <c r="AF9716" s="86">
        <f>IF(verze!$E$1="CZK",AD9716,IF(verze!$E$1="SK",AE9716,""))</f>
        <v>0</v>
      </c>
    </row>
    <row r="9717" spans="27:32" ht="15">
      <c r="AA9717" s="463" t="s">
        <v>1320</v>
      </c>
      <c r="AB9717" s="462" t="s">
        <v>27088</v>
      </c>
      <c r="AC9717" s="462" t="s">
        <v>27089</v>
      </c>
      <c r="AD9717" s="464">
        <v>4352.21976</v>
      </c>
      <c r="AE9717" s="465">
        <v>174.97826000000001</v>
      </c>
      <c r="AF9717" s="86">
        <f>IF(verze!$E$1="CZK",AD9717,IF(verze!$E$1="SK",AE9717,""))</f>
        <v>174.97826000000001</v>
      </c>
    </row>
    <row r="9718" spans="27:32" ht="15">
      <c r="AA9718" s="463" t="s">
        <v>1320</v>
      </c>
      <c r="AB9718" s="462" t="s">
        <v>27090</v>
      </c>
      <c r="AC9718" s="462" t="s">
        <v>27091</v>
      </c>
      <c r="AD9718" s="464">
        <v>0</v>
      </c>
      <c r="AE9718" s="465">
        <v>0</v>
      </c>
      <c r="AF9718" s="86">
        <f>IF(verze!$E$1="CZK",AD9718,IF(verze!$E$1="SK",AE9718,""))</f>
        <v>0</v>
      </c>
    </row>
    <row r="9719" spans="27:32" ht="15">
      <c r="AA9719" s="463" t="s">
        <v>1320</v>
      </c>
      <c r="AB9719" s="462" t="s">
        <v>27092</v>
      </c>
      <c r="AC9719" s="462" t="s">
        <v>27093</v>
      </c>
      <c r="AD9719" s="464">
        <v>2225.31176</v>
      </c>
      <c r="AE9719" s="465">
        <v>89.609629999999996</v>
      </c>
      <c r="AF9719" s="86">
        <f>IF(verze!$E$1="CZK",AD9719,IF(verze!$E$1="SK",AE9719,""))</f>
        <v>89.609629999999996</v>
      </c>
    </row>
    <row r="9720" spans="27:32" ht="15">
      <c r="AA9720" s="463" t="s">
        <v>1320</v>
      </c>
      <c r="AB9720" s="462" t="s">
        <v>27094</v>
      </c>
      <c r="AC9720" s="462" t="s">
        <v>27095</v>
      </c>
      <c r="AD9720" s="464">
        <v>2008.7322799999999</v>
      </c>
      <c r="AE9720" s="465">
        <v>80.862489999999994</v>
      </c>
      <c r="AF9720" s="86">
        <f>IF(verze!$E$1="CZK",AD9720,IF(verze!$E$1="SK",AE9720,""))</f>
        <v>80.862489999999994</v>
      </c>
    </row>
    <row r="9721" spans="27:32" ht="15">
      <c r="AA9721" s="463" t="s">
        <v>1320</v>
      </c>
      <c r="AB9721" s="462" t="s">
        <v>27096</v>
      </c>
      <c r="AC9721" s="462" t="s">
        <v>27097</v>
      </c>
      <c r="AD9721" s="464">
        <v>0</v>
      </c>
      <c r="AE9721" s="465">
        <v>0</v>
      </c>
      <c r="AF9721" s="86">
        <f>IF(verze!$E$1="CZK",AD9721,IF(verze!$E$1="SK",AE9721,""))</f>
        <v>0</v>
      </c>
    </row>
    <row r="9722" spans="27:32" ht="15">
      <c r="AA9722" s="463" t="s">
        <v>1320</v>
      </c>
      <c r="AB9722" s="462" t="s">
        <v>27098</v>
      </c>
      <c r="AC9722" s="462" t="s">
        <v>27099</v>
      </c>
      <c r="AD9722" s="464">
        <v>2225.31176</v>
      </c>
      <c r="AE9722" s="465">
        <v>89.609629999999996</v>
      </c>
      <c r="AF9722" s="86">
        <f>IF(verze!$E$1="CZK",AD9722,IF(verze!$E$1="SK",AE9722,""))</f>
        <v>89.609629999999996</v>
      </c>
    </row>
    <row r="9723" spans="27:32" ht="15">
      <c r="AA9723" s="463" t="s">
        <v>1320</v>
      </c>
      <c r="AB9723" s="462" t="s">
        <v>27100</v>
      </c>
      <c r="AC9723" s="462" t="s">
        <v>27101</v>
      </c>
      <c r="AD9723" s="464">
        <v>2008.7322799999999</v>
      </c>
      <c r="AE9723" s="465">
        <v>80.862489999999994</v>
      </c>
      <c r="AF9723" s="86">
        <f>IF(verze!$E$1="CZK",AD9723,IF(verze!$E$1="SK",AE9723,""))</f>
        <v>80.862489999999994</v>
      </c>
    </row>
    <row r="9724" spans="27:32" ht="15">
      <c r="AA9724" s="463" t="s">
        <v>1320</v>
      </c>
      <c r="AB9724" s="462" t="s">
        <v>27102</v>
      </c>
      <c r="AC9724" s="462" t="s">
        <v>27103</v>
      </c>
      <c r="AD9724" s="464">
        <v>0</v>
      </c>
      <c r="AE9724" s="465">
        <v>0</v>
      </c>
      <c r="AF9724" s="86">
        <f>IF(verze!$E$1="CZK",AD9724,IF(verze!$E$1="SK",AE9724,""))</f>
        <v>0</v>
      </c>
    </row>
    <row r="9725" spans="27:32" ht="15">
      <c r="AA9725" s="463" t="s">
        <v>1320</v>
      </c>
      <c r="AB9725" s="462" t="s">
        <v>27104</v>
      </c>
      <c r="AC9725" s="462" t="s">
        <v>27105</v>
      </c>
      <c r="AD9725" s="464">
        <v>2208.9314300000001</v>
      </c>
      <c r="AE9725" s="465">
        <v>88.959819999999993</v>
      </c>
      <c r="AF9725" s="86">
        <f>IF(verze!$E$1="CZK",AD9725,IF(verze!$E$1="SK",AE9725,""))</f>
        <v>88.959819999999993</v>
      </c>
    </row>
    <row r="9726" spans="27:32" ht="15">
      <c r="AA9726" s="463" t="s">
        <v>1320</v>
      </c>
      <c r="AB9726" s="462" t="s">
        <v>27106</v>
      </c>
      <c r="AC9726" s="462" t="s">
        <v>27107</v>
      </c>
      <c r="AD9726" s="464">
        <v>1992.35195</v>
      </c>
      <c r="AE9726" s="465">
        <v>80.212680000000006</v>
      </c>
      <c r="AF9726" s="86">
        <f>IF(verze!$E$1="CZK",AD9726,IF(verze!$E$1="SK",AE9726,""))</f>
        <v>80.212680000000006</v>
      </c>
    </row>
    <row r="9727" spans="27:32" ht="15">
      <c r="AA9727" s="463" t="s">
        <v>1320</v>
      </c>
      <c r="AB9727" s="462" t="s">
        <v>27108</v>
      </c>
      <c r="AC9727" s="462" t="s">
        <v>27109</v>
      </c>
      <c r="AD9727" s="464">
        <v>0</v>
      </c>
      <c r="AE9727" s="465">
        <v>0</v>
      </c>
      <c r="AF9727" s="86">
        <f>IF(verze!$E$1="CZK",AD9727,IF(verze!$E$1="SK",AE9727,""))</f>
        <v>0</v>
      </c>
    </row>
    <row r="9728" spans="27:32" ht="15">
      <c r="AA9728" s="463" t="s">
        <v>1320</v>
      </c>
      <c r="AB9728" s="462" t="s">
        <v>27110</v>
      </c>
      <c r="AC9728" s="462" t="s">
        <v>27111</v>
      </c>
      <c r="AD9728" s="464">
        <v>2208.9314300000001</v>
      </c>
      <c r="AE9728" s="465">
        <v>88.959819999999993</v>
      </c>
      <c r="AF9728" s="86">
        <f>IF(verze!$E$1="CZK",AD9728,IF(verze!$E$1="SK",AE9728,""))</f>
        <v>88.959819999999993</v>
      </c>
    </row>
    <row r="9729" spans="27:32" ht="15">
      <c r="AA9729" s="463" t="s">
        <v>1320</v>
      </c>
      <c r="AB9729" s="462" t="s">
        <v>27112</v>
      </c>
      <c r="AC9729" s="462" t="s">
        <v>27113</v>
      </c>
      <c r="AD9729" s="464">
        <v>1992.35195</v>
      </c>
      <c r="AE9729" s="465">
        <v>80.212680000000006</v>
      </c>
      <c r="AF9729" s="86">
        <f>IF(verze!$E$1="CZK",AD9729,IF(verze!$E$1="SK",AE9729,""))</f>
        <v>80.212680000000006</v>
      </c>
    </row>
    <row r="9730" spans="27:32" ht="15">
      <c r="AA9730" s="463" t="s">
        <v>1320</v>
      </c>
      <c r="AB9730" s="462" t="s">
        <v>27114</v>
      </c>
      <c r="AC9730" s="462" t="s">
        <v>27115</v>
      </c>
      <c r="AD9730" s="464">
        <v>0</v>
      </c>
      <c r="AE9730" s="465">
        <v>0</v>
      </c>
      <c r="AF9730" s="86">
        <f>IF(verze!$E$1="CZK",AD9730,IF(verze!$E$1="SK",AE9730,""))</f>
        <v>0</v>
      </c>
    </row>
    <row r="9731" spans="27:32" ht="15">
      <c r="AA9731" s="463" t="s">
        <v>1320</v>
      </c>
      <c r="AB9731" s="462" t="s">
        <v>27116</v>
      </c>
      <c r="AC9731" s="462" t="s">
        <v>27117</v>
      </c>
      <c r="AD9731" s="464">
        <v>2412.47723</v>
      </c>
      <c r="AE9731" s="465">
        <v>97.035520000000005</v>
      </c>
      <c r="AF9731" s="86">
        <f>IF(verze!$E$1="CZK",AD9731,IF(verze!$E$1="SK",AE9731,""))</f>
        <v>97.035520000000005</v>
      </c>
    </row>
    <row r="9732" spans="27:32" ht="15">
      <c r="AA9732" s="463" t="s">
        <v>1320</v>
      </c>
      <c r="AB9732" s="462" t="s">
        <v>27118</v>
      </c>
      <c r="AC9732" s="462" t="s">
        <v>27119</v>
      </c>
      <c r="AD9732" s="464">
        <v>2195.8977500000001</v>
      </c>
      <c r="AE9732" s="465">
        <v>88.288380000000004</v>
      </c>
      <c r="AF9732" s="86">
        <f>IF(verze!$E$1="CZK",AD9732,IF(verze!$E$1="SK",AE9732,""))</f>
        <v>88.288380000000004</v>
      </c>
    </row>
    <row r="9733" spans="27:32" ht="15">
      <c r="AA9733" s="463" t="s">
        <v>1320</v>
      </c>
      <c r="AB9733" s="462" t="s">
        <v>27120</v>
      </c>
      <c r="AC9733" s="462" t="s">
        <v>27121</v>
      </c>
      <c r="AD9733" s="464">
        <v>0</v>
      </c>
      <c r="AE9733" s="465">
        <v>0</v>
      </c>
      <c r="AF9733" s="86">
        <f>IF(verze!$E$1="CZK",AD9733,IF(verze!$E$1="SK",AE9733,""))</f>
        <v>0</v>
      </c>
    </row>
    <row r="9734" spans="27:32" ht="15">
      <c r="AA9734" s="463" t="s">
        <v>1320</v>
      </c>
      <c r="AB9734" s="462" t="s">
        <v>27122</v>
      </c>
      <c r="AC9734" s="462" t="s">
        <v>27123</v>
      </c>
      <c r="AD9734" s="464">
        <v>2412.47723</v>
      </c>
      <c r="AE9734" s="465">
        <v>97.035520000000005</v>
      </c>
      <c r="AF9734" s="86">
        <f>IF(verze!$E$1="CZK",AD9734,IF(verze!$E$1="SK",AE9734,""))</f>
        <v>97.035520000000005</v>
      </c>
    </row>
    <row r="9735" spans="27:32" ht="15">
      <c r="AA9735" s="463" t="s">
        <v>1320</v>
      </c>
      <c r="AB9735" s="462" t="s">
        <v>27124</v>
      </c>
      <c r="AC9735" s="462" t="s">
        <v>27125</v>
      </c>
      <c r="AD9735" s="464">
        <v>2195.8977500000001</v>
      </c>
      <c r="AE9735" s="465">
        <v>88.288380000000004</v>
      </c>
      <c r="AF9735" s="86">
        <f>IF(verze!$E$1="CZK",AD9735,IF(verze!$E$1="SK",AE9735,""))</f>
        <v>88.288380000000004</v>
      </c>
    </row>
    <row r="9736" spans="27:32" ht="15">
      <c r="AA9736" s="463" t="s">
        <v>1320</v>
      </c>
      <c r="AB9736" s="462" t="s">
        <v>27126</v>
      </c>
      <c r="AC9736" s="462" t="s">
        <v>27127</v>
      </c>
      <c r="AD9736" s="464">
        <v>0</v>
      </c>
      <c r="AE9736" s="465">
        <v>0</v>
      </c>
      <c r="AF9736" s="86">
        <f>IF(verze!$E$1="CZK",AD9736,IF(verze!$E$1="SK",AE9736,""))</f>
        <v>0</v>
      </c>
    </row>
    <row r="9737" spans="27:32" ht="15">
      <c r="AA9737" s="463" t="s">
        <v>1320</v>
      </c>
      <c r="AB9737" s="462" t="s">
        <v>27128</v>
      </c>
      <c r="AC9737" s="462" t="s">
        <v>27129</v>
      </c>
      <c r="AD9737" s="464">
        <v>2387.90897</v>
      </c>
      <c r="AE9737" s="465">
        <v>96.060839999999999</v>
      </c>
      <c r="AF9737" s="86">
        <f>IF(verze!$E$1="CZK",AD9737,IF(verze!$E$1="SK",AE9737,""))</f>
        <v>96.060839999999999</v>
      </c>
    </row>
    <row r="9738" spans="27:32" ht="15">
      <c r="AA9738" s="463" t="s">
        <v>1320</v>
      </c>
      <c r="AB9738" s="462" t="s">
        <v>27130</v>
      </c>
      <c r="AC9738" s="462" t="s">
        <v>27131</v>
      </c>
      <c r="AD9738" s="464">
        <v>2171.3294900000001</v>
      </c>
      <c r="AE9738" s="465">
        <v>87.313699999999997</v>
      </c>
      <c r="AF9738" s="86">
        <f>IF(verze!$E$1="CZK",AD9738,IF(verze!$E$1="SK",AE9738,""))</f>
        <v>87.313699999999997</v>
      </c>
    </row>
    <row r="9739" spans="27:32" ht="15">
      <c r="AA9739" s="463" t="s">
        <v>1320</v>
      </c>
      <c r="AB9739" s="462" t="s">
        <v>27132</v>
      </c>
      <c r="AC9739" s="462" t="s">
        <v>27133</v>
      </c>
      <c r="AD9739" s="464">
        <v>0</v>
      </c>
      <c r="AE9739" s="465">
        <v>0</v>
      </c>
      <c r="AF9739" s="86">
        <f>IF(verze!$E$1="CZK",AD9739,IF(verze!$E$1="SK",AE9739,""))</f>
        <v>0</v>
      </c>
    </row>
    <row r="9740" spans="27:32" ht="15">
      <c r="AA9740" s="463" t="s">
        <v>1320</v>
      </c>
      <c r="AB9740" s="462" t="s">
        <v>27134</v>
      </c>
      <c r="AC9740" s="462" t="s">
        <v>27135</v>
      </c>
      <c r="AD9740" s="464">
        <v>2387.90897</v>
      </c>
      <c r="AE9740" s="465">
        <v>96.060839999999999</v>
      </c>
      <c r="AF9740" s="86">
        <f>IF(verze!$E$1="CZK",AD9740,IF(verze!$E$1="SK",AE9740,""))</f>
        <v>96.060839999999999</v>
      </c>
    </row>
    <row r="9741" spans="27:32" ht="15">
      <c r="AA9741" s="463" t="s">
        <v>1320</v>
      </c>
      <c r="AB9741" s="462" t="s">
        <v>27136</v>
      </c>
      <c r="AC9741" s="462" t="s">
        <v>27137</v>
      </c>
      <c r="AD9741" s="464">
        <v>2171.3294900000001</v>
      </c>
      <c r="AE9741" s="465">
        <v>87.313699999999997</v>
      </c>
      <c r="AF9741" s="86">
        <f>IF(verze!$E$1="CZK",AD9741,IF(verze!$E$1="SK",AE9741,""))</f>
        <v>87.313699999999997</v>
      </c>
    </row>
    <row r="9742" spans="27:32" ht="15">
      <c r="AA9742" s="463"/>
      <c r="AB9742" s="462" t="s">
        <v>27138</v>
      </c>
      <c r="AC9742" s="462" t="s">
        <v>27139</v>
      </c>
      <c r="AD9742" s="464">
        <v>971.75909999999999</v>
      </c>
      <c r="AE9742" s="465">
        <v>46.74512</v>
      </c>
      <c r="AF9742" s="86">
        <f>IF(verze!$E$1="CZK",AD9742,IF(verze!$E$1="SK",AE9742,""))</f>
        <v>46.74512</v>
      </c>
    </row>
    <row r="9743" spans="27:32" ht="15">
      <c r="AA9743" s="463"/>
      <c r="AB9743" s="462" t="s">
        <v>27140</v>
      </c>
      <c r="AC9743" s="462" t="s">
        <v>27141</v>
      </c>
      <c r="AD9743" s="464">
        <v>1028.02649</v>
      </c>
      <c r="AE9743" s="465">
        <v>49.451790000000003</v>
      </c>
      <c r="AF9743" s="86">
        <f>IF(verze!$E$1="CZK",AD9743,IF(verze!$E$1="SK",AE9743,""))</f>
        <v>49.451790000000003</v>
      </c>
    </row>
    <row r="9744" spans="27:32" ht="15">
      <c r="AA9744" s="463"/>
      <c r="AB9744" s="462" t="s">
        <v>27142</v>
      </c>
      <c r="AC9744" s="462" t="s">
        <v>27143</v>
      </c>
      <c r="AD9744" s="464">
        <v>702.69482000000005</v>
      </c>
      <c r="AE9744" s="465">
        <v>33.802169999999997</v>
      </c>
      <c r="AF9744" s="86">
        <f>IF(verze!$E$1="CZK",AD9744,IF(verze!$E$1="SK",AE9744,""))</f>
        <v>33.802169999999997</v>
      </c>
    </row>
    <row r="9745" spans="27:32" ht="15">
      <c r="AA9745" s="463"/>
      <c r="AB9745" s="462" t="s">
        <v>27144</v>
      </c>
      <c r="AC9745" s="462" t="s">
        <v>27145</v>
      </c>
      <c r="AD9745" s="464">
        <v>1097.46145</v>
      </c>
      <c r="AE9745" s="465">
        <v>52.791840000000001</v>
      </c>
      <c r="AF9745" s="86">
        <f>IF(verze!$E$1="CZK",AD9745,IF(verze!$E$1="SK",AE9745,""))</f>
        <v>52.791840000000001</v>
      </c>
    </row>
    <row r="9746" spans="27:32" ht="15">
      <c r="AA9746" s="463"/>
      <c r="AB9746" s="462" t="s">
        <v>27146</v>
      </c>
      <c r="AC9746" s="462" t="s">
        <v>27147</v>
      </c>
      <c r="AD9746" s="464">
        <v>1153.72884</v>
      </c>
      <c r="AE9746" s="465">
        <v>55.498510000000003</v>
      </c>
      <c r="AF9746" s="86">
        <f>IF(verze!$E$1="CZK",AD9746,IF(verze!$E$1="SK",AE9746,""))</f>
        <v>55.498510000000003</v>
      </c>
    </row>
    <row r="9747" spans="27:32" ht="15">
      <c r="AA9747" s="463"/>
      <c r="AB9747" s="462" t="s">
        <v>27148</v>
      </c>
      <c r="AC9747" s="462" t="s">
        <v>27149</v>
      </c>
      <c r="AD9747" s="464">
        <v>828.39716999999996</v>
      </c>
      <c r="AE9747" s="465">
        <v>39.848889999999997</v>
      </c>
      <c r="AF9747" s="86">
        <f>IF(verze!$E$1="CZK",AD9747,IF(verze!$E$1="SK",AE9747,""))</f>
        <v>39.848889999999997</v>
      </c>
    </row>
    <row r="9748" spans="27:32" ht="15">
      <c r="AA9748" s="463"/>
      <c r="AB9748" s="462" t="s">
        <v>27150</v>
      </c>
      <c r="AC9748" s="462" t="s">
        <v>27151</v>
      </c>
      <c r="AD9748" s="464">
        <v>994.51040999999998</v>
      </c>
      <c r="AE9748" s="465">
        <v>47.839550000000003</v>
      </c>
      <c r="AF9748" s="86">
        <f>IF(verze!$E$1="CZK",AD9748,IF(verze!$E$1="SK",AE9748,""))</f>
        <v>47.839550000000003</v>
      </c>
    </row>
    <row r="9749" spans="27:32" ht="15">
      <c r="AA9749" s="463"/>
      <c r="AB9749" s="462" t="s">
        <v>27152</v>
      </c>
      <c r="AC9749" s="462" t="s">
        <v>27153</v>
      </c>
      <c r="AD9749" s="464">
        <v>1050.8529599999999</v>
      </c>
      <c r="AE9749" s="465">
        <v>50.54983</v>
      </c>
      <c r="AF9749" s="86">
        <f>IF(verze!$E$1="CZK",AD9749,IF(verze!$E$1="SK",AE9749,""))</f>
        <v>50.54983</v>
      </c>
    </row>
    <row r="9750" spans="27:32" ht="15">
      <c r="AA9750" s="463"/>
      <c r="AB9750" s="462" t="s">
        <v>27154</v>
      </c>
      <c r="AC9750" s="462" t="s">
        <v>27155</v>
      </c>
      <c r="AD9750" s="464">
        <v>1003.6394299999999</v>
      </c>
      <c r="AE9750" s="465">
        <v>48.278680000000001</v>
      </c>
      <c r="AF9750" s="86">
        <f>IF(verze!$E$1="CZK",AD9750,IF(verze!$E$1="SK",AE9750,""))</f>
        <v>48.278680000000001</v>
      </c>
    </row>
    <row r="9751" spans="27:32" ht="15">
      <c r="AA9751" s="463"/>
      <c r="AB9751" s="462" t="s">
        <v>27156</v>
      </c>
      <c r="AC9751" s="462" t="s">
        <v>27157</v>
      </c>
      <c r="AD9751" s="464">
        <v>1060.0354400000001</v>
      </c>
      <c r="AE9751" s="465">
        <v>50.991529999999997</v>
      </c>
      <c r="AF9751" s="86">
        <f>IF(verze!$E$1="CZK",AD9751,IF(verze!$E$1="SK",AE9751,""))</f>
        <v>50.991529999999997</v>
      </c>
    </row>
    <row r="9752" spans="27:32" ht="15">
      <c r="AA9752" s="463"/>
      <c r="AB9752" s="462" t="s">
        <v>27158</v>
      </c>
      <c r="AC9752" s="462" t="s">
        <v>27159</v>
      </c>
      <c r="AD9752" s="464">
        <v>1200.06158</v>
      </c>
      <c r="AE9752" s="465">
        <v>57.7273</v>
      </c>
      <c r="AF9752" s="86">
        <f>IF(verze!$E$1="CZK",AD9752,IF(verze!$E$1="SK",AE9752,""))</f>
        <v>57.7273</v>
      </c>
    </row>
    <row r="9753" spans="27:32" ht="15">
      <c r="AA9753" s="463"/>
      <c r="AB9753" s="462" t="s">
        <v>27160</v>
      </c>
      <c r="AC9753" s="462" t="s">
        <v>27161</v>
      </c>
      <c r="AD9753" s="464">
        <v>724.84416999999996</v>
      </c>
      <c r="AE9753" s="465">
        <v>34.867620000000002</v>
      </c>
      <c r="AF9753" s="86">
        <f>IF(verze!$E$1="CZK",AD9753,IF(verze!$E$1="SK",AE9753,""))</f>
        <v>34.867620000000002</v>
      </c>
    </row>
    <row r="9754" spans="27:32" ht="15">
      <c r="AA9754" s="463"/>
      <c r="AB9754" s="462" t="s">
        <v>27162</v>
      </c>
      <c r="AC9754" s="462" t="s">
        <v>27163</v>
      </c>
      <c r="AD9754" s="464">
        <v>0</v>
      </c>
      <c r="AE9754" s="465">
        <v>0</v>
      </c>
      <c r="AF9754" s="86">
        <f>IF(verze!$E$1="CZK",AD9754,IF(verze!$E$1="SK",AE9754,""))</f>
        <v>0</v>
      </c>
    </row>
    <row r="9755" spans="27:32" ht="15">
      <c r="AA9755" s="463" t="s">
        <v>1320</v>
      </c>
      <c r="AB9755" s="462" t="s">
        <v>27164</v>
      </c>
      <c r="AC9755" s="462" t="s">
        <v>27165</v>
      </c>
      <c r="AD9755" s="464">
        <v>1029.98469</v>
      </c>
      <c r="AE9755" s="465">
        <v>49.176850000000002</v>
      </c>
      <c r="AF9755" s="86">
        <f>IF(verze!$E$1="CZK",AD9755,IF(verze!$E$1="SK",AE9755,""))</f>
        <v>49.176850000000002</v>
      </c>
    </row>
    <row r="9756" spans="27:32" ht="15">
      <c r="AA9756" s="463"/>
      <c r="AB9756" s="462" t="s">
        <v>27166</v>
      </c>
      <c r="AC9756" s="462" t="s">
        <v>27167</v>
      </c>
      <c r="AD9756" s="464">
        <v>1086.5237</v>
      </c>
      <c r="AE9756" s="465">
        <v>51.89658</v>
      </c>
      <c r="AF9756" s="86">
        <f>IF(verze!$E$1="CZK",AD9756,IF(verze!$E$1="SK",AE9756,""))</f>
        <v>51.89658</v>
      </c>
    </row>
    <row r="9757" spans="27:32" ht="15">
      <c r="AA9757" s="463"/>
      <c r="AB9757" s="462" t="s">
        <v>27168</v>
      </c>
      <c r="AC9757" s="462" t="s">
        <v>27169</v>
      </c>
      <c r="AD9757" s="464">
        <v>747.13358000000005</v>
      </c>
      <c r="AE9757" s="465">
        <v>35.570680000000003</v>
      </c>
      <c r="AF9757" s="86">
        <f>IF(verze!$E$1="CZK",AD9757,IF(verze!$E$1="SK",AE9757,""))</f>
        <v>35.570680000000003</v>
      </c>
    </row>
    <row r="9758" spans="27:32" ht="15">
      <c r="AA9758" s="463"/>
      <c r="AB9758" s="462" t="s">
        <v>27170</v>
      </c>
      <c r="AC9758" s="462" t="s">
        <v>27171</v>
      </c>
      <c r="AD9758" s="464">
        <v>0</v>
      </c>
      <c r="AE9758" s="465">
        <v>0</v>
      </c>
      <c r="AF9758" s="86">
        <f>IF(verze!$E$1="CZK",AD9758,IF(verze!$E$1="SK",AE9758,""))</f>
        <v>0</v>
      </c>
    </row>
    <row r="9759" spans="27:32" ht="15">
      <c r="AA9759" s="463" t="s">
        <v>1320</v>
      </c>
      <c r="AB9759" s="462" t="s">
        <v>27172</v>
      </c>
      <c r="AC9759" s="462" t="s">
        <v>27173</v>
      </c>
      <c r="AD9759" s="464">
        <v>0</v>
      </c>
      <c r="AE9759" s="465">
        <v>0</v>
      </c>
      <c r="AF9759" s="86">
        <f>IF(verze!$E$1="CZK",AD9759,IF(verze!$E$1="SK",AE9759,""))</f>
        <v>0</v>
      </c>
    </row>
    <row r="9760" spans="27:32" ht="15">
      <c r="AA9760" s="463" t="s">
        <v>27174</v>
      </c>
      <c r="AB9760" s="462" t="s">
        <v>27175</v>
      </c>
      <c r="AC9760" s="462" t="s">
        <v>27174</v>
      </c>
      <c r="AD9760" s="464">
        <v>0</v>
      </c>
      <c r="AE9760" s="465">
        <v>0</v>
      </c>
      <c r="AF9760" s="86">
        <f>IF(verze!$E$1="CZK",AD9760,IF(verze!$E$1="SK",AE9760,""))</f>
        <v>0</v>
      </c>
    </row>
    <row r="9761" spans="27:32" ht="15">
      <c r="AA9761" s="463" t="s">
        <v>1480</v>
      </c>
      <c r="AB9761" s="462" t="s">
        <v>27176</v>
      </c>
      <c r="AC9761" s="462" t="s">
        <v>27177</v>
      </c>
      <c r="AD9761" s="464">
        <v>1.2824500000000001</v>
      </c>
      <c r="AE9761" s="465">
        <v>5.1499999999999997E-2</v>
      </c>
      <c r="AF9761" s="86">
        <f>IF(verze!$E$1="CZK",AD9761,IF(verze!$E$1="SK",AE9761,""))</f>
        <v>5.1499999999999997E-2</v>
      </c>
    </row>
    <row r="9762" spans="27:32" ht="15">
      <c r="AA9762" s="463" t="s">
        <v>1502</v>
      </c>
      <c r="AB9762" s="462" t="s">
        <v>27178</v>
      </c>
      <c r="AC9762" s="462" t="s">
        <v>27179</v>
      </c>
      <c r="AD9762" s="464">
        <v>0.57004999999999995</v>
      </c>
      <c r="AE9762" s="465">
        <v>2.29E-2</v>
      </c>
      <c r="AF9762" s="86">
        <f>IF(verze!$E$1="CZK",AD9762,IF(verze!$E$1="SK",AE9762,""))</f>
        <v>2.29E-2</v>
      </c>
    </row>
    <row r="9763" spans="27:32" ht="15">
      <c r="AA9763" s="463" t="s">
        <v>1518</v>
      </c>
      <c r="AB9763" s="462" t="s">
        <v>27180</v>
      </c>
      <c r="AC9763" s="462" t="s">
        <v>27181</v>
      </c>
      <c r="AD9763" s="464">
        <v>5.8357299999999999</v>
      </c>
      <c r="AE9763" s="465">
        <v>0.23438000000000001</v>
      </c>
      <c r="AF9763" s="86">
        <f>IF(verze!$E$1="CZK",AD9763,IF(verze!$E$1="SK",AE9763,""))</f>
        <v>0.23438000000000001</v>
      </c>
    </row>
    <row r="9764" spans="27:32" ht="15">
      <c r="AA9764" s="463" t="s">
        <v>1523</v>
      </c>
      <c r="AB9764" s="462" t="s">
        <v>27182</v>
      </c>
      <c r="AC9764" s="462" t="s">
        <v>27183</v>
      </c>
      <c r="AD9764" s="464">
        <v>5.8357299999999999</v>
      </c>
      <c r="AE9764" s="465">
        <v>0.23438000000000001</v>
      </c>
      <c r="AF9764" s="86">
        <f>IF(verze!$E$1="CZK",AD9764,IF(verze!$E$1="SK",AE9764,""))</f>
        <v>0.23438000000000001</v>
      </c>
    </row>
    <row r="9765" spans="27:32" ht="15">
      <c r="AA9765" s="463" t="s">
        <v>4746</v>
      </c>
      <c r="AB9765" s="462" t="s">
        <v>27184</v>
      </c>
      <c r="AC9765" s="462" t="s">
        <v>27185</v>
      </c>
      <c r="AD9765" s="464">
        <v>405.46323000000001</v>
      </c>
      <c r="AE9765" s="465">
        <v>16.28368</v>
      </c>
      <c r="AF9765" s="86">
        <f>IF(verze!$E$1="CZK",AD9765,IF(verze!$E$1="SK",AE9765,""))</f>
        <v>16.28368</v>
      </c>
    </row>
    <row r="9766" spans="27:32" ht="15">
      <c r="AA9766" s="463" t="s">
        <v>1752</v>
      </c>
      <c r="AB9766" s="462" t="s">
        <v>27186</v>
      </c>
      <c r="AC9766" s="462" t="s">
        <v>27187</v>
      </c>
      <c r="AD9766" s="464">
        <v>252.11682999999999</v>
      </c>
      <c r="AE9766" s="465">
        <v>10.12518</v>
      </c>
      <c r="AF9766" s="86">
        <f>IF(verze!$E$1="CZK",AD9766,IF(verze!$E$1="SK",AE9766,""))</f>
        <v>10.12518</v>
      </c>
    </row>
    <row r="9767" spans="27:32" ht="15">
      <c r="AA9767" s="463" t="s">
        <v>1869</v>
      </c>
      <c r="AB9767" s="462" t="s">
        <v>27188</v>
      </c>
      <c r="AC9767" s="462" t="s">
        <v>27189</v>
      </c>
      <c r="AD9767" s="464">
        <v>10.18793</v>
      </c>
      <c r="AE9767" s="465">
        <v>0.40915000000000001</v>
      </c>
      <c r="AF9767" s="86">
        <f>IF(verze!$E$1="CZK",AD9767,IF(verze!$E$1="SK",AE9767,""))</f>
        <v>0.40915000000000001</v>
      </c>
    </row>
    <row r="9768" spans="27:32" ht="15">
      <c r="AA9768" s="463" t="s">
        <v>2395</v>
      </c>
      <c r="AB9768" s="462" t="s">
        <v>27190</v>
      </c>
      <c r="AC9768" s="462" t="s">
        <v>27191</v>
      </c>
      <c r="AD9768" s="464">
        <v>13.82948</v>
      </c>
      <c r="AE9768" s="465">
        <v>0.5554</v>
      </c>
      <c r="AF9768" s="86">
        <f>IF(verze!$E$1="CZK",AD9768,IF(verze!$E$1="SK",AE9768,""))</f>
        <v>0.5554</v>
      </c>
    </row>
    <row r="9769" spans="27:32" ht="15">
      <c r="AA9769" s="463" t="s">
        <v>27192</v>
      </c>
      <c r="AB9769" s="462" t="s">
        <v>27193</v>
      </c>
      <c r="AC9769" s="462" t="s">
        <v>27194</v>
      </c>
      <c r="AD9769" s="464">
        <v>0</v>
      </c>
      <c r="AE9769" s="465">
        <v>0</v>
      </c>
      <c r="AF9769" s="86">
        <f>IF(verze!$E$1="CZK",AD9769,IF(verze!$E$1="SK",AE9769,""))</f>
        <v>0</v>
      </c>
    </row>
    <row r="9770" spans="27:32" ht="15">
      <c r="AA9770" s="463" t="s">
        <v>2615</v>
      </c>
      <c r="AB9770" s="462" t="s">
        <v>27195</v>
      </c>
      <c r="AC9770" s="462" t="s">
        <v>27196</v>
      </c>
      <c r="AD9770" s="464">
        <v>105.71903</v>
      </c>
      <c r="AE9770" s="465">
        <v>4.2457500000000001</v>
      </c>
      <c r="AF9770" s="86">
        <f>IF(verze!$E$1="CZK",AD9770,IF(verze!$E$1="SK",AE9770,""))</f>
        <v>4.2457500000000001</v>
      </c>
    </row>
    <row r="9771" spans="27:32" ht="15">
      <c r="AA9771" s="463" t="s">
        <v>2819</v>
      </c>
      <c r="AB9771" s="462" t="s">
        <v>27197</v>
      </c>
      <c r="AC9771" s="462" t="s">
        <v>27198</v>
      </c>
      <c r="AD9771" s="464">
        <v>101.8556</v>
      </c>
      <c r="AE9771" s="465">
        <v>4.0905800000000001</v>
      </c>
      <c r="AF9771" s="86">
        <f>IF(verze!$E$1="CZK",AD9771,IF(verze!$E$1="SK",AE9771,""))</f>
        <v>4.0905800000000001</v>
      </c>
    </row>
    <row r="9772" spans="27:32" ht="15">
      <c r="AA9772" s="463" t="s">
        <v>2872</v>
      </c>
      <c r="AB9772" s="462" t="s">
        <v>27199</v>
      </c>
      <c r="AC9772" s="462" t="s">
        <v>27200</v>
      </c>
      <c r="AD9772" s="464">
        <v>47.874980000000001</v>
      </c>
      <c r="AE9772" s="465">
        <v>1.9227000000000001</v>
      </c>
      <c r="AF9772" s="86">
        <f>IF(verze!$E$1="CZK",AD9772,IF(verze!$E$1="SK",AE9772,""))</f>
        <v>1.9227000000000001</v>
      </c>
    </row>
    <row r="9773" spans="27:32" ht="15">
      <c r="AA9773" s="463" t="s">
        <v>3362</v>
      </c>
      <c r="AB9773" s="462" t="s">
        <v>27201</v>
      </c>
      <c r="AC9773" s="462" t="s">
        <v>27202</v>
      </c>
      <c r="AD9773" s="464">
        <v>3.0588799999999998</v>
      </c>
      <c r="AE9773" s="465">
        <v>0.12285</v>
      </c>
      <c r="AF9773" s="86">
        <f>IF(verze!$E$1="CZK",AD9773,IF(verze!$E$1="SK",AE9773,""))</f>
        <v>0.12285</v>
      </c>
    </row>
    <row r="9774" spans="27:32" ht="15">
      <c r="AA9774" s="463" t="s">
        <v>3462</v>
      </c>
      <c r="AB9774" s="462" t="s">
        <v>27203</v>
      </c>
      <c r="AC9774" s="462" t="s">
        <v>27204</v>
      </c>
      <c r="AD9774" s="464">
        <v>34.411900000000003</v>
      </c>
      <c r="AE9774" s="465">
        <v>1.3819999999999999</v>
      </c>
      <c r="AF9774" s="86">
        <f>IF(verze!$E$1="CZK",AD9774,IF(verze!$E$1="SK",AE9774,""))</f>
        <v>1.3819999999999999</v>
      </c>
    </row>
    <row r="9775" spans="27:32" ht="15">
      <c r="AA9775" s="463" t="s">
        <v>3662</v>
      </c>
      <c r="AB9775" s="462" t="s">
        <v>27205</v>
      </c>
      <c r="AC9775" s="462" t="s">
        <v>27206</v>
      </c>
      <c r="AD9775" s="464">
        <v>3.12995</v>
      </c>
      <c r="AE9775" s="465">
        <v>0.12570000000000001</v>
      </c>
      <c r="AF9775" s="86">
        <f>IF(verze!$E$1="CZK",AD9775,IF(verze!$E$1="SK",AE9775,""))</f>
        <v>0.12570000000000001</v>
      </c>
    </row>
    <row r="9776" spans="27:32" ht="15">
      <c r="AA9776" s="463" t="s">
        <v>3913</v>
      </c>
      <c r="AB9776" s="462" t="s">
        <v>27207</v>
      </c>
      <c r="AC9776" s="462" t="s">
        <v>27208</v>
      </c>
      <c r="AD9776" s="464">
        <v>286.72025000000002</v>
      </c>
      <c r="AE9776" s="465">
        <v>11.51488</v>
      </c>
      <c r="AF9776" s="86">
        <f>IF(verze!$E$1="CZK",AD9776,IF(verze!$E$1="SK",AE9776,""))</f>
        <v>11.51488</v>
      </c>
    </row>
    <row r="9777" spans="27:32" ht="15">
      <c r="AA9777" s="463" t="s">
        <v>3925</v>
      </c>
      <c r="AB9777" s="462" t="s">
        <v>27209</v>
      </c>
      <c r="AC9777" s="462" t="s">
        <v>27210</v>
      </c>
      <c r="AD9777" s="464">
        <v>611.52539999999999</v>
      </c>
      <c r="AE9777" s="465">
        <v>24.559249999999999</v>
      </c>
      <c r="AF9777" s="86">
        <f>IF(verze!$E$1="CZK",AD9777,IF(verze!$E$1="SK",AE9777,""))</f>
        <v>24.559249999999999</v>
      </c>
    </row>
    <row r="9778" spans="27:32" ht="15">
      <c r="AA9778" s="463" t="s">
        <v>3932</v>
      </c>
      <c r="AB9778" s="462" t="s">
        <v>27211</v>
      </c>
      <c r="AC9778" s="462" t="s">
        <v>27212</v>
      </c>
      <c r="AD9778" s="464">
        <v>58.792999999999999</v>
      </c>
      <c r="AE9778" s="465">
        <v>2.3611800000000001</v>
      </c>
      <c r="AF9778" s="86">
        <f>IF(verze!$E$1="CZK",AD9778,IF(verze!$E$1="SK",AE9778,""))</f>
        <v>2.3611800000000001</v>
      </c>
    </row>
    <row r="9779" spans="27:32" ht="15">
      <c r="AA9779" s="463" t="s">
        <v>4209</v>
      </c>
      <c r="AB9779" s="462" t="s">
        <v>27213</v>
      </c>
      <c r="AC9779" s="462" t="s">
        <v>27214</v>
      </c>
      <c r="AD9779" s="464">
        <v>41.373429999999999</v>
      </c>
      <c r="AE9779" s="465">
        <v>1.6615800000000001</v>
      </c>
      <c r="AF9779" s="86">
        <f>IF(verze!$E$1="CZK",AD9779,IF(verze!$E$1="SK",AE9779,""))</f>
        <v>1.6615800000000001</v>
      </c>
    </row>
    <row r="9780" spans="27:32" ht="15">
      <c r="AA9780" s="463" t="s">
        <v>4454</v>
      </c>
      <c r="AB9780" s="462" t="s">
        <v>27215</v>
      </c>
      <c r="AC9780" s="462" t="s">
        <v>27216</v>
      </c>
      <c r="AD9780" s="464">
        <v>279.46508</v>
      </c>
      <c r="AE9780" s="465">
        <v>11.2235</v>
      </c>
      <c r="AF9780" s="86">
        <f>IF(verze!$E$1="CZK",AD9780,IF(verze!$E$1="SK",AE9780,""))</f>
        <v>11.2235</v>
      </c>
    </row>
    <row r="9781" spans="27:32" ht="15">
      <c r="AA9781" s="463" t="s">
        <v>4493</v>
      </c>
      <c r="AB9781" s="462" t="s">
        <v>27217</v>
      </c>
      <c r="AC9781" s="462" t="s">
        <v>27218</v>
      </c>
      <c r="AD9781" s="464">
        <v>8.36435</v>
      </c>
      <c r="AE9781" s="465">
        <v>0.33593000000000001</v>
      </c>
      <c r="AF9781" s="86">
        <f>IF(verze!$E$1="CZK",AD9781,IF(verze!$E$1="SK",AE9781,""))</f>
        <v>0.33593000000000001</v>
      </c>
    </row>
    <row r="9782" spans="27:32" ht="15">
      <c r="AA9782" s="463" t="s">
        <v>4671</v>
      </c>
      <c r="AB9782" s="462" t="s">
        <v>27219</v>
      </c>
      <c r="AC9782" s="462" t="s">
        <v>27220</v>
      </c>
      <c r="AD9782" s="464">
        <v>8.8083299999999998</v>
      </c>
      <c r="AE9782" s="465">
        <v>0.35375000000000001</v>
      </c>
      <c r="AF9782" s="86">
        <f>IF(verze!$E$1="CZK",AD9782,IF(verze!$E$1="SK",AE9782,""))</f>
        <v>0.35375000000000001</v>
      </c>
    </row>
    <row r="9783" spans="27:32" ht="15">
      <c r="AA9783" s="463" t="s">
        <v>4723</v>
      </c>
      <c r="AB9783" s="462" t="s">
        <v>27221</v>
      </c>
      <c r="AC9783" s="462" t="s">
        <v>27222</v>
      </c>
      <c r="AD9783" s="464">
        <v>398.96519999999998</v>
      </c>
      <c r="AE9783" s="465">
        <v>16.0227</v>
      </c>
      <c r="AF9783" s="86">
        <f>IF(verze!$E$1="CZK",AD9783,IF(verze!$E$1="SK",AE9783,""))</f>
        <v>16.0227</v>
      </c>
    </row>
    <row r="9784" spans="27:32" ht="15">
      <c r="AA9784" s="463" t="s">
        <v>4752</v>
      </c>
      <c r="AB9784" s="462" t="s">
        <v>27223</v>
      </c>
      <c r="AC9784" s="462" t="s">
        <v>27224</v>
      </c>
      <c r="AD9784" s="464">
        <v>1590.6440500000001</v>
      </c>
      <c r="AE9784" s="465">
        <v>63.881300000000003</v>
      </c>
      <c r="AF9784" s="86">
        <f>IF(verze!$E$1="CZK",AD9784,IF(verze!$E$1="SK",AE9784,""))</f>
        <v>63.881300000000003</v>
      </c>
    </row>
    <row r="9785" spans="27:32" ht="15">
      <c r="AA9785" s="463" t="s">
        <v>4979</v>
      </c>
      <c r="AB9785" s="462" t="s">
        <v>27225</v>
      </c>
      <c r="AC9785" s="462" t="s">
        <v>27226</v>
      </c>
      <c r="AD9785" s="464">
        <v>0.42770000000000002</v>
      </c>
      <c r="AE9785" s="465">
        <v>1.7180000000000001E-2</v>
      </c>
      <c r="AF9785" s="86">
        <f>IF(verze!$E$1="CZK",AD9785,IF(verze!$E$1="SK",AE9785,""))</f>
        <v>1.7180000000000001E-2</v>
      </c>
    </row>
    <row r="9786" spans="27:32" ht="15">
      <c r="AA9786" s="463" t="s">
        <v>5023</v>
      </c>
      <c r="AB9786" s="462" t="s">
        <v>27227</v>
      </c>
      <c r="AC9786" s="462" t="s">
        <v>27228</v>
      </c>
      <c r="AD9786" s="464">
        <v>12.07818</v>
      </c>
      <c r="AE9786" s="465">
        <v>0.48508000000000001</v>
      </c>
      <c r="AF9786" s="86">
        <f>IF(verze!$E$1="CZK",AD9786,IF(verze!$E$1="SK",AE9786,""))</f>
        <v>0.48508000000000001</v>
      </c>
    </row>
    <row r="9787" spans="27:32" ht="15">
      <c r="AA9787" s="463" t="s">
        <v>5028</v>
      </c>
      <c r="AB9787" s="462" t="s">
        <v>27229</v>
      </c>
      <c r="AC9787" s="462" t="s">
        <v>27230</v>
      </c>
      <c r="AD9787" s="464">
        <v>12.07818</v>
      </c>
      <c r="AE9787" s="465">
        <v>0.48508000000000001</v>
      </c>
      <c r="AF9787" s="86">
        <f>IF(verze!$E$1="CZK",AD9787,IF(verze!$E$1="SK",AE9787,""))</f>
        <v>0.48508000000000001</v>
      </c>
    </row>
    <row r="9788" spans="27:32" ht="15">
      <c r="AA9788" s="463" t="s">
        <v>5074</v>
      </c>
      <c r="AB9788" s="462" t="s">
        <v>27231</v>
      </c>
      <c r="AC9788" s="462" t="s">
        <v>27232</v>
      </c>
      <c r="AD9788" s="464">
        <v>20.22045</v>
      </c>
      <c r="AE9788" s="465">
        <v>0.81208000000000002</v>
      </c>
      <c r="AF9788" s="86">
        <f>IF(verze!$E$1="CZK",AD9788,IF(verze!$E$1="SK",AE9788,""))</f>
        <v>0.81208000000000002</v>
      </c>
    </row>
    <row r="9789" spans="27:32" ht="15">
      <c r="AA9789" s="463" t="s">
        <v>5079</v>
      </c>
      <c r="AB9789" s="462" t="s">
        <v>27233</v>
      </c>
      <c r="AC9789" s="462" t="s">
        <v>27234</v>
      </c>
      <c r="AD9789" s="464">
        <v>20.22045</v>
      </c>
      <c r="AE9789" s="465">
        <v>0.81208000000000002</v>
      </c>
      <c r="AF9789" s="86">
        <f>IF(verze!$E$1="CZK",AD9789,IF(verze!$E$1="SK",AE9789,""))</f>
        <v>0.81208000000000002</v>
      </c>
    </row>
    <row r="9790" spans="27:32" ht="15">
      <c r="AA9790" s="463" t="s">
        <v>5991</v>
      </c>
      <c r="AB9790" s="462" t="s">
        <v>27235</v>
      </c>
      <c r="AC9790" s="462" t="s">
        <v>27236</v>
      </c>
      <c r="AD9790" s="464">
        <v>18.294599999999999</v>
      </c>
      <c r="AE9790" s="465">
        <v>0.73472999999999999</v>
      </c>
      <c r="AF9790" s="86">
        <f>IF(verze!$E$1="CZK",AD9790,IF(verze!$E$1="SK",AE9790,""))</f>
        <v>0.73472999999999999</v>
      </c>
    </row>
    <row r="9791" spans="27:32" ht="15">
      <c r="AA9791" s="463" t="s">
        <v>6042</v>
      </c>
      <c r="AB9791" s="462" t="s">
        <v>27237</v>
      </c>
      <c r="AC9791" s="462" t="s">
        <v>27238</v>
      </c>
      <c r="AD9791" s="464">
        <v>2.0230800000000002</v>
      </c>
      <c r="AE9791" s="465">
        <v>8.1250000000000003E-2</v>
      </c>
      <c r="AF9791" s="86">
        <f>IF(verze!$E$1="CZK",AD9791,IF(verze!$E$1="SK",AE9791,""))</f>
        <v>8.1250000000000003E-2</v>
      </c>
    </row>
    <row r="9792" spans="27:32" ht="15">
      <c r="AA9792" s="463" t="s">
        <v>6131</v>
      </c>
      <c r="AB9792" s="462" t="s">
        <v>27239</v>
      </c>
      <c r="AC9792" s="462" t="s">
        <v>27240</v>
      </c>
      <c r="AD9792" s="464">
        <v>4.5503799999999996</v>
      </c>
      <c r="AE9792" s="465">
        <v>0.18275</v>
      </c>
      <c r="AF9792" s="86">
        <f>IF(verze!$E$1="CZK",AD9792,IF(verze!$E$1="SK",AE9792,""))</f>
        <v>0.18275</v>
      </c>
    </row>
    <row r="9793" spans="27:32" ht="15">
      <c r="AA9793" s="463" t="s">
        <v>6206</v>
      </c>
      <c r="AB9793" s="462" t="s">
        <v>27241</v>
      </c>
      <c r="AC9793" s="462" t="s">
        <v>27242</v>
      </c>
      <c r="AD9793" s="464">
        <v>0.71479999999999999</v>
      </c>
      <c r="AE9793" s="465">
        <v>2.87E-2</v>
      </c>
      <c r="AF9793" s="86">
        <f>IF(verze!$E$1="CZK",AD9793,IF(verze!$E$1="SK",AE9793,""))</f>
        <v>2.87E-2</v>
      </c>
    </row>
    <row r="9794" spans="27:32" ht="15">
      <c r="AA9794" s="463" t="s">
        <v>6314</v>
      </c>
      <c r="AB9794" s="462" t="s">
        <v>27243</v>
      </c>
      <c r="AC9794" s="462" t="s">
        <v>27244</v>
      </c>
      <c r="AD9794" s="464">
        <v>20.123429999999999</v>
      </c>
      <c r="AE9794" s="465">
        <v>0.80818000000000001</v>
      </c>
      <c r="AF9794" s="86">
        <f>IF(verze!$E$1="CZK",AD9794,IF(verze!$E$1="SK",AE9794,""))</f>
        <v>0.80818000000000001</v>
      </c>
    </row>
    <row r="9795" spans="27:32" ht="15">
      <c r="AA9795" s="463" t="s">
        <v>6317</v>
      </c>
      <c r="AB9795" s="462" t="s">
        <v>27245</v>
      </c>
      <c r="AC9795" s="462" t="s">
        <v>27246</v>
      </c>
      <c r="AD9795" s="464">
        <v>19.953050000000001</v>
      </c>
      <c r="AE9795" s="465">
        <v>0.80132999999999999</v>
      </c>
      <c r="AF9795" s="86">
        <f>IF(verze!$E$1="CZK",AD9795,IF(verze!$E$1="SK",AE9795,""))</f>
        <v>0.80132999999999999</v>
      </c>
    </row>
    <row r="9796" spans="27:32" ht="15">
      <c r="AA9796" s="463" t="s">
        <v>6338</v>
      </c>
      <c r="AB9796" s="462" t="s">
        <v>27247</v>
      </c>
      <c r="AC9796" s="462" t="s">
        <v>27248</v>
      </c>
      <c r="AD9796" s="464">
        <v>22.9682</v>
      </c>
      <c r="AE9796" s="465">
        <v>0.92242999999999997</v>
      </c>
      <c r="AF9796" s="86">
        <f>IF(verze!$E$1="CZK",AD9796,IF(verze!$E$1="SK",AE9796,""))</f>
        <v>0.92242999999999997</v>
      </c>
    </row>
    <row r="9797" spans="27:32" ht="15">
      <c r="AA9797" s="463" t="s">
        <v>6374</v>
      </c>
      <c r="AB9797" s="462" t="s">
        <v>27249</v>
      </c>
      <c r="AC9797" s="462" t="s">
        <v>27250</v>
      </c>
      <c r="AD9797" s="464">
        <v>15.02735</v>
      </c>
      <c r="AE9797" s="465">
        <v>0.60350000000000004</v>
      </c>
      <c r="AF9797" s="86">
        <f>IF(verze!$E$1="CZK",AD9797,IF(verze!$E$1="SK",AE9797,""))</f>
        <v>0.60350000000000004</v>
      </c>
    </row>
    <row r="9798" spans="27:32" ht="15">
      <c r="AA9798" s="463" t="s">
        <v>6394</v>
      </c>
      <c r="AB9798" s="462" t="s">
        <v>27251</v>
      </c>
      <c r="AC9798" s="462" t="s">
        <v>27252</v>
      </c>
      <c r="AD9798" s="464">
        <v>15.680529999999999</v>
      </c>
      <c r="AE9798" s="465">
        <v>0.62975000000000003</v>
      </c>
      <c r="AF9798" s="86">
        <f>IF(verze!$E$1="CZK",AD9798,IF(verze!$E$1="SK",AE9798,""))</f>
        <v>0.62975000000000003</v>
      </c>
    </row>
    <row r="9799" spans="27:32" ht="15">
      <c r="AA9799" s="463" t="s">
        <v>27253</v>
      </c>
      <c r="AB9799" s="462" t="s">
        <v>27254</v>
      </c>
      <c r="AC9799" s="462" t="s">
        <v>27255</v>
      </c>
      <c r="AD9799" s="464">
        <v>16.6858</v>
      </c>
      <c r="AE9799" s="465">
        <v>0.67010000000000003</v>
      </c>
      <c r="AF9799" s="86">
        <f>IF(verze!$E$1="CZK",AD9799,IF(verze!$E$1="SK",AE9799,""))</f>
        <v>0.67010000000000003</v>
      </c>
    </row>
    <row r="9800" spans="27:32" ht="15">
      <c r="AA9800" s="463" t="s">
        <v>6418</v>
      </c>
      <c r="AB9800" s="462" t="s">
        <v>27256</v>
      </c>
      <c r="AC9800" s="462" t="s">
        <v>27257</v>
      </c>
      <c r="AD9800" s="464">
        <v>2.12357</v>
      </c>
      <c r="AE9800" s="465">
        <v>8.5279999999999995E-2</v>
      </c>
      <c r="AF9800" s="86">
        <f>IF(verze!$E$1="CZK",AD9800,IF(verze!$E$1="SK",AE9800,""))</f>
        <v>8.5279999999999995E-2</v>
      </c>
    </row>
    <row r="9801" spans="27:32" ht="15">
      <c r="AA9801" s="463" t="s">
        <v>6427</v>
      </c>
      <c r="AB9801" s="462" t="s">
        <v>27258</v>
      </c>
      <c r="AC9801" s="462" t="s">
        <v>27259</v>
      </c>
      <c r="AD9801" s="464">
        <v>2.2252000000000001</v>
      </c>
      <c r="AE9801" s="465">
        <v>8.9380000000000001E-2</v>
      </c>
      <c r="AF9801" s="86">
        <f>IF(verze!$E$1="CZK",AD9801,IF(verze!$E$1="SK",AE9801,""))</f>
        <v>8.9380000000000001E-2</v>
      </c>
    </row>
    <row r="9802" spans="27:32" ht="15">
      <c r="AA9802" s="463" t="s">
        <v>27260</v>
      </c>
      <c r="AB9802" s="462" t="s">
        <v>27261</v>
      </c>
      <c r="AC9802" s="462" t="s">
        <v>27262</v>
      </c>
      <c r="AD9802" s="464">
        <v>4.2471699999999997</v>
      </c>
      <c r="AE9802" s="465">
        <v>0.17058000000000001</v>
      </c>
      <c r="AF9802" s="86">
        <f>IF(verze!$E$1="CZK",AD9802,IF(verze!$E$1="SK",AE9802,""))</f>
        <v>0.17058000000000001</v>
      </c>
    </row>
    <row r="9803" spans="27:32" ht="15">
      <c r="AA9803" s="463" t="s">
        <v>27263</v>
      </c>
      <c r="AB9803" s="462" t="s">
        <v>27264</v>
      </c>
      <c r="AC9803" s="462" t="s">
        <v>27265</v>
      </c>
      <c r="AD9803" s="464">
        <v>4.1963499999999998</v>
      </c>
      <c r="AE9803" s="465">
        <v>0.16852</v>
      </c>
      <c r="AF9803" s="86">
        <f>IF(verze!$E$1="CZK",AD9803,IF(verze!$E$1="SK",AE9803,""))</f>
        <v>0.16852</v>
      </c>
    </row>
    <row r="9804" spans="27:32" ht="15">
      <c r="AA9804" s="463" t="s">
        <v>6445</v>
      </c>
      <c r="AB9804" s="462" t="s">
        <v>27266</v>
      </c>
      <c r="AC9804" s="462" t="s">
        <v>27267</v>
      </c>
      <c r="AD9804" s="464">
        <v>4.2471699999999997</v>
      </c>
      <c r="AE9804" s="465">
        <v>0.17058000000000001</v>
      </c>
      <c r="AF9804" s="86">
        <f>IF(verze!$E$1="CZK",AD9804,IF(verze!$E$1="SK",AE9804,""))</f>
        <v>0.17058000000000001</v>
      </c>
    </row>
    <row r="9805" spans="27:32" ht="15">
      <c r="AA9805" s="463" t="s">
        <v>6481</v>
      </c>
      <c r="AB9805" s="462" t="s">
        <v>27268</v>
      </c>
      <c r="AC9805" s="462" t="s">
        <v>27269</v>
      </c>
      <c r="AD9805" s="464">
        <v>687.02562999999998</v>
      </c>
      <c r="AE9805" s="465">
        <v>27.5914</v>
      </c>
      <c r="AF9805" s="86">
        <f>IF(verze!$E$1="CZK",AD9805,IF(verze!$E$1="SK",AE9805,""))</f>
        <v>27.5914</v>
      </c>
    </row>
    <row r="9806" spans="27:32" ht="15">
      <c r="AA9806" s="463" t="s">
        <v>6759</v>
      </c>
      <c r="AB9806" s="462" t="s">
        <v>27270</v>
      </c>
      <c r="AC9806" s="462" t="s">
        <v>27271</v>
      </c>
      <c r="AD9806" s="464">
        <v>204.79300000000001</v>
      </c>
      <c r="AE9806" s="465">
        <v>8.2246299999999994</v>
      </c>
      <c r="AF9806" s="86">
        <f>IF(verze!$E$1="CZK",AD9806,IF(verze!$E$1="SK",AE9806,""))</f>
        <v>8.2246299999999994</v>
      </c>
    </row>
    <row r="9807" spans="27:32" ht="15">
      <c r="AA9807" s="463" t="s">
        <v>6762</v>
      </c>
      <c r="AB9807" s="462" t="s">
        <v>27272</v>
      </c>
      <c r="AC9807" s="462" t="s">
        <v>27273</v>
      </c>
      <c r="AD9807" s="464">
        <v>39.6113</v>
      </c>
      <c r="AE9807" s="465">
        <v>1.59083</v>
      </c>
      <c r="AF9807" s="86">
        <f>IF(verze!$E$1="CZK",AD9807,IF(verze!$E$1="SK",AE9807,""))</f>
        <v>1.59083</v>
      </c>
    </row>
    <row r="9808" spans="27:32" ht="15">
      <c r="AA9808" s="463" t="s">
        <v>6834</v>
      </c>
      <c r="AB9808" s="462" t="s">
        <v>27274</v>
      </c>
      <c r="AC9808" s="462" t="s">
        <v>27275</v>
      </c>
      <c r="AD9808" s="464">
        <v>32.470570000000002</v>
      </c>
      <c r="AE9808" s="465">
        <v>1.3040499999999999</v>
      </c>
      <c r="AF9808" s="86">
        <f>IF(verze!$E$1="CZK",AD9808,IF(verze!$E$1="SK",AE9808,""))</f>
        <v>1.3040499999999999</v>
      </c>
    </row>
    <row r="9809" spans="27:32" ht="15">
      <c r="AA9809" s="463" t="s">
        <v>7074</v>
      </c>
      <c r="AB9809" s="462" t="s">
        <v>27276</v>
      </c>
      <c r="AC9809" s="462" t="s">
        <v>27277</v>
      </c>
      <c r="AD9809" s="464">
        <v>295.49482999999998</v>
      </c>
      <c r="AE9809" s="465">
        <v>11.86725</v>
      </c>
      <c r="AF9809" s="86">
        <f>IF(verze!$E$1="CZK",AD9809,IF(verze!$E$1="SK",AE9809,""))</f>
        <v>11.86725</v>
      </c>
    </row>
    <row r="9810" spans="27:32" ht="15">
      <c r="AA9810" s="463" t="s">
        <v>7080</v>
      </c>
      <c r="AB9810" s="462" t="s">
        <v>27278</v>
      </c>
      <c r="AC9810" s="462" t="s">
        <v>27279</v>
      </c>
      <c r="AD9810" s="464">
        <v>117.61203</v>
      </c>
      <c r="AE9810" s="465">
        <v>4.7233799999999997</v>
      </c>
      <c r="AF9810" s="86">
        <f>IF(verze!$E$1="CZK",AD9810,IF(verze!$E$1="SK",AE9810,""))</f>
        <v>4.7233799999999997</v>
      </c>
    </row>
    <row r="9811" spans="27:32" ht="15">
      <c r="AA9811" s="463" t="s">
        <v>7083</v>
      </c>
      <c r="AB9811" s="462" t="s">
        <v>27280</v>
      </c>
      <c r="AC9811" s="462" t="s">
        <v>27281</v>
      </c>
      <c r="AD9811" s="464">
        <v>245.49289999999999</v>
      </c>
      <c r="AE9811" s="465">
        <v>9.8591499999999996</v>
      </c>
      <c r="AF9811" s="86">
        <f>IF(verze!$E$1="CZK",AD9811,IF(verze!$E$1="SK",AE9811,""))</f>
        <v>9.8591499999999996</v>
      </c>
    </row>
    <row r="9812" spans="27:32" ht="15">
      <c r="AA9812" s="463" t="s">
        <v>7086</v>
      </c>
      <c r="AB9812" s="462" t="s">
        <v>27282</v>
      </c>
      <c r="AC9812" s="462" t="s">
        <v>27283</v>
      </c>
      <c r="AD9812" s="464">
        <v>202.15770000000001</v>
      </c>
      <c r="AE9812" s="465">
        <v>8.1187799999999992</v>
      </c>
      <c r="AF9812" s="86">
        <f>IF(verze!$E$1="CZK",AD9812,IF(verze!$E$1="SK",AE9812,""))</f>
        <v>8.1187799999999992</v>
      </c>
    </row>
    <row r="9813" spans="27:32" ht="15">
      <c r="AA9813" s="463" t="s">
        <v>7089</v>
      </c>
      <c r="AB9813" s="462" t="s">
        <v>27284</v>
      </c>
      <c r="AC9813" s="462" t="s">
        <v>27285</v>
      </c>
      <c r="AD9813" s="464">
        <v>24.725750000000001</v>
      </c>
      <c r="AE9813" s="465">
        <v>0.99299999999999999</v>
      </c>
      <c r="AF9813" s="86">
        <f>IF(verze!$E$1="CZK",AD9813,IF(verze!$E$1="SK",AE9813,""))</f>
        <v>0.99299999999999999</v>
      </c>
    </row>
    <row r="9814" spans="27:32" ht="15">
      <c r="AA9814" s="463" t="s">
        <v>7092</v>
      </c>
      <c r="AB9814" s="462" t="s">
        <v>27286</v>
      </c>
      <c r="AC9814" s="462" t="s">
        <v>27287</v>
      </c>
      <c r="AD9814" s="464">
        <v>349.45684999999997</v>
      </c>
      <c r="AE9814" s="465">
        <v>14.0344</v>
      </c>
      <c r="AF9814" s="86">
        <f>IF(verze!$E$1="CZK",AD9814,IF(verze!$E$1="SK",AE9814,""))</f>
        <v>14.0344</v>
      </c>
    </row>
    <row r="9815" spans="27:32" ht="15">
      <c r="AA9815" s="463" t="s">
        <v>7095</v>
      </c>
      <c r="AB9815" s="462" t="s">
        <v>27288</v>
      </c>
      <c r="AC9815" s="462" t="s">
        <v>27289</v>
      </c>
      <c r="AD9815" s="464">
        <v>19.295500000000001</v>
      </c>
      <c r="AE9815" s="465">
        <v>0.77493000000000001</v>
      </c>
      <c r="AF9815" s="86">
        <f>IF(verze!$E$1="CZK",AD9815,IF(verze!$E$1="SK",AE9815,""))</f>
        <v>0.77493000000000001</v>
      </c>
    </row>
    <row r="9816" spans="27:32" ht="15">
      <c r="AA9816" s="463" t="s">
        <v>7098</v>
      </c>
      <c r="AB9816" s="462" t="s">
        <v>27290</v>
      </c>
      <c r="AC9816" s="462" t="s">
        <v>27291</v>
      </c>
      <c r="AD9816" s="464">
        <v>6.9777800000000001</v>
      </c>
      <c r="AE9816" s="465">
        <v>0.28022999999999998</v>
      </c>
      <c r="AF9816" s="86">
        <f>IF(verze!$E$1="CZK",AD9816,IF(verze!$E$1="SK",AE9816,""))</f>
        <v>0.28022999999999998</v>
      </c>
    </row>
    <row r="9817" spans="27:32" ht="15">
      <c r="AA9817" s="463" t="s">
        <v>7193</v>
      </c>
      <c r="AB9817" s="462" t="s">
        <v>27292</v>
      </c>
      <c r="AC9817" s="462" t="s">
        <v>27293</v>
      </c>
      <c r="AD9817" s="464">
        <v>35.661999999999999</v>
      </c>
      <c r="AE9817" s="465">
        <v>1.4321999999999999</v>
      </c>
      <c r="AF9817" s="86">
        <f>IF(verze!$E$1="CZK",AD9817,IF(verze!$E$1="SK",AE9817,""))</f>
        <v>1.4321999999999999</v>
      </c>
    </row>
    <row r="9818" spans="27:32" ht="15">
      <c r="AA9818" s="463" t="s">
        <v>7296</v>
      </c>
      <c r="AB9818" s="462" t="s">
        <v>27294</v>
      </c>
      <c r="AC9818" s="462" t="s">
        <v>27295</v>
      </c>
      <c r="AD9818" s="464">
        <v>0.78522999999999998</v>
      </c>
      <c r="AE9818" s="465">
        <v>3.1519999999999999E-2</v>
      </c>
      <c r="AF9818" s="86">
        <f>IF(verze!$E$1="CZK",AD9818,IF(verze!$E$1="SK",AE9818,""))</f>
        <v>3.1519999999999999E-2</v>
      </c>
    </row>
    <row r="9819" spans="27:32" ht="15">
      <c r="AA9819" s="463" t="s">
        <v>7299</v>
      </c>
      <c r="AB9819" s="462" t="s">
        <v>27296</v>
      </c>
      <c r="AC9819" s="462" t="s">
        <v>27297</v>
      </c>
      <c r="AD9819" s="464">
        <v>1.0096499999999999</v>
      </c>
      <c r="AE9819" s="465">
        <v>4.0550000000000003E-2</v>
      </c>
      <c r="AF9819" s="86">
        <f>IF(verze!$E$1="CZK",AD9819,IF(verze!$E$1="SK",AE9819,""))</f>
        <v>4.0550000000000003E-2</v>
      </c>
    </row>
    <row r="9820" spans="27:32" ht="15">
      <c r="AA9820" s="463" t="s">
        <v>27298</v>
      </c>
      <c r="AB9820" s="462" t="s">
        <v>27299</v>
      </c>
      <c r="AC9820" s="462" t="s">
        <v>27300</v>
      </c>
      <c r="AD9820" s="464">
        <v>20.90738</v>
      </c>
      <c r="AE9820" s="465">
        <v>0.83965000000000001</v>
      </c>
      <c r="AF9820" s="86">
        <f>IF(verze!$E$1="CZK",AD9820,IF(verze!$E$1="SK",AE9820,""))</f>
        <v>0.83965000000000001</v>
      </c>
    </row>
    <row r="9821" spans="27:32" ht="15">
      <c r="AA9821" s="463" t="s">
        <v>7504</v>
      </c>
      <c r="AB9821" s="462" t="s">
        <v>27301</v>
      </c>
      <c r="AC9821" s="462" t="s">
        <v>27302</v>
      </c>
      <c r="AD9821" s="464">
        <v>21.95288</v>
      </c>
      <c r="AE9821" s="465">
        <v>0.88165000000000004</v>
      </c>
      <c r="AF9821" s="86">
        <f>IF(verze!$E$1="CZK",AD9821,IF(verze!$E$1="SK",AE9821,""))</f>
        <v>0.88165000000000004</v>
      </c>
    </row>
    <row r="9822" spans="27:32" ht="15">
      <c r="AA9822" s="463" t="s">
        <v>7513</v>
      </c>
      <c r="AB9822" s="462" t="s">
        <v>27303</v>
      </c>
      <c r="AC9822" s="462" t="s">
        <v>27304</v>
      </c>
      <c r="AD9822" s="464">
        <v>17.248480000000001</v>
      </c>
      <c r="AE9822" s="465">
        <v>0.69269999999999998</v>
      </c>
      <c r="AF9822" s="86">
        <f>IF(verze!$E$1="CZK",AD9822,IF(verze!$E$1="SK",AE9822,""))</f>
        <v>0.69269999999999998</v>
      </c>
    </row>
    <row r="9823" spans="27:32" ht="15">
      <c r="AA9823" s="463" t="s">
        <v>7522</v>
      </c>
      <c r="AB9823" s="462" t="s">
        <v>27305</v>
      </c>
      <c r="AC9823" s="462" t="s">
        <v>27306</v>
      </c>
      <c r="AD9823" s="464">
        <v>31.36045</v>
      </c>
      <c r="AE9823" s="465">
        <v>1.25945</v>
      </c>
      <c r="AF9823" s="86">
        <f>IF(verze!$E$1="CZK",AD9823,IF(verze!$E$1="SK",AE9823,""))</f>
        <v>1.25945</v>
      </c>
    </row>
    <row r="9824" spans="27:32" ht="15">
      <c r="AA9824" s="463" t="s">
        <v>7534</v>
      </c>
      <c r="AB9824" s="462" t="s">
        <v>27307</v>
      </c>
      <c r="AC9824" s="462" t="s">
        <v>27308</v>
      </c>
      <c r="AD9824" s="464">
        <v>42.794429999999998</v>
      </c>
      <c r="AE9824" s="465">
        <v>1.71865</v>
      </c>
      <c r="AF9824" s="86">
        <f>IF(verze!$E$1="CZK",AD9824,IF(verze!$E$1="SK",AE9824,""))</f>
        <v>1.71865</v>
      </c>
    </row>
    <row r="9825" spans="27:32" ht="15">
      <c r="AA9825" s="463" t="s">
        <v>7579</v>
      </c>
      <c r="AB9825" s="462" t="s">
        <v>27309</v>
      </c>
      <c r="AC9825" s="462" t="s">
        <v>27310</v>
      </c>
      <c r="AD9825" s="464">
        <v>43.175249999999998</v>
      </c>
      <c r="AE9825" s="465">
        <v>1.7339500000000001</v>
      </c>
      <c r="AF9825" s="86">
        <f>IF(verze!$E$1="CZK",AD9825,IF(verze!$E$1="SK",AE9825,""))</f>
        <v>1.7339500000000001</v>
      </c>
    </row>
    <row r="9826" spans="27:32" ht="15">
      <c r="AA9826" s="463" t="s">
        <v>7585</v>
      </c>
      <c r="AB9826" s="462" t="s">
        <v>27311</v>
      </c>
      <c r="AC9826" s="462" t="s">
        <v>27312</v>
      </c>
      <c r="AD9826" s="464">
        <v>38.997329999999998</v>
      </c>
      <c r="AE9826" s="465">
        <v>1.5661499999999999</v>
      </c>
      <c r="AF9826" s="86">
        <f>IF(verze!$E$1="CZK",AD9826,IF(verze!$E$1="SK",AE9826,""))</f>
        <v>1.5661499999999999</v>
      </c>
    </row>
    <row r="9827" spans="27:32" ht="15">
      <c r="AA9827" s="463" t="s">
        <v>7691</v>
      </c>
      <c r="AB9827" s="462" t="s">
        <v>27313</v>
      </c>
      <c r="AC9827" s="462" t="s">
        <v>27314</v>
      </c>
      <c r="AD9827" s="464">
        <v>4.915</v>
      </c>
      <c r="AE9827" s="465">
        <v>0.19739999999999999</v>
      </c>
      <c r="AF9827" s="86">
        <f>IF(verze!$E$1="CZK",AD9827,IF(verze!$E$1="SK",AE9827,""))</f>
        <v>0.19739999999999999</v>
      </c>
    </row>
    <row r="9828" spans="27:32" ht="15">
      <c r="AA9828" s="463" t="s">
        <v>7706</v>
      </c>
      <c r="AB9828" s="462" t="s">
        <v>27315</v>
      </c>
      <c r="AC9828" s="462" t="s">
        <v>27316</v>
      </c>
      <c r="AD9828" s="464">
        <v>4.9747500000000002</v>
      </c>
      <c r="AE9828" s="465">
        <v>0.19980000000000001</v>
      </c>
      <c r="AF9828" s="86">
        <f>IF(verze!$E$1="CZK",AD9828,IF(verze!$E$1="SK",AE9828,""))</f>
        <v>0.19980000000000001</v>
      </c>
    </row>
    <row r="9829" spans="27:32" ht="15">
      <c r="AA9829" s="463" t="s">
        <v>7721</v>
      </c>
      <c r="AB9829" s="462" t="s">
        <v>27317</v>
      </c>
      <c r="AC9829" s="462" t="s">
        <v>27318</v>
      </c>
      <c r="AD9829" s="464">
        <v>0.94364999999999999</v>
      </c>
      <c r="AE9829" s="465">
        <v>3.7900000000000003E-2</v>
      </c>
      <c r="AF9829" s="86">
        <f>IF(verze!$E$1="CZK",AD9829,IF(verze!$E$1="SK",AE9829,""))</f>
        <v>3.7900000000000003E-2</v>
      </c>
    </row>
    <row r="9830" spans="27:32" ht="15">
      <c r="AA9830" s="463" t="s">
        <v>7724</v>
      </c>
      <c r="AB9830" s="462" t="s">
        <v>27319</v>
      </c>
      <c r="AC9830" s="462" t="s">
        <v>27320</v>
      </c>
      <c r="AD9830" s="464">
        <v>1.2133499999999999</v>
      </c>
      <c r="AE9830" s="465">
        <v>4.8730000000000002E-2</v>
      </c>
      <c r="AF9830" s="86">
        <f>IF(verze!$E$1="CZK",AD9830,IF(verze!$E$1="SK",AE9830,""))</f>
        <v>4.8730000000000002E-2</v>
      </c>
    </row>
    <row r="9831" spans="27:32" ht="15">
      <c r="AA9831" s="463" t="s">
        <v>7868</v>
      </c>
      <c r="AB9831" s="462" t="s">
        <v>27321</v>
      </c>
      <c r="AC9831" s="462" t="s">
        <v>27322</v>
      </c>
      <c r="AD9831" s="464">
        <v>35.9803</v>
      </c>
      <c r="AE9831" s="465">
        <v>1.4450000000000001</v>
      </c>
      <c r="AF9831" s="86">
        <f>IF(verze!$E$1="CZK",AD9831,IF(verze!$E$1="SK",AE9831,""))</f>
        <v>1.4450000000000001</v>
      </c>
    </row>
    <row r="9832" spans="27:32" ht="15">
      <c r="AA9832" s="463" t="s">
        <v>7899</v>
      </c>
      <c r="AB9832" s="462" t="s">
        <v>27323</v>
      </c>
      <c r="AC9832" s="462" t="s">
        <v>27324</v>
      </c>
      <c r="AD9832" s="464">
        <v>36.560479999999998</v>
      </c>
      <c r="AE9832" s="465">
        <v>1.4682999999999999</v>
      </c>
      <c r="AF9832" s="86">
        <f>IF(verze!$E$1="CZK",AD9832,IF(verze!$E$1="SK",AE9832,""))</f>
        <v>1.4682999999999999</v>
      </c>
    </row>
    <row r="9833" spans="27:32" ht="15">
      <c r="AA9833" s="463" t="s">
        <v>8012</v>
      </c>
      <c r="AB9833" s="462" t="s">
        <v>27325</v>
      </c>
      <c r="AC9833" s="462" t="s">
        <v>27326</v>
      </c>
      <c r="AD9833" s="464">
        <v>25.095099999999999</v>
      </c>
      <c r="AE9833" s="465">
        <v>1.00783</v>
      </c>
      <c r="AF9833" s="86">
        <f>IF(verze!$E$1="CZK",AD9833,IF(verze!$E$1="SK",AE9833,""))</f>
        <v>1.00783</v>
      </c>
    </row>
    <row r="9834" spans="27:32" ht="15">
      <c r="AA9834" s="463" t="s">
        <v>9039</v>
      </c>
      <c r="AB9834" s="462" t="s">
        <v>27327</v>
      </c>
      <c r="AC9834" s="462" t="s">
        <v>27328</v>
      </c>
      <c r="AD9834" s="464">
        <v>8.1302500000000002</v>
      </c>
      <c r="AE9834" s="465">
        <v>0.32652999999999999</v>
      </c>
      <c r="AF9834" s="86">
        <f>IF(verze!$E$1="CZK",AD9834,IF(verze!$E$1="SK",AE9834,""))</f>
        <v>0.32652999999999999</v>
      </c>
    </row>
    <row r="9835" spans="27:32" ht="15">
      <c r="AA9835" s="463" t="s">
        <v>9621</v>
      </c>
      <c r="AB9835" s="462" t="s">
        <v>27329</v>
      </c>
      <c r="AC9835" s="462" t="s">
        <v>27330</v>
      </c>
      <c r="AD9835" s="464">
        <v>105.25908</v>
      </c>
      <c r="AE9835" s="465">
        <v>4.2272800000000004</v>
      </c>
      <c r="AF9835" s="86">
        <f>IF(verze!$E$1="CZK",AD9835,IF(verze!$E$1="SK",AE9835,""))</f>
        <v>4.2272800000000004</v>
      </c>
    </row>
    <row r="9836" spans="27:32" ht="15">
      <c r="AA9836" s="463" t="s">
        <v>10082</v>
      </c>
      <c r="AB9836" s="462" t="s">
        <v>27331</v>
      </c>
      <c r="AC9836" s="462" t="s">
        <v>27332</v>
      </c>
      <c r="AD9836" s="464">
        <v>1.8108</v>
      </c>
      <c r="AE9836" s="465">
        <v>7.2730000000000003E-2</v>
      </c>
      <c r="AF9836" s="86">
        <f>IF(verze!$E$1="CZK",AD9836,IF(verze!$E$1="SK",AE9836,""))</f>
        <v>7.2730000000000003E-2</v>
      </c>
    </row>
    <row r="9837" spans="27:32" ht="15">
      <c r="AA9837" s="463" t="s">
        <v>10382</v>
      </c>
      <c r="AB9837" s="462" t="s">
        <v>27333</v>
      </c>
      <c r="AC9837" s="462" t="s">
        <v>27334</v>
      </c>
      <c r="AD9837" s="464">
        <v>6.8766499999999997</v>
      </c>
      <c r="AE9837" s="465">
        <v>0.27617999999999998</v>
      </c>
      <c r="AF9837" s="86">
        <f>IF(verze!$E$1="CZK",AD9837,IF(verze!$E$1="SK",AE9837,""))</f>
        <v>0.27617999999999998</v>
      </c>
    </row>
    <row r="9838" spans="27:32" ht="15">
      <c r="AA9838" s="463" t="s">
        <v>10714</v>
      </c>
      <c r="AB9838" s="462" t="s">
        <v>27335</v>
      </c>
      <c r="AC9838" s="462" t="s">
        <v>27336</v>
      </c>
      <c r="AD9838" s="464">
        <v>40.8489</v>
      </c>
      <c r="AE9838" s="465">
        <v>1.64053</v>
      </c>
      <c r="AF9838" s="86">
        <f>IF(verze!$E$1="CZK",AD9838,IF(verze!$E$1="SK",AE9838,""))</f>
        <v>1.64053</v>
      </c>
    </row>
    <row r="9839" spans="27:32" ht="15">
      <c r="AA9839" s="463" t="s">
        <v>10720</v>
      </c>
      <c r="AB9839" s="462" t="s">
        <v>27337</v>
      </c>
      <c r="AC9839" s="462" t="s">
        <v>27338</v>
      </c>
      <c r="AD9839" s="464">
        <v>71.485600000000005</v>
      </c>
      <c r="AE9839" s="465">
        <v>2.8708999999999998</v>
      </c>
      <c r="AF9839" s="86">
        <f>IF(verze!$E$1="CZK",AD9839,IF(verze!$E$1="SK",AE9839,""))</f>
        <v>2.8708999999999998</v>
      </c>
    </row>
    <row r="9840" spans="27:32" ht="15">
      <c r="AA9840" s="463" t="s">
        <v>10732</v>
      </c>
      <c r="AB9840" s="462" t="s">
        <v>27339</v>
      </c>
      <c r="AC9840" s="462" t="s">
        <v>27340</v>
      </c>
      <c r="AD9840" s="464">
        <v>102.92104999999999</v>
      </c>
      <c r="AE9840" s="465">
        <v>4.1333799999999998</v>
      </c>
      <c r="AF9840" s="86">
        <f>IF(verze!$E$1="CZK",AD9840,IF(verze!$E$1="SK",AE9840,""))</f>
        <v>4.1333799999999998</v>
      </c>
    </row>
    <row r="9841" spans="27:32" ht="15">
      <c r="AA9841" s="463" t="s">
        <v>10798</v>
      </c>
      <c r="AB9841" s="462" t="s">
        <v>27341</v>
      </c>
      <c r="AC9841" s="462" t="s">
        <v>27342</v>
      </c>
      <c r="AD9841" s="464">
        <v>8.36435</v>
      </c>
      <c r="AE9841" s="465">
        <v>0.33593000000000001</v>
      </c>
      <c r="AF9841" s="86">
        <f>IF(verze!$E$1="CZK",AD9841,IF(verze!$E$1="SK",AE9841,""))</f>
        <v>0.33593000000000001</v>
      </c>
    </row>
    <row r="9842" spans="27:32" ht="15">
      <c r="AA9842" s="463" t="s">
        <v>10863</v>
      </c>
      <c r="AB9842" s="462" t="s">
        <v>27343</v>
      </c>
      <c r="AC9842" s="462" t="s">
        <v>27344</v>
      </c>
      <c r="AD9842" s="464">
        <v>103.48950000000001</v>
      </c>
      <c r="AE9842" s="465">
        <v>4.1562000000000001</v>
      </c>
      <c r="AF9842" s="86">
        <f>IF(verze!$E$1="CZK",AD9842,IF(verze!$E$1="SK",AE9842,""))</f>
        <v>4.1562000000000001</v>
      </c>
    </row>
    <row r="9843" spans="27:32" ht="15">
      <c r="AA9843" s="463" t="s">
        <v>10905</v>
      </c>
      <c r="AB9843" s="462" t="s">
        <v>27345</v>
      </c>
      <c r="AC9843" s="462" t="s">
        <v>27346</v>
      </c>
      <c r="AD9843" s="464">
        <v>32.675879999999999</v>
      </c>
      <c r="AE9843" s="465">
        <v>1.31227</v>
      </c>
      <c r="AF9843" s="86">
        <f>IF(verze!$E$1="CZK",AD9843,IF(verze!$E$1="SK",AE9843,""))</f>
        <v>1.31227</v>
      </c>
    </row>
    <row r="9844" spans="27:32" ht="15">
      <c r="AA9844" s="463" t="s">
        <v>10926</v>
      </c>
      <c r="AB9844" s="462" t="s">
        <v>27347</v>
      </c>
      <c r="AC9844" s="462" t="s">
        <v>27348</v>
      </c>
      <c r="AD9844" s="464">
        <v>54.720950000000002</v>
      </c>
      <c r="AE9844" s="465">
        <v>2.1976300000000002</v>
      </c>
      <c r="AF9844" s="86">
        <f>IF(verze!$E$1="CZK",AD9844,IF(verze!$E$1="SK",AE9844,""))</f>
        <v>2.1976300000000002</v>
      </c>
    </row>
    <row r="9845" spans="27:32" ht="15">
      <c r="AA9845" s="463" t="s">
        <v>10959</v>
      </c>
      <c r="AB9845" s="462" t="s">
        <v>27349</v>
      </c>
      <c r="AC9845" s="462" t="s">
        <v>27350</v>
      </c>
      <c r="AD9845" s="464">
        <v>103.48950000000001</v>
      </c>
      <c r="AE9845" s="465">
        <v>4.1562000000000001</v>
      </c>
      <c r="AF9845" s="86">
        <f>IF(verze!$E$1="CZK",AD9845,IF(verze!$E$1="SK",AE9845,""))</f>
        <v>4.1562000000000001</v>
      </c>
    </row>
    <row r="9846" spans="27:32" ht="15">
      <c r="AA9846" s="463" t="s">
        <v>10962</v>
      </c>
      <c r="AB9846" s="462" t="s">
        <v>27351</v>
      </c>
      <c r="AC9846" s="462" t="s">
        <v>27352</v>
      </c>
      <c r="AD9846" s="464">
        <v>104.86105000000001</v>
      </c>
      <c r="AE9846" s="465">
        <v>4.2112699999999998</v>
      </c>
      <c r="AF9846" s="86">
        <f>IF(verze!$E$1="CZK",AD9846,IF(verze!$E$1="SK",AE9846,""))</f>
        <v>4.2112699999999998</v>
      </c>
    </row>
    <row r="9847" spans="27:32" ht="15">
      <c r="AA9847" s="463" t="s">
        <v>10965</v>
      </c>
      <c r="AB9847" s="462" t="s">
        <v>27353</v>
      </c>
      <c r="AC9847" s="462" t="s">
        <v>27354</v>
      </c>
      <c r="AD9847" s="464">
        <v>106.23309999999999</v>
      </c>
      <c r="AE9847" s="465">
        <v>4.2664</v>
      </c>
      <c r="AF9847" s="86">
        <f>IF(verze!$E$1="CZK",AD9847,IF(verze!$E$1="SK",AE9847,""))</f>
        <v>4.2664</v>
      </c>
    </row>
    <row r="9848" spans="27:32" ht="15">
      <c r="AA9848" s="463" t="s">
        <v>11001</v>
      </c>
      <c r="AB9848" s="462" t="s">
        <v>27355</v>
      </c>
      <c r="AC9848" s="462" t="s">
        <v>27356</v>
      </c>
      <c r="AD9848" s="464">
        <v>27.447199999999999</v>
      </c>
      <c r="AE9848" s="465">
        <v>1.1023000000000001</v>
      </c>
      <c r="AF9848" s="86">
        <f>IF(verze!$E$1="CZK",AD9848,IF(verze!$E$1="SK",AE9848,""))</f>
        <v>1.1023000000000001</v>
      </c>
    </row>
    <row r="9849" spans="27:32" ht="15">
      <c r="AA9849" s="463" t="s">
        <v>11007</v>
      </c>
      <c r="AB9849" s="462" t="s">
        <v>27357</v>
      </c>
      <c r="AC9849" s="462" t="s">
        <v>27358</v>
      </c>
      <c r="AD9849" s="464">
        <v>32.675879999999999</v>
      </c>
      <c r="AE9849" s="465">
        <v>1.31227</v>
      </c>
      <c r="AF9849" s="86">
        <f>IF(verze!$E$1="CZK",AD9849,IF(verze!$E$1="SK",AE9849,""))</f>
        <v>1.31227</v>
      </c>
    </row>
    <row r="9850" spans="27:32" ht="15">
      <c r="AA9850" s="463" t="s">
        <v>11031</v>
      </c>
      <c r="AB9850" s="462" t="s">
        <v>27359</v>
      </c>
      <c r="AC9850" s="462" t="s">
        <v>27360</v>
      </c>
      <c r="AD9850" s="464">
        <v>56.115000000000002</v>
      </c>
      <c r="AE9850" s="465">
        <v>2.2536299999999998</v>
      </c>
      <c r="AF9850" s="86">
        <f>IF(verze!$E$1="CZK",AD9850,IF(verze!$E$1="SK",AE9850,""))</f>
        <v>2.2536299999999998</v>
      </c>
    </row>
    <row r="9851" spans="27:32" ht="15">
      <c r="AA9851" s="463" t="s">
        <v>11034</v>
      </c>
      <c r="AB9851" s="462" t="s">
        <v>27361</v>
      </c>
      <c r="AC9851" s="462" t="s">
        <v>27362</v>
      </c>
      <c r="AD9851" s="464">
        <v>57.509079999999997</v>
      </c>
      <c r="AE9851" s="465">
        <v>2.3096000000000001</v>
      </c>
      <c r="AF9851" s="86">
        <f>IF(verze!$E$1="CZK",AD9851,IF(verze!$E$1="SK",AE9851,""))</f>
        <v>2.3096000000000001</v>
      </c>
    </row>
    <row r="9852" spans="27:32" ht="15">
      <c r="AA9852" s="463" t="s">
        <v>11061</v>
      </c>
      <c r="AB9852" s="462" t="s">
        <v>27363</v>
      </c>
      <c r="AC9852" s="462" t="s">
        <v>27364</v>
      </c>
      <c r="AD9852" s="464">
        <v>103.48950000000001</v>
      </c>
      <c r="AE9852" s="465">
        <v>4.1562000000000001</v>
      </c>
      <c r="AF9852" s="86">
        <f>IF(verze!$E$1="CZK",AD9852,IF(verze!$E$1="SK",AE9852,""))</f>
        <v>4.1562000000000001</v>
      </c>
    </row>
    <row r="9853" spans="27:32" ht="15">
      <c r="AA9853" s="463" t="s">
        <v>11103</v>
      </c>
      <c r="AB9853" s="462" t="s">
        <v>27365</v>
      </c>
      <c r="AC9853" s="462" t="s">
        <v>27366</v>
      </c>
      <c r="AD9853" s="464">
        <v>27.447199999999999</v>
      </c>
      <c r="AE9853" s="465">
        <v>1.1023000000000001</v>
      </c>
      <c r="AF9853" s="86">
        <f>IF(verze!$E$1="CZK",AD9853,IF(verze!$E$1="SK",AE9853,""))</f>
        <v>1.1023000000000001</v>
      </c>
    </row>
    <row r="9854" spans="27:32" ht="15">
      <c r="AA9854" s="463" t="s">
        <v>11148</v>
      </c>
      <c r="AB9854" s="462" t="s">
        <v>27367</v>
      </c>
      <c r="AC9854" s="462" t="s">
        <v>27368</v>
      </c>
      <c r="AD9854" s="464">
        <v>259.12475000000001</v>
      </c>
      <c r="AE9854" s="465">
        <v>10.40662</v>
      </c>
      <c r="AF9854" s="86">
        <f>IF(verze!$E$1="CZK",AD9854,IF(verze!$E$1="SK",AE9854,""))</f>
        <v>10.40662</v>
      </c>
    </row>
    <row r="9855" spans="27:32" ht="15">
      <c r="AA9855" s="463" t="s">
        <v>11151</v>
      </c>
      <c r="AB9855" s="462" t="s">
        <v>27369</v>
      </c>
      <c r="AC9855" s="462" t="s">
        <v>27370</v>
      </c>
      <c r="AD9855" s="464">
        <v>129.56383</v>
      </c>
      <c r="AE9855" s="465">
        <v>5.2033699999999996</v>
      </c>
      <c r="AF9855" s="86">
        <f>IF(verze!$E$1="CZK",AD9855,IF(verze!$E$1="SK",AE9855,""))</f>
        <v>5.2033699999999996</v>
      </c>
    </row>
    <row r="9856" spans="27:32" ht="15">
      <c r="AA9856" s="463" t="s">
        <v>11193</v>
      </c>
      <c r="AB9856" s="462" t="s">
        <v>27371</v>
      </c>
      <c r="AC9856" s="462" t="s">
        <v>27372</v>
      </c>
      <c r="AD9856" s="464">
        <v>537.69647999999995</v>
      </c>
      <c r="AE9856" s="465">
        <v>21.59423</v>
      </c>
      <c r="AF9856" s="86">
        <f>IF(verze!$E$1="CZK",AD9856,IF(verze!$E$1="SK",AE9856,""))</f>
        <v>21.59423</v>
      </c>
    </row>
    <row r="9857" spans="27:32" ht="15">
      <c r="AA9857" s="463" t="s">
        <v>11196</v>
      </c>
      <c r="AB9857" s="462" t="s">
        <v>27373</v>
      </c>
      <c r="AC9857" s="462" t="s">
        <v>27374</v>
      </c>
      <c r="AD9857" s="464">
        <v>394.6825</v>
      </c>
      <c r="AE9857" s="465">
        <v>15.8507</v>
      </c>
      <c r="AF9857" s="86">
        <f>IF(verze!$E$1="CZK",AD9857,IF(verze!$E$1="SK",AE9857,""))</f>
        <v>15.8507</v>
      </c>
    </row>
    <row r="9858" spans="27:32" ht="15">
      <c r="AA9858" s="463" t="s">
        <v>11259</v>
      </c>
      <c r="AB9858" s="462" t="s">
        <v>27375</v>
      </c>
      <c r="AC9858" s="462" t="s">
        <v>27376</v>
      </c>
      <c r="AD9858" s="464">
        <v>409.78895</v>
      </c>
      <c r="AE9858" s="465">
        <v>16.457380000000001</v>
      </c>
      <c r="AF9858" s="86">
        <f>IF(verze!$E$1="CZK",AD9858,IF(verze!$E$1="SK",AE9858,""))</f>
        <v>16.457380000000001</v>
      </c>
    </row>
    <row r="9859" spans="27:32" ht="15">
      <c r="AA9859" s="463" t="s">
        <v>11259</v>
      </c>
      <c r="AB9859" s="462" t="s">
        <v>27377</v>
      </c>
      <c r="AC9859" s="462" t="s">
        <v>27378</v>
      </c>
      <c r="AD9859" s="464">
        <v>409.78895</v>
      </c>
      <c r="AE9859" s="465">
        <v>16.457380000000001</v>
      </c>
      <c r="AF9859" s="86">
        <f>IF(verze!$E$1="CZK",AD9859,IF(verze!$E$1="SK",AE9859,""))</f>
        <v>16.457380000000001</v>
      </c>
    </row>
    <row r="9860" spans="27:32" ht="15">
      <c r="AA9860" s="463" t="s">
        <v>27379</v>
      </c>
      <c r="AB9860" s="462" t="s">
        <v>27380</v>
      </c>
      <c r="AC9860" s="462" t="s">
        <v>27381</v>
      </c>
      <c r="AD9860" s="464">
        <v>41.297800000000002</v>
      </c>
      <c r="AE9860" s="465">
        <v>1.6194200000000001</v>
      </c>
      <c r="AF9860" s="86">
        <f>IF(verze!$E$1="CZK",AD9860,IF(verze!$E$1="SK",AE9860,""))</f>
        <v>1.6194200000000001</v>
      </c>
    </row>
    <row r="9861" spans="27:32" ht="15">
      <c r="AA9861" s="463" t="s">
        <v>11409</v>
      </c>
      <c r="AB9861" s="462" t="s">
        <v>27382</v>
      </c>
      <c r="AC9861" s="462" t="s">
        <v>27383</v>
      </c>
      <c r="AD9861" s="464">
        <v>204.24493000000001</v>
      </c>
      <c r="AE9861" s="465">
        <v>8.2026000000000003</v>
      </c>
      <c r="AF9861" s="86">
        <f>IF(verze!$E$1="CZK",AD9861,IF(verze!$E$1="SK",AE9861,""))</f>
        <v>8.2026000000000003</v>
      </c>
    </row>
    <row r="9862" spans="27:32" ht="15">
      <c r="AA9862" s="463" t="s">
        <v>11541</v>
      </c>
      <c r="AB9862" s="462" t="s">
        <v>27384</v>
      </c>
      <c r="AC9862" s="462" t="s">
        <v>27385</v>
      </c>
      <c r="AD9862" s="464">
        <v>29.277529999999999</v>
      </c>
      <c r="AE9862" s="465">
        <v>1.1758</v>
      </c>
      <c r="AF9862" s="86">
        <f>IF(verze!$E$1="CZK",AD9862,IF(verze!$E$1="SK",AE9862,""))</f>
        <v>1.1758</v>
      </c>
    </row>
    <row r="9863" spans="27:32" ht="15">
      <c r="AA9863" s="463" t="s">
        <v>11546</v>
      </c>
      <c r="AB9863" s="462" t="s">
        <v>27386</v>
      </c>
      <c r="AC9863" s="462" t="s">
        <v>27387</v>
      </c>
      <c r="AD9863" s="464">
        <v>29.277529999999999</v>
      </c>
      <c r="AE9863" s="465">
        <v>1.1758</v>
      </c>
      <c r="AF9863" s="86">
        <f>IF(verze!$E$1="CZK",AD9863,IF(verze!$E$1="SK",AE9863,""))</f>
        <v>1.1758</v>
      </c>
    </row>
    <row r="9864" spans="27:32" ht="15">
      <c r="AA9864" s="463" t="s">
        <v>11702</v>
      </c>
      <c r="AB9864" s="462" t="s">
        <v>27388</v>
      </c>
      <c r="AC9864" s="462" t="s">
        <v>27389</v>
      </c>
      <c r="AD9864" s="464">
        <v>24.483129999999999</v>
      </c>
      <c r="AE9864" s="465">
        <v>0.98324999999999996</v>
      </c>
      <c r="AF9864" s="86">
        <f>IF(verze!$E$1="CZK",AD9864,IF(verze!$E$1="SK",AE9864,""))</f>
        <v>0.98324999999999996</v>
      </c>
    </row>
    <row r="9865" spans="27:32" ht="15">
      <c r="AA9865" s="463" t="s">
        <v>11707</v>
      </c>
      <c r="AB9865" s="462" t="s">
        <v>27390</v>
      </c>
      <c r="AC9865" s="462" t="s">
        <v>27391</v>
      </c>
      <c r="AD9865" s="464">
        <v>24.483129999999999</v>
      </c>
      <c r="AE9865" s="465">
        <v>0.98324999999999996</v>
      </c>
      <c r="AF9865" s="86">
        <f>IF(verze!$E$1="CZK",AD9865,IF(verze!$E$1="SK",AE9865,""))</f>
        <v>0.98324999999999996</v>
      </c>
    </row>
    <row r="9866" spans="27:32" ht="15">
      <c r="AA9866" s="463" t="s">
        <v>11752</v>
      </c>
      <c r="AB9866" s="462" t="s">
        <v>27392</v>
      </c>
      <c r="AC9866" s="462" t="s">
        <v>27393</v>
      </c>
      <c r="AD9866" s="464">
        <v>23.604880000000001</v>
      </c>
      <c r="AE9866" s="465">
        <v>0.94798000000000004</v>
      </c>
      <c r="AF9866" s="86">
        <f>IF(verze!$E$1="CZK",AD9866,IF(verze!$E$1="SK",AE9866,""))</f>
        <v>0.94798000000000004</v>
      </c>
    </row>
    <row r="9867" spans="27:32" ht="15">
      <c r="AA9867" s="463" t="s">
        <v>11757</v>
      </c>
      <c r="AB9867" s="462" t="s">
        <v>27394</v>
      </c>
      <c r="AC9867" s="462" t="s">
        <v>27395</v>
      </c>
      <c r="AD9867" s="464">
        <v>23.604880000000001</v>
      </c>
      <c r="AE9867" s="465">
        <v>0.94798000000000004</v>
      </c>
      <c r="AF9867" s="86">
        <f>IF(verze!$E$1="CZK",AD9867,IF(verze!$E$1="SK",AE9867,""))</f>
        <v>0.94798000000000004</v>
      </c>
    </row>
    <row r="9868" spans="27:32" ht="15">
      <c r="AA9868" s="463" t="s">
        <v>11762</v>
      </c>
      <c r="AB9868" s="462" t="s">
        <v>27396</v>
      </c>
      <c r="AC9868" s="462" t="s">
        <v>27397</v>
      </c>
      <c r="AD9868" s="464">
        <v>24.483129999999999</v>
      </c>
      <c r="AE9868" s="465">
        <v>0.98324999999999996</v>
      </c>
      <c r="AF9868" s="86">
        <f>IF(verze!$E$1="CZK",AD9868,IF(verze!$E$1="SK",AE9868,""))</f>
        <v>0.98324999999999996</v>
      </c>
    </row>
    <row r="9869" spans="27:32" ht="15">
      <c r="AA9869" s="463" t="s">
        <v>11767</v>
      </c>
      <c r="AB9869" s="462" t="s">
        <v>27398</v>
      </c>
      <c r="AC9869" s="462" t="s">
        <v>27399</v>
      </c>
      <c r="AD9869" s="464">
        <v>24.483129999999999</v>
      </c>
      <c r="AE9869" s="465">
        <v>0.98324999999999996</v>
      </c>
      <c r="AF9869" s="86">
        <f>IF(verze!$E$1="CZK",AD9869,IF(verze!$E$1="SK",AE9869,""))</f>
        <v>0.98324999999999996</v>
      </c>
    </row>
    <row r="9870" spans="27:32" ht="15">
      <c r="AA9870" s="463" t="s">
        <v>11908</v>
      </c>
      <c r="AB9870" s="462" t="s">
        <v>27400</v>
      </c>
      <c r="AC9870" s="462" t="s">
        <v>27401</v>
      </c>
      <c r="AD9870" s="464">
        <v>5.8357299999999999</v>
      </c>
      <c r="AE9870" s="465">
        <v>0.23438000000000001</v>
      </c>
      <c r="AF9870" s="86">
        <f>IF(verze!$E$1="CZK",AD9870,IF(verze!$E$1="SK",AE9870,""))</f>
        <v>0.23438000000000001</v>
      </c>
    </row>
    <row r="9871" spans="27:32" ht="15">
      <c r="AA9871" s="463" t="s">
        <v>11913</v>
      </c>
      <c r="AB9871" s="462" t="s">
        <v>27402</v>
      </c>
      <c r="AC9871" s="462" t="s">
        <v>27403</v>
      </c>
      <c r="AD9871" s="464">
        <v>5.8357299999999999</v>
      </c>
      <c r="AE9871" s="465">
        <v>0.23438000000000001</v>
      </c>
      <c r="AF9871" s="86">
        <f>IF(verze!$E$1="CZK",AD9871,IF(verze!$E$1="SK",AE9871,""))</f>
        <v>0.23438000000000001</v>
      </c>
    </row>
    <row r="9872" spans="27:32" ht="15">
      <c r="AA9872" s="463" t="s">
        <v>11928</v>
      </c>
      <c r="AB9872" s="462" t="s">
        <v>27404</v>
      </c>
      <c r="AC9872" s="462" t="s">
        <v>27405</v>
      </c>
      <c r="AD9872" s="464">
        <v>12.07818</v>
      </c>
      <c r="AE9872" s="465">
        <v>0.48508000000000001</v>
      </c>
      <c r="AF9872" s="86">
        <f>IF(verze!$E$1="CZK",AD9872,IF(verze!$E$1="SK",AE9872,""))</f>
        <v>0.48508000000000001</v>
      </c>
    </row>
    <row r="9873" spans="27:32" ht="15">
      <c r="AA9873" s="463" t="s">
        <v>11933</v>
      </c>
      <c r="AB9873" s="462" t="s">
        <v>27406</v>
      </c>
      <c r="AC9873" s="462" t="s">
        <v>27407</v>
      </c>
      <c r="AD9873" s="464">
        <v>12.07818</v>
      </c>
      <c r="AE9873" s="465">
        <v>0.48508000000000001</v>
      </c>
      <c r="AF9873" s="86">
        <f>IF(verze!$E$1="CZK",AD9873,IF(verze!$E$1="SK",AE9873,""))</f>
        <v>0.48508000000000001</v>
      </c>
    </row>
    <row r="9874" spans="27:32" ht="15">
      <c r="AA9874" s="463" t="s">
        <v>11938</v>
      </c>
      <c r="AB9874" s="462" t="s">
        <v>27408</v>
      </c>
      <c r="AC9874" s="462" t="s">
        <v>27409</v>
      </c>
      <c r="AD9874" s="464">
        <v>12.07818</v>
      </c>
      <c r="AE9874" s="465">
        <v>0.48508000000000001</v>
      </c>
      <c r="AF9874" s="86">
        <f>IF(verze!$E$1="CZK",AD9874,IF(verze!$E$1="SK",AE9874,""))</f>
        <v>0.48508000000000001</v>
      </c>
    </row>
    <row r="9875" spans="27:32" ht="15">
      <c r="AA9875" s="463" t="s">
        <v>11943</v>
      </c>
      <c r="AB9875" s="462" t="s">
        <v>27410</v>
      </c>
      <c r="AC9875" s="462" t="s">
        <v>27411</v>
      </c>
      <c r="AD9875" s="464">
        <v>12.07818</v>
      </c>
      <c r="AE9875" s="465">
        <v>0.48508000000000001</v>
      </c>
      <c r="AF9875" s="86">
        <f>IF(verze!$E$1="CZK",AD9875,IF(verze!$E$1="SK",AE9875,""))</f>
        <v>0.48508000000000001</v>
      </c>
    </row>
    <row r="9876" spans="27:32" ht="15">
      <c r="AA9876" s="463" t="s">
        <v>11948</v>
      </c>
      <c r="AB9876" s="462" t="s">
        <v>27412</v>
      </c>
      <c r="AC9876" s="462" t="s">
        <v>27413</v>
      </c>
      <c r="AD9876" s="464">
        <v>20.22045</v>
      </c>
      <c r="AE9876" s="465">
        <v>0.81208000000000002</v>
      </c>
      <c r="AF9876" s="86">
        <f>IF(verze!$E$1="CZK",AD9876,IF(verze!$E$1="SK",AE9876,""))</f>
        <v>0.81208000000000002</v>
      </c>
    </row>
    <row r="9877" spans="27:32" ht="15">
      <c r="AA9877" s="463" t="s">
        <v>11953</v>
      </c>
      <c r="AB9877" s="462" t="s">
        <v>27414</v>
      </c>
      <c r="AC9877" s="462" t="s">
        <v>27415</v>
      </c>
      <c r="AD9877" s="464">
        <v>20.22045</v>
      </c>
      <c r="AE9877" s="465">
        <v>0.81208000000000002</v>
      </c>
      <c r="AF9877" s="86">
        <f>IF(verze!$E$1="CZK",AD9877,IF(verze!$E$1="SK",AE9877,""))</f>
        <v>0.81208000000000002</v>
      </c>
    </row>
    <row r="9878" spans="27:32" ht="15">
      <c r="AA9878" s="463" t="s">
        <v>11958</v>
      </c>
      <c r="AB9878" s="462" t="s">
        <v>27416</v>
      </c>
      <c r="AC9878" s="462" t="s">
        <v>27417</v>
      </c>
      <c r="AD9878" s="464">
        <v>20.22045</v>
      </c>
      <c r="AE9878" s="465">
        <v>0.81208000000000002</v>
      </c>
      <c r="AF9878" s="86">
        <f>IF(verze!$E$1="CZK",AD9878,IF(verze!$E$1="SK",AE9878,""))</f>
        <v>0.81208000000000002</v>
      </c>
    </row>
    <row r="9879" spans="27:32" ht="15">
      <c r="AA9879" s="463" t="s">
        <v>11963</v>
      </c>
      <c r="AB9879" s="462" t="s">
        <v>27418</v>
      </c>
      <c r="AC9879" s="462" t="s">
        <v>27419</v>
      </c>
      <c r="AD9879" s="464">
        <v>20.22045</v>
      </c>
      <c r="AE9879" s="465">
        <v>0.81208000000000002</v>
      </c>
      <c r="AF9879" s="86">
        <f>IF(verze!$E$1="CZK",AD9879,IF(verze!$E$1="SK",AE9879,""))</f>
        <v>0.81208000000000002</v>
      </c>
    </row>
    <row r="9880" spans="27:32" ht="15">
      <c r="AA9880" s="463" t="s">
        <v>11980</v>
      </c>
      <c r="AB9880" s="462" t="s">
        <v>27420</v>
      </c>
      <c r="AC9880" s="462" t="s">
        <v>27421</v>
      </c>
      <c r="AD9880" s="464">
        <v>1.333</v>
      </c>
      <c r="AE9880" s="465">
        <v>5.3530000000000001E-2</v>
      </c>
      <c r="AF9880" s="86">
        <f>IF(verze!$E$1="CZK",AD9880,IF(verze!$E$1="SK",AE9880,""))</f>
        <v>5.3530000000000001E-2</v>
      </c>
    </row>
    <row r="9881" spans="27:32" ht="15">
      <c r="AA9881" s="463" t="s">
        <v>12004</v>
      </c>
      <c r="AB9881" s="462" t="s">
        <v>27422</v>
      </c>
      <c r="AC9881" s="462" t="s">
        <v>27423</v>
      </c>
      <c r="AD9881" s="464">
        <v>21.34825</v>
      </c>
      <c r="AE9881" s="465">
        <v>0.85734999999999995</v>
      </c>
      <c r="AF9881" s="86">
        <f>IF(verze!$E$1="CZK",AD9881,IF(verze!$E$1="SK",AE9881,""))</f>
        <v>0.85734999999999995</v>
      </c>
    </row>
    <row r="9882" spans="27:32" ht="15">
      <c r="AA9882" s="463" t="s">
        <v>12007</v>
      </c>
      <c r="AB9882" s="462" t="s">
        <v>27424</v>
      </c>
      <c r="AC9882" s="462" t="s">
        <v>27425</v>
      </c>
      <c r="AD9882" s="464">
        <v>21.34825</v>
      </c>
      <c r="AE9882" s="465">
        <v>0.85734999999999995</v>
      </c>
      <c r="AF9882" s="86">
        <f>IF(verze!$E$1="CZK",AD9882,IF(verze!$E$1="SK",AE9882,""))</f>
        <v>0.85734999999999995</v>
      </c>
    </row>
    <row r="9883" spans="27:32" ht="15">
      <c r="AA9883" s="463" t="s">
        <v>12010</v>
      </c>
      <c r="AB9883" s="462" t="s">
        <v>27426</v>
      </c>
      <c r="AC9883" s="462" t="s">
        <v>27427</v>
      </c>
      <c r="AD9883" s="464">
        <v>21.34825</v>
      </c>
      <c r="AE9883" s="465">
        <v>0.85734999999999995</v>
      </c>
      <c r="AF9883" s="86">
        <f>IF(verze!$E$1="CZK",AD9883,IF(verze!$E$1="SK",AE9883,""))</f>
        <v>0.85734999999999995</v>
      </c>
    </row>
    <row r="9884" spans="27:32" ht="15">
      <c r="AA9884" s="463" t="s">
        <v>12013</v>
      </c>
      <c r="AB9884" s="462" t="s">
        <v>27428</v>
      </c>
      <c r="AC9884" s="462" t="s">
        <v>27429</v>
      </c>
      <c r="AD9884" s="464">
        <v>47.819980000000001</v>
      </c>
      <c r="AE9884" s="465">
        <v>1.92048</v>
      </c>
      <c r="AF9884" s="86">
        <f>IF(verze!$E$1="CZK",AD9884,IF(verze!$E$1="SK",AE9884,""))</f>
        <v>1.92048</v>
      </c>
    </row>
    <row r="9885" spans="27:32" ht="15">
      <c r="AA9885" s="463" t="s">
        <v>12019</v>
      </c>
      <c r="AB9885" s="462" t="s">
        <v>27430</v>
      </c>
      <c r="AC9885" s="462" t="s">
        <v>27431</v>
      </c>
      <c r="AD9885" s="464">
        <v>47.819980000000001</v>
      </c>
      <c r="AE9885" s="465">
        <v>1.92048</v>
      </c>
      <c r="AF9885" s="86">
        <f>IF(verze!$E$1="CZK",AD9885,IF(verze!$E$1="SK",AE9885,""))</f>
        <v>1.92048</v>
      </c>
    </row>
    <row r="9886" spans="27:32" ht="15">
      <c r="AA9886" s="463" t="s">
        <v>12034</v>
      </c>
      <c r="AB9886" s="462" t="s">
        <v>27432</v>
      </c>
      <c r="AC9886" s="462" t="s">
        <v>27433</v>
      </c>
      <c r="AD9886" s="464">
        <v>46.965629999999997</v>
      </c>
      <c r="AE9886" s="465">
        <v>1.88618</v>
      </c>
      <c r="AF9886" s="86">
        <f>IF(verze!$E$1="CZK",AD9886,IF(verze!$E$1="SK",AE9886,""))</f>
        <v>1.88618</v>
      </c>
    </row>
    <row r="9887" spans="27:32" ht="15">
      <c r="AA9887" s="463" t="s">
        <v>12055</v>
      </c>
      <c r="AB9887" s="462" t="s">
        <v>27434</v>
      </c>
      <c r="AC9887" s="462" t="s">
        <v>27435</v>
      </c>
      <c r="AD9887" s="464">
        <v>60.62865</v>
      </c>
      <c r="AE9887" s="465">
        <v>2.4348800000000002</v>
      </c>
      <c r="AF9887" s="86">
        <f>IF(verze!$E$1="CZK",AD9887,IF(verze!$E$1="SK",AE9887,""))</f>
        <v>2.4348800000000002</v>
      </c>
    </row>
    <row r="9888" spans="27:32" ht="15">
      <c r="AA9888" s="463" t="s">
        <v>12094</v>
      </c>
      <c r="AB9888" s="462" t="s">
        <v>27436</v>
      </c>
      <c r="AC9888" s="462" t="s">
        <v>27437</v>
      </c>
      <c r="AD9888" s="464">
        <v>84.666300000000007</v>
      </c>
      <c r="AE9888" s="465">
        <v>3.4002500000000002</v>
      </c>
      <c r="AF9888" s="86">
        <f>IF(verze!$E$1="CZK",AD9888,IF(verze!$E$1="SK",AE9888,""))</f>
        <v>3.4002500000000002</v>
      </c>
    </row>
    <row r="9889" spans="27:32" ht="15">
      <c r="AA9889" s="463" t="s">
        <v>12097</v>
      </c>
      <c r="AB9889" s="462" t="s">
        <v>27438</v>
      </c>
      <c r="AC9889" s="462" t="s">
        <v>27439</v>
      </c>
      <c r="AD9889" s="464">
        <v>85.392349999999993</v>
      </c>
      <c r="AE9889" s="465">
        <v>3.4293999999999998</v>
      </c>
      <c r="AF9889" s="86">
        <f>IF(verze!$E$1="CZK",AD9889,IF(verze!$E$1="SK",AE9889,""))</f>
        <v>3.4293999999999998</v>
      </c>
    </row>
    <row r="9890" spans="27:32" ht="15">
      <c r="AA9890" s="463" t="s">
        <v>12118</v>
      </c>
      <c r="AB9890" s="462" t="s">
        <v>27440</v>
      </c>
      <c r="AC9890" s="462" t="s">
        <v>27441</v>
      </c>
      <c r="AD9890" s="464">
        <v>85.392349999999993</v>
      </c>
      <c r="AE9890" s="465">
        <v>3.4293999999999998</v>
      </c>
      <c r="AF9890" s="86">
        <f>IF(verze!$E$1="CZK",AD9890,IF(verze!$E$1="SK",AE9890,""))</f>
        <v>3.4293999999999998</v>
      </c>
    </row>
    <row r="9891" spans="27:32" ht="15">
      <c r="AA9891" s="463" t="s">
        <v>12181</v>
      </c>
      <c r="AB9891" s="462" t="s">
        <v>27442</v>
      </c>
      <c r="AC9891" s="462" t="s">
        <v>27443</v>
      </c>
      <c r="AD9891" s="464">
        <v>99.05538</v>
      </c>
      <c r="AE9891" s="465">
        <v>3.9781300000000002</v>
      </c>
      <c r="AF9891" s="86">
        <f>IF(verze!$E$1="CZK",AD9891,IF(verze!$E$1="SK",AE9891,""))</f>
        <v>3.9781300000000002</v>
      </c>
    </row>
    <row r="9892" spans="27:32" ht="15">
      <c r="AA9892" s="463" t="s">
        <v>12205</v>
      </c>
      <c r="AB9892" s="462" t="s">
        <v>27444</v>
      </c>
      <c r="AC9892" s="462" t="s">
        <v>27445</v>
      </c>
      <c r="AD9892" s="464">
        <v>193.53270000000001</v>
      </c>
      <c r="AE9892" s="465">
        <v>7.7724000000000002</v>
      </c>
      <c r="AF9892" s="86">
        <f>IF(verze!$E$1="CZK",AD9892,IF(verze!$E$1="SK",AE9892,""))</f>
        <v>7.7724000000000002</v>
      </c>
    </row>
    <row r="9893" spans="27:32" ht="15">
      <c r="AA9893" s="463" t="s">
        <v>12215</v>
      </c>
      <c r="AB9893" s="462" t="s">
        <v>27446</v>
      </c>
      <c r="AC9893" s="462" t="s">
        <v>27447</v>
      </c>
      <c r="AD9893" s="464">
        <v>193.53270000000001</v>
      </c>
      <c r="AE9893" s="465">
        <v>7.7724000000000002</v>
      </c>
      <c r="AF9893" s="86">
        <f>IF(verze!$E$1="CZK",AD9893,IF(verze!$E$1="SK",AE9893,""))</f>
        <v>7.7724000000000002</v>
      </c>
    </row>
    <row r="9894" spans="27:32" ht="15">
      <c r="AA9894" s="463" t="s">
        <v>12704</v>
      </c>
      <c r="AB9894" s="462" t="s">
        <v>27448</v>
      </c>
      <c r="AC9894" s="462" t="s">
        <v>27449</v>
      </c>
      <c r="AD9894" s="464">
        <v>86.549970000000002</v>
      </c>
      <c r="AE9894" s="465">
        <v>3.4759000000000002</v>
      </c>
      <c r="AF9894" s="86">
        <f>IF(verze!$E$1="CZK",AD9894,IF(verze!$E$1="SK",AE9894,""))</f>
        <v>3.4759000000000002</v>
      </c>
    </row>
    <row r="9895" spans="27:32" ht="15">
      <c r="AA9895" s="463" t="s">
        <v>12710</v>
      </c>
      <c r="AB9895" s="462" t="s">
        <v>27450</v>
      </c>
      <c r="AC9895" s="462" t="s">
        <v>27451</v>
      </c>
      <c r="AD9895" s="464">
        <v>162.89805000000001</v>
      </c>
      <c r="AE9895" s="465">
        <v>6.5420999999999996</v>
      </c>
      <c r="AF9895" s="86">
        <f>IF(verze!$E$1="CZK",AD9895,IF(verze!$E$1="SK",AE9895,""))</f>
        <v>6.5420999999999996</v>
      </c>
    </row>
    <row r="9896" spans="27:32" ht="15">
      <c r="AA9896" s="463" t="s">
        <v>12755</v>
      </c>
      <c r="AB9896" s="462" t="s">
        <v>27452</v>
      </c>
      <c r="AC9896" s="462" t="s">
        <v>27453</v>
      </c>
      <c r="AD9896" s="464">
        <v>25.260349999999999</v>
      </c>
      <c r="AE9896" s="465">
        <v>1.01448</v>
      </c>
      <c r="AF9896" s="86">
        <f>IF(verze!$E$1="CZK",AD9896,IF(verze!$E$1="SK",AE9896,""))</f>
        <v>1.01448</v>
      </c>
    </row>
    <row r="9897" spans="27:32" ht="15">
      <c r="AA9897" s="463" t="s">
        <v>12758</v>
      </c>
      <c r="AB9897" s="462" t="s">
        <v>27454</v>
      </c>
      <c r="AC9897" s="462" t="s">
        <v>27455</v>
      </c>
      <c r="AD9897" s="464">
        <v>25.260349999999999</v>
      </c>
      <c r="AE9897" s="465">
        <v>1.01448</v>
      </c>
      <c r="AF9897" s="86">
        <f>IF(verze!$E$1="CZK",AD9897,IF(verze!$E$1="SK",AE9897,""))</f>
        <v>1.01448</v>
      </c>
    </row>
    <row r="9898" spans="27:32" ht="15">
      <c r="AA9898" s="463" t="s">
        <v>12920</v>
      </c>
      <c r="AB9898" s="462" t="s">
        <v>27456</v>
      </c>
      <c r="AC9898" s="462" t="s">
        <v>27457</v>
      </c>
      <c r="AD9898" s="464">
        <v>25.095099999999999</v>
      </c>
      <c r="AE9898" s="465">
        <v>1.00783</v>
      </c>
      <c r="AF9898" s="86">
        <f>IF(verze!$E$1="CZK",AD9898,IF(verze!$E$1="SK",AE9898,""))</f>
        <v>1.00783</v>
      </c>
    </row>
    <row r="9899" spans="27:32" ht="15">
      <c r="AA9899" s="463" t="s">
        <v>12940</v>
      </c>
      <c r="AB9899" s="462" t="s">
        <v>27458</v>
      </c>
      <c r="AC9899" s="462" t="s">
        <v>27459</v>
      </c>
      <c r="AD9899" s="464">
        <v>109.09728</v>
      </c>
      <c r="AE9899" s="465">
        <v>4.3814299999999999</v>
      </c>
      <c r="AF9899" s="86">
        <f>IF(verze!$E$1="CZK",AD9899,IF(verze!$E$1="SK",AE9899,""))</f>
        <v>4.3814299999999999</v>
      </c>
    </row>
    <row r="9900" spans="27:32" ht="15">
      <c r="AA9900" s="463" t="s">
        <v>12943</v>
      </c>
      <c r="AB9900" s="462" t="s">
        <v>27460</v>
      </c>
      <c r="AC9900" s="462" t="s">
        <v>27461</v>
      </c>
      <c r="AD9900" s="464">
        <v>48.37518</v>
      </c>
      <c r="AE9900" s="465">
        <v>1.94278</v>
      </c>
      <c r="AF9900" s="86">
        <f>IF(verze!$E$1="CZK",AD9900,IF(verze!$E$1="SK",AE9900,""))</f>
        <v>1.94278</v>
      </c>
    </row>
    <row r="9901" spans="27:32" ht="15">
      <c r="AA9901" s="463" t="s">
        <v>12949</v>
      </c>
      <c r="AB9901" s="462" t="s">
        <v>27462</v>
      </c>
      <c r="AC9901" s="462" t="s">
        <v>27463</v>
      </c>
      <c r="AD9901" s="464">
        <v>537.69647999999995</v>
      </c>
      <c r="AE9901" s="465">
        <v>21.59423</v>
      </c>
      <c r="AF9901" s="86">
        <f>IF(verze!$E$1="CZK",AD9901,IF(verze!$E$1="SK",AE9901,""))</f>
        <v>21.59423</v>
      </c>
    </row>
    <row r="9902" spans="27:32" ht="15">
      <c r="AA9902" s="463" t="s">
        <v>13033</v>
      </c>
      <c r="AB9902" s="462" t="s">
        <v>27464</v>
      </c>
      <c r="AC9902" s="462" t="s">
        <v>27465</v>
      </c>
      <c r="AD9902" s="464">
        <v>20.61215</v>
      </c>
      <c r="AE9902" s="465">
        <v>0.82779999999999998</v>
      </c>
      <c r="AF9902" s="86">
        <f>IF(verze!$E$1="CZK",AD9902,IF(verze!$E$1="SK",AE9902,""))</f>
        <v>0.82779999999999998</v>
      </c>
    </row>
    <row r="9903" spans="27:32" ht="15">
      <c r="AA9903" s="463" t="s">
        <v>13042</v>
      </c>
      <c r="AB9903" s="462" t="s">
        <v>27466</v>
      </c>
      <c r="AC9903" s="462" t="s">
        <v>27467</v>
      </c>
      <c r="AD9903" s="464">
        <v>4.74085</v>
      </c>
      <c r="AE9903" s="465">
        <v>0.19040000000000001</v>
      </c>
      <c r="AF9903" s="86">
        <f>IF(verze!$E$1="CZK",AD9903,IF(verze!$E$1="SK",AE9903,""))</f>
        <v>0.19040000000000001</v>
      </c>
    </row>
    <row r="9904" spans="27:32" ht="15">
      <c r="AA9904" s="463" t="s">
        <v>13048</v>
      </c>
      <c r="AB9904" s="462" t="s">
        <v>27468</v>
      </c>
      <c r="AC9904" s="462" t="s">
        <v>27469</v>
      </c>
      <c r="AD9904" s="464">
        <v>568.52120000000002</v>
      </c>
      <c r="AE9904" s="465">
        <v>22.832180000000001</v>
      </c>
      <c r="AF9904" s="86">
        <f>IF(verze!$E$1="CZK",AD9904,IF(verze!$E$1="SK",AE9904,""))</f>
        <v>22.832180000000001</v>
      </c>
    </row>
    <row r="9905" spans="27:32" ht="15">
      <c r="AA9905" s="463" t="s">
        <v>13054</v>
      </c>
      <c r="AB9905" s="462" t="s">
        <v>27470</v>
      </c>
      <c r="AC9905" s="462" t="s">
        <v>27471</v>
      </c>
      <c r="AD9905" s="464">
        <v>127.15698</v>
      </c>
      <c r="AE9905" s="465">
        <v>5.1067</v>
      </c>
      <c r="AF9905" s="86">
        <f>IF(verze!$E$1="CZK",AD9905,IF(verze!$E$1="SK",AE9905,""))</f>
        <v>5.1067</v>
      </c>
    </row>
    <row r="9906" spans="27:32" ht="15">
      <c r="AA9906" s="463" t="s">
        <v>13221</v>
      </c>
      <c r="AB9906" s="462" t="s">
        <v>27472</v>
      </c>
      <c r="AC9906" s="462" t="s">
        <v>27473</v>
      </c>
      <c r="AD9906" s="464">
        <v>377.27715000000001</v>
      </c>
      <c r="AE9906" s="465">
        <v>15.1517</v>
      </c>
      <c r="AF9906" s="86">
        <f>IF(verze!$E$1="CZK",AD9906,IF(verze!$E$1="SK",AE9906,""))</f>
        <v>15.1517</v>
      </c>
    </row>
    <row r="9907" spans="27:32" ht="15">
      <c r="AA9907" s="463" t="s">
        <v>13314</v>
      </c>
      <c r="AB9907" s="462" t="s">
        <v>27474</v>
      </c>
      <c r="AC9907" s="462" t="s">
        <v>27475</v>
      </c>
      <c r="AD9907" s="464">
        <v>107.70343</v>
      </c>
      <c r="AE9907" s="465">
        <v>4.32545</v>
      </c>
      <c r="AF9907" s="86">
        <f>IF(verze!$E$1="CZK",AD9907,IF(verze!$E$1="SK",AE9907,""))</f>
        <v>4.32545</v>
      </c>
    </row>
    <row r="9908" spans="27:32" ht="15">
      <c r="AA9908" s="463" t="s">
        <v>13314</v>
      </c>
      <c r="AB9908" s="462" t="s">
        <v>27476</v>
      </c>
      <c r="AC9908" s="462" t="s">
        <v>27477</v>
      </c>
      <c r="AD9908" s="464">
        <v>107.70343</v>
      </c>
      <c r="AE9908" s="465">
        <v>4.32545</v>
      </c>
      <c r="AF9908" s="86">
        <f>IF(verze!$E$1="CZK",AD9908,IF(verze!$E$1="SK",AE9908,""))</f>
        <v>4.32545</v>
      </c>
    </row>
    <row r="9909" spans="27:32" ht="15">
      <c r="AA9909" s="463" t="s">
        <v>13338</v>
      </c>
      <c r="AB9909" s="462" t="s">
        <v>27478</v>
      </c>
      <c r="AC9909" s="462" t="s">
        <v>27479</v>
      </c>
      <c r="AD9909" s="464">
        <v>259.12475000000001</v>
      </c>
      <c r="AE9909" s="465">
        <v>10.40662</v>
      </c>
      <c r="AF9909" s="86">
        <f>IF(verze!$E$1="CZK",AD9909,IF(verze!$E$1="SK",AE9909,""))</f>
        <v>10.40662</v>
      </c>
    </row>
    <row r="9910" spans="27:32" ht="15">
      <c r="AA9910" s="463" t="s">
        <v>13341</v>
      </c>
      <c r="AB9910" s="462" t="s">
        <v>27480</v>
      </c>
      <c r="AC9910" s="462" t="s">
        <v>27481</v>
      </c>
      <c r="AD9910" s="464">
        <v>129.56383</v>
      </c>
      <c r="AE9910" s="465">
        <v>5.2033699999999996</v>
      </c>
      <c r="AF9910" s="86">
        <f>IF(verze!$E$1="CZK",AD9910,IF(verze!$E$1="SK",AE9910,""))</f>
        <v>5.2033699999999996</v>
      </c>
    </row>
    <row r="9911" spans="27:32" ht="15">
      <c r="AA9911" s="463" t="s">
        <v>27482</v>
      </c>
      <c r="AB9911" s="462" t="s">
        <v>27483</v>
      </c>
      <c r="AC9911" s="462" t="s">
        <v>27484</v>
      </c>
      <c r="AD9911" s="464">
        <v>1471.1325300000001</v>
      </c>
      <c r="AE9911" s="465">
        <v>57.68768</v>
      </c>
      <c r="AF9911" s="86">
        <f>IF(verze!$E$1="CZK",AD9911,IF(verze!$E$1="SK",AE9911,""))</f>
        <v>57.68768</v>
      </c>
    </row>
    <row r="9912" spans="27:32" ht="15">
      <c r="AA9912" s="463" t="s">
        <v>13427</v>
      </c>
      <c r="AB9912" s="462" t="s">
        <v>27485</v>
      </c>
      <c r="AC9912" s="462" t="s">
        <v>27486</v>
      </c>
      <c r="AD9912" s="464">
        <v>49.916980000000002</v>
      </c>
      <c r="AE9912" s="465">
        <v>2.0047000000000001</v>
      </c>
      <c r="AF9912" s="86">
        <f>IF(verze!$E$1="CZK",AD9912,IF(verze!$E$1="SK",AE9912,""))</f>
        <v>2.0047000000000001</v>
      </c>
    </row>
    <row r="9913" spans="27:32" ht="15">
      <c r="AA9913" s="463" t="s">
        <v>13436</v>
      </c>
      <c r="AB9913" s="462" t="s">
        <v>27487</v>
      </c>
      <c r="AC9913" s="462" t="s">
        <v>27488</v>
      </c>
      <c r="AD9913" s="464">
        <v>29.743680000000001</v>
      </c>
      <c r="AE9913" s="465">
        <v>1.1945300000000001</v>
      </c>
      <c r="AF9913" s="86">
        <f>IF(verze!$E$1="CZK",AD9913,IF(verze!$E$1="SK",AE9913,""))</f>
        <v>1.1945300000000001</v>
      </c>
    </row>
    <row r="9914" spans="27:32" ht="15">
      <c r="AA9914" s="463" t="s">
        <v>13531</v>
      </c>
      <c r="AB9914" s="462" t="s">
        <v>27489</v>
      </c>
      <c r="AC9914" s="462" t="s">
        <v>27490</v>
      </c>
      <c r="AD9914" s="464">
        <v>372.70472999999998</v>
      </c>
      <c r="AE9914" s="465">
        <v>14.96805</v>
      </c>
      <c r="AF9914" s="86">
        <f>IF(verze!$E$1="CZK",AD9914,IF(verze!$E$1="SK",AE9914,""))</f>
        <v>14.96805</v>
      </c>
    </row>
    <row r="9915" spans="27:32" ht="15">
      <c r="AA9915" s="463" t="s">
        <v>13561</v>
      </c>
      <c r="AB9915" s="462" t="s">
        <v>27491</v>
      </c>
      <c r="AC9915" s="462" t="s">
        <v>27492</v>
      </c>
      <c r="AD9915" s="464">
        <v>193.98248000000001</v>
      </c>
      <c r="AE9915" s="465">
        <v>7.7904499999999999</v>
      </c>
      <c r="AF9915" s="86">
        <f>IF(verze!$E$1="CZK",AD9915,IF(verze!$E$1="SK",AE9915,""))</f>
        <v>7.7904499999999999</v>
      </c>
    </row>
    <row r="9916" spans="27:32" ht="15">
      <c r="AA9916" s="463" t="s">
        <v>13594</v>
      </c>
      <c r="AB9916" s="462" t="s">
        <v>27493</v>
      </c>
      <c r="AC9916" s="462" t="s">
        <v>27494</v>
      </c>
      <c r="AD9916" s="464">
        <v>60.859450000000002</v>
      </c>
      <c r="AE9916" s="465">
        <v>2.44415</v>
      </c>
      <c r="AF9916" s="86">
        <f>IF(verze!$E$1="CZK",AD9916,IF(verze!$E$1="SK",AE9916,""))</f>
        <v>2.44415</v>
      </c>
    </row>
    <row r="9917" spans="27:32" ht="15">
      <c r="AA9917" s="463" t="s">
        <v>13597</v>
      </c>
      <c r="AB9917" s="462" t="s">
        <v>27495</v>
      </c>
      <c r="AC9917" s="462" t="s">
        <v>27496</v>
      </c>
      <c r="AD9917" s="464">
        <v>97.374449999999996</v>
      </c>
      <c r="AE9917" s="465">
        <v>3.9106299999999998</v>
      </c>
      <c r="AF9917" s="86">
        <f>IF(verze!$E$1="CZK",AD9917,IF(verze!$E$1="SK",AE9917,""))</f>
        <v>3.9106299999999998</v>
      </c>
    </row>
    <row r="9918" spans="27:32" ht="15">
      <c r="AA9918" s="463" t="s">
        <v>13615</v>
      </c>
      <c r="AB9918" s="462" t="s">
        <v>27497</v>
      </c>
      <c r="AC9918" s="462" t="s">
        <v>27498</v>
      </c>
      <c r="AD9918" s="464">
        <v>114.05455000000001</v>
      </c>
      <c r="AE9918" s="465">
        <v>4.5804999999999998</v>
      </c>
      <c r="AF9918" s="86">
        <f>IF(verze!$E$1="CZK",AD9918,IF(verze!$E$1="SK",AE9918,""))</f>
        <v>4.5804999999999998</v>
      </c>
    </row>
    <row r="9919" spans="27:32" ht="15">
      <c r="AA9919" s="463" t="s">
        <v>13642</v>
      </c>
      <c r="AB9919" s="462" t="s">
        <v>27499</v>
      </c>
      <c r="AC9919" s="462" t="s">
        <v>27500</v>
      </c>
      <c r="AD9919" s="464">
        <v>375.06623000000002</v>
      </c>
      <c r="AE9919" s="465">
        <v>15.062900000000001</v>
      </c>
      <c r="AF9919" s="86">
        <f>IF(verze!$E$1="CZK",AD9919,IF(verze!$E$1="SK",AE9919,""))</f>
        <v>15.062900000000001</v>
      </c>
    </row>
    <row r="9920" spans="27:32" ht="15">
      <c r="AA9920" s="463" t="s">
        <v>13657</v>
      </c>
      <c r="AB9920" s="462" t="s">
        <v>27501</v>
      </c>
      <c r="AC9920" s="462" t="s">
        <v>27502</v>
      </c>
      <c r="AD9920" s="464">
        <v>375.06623000000002</v>
      </c>
      <c r="AE9920" s="465">
        <v>15.062900000000001</v>
      </c>
      <c r="AF9920" s="86">
        <f>IF(verze!$E$1="CZK",AD9920,IF(verze!$E$1="SK",AE9920,""))</f>
        <v>15.062900000000001</v>
      </c>
    </row>
    <row r="9921" spans="27:32" ht="15">
      <c r="AA9921" s="463" t="s">
        <v>13657</v>
      </c>
      <c r="AB9921" s="462" t="s">
        <v>27503</v>
      </c>
      <c r="AC9921" s="462" t="s">
        <v>27504</v>
      </c>
      <c r="AD9921" s="464">
        <v>375.06623000000002</v>
      </c>
      <c r="AE9921" s="465">
        <v>15.062900000000001</v>
      </c>
      <c r="AF9921" s="86">
        <f>IF(verze!$E$1="CZK",AD9921,IF(verze!$E$1="SK",AE9921,""))</f>
        <v>15.062900000000001</v>
      </c>
    </row>
    <row r="9922" spans="27:32" ht="15">
      <c r="AA9922" s="463" t="s">
        <v>13744</v>
      </c>
      <c r="AB9922" s="462" t="s">
        <v>27505</v>
      </c>
      <c r="AC9922" s="462" t="s">
        <v>27506</v>
      </c>
      <c r="AD9922" s="464">
        <v>2121.7071799999999</v>
      </c>
      <c r="AE9922" s="465">
        <v>85.209130000000002</v>
      </c>
      <c r="AF9922" s="86">
        <f>IF(verze!$E$1="CZK",AD9922,IF(verze!$E$1="SK",AE9922,""))</f>
        <v>85.209130000000002</v>
      </c>
    </row>
    <row r="9923" spans="27:32" ht="15">
      <c r="AA9923" s="463" t="s">
        <v>13779</v>
      </c>
      <c r="AB9923" s="462" t="s">
        <v>27507</v>
      </c>
      <c r="AC9923" s="462" t="s">
        <v>27508</v>
      </c>
      <c r="AD9923" s="464">
        <v>59.192630000000001</v>
      </c>
      <c r="AE9923" s="465">
        <v>2.37723</v>
      </c>
      <c r="AF9923" s="86">
        <f>IF(verze!$E$1="CZK",AD9923,IF(verze!$E$1="SK",AE9923,""))</f>
        <v>2.37723</v>
      </c>
    </row>
    <row r="9924" spans="27:32" ht="15">
      <c r="AA9924" s="463" t="s">
        <v>13782</v>
      </c>
      <c r="AB9924" s="462" t="s">
        <v>27509</v>
      </c>
      <c r="AC9924" s="462" t="s">
        <v>27510</v>
      </c>
      <c r="AD9924" s="464">
        <v>59.192630000000001</v>
      </c>
      <c r="AE9924" s="465">
        <v>2.37723</v>
      </c>
      <c r="AF9924" s="86">
        <f>IF(verze!$E$1="CZK",AD9924,IF(verze!$E$1="SK",AE9924,""))</f>
        <v>2.37723</v>
      </c>
    </row>
    <row r="9925" spans="27:32" ht="15">
      <c r="AA9925" s="463" t="s">
        <v>13796</v>
      </c>
      <c r="AB9925" s="462" t="s">
        <v>27511</v>
      </c>
      <c r="AC9925" s="462" t="s">
        <v>27512</v>
      </c>
      <c r="AD9925" s="464">
        <v>1473.1872800000001</v>
      </c>
      <c r="AE9925" s="465">
        <v>59.164149999999999</v>
      </c>
      <c r="AF9925" s="86">
        <f>IF(verze!$E$1="CZK",AD9925,IF(verze!$E$1="SK",AE9925,""))</f>
        <v>59.164149999999999</v>
      </c>
    </row>
    <row r="9926" spans="27:32" ht="15">
      <c r="AA9926" s="463" t="s">
        <v>13821</v>
      </c>
      <c r="AB9926" s="462" t="s">
        <v>27513</v>
      </c>
      <c r="AC9926" s="462" t="s">
        <v>27514</v>
      </c>
      <c r="AD9926" s="464">
        <v>93.710549999999998</v>
      </c>
      <c r="AE9926" s="465">
        <v>3.7634799999999999</v>
      </c>
      <c r="AF9926" s="86">
        <f>IF(verze!$E$1="CZK",AD9926,IF(verze!$E$1="SK",AE9926,""))</f>
        <v>3.7634799999999999</v>
      </c>
    </row>
    <row r="9927" spans="27:32" ht="15">
      <c r="AA9927" s="463" t="s">
        <v>13824</v>
      </c>
      <c r="AB9927" s="462" t="s">
        <v>27515</v>
      </c>
      <c r="AC9927" s="462" t="s">
        <v>27516</v>
      </c>
      <c r="AD9927" s="464">
        <v>3.9866799999999998</v>
      </c>
      <c r="AE9927" s="465">
        <v>0.16009999999999999</v>
      </c>
      <c r="AF9927" s="86">
        <f>IF(verze!$E$1="CZK",AD9927,IF(verze!$E$1="SK",AE9927,""))</f>
        <v>0.16009999999999999</v>
      </c>
    </row>
    <row r="9928" spans="27:32" ht="15">
      <c r="AA9928" s="463" t="s">
        <v>27517</v>
      </c>
      <c r="AB9928" s="462" t="s">
        <v>27518</v>
      </c>
      <c r="AC9928" s="462" t="s">
        <v>27519</v>
      </c>
      <c r="AD9928" s="464">
        <v>0</v>
      </c>
      <c r="AE9928" s="465">
        <v>0</v>
      </c>
      <c r="AF9928" s="86">
        <f>IF(verze!$E$1="CZK",AD9928,IF(verze!$E$1="SK",AE9928,""))</f>
        <v>0</v>
      </c>
    </row>
    <row r="9929" spans="27:32" ht="15">
      <c r="AA9929" s="463" t="s">
        <v>27520</v>
      </c>
      <c r="AB9929" s="462" t="s">
        <v>27521</v>
      </c>
      <c r="AC9929" s="462" t="s">
        <v>27522</v>
      </c>
      <c r="AD9929" s="464">
        <v>0</v>
      </c>
      <c r="AE9929" s="465">
        <v>0</v>
      </c>
      <c r="AF9929" s="86">
        <f>IF(verze!$E$1="CZK",AD9929,IF(verze!$E$1="SK",AE9929,""))</f>
        <v>0</v>
      </c>
    </row>
    <row r="9930" spans="27:32" ht="15">
      <c r="AA9930" s="463" t="s">
        <v>13929</v>
      </c>
      <c r="AB9930" s="462" t="s">
        <v>27523</v>
      </c>
      <c r="AC9930" s="462" t="s">
        <v>27524</v>
      </c>
      <c r="AD9930" s="464">
        <v>417.60624999999999</v>
      </c>
      <c r="AE9930" s="465">
        <v>16.771329999999999</v>
      </c>
      <c r="AF9930" s="86">
        <f>IF(verze!$E$1="CZK",AD9930,IF(verze!$E$1="SK",AE9930,""))</f>
        <v>16.771329999999999</v>
      </c>
    </row>
    <row r="9931" spans="27:32" ht="15">
      <c r="AA9931" s="463" t="s">
        <v>27525</v>
      </c>
      <c r="AB9931" s="462" t="s">
        <v>27526</v>
      </c>
      <c r="AC9931" s="462" t="s">
        <v>27527</v>
      </c>
      <c r="AD9931" s="464">
        <v>8.0374199999999991</v>
      </c>
      <c r="AE9931" s="465">
        <v>0.32279999999999998</v>
      </c>
      <c r="AF9931" s="86">
        <f>IF(verze!$E$1="CZK",AD9931,IF(verze!$E$1="SK",AE9931,""))</f>
        <v>0.32279999999999998</v>
      </c>
    </row>
    <row r="9932" spans="27:32" ht="15">
      <c r="AA9932" s="463" t="s">
        <v>27528</v>
      </c>
      <c r="AB9932" s="462" t="s">
        <v>27529</v>
      </c>
      <c r="AC9932" s="462" t="s">
        <v>27530</v>
      </c>
      <c r="AD9932" s="464">
        <v>320.97388000000001</v>
      </c>
      <c r="AE9932" s="465">
        <v>12.89053</v>
      </c>
      <c r="AF9932" s="86">
        <f>IF(verze!$E$1="CZK",AD9932,IF(verze!$E$1="SK",AE9932,""))</f>
        <v>12.89053</v>
      </c>
    </row>
    <row r="9933" spans="27:32" ht="15">
      <c r="AA9933" s="463" t="s">
        <v>13944</v>
      </c>
      <c r="AB9933" s="462" t="s">
        <v>27531</v>
      </c>
      <c r="AC9933" s="462" t="s">
        <v>27532</v>
      </c>
      <c r="AD9933" s="464">
        <v>20.142949999999999</v>
      </c>
      <c r="AE9933" s="465">
        <v>0.80894999999999995</v>
      </c>
      <c r="AF9933" s="86">
        <f>IF(verze!$E$1="CZK",AD9933,IF(verze!$E$1="SK",AE9933,""))</f>
        <v>0.80894999999999995</v>
      </c>
    </row>
    <row r="9934" spans="27:32" ht="15">
      <c r="AA9934" s="463" t="s">
        <v>13991</v>
      </c>
      <c r="AB9934" s="462" t="s">
        <v>27533</v>
      </c>
      <c r="AC9934" s="462" t="s">
        <v>27534</v>
      </c>
      <c r="AD9934" s="464">
        <v>44.013370000000002</v>
      </c>
      <c r="AE9934" s="465">
        <v>1.7676000000000001</v>
      </c>
      <c r="AF9934" s="86">
        <f>IF(verze!$E$1="CZK",AD9934,IF(verze!$E$1="SK",AE9934,""))</f>
        <v>1.7676000000000001</v>
      </c>
    </row>
    <row r="9935" spans="27:32" ht="15">
      <c r="AA9935" s="463" t="s">
        <v>14025</v>
      </c>
      <c r="AB9935" s="462" t="s">
        <v>27535</v>
      </c>
      <c r="AC9935" s="462" t="s">
        <v>27536</v>
      </c>
      <c r="AD9935" s="464">
        <v>42.033749999999998</v>
      </c>
      <c r="AE9935" s="465">
        <v>1.6880999999999999</v>
      </c>
      <c r="AF9935" s="86">
        <f>IF(verze!$E$1="CZK",AD9935,IF(verze!$E$1="SK",AE9935,""))</f>
        <v>1.6880999999999999</v>
      </c>
    </row>
    <row r="9936" spans="27:32" ht="15">
      <c r="AA9936" s="463" t="s">
        <v>14030</v>
      </c>
      <c r="AB9936" s="462" t="s">
        <v>27537</v>
      </c>
      <c r="AC9936" s="462" t="s">
        <v>27538</v>
      </c>
      <c r="AD9936" s="464">
        <v>42.033749999999998</v>
      </c>
      <c r="AE9936" s="465">
        <v>1.6880999999999999</v>
      </c>
      <c r="AF9936" s="86">
        <f>IF(verze!$E$1="CZK",AD9936,IF(verze!$E$1="SK",AE9936,""))</f>
        <v>1.6880999999999999</v>
      </c>
    </row>
    <row r="9937" spans="27:32" ht="15">
      <c r="AA9937" s="463" t="s">
        <v>14077</v>
      </c>
      <c r="AB9937" s="462" t="s">
        <v>27539</v>
      </c>
      <c r="AC9937" s="462" t="s">
        <v>27540</v>
      </c>
      <c r="AD9937" s="464">
        <v>311.01042999999999</v>
      </c>
      <c r="AE9937" s="465">
        <v>12.195679999999999</v>
      </c>
      <c r="AF9937" s="86">
        <f>IF(verze!$E$1="CZK",AD9937,IF(verze!$E$1="SK",AE9937,""))</f>
        <v>12.195679999999999</v>
      </c>
    </row>
    <row r="9938" spans="27:32" ht="15">
      <c r="AA9938" s="463" t="s">
        <v>14088</v>
      </c>
      <c r="AB9938" s="462" t="s">
        <v>27541</v>
      </c>
      <c r="AC9938" s="462" t="s">
        <v>27542</v>
      </c>
      <c r="AD9938" s="464">
        <v>274.91570000000002</v>
      </c>
      <c r="AE9938" s="465">
        <v>10.78031</v>
      </c>
      <c r="AF9938" s="86">
        <f>IF(verze!$E$1="CZK",AD9938,IF(verze!$E$1="SK",AE9938,""))</f>
        <v>10.78031</v>
      </c>
    </row>
    <row r="9939" spans="27:32" ht="15">
      <c r="AA9939" s="463" t="s">
        <v>14109</v>
      </c>
      <c r="AB9939" s="462" t="s">
        <v>27543</v>
      </c>
      <c r="AC9939" s="462" t="s">
        <v>27544</v>
      </c>
      <c r="AD9939" s="464">
        <v>212.01193000000001</v>
      </c>
      <c r="AE9939" s="465">
        <v>8.5145199999999992</v>
      </c>
      <c r="AF9939" s="86">
        <f>IF(verze!$E$1="CZK",AD9939,IF(verze!$E$1="SK",AE9939,""))</f>
        <v>8.5145199999999992</v>
      </c>
    </row>
    <row r="9940" spans="27:32" ht="15">
      <c r="AA9940" s="463" t="s">
        <v>14109</v>
      </c>
      <c r="AB9940" s="462" t="s">
        <v>27545</v>
      </c>
      <c r="AC9940" s="462" t="s">
        <v>27546</v>
      </c>
      <c r="AD9940" s="464">
        <v>212.01193000000001</v>
      </c>
      <c r="AE9940" s="465">
        <v>8.5145199999999992</v>
      </c>
      <c r="AF9940" s="86">
        <f>IF(verze!$E$1="CZK",AD9940,IF(verze!$E$1="SK",AE9940,""))</f>
        <v>8.5145199999999992</v>
      </c>
    </row>
    <row r="9941" spans="27:32" ht="15">
      <c r="AA9941" s="463" t="s">
        <v>14216</v>
      </c>
      <c r="AB9941" s="462" t="s">
        <v>27547</v>
      </c>
      <c r="AC9941" s="462" t="s">
        <v>27548</v>
      </c>
      <c r="AD9941" s="464">
        <v>0</v>
      </c>
      <c r="AE9941" s="465">
        <v>0</v>
      </c>
      <c r="AF9941" s="86">
        <f>IF(verze!$E$1="CZK",AD9941,IF(verze!$E$1="SK",AE9941,""))</f>
        <v>0</v>
      </c>
    </row>
    <row r="9942" spans="27:32" ht="15">
      <c r="AA9942" s="463" t="s">
        <v>14231</v>
      </c>
      <c r="AB9942" s="462" t="s">
        <v>27549</v>
      </c>
      <c r="AC9942" s="462" t="s">
        <v>27550</v>
      </c>
      <c r="AD9942" s="464">
        <v>115.75035</v>
      </c>
      <c r="AE9942" s="465">
        <v>4.6486000000000001</v>
      </c>
      <c r="AF9942" s="86">
        <f>IF(verze!$E$1="CZK",AD9942,IF(verze!$E$1="SK",AE9942,""))</f>
        <v>4.6486000000000001</v>
      </c>
    </row>
    <row r="9943" spans="27:32" ht="15">
      <c r="AA9943" s="463" t="s">
        <v>14324</v>
      </c>
      <c r="AB9943" s="462" t="s">
        <v>27551</v>
      </c>
      <c r="AC9943" s="462" t="s">
        <v>27552</v>
      </c>
      <c r="AD9943" s="464">
        <v>119.76528</v>
      </c>
      <c r="AE9943" s="465">
        <v>4.80985</v>
      </c>
      <c r="AF9943" s="86">
        <f>IF(verze!$E$1="CZK",AD9943,IF(verze!$E$1="SK",AE9943,""))</f>
        <v>4.80985</v>
      </c>
    </row>
    <row r="9944" spans="27:32" ht="15">
      <c r="AA9944" s="463" t="s">
        <v>14327</v>
      </c>
      <c r="AB9944" s="462" t="s">
        <v>27553</v>
      </c>
      <c r="AC9944" s="462" t="s">
        <v>27554</v>
      </c>
      <c r="AD9944" s="464">
        <v>122.7458</v>
      </c>
      <c r="AE9944" s="465">
        <v>4.9295499999999999</v>
      </c>
      <c r="AF9944" s="86">
        <f>IF(verze!$E$1="CZK",AD9944,IF(verze!$E$1="SK",AE9944,""))</f>
        <v>4.9295499999999999</v>
      </c>
    </row>
    <row r="9945" spans="27:32" ht="15">
      <c r="AA9945" s="463" t="s">
        <v>14330</v>
      </c>
      <c r="AB9945" s="462" t="s">
        <v>27555</v>
      </c>
      <c r="AC9945" s="462" t="s">
        <v>27556</v>
      </c>
      <c r="AD9945" s="464">
        <v>125.72575000000001</v>
      </c>
      <c r="AE9945" s="465">
        <v>5.0492299999999997</v>
      </c>
      <c r="AF9945" s="86">
        <f>IF(verze!$E$1="CZK",AD9945,IF(verze!$E$1="SK",AE9945,""))</f>
        <v>5.0492299999999997</v>
      </c>
    </row>
    <row r="9946" spans="27:32" ht="15">
      <c r="AA9946" s="463" t="s">
        <v>14387</v>
      </c>
      <c r="AB9946" s="462" t="s">
        <v>27557</v>
      </c>
      <c r="AC9946" s="462" t="s">
        <v>27558</v>
      </c>
      <c r="AD9946" s="464">
        <v>129.96146999999999</v>
      </c>
      <c r="AE9946" s="465">
        <v>5.2193300000000002</v>
      </c>
      <c r="AF9946" s="86">
        <f>IF(verze!$E$1="CZK",AD9946,IF(verze!$E$1="SK",AE9946,""))</f>
        <v>5.2193300000000002</v>
      </c>
    </row>
    <row r="9947" spans="27:32" ht="15">
      <c r="AA9947" s="463" t="s">
        <v>14396</v>
      </c>
      <c r="AB9947" s="462" t="s">
        <v>27559</v>
      </c>
      <c r="AC9947" s="462" t="s">
        <v>27560</v>
      </c>
      <c r="AD9947" s="464">
        <v>238.08459999999999</v>
      </c>
      <c r="AE9947" s="465">
        <v>9.5616299999999992</v>
      </c>
      <c r="AF9947" s="86">
        <f>IF(verze!$E$1="CZK",AD9947,IF(verze!$E$1="SK",AE9947,""))</f>
        <v>9.5616299999999992</v>
      </c>
    </row>
    <row r="9948" spans="27:32" ht="15">
      <c r="AA9948" s="463" t="s">
        <v>14414</v>
      </c>
      <c r="AB9948" s="462" t="s">
        <v>27561</v>
      </c>
      <c r="AC9948" s="462" t="s">
        <v>27562</v>
      </c>
      <c r="AD9948" s="464">
        <v>372.67509999999999</v>
      </c>
      <c r="AE9948" s="465">
        <v>14.96688</v>
      </c>
      <c r="AF9948" s="86">
        <f>IF(verze!$E$1="CZK",AD9948,IF(verze!$E$1="SK",AE9948,""))</f>
        <v>14.96688</v>
      </c>
    </row>
    <row r="9949" spans="27:32" ht="15">
      <c r="AA9949" s="463" t="s">
        <v>27563</v>
      </c>
      <c r="AB9949" s="462" t="s">
        <v>27564</v>
      </c>
      <c r="AC9949" s="462" t="s">
        <v>27565</v>
      </c>
      <c r="AD9949" s="464">
        <v>271.00042999999999</v>
      </c>
      <c r="AE9949" s="465">
        <v>10.88355</v>
      </c>
      <c r="AF9949" s="86">
        <f>IF(verze!$E$1="CZK",AD9949,IF(verze!$E$1="SK",AE9949,""))</f>
        <v>10.88355</v>
      </c>
    </row>
    <row r="9950" spans="27:32" ht="15">
      <c r="AA9950" s="463" t="s">
        <v>14441</v>
      </c>
      <c r="AB9950" s="462" t="s">
        <v>27566</v>
      </c>
      <c r="AC9950" s="462" t="s">
        <v>27567</v>
      </c>
      <c r="AD9950" s="464">
        <v>271.00042999999999</v>
      </c>
      <c r="AE9950" s="465">
        <v>10.88355</v>
      </c>
      <c r="AF9950" s="86">
        <f>IF(verze!$E$1="CZK",AD9950,IF(verze!$E$1="SK",AE9950,""))</f>
        <v>10.88355</v>
      </c>
    </row>
    <row r="9951" spans="27:32" ht="15">
      <c r="AA9951" s="463" t="s">
        <v>14495</v>
      </c>
      <c r="AB9951" s="462" t="s">
        <v>27568</v>
      </c>
      <c r="AC9951" s="462" t="s">
        <v>27569</v>
      </c>
      <c r="AD9951" s="464">
        <v>50.050400000000003</v>
      </c>
      <c r="AE9951" s="465">
        <v>2.0100500000000001</v>
      </c>
      <c r="AF9951" s="86">
        <f>IF(verze!$E$1="CZK",AD9951,IF(verze!$E$1="SK",AE9951,""))</f>
        <v>2.0100500000000001</v>
      </c>
    </row>
    <row r="9952" spans="27:32" ht="15">
      <c r="AA9952" s="463" t="s">
        <v>14498</v>
      </c>
      <c r="AB9952" s="462" t="s">
        <v>27570</v>
      </c>
      <c r="AC9952" s="462" t="s">
        <v>27571</v>
      </c>
      <c r="AD9952" s="464">
        <v>50.050400000000003</v>
      </c>
      <c r="AE9952" s="465">
        <v>2.0100500000000001</v>
      </c>
      <c r="AF9952" s="86">
        <f>IF(verze!$E$1="CZK",AD9952,IF(verze!$E$1="SK",AE9952,""))</f>
        <v>2.0100500000000001</v>
      </c>
    </row>
    <row r="9953" spans="27:32" ht="15">
      <c r="AA9953" s="463" t="s">
        <v>27572</v>
      </c>
      <c r="AB9953" s="462" t="s">
        <v>27573</v>
      </c>
      <c r="AC9953" s="462" t="s">
        <v>27574</v>
      </c>
      <c r="AD9953" s="464">
        <v>126.44785</v>
      </c>
      <c r="AE9953" s="465">
        <v>5.0782299999999996</v>
      </c>
      <c r="AF9953" s="86">
        <f>IF(verze!$E$1="CZK",AD9953,IF(verze!$E$1="SK",AE9953,""))</f>
        <v>5.0782299999999996</v>
      </c>
    </row>
    <row r="9954" spans="27:32" ht="15">
      <c r="AA9954" s="463" t="s">
        <v>14612</v>
      </c>
      <c r="AB9954" s="462" t="s">
        <v>27575</v>
      </c>
      <c r="AC9954" s="462" t="s">
        <v>27576</v>
      </c>
      <c r="AD9954" s="464">
        <v>268.53160000000003</v>
      </c>
      <c r="AE9954" s="465">
        <v>10.7844</v>
      </c>
      <c r="AF9954" s="86">
        <f>IF(verze!$E$1="CZK",AD9954,IF(verze!$E$1="SK",AE9954,""))</f>
        <v>10.7844</v>
      </c>
    </row>
    <row r="9955" spans="27:32" ht="15">
      <c r="AA9955" s="463" t="s">
        <v>15295</v>
      </c>
      <c r="AB9955" s="462" t="s">
        <v>27577</v>
      </c>
      <c r="AC9955" s="462" t="s">
        <v>27578</v>
      </c>
      <c r="AD9955" s="464">
        <v>90.253979999999999</v>
      </c>
      <c r="AE9955" s="465">
        <v>3.6246499999999999</v>
      </c>
      <c r="AF9955" s="86">
        <f>IF(verze!$E$1="CZK",AD9955,IF(verze!$E$1="SK",AE9955,""))</f>
        <v>3.6246499999999999</v>
      </c>
    </row>
    <row r="9956" spans="27:32" ht="15">
      <c r="AA9956" s="463" t="s">
        <v>15302</v>
      </c>
      <c r="AB9956" s="462" t="s">
        <v>27579</v>
      </c>
      <c r="AC9956" s="462" t="s">
        <v>27580</v>
      </c>
      <c r="AD9956" s="464">
        <v>90.253979999999999</v>
      </c>
      <c r="AE9956" s="465">
        <v>3.6246499999999999</v>
      </c>
      <c r="AF9956" s="86">
        <f>IF(verze!$E$1="CZK",AD9956,IF(verze!$E$1="SK",AE9956,""))</f>
        <v>3.6246499999999999</v>
      </c>
    </row>
    <row r="9957" spans="27:32" ht="15">
      <c r="AA9957" s="463" t="s">
        <v>15387</v>
      </c>
      <c r="AB9957" s="462" t="s">
        <v>27581</v>
      </c>
      <c r="AC9957" s="462" t="s">
        <v>27582</v>
      </c>
      <c r="AD9957" s="464">
        <v>0</v>
      </c>
      <c r="AE9957" s="465">
        <v>0</v>
      </c>
      <c r="AF9957" s="86">
        <f>IF(verze!$E$1="CZK",AD9957,IF(verze!$E$1="SK",AE9957,""))</f>
        <v>0</v>
      </c>
    </row>
    <row r="9958" spans="27:32" ht="15">
      <c r="AA9958" s="463" t="s">
        <v>15390</v>
      </c>
      <c r="AB9958" s="462" t="s">
        <v>27583</v>
      </c>
      <c r="AC9958" s="462" t="s">
        <v>27584</v>
      </c>
      <c r="AD9958" s="464">
        <v>0</v>
      </c>
      <c r="AE9958" s="465">
        <v>0</v>
      </c>
      <c r="AF9958" s="86">
        <f>IF(verze!$E$1="CZK",AD9958,IF(verze!$E$1="SK",AE9958,""))</f>
        <v>0</v>
      </c>
    </row>
    <row r="9959" spans="27:32" ht="15">
      <c r="AA9959" s="463" t="s">
        <v>15393</v>
      </c>
      <c r="AB9959" s="462" t="s">
        <v>27585</v>
      </c>
      <c r="AC9959" s="462" t="s">
        <v>27586</v>
      </c>
      <c r="AD9959" s="464">
        <v>0</v>
      </c>
      <c r="AE9959" s="465">
        <v>0</v>
      </c>
      <c r="AF9959" s="86">
        <f>IF(verze!$E$1="CZK",AD9959,IF(verze!$E$1="SK",AE9959,""))</f>
        <v>0</v>
      </c>
    </row>
    <row r="9960" spans="27:32" ht="15">
      <c r="AA9960" s="463" t="s">
        <v>27587</v>
      </c>
      <c r="AB9960" s="462" t="s">
        <v>27588</v>
      </c>
      <c r="AC9960" s="462" t="s">
        <v>27589</v>
      </c>
      <c r="AD9960" s="464">
        <v>0</v>
      </c>
      <c r="AE9960" s="465">
        <v>0</v>
      </c>
      <c r="AF9960" s="86">
        <f>IF(verze!$E$1="CZK",AD9960,IF(verze!$E$1="SK",AE9960,""))</f>
        <v>0</v>
      </c>
    </row>
    <row r="9961" spans="27:32" ht="15">
      <c r="AA9961" s="463" t="s">
        <v>15396</v>
      </c>
      <c r="AB9961" s="462" t="s">
        <v>27590</v>
      </c>
      <c r="AC9961" s="462" t="s">
        <v>27591</v>
      </c>
      <c r="AD9961" s="464">
        <v>0</v>
      </c>
      <c r="AE9961" s="465">
        <v>0</v>
      </c>
      <c r="AF9961" s="86">
        <f>IF(verze!$E$1="CZK",AD9961,IF(verze!$E$1="SK",AE9961,""))</f>
        <v>0</v>
      </c>
    </row>
    <row r="9962" spans="27:32" ht="15">
      <c r="AA9962" s="463" t="s">
        <v>15408</v>
      </c>
      <c r="AB9962" s="462" t="s">
        <v>27592</v>
      </c>
      <c r="AC9962" s="462" t="s">
        <v>27593</v>
      </c>
      <c r="AD9962" s="464">
        <v>0</v>
      </c>
      <c r="AE9962" s="465">
        <v>0</v>
      </c>
      <c r="AF9962" s="86">
        <f>IF(verze!$E$1="CZK",AD9962,IF(verze!$E$1="SK",AE9962,""))</f>
        <v>0</v>
      </c>
    </row>
    <row r="9963" spans="27:32" ht="15">
      <c r="AA9963" s="463" t="s">
        <v>15417</v>
      </c>
      <c r="AB9963" s="462" t="s">
        <v>27594</v>
      </c>
      <c r="AC9963" s="462" t="s">
        <v>27595</v>
      </c>
      <c r="AD9963" s="464">
        <v>0</v>
      </c>
      <c r="AE9963" s="465">
        <v>0</v>
      </c>
      <c r="AF9963" s="86">
        <f>IF(verze!$E$1="CZK",AD9963,IF(verze!$E$1="SK",AE9963,""))</f>
        <v>0</v>
      </c>
    </row>
    <row r="9964" spans="27:32" ht="15">
      <c r="AA9964" s="463" t="s">
        <v>15432</v>
      </c>
      <c r="AB9964" s="462" t="s">
        <v>27596</v>
      </c>
      <c r="AC9964" s="462" t="s">
        <v>27597</v>
      </c>
      <c r="AD9964" s="464">
        <v>0</v>
      </c>
      <c r="AE9964" s="465">
        <v>0</v>
      </c>
      <c r="AF9964" s="86">
        <f>IF(verze!$E$1="CZK",AD9964,IF(verze!$E$1="SK",AE9964,""))</f>
        <v>0</v>
      </c>
    </row>
    <row r="9965" spans="27:32" ht="15">
      <c r="AA9965" s="463" t="s">
        <v>27598</v>
      </c>
      <c r="AB9965" s="462" t="s">
        <v>27599</v>
      </c>
      <c r="AC9965" s="462" t="s">
        <v>27600</v>
      </c>
      <c r="AD9965" s="464">
        <v>0</v>
      </c>
      <c r="AE9965" s="465">
        <v>0</v>
      </c>
      <c r="AF9965" s="86">
        <f>IF(verze!$E$1="CZK",AD9965,IF(verze!$E$1="SK",AE9965,""))</f>
        <v>0</v>
      </c>
    </row>
    <row r="9966" spans="27:32" ht="15">
      <c r="AA9966" s="463" t="s">
        <v>15435</v>
      </c>
      <c r="AB9966" s="462" t="s">
        <v>27601</v>
      </c>
      <c r="AC9966" s="462" t="s">
        <v>27602</v>
      </c>
      <c r="AD9966" s="464">
        <v>0</v>
      </c>
      <c r="AE9966" s="465">
        <v>0</v>
      </c>
      <c r="AF9966" s="86">
        <f>IF(verze!$E$1="CZK",AD9966,IF(verze!$E$1="SK",AE9966,""))</f>
        <v>0</v>
      </c>
    </row>
    <row r="9967" spans="27:32" ht="15">
      <c r="AA9967" s="463" t="s">
        <v>15438</v>
      </c>
      <c r="AB9967" s="462" t="s">
        <v>27603</v>
      </c>
      <c r="AC9967" s="462" t="s">
        <v>27604</v>
      </c>
      <c r="AD9967" s="464">
        <v>0</v>
      </c>
      <c r="AE9967" s="465">
        <v>0</v>
      </c>
      <c r="AF9967" s="86">
        <f>IF(verze!$E$1="CZK",AD9967,IF(verze!$E$1="SK",AE9967,""))</f>
        <v>0</v>
      </c>
    </row>
    <row r="9968" spans="27:32" ht="15">
      <c r="AA9968" s="463" t="s">
        <v>15444</v>
      </c>
      <c r="AB9968" s="462" t="s">
        <v>27605</v>
      </c>
      <c r="AC9968" s="462" t="s">
        <v>27606</v>
      </c>
      <c r="AD9968" s="464">
        <v>0</v>
      </c>
      <c r="AE9968" s="465">
        <v>0</v>
      </c>
      <c r="AF9968" s="86">
        <f>IF(verze!$E$1="CZK",AD9968,IF(verze!$E$1="SK",AE9968,""))</f>
        <v>0</v>
      </c>
    </row>
    <row r="9969" spans="27:32" ht="15">
      <c r="AA9969" s="463" t="s">
        <v>15447</v>
      </c>
      <c r="AB9969" s="462" t="s">
        <v>27607</v>
      </c>
      <c r="AC9969" s="462" t="s">
        <v>27608</v>
      </c>
      <c r="AD9969" s="464">
        <v>0</v>
      </c>
      <c r="AE9969" s="465">
        <v>0</v>
      </c>
      <c r="AF9969" s="86">
        <f>IF(verze!$E$1="CZK",AD9969,IF(verze!$E$1="SK",AE9969,""))</f>
        <v>0</v>
      </c>
    </row>
    <row r="9970" spans="27:32" ht="15">
      <c r="AA9970" s="463" t="s">
        <v>27609</v>
      </c>
      <c r="AB9970" s="462" t="s">
        <v>27610</v>
      </c>
      <c r="AC9970" s="462" t="s">
        <v>27611</v>
      </c>
      <c r="AD9970" s="464">
        <v>0</v>
      </c>
      <c r="AE9970" s="465">
        <v>0</v>
      </c>
      <c r="AF9970" s="86">
        <f>IF(verze!$E$1="CZK",AD9970,IF(verze!$E$1="SK",AE9970,""))</f>
        <v>0</v>
      </c>
    </row>
    <row r="9971" spans="27:32" ht="15">
      <c r="AA9971" s="463" t="s">
        <v>15450</v>
      </c>
      <c r="AB9971" s="462" t="s">
        <v>27612</v>
      </c>
      <c r="AC9971" s="462" t="s">
        <v>27613</v>
      </c>
      <c r="AD9971" s="464">
        <v>0</v>
      </c>
      <c r="AE9971" s="465">
        <v>0</v>
      </c>
      <c r="AF9971" s="86">
        <f>IF(verze!$E$1="CZK",AD9971,IF(verze!$E$1="SK",AE9971,""))</f>
        <v>0</v>
      </c>
    </row>
    <row r="9972" spans="27:32" ht="15">
      <c r="AA9972" s="463" t="s">
        <v>15474</v>
      </c>
      <c r="AB9972" s="462" t="s">
        <v>27614</v>
      </c>
      <c r="AC9972" s="462" t="s">
        <v>27615</v>
      </c>
      <c r="AD9972" s="464">
        <v>0</v>
      </c>
      <c r="AE9972" s="465">
        <v>0</v>
      </c>
      <c r="AF9972" s="86">
        <f>IF(verze!$E$1="CZK",AD9972,IF(verze!$E$1="SK",AE9972,""))</f>
        <v>0</v>
      </c>
    </row>
    <row r="9973" spans="27:32" ht="15">
      <c r="AA9973" s="463" t="s">
        <v>27616</v>
      </c>
      <c r="AB9973" s="462" t="s">
        <v>27617</v>
      </c>
      <c r="AC9973" s="462" t="s">
        <v>27618</v>
      </c>
      <c r="AD9973" s="464">
        <v>0</v>
      </c>
      <c r="AE9973" s="465">
        <v>0</v>
      </c>
      <c r="AF9973" s="86">
        <f>IF(verze!$E$1="CZK",AD9973,IF(verze!$E$1="SK",AE9973,""))</f>
        <v>0</v>
      </c>
    </row>
    <row r="9974" spans="27:32" ht="15">
      <c r="AA9974" s="463" t="s">
        <v>27619</v>
      </c>
      <c r="AB9974" s="462" t="s">
        <v>27620</v>
      </c>
      <c r="AC9974" s="462" t="s">
        <v>27621</v>
      </c>
      <c r="AD9974" s="464">
        <v>0</v>
      </c>
      <c r="AE9974" s="465">
        <v>0</v>
      </c>
      <c r="AF9974" s="86">
        <f>IF(verze!$E$1="CZK",AD9974,IF(verze!$E$1="SK",AE9974,""))</f>
        <v>0</v>
      </c>
    </row>
    <row r="9975" spans="27:32" ht="15">
      <c r="AA9975" s="463" t="s">
        <v>27622</v>
      </c>
      <c r="AB9975" s="462" t="s">
        <v>27623</v>
      </c>
      <c r="AC9975" s="462" t="s">
        <v>27624</v>
      </c>
      <c r="AD9975" s="464">
        <v>0</v>
      </c>
      <c r="AE9975" s="465">
        <v>0</v>
      </c>
      <c r="AF9975" s="86">
        <f>IF(verze!$E$1="CZK",AD9975,IF(verze!$E$1="SK",AE9975,""))</f>
        <v>0</v>
      </c>
    </row>
    <row r="9976" spans="27:32" ht="15">
      <c r="AA9976" s="463" t="s">
        <v>27625</v>
      </c>
      <c r="AB9976" s="462" t="s">
        <v>27626</v>
      </c>
      <c r="AC9976" s="462" t="s">
        <v>27627</v>
      </c>
      <c r="AD9976" s="464">
        <v>0</v>
      </c>
      <c r="AE9976" s="465">
        <v>0</v>
      </c>
      <c r="AF9976" s="86">
        <f>IF(verze!$E$1="CZK",AD9976,IF(verze!$E$1="SK",AE9976,""))</f>
        <v>0</v>
      </c>
    </row>
    <row r="9977" spans="27:32" ht="15">
      <c r="AA9977" s="463" t="s">
        <v>27628</v>
      </c>
      <c r="AB9977" s="462" t="s">
        <v>27629</v>
      </c>
      <c r="AC9977" s="462" t="s">
        <v>27630</v>
      </c>
      <c r="AD9977" s="464">
        <v>0</v>
      </c>
      <c r="AE9977" s="465">
        <v>0</v>
      </c>
      <c r="AF9977" s="86">
        <f>IF(verze!$E$1="CZK",AD9977,IF(verze!$E$1="SK",AE9977,""))</f>
        <v>0</v>
      </c>
    </row>
    <row r="9978" spans="27:32" ht="15">
      <c r="AA9978" s="463" t="s">
        <v>27631</v>
      </c>
      <c r="AB9978" s="462" t="s">
        <v>27632</v>
      </c>
      <c r="AC9978" s="462" t="s">
        <v>27633</v>
      </c>
      <c r="AD9978" s="464">
        <v>0</v>
      </c>
      <c r="AE9978" s="465">
        <v>0</v>
      </c>
      <c r="AF9978" s="86">
        <f>IF(verze!$E$1="CZK",AD9978,IF(verze!$E$1="SK",AE9978,""))</f>
        <v>0</v>
      </c>
    </row>
    <row r="9979" spans="27:32" ht="15">
      <c r="AA9979" s="463" t="s">
        <v>27634</v>
      </c>
      <c r="AB9979" s="462" t="s">
        <v>27635</v>
      </c>
      <c r="AC9979" s="462" t="s">
        <v>27636</v>
      </c>
      <c r="AD9979" s="464">
        <v>0</v>
      </c>
      <c r="AE9979" s="465">
        <v>0</v>
      </c>
      <c r="AF9979" s="86">
        <f>IF(verze!$E$1="CZK",AD9979,IF(verze!$E$1="SK",AE9979,""))</f>
        <v>0</v>
      </c>
    </row>
    <row r="9980" spans="27:32" ht="15">
      <c r="AA9980" s="463" t="s">
        <v>27637</v>
      </c>
      <c r="AB9980" s="462" t="s">
        <v>27638</v>
      </c>
      <c r="AC9980" s="462" t="s">
        <v>27639</v>
      </c>
      <c r="AD9980" s="464">
        <v>0</v>
      </c>
      <c r="AE9980" s="465">
        <v>0</v>
      </c>
      <c r="AF9980" s="86">
        <f>IF(verze!$E$1="CZK",AD9980,IF(verze!$E$1="SK",AE9980,""))</f>
        <v>0</v>
      </c>
    </row>
    <row r="9981" spans="27:32" ht="15">
      <c r="AA9981" s="463" t="s">
        <v>27640</v>
      </c>
      <c r="AB9981" s="462" t="s">
        <v>27641</v>
      </c>
      <c r="AC9981" s="462" t="s">
        <v>27642</v>
      </c>
      <c r="AD9981" s="464">
        <v>0</v>
      </c>
      <c r="AE9981" s="465">
        <v>0</v>
      </c>
      <c r="AF9981" s="86">
        <f>IF(verze!$E$1="CZK",AD9981,IF(verze!$E$1="SK",AE9981,""))</f>
        <v>0</v>
      </c>
    </row>
    <row r="9982" spans="27:32" ht="15">
      <c r="AA9982" s="463" t="s">
        <v>27643</v>
      </c>
      <c r="AB9982" s="462" t="s">
        <v>27644</v>
      </c>
      <c r="AC9982" s="462" t="s">
        <v>27645</v>
      </c>
      <c r="AD9982" s="464">
        <v>0</v>
      </c>
      <c r="AE9982" s="465">
        <v>0</v>
      </c>
      <c r="AF9982" s="86">
        <f>IF(verze!$E$1="CZK",AD9982,IF(verze!$E$1="SK",AE9982,""))</f>
        <v>0</v>
      </c>
    </row>
    <row r="9983" spans="27:32" ht="15">
      <c r="AA9983" s="463" t="s">
        <v>27646</v>
      </c>
      <c r="AB9983" s="462" t="s">
        <v>27647</v>
      </c>
      <c r="AC9983" s="462" t="s">
        <v>27648</v>
      </c>
      <c r="AD9983" s="464">
        <v>0</v>
      </c>
      <c r="AE9983" s="465">
        <v>0</v>
      </c>
      <c r="AF9983" s="86">
        <f>IF(verze!$E$1="CZK",AD9983,IF(verze!$E$1="SK",AE9983,""))</f>
        <v>0</v>
      </c>
    </row>
    <row r="9984" spans="27:32" ht="15">
      <c r="AA9984" s="463" t="s">
        <v>27649</v>
      </c>
      <c r="AB9984" s="462" t="s">
        <v>27650</v>
      </c>
      <c r="AC9984" s="462" t="s">
        <v>27651</v>
      </c>
      <c r="AD9984" s="464">
        <v>0</v>
      </c>
      <c r="AE9984" s="465">
        <v>0</v>
      </c>
      <c r="AF9984" s="86">
        <f>IF(verze!$E$1="CZK",AD9984,IF(verze!$E$1="SK",AE9984,""))</f>
        <v>0</v>
      </c>
    </row>
    <row r="9985" spans="27:32" ht="15">
      <c r="AA9985" s="463" t="s">
        <v>27652</v>
      </c>
      <c r="AB9985" s="462" t="s">
        <v>27653</v>
      </c>
      <c r="AC9985" s="462" t="s">
        <v>27654</v>
      </c>
      <c r="AD9985" s="464">
        <v>0</v>
      </c>
      <c r="AE9985" s="465">
        <v>0</v>
      </c>
      <c r="AF9985" s="86">
        <f>IF(verze!$E$1="CZK",AD9985,IF(verze!$E$1="SK",AE9985,""))</f>
        <v>0</v>
      </c>
    </row>
    <row r="9986" spans="27:32" ht="15">
      <c r="AA9986" s="463" t="s">
        <v>27655</v>
      </c>
      <c r="AB9986" s="462" t="s">
        <v>27656</v>
      </c>
      <c r="AC9986" s="462" t="s">
        <v>27657</v>
      </c>
      <c r="AD9986" s="464">
        <v>0</v>
      </c>
      <c r="AE9986" s="465">
        <v>0</v>
      </c>
      <c r="AF9986" s="86">
        <f>IF(verze!$E$1="CZK",AD9986,IF(verze!$E$1="SK",AE9986,""))</f>
        <v>0</v>
      </c>
    </row>
    <row r="9987" spans="27:32" ht="15">
      <c r="AA9987" s="463" t="s">
        <v>15513</v>
      </c>
      <c r="AB9987" s="462" t="s">
        <v>27658</v>
      </c>
      <c r="AC9987" s="462" t="s">
        <v>27659</v>
      </c>
      <c r="AD9987" s="464">
        <v>0</v>
      </c>
      <c r="AE9987" s="465">
        <v>0</v>
      </c>
      <c r="AF9987" s="86">
        <f>IF(verze!$E$1="CZK",AD9987,IF(verze!$E$1="SK",AE9987,""))</f>
        <v>0</v>
      </c>
    </row>
    <row r="9988" spans="27:32" ht="15">
      <c r="AA9988" s="463" t="s">
        <v>27660</v>
      </c>
      <c r="AB9988" s="462" t="s">
        <v>27661</v>
      </c>
      <c r="AC9988" s="462" t="s">
        <v>27662</v>
      </c>
      <c r="AD9988" s="464">
        <v>0</v>
      </c>
      <c r="AE9988" s="465">
        <v>0</v>
      </c>
      <c r="AF9988" s="86">
        <f>IF(verze!$E$1="CZK",AD9988,IF(verze!$E$1="SK",AE9988,""))</f>
        <v>0</v>
      </c>
    </row>
    <row r="9989" spans="27:32" ht="15">
      <c r="AA9989" s="463" t="s">
        <v>15524</v>
      </c>
      <c r="AB9989" s="462" t="s">
        <v>27663</v>
      </c>
      <c r="AC9989" s="462" t="s">
        <v>27664</v>
      </c>
      <c r="AD9989" s="464">
        <v>0</v>
      </c>
      <c r="AE9989" s="465">
        <v>0</v>
      </c>
      <c r="AF9989" s="86">
        <f>IF(verze!$E$1="CZK",AD9989,IF(verze!$E$1="SK",AE9989,""))</f>
        <v>0</v>
      </c>
    </row>
    <row r="9990" spans="27:32" ht="15">
      <c r="AA9990" s="463" t="s">
        <v>27665</v>
      </c>
      <c r="AB9990" s="462" t="s">
        <v>27666</v>
      </c>
      <c r="AC9990" s="462" t="s">
        <v>27667</v>
      </c>
      <c r="AD9990" s="464">
        <v>0</v>
      </c>
      <c r="AE9990" s="465">
        <v>0</v>
      </c>
      <c r="AF9990" s="86">
        <f>IF(verze!$E$1="CZK",AD9990,IF(verze!$E$1="SK",AE9990,""))</f>
        <v>0</v>
      </c>
    </row>
    <row r="9991" spans="27:32" ht="15">
      <c r="AA9991" s="463" t="s">
        <v>27668</v>
      </c>
      <c r="AB9991" s="462" t="s">
        <v>27669</v>
      </c>
      <c r="AC9991" s="462" t="s">
        <v>27670</v>
      </c>
      <c r="AD9991" s="464">
        <v>0</v>
      </c>
      <c r="AE9991" s="465">
        <v>0</v>
      </c>
      <c r="AF9991" s="86">
        <f>IF(verze!$E$1="CZK",AD9991,IF(verze!$E$1="SK",AE9991,""))</f>
        <v>0</v>
      </c>
    </row>
    <row r="9992" spans="27:32" ht="15">
      <c r="AA9992" s="463" t="s">
        <v>27671</v>
      </c>
      <c r="AB9992" s="462" t="s">
        <v>27672</v>
      </c>
      <c r="AC9992" s="462" t="s">
        <v>27673</v>
      </c>
      <c r="AD9992" s="464">
        <v>0</v>
      </c>
      <c r="AE9992" s="465">
        <v>0</v>
      </c>
      <c r="AF9992" s="86">
        <f>IF(verze!$E$1="CZK",AD9992,IF(verze!$E$1="SK",AE9992,""))</f>
        <v>0</v>
      </c>
    </row>
    <row r="9993" spans="27:32" ht="15">
      <c r="AA9993" s="463" t="s">
        <v>27674</v>
      </c>
      <c r="AB9993" s="462" t="s">
        <v>27675</v>
      </c>
      <c r="AC9993" s="462" t="s">
        <v>27676</v>
      </c>
      <c r="AD9993" s="464">
        <v>0</v>
      </c>
      <c r="AE9993" s="465">
        <v>0</v>
      </c>
      <c r="AF9993" s="86">
        <f>IF(verze!$E$1="CZK",AD9993,IF(verze!$E$1="SK",AE9993,""))</f>
        <v>0</v>
      </c>
    </row>
    <row r="9994" spans="27:32" ht="15">
      <c r="AA9994" s="463" t="s">
        <v>15541</v>
      </c>
      <c r="AB9994" s="462" t="s">
        <v>27677</v>
      </c>
      <c r="AC9994" s="462" t="s">
        <v>27678</v>
      </c>
      <c r="AD9994" s="464">
        <v>0</v>
      </c>
      <c r="AE9994" s="465">
        <v>0</v>
      </c>
      <c r="AF9994" s="86">
        <f>IF(verze!$E$1="CZK",AD9994,IF(verze!$E$1="SK",AE9994,""))</f>
        <v>0</v>
      </c>
    </row>
    <row r="9995" spans="27:32" ht="15">
      <c r="AA9995" s="463" t="s">
        <v>27679</v>
      </c>
      <c r="AB9995" s="462" t="s">
        <v>27680</v>
      </c>
      <c r="AC9995" s="462" t="s">
        <v>27681</v>
      </c>
      <c r="AD9995" s="464">
        <v>0</v>
      </c>
      <c r="AE9995" s="465">
        <v>0</v>
      </c>
      <c r="AF9995" s="86">
        <f>IF(verze!$E$1="CZK",AD9995,IF(verze!$E$1="SK",AE9995,""))</f>
        <v>0</v>
      </c>
    </row>
    <row r="9996" spans="27:32" ht="15">
      <c r="AA9996" s="463" t="s">
        <v>27682</v>
      </c>
      <c r="AB9996" s="462" t="s">
        <v>27683</v>
      </c>
      <c r="AC9996" s="462" t="s">
        <v>27684</v>
      </c>
      <c r="AD9996" s="464">
        <v>0</v>
      </c>
      <c r="AE9996" s="465">
        <v>0</v>
      </c>
      <c r="AF9996" s="86">
        <f>IF(verze!$E$1="CZK",AD9996,IF(verze!$E$1="SK",AE9996,""))</f>
        <v>0</v>
      </c>
    </row>
    <row r="9997" spans="27:32" ht="15">
      <c r="AA9997" s="463" t="s">
        <v>15547</v>
      </c>
      <c r="AB9997" s="462" t="s">
        <v>27685</v>
      </c>
      <c r="AC9997" s="462" t="s">
        <v>27686</v>
      </c>
      <c r="AD9997" s="464">
        <v>0</v>
      </c>
      <c r="AE9997" s="465">
        <v>0</v>
      </c>
      <c r="AF9997" s="86">
        <f>IF(verze!$E$1="CZK",AD9997,IF(verze!$E$1="SK",AE9997,""))</f>
        <v>0</v>
      </c>
    </row>
    <row r="9998" spans="27:32" ht="15">
      <c r="AA9998" s="463" t="s">
        <v>27687</v>
      </c>
      <c r="AB9998" s="462" t="s">
        <v>27688</v>
      </c>
      <c r="AC9998" s="462" t="s">
        <v>27689</v>
      </c>
      <c r="AD9998" s="464">
        <v>0</v>
      </c>
      <c r="AE9998" s="465">
        <v>0</v>
      </c>
      <c r="AF9998" s="86">
        <f>IF(verze!$E$1="CZK",AD9998,IF(verze!$E$1="SK",AE9998,""))</f>
        <v>0</v>
      </c>
    </row>
    <row r="9999" spans="27:32" ht="15">
      <c r="AA9999" s="463" t="s">
        <v>27690</v>
      </c>
      <c r="AB9999" s="462" t="s">
        <v>27691</v>
      </c>
      <c r="AC9999" s="462" t="s">
        <v>27692</v>
      </c>
      <c r="AD9999" s="464">
        <v>0</v>
      </c>
      <c r="AE9999" s="465">
        <v>0</v>
      </c>
      <c r="AF9999" s="86">
        <f>IF(verze!$E$1="CZK",AD9999,IF(verze!$E$1="SK",AE9999,""))</f>
        <v>0</v>
      </c>
    </row>
    <row r="10000" spans="27:32" ht="15">
      <c r="AA10000" s="463" t="s">
        <v>27693</v>
      </c>
      <c r="AB10000" s="462" t="s">
        <v>27694</v>
      </c>
      <c r="AC10000" s="462" t="s">
        <v>27695</v>
      </c>
      <c r="AD10000" s="464">
        <v>0</v>
      </c>
      <c r="AE10000" s="465">
        <v>0</v>
      </c>
      <c r="AF10000" s="86">
        <f>IF(verze!$E$1="CZK",AD10000,IF(verze!$E$1="SK",AE10000,""))</f>
        <v>0</v>
      </c>
    </row>
    <row r="10001" spans="27:32" ht="15">
      <c r="AA10001" s="463" t="s">
        <v>27696</v>
      </c>
      <c r="AB10001" s="462" t="s">
        <v>27697</v>
      </c>
      <c r="AC10001" s="462" t="s">
        <v>27698</v>
      </c>
      <c r="AD10001" s="464">
        <v>0</v>
      </c>
      <c r="AE10001" s="465">
        <v>0</v>
      </c>
      <c r="AF10001" s="86">
        <f>IF(verze!$E$1="CZK",AD10001,IF(verze!$E$1="SK",AE10001,""))</f>
        <v>0</v>
      </c>
    </row>
    <row r="10002" spans="27:32" ht="15">
      <c r="AA10002" s="463" t="s">
        <v>15555</v>
      </c>
      <c r="AB10002" s="462" t="s">
        <v>27699</v>
      </c>
      <c r="AC10002" s="462" t="s">
        <v>27700</v>
      </c>
      <c r="AD10002" s="464">
        <v>0</v>
      </c>
      <c r="AE10002" s="465">
        <v>0</v>
      </c>
      <c r="AF10002" s="86">
        <f>IF(verze!$E$1="CZK",AD10002,IF(verze!$E$1="SK",AE10002,""))</f>
        <v>0</v>
      </c>
    </row>
    <row r="10003" spans="27:32" ht="15">
      <c r="AA10003" s="463" t="s">
        <v>15581</v>
      </c>
      <c r="AB10003" s="462" t="s">
        <v>27701</v>
      </c>
      <c r="AC10003" s="462" t="s">
        <v>27702</v>
      </c>
      <c r="AD10003" s="464">
        <v>0</v>
      </c>
      <c r="AE10003" s="465">
        <v>0</v>
      </c>
      <c r="AF10003" s="86">
        <f>IF(verze!$E$1="CZK",AD10003,IF(verze!$E$1="SK",AE10003,""))</f>
        <v>0</v>
      </c>
    </row>
    <row r="10004" spans="27:32" ht="15">
      <c r="AA10004" s="463" t="s">
        <v>15608</v>
      </c>
      <c r="AB10004" s="462" t="s">
        <v>27703</v>
      </c>
      <c r="AC10004" s="462" t="s">
        <v>27704</v>
      </c>
      <c r="AD10004" s="464">
        <v>0</v>
      </c>
      <c r="AE10004" s="465">
        <v>0</v>
      </c>
      <c r="AF10004" s="86">
        <f>IF(verze!$E$1="CZK",AD10004,IF(verze!$E$1="SK",AE10004,""))</f>
        <v>0</v>
      </c>
    </row>
    <row r="10005" spans="27:32" ht="15">
      <c r="AA10005" s="463" t="s">
        <v>15635</v>
      </c>
      <c r="AB10005" s="462" t="s">
        <v>27705</v>
      </c>
      <c r="AC10005" s="462" t="s">
        <v>27706</v>
      </c>
      <c r="AD10005" s="464">
        <v>0</v>
      </c>
      <c r="AE10005" s="465">
        <v>0</v>
      </c>
      <c r="AF10005" s="86">
        <f>IF(verze!$E$1="CZK",AD10005,IF(verze!$E$1="SK",AE10005,""))</f>
        <v>0</v>
      </c>
    </row>
    <row r="10006" spans="27:32" ht="15">
      <c r="AA10006" s="463" t="s">
        <v>15686</v>
      </c>
      <c r="AB10006" s="462" t="s">
        <v>27707</v>
      </c>
      <c r="AC10006" s="462" t="s">
        <v>27708</v>
      </c>
      <c r="AD10006" s="464">
        <v>0</v>
      </c>
      <c r="AE10006" s="465">
        <v>0</v>
      </c>
      <c r="AF10006" s="86">
        <f>IF(verze!$E$1="CZK",AD10006,IF(verze!$E$1="SK",AE10006,""))</f>
        <v>0</v>
      </c>
    </row>
    <row r="10007" spans="27:32" ht="15">
      <c r="AA10007" s="463" t="s">
        <v>15776</v>
      </c>
      <c r="AB10007" s="462" t="s">
        <v>27709</v>
      </c>
      <c r="AC10007" s="462" t="s">
        <v>27710</v>
      </c>
      <c r="AD10007" s="464">
        <v>14.8375</v>
      </c>
      <c r="AE10007" s="465">
        <v>0.59587000000000001</v>
      </c>
      <c r="AF10007" s="86">
        <f>IF(verze!$E$1="CZK",AD10007,IF(verze!$E$1="SK",AE10007,""))</f>
        <v>0.59587000000000001</v>
      </c>
    </row>
    <row r="10008" spans="27:32" ht="15">
      <c r="AA10008" s="463" t="s">
        <v>15785</v>
      </c>
      <c r="AB10008" s="462" t="s">
        <v>27711</v>
      </c>
      <c r="AC10008" s="462" t="s">
        <v>27712</v>
      </c>
      <c r="AD10008" s="464">
        <v>6.1335800000000003</v>
      </c>
      <c r="AE10008" s="465">
        <v>0.24632999999999999</v>
      </c>
      <c r="AF10008" s="86">
        <f>IF(verze!$E$1="CZK",AD10008,IF(verze!$E$1="SK",AE10008,""))</f>
        <v>0.24632999999999999</v>
      </c>
    </row>
    <row r="10009" spans="27:32" ht="15">
      <c r="AA10009" s="463" t="s">
        <v>15790</v>
      </c>
      <c r="AB10009" s="462" t="s">
        <v>27713</v>
      </c>
      <c r="AC10009" s="462" t="s">
        <v>27714</v>
      </c>
      <c r="AD10009" s="464">
        <v>6.2839799999999997</v>
      </c>
      <c r="AE10009" s="465">
        <v>0.25237999999999999</v>
      </c>
      <c r="AF10009" s="86">
        <f>IF(verze!$E$1="CZK",AD10009,IF(verze!$E$1="SK",AE10009,""))</f>
        <v>0.25237999999999999</v>
      </c>
    </row>
    <row r="10010" spans="27:32" ht="15">
      <c r="AA10010" s="463" t="s">
        <v>15793</v>
      </c>
      <c r="AB10010" s="462" t="s">
        <v>27715</v>
      </c>
      <c r="AC10010" s="462" t="s">
        <v>27716</v>
      </c>
      <c r="AD10010" s="464">
        <v>12.26613</v>
      </c>
      <c r="AE10010" s="465">
        <v>0.49263000000000001</v>
      </c>
      <c r="AF10010" s="86">
        <f>IF(verze!$E$1="CZK",AD10010,IF(verze!$E$1="SK",AE10010,""))</f>
        <v>0.49263000000000001</v>
      </c>
    </row>
    <row r="10011" spans="27:32" ht="15">
      <c r="AA10011" s="463" t="s">
        <v>15798</v>
      </c>
      <c r="AB10011" s="462" t="s">
        <v>27717</v>
      </c>
      <c r="AC10011" s="462" t="s">
        <v>27718</v>
      </c>
      <c r="AD10011" s="464">
        <v>12.41705</v>
      </c>
      <c r="AE10011" s="465">
        <v>0.49868000000000001</v>
      </c>
      <c r="AF10011" s="86">
        <f>IF(verze!$E$1="CZK",AD10011,IF(verze!$E$1="SK",AE10011,""))</f>
        <v>0.49868000000000001</v>
      </c>
    </row>
    <row r="10012" spans="27:32" ht="15">
      <c r="AA10012" s="463" t="s">
        <v>15813</v>
      </c>
      <c r="AB10012" s="462" t="s">
        <v>27719</v>
      </c>
      <c r="AC10012" s="462" t="s">
        <v>27720</v>
      </c>
      <c r="AD10012" s="464">
        <v>55.395150000000001</v>
      </c>
      <c r="AE10012" s="465">
        <v>2.2246999999999999</v>
      </c>
      <c r="AF10012" s="86">
        <f>IF(verze!$E$1="CZK",AD10012,IF(verze!$E$1="SK",AE10012,""))</f>
        <v>2.2246999999999999</v>
      </c>
    </row>
    <row r="10013" spans="27:32" ht="15">
      <c r="AA10013" s="463" t="s">
        <v>15816</v>
      </c>
      <c r="AB10013" s="462" t="s">
        <v>27721</v>
      </c>
      <c r="AC10013" s="462" t="s">
        <v>27722</v>
      </c>
      <c r="AD10013" s="464">
        <v>55.395150000000001</v>
      </c>
      <c r="AE10013" s="465">
        <v>2.2246999999999999</v>
      </c>
      <c r="AF10013" s="86">
        <f>IF(verze!$E$1="CZK",AD10013,IF(verze!$E$1="SK",AE10013,""))</f>
        <v>2.2246999999999999</v>
      </c>
    </row>
    <row r="10014" spans="27:32" ht="15">
      <c r="AA10014" s="463" t="s">
        <v>27723</v>
      </c>
      <c r="AB10014" s="462" t="s">
        <v>27724</v>
      </c>
      <c r="AC10014" s="462" t="s">
        <v>27725</v>
      </c>
      <c r="AD10014" s="464">
        <v>119.70612</v>
      </c>
      <c r="AE10014" s="465">
        <v>4.80748</v>
      </c>
      <c r="AF10014" s="86">
        <f>IF(verze!$E$1="CZK",AD10014,IF(verze!$E$1="SK",AE10014,""))</f>
        <v>4.80748</v>
      </c>
    </row>
    <row r="10015" spans="27:32" ht="15">
      <c r="AA10015" s="463" t="s">
        <v>15890</v>
      </c>
      <c r="AB10015" s="462" t="s">
        <v>27726</v>
      </c>
      <c r="AC10015" s="462" t="s">
        <v>27727</v>
      </c>
      <c r="AD10015" s="464">
        <v>120.64279999999999</v>
      </c>
      <c r="AE10015" s="465">
        <v>4.8451000000000004</v>
      </c>
      <c r="AF10015" s="86">
        <f>IF(verze!$E$1="CZK",AD10015,IF(verze!$E$1="SK",AE10015,""))</f>
        <v>4.8451000000000004</v>
      </c>
    </row>
    <row r="10016" spans="27:32" ht="15">
      <c r="AA10016" s="463" t="s">
        <v>27728</v>
      </c>
      <c r="AB10016" s="462" t="s">
        <v>27729</v>
      </c>
      <c r="AC10016" s="462" t="s">
        <v>27730</v>
      </c>
      <c r="AD10016" s="464">
        <v>122.98869999999999</v>
      </c>
      <c r="AE10016" s="465">
        <v>4.9393000000000002</v>
      </c>
      <c r="AF10016" s="86">
        <f>IF(verze!$E$1="CZK",AD10016,IF(verze!$E$1="SK",AE10016,""))</f>
        <v>4.9393000000000002</v>
      </c>
    </row>
    <row r="10017" spans="27:32" ht="15">
      <c r="AA10017" s="463" t="s">
        <v>15893</v>
      </c>
      <c r="AB10017" s="462" t="s">
        <v>27731</v>
      </c>
      <c r="AC10017" s="462" t="s">
        <v>27732</v>
      </c>
      <c r="AD10017" s="464">
        <v>125.33458</v>
      </c>
      <c r="AE10017" s="465">
        <v>5.0335299999999998</v>
      </c>
      <c r="AF10017" s="86">
        <f>IF(verze!$E$1="CZK",AD10017,IF(verze!$E$1="SK",AE10017,""))</f>
        <v>5.0335299999999998</v>
      </c>
    </row>
    <row r="10018" spans="27:32" ht="15">
      <c r="AA10018" s="463" t="s">
        <v>27733</v>
      </c>
      <c r="AB10018" s="462" t="s">
        <v>27734</v>
      </c>
      <c r="AC10018" s="462" t="s">
        <v>27735</v>
      </c>
      <c r="AD10018" s="464">
        <v>127.68105</v>
      </c>
      <c r="AE10018" s="465">
        <v>5.1277499999999998</v>
      </c>
      <c r="AF10018" s="86">
        <f>IF(verze!$E$1="CZK",AD10018,IF(verze!$E$1="SK",AE10018,""))</f>
        <v>5.1277499999999998</v>
      </c>
    </row>
    <row r="10019" spans="27:32" ht="15">
      <c r="AA10019" s="463" t="s">
        <v>27736</v>
      </c>
      <c r="AB10019" s="462" t="s">
        <v>27737</v>
      </c>
      <c r="AC10019" s="462" t="s">
        <v>27738</v>
      </c>
      <c r="AD10019" s="464">
        <v>139.41228000000001</v>
      </c>
      <c r="AE10019" s="465">
        <v>5.5988800000000003</v>
      </c>
      <c r="AF10019" s="86">
        <f>IF(verze!$E$1="CZK",AD10019,IF(verze!$E$1="SK",AE10019,""))</f>
        <v>5.5988800000000003</v>
      </c>
    </row>
    <row r="10020" spans="27:32" ht="15">
      <c r="AA10020" s="463" t="s">
        <v>27739</v>
      </c>
      <c r="AB10020" s="462" t="s">
        <v>27740</v>
      </c>
      <c r="AC10020" s="462" t="s">
        <v>27741</v>
      </c>
      <c r="AD10020" s="464">
        <v>0</v>
      </c>
      <c r="AE10020" s="465">
        <v>0</v>
      </c>
      <c r="AF10020" s="86">
        <f>IF(verze!$E$1="CZK",AD10020,IF(verze!$E$1="SK",AE10020,""))</f>
        <v>0</v>
      </c>
    </row>
    <row r="10021" spans="27:32" ht="15">
      <c r="AA10021" s="463" t="s">
        <v>18416</v>
      </c>
      <c r="AB10021" s="462" t="s">
        <v>27742</v>
      </c>
      <c r="AC10021" s="462" t="s">
        <v>27743</v>
      </c>
      <c r="AD10021" s="464">
        <v>75.024850000000001</v>
      </c>
      <c r="AE10021" s="465">
        <v>3.0130499999999998</v>
      </c>
      <c r="AF10021" s="86">
        <f>IF(verze!$E$1="CZK",AD10021,IF(verze!$E$1="SK",AE10021,""))</f>
        <v>3.0130499999999998</v>
      </c>
    </row>
    <row r="10022" spans="27:32" ht="15">
      <c r="AA10022" s="463" t="s">
        <v>18452</v>
      </c>
      <c r="AB10022" s="462" t="s">
        <v>27744</v>
      </c>
      <c r="AC10022" s="462" t="s">
        <v>27745</v>
      </c>
      <c r="AD10022" s="464">
        <v>0</v>
      </c>
      <c r="AE10022" s="465">
        <v>0</v>
      </c>
      <c r="AF10022" s="86">
        <f>IF(verze!$E$1="CZK",AD10022,IF(verze!$E$1="SK",AE10022,""))</f>
        <v>0</v>
      </c>
    </row>
    <row r="10023" spans="27:32" ht="15">
      <c r="AA10023" s="463" t="s">
        <v>18506</v>
      </c>
      <c r="AB10023" s="462" t="s">
        <v>27746</v>
      </c>
      <c r="AC10023" s="462" t="s">
        <v>27747</v>
      </c>
      <c r="AD10023" s="464">
        <v>0</v>
      </c>
      <c r="AE10023" s="465">
        <v>0</v>
      </c>
      <c r="AF10023" s="86">
        <f>IF(verze!$E$1="CZK",AD10023,IF(verze!$E$1="SK",AE10023,""))</f>
        <v>0</v>
      </c>
    </row>
    <row r="10024" spans="27:32" ht="15">
      <c r="AA10024" s="463" t="s">
        <v>16184</v>
      </c>
      <c r="AB10024" s="462" t="s">
        <v>27748</v>
      </c>
      <c r="AC10024" s="462" t="s">
        <v>27749</v>
      </c>
      <c r="AD10024" s="464">
        <v>0</v>
      </c>
      <c r="AE10024" s="465">
        <v>0</v>
      </c>
      <c r="AF10024" s="86">
        <f>IF(verze!$E$1="CZK",AD10024,IF(verze!$E$1="SK",AE10024,""))</f>
        <v>0</v>
      </c>
    </row>
    <row r="10025" spans="27:32" ht="15">
      <c r="AA10025" s="463" t="s">
        <v>16190</v>
      </c>
      <c r="AB10025" s="462" t="s">
        <v>27750</v>
      </c>
      <c r="AC10025" s="462" t="s">
        <v>27751</v>
      </c>
      <c r="AD10025" s="464">
        <v>0</v>
      </c>
      <c r="AE10025" s="465">
        <v>0</v>
      </c>
      <c r="AF10025" s="86">
        <f>IF(verze!$E$1="CZK",AD10025,IF(verze!$E$1="SK",AE10025,""))</f>
        <v>0</v>
      </c>
    </row>
    <row r="10026" spans="27:32" ht="15">
      <c r="AA10026" s="463" t="s">
        <v>16208</v>
      </c>
      <c r="AB10026" s="462" t="s">
        <v>27752</v>
      </c>
      <c r="AC10026" s="462" t="s">
        <v>27753</v>
      </c>
      <c r="AD10026" s="464">
        <v>0</v>
      </c>
      <c r="AE10026" s="465">
        <v>0</v>
      </c>
      <c r="AF10026" s="86">
        <f>IF(verze!$E$1="CZK",AD10026,IF(verze!$E$1="SK",AE10026,""))</f>
        <v>0</v>
      </c>
    </row>
    <row r="10027" spans="27:32" ht="15">
      <c r="AA10027" s="463" t="s">
        <v>16211</v>
      </c>
      <c r="AB10027" s="462" t="s">
        <v>27754</v>
      </c>
      <c r="AC10027" s="462" t="s">
        <v>27755</v>
      </c>
      <c r="AD10027" s="464">
        <v>0</v>
      </c>
      <c r="AE10027" s="465">
        <v>0</v>
      </c>
      <c r="AF10027" s="86">
        <f>IF(verze!$E$1="CZK",AD10027,IF(verze!$E$1="SK",AE10027,""))</f>
        <v>0</v>
      </c>
    </row>
    <row r="10028" spans="27:32" ht="15">
      <c r="AA10028" s="463" t="s">
        <v>27756</v>
      </c>
      <c r="AB10028" s="462" t="s">
        <v>27757</v>
      </c>
      <c r="AC10028" s="462" t="s">
        <v>27758</v>
      </c>
      <c r="AD10028" s="464">
        <v>0</v>
      </c>
      <c r="AE10028" s="465">
        <v>0</v>
      </c>
      <c r="AF10028" s="86">
        <f>IF(verze!$E$1="CZK",AD10028,IF(verze!$E$1="SK",AE10028,""))</f>
        <v>0</v>
      </c>
    </row>
    <row r="10029" spans="27:32" ht="15">
      <c r="AA10029" s="463" t="s">
        <v>16217</v>
      </c>
      <c r="AB10029" s="462" t="s">
        <v>27759</v>
      </c>
      <c r="AC10029" s="462" t="s">
        <v>27760</v>
      </c>
      <c r="AD10029" s="464">
        <v>12.26613</v>
      </c>
      <c r="AE10029" s="465">
        <v>0.49263000000000001</v>
      </c>
      <c r="AF10029" s="86">
        <f>IF(verze!$E$1="CZK",AD10029,IF(verze!$E$1="SK",AE10029,""))</f>
        <v>0.49263000000000001</v>
      </c>
    </row>
    <row r="10030" spans="27:32" ht="15">
      <c r="AA10030" s="463" t="s">
        <v>16220</v>
      </c>
      <c r="AB10030" s="462" t="s">
        <v>27761</v>
      </c>
      <c r="AC10030" s="462" t="s">
        <v>27762</v>
      </c>
      <c r="AD10030" s="464">
        <v>12.41705</v>
      </c>
      <c r="AE10030" s="465">
        <v>0.49868000000000001</v>
      </c>
      <c r="AF10030" s="86">
        <f>IF(verze!$E$1="CZK",AD10030,IF(verze!$E$1="SK",AE10030,""))</f>
        <v>0.49868000000000001</v>
      </c>
    </row>
    <row r="10031" spans="27:32" ht="15">
      <c r="AA10031" s="463" t="s">
        <v>16232</v>
      </c>
      <c r="AB10031" s="462" t="s">
        <v>27763</v>
      </c>
      <c r="AC10031" s="462" t="s">
        <v>27764</v>
      </c>
      <c r="AD10031" s="464">
        <v>0</v>
      </c>
      <c r="AE10031" s="465">
        <v>0</v>
      </c>
      <c r="AF10031" s="86">
        <f>IF(verze!$E$1="CZK",AD10031,IF(verze!$E$1="SK",AE10031,""))</f>
        <v>0</v>
      </c>
    </row>
    <row r="10032" spans="27:32" ht="15">
      <c r="AA10032" s="463" t="s">
        <v>16238</v>
      </c>
      <c r="AB10032" s="462" t="s">
        <v>27765</v>
      </c>
      <c r="AC10032" s="462" t="s">
        <v>27766</v>
      </c>
      <c r="AD10032" s="464">
        <v>358.59048000000001</v>
      </c>
      <c r="AE10032" s="465">
        <v>14.40123</v>
      </c>
      <c r="AF10032" s="86">
        <f>IF(verze!$E$1="CZK",AD10032,IF(verze!$E$1="SK",AE10032,""))</f>
        <v>14.40123</v>
      </c>
    </row>
    <row r="10033" spans="27:32" ht="15">
      <c r="AA10033" s="463" t="s">
        <v>16247</v>
      </c>
      <c r="AB10033" s="462" t="s">
        <v>27767</v>
      </c>
      <c r="AC10033" s="462" t="s">
        <v>27768</v>
      </c>
      <c r="AD10033" s="464">
        <v>358.59048000000001</v>
      </c>
      <c r="AE10033" s="465">
        <v>14.40123</v>
      </c>
      <c r="AF10033" s="86">
        <f>IF(verze!$E$1="CZK",AD10033,IF(verze!$E$1="SK",AE10033,""))</f>
        <v>14.40123</v>
      </c>
    </row>
    <row r="10034" spans="27:32" ht="15">
      <c r="AA10034" s="463" t="s">
        <v>16256</v>
      </c>
      <c r="AB10034" s="462" t="s">
        <v>27769</v>
      </c>
      <c r="AC10034" s="462" t="s">
        <v>27770</v>
      </c>
      <c r="AD10034" s="464">
        <v>358.59048000000001</v>
      </c>
      <c r="AE10034" s="465">
        <v>14.40123</v>
      </c>
      <c r="AF10034" s="86">
        <f>IF(verze!$E$1="CZK",AD10034,IF(verze!$E$1="SK",AE10034,""))</f>
        <v>14.40123</v>
      </c>
    </row>
    <row r="10035" spans="27:32" ht="15">
      <c r="AA10035" s="463" t="s">
        <v>16259</v>
      </c>
      <c r="AB10035" s="462" t="s">
        <v>27771</v>
      </c>
      <c r="AC10035" s="462" t="s">
        <v>27772</v>
      </c>
      <c r="AD10035" s="464">
        <v>428.96787999999998</v>
      </c>
      <c r="AE10035" s="465">
        <v>17.227630000000001</v>
      </c>
      <c r="AF10035" s="86">
        <f>IF(verze!$E$1="CZK",AD10035,IF(verze!$E$1="SK",AE10035,""))</f>
        <v>17.227630000000001</v>
      </c>
    </row>
    <row r="10036" spans="27:32" ht="15">
      <c r="AA10036" s="463" t="s">
        <v>16262</v>
      </c>
      <c r="AB10036" s="462" t="s">
        <v>27773</v>
      </c>
      <c r="AC10036" s="462" t="s">
        <v>27774</v>
      </c>
      <c r="AD10036" s="464">
        <v>536.21011999999996</v>
      </c>
      <c r="AE10036" s="465">
        <v>21.534549999999999</v>
      </c>
      <c r="AF10036" s="86">
        <f>IF(verze!$E$1="CZK",AD10036,IF(verze!$E$1="SK",AE10036,""))</f>
        <v>21.534549999999999</v>
      </c>
    </row>
    <row r="10037" spans="27:32" ht="15">
      <c r="AA10037" s="463" t="s">
        <v>16280</v>
      </c>
      <c r="AB10037" s="462" t="s">
        <v>27775</v>
      </c>
      <c r="AC10037" s="462" t="s">
        <v>27776</v>
      </c>
      <c r="AD10037" s="464">
        <v>674.52462000000003</v>
      </c>
      <c r="AE10037" s="465">
        <v>27.08935</v>
      </c>
      <c r="AF10037" s="86">
        <f>IF(verze!$E$1="CZK",AD10037,IF(verze!$E$1="SK",AE10037,""))</f>
        <v>27.08935</v>
      </c>
    </row>
    <row r="10038" spans="27:32" ht="15">
      <c r="AA10038" s="463" t="s">
        <v>16283</v>
      </c>
      <c r="AB10038" s="462" t="s">
        <v>27777</v>
      </c>
      <c r="AC10038" s="462" t="s">
        <v>27778</v>
      </c>
      <c r="AD10038" s="464">
        <v>750.95277999999996</v>
      </c>
      <c r="AE10038" s="465">
        <v>30.158750000000001</v>
      </c>
      <c r="AF10038" s="86">
        <f>IF(verze!$E$1="CZK",AD10038,IF(verze!$E$1="SK",AE10038,""))</f>
        <v>30.158750000000001</v>
      </c>
    </row>
    <row r="10039" spans="27:32" ht="15">
      <c r="AA10039" s="463" t="s">
        <v>16305</v>
      </c>
      <c r="AB10039" s="462" t="s">
        <v>27779</v>
      </c>
      <c r="AC10039" s="462" t="s">
        <v>27780</v>
      </c>
      <c r="AD10039" s="464">
        <v>224.57492999999999</v>
      </c>
      <c r="AE10039" s="465">
        <v>9.0190800000000007</v>
      </c>
      <c r="AF10039" s="86">
        <f>IF(verze!$E$1="CZK",AD10039,IF(verze!$E$1="SK",AE10039,""))</f>
        <v>9.0190800000000007</v>
      </c>
    </row>
    <row r="10040" spans="27:32" ht="15">
      <c r="AA10040" s="463" t="s">
        <v>16338</v>
      </c>
      <c r="AB10040" s="462" t="s">
        <v>27781</v>
      </c>
      <c r="AC10040" s="462" t="s">
        <v>27782</v>
      </c>
      <c r="AD10040" s="464">
        <v>23.515550000000001</v>
      </c>
      <c r="AE10040" s="465">
        <v>0.94440000000000002</v>
      </c>
      <c r="AF10040" s="86">
        <f>IF(verze!$E$1="CZK",AD10040,IF(verze!$E$1="SK",AE10040,""))</f>
        <v>0.94440000000000002</v>
      </c>
    </row>
    <row r="10041" spans="27:32" ht="15">
      <c r="AA10041" s="463" t="s">
        <v>16347</v>
      </c>
      <c r="AB10041" s="462" t="s">
        <v>27783</v>
      </c>
      <c r="AC10041" s="462" t="s">
        <v>27784</v>
      </c>
      <c r="AD10041" s="464">
        <v>23.515550000000001</v>
      </c>
      <c r="AE10041" s="465">
        <v>0.94440000000000002</v>
      </c>
      <c r="AF10041" s="86">
        <f>IF(verze!$E$1="CZK",AD10041,IF(verze!$E$1="SK",AE10041,""))</f>
        <v>0.94440000000000002</v>
      </c>
    </row>
    <row r="10042" spans="27:32" ht="15">
      <c r="AA10042" s="463" t="s">
        <v>16356</v>
      </c>
      <c r="AB10042" s="462" t="s">
        <v>27785</v>
      </c>
      <c r="AC10042" s="462" t="s">
        <v>27786</v>
      </c>
      <c r="AD10042" s="464">
        <v>23.515550000000001</v>
      </c>
      <c r="AE10042" s="465">
        <v>0.94440000000000002</v>
      </c>
      <c r="AF10042" s="86">
        <f>IF(verze!$E$1="CZK",AD10042,IF(verze!$E$1="SK",AE10042,""))</f>
        <v>0.94440000000000002</v>
      </c>
    </row>
    <row r="10043" spans="27:32" ht="15">
      <c r="AA10043" s="463" t="s">
        <v>16362</v>
      </c>
      <c r="AB10043" s="462" t="s">
        <v>27787</v>
      </c>
      <c r="AC10043" s="462" t="s">
        <v>27788</v>
      </c>
      <c r="AD10043" s="464">
        <v>40.934950000000001</v>
      </c>
      <c r="AE10043" s="465">
        <v>1.64398</v>
      </c>
      <c r="AF10043" s="86">
        <f>IF(verze!$E$1="CZK",AD10043,IF(verze!$E$1="SK",AE10043,""))</f>
        <v>1.64398</v>
      </c>
    </row>
    <row r="10044" spans="27:32" ht="15">
      <c r="AA10044" s="463" t="s">
        <v>16371</v>
      </c>
      <c r="AB10044" s="462" t="s">
        <v>27789</v>
      </c>
      <c r="AC10044" s="462" t="s">
        <v>27790</v>
      </c>
      <c r="AD10044" s="464">
        <v>36.278379999999999</v>
      </c>
      <c r="AE10044" s="465">
        <v>1.4569799999999999</v>
      </c>
      <c r="AF10044" s="86">
        <f>IF(verze!$E$1="CZK",AD10044,IF(verze!$E$1="SK",AE10044,""))</f>
        <v>1.4569799999999999</v>
      </c>
    </row>
    <row r="10045" spans="27:32" ht="15">
      <c r="AA10045" s="463" t="s">
        <v>16401</v>
      </c>
      <c r="AB10045" s="462" t="s">
        <v>27791</v>
      </c>
      <c r="AC10045" s="462" t="s">
        <v>27792</v>
      </c>
      <c r="AD10045" s="464">
        <v>2.6211000000000002</v>
      </c>
      <c r="AE10045" s="465">
        <v>0.10528</v>
      </c>
      <c r="AF10045" s="86">
        <f>IF(verze!$E$1="CZK",AD10045,IF(verze!$E$1="SK",AE10045,""))</f>
        <v>0.10528</v>
      </c>
    </row>
    <row r="10046" spans="27:32" ht="15">
      <c r="AA10046" s="463" t="s">
        <v>16425</v>
      </c>
      <c r="AB10046" s="462" t="s">
        <v>27793</v>
      </c>
      <c r="AC10046" s="462" t="s">
        <v>27794</v>
      </c>
      <c r="AD10046" s="464">
        <v>134.68195</v>
      </c>
      <c r="AE10046" s="465">
        <v>5.4089299999999998</v>
      </c>
      <c r="AF10046" s="86">
        <f>IF(verze!$E$1="CZK",AD10046,IF(verze!$E$1="SK",AE10046,""))</f>
        <v>5.4089299999999998</v>
      </c>
    </row>
    <row r="10047" spans="27:32" ht="15">
      <c r="AA10047" s="463" t="s">
        <v>16428</v>
      </c>
      <c r="AB10047" s="462" t="s">
        <v>27795</v>
      </c>
      <c r="AC10047" s="462" t="s">
        <v>27796</v>
      </c>
      <c r="AD10047" s="464">
        <v>134.68195</v>
      </c>
      <c r="AE10047" s="465">
        <v>5.4089299999999998</v>
      </c>
      <c r="AF10047" s="86">
        <f>IF(verze!$E$1="CZK",AD10047,IF(verze!$E$1="SK",AE10047,""))</f>
        <v>5.4089299999999998</v>
      </c>
    </row>
    <row r="10048" spans="27:32" ht="15">
      <c r="AA10048" s="463" t="s">
        <v>16434</v>
      </c>
      <c r="AB10048" s="462" t="s">
        <v>27797</v>
      </c>
      <c r="AC10048" s="462" t="s">
        <v>27798</v>
      </c>
      <c r="AD10048" s="464">
        <v>134.68195</v>
      </c>
      <c r="AE10048" s="465">
        <v>5.4089299999999998</v>
      </c>
      <c r="AF10048" s="86">
        <f>IF(verze!$E$1="CZK",AD10048,IF(verze!$E$1="SK",AE10048,""))</f>
        <v>5.4089299999999998</v>
      </c>
    </row>
    <row r="10049" spans="27:32" ht="15">
      <c r="AA10049" s="463" t="s">
        <v>16437</v>
      </c>
      <c r="AB10049" s="462" t="s">
        <v>27799</v>
      </c>
      <c r="AC10049" s="462" t="s">
        <v>27800</v>
      </c>
      <c r="AD10049" s="464">
        <v>134.68195</v>
      </c>
      <c r="AE10049" s="465">
        <v>5.4089299999999998</v>
      </c>
      <c r="AF10049" s="86">
        <f>IF(verze!$E$1="CZK",AD10049,IF(verze!$E$1="SK",AE10049,""))</f>
        <v>5.4089299999999998</v>
      </c>
    </row>
    <row r="10050" spans="27:32" ht="15">
      <c r="AA10050" s="463" t="s">
        <v>16443</v>
      </c>
      <c r="AB10050" s="462" t="s">
        <v>27801</v>
      </c>
      <c r="AC10050" s="462" t="s">
        <v>27802</v>
      </c>
      <c r="AD10050" s="464">
        <v>179.29578000000001</v>
      </c>
      <c r="AE10050" s="465">
        <v>7.2006300000000003</v>
      </c>
      <c r="AF10050" s="86">
        <f>IF(verze!$E$1="CZK",AD10050,IF(verze!$E$1="SK",AE10050,""))</f>
        <v>7.2006300000000003</v>
      </c>
    </row>
    <row r="10051" spans="27:32" ht="15">
      <c r="AA10051" s="463" t="s">
        <v>16446</v>
      </c>
      <c r="AB10051" s="462" t="s">
        <v>27803</v>
      </c>
      <c r="AC10051" s="462" t="s">
        <v>27804</v>
      </c>
      <c r="AD10051" s="464">
        <v>179.29578000000001</v>
      </c>
      <c r="AE10051" s="465">
        <v>7.2006300000000003</v>
      </c>
      <c r="AF10051" s="86">
        <f>IF(verze!$E$1="CZK",AD10051,IF(verze!$E$1="SK",AE10051,""))</f>
        <v>7.2006300000000003</v>
      </c>
    </row>
    <row r="10052" spans="27:32" ht="15">
      <c r="AA10052" s="463" t="s">
        <v>16449</v>
      </c>
      <c r="AB10052" s="462" t="s">
        <v>27805</v>
      </c>
      <c r="AC10052" s="462" t="s">
        <v>27806</v>
      </c>
      <c r="AD10052" s="464">
        <v>11.881729999999999</v>
      </c>
      <c r="AE10052" s="465">
        <v>0.47717999999999999</v>
      </c>
      <c r="AF10052" s="86">
        <f>IF(verze!$E$1="CZK",AD10052,IF(verze!$E$1="SK",AE10052,""))</f>
        <v>0.47717999999999999</v>
      </c>
    </row>
    <row r="10053" spans="27:32" ht="15">
      <c r="AA10053" s="463" t="s">
        <v>16452</v>
      </c>
      <c r="AB10053" s="462" t="s">
        <v>27807</v>
      </c>
      <c r="AC10053" s="462" t="s">
        <v>27808</v>
      </c>
      <c r="AD10053" s="464">
        <v>11.881729999999999</v>
      </c>
      <c r="AE10053" s="465">
        <v>0.47717999999999999</v>
      </c>
      <c r="AF10053" s="86">
        <f>IF(verze!$E$1="CZK",AD10053,IF(verze!$E$1="SK",AE10053,""))</f>
        <v>0.47717999999999999</v>
      </c>
    </row>
    <row r="10054" spans="27:32" ht="15">
      <c r="AA10054" s="463" t="s">
        <v>16461</v>
      </c>
      <c r="AB10054" s="462" t="s">
        <v>27809</v>
      </c>
      <c r="AC10054" s="462" t="s">
        <v>27810</v>
      </c>
      <c r="AD10054" s="464">
        <v>20.5227</v>
      </c>
      <c r="AE10054" s="465">
        <v>0.82420000000000004</v>
      </c>
      <c r="AF10054" s="86">
        <f>IF(verze!$E$1="CZK",AD10054,IF(verze!$E$1="SK",AE10054,""))</f>
        <v>0.82420000000000004</v>
      </c>
    </row>
    <row r="10055" spans="27:32" ht="15">
      <c r="AA10055" s="463" t="s">
        <v>16464</v>
      </c>
      <c r="AB10055" s="462" t="s">
        <v>27811</v>
      </c>
      <c r="AC10055" s="462" t="s">
        <v>27812</v>
      </c>
      <c r="AD10055" s="464">
        <v>20.5227</v>
      </c>
      <c r="AE10055" s="465">
        <v>0.82420000000000004</v>
      </c>
      <c r="AF10055" s="86">
        <f>IF(verze!$E$1="CZK",AD10055,IF(verze!$E$1="SK",AE10055,""))</f>
        <v>0.82420000000000004</v>
      </c>
    </row>
    <row r="10056" spans="27:32" ht="15">
      <c r="AA10056" s="463" t="s">
        <v>16467</v>
      </c>
      <c r="AB10056" s="462" t="s">
        <v>27813</v>
      </c>
      <c r="AC10056" s="462" t="s">
        <v>27814</v>
      </c>
      <c r="AD10056" s="464">
        <v>28.300280000000001</v>
      </c>
      <c r="AE10056" s="465">
        <v>1.1365499999999999</v>
      </c>
      <c r="AF10056" s="86">
        <f>IF(verze!$E$1="CZK",AD10056,IF(verze!$E$1="SK",AE10056,""))</f>
        <v>1.1365499999999999</v>
      </c>
    </row>
    <row r="10057" spans="27:32" ht="15">
      <c r="AA10057" s="463" t="s">
        <v>16470</v>
      </c>
      <c r="AB10057" s="462" t="s">
        <v>27815</v>
      </c>
      <c r="AC10057" s="462" t="s">
        <v>27816</v>
      </c>
      <c r="AD10057" s="464">
        <v>28.300280000000001</v>
      </c>
      <c r="AE10057" s="465">
        <v>1.1365499999999999</v>
      </c>
      <c r="AF10057" s="86">
        <f>IF(verze!$E$1="CZK",AD10057,IF(verze!$E$1="SK",AE10057,""))</f>
        <v>1.1365499999999999</v>
      </c>
    </row>
    <row r="10058" spans="27:32" ht="15">
      <c r="AA10058" s="463" t="s">
        <v>16485</v>
      </c>
      <c r="AB10058" s="462" t="s">
        <v>27817</v>
      </c>
      <c r="AC10058" s="462" t="s">
        <v>27818</v>
      </c>
      <c r="AD10058" s="464">
        <v>20.5227</v>
      </c>
      <c r="AE10058" s="465">
        <v>0.82420000000000004</v>
      </c>
      <c r="AF10058" s="86">
        <f>IF(verze!$E$1="CZK",AD10058,IF(verze!$E$1="SK",AE10058,""))</f>
        <v>0.82420000000000004</v>
      </c>
    </row>
    <row r="10059" spans="27:32" ht="15">
      <c r="AA10059" s="463" t="s">
        <v>16488</v>
      </c>
      <c r="AB10059" s="462" t="s">
        <v>27819</v>
      </c>
      <c r="AC10059" s="462" t="s">
        <v>27820</v>
      </c>
      <c r="AD10059" s="464">
        <v>20.5227</v>
      </c>
      <c r="AE10059" s="465">
        <v>0.82420000000000004</v>
      </c>
      <c r="AF10059" s="86">
        <f>IF(verze!$E$1="CZK",AD10059,IF(verze!$E$1="SK",AE10059,""))</f>
        <v>0.82420000000000004</v>
      </c>
    </row>
    <row r="10060" spans="27:32" ht="15">
      <c r="AA10060" s="463" t="s">
        <v>16491</v>
      </c>
      <c r="AB10060" s="462" t="s">
        <v>27821</v>
      </c>
      <c r="AC10060" s="462" t="s">
        <v>27822</v>
      </c>
      <c r="AD10060" s="464">
        <v>28.300280000000001</v>
      </c>
      <c r="AE10060" s="465">
        <v>1.1365499999999999</v>
      </c>
      <c r="AF10060" s="86">
        <f>IF(verze!$E$1="CZK",AD10060,IF(verze!$E$1="SK",AE10060,""))</f>
        <v>1.1365499999999999</v>
      </c>
    </row>
    <row r="10061" spans="27:32" ht="15">
      <c r="AA10061" s="463" t="s">
        <v>16494</v>
      </c>
      <c r="AB10061" s="462" t="s">
        <v>27823</v>
      </c>
      <c r="AC10061" s="462" t="s">
        <v>27824</v>
      </c>
      <c r="AD10061" s="464">
        <v>28.300280000000001</v>
      </c>
      <c r="AE10061" s="465">
        <v>1.1365499999999999</v>
      </c>
      <c r="AF10061" s="86">
        <f>IF(verze!$E$1="CZK",AD10061,IF(verze!$E$1="SK",AE10061,""))</f>
        <v>1.1365499999999999</v>
      </c>
    </row>
    <row r="10062" spans="27:32" ht="15">
      <c r="AA10062" s="463" t="s">
        <v>16497</v>
      </c>
      <c r="AB10062" s="462" t="s">
        <v>27825</v>
      </c>
      <c r="AC10062" s="462" t="s">
        <v>27826</v>
      </c>
      <c r="AD10062" s="464">
        <v>11.881729999999999</v>
      </c>
      <c r="AE10062" s="465">
        <v>0.47717999999999999</v>
      </c>
      <c r="AF10062" s="86">
        <f>IF(verze!$E$1="CZK",AD10062,IF(verze!$E$1="SK",AE10062,""))</f>
        <v>0.47717999999999999</v>
      </c>
    </row>
    <row r="10063" spans="27:32" ht="15">
      <c r="AA10063" s="463" t="s">
        <v>16500</v>
      </c>
      <c r="AB10063" s="462" t="s">
        <v>27827</v>
      </c>
      <c r="AC10063" s="462" t="s">
        <v>27828</v>
      </c>
      <c r="AD10063" s="464">
        <v>11.881729999999999</v>
      </c>
      <c r="AE10063" s="465">
        <v>0.47717999999999999</v>
      </c>
      <c r="AF10063" s="86">
        <f>IF(verze!$E$1="CZK",AD10063,IF(verze!$E$1="SK",AE10063,""))</f>
        <v>0.47717999999999999</v>
      </c>
    </row>
    <row r="10064" spans="27:32" ht="15">
      <c r="AA10064" s="463" t="s">
        <v>16509</v>
      </c>
      <c r="AB10064" s="462" t="s">
        <v>27829</v>
      </c>
      <c r="AC10064" s="462" t="s">
        <v>27830</v>
      </c>
      <c r="AD10064" s="464">
        <v>20.5227</v>
      </c>
      <c r="AE10064" s="465">
        <v>0.82420000000000004</v>
      </c>
      <c r="AF10064" s="86">
        <f>IF(verze!$E$1="CZK",AD10064,IF(verze!$E$1="SK",AE10064,""))</f>
        <v>0.82420000000000004</v>
      </c>
    </row>
    <row r="10065" spans="27:32" ht="15">
      <c r="AA10065" s="463" t="s">
        <v>16512</v>
      </c>
      <c r="AB10065" s="462" t="s">
        <v>27831</v>
      </c>
      <c r="AC10065" s="462" t="s">
        <v>27832</v>
      </c>
      <c r="AD10065" s="464">
        <v>20.5227</v>
      </c>
      <c r="AE10065" s="465">
        <v>0.82420000000000004</v>
      </c>
      <c r="AF10065" s="86">
        <f>IF(verze!$E$1="CZK",AD10065,IF(verze!$E$1="SK",AE10065,""))</f>
        <v>0.82420000000000004</v>
      </c>
    </row>
    <row r="10066" spans="27:32" ht="15">
      <c r="AA10066" s="463" t="s">
        <v>16521</v>
      </c>
      <c r="AB10066" s="462" t="s">
        <v>27833</v>
      </c>
      <c r="AC10066" s="462" t="s">
        <v>27834</v>
      </c>
      <c r="AD10066" s="464">
        <v>3.75928</v>
      </c>
      <c r="AE10066" s="465">
        <v>0.15098</v>
      </c>
      <c r="AF10066" s="86">
        <f>IF(verze!$E$1="CZK",AD10066,IF(verze!$E$1="SK",AE10066,""))</f>
        <v>0.15098</v>
      </c>
    </row>
    <row r="10067" spans="27:32" ht="15">
      <c r="AA10067" s="463" t="s">
        <v>16526</v>
      </c>
      <c r="AB10067" s="462" t="s">
        <v>27835</v>
      </c>
      <c r="AC10067" s="462" t="s">
        <v>27836</v>
      </c>
      <c r="AD10067" s="464">
        <v>1.4817499999999999</v>
      </c>
      <c r="AE10067" s="465">
        <v>5.9499999999999997E-2</v>
      </c>
      <c r="AF10067" s="86">
        <f>IF(verze!$E$1="CZK",AD10067,IF(verze!$E$1="SK",AE10067,""))</f>
        <v>5.9499999999999997E-2</v>
      </c>
    </row>
    <row r="10068" spans="27:32" ht="15">
      <c r="AA10068" s="463" t="s">
        <v>16531</v>
      </c>
      <c r="AB10068" s="462" t="s">
        <v>27837</v>
      </c>
      <c r="AC10068" s="462" t="s">
        <v>27838</v>
      </c>
      <c r="AD10068" s="464">
        <v>1.4817499999999999</v>
      </c>
      <c r="AE10068" s="465">
        <v>5.9499999999999997E-2</v>
      </c>
      <c r="AF10068" s="86">
        <f>IF(verze!$E$1="CZK",AD10068,IF(verze!$E$1="SK",AE10068,""))</f>
        <v>5.9499999999999997E-2</v>
      </c>
    </row>
    <row r="10069" spans="27:32" ht="15">
      <c r="AA10069" s="463" t="s">
        <v>16544</v>
      </c>
      <c r="AB10069" s="462" t="s">
        <v>27839</v>
      </c>
      <c r="AC10069" s="462" t="s">
        <v>27840</v>
      </c>
      <c r="AD10069" s="464">
        <v>25.966100000000001</v>
      </c>
      <c r="AE10069" s="465">
        <v>1.0428200000000001</v>
      </c>
      <c r="AF10069" s="86">
        <f>IF(verze!$E$1="CZK",AD10069,IF(verze!$E$1="SK",AE10069,""))</f>
        <v>1.0428200000000001</v>
      </c>
    </row>
    <row r="10070" spans="27:32" ht="15">
      <c r="AA10070" s="463" t="s">
        <v>16553</v>
      </c>
      <c r="AB10070" s="462" t="s">
        <v>27841</v>
      </c>
      <c r="AC10070" s="462" t="s">
        <v>27842</v>
      </c>
      <c r="AD10070" s="464">
        <v>29.494779999999999</v>
      </c>
      <c r="AE10070" s="465">
        <v>1.1845300000000001</v>
      </c>
      <c r="AF10070" s="86">
        <f>IF(verze!$E$1="CZK",AD10070,IF(verze!$E$1="SK",AE10070,""))</f>
        <v>1.1845300000000001</v>
      </c>
    </row>
    <row r="10071" spans="27:32" ht="15">
      <c r="AA10071" s="463" t="s">
        <v>16556</v>
      </c>
      <c r="AB10071" s="462" t="s">
        <v>27843</v>
      </c>
      <c r="AC10071" s="462" t="s">
        <v>27844</v>
      </c>
      <c r="AD10071" s="464">
        <v>41.545099999999998</v>
      </c>
      <c r="AE10071" s="465">
        <v>1.66848</v>
      </c>
      <c r="AF10071" s="86">
        <f>IF(verze!$E$1="CZK",AD10071,IF(verze!$E$1="SK",AE10071,""))</f>
        <v>1.66848</v>
      </c>
    </row>
    <row r="10072" spans="27:32" ht="15">
      <c r="AA10072" s="463" t="s">
        <v>16559</v>
      </c>
      <c r="AB10072" s="462" t="s">
        <v>27845</v>
      </c>
      <c r="AC10072" s="462" t="s">
        <v>27846</v>
      </c>
      <c r="AD10072" s="464">
        <v>41.545099999999998</v>
      </c>
      <c r="AE10072" s="465">
        <v>1.66848</v>
      </c>
      <c r="AF10072" s="86">
        <f>IF(verze!$E$1="CZK",AD10072,IF(verze!$E$1="SK",AE10072,""))</f>
        <v>1.66848</v>
      </c>
    </row>
    <row r="10073" spans="27:32" ht="15">
      <c r="AA10073" s="463" t="s">
        <v>16562</v>
      </c>
      <c r="AB10073" s="462" t="s">
        <v>27847</v>
      </c>
      <c r="AC10073" s="462" t="s">
        <v>27848</v>
      </c>
      <c r="AD10073" s="464">
        <v>41.545099999999998</v>
      </c>
      <c r="AE10073" s="465">
        <v>1.66848</v>
      </c>
      <c r="AF10073" s="86">
        <f>IF(verze!$E$1="CZK",AD10073,IF(verze!$E$1="SK",AE10073,""))</f>
        <v>1.66848</v>
      </c>
    </row>
    <row r="10074" spans="27:32" ht="15">
      <c r="AA10074" s="463" t="s">
        <v>16570</v>
      </c>
      <c r="AB10074" s="462" t="s">
        <v>27849</v>
      </c>
      <c r="AC10074" s="462" t="s">
        <v>27850</v>
      </c>
      <c r="AD10074" s="464">
        <v>8.1769300000000005</v>
      </c>
      <c r="AE10074" s="465">
        <v>0.32840000000000003</v>
      </c>
      <c r="AF10074" s="86">
        <f>IF(verze!$E$1="CZK",AD10074,IF(verze!$E$1="SK",AE10074,""))</f>
        <v>0.32840000000000003</v>
      </c>
    </row>
    <row r="10075" spans="27:32" ht="15">
      <c r="AA10075" s="463" t="s">
        <v>16582</v>
      </c>
      <c r="AB10075" s="462" t="s">
        <v>27851</v>
      </c>
      <c r="AC10075" s="462" t="s">
        <v>27852</v>
      </c>
      <c r="AD10075" s="464">
        <v>116.49278</v>
      </c>
      <c r="AE10075" s="465">
        <v>4.6784299999999996</v>
      </c>
      <c r="AF10075" s="86">
        <f>IF(verze!$E$1="CZK",AD10075,IF(verze!$E$1="SK",AE10075,""))</f>
        <v>4.6784299999999996</v>
      </c>
    </row>
    <row r="10076" spans="27:32" ht="15">
      <c r="AA10076" s="463" t="s">
        <v>16585</v>
      </c>
      <c r="AB10076" s="462" t="s">
        <v>27853</v>
      </c>
      <c r="AC10076" s="462" t="s">
        <v>27854</v>
      </c>
      <c r="AD10076" s="464">
        <v>116.49278</v>
      </c>
      <c r="AE10076" s="465">
        <v>4.6784299999999996</v>
      </c>
      <c r="AF10076" s="86">
        <f>IF(verze!$E$1="CZK",AD10076,IF(verze!$E$1="SK",AE10076,""))</f>
        <v>4.6784299999999996</v>
      </c>
    </row>
    <row r="10077" spans="27:32" ht="15">
      <c r="AA10077" s="463" t="s">
        <v>16588</v>
      </c>
      <c r="AB10077" s="462" t="s">
        <v>27855</v>
      </c>
      <c r="AC10077" s="462" t="s">
        <v>27856</v>
      </c>
      <c r="AD10077" s="464">
        <v>116.49278</v>
      </c>
      <c r="AE10077" s="465">
        <v>4.6784299999999996</v>
      </c>
      <c r="AF10077" s="86">
        <f>IF(verze!$E$1="CZK",AD10077,IF(verze!$E$1="SK",AE10077,""))</f>
        <v>4.6784299999999996</v>
      </c>
    </row>
    <row r="10078" spans="27:32" ht="15">
      <c r="AA10078" s="463" t="s">
        <v>16591</v>
      </c>
      <c r="AB10078" s="462" t="s">
        <v>27857</v>
      </c>
      <c r="AC10078" s="462" t="s">
        <v>27858</v>
      </c>
      <c r="AD10078" s="464">
        <v>116.49278</v>
      </c>
      <c r="AE10078" s="465">
        <v>4.6784299999999996</v>
      </c>
      <c r="AF10078" s="86">
        <f>IF(verze!$E$1="CZK",AD10078,IF(verze!$E$1="SK",AE10078,""))</f>
        <v>4.6784299999999996</v>
      </c>
    </row>
    <row r="10079" spans="27:32" ht="15">
      <c r="AA10079" s="463" t="s">
        <v>16594</v>
      </c>
      <c r="AB10079" s="462" t="s">
        <v>27859</v>
      </c>
      <c r="AC10079" s="462" t="s">
        <v>27860</v>
      </c>
      <c r="AD10079" s="464">
        <v>116.17728</v>
      </c>
      <c r="AE10079" s="465">
        <v>4.6657500000000001</v>
      </c>
      <c r="AF10079" s="86">
        <f>IF(verze!$E$1="CZK",AD10079,IF(verze!$E$1="SK",AE10079,""))</f>
        <v>4.6657500000000001</v>
      </c>
    </row>
    <row r="10080" spans="27:32" ht="15">
      <c r="AA10080" s="463" t="s">
        <v>16597</v>
      </c>
      <c r="AB10080" s="462" t="s">
        <v>27861</v>
      </c>
      <c r="AC10080" s="462" t="s">
        <v>27862</v>
      </c>
      <c r="AD10080" s="464">
        <v>116.17728</v>
      </c>
      <c r="AE10080" s="465">
        <v>4.6657500000000001</v>
      </c>
      <c r="AF10080" s="86">
        <f>IF(verze!$E$1="CZK",AD10080,IF(verze!$E$1="SK",AE10080,""))</f>
        <v>4.6657500000000001</v>
      </c>
    </row>
    <row r="10081" spans="27:32" ht="15">
      <c r="AA10081" s="463" t="s">
        <v>16600</v>
      </c>
      <c r="AB10081" s="462" t="s">
        <v>27863</v>
      </c>
      <c r="AC10081" s="462" t="s">
        <v>27864</v>
      </c>
      <c r="AD10081" s="464">
        <v>116.17728</v>
      </c>
      <c r="AE10081" s="465">
        <v>4.6657500000000001</v>
      </c>
      <c r="AF10081" s="86">
        <f>IF(verze!$E$1="CZK",AD10081,IF(verze!$E$1="SK",AE10081,""))</f>
        <v>4.6657500000000001</v>
      </c>
    </row>
    <row r="10082" spans="27:32" ht="15">
      <c r="AA10082" s="463" t="s">
        <v>27865</v>
      </c>
      <c r="AB10082" s="462" t="s">
        <v>27866</v>
      </c>
      <c r="AC10082" s="462" t="s">
        <v>27867</v>
      </c>
      <c r="AD10082" s="464">
        <v>0</v>
      </c>
      <c r="AE10082" s="465">
        <v>0</v>
      </c>
      <c r="AF10082" s="86">
        <f>IF(verze!$E$1="CZK",AD10082,IF(verze!$E$1="SK",AE10082,""))</f>
        <v>0</v>
      </c>
    </row>
    <row r="10083" spans="27:32" ht="15">
      <c r="AA10083" s="463" t="s">
        <v>27868</v>
      </c>
      <c r="AB10083" s="462" t="s">
        <v>27869</v>
      </c>
      <c r="AC10083" s="462" t="s">
        <v>27870</v>
      </c>
      <c r="AD10083" s="464">
        <v>0</v>
      </c>
      <c r="AE10083" s="465">
        <v>0</v>
      </c>
      <c r="AF10083" s="86">
        <f>IF(verze!$E$1="CZK",AD10083,IF(verze!$E$1="SK",AE10083,""))</f>
        <v>0</v>
      </c>
    </row>
    <row r="10084" spans="27:32" ht="15">
      <c r="AA10084" s="463" t="s">
        <v>27871</v>
      </c>
      <c r="AB10084" s="462" t="s">
        <v>27872</v>
      </c>
      <c r="AC10084" s="462" t="s">
        <v>27873</v>
      </c>
      <c r="AD10084" s="464">
        <v>0</v>
      </c>
      <c r="AE10084" s="465">
        <v>0</v>
      </c>
      <c r="AF10084" s="86">
        <f>IF(verze!$E$1="CZK",AD10084,IF(verze!$E$1="SK",AE10084,""))</f>
        <v>0</v>
      </c>
    </row>
    <row r="10085" spans="27:32" ht="15">
      <c r="AA10085" s="463" t="s">
        <v>16645</v>
      </c>
      <c r="AB10085" s="462" t="s">
        <v>27874</v>
      </c>
      <c r="AC10085" s="462" t="s">
        <v>27875</v>
      </c>
      <c r="AD10085" s="464">
        <v>55.624000000000002</v>
      </c>
      <c r="AE10085" s="465">
        <v>2.2339000000000002</v>
      </c>
      <c r="AF10085" s="86">
        <f>IF(verze!$E$1="CZK",AD10085,IF(verze!$E$1="SK",AE10085,""))</f>
        <v>2.2339000000000002</v>
      </c>
    </row>
    <row r="10086" spans="27:32" ht="15">
      <c r="AA10086" s="463" t="s">
        <v>16678</v>
      </c>
      <c r="AB10086" s="462" t="s">
        <v>27876</v>
      </c>
      <c r="AC10086" s="462" t="s">
        <v>27877</v>
      </c>
      <c r="AD10086" s="464">
        <v>286.60413</v>
      </c>
      <c r="AE10086" s="465">
        <v>11.23864</v>
      </c>
      <c r="AF10086" s="86">
        <f>IF(verze!$E$1="CZK",AD10086,IF(verze!$E$1="SK",AE10086,""))</f>
        <v>11.23864</v>
      </c>
    </row>
    <row r="10087" spans="27:32" ht="15">
      <c r="AA10087" s="463" t="s">
        <v>16681</v>
      </c>
      <c r="AB10087" s="462" t="s">
        <v>27878</v>
      </c>
      <c r="AC10087" s="462" t="s">
        <v>27879</v>
      </c>
      <c r="AD10087" s="464">
        <v>286.60413</v>
      </c>
      <c r="AE10087" s="465">
        <v>11.23864</v>
      </c>
      <c r="AF10087" s="86">
        <f>IF(verze!$E$1="CZK",AD10087,IF(verze!$E$1="SK",AE10087,""))</f>
        <v>11.23864</v>
      </c>
    </row>
    <row r="10088" spans="27:32" ht="15">
      <c r="AA10088" s="463" t="s">
        <v>27880</v>
      </c>
      <c r="AB10088" s="462" t="s">
        <v>27881</v>
      </c>
      <c r="AC10088" s="462" t="s">
        <v>27882</v>
      </c>
      <c r="AD10088" s="464">
        <v>59.44435</v>
      </c>
      <c r="AE10088" s="465">
        <v>2.3873199999999999</v>
      </c>
      <c r="AF10088" s="86">
        <f>IF(verze!$E$1="CZK",AD10088,IF(verze!$E$1="SK",AE10088,""))</f>
        <v>2.3873199999999999</v>
      </c>
    </row>
    <row r="10089" spans="27:32" ht="15">
      <c r="AA10089" s="463" t="s">
        <v>16762</v>
      </c>
      <c r="AB10089" s="462" t="s">
        <v>27883</v>
      </c>
      <c r="AC10089" s="462" t="s">
        <v>27884</v>
      </c>
      <c r="AD10089" s="464">
        <v>250.77862999999999</v>
      </c>
      <c r="AE10089" s="465">
        <v>9.8338099999999997</v>
      </c>
      <c r="AF10089" s="86">
        <f>IF(verze!$E$1="CZK",AD10089,IF(verze!$E$1="SK",AE10089,""))</f>
        <v>9.8338099999999997</v>
      </c>
    </row>
    <row r="10090" spans="27:32" ht="15">
      <c r="AA10090" s="463" t="s">
        <v>27885</v>
      </c>
      <c r="AB10090" s="462" t="s">
        <v>27886</v>
      </c>
      <c r="AC10090" s="462" t="s">
        <v>27887</v>
      </c>
      <c r="AD10090" s="464">
        <v>0</v>
      </c>
      <c r="AE10090" s="465">
        <v>0</v>
      </c>
      <c r="AF10090" s="86">
        <f>IF(verze!$E$1="CZK",AD10090,IF(verze!$E$1="SK",AE10090,""))</f>
        <v>0</v>
      </c>
    </row>
    <row r="10091" spans="27:32" ht="15">
      <c r="AA10091" s="463" t="s">
        <v>16765</v>
      </c>
      <c r="AB10091" s="462" t="s">
        <v>27888</v>
      </c>
      <c r="AC10091" s="462" t="s">
        <v>27889</v>
      </c>
      <c r="AD10091" s="464">
        <v>250.77862999999999</v>
      </c>
      <c r="AE10091" s="465">
        <v>9.8338099999999997</v>
      </c>
      <c r="AF10091" s="86">
        <f>IF(verze!$E$1="CZK",AD10091,IF(verze!$E$1="SK",AE10091,""))</f>
        <v>9.8338099999999997</v>
      </c>
    </row>
    <row r="10092" spans="27:32" ht="15">
      <c r="AA10092" s="463" t="s">
        <v>16777</v>
      </c>
      <c r="AB10092" s="462" t="s">
        <v>27890</v>
      </c>
      <c r="AC10092" s="462" t="s">
        <v>27891</v>
      </c>
      <c r="AD10092" s="464">
        <v>60.716799999999999</v>
      </c>
      <c r="AE10092" s="465">
        <v>2.4384299999999999</v>
      </c>
      <c r="AF10092" s="86">
        <f>IF(verze!$E$1="CZK",AD10092,IF(verze!$E$1="SK",AE10092,""))</f>
        <v>2.4384299999999999</v>
      </c>
    </row>
    <row r="10093" spans="27:32" ht="15">
      <c r="AA10093" s="463" t="s">
        <v>16855</v>
      </c>
      <c r="AB10093" s="462" t="s">
        <v>27892</v>
      </c>
      <c r="AC10093" s="462" t="s">
        <v>27893</v>
      </c>
      <c r="AD10093" s="464">
        <v>42.314349999999997</v>
      </c>
      <c r="AE10093" s="465">
        <v>1.6993799999999999</v>
      </c>
      <c r="AF10093" s="86">
        <f>IF(verze!$E$1="CZK",AD10093,IF(verze!$E$1="SK",AE10093,""))</f>
        <v>1.6993799999999999</v>
      </c>
    </row>
    <row r="10094" spans="27:32" ht="15">
      <c r="AA10094" s="463" t="s">
        <v>18464</v>
      </c>
      <c r="AB10094" s="462" t="s">
        <v>27894</v>
      </c>
      <c r="AC10094" s="462" t="s">
        <v>27895</v>
      </c>
      <c r="AD10094" s="464">
        <v>0</v>
      </c>
      <c r="AE10094" s="465">
        <v>0</v>
      </c>
      <c r="AF10094" s="86">
        <f>IF(verze!$E$1="CZK",AD10094,IF(verze!$E$1="SK",AE10094,""))</f>
        <v>0</v>
      </c>
    </row>
    <row r="10095" spans="27:32" ht="15">
      <c r="AA10095" s="463" t="s">
        <v>27896</v>
      </c>
      <c r="AB10095" s="462" t="s">
        <v>27897</v>
      </c>
      <c r="AC10095" s="462" t="s">
        <v>27898</v>
      </c>
      <c r="AD10095" s="464">
        <v>126.7294</v>
      </c>
      <c r="AE10095" s="465">
        <v>4.9694500000000001</v>
      </c>
      <c r="AF10095" s="86">
        <f>IF(verze!$E$1="CZK",AD10095,IF(verze!$E$1="SK",AE10095,""))</f>
        <v>4.9694500000000001</v>
      </c>
    </row>
    <row r="10096" spans="27:32" ht="15">
      <c r="AA10096" s="463" t="s">
        <v>27899</v>
      </c>
      <c r="AB10096" s="462" t="s">
        <v>27900</v>
      </c>
      <c r="AC10096" s="462" t="s">
        <v>27901</v>
      </c>
      <c r="AD10096" s="464">
        <v>134.95123000000001</v>
      </c>
      <c r="AE10096" s="465">
        <v>5.2918599999999998</v>
      </c>
      <c r="AF10096" s="86">
        <f>IF(verze!$E$1="CZK",AD10096,IF(verze!$E$1="SK",AE10096,""))</f>
        <v>5.2918599999999998</v>
      </c>
    </row>
    <row r="10097" spans="27:32" ht="15">
      <c r="AA10097" s="463" t="s">
        <v>16891</v>
      </c>
      <c r="AB10097" s="462" t="s">
        <v>27902</v>
      </c>
      <c r="AC10097" s="462" t="s">
        <v>27903</v>
      </c>
      <c r="AD10097" s="464">
        <v>0.65834999999999999</v>
      </c>
      <c r="AE10097" s="465">
        <v>2.6450000000000001E-2</v>
      </c>
      <c r="AF10097" s="86">
        <f>IF(verze!$E$1="CZK",AD10097,IF(verze!$E$1="SK",AE10097,""))</f>
        <v>2.6450000000000001E-2</v>
      </c>
    </row>
    <row r="10098" spans="27:32" ht="15">
      <c r="AA10098" s="463" t="s">
        <v>16894</v>
      </c>
      <c r="AB10098" s="462" t="s">
        <v>27904</v>
      </c>
      <c r="AC10098" s="462" t="s">
        <v>27905</v>
      </c>
      <c r="AD10098" s="464">
        <v>0.65834999999999999</v>
      </c>
      <c r="AE10098" s="465">
        <v>2.6450000000000001E-2</v>
      </c>
      <c r="AF10098" s="86">
        <f>IF(verze!$E$1="CZK",AD10098,IF(verze!$E$1="SK",AE10098,""))</f>
        <v>2.6450000000000001E-2</v>
      </c>
    </row>
    <row r="10099" spans="27:32" ht="15">
      <c r="AA10099" s="463" t="s">
        <v>16897</v>
      </c>
      <c r="AB10099" s="462" t="s">
        <v>27906</v>
      </c>
      <c r="AC10099" s="462" t="s">
        <v>27907</v>
      </c>
      <c r="AD10099" s="464">
        <v>0.65834999999999999</v>
      </c>
      <c r="AE10099" s="465">
        <v>2.6450000000000001E-2</v>
      </c>
      <c r="AF10099" s="86">
        <f>IF(verze!$E$1="CZK",AD10099,IF(verze!$E$1="SK",AE10099,""))</f>
        <v>2.6450000000000001E-2</v>
      </c>
    </row>
    <row r="10100" spans="27:32" ht="15">
      <c r="AA10100" s="463" t="s">
        <v>16946</v>
      </c>
      <c r="AB10100" s="462" t="s">
        <v>27908</v>
      </c>
      <c r="AC10100" s="462" t="s">
        <v>27909</v>
      </c>
      <c r="AD10100" s="464">
        <v>1108.74188</v>
      </c>
      <c r="AE10100" s="465">
        <v>44.52778</v>
      </c>
      <c r="AF10100" s="86">
        <f>IF(verze!$E$1="CZK",AD10100,IF(verze!$E$1="SK",AE10100,""))</f>
        <v>44.52778</v>
      </c>
    </row>
    <row r="10101" spans="27:32" ht="15">
      <c r="AA10101" s="463" t="s">
        <v>16970</v>
      </c>
      <c r="AB10101" s="462" t="s">
        <v>27910</v>
      </c>
      <c r="AC10101" s="462" t="s">
        <v>27911</v>
      </c>
      <c r="AD10101" s="464">
        <v>743.08078</v>
      </c>
      <c r="AE10101" s="465">
        <v>29.842600000000001</v>
      </c>
      <c r="AF10101" s="86">
        <f>IF(verze!$E$1="CZK",AD10101,IF(verze!$E$1="SK",AE10101,""))</f>
        <v>29.842600000000001</v>
      </c>
    </row>
    <row r="10102" spans="27:32" ht="15">
      <c r="AA10102" s="463" t="s">
        <v>17015</v>
      </c>
      <c r="AB10102" s="462" t="s">
        <v>27912</v>
      </c>
      <c r="AC10102" s="462" t="s">
        <v>27913</v>
      </c>
      <c r="AD10102" s="464">
        <v>320.81238000000002</v>
      </c>
      <c r="AE10102" s="465">
        <v>12.884029999999999</v>
      </c>
      <c r="AF10102" s="86">
        <f>IF(verze!$E$1="CZK",AD10102,IF(verze!$E$1="SK",AE10102,""))</f>
        <v>12.884029999999999</v>
      </c>
    </row>
    <row r="10103" spans="27:32" ht="15">
      <c r="AA10103" s="463" t="s">
        <v>27914</v>
      </c>
      <c r="AB10103" s="462" t="s">
        <v>27915</v>
      </c>
      <c r="AC10103" s="462" t="s">
        <v>27916</v>
      </c>
      <c r="AD10103" s="464">
        <v>866.97613999999999</v>
      </c>
      <c r="AE10103" s="465">
        <v>0</v>
      </c>
      <c r="AF10103" s="86">
        <f>IF(verze!$E$1="CZK",AD10103,IF(verze!$E$1="SK",AE10103,""))</f>
        <v>0</v>
      </c>
    </row>
    <row r="10104" spans="27:32" ht="15">
      <c r="AA10104" s="463" t="s">
        <v>27917</v>
      </c>
      <c r="AB10104" s="462" t="s">
        <v>27918</v>
      </c>
      <c r="AC10104" s="462" t="s">
        <v>27919</v>
      </c>
      <c r="AD10104" s="464">
        <v>866.97613999999999</v>
      </c>
      <c r="AE10104" s="465">
        <v>0</v>
      </c>
      <c r="AF10104" s="86">
        <f>IF(verze!$E$1="CZK",AD10104,IF(verze!$E$1="SK",AE10104,""))</f>
        <v>0</v>
      </c>
    </row>
    <row r="10105" spans="27:32" ht="15">
      <c r="AA10105" s="463" t="s">
        <v>27920</v>
      </c>
      <c r="AB10105" s="462" t="s">
        <v>27921</v>
      </c>
      <c r="AC10105" s="462" t="s">
        <v>27922</v>
      </c>
      <c r="AD10105" s="464">
        <v>0</v>
      </c>
      <c r="AE10105" s="465">
        <v>0</v>
      </c>
      <c r="AF10105" s="86">
        <f>IF(verze!$E$1="CZK",AD10105,IF(verze!$E$1="SK",AE10105,""))</f>
        <v>0</v>
      </c>
    </row>
    <row r="10106" spans="27:32" ht="15">
      <c r="AA10106" s="463" t="s">
        <v>27923</v>
      </c>
      <c r="AB10106" s="462" t="s">
        <v>27924</v>
      </c>
      <c r="AC10106" s="462" t="s">
        <v>27925</v>
      </c>
      <c r="AD10106" s="464">
        <v>282.70323000000002</v>
      </c>
      <c r="AE10106" s="465">
        <v>11.08568</v>
      </c>
      <c r="AF10106" s="86">
        <f>IF(verze!$E$1="CZK",AD10106,IF(verze!$E$1="SK",AE10106,""))</f>
        <v>11.08568</v>
      </c>
    </row>
    <row r="10107" spans="27:32" ht="15">
      <c r="AA10107" s="463" t="s">
        <v>27926</v>
      </c>
      <c r="AB10107" s="462" t="s">
        <v>27927</v>
      </c>
      <c r="AC10107" s="462" t="s">
        <v>27928</v>
      </c>
      <c r="AD10107" s="464">
        <v>282.70323000000002</v>
      </c>
      <c r="AE10107" s="465">
        <v>11.08568</v>
      </c>
      <c r="AF10107" s="86">
        <f>IF(verze!$E$1="CZK",AD10107,IF(verze!$E$1="SK",AE10107,""))</f>
        <v>11.08568</v>
      </c>
    </row>
    <row r="10108" spans="27:32" ht="15">
      <c r="AA10108" s="463" t="s">
        <v>27929</v>
      </c>
      <c r="AB10108" s="462" t="s">
        <v>27930</v>
      </c>
      <c r="AC10108" s="462" t="s">
        <v>27931</v>
      </c>
      <c r="AD10108" s="464">
        <v>777.43388000000004</v>
      </c>
      <c r="AE10108" s="465">
        <v>0</v>
      </c>
      <c r="AF10108" s="86">
        <f>IF(verze!$E$1="CZK",AD10108,IF(verze!$E$1="SK",AE10108,""))</f>
        <v>0</v>
      </c>
    </row>
    <row r="10109" spans="27:32" ht="15">
      <c r="AA10109" s="463" t="s">
        <v>27932</v>
      </c>
      <c r="AB10109" s="462" t="s">
        <v>27933</v>
      </c>
      <c r="AC10109" s="462" t="s">
        <v>27934</v>
      </c>
      <c r="AD10109" s="464">
        <v>0</v>
      </c>
      <c r="AE10109" s="465">
        <v>0</v>
      </c>
      <c r="AF10109" s="86">
        <f>IF(verze!$E$1="CZK",AD10109,IF(verze!$E$1="SK",AE10109,""))</f>
        <v>0</v>
      </c>
    </row>
    <row r="10110" spans="27:32" ht="15">
      <c r="AA10110" s="463" t="s">
        <v>27935</v>
      </c>
      <c r="AB10110" s="462" t="s">
        <v>27936</v>
      </c>
      <c r="AC10110" s="462" t="s">
        <v>27937</v>
      </c>
      <c r="AD10110" s="464">
        <v>0</v>
      </c>
      <c r="AE10110" s="465">
        <v>0</v>
      </c>
      <c r="AF10110" s="86">
        <f>IF(verze!$E$1="CZK",AD10110,IF(verze!$E$1="SK",AE10110,""))</f>
        <v>0</v>
      </c>
    </row>
    <row r="10111" spans="27:32" ht="15">
      <c r="AA10111" s="463" t="s">
        <v>27938</v>
      </c>
      <c r="AB10111" s="462" t="s">
        <v>27939</v>
      </c>
      <c r="AC10111" s="462" t="s">
        <v>27940</v>
      </c>
      <c r="AD10111" s="464">
        <v>0</v>
      </c>
      <c r="AE10111" s="465">
        <v>0</v>
      </c>
      <c r="AF10111" s="86">
        <f>IF(verze!$E$1="CZK",AD10111,IF(verze!$E$1="SK",AE10111,""))</f>
        <v>0</v>
      </c>
    </row>
    <row r="10112" spans="27:32" ht="15">
      <c r="AA10112" s="463" t="s">
        <v>27941</v>
      </c>
      <c r="AB10112" s="462" t="s">
        <v>27942</v>
      </c>
      <c r="AC10112" s="462" t="s">
        <v>27943</v>
      </c>
      <c r="AD10112" s="464">
        <v>0</v>
      </c>
      <c r="AE10112" s="465">
        <v>0</v>
      </c>
      <c r="AF10112" s="86">
        <f>IF(verze!$E$1="CZK",AD10112,IF(verze!$E$1="SK",AE10112,""))</f>
        <v>0</v>
      </c>
    </row>
    <row r="10113" spans="27:32" ht="15">
      <c r="AA10113" s="463" t="s">
        <v>17060</v>
      </c>
      <c r="AB10113" s="462" t="s">
        <v>27944</v>
      </c>
      <c r="AC10113" s="462" t="s">
        <v>27945</v>
      </c>
      <c r="AD10113" s="464">
        <v>18.781600000000001</v>
      </c>
      <c r="AE10113" s="465">
        <v>0.75427</v>
      </c>
      <c r="AF10113" s="86">
        <f>IF(verze!$E$1="CZK",AD10113,IF(verze!$E$1="SK",AE10113,""))</f>
        <v>0.75427</v>
      </c>
    </row>
    <row r="10114" spans="27:32" ht="15">
      <c r="AA10114" s="463" t="s">
        <v>17071</v>
      </c>
      <c r="AB10114" s="462" t="s">
        <v>27946</v>
      </c>
      <c r="AC10114" s="462" t="s">
        <v>27947</v>
      </c>
      <c r="AD10114" s="464">
        <v>299.45280000000002</v>
      </c>
      <c r="AE10114" s="465">
        <v>12.02623</v>
      </c>
      <c r="AF10114" s="86">
        <f>IF(verze!$E$1="CZK",AD10114,IF(verze!$E$1="SK",AE10114,""))</f>
        <v>12.02623</v>
      </c>
    </row>
    <row r="10115" spans="27:32" ht="15">
      <c r="AA10115" s="463" t="s">
        <v>17077</v>
      </c>
      <c r="AB10115" s="462" t="s">
        <v>27948</v>
      </c>
      <c r="AC10115" s="462" t="s">
        <v>27949</v>
      </c>
      <c r="AD10115" s="464">
        <v>178.90899999999999</v>
      </c>
      <c r="AE10115" s="465">
        <v>7.1851000000000003</v>
      </c>
      <c r="AF10115" s="86">
        <f>IF(verze!$E$1="CZK",AD10115,IF(verze!$E$1="SK",AE10115,""))</f>
        <v>7.1851000000000003</v>
      </c>
    </row>
    <row r="10116" spans="27:32" ht="15">
      <c r="AA10116" s="463" t="s">
        <v>17080</v>
      </c>
      <c r="AB10116" s="462" t="s">
        <v>27950</v>
      </c>
      <c r="AC10116" s="462" t="s">
        <v>27951</v>
      </c>
      <c r="AD10116" s="464">
        <v>128.75243</v>
      </c>
      <c r="AE10116" s="465">
        <v>5.1707799999999997</v>
      </c>
      <c r="AF10116" s="86">
        <f>IF(verze!$E$1="CZK",AD10116,IF(verze!$E$1="SK",AE10116,""))</f>
        <v>5.1707799999999997</v>
      </c>
    </row>
    <row r="10117" spans="27:32" ht="15">
      <c r="AA10117" s="463" t="s">
        <v>17092</v>
      </c>
      <c r="AB10117" s="462" t="s">
        <v>27952</v>
      </c>
      <c r="AC10117" s="462" t="s">
        <v>27953</v>
      </c>
      <c r="AD10117" s="464">
        <v>401.57573000000002</v>
      </c>
      <c r="AE10117" s="465">
        <v>16.127549999999999</v>
      </c>
      <c r="AF10117" s="86">
        <f>IF(verze!$E$1="CZK",AD10117,IF(verze!$E$1="SK",AE10117,""))</f>
        <v>16.127549999999999</v>
      </c>
    </row>
    <row r="10118" spans="27:32" ht="15">
      <c r="AA10118" s="463" t="s">
        <v>17092</v>
      </c>
      <c r="AB10118" s="462" t="s">
        <v>27954</v>
      </c>
      <c r="AC10118" s="462" t="s">
        <v>27955</v>
      </c>
      <c r="AD10118" s="464">
        <v>401.57573000000002</v>
      </c>
      <c r="AE10118" s="465">
        <v>16.127549999999999</v>
      </c>
      <c r="AF10118" s="86">
        <f>IF(verze!$E$1="CZK",AD10118,IF(verze!$E$1="SK",AE10118,""))</f>
        <v>16.127549999999999</v>
      </c>
    </row>
    <row r="10119" spans="27:32" ht="15">
      <c r="AA10119" s="463" t="s">
        <v>17095</v>
      </c>
      <c r="AB10119" s="462" t="s">
        <v>27956</v>
      </c>
      <c r="AC10119" s="462" t="s">
        <v>27957</v>
      </c>
      <c r="AD10119" s="464">
        <v>565.87725</v>
      </c>
      <c r="AE10119" s="465">
        <v>22.725999999999999</v>
      </c>
      <c r="AF10119" s="86">
        <f>IF(verze!$E$1="CZK",AD10119,IF(verze!$E$1="SK",AE10119,""))</f>
        <v>22.725999999999999</v>
      </c>
    </row>
    <row r="10120" spans="27:32" ht="15">
      <c r="AA10120" s="463" t="s">
        <v>17098</v>
      </c>
      <c r="AB10120" s="462" t="s">
        <v>27958</v>
      </c>
      <c r="AC10120" s="462" t="s">
        <v>27959</v>
      </c>
      <c r="AD10120" s="464">
        <v>31.671029999999998</v>
      </c>
      <c r="AE10120" s="465">
        <v>1.27193</v>
      </c>
      <c r="AF10120" s="86">
        <f>IF(verze!$E$1="CZK",AD10120,IF(verze!$E$1="SK",AE10120,""))</f>
        <v>1.27193</v>
      </c>
    </row>
    <row r="10121" spans="27:32" ht="15">
      <c r="AA10121" s="463" t="s">
        <v>17116</v>
      </c>
      <c r="AB10121" s="462" t="s">
        <v>27960</v>
      </c>
      <c r="AC10121" s="462" t="s">
        <v>27961</v>
      </c>
      <c r="AD10121" s="464">
        <v>256.46955000000003</v>
      </c>
      <c r="AE10121" s="465">
        <v>10.29998</v>
      </c>
      <c r="AF10121" s="86">
        <f>IF(verze!$E$1="CZK",AD10121,IF(verze!$E$1="SK",AE10121,""))</f>
        <v>10.29998</v>
      </c>
    </row>
    <row r="10122" spans="27:32" ht="15">
      <c r="AA10122" s="463" t="s">
        <v>17155</v>
      </c>
      <c r="AB10122" s="462" t="s">
        <v>27962</v>
      </c>
      <c r="AC10122" s="462" t="s">
        <v>27963</v>
      </c>
      <c r="AD10122" s="464">
        <v>11.271979999999999</v>
      </c>
      <c r="AE10122" s="465">
        <v>0.45269999999999999</v>
      </c>
      <c r="AF10122" s="86">
        <f>IF(verze!$E$1="CZK",AD10122,IF(verze!$E$1="SK",AE10122,""))</f>
        <v>0.45269999999999999</v>
      </c>
    </row>
    <row r="10123" spans="27:32" ht="15">
      <c r="AA10123" s="463" t="s">
        <v>27964</v>
      </c>
      <c r="AB10123" s="462" t="s">
        <v>27965</v>
      </c>
      <c r="AC10123" s="462" t="s">
        <v>27966</v>
      </c>
      <c r="AD10123" s="464">
        <v>105.47998</v>
      </c>
      <c r="AE10123" s="465">
        <v>4.13619</v>
      </c>
      <c r="AF10123" s="86">
        <f>IF(verze!$E$1="CZK",AD10123,IF(verze!$E$1="SK",AE10123,""))</f>
        <v>4.13619</v>
      </c>
    </row>
    <row r="10124" spans="27:32" ht="15">
      <c r="AA10124" s="463" t="s">
        <v>17161</v>
      </c>
      <c r="AB10124" s="462" t="s">
        <v>27967</v>
      </c>
      <c r="AC10124" s="462" t="s">
        <v>27968</v>
      </c>
      <c r="AD10124" s="464">
        <v>105.47998</v>
      </c>
      <c r="AE10124" s="465">
        <v>4.13619</v>
      </c>
      <c r="AF10124" s="86">
        <f>IF(verze!$E$1="CZK",AD10124,IF(verze!$E$1="SK",AE10124,""))</f>
        <v>4.13619</v>
      </c>
    </row>
    <row r="10125" spans="27:32" ht="15">
      <c r="AA10125" s="463" t="s">
        <v>27969</v>
      </c>
      <c r="AB10125" s="462" t="s">
        <v>27970</v>
      </c>
      <c r="AC10125" s="462" t="s">
        <v>27971</v>
      </c>
      <c r="AD10125" s="464">
        <v>0</v>
      </c>
      <c r="AE10125" s="465">
        <v>0</v>
      </c>
      <c r="AF10125" s="86">
        <f>IF(verze!$E$1="CZK",AD10125,IF(verze!$E$1="SK",AE10125,""))</f>
        <v>0</v>
      </c>
    </row>
    <row r="10126" spans="27:32" ht="15">
      <c r="AA10126" s="463" t="s">
        <v>27972</v>
      </c>
      <c r="AB10126" s="462" t="s">
        <v>27973</v>
      </c>
      <c r="AC10126" s="462" t="s">
        <v>27974</v>
      </c>
      <c r="AD10126" s="464">
        <v>0</v>
      </c>
      <c r="AE10126" s="465">
        <v>0</v>
      </c>
      <c r="AF10126" s="86">
        <f>IF(verze!$E$1="CZK",AD10126,IF(verze!$E$1="SK",AE10126,""))</f>
        <v>0</v>
      </c>
    </row>
    <row r="10127" spans="27:32" ht="15">
      <c r="AA10127" s="463" t="s">
        <v>17164</v>
      </c>
      <c r="AB10127" s="462" t="s">
        <v>27975</v>
      </c>
      <c r="AC10127" s="462" t="s">
        <v>27976</v>
      </c>
      <c r="AD10127" s="464">
        <v>105.47998</v>
      </c>
      <c r="AE10127" s="465">
        <v>4.13619</v>
      </c>
      <c r="AF10127" s="86">
        <f>IF(verze!$E$1="CZK",AD10127,IF(verze!$E$1="SK",AE10127,""))</f>
        <v>4.13619</v>
      </c>
    </row>
    <row r="10128" spans="27:32" ht="15">
      <c r="AA10128" s="463" t="s">
        <v>17167</v>
      </c>
      <c r="AB10128" s="462" t="s">
        <v>27977</v>
      </c>
      <c r="AC10128" s="462" t="s">
        <v>27978</v>
      </c>
      <c r="AD10128" s="464">
        <v>105.47998</v>
      </c>
      <c r="AE10128" s="465">
        <v>4.13619</v>
      </c>
      <c r="AF10128" s="86">
        <f>IF(verze!$E$1="CZK",AD10128,IF(verze!$E$1="SK",AE10128,""))</f>
        <v>4.13619</v>
      </c>
    </row>
    <row r="10129" spans="27:32" ht="15">
      <c r="AA10129" s="463" t="s">
        <v>27979</v>
      </c>
      <c r="AB10129" s="462" t="s">
        <v>27980</v>
      </c>
      <c r="AC10129" s="462" t="s">
        <v>27981</v>
      </c>
      <c r="AD10129" s="464">
        <v>319.07542999999998</v>
      </c>
      <c r="AE10129" s="465">
        <v>0</v>
      </c>
      <c r="AF10129" s="86">
        <f>IF(verze!$E$1="CZK",AD10129,IF(verze!$E$1="SK",AE10129,""))</f>
        <v>0</v>
      </c>
    </row>
    <row r="10130" spans="27:32" ht="15">
      <c r="AA10130" s="463" t="s">
        <v>27982</v>
      </c>
      <c r="AB10130" s="462" t="s">
        <v>27983</v>
      </c>
      <c r="AC10130" s="462" t="s">
        <v>27984</v>
      </c>
      <c r="AD10130" s="464">
        <v>319.07542999999998</v>
      </c>
      <c r="AE10130" s="465">
        <v>0</v>
      </c>
      <c r="AF10130" s="86">
        <f>IF(verze!$E$1="CZK",AD10130,IF(verze!$E$1="SK",AE10130,""))</f>
        <v>0</v>
      </c>
    </row>
    <row r="10131" spans="27:32" ht="15">
      <c r="AA10131" s="463" t="s">
        <v>27985</v>
      </c>
      <c r="AB10131" s="462" t="s">
        <v>27986</v>
      </c>
      <c r="AC10131" s="462" t="s">
        <v>27987</v>
      </c>
      <c r="AD10131" s="464">
        <v>0</v>
      </c>
      <c r="AE10131" s="465">
        <v>0</v>
      </c>
      <c r="AF10131" s="86">
        <f>IF(verze!$E$1="CZK",AD10131,IF(verze!$E$1="SK",AE10131,""))</f>
        <v>0</v>
      </c>
    </row>
    <row r="10132" spans="27:32" ht="15">
      <c r="AA10132" s="463" t="s">
        <v>27988</v>
      </c>
      <c r="AB10132" s="462" t="s">
        <v>27989</v>
      </c>
      <c r="AC10132" s="462" t="s">
        <v>27990</v>
      </c>
      <c r="AD10132" s="464">
        <v>68.933480000000003</v>
      </c>
      <c r="AE10132" s="465">
        <v>2.70309</v>
      </c>
      <c r="AF10132" s="86">
        <f>IF(verze!$E$1="CZK",AD10132,IF(verze!$E$1="SK",AE10132,""))</f>
        <v>2.70309</v>
      </c>
    </row>
    <row r="10133" spans="27:32" ht="15">
      <c r="AA10133" s="463" t="s">
        <v>27991</v>
      </c>
      <c r="AB10133" s="462" t="s">
        <v>27992</v>
      </c>
      <c r="AC10133" s="462" t="s">
        <v>27993</v>
      </c>
      <c r="AD10133" s="464">
        <v>68.933480000000003</v>
      </c>
      <c r="AE10133" s="465">
        <v>2.70309</v>
      </c>
      <c r="AF10133" s="86">
        <f>IF(verze!$E$1="CZK",AD10133,IF(verze!$E$1="SK",AE10133,""))</f>
        <v>2.70309</v>
      </c>
    </row>
    <row r="10134" spans="27:32" ht="15">
      <c r="AA10134" s="463" t="s">
        <v>27994</v>
      </c>
      <c r="AB10134" s="462" t="s">
        <v>27995</v>
      </c>
      <c r="AC10134" s="462" t="s">
        <v>27996</v>
      </c>
      <c r="AD10134" s="464">
        <v>62.66583</v>
      </c>
      <c r="AE10134" s="465">
        <v>2.4573200000000002</v>
      </c>
      <c r="AF10134" s="86">
        <f>IF(verze!$E$1="CZK",AD10134,IF(verze!$E$1="SK",AE10134,""))</f>
        <v>2.4573200000000002</v>
      </c>
    </row>
    <row r="10135" spans="27:32" ht="15">
      <c r="AA10135" s="463" t="s">
        <v>17179</v>
      </c>
      <c r="AB10135" s="462" t="s">
        <v>27997</v>
      </c>
      <c r="AC10135" s="462" t="s">
        <v>27998</v>
      </c>
      <c r="AD10135" s="464">
        <v>1326.2037499999999</v>
      </c>
      <c r="AE10135" s="465">
        <v>53.261200000000002</v>
      </c>
      <c r="AF10135" s="86">
        <f>IF(verze!$E$1="CZK",AD10135,IF(verze!$E$1="SK",AE10135,""))</f>
        <v>53.261200000000002</v>
      </c>
    </row>
    <row r="10136" spans="27:32" ht="15">
      <c r="AA10136" s="463" t="s">
        <v>17185</v>
      </c>
      <c r="AB10136" s="462" t="s">
        <v>27999</v>
      </c>
      <c r="AC10136" s="462" t="s">
        <v>28000</v>
      </c>
      <c r="AD10136" s="464">
        <v>86.553899999999999</v>
      </c>
      <c r="AE10136" s="465">
        <v>3.4760499999999999</v>
      </c>
      <c r="AF10136" s="86">
        <f>IF(verze!$E$1="CZK",AD10136,IF(verze!$E$1="SK",AE10136,""))</f>
        <v>3.4760499999999999</v>
      </c>
    </row>
    <row r="10137" spans="27:32" ht="15">
      <c r="AA10137" s="463" t="s">
        <v>17188</v>
      </c>
      <c r="AB10137" s="462" t="s">
        <v>28001</v>
      </c>
      <c r="AC10137" s="462" t="s">
        <v>28002</v>
      </c>
      <c r="AD10137" s="464">
        <v>129.827</v>
      </c>
      <c r="AE10137" s="465">
        <v>5.2139300000000004</v>
      </c>
      <c r="AF10137" s="86">
        <f>IF(verze!$E$1="CZK",AD10137,IF(verze!$E$1="SK",AE10137,""))</f>
        <v>5.2139300000000004</v>
      </c>
    </row>
    <row r="10138" spans="27:32" ht="15">
      <c r="AA10138" s="463" t="s">
        <v>17194</v>
      </c>
      <c r="AB10138" s="462" t="s">
        <v>28003</v>
      </c>
      <c r="AC10138" s="462" t="s">
        <v>28004</v>
      </c>
      <c r="AD10138" s="464">
        <v>135.7671</v>
      </c>
      <c r="AE10138" s="465">
        <v>5.4524999999999997</v>
      </c>
      <c r="AF10138" s="86">
        <f>IF(verze!$E$1="CZK",AD10138,IF(verze!$E$1="SK",AE10138,""))</f>
        <v>5.4524999999999997</v>
      </c>
    </row>
    <row r="10139" spans="27:32" ht="15">
      <c r="AA10139" s="463" t="s">
        <v>17197</v>
      </c>
      <c r="AB10139" s="462" t="s">
        <v>28005</v>
      </c>
      <c r="AC10139" s="462" t="s">
        <v>28006</v>
      </c>
      <c r="AD10139" s="464">
        <v>90.514330000000001</v>
      </c>
      <c r="AE10139" s="465">
        <v>3.6351300000000002</v>
      </c>
      <c r="AF10139" s="86">
        <f>IF(verze!$E$1="CZK",AD10139,IF(verze!$E$1="SK",AE10139,""))</f>
        <v>3.6351300000000002</v>
      </c>
    </row>
    <row r="10140" spans="27:32" ht="15">
      <c r="AA10140" s="463" t="s">
        <v>17224</v>
      </c>
      <c r="AB10140" s="462" t="s">
        <v>28007</v>
      </c>
      <c r="AC10140" s="462" t="s">
        <v>28008</v>
      </c>
      <c r="AD10140" s="464">
        <v>94.36</v>
      </c>
      <c r="AE10140" s="465">
        <v>3.7895500000000002</v>
      </c>
      <c r="AF10140" s="86">
        <f>IF(verze!$E$1="CZK",AD10140,IF(verze!$E$1="SK",AE10140,""))</f>
        <v>3.7895500000000002</v>
      </c>
    </row>
    <row r="10141" spans="27:32" ht="15">
      <c r="AA10141" s="463" t="s">
        <v>17239</v>
      </c>
      <c r="AB10141" s="462" t="s">
        <v>28009</v>
      </c>
      <c r="AC10141" s="462" t="s">
        <v>28010</v>
      </c>
      <c r="AD10141" s="464">
        <v>79.448499999999996</v>
      </c>
      <c r="AE10141" s="465">
        <v>3.1154199999999999</v>
      </c>
      <c r="AF10141" s="86">
        <f>IF(verze!$E$1="CZK",AD10141,IF(verze!$E$1="SK",AE10141,""))</f>
        <v>3.1154199999999999</v>
      </c>
    </row>
    <row r="10142" spans="27:32" ht="15">
      <c r="AA10142" s="463" t="s">
        <v>17251</v>
      </c>
      <c r="AB10142" s="462" t="s">
        <v>28011</v>
      </c>
      <c r="AC10142" s="462" t="s">
        <v>28012</v>
      </c>
      <c r="AD10142" s="464">
        <v>107.45008</v>
      </c>
      <c r="AE10142" s="465">
        <v>4.3152799999999996</v>
      </c>
      <c r="AF10142" s="86">
        <f>IF(verze!$E$1="CZK",AD10142,IF(verze!$E$1="SK",AE10142,""))</f>
        <v>4.3152799999999996</v>
      </c>
    </row>
    <row r="10143" spans="27:32" ht="15">
      <c r="AA10143" s="463" t="s">
        <v>17260</v>
      </c>
      <c r="AB10143" s="462" t="s">
        <v>28013</v>
      </c>
      <c r="AC10143" s="462" t="s">
        <v>28014</v>
      </c>
      <c r="AD10143" s="464">
        <v>269.11192999999997</v>
      </c>
      <c r="AE10143" s="465">
        <v>10.807700000000001</v>
      </c>
      <c r="AF10143" s="86">
        <f>IF(verze!$E$1="CZK",AD10143,IF(verze!$E$1="SK",AE10143,""))</f>
        <v>10.807700000000001</v>
      </c>
    </row>
    <row r="10144" spans="27:32" ht="15">
      <c r="AA10144" s="463" t="s">
        <v>28015</v>
      </c>
      <c r="AB10144" s="462" t="s">
        <v>28016</v>
      </c>
      <c r="AC10144" s="462" t="s">
        <v>28017</v>
      </c>
      <c r="AD10144" s="464">
        <v>2149.1215000000002</v>
      </c>
      <c r="AE10144" s="465">
        <v>86.310100000000006</v>
      </c>
      <c r="AF10144" s="86">
        <f>IF(verze!$E$1="CZK",AD10144,IF(verze!$E$1="SK",AE10144,""))</f>
        <v>86.310100000000006</v>
      </c>
    </row>
    <row r="10145" spans="27:32" ht="15">
      <c r="AA10145" s="463" t="s">
        <v>17311</v>
      </c>
      <c r="AB10145" s="462" t="s">
        <v>28018</v>
      </c>
      <c r="AC10145" s="462" t="s">
        <v>28019</v>
      </c>
      <c r="AD10145" s="464">
        <v>2123.99595</v>
      </c>
      <c r="AE10145" s="465">
        <v>85.301050000000004</v>
      </c>
      <c r="AF10145" s="86">
        <f>IF(verze!$E$1="CZK",AD10145,IF(verze!$E$1="SK",AE10145,""))</f>
        <v>85.301050000000004</v>
      </c>
    </row>
    <row r="10146" spans="27:32" ht="15">
      <c r="AA10146" s="463" t="s">
        <v>17317</v>
      </c>
      <c r="AB10146" s="462" t="s">
        <v>28020</v>
      </c>
      <c r="AC10146" s="462" t="s">
        <v>28021</v>
      </c>
      <c r="AD10146" s="464">
        <v>2406.1460000000002</v>
      </c>
      <c r="AE10146" s="465">
        <v>96.632379999999998</v>
      </c>
      <c r="AF10146" s="86">
        <f>IF(verze!$E$1="CZK",AD10146,IF(verze!$E$1="SK",AE10146,""))</f>
        <v>96.632379999999998</v>
      </c>
    </row>
    <row r="10147" spans="27:32" ht="15">
      <c r="AA10147" s="463" t="s">
        <v>17338</v>
      </c>
      <c r="AB10147" s="462" t="s">
        <v>28022</v>
      </c>
      <c r="AC10147" s="462" t="s">
        <v>28023</v>
      </c>
      <c r="AD10147" s="464">
        <v>147.99727999999999</v>
      </c>
      <c r="AE10147" s="465">
        <v>5.9436799999999996</v>
      </c>
      <c r="AF10147" s="86">
        <f>IF(verze!$E$1="CZK",AD10147,IF(verze!$E$1="SK",AE10147,""))</f>
        <v>5.9436799999999996</v>
      </c>
    </row>
    <row r="10148" spans="27:32" ht="15">
      <c r="AA10148" s="463" t="s">
        <v>17353</v>
      </c>
      <c r="AB10148" s="462" t="s">
        <v>28024</v>
      </c>
      <c r="AC10148" s="462" t="s">
        <v>28025</v>
      </c>
      <c r="AD10148" s="464">
        <v>98.086100000000002</v>
      </c>
      <c r="AE10148" s="465">
        <v>4.2252000000000001</v>
      </c>
      <c r="AF10148" s="86">
        <f>IF(verze!$E$1="CZK",AD10148,IF(verze!$E$1="SK",AE10148,""))</f>
        <v>4.2252000000000001</v>
      </c>
    </row>
    <row r="10149" spans="27:32" ht="15">
      <c r="AA10149" s="463" t="s">
        <v>17356</v>
      </c>
      <c r="AB10149" s="462" t="s">
        <v>28026</v>
      </c>
      <c r="AC10149" s="462" t="s">
        <v>28027</v>
      </c>
      <c r="AD10149" s="464">
        <v>68.789150000000006</v>
      </c>
      <c r="AE10149" s="465">
        <v>2.7626300000000001</v>
      </c>
      <c r="AF10149" s="86">
        <f>IF(verze!$E$1="CZK",AD10149,IF(verze!$E$1="SK",AE10149,""))</f>
        <v>2.7626300000000001</v>
      </c>
    </row>
    <row r="10150" spans="27:32" ht="15">
      <c r="AA10150" s="463" t="s">
        <v>17359</v>
      </c>
      <c r="AB10150" s="462" t="s">
        <v>28028</v>
      </c>
      <c r="AC10150" s="462" t="s">
        <v>28029</v>
      </c>
      <c r="AD10150" s="464">
        <v>68.789150000000006</v>
      </c>
      <c r="AE10150" s="465">
        <v>2.7626300000000001</v>
      </c>
      <c r="AF10150" s="86">
        <f>IF(verze!$E$1="CZK",AD10150,IF(verze!$E$1="SK",AE10150,""))</f>
        <v>2.7626300000000001</v>
      </c>
    </row>
    <row r="10151" spans="27:32" ht="15">
      <c r="AA10151" s="463" t="s">
        <v>17365</v>
      </c>
      <c r="AB10151" s="462" t="s">
        <v>28030</v>
      </c>
      <c r="AC10151" s="462" t="s">
        <v>28031</v>
      </c>
      <c r="AD10151" s="464">
        <v>199.54689999999999</v>
      </c>
      <c r="AE10151" s="465">
        <v>8.0139300000000002</v>
      </c>
      <c r="AF10151" s="86">
        <f>IF(verze!$E$1="CZK",AD10151,IF(verze!$E$1="SK",AE10151,""))</f>
        <v>8.0139300000000002</v>
      </c>
    </row>
    <row r="10152" spans="27:32" ht="15">
      <c r="AA10152" s="463" t="s">
        <v>17368</v>
      </c>
      <c r="AB10152" s="462" t="s">
        <v>28032</v>
      </c>
      <c r="AC10152" s="462" t="s">
        <v>28033</v>
      </c>
      <c r="AD10152" s="464">
        <v>210.85</v>
      </c>
      <c r="AE10152" s="465">
        <v>0</v>
      </c>
      <c r="AF10152" s="86">
        <f>IF(verze!$E$1="CZK",AD10152,IF(verze!$E$1="SK",AE10152,""))</f>
        <v>0</v>
      </c>
    </row>
    <row r="10153" spans="27:32" ht="15">
      <c r="AA10153" s="463" t="s">
        <v>17371</v>
      </c>
      <c r="AB10153" s="462" t="s">
        <v>28034</v>
      </c>
      <c r="AC10153" s="462" t="s">
        <v>28035</v>
      </c>
      <c r="AD10153" s="464">
        <v>222.14455000000001</v>
      </c>
      <c r="AE10153" s="465">
        <v>8.9214800000000007</v>
      </c>
      <c r="AF10153" s="86">
        <f>IF(verze!$E$1="CZK",AD10153,IF(verze!$E$1="SK",AE10153,""))</f>
        <v>8.9214800000000007</v>
      </c>
    </row>
    <row r="10154" spans="27:32" ht="15">
      <c r="AA10154" s="463" t="s">
        <v>17374</v>
      </c>
      <c r="AB10154" s="462" t="s">
        <v>28036</v>
      </c>
      <c r="AC10154" s="462" t="s">
        <v>28037</v>
      </c>
      <c r="AD10154" s="464">
        <v>233.44468000000001</v>
      </c>
      <c r="AE10154" s="465">
        <v>9.3752999999999993</v>
      </c>
      <c r="AF10154" s="86">
        <f>IF(verze!$E$1="CZK",AD10154,IF(verze!$E$1="SK",AE10154,""))</f>
        <v>9.3752999999999993</v>
      </c>
    </row>
    <row r="10155" spans="27:32" ht="15">
      <c r="AA10155" s="463" t="s">
        <v>17380</v>
      </c>
      <c r="AB10155" s="462" t="s">
        <v>28038</v>
      </c>
      <c r="AC10155" s="462" t="s">
        <v>28039</v>
      </c>
      <c r="AD10155" s="464">
        <v>278.62583000000001</v>
      </c>
      <c r="AE10155" s="465">
        <v>11.1898</v>
      </c>
      <c r="AF10155" s="86">
        <f>IF(verze!$E$1="CZK",AD10155,IF(verze!$E$1="SK",AE10155,""))</f>
        <v>11.1898</v>
      </c>
    </row>
    <row r="10156" spans="27:32" ht="15">
      <c r="AA10156" s="463" t="s">
        <v>17383</v>
      </c>
      <c r="AB10156" s="462" t="s">
        <v>28040</v>
      </c>
      <c r="AC10156" s="462" t="s">
        <v>28041</v>
      </c>
      <c r="AD10156" s="464">
        <v>301.21703000000002</v>
      </c>
      <c r="AE10156" s="465">
        <v>12.09708</v>
      </c>
      <c r="AF10156" s="86">
        <f>IF(verze!$E$1="CZK",AD10156,IF(verze!$E$1="SK",AE10156,""))</f>
        <v>12.09708</v>
      </c>
    </row>
    <row r="10157" spans="27:32" ht="15">
      <c r="AA10157" s="463" t="s">
        <v>17386</v>
      </c>
      <c r="AB10157" s="462" t="s">
        <v>28042</v>
      </c>
      <c r="AC10157" s="462" t="s">
        <v>28043</v>
      </c>
      <c r="AD10157" s="464">
        <v>806.41459999999995</v>
      </c>
      <c r="AE10157" s="465">
        <v>32.386130000000001</v>
      </c>
      <c r="AF10157" s="86">
        <f>IF(verze!$E$1="CZK",AD10157,IF(verze!$E$1="SK",AE10157,""))</f>
        <v>32.386130000000001</v>
      </c>
    </row>
    <row r="10158" spans="27:32" ht="15">
      <c r="AA10158" s="463" t="s">
        <v>17395</v>
      </c>
      <c r="AB10158" s="462" t="s">
        <v>28044</v>
      </c>
      <c r="AC10158" s="462" t="s">
        <v>28045</v>
      </c>
      <c r="AD10158" s="464">
        <v>1157.73325</v>
      </c>
      <c r="AE10158" s="465">
        <v>46.4953</v>
      </c>
      <c r="AF10158" s="86">
        <f>IF(verze!$E$1="CZK",AD10158,IF(verze!$E$1="SK",AE10158,""))</f>
        <v>46.4953</v>
      </c>
    </row>
    <row r="10159" spans="27:32" ht="15">
      <c r="AA10159" s="463" t="s">
        <v>17419</v>
      </c>
      <c r="AB10159" s="462" t="s">
        <v>28046</v>
      </c>
      <c r="AC10159" s="462" t="s">
        <v>28047</v>
      </c>
      <c r="AD10159" s="464">
        <v>155.02345</v>
      </c>
      <c r="AE10159" s="465">
        <v>6.2258500000000003</v>
      </c>
      <c r="AF10159" s="86">
        <f>IF(verze!$E$1="CZK",AD10159,IF(verze!$E$1="SK",AE10159,""))</f>
        <v>6.2258500000000003</v>
      </c>
    </row>
    <row r="10160" spans="27:32" ht="15">
      <c r="AA10160" s="463" t="s">
        <v>17437</v>
      </c>
      <c r="AB10160" s="462" t="s">
        <v>28048</v>
      </c>
      <c r="AC10160" s="462" t="s">
        <v>28049</v>
      </c>
      <c r="AD10160" s="464">
        <v>560.70648000000006</v>
      </c>
      <c r="AE10160" s="465">
        <v>22.518329999999999</v>
      </c>
      <c r="AF10160" s="86">
        <f>IF(verze!$E$1="CZK",AD10160,IF(verze!$E$1="SK",AE10160,""))</f>
        <v>22.518329999999999</v>
      </c>
    </row>
    <row r="10161" spans="27:32" ht="15">
      <c r="AA10161" s="463" t="s">
        <v>17440</v>
      </c>
      <c r="AB10161" s="462" t="s">
        <v>28050</v>
      </c>
      <c r="AC10161" s="462" t="s">
        <v>28051</v>
      </c>
      <c r="AD10161" s="464">
        <v>357.49482999999998</v>
      </c>
      <c r="AE10161" s="465">
        <v>14.357229999999999</v>
      </c>
      <c r="AF10161" s="86">
        <f>IF(verze!$E$1="CZK",AD10161,IF(verze!$E$1="SK",AE10161,""))</f>
        <v>14.357229999999999</v>
      </c>
    </row>
    <row r="10162" spans="27:32" ht="15">
      <c r="AA10162" s="463" t="s">
        <v>17452</v>
      </c>
      <c r="AB10162" s="462" t="s">
        <v>28052</v>
      </c>
      <c r="AC10162" s="462" t="s">
        <v>28053</v>
      </c>
      <c r="AD10162" s="464">
        <v>454.38229999999999</v>
      </c>
      <c r="AE10162" s="465">
        <v>18.248280000000001</v>
      </c>
      <c r="AF10162" s="86">
        <f>IF(verze!$E$1="CZK",AD10162,IF(verze!$E$1="SK",AE10162,""))</f>
        <v>18.248280000000001</v>
      </c>
    </row>
    <row r="10163" spans="27:32" ht="15">
      <c r="AA10163" s="463" t="s">
        <v>17572</v>
      </c>
      <c r="AB10163" s="462" t="s">
        <v>28054</v>
      </c>
      <c r="AC10163" s="462" t="s">
        <v>28055</v>
      </c>
      <c r="AD10163" s="464">
        <v>93.708849999999998</v>
      </c>
      <c r="AE10163" s="465">
        <v>3.7633999999999999</v>
      </c>
      <c r="AF10163" s="86">
        <f>IF(verze!$E$1="CZK",AD10163,IF(verze!$E$1="SK",AE10163,""))</f>
        <v>3.7633999999999999</v>
      </c>
    </row>
    <row r="10164" spans="27:32" ht="15">
      <c r="AA10164" s="463" t="s">
        <v>17725</v>
      </c>
      <c r="AB10164" s="462" t="s">
        <v>28056</v>
      </c>
      <c r="AC10164" s="462" t="s">
        <v>28057</v>
      </c>
      <c r="AD10164" s="464">
        <v>81.944180000000003</v>
      </c>
      <c r="AE10164" s="465">
        <v>3.2909199999999998</v>
      </c>
      <c r="AF10164" s="86">
        <f>IF(verze!$E$1="CZK",AD10164,IF(verze!$E$1="SK",AE10164,""))</f>
        <v>3.2909199999999998</v>
      </c>
    </row>
    <row r="10165" spans="27:32" ht="15">
      <c r="AA10165" s="463" t="s">
        <v>17780</v>
      </c>
      <c r="AB10165" s="462" t="s">
        <v>28058</v>
      </c>
      <c r="AC10165" s="462" t="s">
        <v>28059</v>
      </c>
      <c r="AD10165" s="464">
        <v>0</v>
      </c>
      <c r="AE10165" s="465">
        <v>0</v>
      </c>
      <c r="AF10165" s="86">
        <f>IF(verze!$E$1="CZK",AD10165,IF(verze!$E$1="SK",AE10165,""))</f>
        <v>0</v>
      </c>
    </row>
    <row r="10166" spans="27:32" ht="15">
      <c r="AA10166" s="463" t="s">
        <v>17783</v>
      </c>
      <c r="AB10166" s="462" t="s">
        <v>28060</v>
      </c>
      <c r="AC10166" s="462" t="s">
        <v>28061</v>
      </c>
      <c r="AD10166" s="464">
        <v>0</v>
      </c>
      <c r="AE10166" s="465">
        <v>0</v>
      </c>
      <c r="AF10166" s="86">
        <f>IF(verze!$E$1="CZK",AD10166,IF(verze!$E$1="SK",AE10166,""))</f>
        <v>0</v>
      </c>
    </row>
    <row r="10167" spans="27:32" ht="15">
      <c r="AA10167" s="463" t="s">
        <v>17789</v>
      </c>
      <c r="AB10167" s="462" t="s">
        <v>28062</v>
      </c>
      <c r="AC10167" s="462" t="s">
        <v>28063</v>
      </c>
      <c r="AD10167" s="464">
        <v>0</v>
      </c>
      <c r="AE10167" s="465">
        <v>0</v>
      </c>
      <c r="AF10167" s="86">
        <f>IF(verze!$E$1="CZK",AD10167,IF(verze!$E$1="SK",AE10167,""))</f>
        <v>0</v>
      </c>
    </row>
    <row r="10168" spans="27:32" ht="15">
      <c r="AA10168" s="463" t="s">
        <v>17795</v>
      </c>
      <c r="AB10168" s="462" t="s">
        <v>28064</v>
      </c>
      <c r="AC10168" s="462" t="s">
        <v>28065</v>
      </c>
      <c r="AD10168" s="464">
        <v>484.26350000000002</v>
      </c>
      <c r="AE10168" s="465">
        <v>19.448329999999999</v>
      </c>
      <c r="AF10168" s="86">
        <f>IF(verze!$E$1="CZK",AD10168,IF(verze!$E$1="SK",AE10168,""))</f>
        <v>19.448329999999999</v>
      </c>
    </row>
    <row r="10169" spans="27:32" ht="15">
      <c r="AA10169" s="463" t="s">
        <v>17845</v>
      </c>
      <c r="AB10169" s="462" t="s">
        <v>28066</v>
      </c>
      <c r="AC10169" s="462" t="s">
        <v>28067</v>
      </c>
      <c r="AD10169" s="464">
        <v>88.756600000000006</v>
      </c>
      <c r="AE10169" s="465">
        <v>3.5645199999999999</v>
      </c>
      <c r="AF10169" s="86">
        <f>IF(verze!$E$1="CZK",AD10169,IF(verze!$E$1="SK",AE10169,""))</f>
        <v>3.5645199999999999</v>
      </c>
    </row>
    <row r="10170" spans="27:32" ht="15">
      <c r="AA10170" s="463" t="s">
        <v>17866</v>
      </c>
      <c r="AB10170" s="462" t="s">
        <v>28068</v>
      </c>
      <c r="AC10170" s="462" t="s">
        <v>28069</v>
      </c>
      <c r="AD10170" s="464">
        <v>88.756600000000006</v>
      </c>
      <c r="AE10170" s="465">
        <v>3.5645199999999999</v>
      </c>
      <c r="AF10170" s="86">
        <f>IF(verze!$E$1="CZK",AD10170,IF(verze!$E$1="SK",AE10170,""))</f>
        <v>3.5645199999999999</v>
      </c>
    </row>
    <row r="10171" spans="27:32" ht="15">
      <c r="AA10171" s="463" t="s">
        <v>17872</v>
      </c>
      <c r="AB10171" s="462" t="s">
        <v>28070</v>
      </c>
      <c r="AC10171" s="462" t="s">
        <v>28071</v>
      </c>
      <c r="AD10171" s="464">
        <v>90.815950000000001</v>
      </c>
      <c r="AE10171" s="465">
        <v>3.64723</v>
      </c>
      <c r="AF10171" s="86">
        <f>IF(verze!$E$1="CZK",AD10171,IF(verze!$E$1="SK",AE10171,""))</f>
        <v>3.64723</v>
      </c>
    </row>
    <row r="10172" spans="27:32" ht="15">
      <c r="AA10172" s="463" t="s">
        <v>17950</v>
      </c>
      <c r="AB10172" s="462" t="s">
        <v>28072</v>
      </c>
      <c r="AC10172" s="462" t="s">
        <v>28073</v>
      </c>
      <c r="AD10172" s="464">
        <v>153.81083000000001</v>
      </c>
      <c r="AE10172" s="465">
        <v>6.1771500000000001</v>
      </c>
      <c r="AF10172" s="86">
        <f>IF(verze!$E$1="CZK",AD10172,IF(verze!$E$1="SK",AE10172,""))</f>
        <v>6.1771500000000001</v>
      </c>
    </row>
    <row r="10173" spans="27:32" ht="15">
      <c r="AA10173" s="463" t="s">
        <v>17953</v>
      </c>
      <c r="AB10173" s="462" t="s">
        <v>28074</v>
      </c>
      <c r="AC10173" s="462" t="s">
        <v>28075</v>
      </c>
      <c r="AD10173" s="464">
        <v>156.38472999999999</v>
      </c>
      <c r="AE10173" s="465">
        <v>6.2805</v>
      </c>
      <c r="AF10173" s="86">
        <f>IF(verze!$E$1="CZK",AD10173,IF(verze!$E$1="SK",AE10173,""))</f>
        <v>6.2805</v>
      </c>
    </row>
    <row r="10174" spans="27:32" ht="15">
      <c r="AA10174" s="463" t="s">
        <v>28076</v>
      </c>
      <c r="AB10174" s="462" t="s">
        <v>28077</v>
      </c>
      <c r="AC10174" s="462" t="s">
        <v>28078</v>
      </c>
      <c r="AD10174" s="464">
        <v>114.04243</v>
      </c>
      <c r="AE10174" s="465">
        <v>4.5800299999999998</v>
      </c>
      <c r="AF10174" s="86">
        <f>IF(verze!$E$1="CZK",AD10174,IF(verze!$E$1="SK",AE10174,""))</f>
        <v>4.5800299999999998</v>
      </c>
    </row>
    <row r="10175" spans="27:32" ht="15">
      <c r="AA10175" s="463" t="s">
        <v>18064</v>
      </c>
      <c r="AB10175" s="462" t="s">
        <v>28079</v>
      </c>
      <c r="AC10175" s="462" t="s">
        <v>28080</v>
      </c>
      <c r="AD10175" s="464">
        <v>112.99683</v>
      </c>
      <c r="AE10175" s="465">
        <v>4.53803</v>
      </c>
      <c r="AF10175" s="86">
        <f>IF(verze!$E$1="CZK",AD10175,IF(verze!$E$1="SK",AE10175,""))</f>
        <v>4.53803</v>
      </c>
    </row>
    <row r="10176" spans="27:32" ht="15">
      <c r="AA10176" s="463" t="s">
        <v>18067</v>
      </c>
      <c r="AB10176" s="462" t="s">
        <v>28081</v>
      </c>
      <c r="AC10176" s="462" t="s">
        <v>28082</v>
      </c>
      <c r="AD10176" s="464">
        <v>111.53285</v>
      </c>
      <c r="AE10176" s="465">
        <v>4.4792300000000003</v>
      </c>
      <c r="AF10176" s="86">
        <f>IF(verze!$E$1="CZK",AD10176,IF(verze!$E$1="SK",AE10176,""))</f>
        <v>4.4792300000000003</v>
      </c>
    </row>
    <row r="10177" spans="27:32" ht="15">
      <c r="AA10177" s="463" t="s">
        <v>18345</v>
      </c>
      <c r="AB10177" s="462" t="s">
        <v>28083</v>
      </c>
      <c r="AC10177" s="462" t="s">
        <v>28084</v>
      </c>
      <c r="AD10177" s="464">
        <v>144.00622999999999</v>
      </c>
      <c r="AE10177" s="465">
        <v>5.7833800000000002</v>
      </c>
      <c r="AF10177" s="86">
        <f>IF(verze!$E$1="CZK",AD10177,IF(verze!$E$1="SK",AE10177,""))</f>
        <v>5.7833800000000002</v>
      </c>
    </row>
    <row r="10178" spans="27:32" ht="15">
      <c r="AA10178" s="463" t="s">
        <v>18439</v>
      </c>
      <c r="AB10178" s="462" t="s">
        <v>28085</v>
      </c>
      <c r="AC10178" s="462" t="s">
        <v>28086</v>
      </c>
      <c r="AD10178" s="464">
        <v>158.95808</v>
      </c>
      <c r="AE10178" s="465">
        <v>6.3838499999999998</v>
      </c>
      <c r="AF10178" s="86">
        <f>IF(verze!$E$1="CZK",AD10178,IF(verze!$E$1="SK",AE10178,""))</f>
        <v>6.3838499999999998</v>
      </c>
    </row>
    <row r="10179" spans="27:32" ht="15">
      <c r="AA10179" s="463" t="s">
        <v>18442</v>
      </c>
      <c r="AB10179" s="462" t="s">
        <v>28087</v>
      </c>
      <c r="AC10179" s="462" t="s">
        <v>28088</v>
      </c>
      <c r="AD10179" s="464">
        <v>160.72045</v>
      </c>
      <c r="AE10179" s="465">
        <v>6.4546299999999999</v>
      </c>
      <c r="AF10179" s="86">
        <f>IF(verze!$E$1="CZK",AD10179,IF(verze!$E$1="SK",AE10179,""))</f>
        <v>6.4546299999999999</v>
      </c>
    </row>
    <row r="10180" spans="27:32" ht="15">
      <c r="AA10180" s="463" t="s">
        <v>18447</v>
      </c>
      <c r="AB10180" s="462" t="s">
        <v>28089</v>
      </c>
      <c r="AC10180" s="462" t="s">
        <v>28090</v>
      </c>
      <c r="AD10180" s="464">
        <v>162.46983</v>
      </c>
      <c r="AE10180" s="465">
        <v>6.5248999999999997</v>
      </c>
      <c r="AF10180" s="86">
        <f>IF(verze!$E$1="CZK",AD10180,IF(verze!$E$1="SK",AE10180,""))</f>
        <v>6.5248999999999997</v>
      </c>
    </row>
    <row r="10181" spans="27:32" ht="15">
      <c r="AA10181" s="463" t="s">
        <v>28091</v>
      </c>
      <c r="AB10181" s="462" t="s">
        <v>28092</v>
      </c>
      <c r="AC10181" s="462" t="s">
        <v>28093</v>
      </c>
      <c r="AD10181" s="464">
        <v>164.23333</v>
      </c>
      <c r="AE10181" s="465">
        <v>6.5957299999999996</v>
      </c>
      <c r="AF10181" s="86">
        <f>IF(verze!$E$1="CZK",AD10181,IF(verze!$E$1="SK",AE10181,""))</f>
        <v>6.5957299999999996</v>
      </c>
    </row>
    <row r="10182" spans="27:32" ht="15">
      <c r="AA10182" s="463" t="s">
        <v>18455</v>
      </c>
      <c r="AB10182" s="462" t="s">
        <v>28094</v>
      </c>
      <c r="AC10182" s="462" t="s">
        <v>28095</v>
      </c>
      <c r="AD10182" s="464">
        <v>173.62268</v>
      </c>
      <c r="AE10182" s="465">
        <v>6.9728000000000003</v>
      </c>
      <c r="AF10182" s="86">
        <f>IF(verze!$E$1="CZK",AD10182,IF(verze!$E$1="SK",AE10182,""))</f>
        <v>6.9728000000000003</v>
      </c>
    </row>
    <row r="10183" spans="27:32" ht="15">
      <c r="AA10183" s="463" t="s">
        <v>28096</v>
      </c>
      <c r="AB10183" s="462" t="s">
        <v>28097</v>
      </c>
      <c r="AC10183" s="462" t="s">
        <v>28098</v>
      </c>
      <c r="AD10183" s="464">
        <v>197.37184999999999</v>
      </c>
      <c r="AE10183" s="465">
        <v>7.9265800000000004</v>
      </c>
      <c r="AF10183" s="86">
        <f>IF(verze!$E$1="CZK",AD10183,IF(verze!$E$1="SK",AE10183,""))</f>
        <v>7.9265800000000004</v>
      </c>
    </row>
    <row r="10184" spans="27:32" ht="15">
      <c r="AA10184" s="463" t="s">
        <v>18500</v>
      </c>
      <c r="AB10184" s="462" t="s">
        <v>28099</v>
      </c>
      <c r="AC10184" s="462" t="s">
        <v>28100</v>
      </c>
      <c r="AD10184" s="464">
        <v>199.15015</v>
      </c>
      <c r="AE10184" s="465">
        <v>7.9980000000000002</v>
      </c>
      <c r="AF10184" s="86">
        <f>IF(verze!$E$1="CZK",AD10184,IF(verze!$E$1="SK",AE10184,""))</f>
        <v>7.9980000000000002</v>
      </c>
    </row>
    <row r="10185" spans="27:32" ht="15">
      <c r="AA10185" s="463" t="s">
        <v>18509</v>
      </c>
      <c r="AB10185" s="462" t="s">
        <v>28101</v>
      </c>
      <c r="AC10185" s="462" t="s">
        <v>28102</v>
      </c>
      <c r="AD10185" s="464">
        <v>227.72868</v>
      </c>
      <c r="AE10185" s="465">
        <v>9.1457300000000004</v>
      </c>
      <c r="AF10185" s="86">
        <f>IF(verze!$E$1="CZK",AD10185,IF(verze!$E$1="SK",AE10185,""))</f>
        <v>9.1457300000000004</v>
      </c>
    </row>
    <row r="10186" spans="27:32" ht="15">
      <c r="AA10186" s="463" t="s">
        <v>18517</v>
      </c>
      <c r="AB10186" s="462" t="s">
        <v>28103</v>
      </c>
      <c r="AC10186" s="462" t="s">
        <v>28104</v>
      </c>
      <c r="AD10186" s="464">
        <v>0</v>
      </c>
      <c r="AE10186" s="465">
        <v>0</v>
      </c>
      <c r="AF10186" s="86">
        <f>IF(verze!$E$1="CZK",AD10186,IF(verze!$E$1="SK",AE10186,""))</f>
        <v>0</v>
      </c>
    </row>
    <row r="10187" spans="27:32" ht="15">
      <c r="AA10187" s="463" t="s">
        <v>18688</v>
      </c>
      <c r="AB10187" s="462" t="s">
        <v>28105</v>
      </c>
      <c r="AC10187" s="462" t="s">
        <v>28106</v>
      </c>
      <c r="AD10187" s="464">
        <v>184.60793000000001</v>
      </c>
      <c r="AE10187" s="465">
        <v>7.4139799999999996</v>
      </c>
      <c r="AF10187" s="86">
        <f>IF(verze!$E$1="CZK",AD10187,IF(verze!$E$1="SK",AE10187,""))</f>
        <v>7.4139799999999996</v>
      </c>
    </row>
    <row r="10188" spans="27:32" ht="15">
      <c r="AA10188" s="463" t="s">
        <v>19185</v>
      </c>
      <c r="AB10188" s="462" t="s">
        <v>28107</v>
      </c>
      <c r="AC10188" s="462" t="s">
        <v>28108</v>
      </c>
      <c r="AD10188" s="464">
        <v>6.6920999999999999</v>
      </c>
      <c r="AE10188" s="465">
        <v>0.26874999999999999</v>
      </c>
      <c r="AF10188" s="86">
        <f>IF(verze!$E$1="CZK",AD10188,IF(verze!$E$1="SK",AE10188,""))</f>
        <v>0.26874999999999999</v>
      </c>
    </row>
    <row r="10189" spans="27:32" ht="15">
      <c r="AA10189" s="463" t="s">
        <v>28109</v>
      </c>
      <c r="AB10189" s="462" t="s">
        <v>28110</v>
      </c>
      <c r="AC10189" s="462" t="s">
        <v>28111</v>
      </c>
      <c r="AD10189" s="464">
        <v>0</v>
      </c>
      <c r="AE10189" s="465">
        <v>0</v>
      </c>
      <c r="AF10189" s="86">
        <f>IF(verze!$E$1="CZK",AD10189,IF(verze!$E$1="SK",AE10189,""))</f>
        <v>0</v>
      </c>
    </row>
    <row r="10190" spans="27:32" ht="15">
      <c r="AA10190" s="463" t="s">
        <v>19212</v>
      </c>
      <c r="AB10190" s="462" t="s">
        <v>28112</v>
      </c>
      <c r="AC10190" s="462" t="s">
        <v>28113</v>
      </c>
      <c r="AD10190" s="464">
        <v>596.36392999999998</v>
      </c>
      <c r="AE10190" s="465">
        <v>23.95035</v>
      </c>
      <c r="AF10190" s="86">
        <f>IF(verze!$E$1="CZK",AD10190,IF(verze!$E$1="SK",AE10190,""))</f>
        <v>23.95035</v>
      </c>
    </row>
    <row r="10191" spans="27:32" ht="15">
      <c r="AA10191" s="463" t="s">
        <v>19215</v>
      </c>
      <c r="AB10191" s="462" t="s">
        <v>28114</v>
      </c>
      <c r="AC10191" s="462" t="s">
        <v>28115</v>
      </c>
      <c r="AD10191" s="464">
        <v>599.07465000000002</v>
      </c>
      <c r="AE10191" s="465">
        <v>24.059229999999999</v>
      </c>
      <c r="AF10191" s="86">
        <f>IF(verze!$E$1="CZK",AD10191,IF(verze!$E$1="SK",AE10191,""))</f>
        <v>24.059229999999999</v>
      </c>
    </row>
    <row r="10192" spans="27:32" ht="15">
      <c r="AA10192" s="463" t="s">
        <v>19218</v>
      </c>
      <c r="AB10192" s="462" t="s">
        <v>28116</v>
      </c>
      <c r="AC10192" s="462" t="s">
        <v>28117</v>
      </c>
      <c r="AD10192" s="464">
        <v>601.78539999999998</v>
      </c>
      <c r="AE10192" s="465">
        <v>24.168099999999999</v>
      </c>
      <c r="AF10192" s="86">
        <f>IF(verze!$E$1="CZK",AD10192,IF(verze!$E$1="SK",AE10192,""))</f>
        <v>24.168099999999999</v>
      </c>
    </row>
    <row r="10193" spans="27:32" ht="15">
      <c r="AA10193" s="463" t="s">
        <v>19221</v>
      </c>
      <c r="AB10193" s="462" t="s">
        <v>28118</v>
      </c>
      <c r="AC10193" s="462" t="s">
        <v>28119</v>
      </c>
      <c r="AD10193" s="464">
        <v>604.49612999999999</v>
      </c>
      <c r="AE10193" s="465">
        <v>24.276949999999999</v>
      </c>
      <c r="AF10193" s="86">
        <f>IF(verze!$E$1="CZK",AD10193,IF(verze!$E$1="SK",AE10193,""))</f>
        <v>24.276949999999999</v>
      </c>
    </row>
    <row r="10194" spans="27:32" ht="15">
      <c r="AA10194" s="463" t="s">
        <v>19224</v>
      </c>
      <c r="AB10194" s="462" t="s">
        <v>28120</v>
      </c>
      <c r="AC10194" s="462" t="s">
        <v>28121</v>
      </c>
      <c r="AD10194" s="464">
        <v>607.20687999999996</v>
      </c>
      <c r="AE10194" s="465">
        <v>24.385829999999999</v>
      </c>
      <c r="AF10194" s="86">
        <f>IF(verze!$E$1="CZK",AD10194,IF(verze!$E$1="SK",AE10194,""))</f>
        <v>24.385829999999999</v>
      </c>
    </row>
    <row r="10195" spans="27:32" ht="15">
      <c r="AA10195" s="463" t="s">
        <v>19227</v>
      </c>
      <c r="AB10195" s="462" t="s">
        <v>28122</v>
      </c>
      <c r="AC10195" s="462" t="s">
        <v>28123</v>
      </c>
      <c r="AD10195" s="464">
        <v>609.91759999999999</v>
      </c>
      <c r="AE10195" s="465">
        <v>24.494679999999999</v>
      </c>
      <c r="AF10195" s="86">
        <f>IF(verze!$E$1="CZK",AD10195,IF(verze!$E$1="SK",AE10195,""))</f>
        <v>24.494679999999999</v>
      </c>
    </row>
    <row r="10196" spans="27:32" ht="15">
      <c r="AA10196" s="463" t="s">
        <v>19230</v>
      </c>
      <c r="AB10196" s="462" t="s">
        <v>28124</v>
      </c>
      <c r="AC10196" s="462" t="s">
        <v>28125</v>
      </c>
      <c r="AD10196" s="464">
        <v>627.70699999999999</v>
      </c>
      <c r="AE10196" s="465">
        <v>25.209129999999998</v>
      </c>
      <c r="AF10196" s="86">
        <f>IF(verze!$E$1="CZK",AD10196,IF(verze!$E$1="SK",AE10196,""))</f>
        <v>25.209129999999998</v>
      </c>
    </row>
    <row r="10197" spans="27:32" ht="15">
      <c r="AA10197" s="463" t="s">
        <v>19233</v>
      </c>
      <c r="AB10197" s="462" t="s">
        <v>28126</v>
      </c>
      <c r="AC10197" s="462" t="s">
        <v>28127</v>
      </c>
      <c r="AD10197" s="464">
        <v>634.20142999999996</v>
      </c>
      <c r="AE10197" s="465">
        <v>25.469930000000002</v>
      </c>
      <c r="AF10197" s="86">
        <f>IF(verze!$E$1="CZK",AD10197,IF(verze!$E$1="SK",AE10197,""))</f>
        <v>25.469930000000002</v>
      </c>
    </row>
    <row r="10198" spans="27:32" ht="15">
      <c r="AA10198" s="463" t="s">
        <v>19236</v>
      </c>
      <c r="AB10198" s="462" t="s">
        <v>28128</v>
      </c>
      <c r="AC10198" s="462" t="s">
        <v>28129</v>
      </c>
      <c r="AD10198" s="464">
        <v>640.69584999999995</v>
      </c>
      <c r="AE10198" s="465">
        <v>25.73075</v>
      </c>
      <c r="AF10198" s="86">
        <f>IF(verze!$E$1="CZK",AD10198,IF(verze!$E$1="SK",AE10198,""))</f>
        <v>25.73075</v>
      </c>
    </row>
    <row r="10199" spans="27:32" ht="15">
      <c r="AA10199" s="463" t="s">
        <v>19239</v>
      </c>
      <c r="AB10199" s="462" t="s">
        <v>28130</v>
      </c>
      <c r="AC10199" s="462" t="s">
        <v>28131</v>
      </c>
      <c r="AD10199" s="464">
        <v>530.00689999999997</v>
      </c>
      <c r="AE10199" s="465">
        <v>21.285430000000002</v>
      </c>
      <c r="AF10199" s="86">
        <f>IF(verze!$E$1="CZK",AD10199,IF(verze!$E$1="SK",AE10199,""))</f>
        <v>21.285430000000002</v>
      </c>
    </row>
    <row r="10200" spans="27:32" ht="15">
      <c r="AA10200" s="463" t="s">
        <v>19242</v>
      </c>
      <c r="AB10200" s="462" t="s">
        <v>28132</v>
      </c>
      <c r="AC10200" s="462" t="s">
        <v>28133</v>
      </c>
      <c r="AD10200" s="464">
        <v>537.52205000000004</v>
      </c>
      <c r="AE10200" s="465">
        <v>21.587230000000002</v>
      </c>
      <c r="AF10200" s="86">
        <f>IF(verze!$E$1="CZK",AD10200,IF(verze!$E$1="SK",AE10200,""))</f>
        <v>21.587230000000002</v>
      </c>
    </row>
    <row r="10201" spans="27:32" ht="15">
      <c r="AA10201" s="463" t="s">
        <v>19245</v>
      </c>
      <c r="AB10201" s="462" t="s">
        <v>28134</v>
      </c>
      <c r="AC10201" s="462" t="s">
        <v>28135</v>
      </c>
      <c r="AD10201" s="464">
        <v>538.60852999999997</v>
      </c>
      <c r="AE10201" s="465">
        <v>21.630880000000001</v>
      </c>
      <c r="AF10201" s="86">
        <f>IF(verze!$E$1="CZK",AD10201,IF(verze!$E$1="SK",AE10201,""))</f>
        <v>21.630880000000001</v>
      </c>
    </row>
    <row r="10202" spans="27:32" ht="15">
      <c r="AA10202" s="463" t="s">
        <v>19248</v>
      </c>
      <c r="AB10202" s="462" t="s">
        <v>28136</v>
      </c>
      <c r="AC10202" s="462" t="s">
        <v>28137</v>
      </c>
      <c r="AD10202" s="464">
        <v>539.69438000000002</v>
      </c>
      <c r="AE10202" s="465">
        <v>21.674479999999999</v>
      </c>
      <c r="AF10202" s="86">
        <f>IF(verze!$E$1="CZK",AD10202,IF(verze!$E$1="SK",AE10202,""))</f>
        <v>21.674479999999999</v>
      </c>
    </row>
    <row r="10203" spans="27:32" ht="15">
      <c r="AA10203" s="463" t="s">
        <v>19251</v>
      </c>
      <c r="AB10203" s="462" t="s">
        <v>28138</v>
      </c>
      <c r="AC10203" s="462" t="s">
        <v>28139</v>
      </c>
      <c r="AD10203" s="464">
        <v>540.78088000000002</v>
      </c>
      <c r="AE10203" s="465">
        <v>21.7181</v>
      </c>
      <c r="AF10203" s="86">
        <f>IF(verze!$E$1="CZK",AD10203,IF(verze!$E$1="SK",AE10203,""))</f>
        <v>21.7181</v>
      </c>
    </row>
    <row r="10204" spans="27:32" ht="15">
      <c r="AA10204" s="463" t="s">
        <v>19254</v>
      </c>
      <c r="AB10204" s="462" t="s">
        <v>28140</v>
      </c>
      <c r="AC10204" s="462" t="s">
        <v>28141</v>
      </c>
      <c r="AD10204" s="464">
        <v>541.86670000000004</v>
      </c>
      <c r="AE10204" s="465">
        <v>21.76173</v>
      </c>
      <c r="AF10204" s="86">
        <f>IF(verze!$E$1="CZK",AD10204,IF(verze!$E$1="SK",AE10204,""))</f>
        <v>21.76173</v>
      </c>
    </row>
    <row r="10205" spans="27:32" ht="15">
      <c r="AA10205" s="463" t="s">
        <v>19257</v>
      </c>
      <c r="AB10205" s="462" t="s">
        <v>28142</v>
      </c>
      <c r="AC10205" s="462" t="s">
        <v>28143</v>
      </c>
      <c r="AD10205" s="464">
        <v>552.67228</v>
      </c>
      <c r="AE10205" s="465">
        <v>22.195679999999999</v>
      </c>
      <c r="AF10205" s="86">
        <f>IF(verze!$E$1="CZK",AD10205,IF(verze!$E$1="SK",AE10205,""))</f>
        <v>22.195679999999999</v>
      </c>
    </row>
    <row r="10206" spans="27:32" ht="15">
      <c r="AA10206" s="463" t="s">
        <v>19260</v>
      </c>
      <c r="AB10206" s="462" t="s">
        <v>28144</v>
      </c>
      <c r="AC10206" s="462" t="s">
        <v>28145</v>
      </c>
      <c r="AD10206" s="464">
        <v>553.75810000000001</v>
      </c>
      <c r="AE10206" s="465">
        <v>22.239280000000001</v>
      </c>
      <c r="AF10206" s="86">
        <f>IF(verze!$E$1="CZK",AD10206,IF(verze!$E$1="SK",AE10206,""))</f>
        <v>22.239280000000001</v>
      </c>
    </row>
    <row r="10207" spans="27:32" ht="15">
      <c r="AA10207" s="463" t="s">
        <v>19263</v>
      </c>
      <c r="AB10207" s="462" t="s">
        <v>28146</v>
      </c>
      <c r="AC10207" s="462" t="s">
        <v>28147</v>
      </c>
      <c r="AD10207" s="464">
        <v>554.57378000000006</v>
      </c>
      <c r="AE10207" s="465">
        <v>22.27205</v>
      </c>
      <c r="AF10207" s="86">
        <f>IF(verze!$E$1="CZK",AD10207,IF(verze!$E$1="SK",AE10207,""))</f>
        <v>22.27205</v>
      </c>
    </row>
    <row r="10208" spans="27:32" ht="15">
      <c r="AA10208" s="463" t="s">
        <v>19272</v>
      </c>
      <c r="AB10208" s="462" t="s">
        <v>28148</v>
      </c>
      <c r="AC10208" s="462" t="s">
        <v>28149</v>
      </c>
      <c r="AD10208" s="464">
        <v>376.34237999999999</v>
      </c>
      <c r="AE10208" s="465">
        <v>15.11415</v>
      </c>
      <c r="AF10208" s="86">
        <f>IF(verze!$E$1="CZK",AD10208,IF(verze!$E$1="SK",AE10208,""))</f>
        <v>15.11415</v>
      </c>
    </row>
    <row r="10209" spans="27:32" ht="15">
      <c r="AA10209" s="463" t="s">
        <v>19287</v>
      </c>
      <c r="AB10209" s="462" t="s">
        <v>28150</v>
      </c>
      <c r="AC10209" s="462" t="s">
        <v>28151</v>
      </c>
      <c r="AD10209" s="464">
        <v>24.340949999999999</v>
      </c>
      <c r="AE10209" s="465">
        <v>0.97755000000000003</v>
      </c>
      <c r="AF10209" s="86">
        <f>IF(verze!$E$1="CZK",AD10209,IF(verze!$E$1="SK",AE10209,""))</f>
        <v>0.97755000000000003</v>
      </c>
    </row>
    <row r="10210" spans="27:32" ht="15">
      <c r="AA10210" s="463" t="s">
        <v>19840</v>
      </c>
      <c r="AB10210" s="462" t="s">
        <v>28152</v>
      </c>
      <c r="AC10210" s="462" t="s">
        <v>28153</v>
      </c>
      <c r="AD10210" s="464">
        <v>48.805599999999998</v>
      </c>
      <c r="AE10210" s="465">
        <v>1.96008</v>
      </c>
      <c r="AF10210" s="86">
        <f>IF(verze!$E$1="CZK",AD10210,IF(verze!$E$1="SK",AE10210,""))</f>
        <v>1.96008</v>
      </c>
    </row>
    <row r="10211" spans="27:32" ht="15">
      <c r="AA10211" s="463" t="s">
        <v>19870</v>
      </c>
      <c r="AB10211" s="462" t="s">
        <v>28154</v>
      </c>
      <c r="AC10211" s="462" t="s">
        <v>28155</v>
      </c>
      <c r="AD10211" s="464">
        <v>134.5164</v>
      </c>
      <c r="AE10211" s="465">
        <v>5.4022800000000002</v>
      </c>
      <c r="AF10211" s="86">
        <f>IF(verze!$E$1="CZK",AD10211,IF(verze!$E$1="SK",AE10211,""))</f>
        <v>5.4022800000000002</v>
      </c>
    </row>
    <row r="10212" spans="27:32" ht="15">
      <c r="AA10212" s="463" t="s">
        <v>19873</v>
      </c>
      <c r="AB10212" s="462" t="s">
        <v>28156</v>
      </c>
      <c r="AC10212" s="462" t="s">
        <v>28157</v>
      </c>
      <c r="AD10212" s="464">
        <v>147.96745000000001</v>
      </c>
      <c r="AE10212" s="465">
        <v>5.9424700000000001</v>
      </c>
      <c r="AF10212" s="86">
        <f>IF(verze!$E$1="CZK",AD10212,IF(verze!$E$1="SK",AE10212,""))</f>
        <v>5.9424700000000001</v>
      </c>
    </row>
    <row r="10213" spans="27:32" ht="15">
      <c r="AA10213" s="463" t="s">
        <v>19888</v>
      </c>
      <c r="AB10213" s="462" t="s">
        <v>28158</v>
      </c>
      <c r="AC10213" s="462" t="s">
        <v>28159</v>
      </c>
      <c r="AD10213" s="464">
        <v>134.5164</v>
      </c>
      <c r="AE10213" s="465">
        <v>5.4022800000000002</v>
      </c>
      <c r="AF10213" s="86">
        <f>IF(verze!$E$1="CZK",AD10213,IF(verze!$E$1="SK",AE10213,""))</f>
        <v>5.4022800000000002</v>
      </c>
    </row>
    <row r="10214" spans="27:32" ht="15">
      <c r="AA10214" s="463" t="s">
        <v>19891</v>
      </c>
      <c r="AB10214" s="462" t="s">
        <v>28160</v>
      </c>
      <c r="AC10214" s="462" t="s">
        <v>28161</v>
      </c>
      <c r="AD10214" s="464">
        <v>147.96745000000001</v>
      </c>
      <c r="AE10214" s="465">
        <v>5.9424700000000001</v>
      </c>
      <c r="AF10214" s="86">
        <f>IF(verze!$E$1="CZK",AD10214,IF(verze!$E$1="SK",AE10214,""))</f>
        <v>5.9424700000000001</v>
      </c>
    </row>
    <row r="10215" spans="27:32" ht="15">
      <c r="AA10215" s="463" t="s">
        <v>19942</v>
      </c>
      <c r="AB10215" s="462" t="s">
        <v>28162</v>
      </c>
      <c r="AC10215" s="462" t="s">
        <v>28163</v>
      </c>
      <c r="AD10215" s="464">
        <v>103.95635</v>
      </c>
      <c r="AE10215" s="465">
        <v>4.1749499999999999</v>
      </c>
      <c r="AF10215" s="86">
        <f>IF(verze!$E$1="CZK",AD10215,IF(verze!$E$1="SK",AE10215,""))</f>
        <v>4.1749499999999999</v>
      </c>
    </row>
    <row r="10216" spans="27:32" ht="15">
      <c r="AA10216" s="463" t="s">
        <v>19963</v>
      </c>
      <c r="AB10216" s="462" t="s">
        <v>28164</v>
      </c>
      <c r="AC10216" s="462" t="s">
        <v>28165</v>
      </c>
      <c r="AD10216" s="464">
        <v>103.95635</v>
      </c>
      <c r="AE10216" s="465">
        <v>4.1749499999999999</v>
      </c>
      <c r="AF10216" s="86">
        <f>IF(verze!$E$1="CZK",AD10216,IF(verze!$E$1="SK",AE10216,""))</f>
        <v>4.1749499999999999</v>
      </c>
    </row>
    <row r="10217" spans="27:32" ht="15">
      <c r="AA10217" s="463" t="s">
        <v>20011</v>
      </c>
      <c r="AB10217" s="462" t="s">
        <v>28166</v>
      </c>
      <c r="AC10217" s="462" t="s">
        <v>28167</v>
      </c>
      <c r="AD10217" s="464">
        <v>206.30717999999999</v>
      </c>
      <c r="AE10217" s="465">
        <v>8.2854299999999999</v>
      </c>
      <c r="AF10217" s="86">
        <f>IF(verze!$E$1="CZK",AD10217,IF(verze!$E$1="SK",AE10217,""))</f>
        <v>8.2854299999999999</v>
      </c>
    </row>
    <row r="10218" spans="27:32" ht="15">
      <c r="AA10218" s="463" t="s">
        <v>20017</v>
      </c>
      <c r="AB10218" s="462" t="s">
        <v>28168</v>
      </c>
      <c r="AC10218" s="462" t="s">
        <v>28169</v>
      </c>
      <c r="AD10218" s="464">
        <v>82.373199999999997</v>
      </c>
      <c r="AE10218" s="465">
        <v>3.3081499999999999</v>
      </c>
      <c r="AF10218" s="86">
        <f>IF(verze!$E$1="CZK",AD10218,IF(verze!$E$1="SK",AE10218,""))</f>
        <v>3.3081499999999999</v>
      </c>
    </row>
    <row r="10219" spans="27:32" ht="15">
      <c r="AA10219" s="463" t="s">
        <v>20023</v>
      </c>
      <c r="AB10219" s="462" t="s">
        <v>28170</v>
      </c>
      <c r="AC10219" s="462" t="s">
        <v>28171</v>
      </c>
      <c r="AD10219" s="464">
        <v>167.13585</v>
      </c>
      <c r="AE10219" s="465">
        <v>6.7122799999999998</v>
      </c>
      <c r="AF10219" s="86">
        <f>IF(verze!$E$1="CZK",AD10219,IF(verze!$E$1="SK",AE10219,""))</f>
        <v>6.7122799999999998</v>
      </c>
    </row>
    <row r="10220" spans="27:32" ht="15">
      <c r="AA10220" s="463" t="s">
        <v>20029</v>
      </c>
      <c r="AB10220" s="462" t="s">
        <v>28172</v>
      </c>
      <c r="AC10220" s="462" t="s">
        <v>28173</v>
      </c>
      <c r="AD10220" s="464">
        <v>81.988780000000006</v>
      </c>
      <c r="AE10220" s="465">
        <v>3.2927300000000002</v>
      </c>
      <c r="AF10220" s="86">
        <f>IF(verze!$E$1="CZK",AD10220,IF(verze!$E$1="SK",AE10220,""))</f>
        <v>3.2927300000000002</v>
      </c>
    </row>
    <row r="10221" spans="27:32" ht="15">
      <c r="AA10221" s="463" t="s">
        <v>20041</v>
      </c>
      <c r="AB10221" s="462" t="s">
        <v>28174</v>
      </c>
      <c r="AC10221" s="462" t="s">
        <v>28175</v>
      </c>
      <c r="AD10221" s="464">
        <v>328.91237999999998</v>
      </c>
      <c r="AE10221" s="465">
        <v>13.20933</v>
      </c>
      <c r="AF10221" s="86">
        <f>IF(verze!$E$1="CZK",AD10221,IF(verze!$E$1="SK",AE10221,""))</f>
        <v>13.20933</v>
      </c>
    </row>
    <row r="10222" spans="27:32" ht="15">
      <c r="AA10222" s="463" t="s">
        <v>20044</v>
      </c>
      <c r="AB10222" s="462" t="s">
        <v>28176</v>
      </c>
      <c r="AC10222" s="462" t="s">
        <v>28177</v>
      </c>
      <c r="AD10222" s="464">
        <v>341.72755000000001</v>
      </c>
      <c r="AE10222" s="465">
        <v>13.4002</v>
      </c>
      <c r="AF10222" s="86">
        <f>IF(verze!$E$1="CZK",AD10222,IF(verze!$E$1="SK",AE10222,""))</f>
        <v>13.4002</v>
      </c>
    </row>
    <row r="10223" spans="27:32" ht="15">
      <c r="AA10223" s="463" t="s">
        <v>20047</v>
      </c>
      <c r="AB10223" s="462" t="s">
        <v>28178</v>
      </c>
      <c r="AC10223" s="462" t="s">
        <v>28179</v>
      </c>
      <c r="AD10223" s="464">
        <v>375.90033</v>
      </c>
      <c r="AE10223" s="465">
        <v>15.096399999999999</v>
      </c>
      <c r="AF10223" s="86">
        <f>IF(verze!$E$1="CZK",AD10223,IF(verze!$E$1="SK",AE10223,""))</f>
        <v>15.096399999999999</v>
      </c>
    </row>
    <row r="10224" spans="27:32" ht="15">
      <c r="AA10224" s="463" t="s">
        <v>20053</v>
      </c>
      <c r="AB10224" s="462" t="s">
        <v>28180</v>
      </c>
      <c r="AC10224" s="462" t="s">
        <v>28181</v>
      </c>
      <c r="AD10224" s="464">
        <v>285.0752</v>
      </c>
      <c r="AE10224" s="465">
        <v>11.4488</v>
      </c>
      <c r="AF10224" s="86">
        <f>IF(verze!$E$1="CZK",AD10224,IF(verze!$E$1="SK",AE10224,""))</f>
        <v>11.4488</v>
      </c>
    </row>
    <row r="10225" spans="27:32" ht="15">
      <c r="AA10225" s="463" t="s">
        <v>28182</v>
      </c>
      <c r="AB10225" s="462" t="s">
        <v>28183</v>
      </c>
      <c r="AC10225" s="462" t="s">
        <v>28184</v>
      </c>
      <c r="AD10225" s="464">
        <v>8.9457000000000004</v>
      </c>
      <c r="AE10225" s="465">
        <v>0.35927999999999999</v>
      </c>
      <c r="AF10225" s="86">
        <f>IF(verze!$E$1="CZK",AD10225,IF(verze!$E$1="SK",AE10225,""))</f>
        <v>0.35927999999999999</v>
      </c>
    </row>
    <row r="10226" spans="27:32" ht="15">
      <c r="AA10226" s="463" t="s">
        <v>20394</v>
      </c>
      <c r="AB10226" s="462" t="s">
        <v>28185</v>
      </c>
      <c r="AC10226" s="462" t="s">
        <v>28186</v>
      </c>
      <c r="AD10226" s="464">
        <v>203.13972999999999</v>
      </c>
      <c r="AE10226" s="465">
        <v>8.1582299999999996</v>
      </c>
      <c r="AF10226" s="86">
        <f>IF(verze!$E$1="CZK",AD10226,IF(verze!$E$1="SK",AE10226,""))</f>
        <v>8.1582299999999996</v>
      </c>
    </row>
    <row r="10227" spans="27:32" ht="15">
      <c r="AA10227" s="463" t="s">
        <v>20397</v>
      </c>
      <c r="AB10227" s="462" t="s">
        <v>28187</v>
      </c>
      <c r="AC10227" s="462" t="s">
        <v>28188</v>
      </c>
      <c r="AD10227" s="464">
        <v>206.03</v>
      </c>
      <c r="AE10227" s="465">
        <v>0</v>
      </c>
      <c r="AF10227" s="86">
        <f>IF(verze!$E$1="CZK",AD10227,IF(verze!$E$1="SK",AE10227,""))</f>
        <v>0</v>
      </c>
    </row>
    <row r="10228" spans="27:32" ht="15">
      <c r="AA10228" s="463" t="s">
        <v>20403</v>
      </c>
      <c r="AB10228" s="462" t="s">
        <v>28189</v>
      </c>
      <c r="AC10228" s="462" t="s">
        <v>28190</v>
      </c>
      <c r="AD10228" s="464">
        <v>211.80466999999999</v>
      </c>
      <c r="AE10228" s="465">
        <v>8.5061999999999998</v>
      </c>
      <c r="AF10228" s="86">
        <f>IF(verze!$E$1="CZK",AD10228,IF(verze!$E$1="SK",AE10228,""))</f>
        <v>8.5061999999999998</v>
      </c>
    </row>
    <row r="10229" spans="27:32" ht="15">
      <c r="AA10229" s="463" t="s">
        <v>20445</v>
      </c>
      <c r="AB10229" s="462" t="s">
        <v>28191</v>
      </c>
      <c r="AC10229" s="462" t="s">
        <v>28192</v>
      </c>
      <c r="AD10229" s="464">
        <v>142.2236</v>
      </c>
      <c r="AE10229" s="465">
        <v>5.7118000000000002</v>
      </c>
      <c r="AF10229" s="86">
        <f>IF(verze!$E$1="CZK",AD10229,IF(verze!$E$1="SK",AE10229,""))</f>
        <v>5.7118000000000002</v>
      </c>
    </row>
    <row r="10230" spans="27:32" ht="15">
      <c r="AA10230" s="463" t="s">
        <v>20469</v>
      </c>
      <c r="AB10230" s="462" t="s">
        <v>28193</v>
      </c>
      <c r="AC10230" s="462" t="s">
        <v>28194</v>
      </c>
      <c r="AD10230" s="464">
        <v>166.42303000000001</v>
      </c>
      <c r="AE10230" s="465">
        <v>6.6836500000000001</v>
      </c>
      <c r="AF10230" s="86">
        <f>IF(verze!$E$1="CZK",AD10230,IF(verze!$E$1="SK",AE10230,""))</f>
        <v>6.6836500000000001</v>
      </c>
    </row>
    <row r="10231" spans="27:32" ht="15">
      <c r="AA10231" s="463" t="s">
        <v>20472</v>
      </c>
      <c r="AB10231" s="462" t="s">
        <v>28195</v>
      </c>
      <c r="AC10231" s="462" t="s">
        <v>28196</v>
      </c>
      <c r="AD10231" s="464">
        <v>168.7063</v>
      </c>
      <c r="AE10231" s="465">
        <v>6.7753500000000004</v>
      </c>
      <c r="AF10231" s="86">
        <f>IF(verze!$E$1="CZK",AD10231,IF(verze!$E$1="SK",AE10231,""))</f>
        <v>6.7753500000000004</v>
      </c>
    </row>
    <row r="10232" spans="27:32" ht="15">
      <c r="AA10232" s="463" t="s">
        <v>20496</v>
      </c>
      <c r="AB10232" s="462" t="s">
        <v>28197</v>
      </c>
      <c r="AC10232" s="462" t="s">
        <v>28198</v>
      </c>
      <c r="AD10232" s="464">
        <v>202.35731999999999</v>
      </c>
      <c r="AE10232" s="465">
        <v>8.1267999999999994</v>
      </c>
      <c r="AF10232" s="86">
        <f>IF(verze!$E$1="CZK",AD10232,IF(verze!$E$1="SK",AE10232,""))</f>
        <v>8.1267999999999994</v>
      </c>
    </row>
    <row r="10233" spans="27:32" ht="15">
      <c r="AA10233" s="463" t="s">
        <v>20514</v>
      </c>
      <c r="AB10233" s="462" t="s">
        <v>28199</v>
      </c>
      <c r="AC10233" s="462" t="s">
        <v>28200</v>
      </c>
      <c r="AD10233" s="464">
        <v>287.9203</v>
      </c>
      <c r="AE10233" s="465">
        <v>11.563079999999999</v>
      </c>
      <c r="AF10233" s="86">
        <f>IF(verze!$E$1="CZK",AD10233,IF(verze!$E$1="SK",AE10233,""))</f>
        <v>11.563079999999999</v>
      </c>
    </row>
    <row r="10234" spans="27:32" ht="15">
      <c r="AA10234" s="463" t="s">
        <v>20547</v>
      </c>
      <c r="AB10234" s="462" t="s">
        <v>28201</v>
      </c>
      <c r="AC10234" s="462" t="s">
        <v>28202</v>
      </c>
      <c r="AD10234" s="464">
        <v>134.87153000000001</v>
      </c>
      <c r="AE10234" s="465">
        <v>5.4165299999999998</v>
      </c>
      <c r="AF10234" s="86">
        <f>IF(verze!$E$1="CZK",AD10234,IF(verze!$E$1="SK",AE10234,""))</f>
        <v>5.4165299999999998</v>
      </c>
    </row>
    <row r="10235" spans="27:32" ht="15">
      <c r="AA10235" s="463" t="s">
        <v>20550</v>
      </c>
      <c r="AB10235" s="462" t="s">
        <v>28203</v>
      </c>
      <c r="AC10235" s="462" t="s">
        <v>28204</v>
      </c>
      <c r="AD10235" s="464">
        <v>136.70848000000001</v>
      </c>
      <c r="AE10235" s="465">
        <v>5.4903000000000004</v>
      </c>
      <c r="AF10235" s="86">
        <f>IF(verze!$E$1="CZK",AD10235,IF(verze!$E$1="SK",AE10235,""))</f>
        <v>5.4903000000000004</v>
      </c>
    </row>
    <row r="10236" spans="27:32" ht="15">
      <c r="AA10236" s="463" t="s">
        <v>20556</v>
      </c>
      <c r="AB10236" s="462" t="s">
        <v>28205</v>
      </c>
      <c r="AC10236" s="462" t="s">
        <v>28206</v>
      </c>
      <c r="AD10236" s="464">
        <v>140.38505000000001</v>
      </c>
      <c r="AE10236" s="465">
        <v>5.63795</v>
      </c>
      <c r="AF10236" s="86">
        <f>IF(verze!$E$1="CZK",AD10236,IF(verze!$E$1="SK",AE10236,""))</f>
        <v>5.63795</v>
      </c>
    </row>
    <row r="10237" spans="27:32" ht="15">
      <c r="AA10237" s="463" t="s">
        <v>20583</v>
      </c>
      <c r="AB10237" s="462" t="s">
        <v>28207</v>
      </c>
      <c r="AC10237" s="462" t="s">
        <v>28208</v>
      </c>
      <c r="AD10237" s="464">
        <v>166.42303000000001</v>
      </c>
      <c r="AE10237" s="465">
        <v>6.6836500000000001</v>
      </c>
      <c r="AF10237" s="86">
        <f>IF(verze!$E$1="CZK",AD10237,IF(verze!$E$1="SK",AE10237,""))</f>
        <v>6.6836500000000001</v>
      </c>
    </row>
    <row r="10238" spans="27:32" ht="15">
      <c r="AA10238" s="463" t="s">
        <v>20607</v>
      </c>
      <c r="AB10238" s="462" t="s">
        <v>28209</v>
      </c>
      <c r="AC10238" s="462" t="s">
        <v>28210</v>
      </c>
      <c r="AD10238" s="464">
        <v>199.45783</v>
      </c>
      <c r="AE10238" s="465">
        <v>8.0103500000000007</v>
      </c>
      <c r="AF10238" s="86">
        <f>IF(verze!$E$1="CZK",AD10238,IF(verze!$E$1="SK",AE10238,""))</f>
        <v>8.0103500000000007</v>
      </c>
    </row>
    <row r="10239" spans="27:32" ht="15">
      <c r="AA10239" s="463" t="s">
        <v>20610</v>
      </c>
      <c r="AB10239" s="462" t="s">
        <v>28211</v>
      </c>
      <c r="AC10239" s="462" t="s">
        <v>28212</v>
      </c>
      <c r="AD10239" s="464">
        <v>202.35731999999999</v>
      </c>
      <c r="AE10239" s="465">
        <v>8.1267999999999994</v>
      </c>
      <c r="AF10239" s="86">
        <f>IF(verze!$E$1="CZK",AD10239,IF(verze!$E$1="SK",AE10239,""))</f>
        <v>8.1267999999999994</v>
      </c>
    </row>
    <row r="10240" spans="27:32" ht="15">
      <c r="AA10240" s="463" t="s">
        <v>20631</v>
      </c>
      <c r="AB10240" s="462" t="s">
        <v>28213</v>
      </c>
      <c r="AC10240" s="462" t="s">
        <v>28214</v>
      </c>
      <c r="AD10240" s="464">
        <v>292.36648000000002</v>
      </c>
      <c r="AE10240" s="465">
        <v>11.741630000000001</v>
      </c>
      <c r="AF10240" s="86">
        <f>IF(verze!$E$1="CZK",AD10240,IF(verze!$E$1="SK",AE10240,""))</f>
        <v>11.741630000000001</v>
      </c>
    </row>
    <row r="10241" spans="27:32" ht="15">
      <c r="AA10241" s="463" t="s">
        <v>20634</v>
      </c>
      <c r="AB10241" s="462" t="s">
        <v>28215</v>
      </c>
      <c r="AC10241" s="462" t="s">
        <v>28216</v>
      </c>
      <c r="AD10241" s="464">
        <v>296.8116</v>
      </c>
      <c r="AE10241" s="465">
        <v>11.92015</v>
      </c>
      <c r="AF10241" s="86">
        <f>IF(verze!$E$1="CZK",AD10241,IF(verze!$E$1="SK",AE10241,""))</f>
        <v>11.92015</v>
      </c>
    </row>
    <row r="10242" spans="27:32" ht="15">
      <c r="AA10242" s="463" t="s">
        <v>20661</v>
      </c>
      <c r="AB10242" s="462" t="s">
        <v>28217</v>
      </c>
      <c r="AC10242" s="462" t="s">
        <v>28218</v>
      </c>
      <c r="AD10242" s="464">
        <v>134.87153000000001</v>
      </c>
      <c r="AE10242" s="465">
        <v>5.4165299999999998</v>
      </c>
      <c r="AF10242" s="86">
        <f>IF(verze!$E$1="CZK",AD10242,IF(verze!$E$1="SK",AE10242,""))</f>
        <v>5.4165299999999998</v>
      </c>
    </row>
    <row r="10243" spans="27:32" ht="15">
      <c r="AA10243" s="463" t="s">
        <v>20664</v>
      </c>
      <c r="AB10243" s="462" t="s">
        <v>28219</v>
      </c>
      <c r="AC10243" s="462" t="s">
        <v>28220</v>
      </c>
      <c r="AD10243" s="464">
        <v>136.70848000000001</v>
      </c>
      <c r="AE10243" s="465">
        <v>5.4903000000000004</v>
      </c>
      <c r="AF10243" s="86">
        <f>IF(verze!$E$1="CZK",AD10243,IF(verze!$E$1="SK",AE10243,""))</f>
        <v>5.4903000000000004</v>
      </c>
    </row>
    <row r="10244" spans="27:32" ht="15">
      <c r="AA10244" s="463" t="s">
        <v>20670</v>
      </c>
      <c r="AB10244" s="462" t="s">
        <v>28221</v>
      </c>
      <c r="AC10244" s="462" t="s">
        <v>28222</v>
      </c>
      <c r="AD10244" s="464">
        <v>140.38505000000001</v>
      </c>
      <c r="AE10244" s="465">
        <v>5.63795</v>
      </c>
      <c r="AF10244" s="86">
        <f>IF(verze!$E$1="CZK",AD10244,IF(verze!$E$1="SK",AE10244,""))</f>
        <v>5.63795</v>
      </c>
    </row>
    <row r="10245" spans="27:32" ht="15">
      <c r="AA10245" s="463" t="s">
        <v>20673</v>
      </c>
      <c r="AB10245" s="462" t="s">
        <v>28223</v>
      </c>
      <c r="AC10245" s="462" t="s">
        <v>28224</v>
      </c>
      <c r="AD10245" s="464">
        <v>142.2236</v>
      </c>
      <c r="AE10245" s="465">
        <v>5.7118000000000002</v>
      </c>
      <c r="AF10245" s="86">
        <f>IF(verze!$E$1="CZK",AD10245,IF(verze!$E$1="SK",AE10245,""))</f>
        <v>5.7118000000000002</v>
      </c>
    </row>
    <row r="10246" spans="27:32" ht="15">
      <c r="AA10246" s="463" t="s">
        <v>20694</v>
      </c>
      <c r="AB10246" s="462" t="s">
        <v>28225</v>
      </c>
      <c r="AC10246" s="462" t="s">
        <v>28226</v>
      </c>
      <c r="AD10246" s="464">
        <v>164.13919999999999</v>
      </c>
      <c r="AE10246" s="465">
        <v>6.5919299999999996</v>
      </c>
      <c r="AF10246" s="86">
        <f>IF(verze!$E$1="CZK",AD10246,IF(verze!$E$1="SK",AE10246,""))</f>
        <v>6.5919299999999996</v>
      </c>
    </row>
    <row r="10247" spans="27:32" ht="15">
      <c r="AA10247" s="463" t="s">
        <v>20697</v>
      </c>
      <c r="AB10247" s="462" t="s">
        <v>28227</v>
      </c>
      <c r="AC10247" s="462" t="s">
        <v>28228</v>
      </c>
      <c r="AD10247" s="464">
        <v>166.42303000000001</v>
      </c>
      <c r="AE10247" s="465">
        <v>6.6836500000000001</v>
      </c>
      <c r="AF10247" s="86">
        <f>IF(verze!$E$1="CZK",AD10247,IF(verze!$E$1="SK",AE10247,""))</f>
        <v>6.6836500000000001</v>
      </c>
    </row>
    <row r="10248" spans="27:32" ht="15">
      <c r="AA10248" s="463" t="s">
        <v>20700</v>
      </c>
      <c r="AB10248" s="462" t="s">
        <v>28229</v>
      </c>
      <c r="AC10248" s="462" t="s">
        <v>28230</v>
      </c>
      <c r="AD10248" s="464">
        <v>168.7063</v>
      </c>
      <c r="AE10248" s="465">
        <v>6.7753500000000004</v>
      </c>
      <c r="AF10248" s="86">
        <f>IF(verze!$E$1="CZK",AD10248,IF(verze!$E$1="SK",AE10248,""))</f>
        <v>6.7753500000000004</v>
      </c>
    </row>
    <row r="10249" spans="27:32" ht="15">
      <c r="AA10249" s="463" t="s">
        <v>20715</v>
      </c>
      <c r="AB10249" s="462" t="s">
        <v>28231</v>
      </c>
      <c r="AC10249" s="462" t="s">
        <v>28232</v>
      </c>
      <c r="AD10249" s="464">
        <v>193.65565000000001</v>
      </c>
      <c r="AE10249" s="465">
        <v>7.7773199999999996</v>
      </c>
      <c r="AF10249" s="86">
        <f>IF(verze!$E$1="CZK",AD10249,IF(verze!$E$1="SK",AE10249,""))</f>
        <v>7.7773199999999996</v>
      </c>
    </row>
    <row r="10250" spans="27:32" ht="15">
      <c r="AA10250" s="463" t="s">
        <v>20721</v>
      </c>
      <c r="AB10250" s="462" t="s">
        <v>28233</v>
      </c>
      <c r="AC10250" s="462" t="s">
        <v>28234</v>
      </c>
      <c r="AD10250" s="464">
        <v>199.45783</v>
      </c>
      <c r="AE10250" s="465">
        <v>8.0103500000000007</v>
      </c>
      <c r="AF10250" s="86">
        <f>IF(verze!$E$1="CZK",AD10250,IF(verze!$E$1="SK",AE10250,""))</f>
        <v>8.0103500000000007</v>
      </c>
    </row>
    <row r="10251" spans="27:32" ht="15">
      <c r="AA10251" s="463" t="s">
        <v>20736</v>
      </c>
      <c r="AB10251" s="462" t="s">
        <v>28235</v>
      </c>
      <c r="AC10251" s="462" t="s">
        <v>28236</v>
      </c>
      <c r="AD10251" s="464">
        <v>279.02845000000002</v>
      </c>
      <c r="AE10251" s="465">
        <v>11.20595</v>
      </c>
      <c r="AF10251" s="86">
        <f>IF(verze!$E$1="CZK",AD10251,IF(verze!$E$1="SK",AE10251,""))</f>
        <v>11.20595</v>
      </c>
    </row>
    <row r="10252" spans="27:32" ht="15">
      <c r="AA10252" s="463" t="s">
        <v>20739</v>
      </c>
      <c r="AB10252" s="462" t="s">
        <v>28237</v>
      </c>
      <c r="AC10252" s="462" t="s">
        <v>28238</v>
      </c>
      <c r="AD10252" s="464">
        <v>283.47570000000002</v>
      </c>
      <c r="AE10252" s="465">
        <v>11.38458</v>
      </c>
      <c r="AF10252" s="86">
        <f>IF(verze!$E$1="CZK",AD10252,IF(verze!$E$1="SK",AE10252,""))</f>
        <v>11.38458</v>
      </c>
    </row>
    <row r="10253" spans="27:32" ht="15">
      <c r="AA10253" s="463" t="s">
        <v>20742</v>
      </c>
      <c r="AB10253" s="462" t="s">
        <v>28239</v>
      </c>
      <c r="AC10253" s="462" t="s">
        <v>28240</v>
      </c>
      <c r="AD10253" s="464">
        <v>287.9203</v>
      </c>
      <c r="AE10253" s="465">
        <v>11.563079999999999</v>
      </c>
      <c r="AF10253" s="86">
        <f>IF(verze!$E$1="CZK",AD10253,IF(verze!$E$1="SK",AE10253,""))</f>
        <v>11.563079999999999</v>
      </c>
    </row>
    <row r="10254" spans="27:32" ht="15">
      <c r="AA10254" s="463" t="s">
        <v>20745</v>
      </c>
      <c r="AB10254" s="462" t="s">
        <v>28241</v>
      </c>
      <c r="AC10254" s="462" t="s">
        <v>28242</v>
      </c>
      <c r="AD10254" s="464">
        <v>292.36648000000002</v>
      </c>
      <c r="AE10254" s="465">
        <v>11.741630000000001</v>
      </c>
      <c r="AF10254" s="86">
        <f>IF(verze!$E$1="CZK",AD10254,IF(verze!$E$1="SK",AE10254,""))</f>
        <v>11.741630000000001</v>
      </c>
    </row>
    <row r="10255" spans="27:32" ht="15">
      <c r="AA10255" s="463" t="s">
        <v>28243</v>
      </c>
      <c r="AB10255" s="462" t="s">
        <v>28244</v>
      </c>
      <c r="AC10255" s="462" t="s">
        <v>28245</v>
      </c>
      <c r="AD10255" s="464">
        <v>28.618980000000001</v>
      </c>
      <c r="AE10255" s="465">
        <v>1.1493500000000001</v>
      </c>
      <c r="AF10255" s="86">
        <f>IF(verze!$E$1="CZK",AD10255,IF(verze!$E$1="SK",AE10255,""))</f>
        <v>1.1493500000000001</v>
      </c>
    </row>
    <row r="10256" spans="27:32" ht="15">
      <c r="AA10256" s="463" t="s">
        <v>28246</v>
      </c>
      <c r="AB10256" s="462" t="s">
        <v>28247</v>
      </c>
      <c r="AC10256" s="462" t="s">
        <v>28248</v>
      </c>
      <c r="AD10256" s="464">
        <v>28.618980000000001</v>
      </c>
      <c r="AE10256" s="465">
        <v>1.1493500000000001</v>
      </c>
      <c r="AF10256" s="86">
        <f>IF(verze!$E$1="CZK",AD10256,IF(verze!$E$1="SK",AE10256,""))</f>
        <v>1.1493500000000001</v>
      </c>
    </row>
    <row r="10257" spans="27:32" ht="15">
      <c r="AA10257" s="463" t="s">
        <v>28249</v>
      </c>
      <c r="AB10257" s="462" t="s">
        <v>28250</v>
      </c>
      <c r="AC10257" s="462" t="s">
        <v>28251</v>
      </c>
      <c r="AD10257" s="464">
        <v>25</v>
      </c>
      <c r="AE10257" s="465">
        <v>0</v>
      </c>
      <c r="AF10257" s="86">
        <f>IF(verze!$E$1="CZK",AD10257,IF(verze!$E$1="SK",AE10257,""))</f>
        <v>0</v>
      </c>
    </row>
    <row r="10258" spans="27:32" ht="15">
      <c r="AA10258" s="463" t="s">
        <v>28249</v>
      </c>
      <c r="AB10258" s="462" t="s">
        <v>28252</v>
      </c>
      <c r="AC10258" s="462" t="s">
        <v>28253</v>
      </c>
      <c r="AD10258" s="464">
        <v>25</v>
      </c>
      <c r="AE10258" s="465">
        <v>0</v>
      </c>
      <c r="AF10258" s="86">
        <f>IF(verze!$E$1="CZK",AD10258,IF(verze!$E$1="SK",AE10258,""))</f>
        <v>0</v>
      </c>
    </row>
    <row r="10259" spans="27:32" ht="15">
      <c r="AA10259" s="463" t="s">
        <v>28249</v>
      </c>
      <c r="AB10259" s="462" t="s">
        <v>28254</v>
      </c>
      <c r="AC10259" s="462" t="s">
        <v>28255</v>
      </c>
      <c r="AD10259" s="464">
        <v>25</v>
      </c>
      <c r="AE10259" s="465">
        <v>0</v>
      </c>
      <c r="AF10259" s="86">
        <f>IF(verze!$E$1="CZK",AD10259,IF(verze!$E$1="SK",AE10259,""))</f>
        <v>0</v>
      </c>
    </row>
  </sheetData>
  <hyperlinks>
    <hyperlink ref="J2" location="FORM!A1" display=" Úvod" xr:uid="{00000000-0004-0000-1C00-000000000000}"/>
  </hyperlinks>
  <pageMargins left="0.7" right="0.7" top="0.78740157499999996" bottom="0.78740157499999996" header="0.3" footer="0.3"/>
  <pageSetup paperSize="9" orientation="portrait" r:id="rId1"/>
  <headerFooter>
    <oddHeader>&amp;R&amp;"Aptos"&amp;10&amp;K000000 Restricted&amp;1#_x000D_</oddHeader>
  </headerFooter>
  <ignoredErrors>
    <ignoredError sqref="L12:L49 L608:L1053 L396:L600 L51:L162 L164:L170 L173:L179 L182:L188 L244:L393 L192:L205 L210:L223 L228:L241" evalError="1"/>
    <ignoredError sqref="M10:M49 M611:M1053 M396:M595 M51:M162 M164:M170 M173:M179 M182:M188 M244:M393 M192:M205 M210:M223 M228:M241" unlockedFormula="1"/>
  </ignoredErrors>
</worksheet>
</file>

<file path=docMetadata/LabelInfo.xml><?xml version="1.0" encoding="utf-8"?>
<clbl:labelList xmlns:clbl="http://schemas.microsoft.com/office/2020/mipLabelMetadata">
  <clbl:label id="{adb12509-ad5c-4346-93ee-6526b108a1ee}" enabled="1" method="Standard" siteId="{fcae3d9f-c144-4ab7-a9e6-25760557df3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29</vt:i4>
      </vt:variant>
      <vt:variant>
        <vt:lpstr>Pojmenované oblasti</vt:lpstr>
      </vt:variant>
      <vt:variant>
        <vt:i4>3</vt:i4>
      </vt:variant>
    </vt:vector>
  </HeadingPairs>
  <TitlesOfParts>
    <vt:vector size="32" baseType="lpstr">
      <vt:lpstr>Napoveda</vt:lpstr>
      <vt:lpstr>FORM</vt:lpstr>
      <vt:lpstr>MENU</vt:lpstr>
      <vt:lpstr>MENU-2</vt:lpstr>
      <vt:lpstr>AVT77</vt:lpstr>
      <vt:lpstr>AVT101</vt:lpstr>
      <vt:lpstr>AVT139</vt:lpstr>
      <vt:lpstr>AVT187</vt:lpstr>
      <vt:lpstr>AVT251</vt:lpstr>
      <vt:lpstr>AVT187In</vt:lpstr>
      <vt:lpstr>AVT101(vn-A)</vt:lpstr>
      <vt:lpstr>AVT139(vn-A)</vt:lpstr>
      <vt:lpstr>AVT187(vn-A)</vt:lpstr>
      <vt:lpstr>AVT187In(vn-A)</vt:lpstr>
      <vt:lpstr>AVT187(vn-S)</vt:lpstr>
      <vt:lpstr>AVT187In(vn-S)</vt:lpstr>
      <vt:lpstr>AVT-celny-101+187</vt:lpstr>
      <vt:lpstr>AVT-celny-139+187</vt:lpstr>
      <vt:lpstr>AVT-celny-2x187</vt:lpstr>
      <vt:lpstr>AVT-celny-2x187In</vt:lpstr>
      <vt:lpstr>potr-v101+187</vt:lpstr>
      <vt:lpstr>potr-v101+187-IL</vt:lpstr>
      <vt:lpstr>potr-o101+187</vt:lpstr>
      <vt:lpstr>potr-o101+187-IL</vt:lpstr>
      <vt:lpstr>potr-o187-IL</vt:lpstr>
      <vt:lpstr>---</vt:lpstr>
      <vt:lpstr>OBJ</vt:lpstr>
      <vt:lpstr>verze</vt:lpstr>
      <vt:lpstr>CENY</vt:lpstr>
      <vt:lpstr>MENU!Oblast_tisku</vt:lpstr>
      <vt:lpstr>'MENU-2'!Oblast_tisku</vt:lpstr>
      <vt:lpstr>OBJ!Oblast_tisku</vt:lpstr>
    </vt:vector>
  </TitlesOfParts>
  <Company>Hettich ČR k.s.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Kopenec</dc:creator>
  <cp:lastModifiedBy>Slaběňák Jiří</cp:lastModifiedBy>
  <cp:lastPrinted>2020-10-19T14:24:12Z</cp:lastPrinted>
  <dcterms:created xsi:type="dcterms:W3CDTF">2016-01-02T18:34:54Z</dcterms:created>
  <dcterms:modified xsi:type="dcterms:W3CDTF">2026-09-22T11:32:35Z</dcterms:modified>
</cp:coreProperties>
</file>